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L5_MP POR_POR Link" sheetId="1" r:id="rId4"/>
    <sheet state="visible" name="FL5_POR_包裝對照表 Release Note" sheetId="2" r:id="rId5"/>
    <sheet state="visible" name="FL5_POR_包裝對照表 (Mapping Table)" sheetId="3" r:id="rId6"/>
    <sheet state="visible" name="工作表108" sheetId="4" r:id="rId7"/>
    <sheet state="visible" name="z_Others" sheetId="5" r:id="rId8"/>
    <sheet state="visible" name="Import_VN_Label approve" sheetId="6" r:id="rId9"/>
    <sheet state="hidden" name="FL5_G962 Country kit (Accesorie" sheetId="7" r:id="rId10"/>
    <sheet state="hidden" name="FL5_G954 Pkg ASSY (Pkg BOM)" sheetId="8" r:id="rId11"/>
    <sheet state="hidden" name="Import_FL5_LH_PVTMP_Configs (Do" sheetId="9" r:id="rId12"/>
    <sheet state="hidden" name="Import_UPCEAN (Radhika Verma)" sheetId="10" r:id="rId13"/>
    <sheet state="hidden" name="Import_FL5_LH_PVT_BM" sheetId="11" r:id="rId14"/>
    <sheet state="visible" name="FL5_POR_包裝路由清單 (IE 黃曉冉Mark Wu)" sheetId="12" r:id="rId15"/>
    <sheet state="visible" name="Import_LH_Label approve" sheetId="13" r:id="rId16"/>
    <sheet state="hidden" name="Import_FL5 MPS (06.06.25) - Sor" sheetId="14" r:id="rId17"/>
    <sheet state="hidden" name="Import_FL5 MPS (06.06.25)" sheetId="15" r:id="rId18"/>
    <sheet state="visible" name="FL5_MP POR_LH_報關備案_PCBA" sheetId="16" r:id="rId19"/>
    <sheet state="visible" name="FL5_MP POR_LH_報關備案_CG &amp; BG" sheetId="17" r:id="rId20"/>
    <sheet state="visible" name="FL5_MP POR_LH_報關備案_G950 &amp; GA" sheetId="18" r:id="rId21"/>
    <sheet state="hidden" name="FL5_POR_核價 (經管 &amp; BPM)" sheetId="19" r:id="rId22"/>
    <sheet state="hidden" name="Ike 提供_20250505" sheetId="20" r:id="rId23"/>
    <sheet state="visible" name="FL5_MP PRQ_LH_PRPO" sheetId="21" r:id="rId24"/>
  </sheets>
  <definedNames>
    <definedName hidden="1" localSheetId="2" name="_xlnm._FilterDatabase">'FL5_POR_包裝對照表 (Mapping Table)'!$A$11:$BU$242</definedName>
    <definedName hidden="1" localSheetId="4" name="_xlnm._FilterDatabase">z_Others!$W$4:$AJ$18</definedName>
    <definedName hidden="1" localSheetId="5" name="_xlnm._FilterDatabase">'Import_VN_Label approve'!$B$4:$P$6</definedName>
    <definedName hidden="1" localSheetId="6" name="_xlnm._FilterDatabase">'FL5_G962 Country kit (Accesorie'!$A$4:$Z$76</definedName>
    <definedName hidden="1" localSheetId="8" name="_xlnm._FilterDatabase">'Import_FL5_LH_PVTMP_Configs (Do'!$A$3:$AN$129</definedName>
    <definedName hidden="1" localSheetId="9" name="_xlnm._FilterDatabase">'Import_UPCEAN (Radhika Verma)'!$A$4:$W$196</definedName>
    <definedName hidden="1" localSheetId="12" name="_xlnm._FilterDatabase">'Import_LH_Label approve'!$B$4:$M$154</definedName>
    <definedName hidden="1" localSheetId="13" name="_xlnm._FilterDatabase">'Import_FL5 MPS (06.06.25) - Sor'!$A$7:$FA$327</definedName>
    <definedName hidden="1" localSheetId="14" name="_xlnm._FilterDatabase">'Import_FL5 MPS (06.06.25)'!$A$7:$FA$348</definedName>
    <definedName hidden="1" localSheetId="15" name="_xlnm._FilterDatabase">'FL5_MP POR_LH_報關備案_PCBA'!$A$6:$AM$12</definedName>
    <definedName hidden="1" localSheetId="17" name="_xlnm._FilterDatabase">'FL5_MP POR_LH_報關備案_G950 &amp; GA'!$A$6:$AP$139</definedName>
    <definedName hidden="1" localSheetId="18" name="_xlnm._FilterDatabase">'FL5_POR_核價 (經管 &amp; BPM)'!$A$7:$AA$199</definedName>
    <definedName hidden="1" localSheetId="19" name="_xlnm._FilterDatabase">'Ike 提供_20250505'!$A$2:$Y$202</definedName>
    <definedName hidden="1" localSheetId="20" name="_xlnm._FilterDatabase">'FL5_MP PRQ_LH_PRPO'!$A$5:$AN$108</definedName>
    <definedName hidden="1" localSheetId="20" name="Z_559B2903_E4AD_4CF4_9203_71E94D24A8A6_.wvu.FilterData">'FL5_MP PRQ_LH_PRPO'!$A$2:$W$5</definedName>
    <definedName hidden="1" localSheetId="2" name="Z_F28892C4_2CC3_4522_B0A3_45368FA41C32_.wvu.FilterData">'FL5_POR_包裝對照表 (Mapping Table)'!$B$11:$BR$11</definedName>
    <definedName hidden="1" localSheetId="17" name="Z_F28892C4_2CC3_4522_B0A3_45368FA41C32_.wvu.FilterData">'FL5_MP POR_LH_報關備案_G950 &amp; GA'!$A$6:$AP$20</definedName>
    <definedName hidden="1" localSheetId="2" name="Z_09CACAC4_1811_4DC1_A91D_8DAA6C5E832D_.wvu.FilterData">'FL5_POR_包裝對照表 (Mapping Table)'!$B$6:$BR$146</definedName>
    <definedName hidden="1" localSheetId="2" name="Z_235C060A_D560_4612_B16C_F7722E2C7604_.wvu.FilterData">'FL5_POR_包裝對照表 (Mapping Table)'!$B$11:$BR$125</definedName>
    <definedName hidden="1" localSheetId="2" name="Z_9C921E1A_7070_4D26_A07E_7902B0B21AB7_.wvu.FilterData">'FL5_POR_包裝對照表 (Mapping Table)'!$B$11:$BR$146</definedName>
    <definedName hidden="1" localSheetId="2" name="Z_F5CE670D_61ED_47D3_B14D_55F109315ADF_.wvu.FilterData">'FL5_POR_包裝對照表 (Mapping Table)'!$B$1:$BR$242</definedName>
    <definedName hidden="1" localSheetId="2" name="Z_1FA21FA9_650F_4411_9528_A4787CD6A6E2_.wvu.FilterData">'FL5_POR_包裝對照表 (Mapping Table)'!$B$11:$BR$125</definedName>
    <definedName hidden="1" localSheetId="2" name="Z_0B238461_323A_427F_B143_127AF578CD5C_.wvu.FilterData">'FL5_POR_包裝對照表 (Mapping Table)'!$B$11:$BR$148</definedName>
    <definedName hidden="1" localSheetId="2" name="Z_8E5164FB_CF53_4D3B_B6E3_2175E7D5406C_.wvu.FilterData">'FL5_POR_包裝對照表 (Mapping Table)'!$B$11:$BR$11</definedName>
    <definedName hidden="1" localSheetId="2" name="Z_EADBE73C_6302_482F_A02F_D99879D18316_.wvu.FilterData">'FL5_POR_包裝對照表 (Mapping Table)'!$B$11:$BR$11</definedName>
    <definedName hidden="1" localSheetId="2" name="Z_4DFE5BC2_15FE_4A25_8B7E_156B336BBD72_.wvu.FilterData">'FL5_POR_包裝對照表 (Mapping Table)'!$B$11:$BR$11</definedName>
    <definedName hidden="1" localSheetId="20" name="Z_9EBB0D33_3327_459E_8EA9_089A8B576A77_.wvu.FilterData">'FL5_MP PRQ_LH_PRPO'!$A$5:$AN$5</definedName>
    <definedName hidden="1" localSheetId="20" name="Z_FAE93DA6_B714_4F75_B3FF_2796B8763C8B_.wvu.FilterData">'FL5_MP PRQ_LH_PRPO'!$A$5:$AN$5</definedName>
    <definedName hidden="1" localSheetId="2" name="Z_05AB4814_4623_43F5_8081_47DDC317D005_.wvu.FilterData">'FL5_POR_包裝對照表 (Mapping Table)'!$B$11:$BR$11</definedName>
    <definedName hidden="1" localSheetId="2" name="Z_ED7325CA_62B1_40AF_B9BD_D9D32A152499_.wvu.FilterData">'FL5_POR_包裝對照表 (Mapping Table)'!$B$11:$BR$148</definedName>
    <definedName hidden="1" localSheetId="20" name="Z_89376C1D_728E_4BB2_A614_BF0776B439DB_.wvu.FilterData">'FL5_MP PRQ_LH_PRPO'!$A$5:$AN$5</definedName>
    <definedName hidden="1" localSheetId="20" name="Z_71FB5836_E2BD_4F0D_8BE3_1F312B639DF2_.wvu.FilterData">'FL5_MP PRQ_LH_PRPO'!$A$5:$AN$5</definedName>
    <definedName hidden="1" localSheetId="2" name="Z_70C85E39_6D85_47D8_B6F7_71D9D671FA49_.wvu.FilterData">'FL5_POR_包裝對照表 (Mapping Table)'!$B$11:$BR$148</definedName>
    <definedName hidden="1" localSheetId="2" name="Z_E8F754BB_0312_464B_96EE_8574A5BDE135_.wvu.FilterData">'FL5_POR_包裝對照表 (Mapping Table)'!$B$11:$BR$148</definedName>
    <definedName hidden="1" localSheetId="2" name="Z_13FB488A_AF63_487F_A7A0_946C6F48FBC4_.wvu.FilterData">'FL5_POR_包裝對照表 (Mapping Table)'!$B$11:$BR$11</definedName>
    <definedName hidden="1" localSheetId="20" name="Z_FBCF8522_252B_4004_92CE_A9A2A42C01B5_.wvu.FilterData">'FL5_MP PRQ_LH_PRPO'!$A$5:$AN$5</definedName>
    <definedName hidden="1" localSheetId="20" name="Z_AB815D40_4CFD_4548_B2C0_D7A1091ADA19_.wvu.FilterData">'FL5_MP PRQ_LH_PRPO'!$A$2:$AN$5</definedName>
    <definedName hidden="1" localSheetId="20" name="Z_60AA5830_7D4C_40FE_A3A6_C739A1A64BB3_.wvu.FilterData">'FL5_MP PRQ_LH_PRPO'!$B$2:$W$5</definedName>
    <definedName hidden="1" localSheetId="2" name="Z_127C7570_474D_4FA0_8DFD_5FCF265A9A83_.wvu.FilterData">'FL5_POR_包裝對照表 (Mapping Table)'!$B$11:$BR$11</definedName>
    <definedName hidden="1" localSheetId="20" name="Z_127C7570_474D_4FA0_8DFD_5FCF265A9A83_.wvu.FilterData">'FL5_MP PRQ_LH_PRPO'!$A$5:$AN$5</definedName>
    <definedName hidden="1" localSheetId="2" name="Z_5268F578_E9CF_47CE_8609_3B724149F194_.wvu.FilterData">'FL5_POR_包裝對照表 (Mapping Table)'!$B$11:$BR$148</definedName>
    <definedName hidden="1" localSheetId="20" name="Z_2AF348F7_CDAA_464B_8D9D_B2675E547464_.wvu.FilterData">'FL5_MP PRQ_LH_PRPO'!$A$5:$AN$5</definedName>
    <definedName hidden="1" localSheetId="20" name="Z_23D680C5_0C02_49A2_AC47_BEE5FBBBB9A2_.wvu.FilterData">'FL5_MP PRQ_LH_PRPO'!$A$5:$AN$5</definedName>
    <definedName hidden="1" localSheetId="2" name="Z_0378D225_30D7_4936_A251_E4FDC3156776_.wvu.FilterData">'FL5_POR_包裝對照表 (Mapping Table)'!$B$11:$BR$242</definedName>
    <definedName hidden="1" localSheetId="20" name="Z_39ED1B49_32C3_4417_AFAF_353C8DFB46BC_.wvu.FilterData">'FL5_MP PRQ_LH_PRPO'!$A$5:$AN$5</definedName>
    <definedName hidden="1" localSheetId="2" name="Z_33E13900_0C44_4EB3_9F50_EC0680AE24CA_.wvu.FilterData">'FL5_POR_包裝對照表 (Mapping Table)'!$B$11:$BR$125</definedName>
    <definedName hidden="1" localSheetId="20" name="Z_F7B131ED_3868_46D7_8953_45B5E83533A1_.wvu.FilterData">'FL5_MP PRQ_LH_PRPO'!$A$5:$AN$5</definedName>
    <definedName hidden="1" localSheetId="2" name="Z_2941CAD7_1D92_483C_AD8D_B6B4D99CB94D_.wvu.FilterData">'FL5_POR_包裝對照表 (Mapping Table)'!$B$11:$BR$11</definedName>
    <definedName hidden="1" localSheetId="20" name="Z_739B17A8_C1E5_4BAE_B77F_01A2FFA0A921_.wvu.FilterData">'FL5_MP PRQ_LH_PRPO'!$A$5:$AN$5</definedName>
    <definedName hidden="1" localSheetId="20" name="Z_601C2118_82B1_4C66_89C2_91CF3E1D47CB_.wvu.FilterData">'FL5_MP PRQ_LH_PRPO'!$A$5:$AN$5</definedName>
    <definedName hidden="1" localSheetId="2" name="Z_701325E0_BC70_43C8_B992_31283CB185C6_.wvu.FilterData">'FL5_POR_包裝對照表 (Mapping Table)'!$A$11:$BT$242</definedName>
    <definedName hidden="1" localSheetId="2" name="Z_09B701C9_C463_4E5A_9AA6_EE9988CB52C8_.wvu.FilterData">'FL5_POR_包裝對照表 (Mapping Table)'!$B$2:$BG$11</definedName>
    <definedName hidden="1" localSheetId="16" name="Z_09B701C9_C463_4E5A_9AA6_EE9988CB52C8_.wvu.FilterData">'FL5_MP POR_LH_報關備案_CG &amp; BG'!$A$1:$AJ$24</definedName>
    <definedName hidden="1" localSheetId="17" name="Z_09B701C9_C463_4E5A_9AA6_EE9988CB52C8_.wvu.FilterData">'FL5_MP POR_LH_報關備案_G950 &amp; GA'!$B$2:$AK$21</definedName>
    <definedName hidden="1" localSheetId="20" name="Z_09B701C9_C463_4E5A_9AA6_EE9988CB52C8_.wvu.FilterData">'FL5_MP PRQ_LH_PRPO'!$A$5:$AN$5</definedName>
    <definedName hidden="1" localSheetId="2" name="Z_41E795DC_7956_4B8F_9EA6_5B2084EFD4F8_.wvu.FilterData">'FL5_POR_包裝對照表 (Mapping Table)'!$B$11:$BR$11</definedName>
    <definedName hidden="1" localSheetId="2" name="Z_F6C36D18_D790_4EF0_B05A_DFE52C3A8D9F_.wvu.FilterData">'FL5_POR_包裝對照表 (Mapping Table)'!$B$11:$BR$11</definedName>
    <definedName hidden="1" localSheetId="20" name="Z_9AC2A495_2EC9_498C_B00A_D1D39307ECB1_.wvu.FilterData">'FL5_MP PRQ_LH_PRPO'!$A$5:$AN$5</definedName>
    <definedName hidden="1" localSheetId="20" name="Z_E0F02B22_0DB2_42A2_8124_598F2F4B8BE4_.wvu.FilterData">'FL5_MP PRQ_LH_PRPO'!$A$5:$AN$5</definedName>
    <definedName hidden="1" localSheetId="2" name="Z_1076E9E7_3C1F_43B9_BA95_E40373C8988F_.wvu.FilterData">'FL5_POR_包裝對照表 (Mapping Table)'!$B$11:$BR$146</definedName>
    <definedName hidden="1" localSheetId="20" name="Z_7FD709E0_B349_45E7_B132_F289F18ACC70_.wvu.FilterData">'FL5_MP PRQ_LH_PRPO'!$A$2:$AN$5</definedName>
    <definedName hidden="1" localSheetId="2" name="Z_09CF0436_51F4_4862_9C00_9625A81D9B88_.wvu.FilterData">'FL5_POR_包裝對照表 (Mapping Table)'!$B$11:$BR$11</definedName>
    <definedName hidden="1" localSheetId="2" name="Z_17A8AAE4_9723_4A58_AF2E_4CD8BFB7203B_.wvu.FilterData">'FL5_POR_包裝對照表 (Mapping Table)'!$B$11:$BR$146</definedName>
    <definedName hidden="1" localSheetId="2" name="Z_0ECB9A19_820E_41D4_A7F9_D3524DC9541F_.wvu.FilterData">'FL5_POR_包裝對照表 (Mapping Table)'!$B$11:$BR$11</definedName>
    <definedName hidden="1" localSheetId="2" name="Z_A5C1B606_533E_4223_A9E1_00D18A5D53B7_.wvu.FilterData">'FL5_POR_包裝對照表 (Mapping Table)'!$B$11:$BR$146</definedName>
    <definedName hidden="1" localSheetId="2" name="Z_0D869F75_C18D_4A7C_BB39_808646BFEC16_.wvu.FilterData">'FL5_POR_包裝對照表 (Mapping Table)'!$B$11:$BR$146</definedName>
    <definedName hidden="1" localSheetId="2" name="Z_2D7825BD_4965_4CA0_AB77_53B034F151DD_.wvu.FilterData">'FL5_POR_包裝對照表 (Mapping Table)'!$B$11:$BR$11</definedName>
    <definedName hidden="1" localSheetId="2" name="Z_6A96E052_F9D6_400B_AD77_4852A0C79F04_.wvu.FilterData">'FL5_POR_包裝對照表 (Mapping Table)'!$B$11:$BR$11</definedName>
    <definedName hidden="1" localSheetId="2" name="Z_27810A2C_037D_4AD2_BB0D_EA5D9AB4D19D_.wvu.FilterData">'FL5_POR_包裝對照表 (Mapping Table)'!$B$11:$BR$11</definedName>
    <definedName hidden="1" localSheetId="20" name="Z_27810A2C_037D_4AD2_BB0D_EA5D9AB4D19D_.wvu.FilterData">'FL5_MP PRQ_LH_PRPO'!$A$5:$AN$5</definedName>
    <definedName hidden="1" localSheetId="20" name="Z_D92740F2_3167_41B6_B058_0111AF40A417_.wvu.FilterData">'FL5_MP PRQ_LH_PRPO'!$A$5:$AN$5</definedName>
  </definedNames>
  <calcPr/>
  <customWorkbookViews>
    <customWorkbookView activeSheetId="0" maximized="1" windowHeight="0" windowWidth="0" guid="{5268F578-E9CF-47CE-8609-3B724149F194}" name="篩選器 30"/>
    <customWorkbookView activeSheetId="0" maximized="1" windowHeight="0" windowWidth="0" guid="{33E13900-0C44-4EB3-9F50-EC0680AE24CA}" name="篩選器 31"/>
    <customWorkbookView activeSheetId="0" maximized="1" windowHeight="0" windowWidth="0" guid="{235C060A-D560-4612-B16C-F7722E2C7604}" name="篩選器 32"/>
    <customWorkbookView activeSheetId="0" maximized="1" windowHeight="0" windowWidth="0" guid="{701325E0-BC70-43C8-B992-31283CB185C6}" name="FIH_Hero Chen"/>
    <customWorkbookView activeSheetId="0" maximized="1" windowHeight="0" windowWidth="0" guid="{09CF0436-51F4-4862-9C00-9625A81D9B88}" name="篩選器 12"/>
    <customWorkbookView activeSheetId="0" maximized="1" windowHeight="0" windowWidth="0" guid="{E0F02B22-0DB2-42A2-8124-598F2F4B8BE4}" name="Filter 11"/>
    <customWorkbookView activeSheetId="0" maximized="1" windowHeight="0" windowWidth="0" guid="{EADBE73C-6302-482F-A02F-D99879D18316}" name="篩選器 13"/>
    <customWorkbookView activeSheetId="0" maximized="1" windowHeight="0" windowWidth="0" guid="{39ED1B49-32C3-4417-AFAF-353C8DFB46BC}" name="Filter 12"/>
    <customWorkbookView activeSheetId="0" maximized="1" windowHeight="0" windowWidth="0" guid="{F6C36D18-D790-4EF0-B05A-DFE52C3A8D9F}" name="篩選器 14"/>
    <customWorkbookView activeSheetId="0" maximized="1" windowHeight="0" windowWidth="0" guid="{FBCF8522-252B-4004-92CE-A9A2A42C01B5}" name="Filter 13"/>
    <customWorkbookView activeSheetId="0" maximized="1" windowHeight="0" windowWidth="0" guid="{0ECB9A19-820E-41D4-A7F9-D3524DC9541F}" name="篩選器 15"/>
    <customWorkbookView activeSheetId="0" maximized="1" windowHeight="0" windowWidth="0" guid="{89376C1D-728E-4BB2-A614-BF0776B439DB}" name="Filter 14"/>
    <customWorkbookView activeSheetId="0" maximized="1" windowHeight="0" windowWidth="0" guid="{2941CAD7-1D92-483C-AD8D-B6B4D99CB94D}" name="篩選器 16"/>
    <customWorkbookView activeSheetId="0" maximized="1" windowHeight="0" windowWidth="0" guid="{F7B131ED-3868-46D7-8953-45B5E83533A1}" name="Filter 15"/>
    <customWorkbookView activeSheetId="0" maximized="1" windowHeight="0" windowWidth="0" guid="{17A8AAE4-9723-4A58-AF2E-4CD8BFB7203B}" name="篩選器 17"/>
    <customWorkbookView activeSheetId="0" maximized="1" windowHeight="0" windowWidth="0" guid="{71FB5836-E2BD-4F0D-8BE3-1F312B639DF2}" name="Filter 16"/>
    <customWorkbookView activeSheetId="0" maximized="1" windowHeight="0" windowWidth="0" guid="{09CACAC4-1811-4DC1-A91D-8DAA6C5E832D}" name="篩選器 18"/>
    <customWorkbookView activeSheetId="0" maximized="1" windowHeight="0" windowWidth="0" guid="{2AF348F7-CDAA-464B-8D9D-B2675E547464}" name="Filter 17"/>
    <customWorkbookView activeSheetId="0" maximized="1" windowHeight="0" windowWidth="0" guid="{9C921E1A-7070-4D26-A07E-7902B0B21AB7}" name="篩選器 19"/>
    <customWorkbookView activeSheetId="0" maximized="1" windowHeight="0" windowWidth="0" guid="{9EBB0D33-3327-459E-8EA9-089A8B576A77}" name="Filter 18"/>
    <customWorkbookView activeSheetId="0" maximized="1" windowHeight="0" windowWidth="0" guid="{2D7825BD-4965-4CA0-AB77-53B034F151DD}" name="篩選器 10"/>
    <customWorkbookView activeSheetId="0" maximized="1" windowHeight="0" windowWidth="0" guid="{05AB4814-4623-43F5-8081-47DDC317D005}" name="篩選器 11"/>
    <customWorkbookView activeSheetId="0" maximized="1" windowHeight="0" windowWidth="0" guid="{9AC2A495-2EC9-498C-B00A-D1D39307ECB1}" name="Filter 10"/>
    <customWorkbookView activeSheetId="0" maximized="1" windowHeight="0" windowWidth="0" guid="{A5C1B606-533E-4223-A9E1-00D18A5D53B7}" name="篩選器 23"/>
    <customWorkbookView activeSheetId="0" maximized="1" windowHeight="0" windowWidth="0" guid="{13FB488A-AF63-487F-A7A0-946C6F48FBC4}" name="篩選器 5"/>
    <customWorkbookView activeSheetId="0" maximized="1" windowHeight="0" windowWidth="0" guid="{4DFE5BC2-15FE-4A25-8B7E-156B336BBD72}" name="篩選器 6"/>
    <customWorkbookView activeSheetId="0" maximized="1" windowHeight="0" windowWidth="0" guid="{70C85E39-6D85-47D8-B6F7-71D9D671FA49}" name="篩選器 24"/>
    <customWorkbookView activeSheetId="0" maximized="1" windowHeight="0" windowWidth="0" guid="{E8F754BB-0312-464B-96EE-8574A5BDE135}" name="篩選器 25"/>
    <customWorkbookView activeSheetId="0" maximized="1" windowHeight="0" windowWidth="0" guid="{27810A2C-037D-4AD2-BB0D-EA5D9AB4D19D}" name="篩選器 3"/>
    <customWorkbookView activeSheetId="0" maximized="1" windowHeight="0" windowWidth="0" guid="{127C7570-474D-4FA0-8DFD-5FCF265A9A83}" name="篩選器 4"/>
    <customWorkbookView activeSheetId="0" maximized="1" windowHeight="0" windowWidth="0" guid="{0B238461-323A-427F-B143-127AF578CD5C}" name="篩選器 26"/>
    <customWorkbookView activeSheetId="0" maximized="1" windowHeight="0" windowWidth="0" guid="{09B701C9-C463-4E5A-9AA6-EE9988CB52C8}" name="篩選器 1"/>
    <customWorkbookView activeSheetId="0" maximized="1" windowHeight="0" windowWidth="0" guid="{1FA21FA9-650F-4411-9528-A4787CD6A6E2}" name="篩選器 27"/>
    <customWorkbookView activeSheetId="0" maximized="1" windowHeight="0" windowWidth="0" guid="{F28892C4-2CC3-4522-B0A3-45368FA41C32}" name="篩選器 2"/>
    <customWorkbookView activeSheetId="0" maximized="1" windowHeight="0" windowWidth="0" guid="{0378D225-30D7-4936-A251-E4FDC3156776}" name="篩選器 28"/>
    <customWorkbookView activeSheetId="0" maximized="1" windowHeight="0" windowWidth="0" guid="{ED7325CA-62B1-40AF-B9BD-D9D32A152499}" name="篩選器 29"/>
    <customWorkbookView activeSheetId="0" maximized="1" windowHeight="0" windowWidth="0" guid="{1076E9E7-3C1F-43B9-BA95-E40373C8988F}" name="篩選器 20"/>
    <customWorkbookView activeSheetId="0" maximized="1" windowHeight="0" windowWidth="0" guid="{0D869F75-C18D-4A7C-BB39-808646BFEC16}" name="篩選器 21"/>
    <customWorkbookView activeSheetId="0" maximized="1" windowHeight="0" windowWidth="0" guid="{601C2118-82B1-4C66-89C2-91CF3E1D47CB}" name="Filter 8"/>
    <customWorkbookView activeSheetId="0" maximized="1" windowHeight="0" windowWidth="0" guid="{F5CE670D-61ED-47D3-B14D-55F109315ADF}" name="篩選器 22"/>
    <customWorkbookView activeSheetId="0" maximized="1" windowHeight="0" windowWidth="0" guid="{D92740F2-3167-41B6-B058-0111AF40A417}" name="Filter 9"/>
    <customWorkbookView activeSheetId="0" maximized="1" windowHeight="0" windowWidth="0" guid="{739B17A8-C1E5-4BAE-B77F-01A2FFA0A921}" name="Filter 6"/>
    <customWorkbookView activeSheetId="0" maximized="1" windowHeight="0" windowWidth="0" guid="{60AA5830-7D4C-40FE-A3A6-C739A1A64BB3}" name="Filter 7"/>
    <customWorkbookView activeSheetId="0" maximized="1" windowHeight="0" windowWidth="0" guid="{559B2903-E4AD-4CF4-9203-71E94D24A8A6}" name="Filter 4"/>
    <customWorkbookView activeSheetId="0" maximized="1" windowHeight="0" windowWidth="0" guid="{23D680C5-0C02-49A2-AC47-BEE5FBBBB9A2}" name="Filter 5"/>
    <customWorkbookView activeSheetId="0" maximized="1" windowHeight="0" windowWidth="0" guid="{7FD709E0-B349-45E7-B132-F289F18ACC70}" name="Filter 2"/>
    <customWorkbookView activeSheetId="0" maximized="1" windowHeight="0" windowWidth="0" guid="{FAE93DA6-B714-4F75-B3FF-2796B8763C8B}" name="Filter 3"/>
    <customWorkbookView activeSheetId="0" maximized="1" windowHeight="0" windowWidth="0" guid="{AB815D40-4CFD-4548-B2C0-D7A1091ADA19}" name="Filter 1"/>
    <customWorkbookView activeSheetId="0" maximized="1" windowHeight="0" windowWidth="0" guid="{41E795DC-7956-4B8F-9EA6-5B2084EFD4F8}" name="篩選器 9"/>
    <customWorkbookView activeSheetId="0" maximized="1" windowHeight="0" windowWidth="0" guid="{6A96E052-F9D6-400B-AD77-4852A0C79F04}" name="篩選器 7"/>
    <customWorkbookView activeSheetId="0" maximized="1" windowHeight="0" windowWidth="0" guid="{8E5164FB-CF53-4D3B-B6E3-2175E7D5406C}" name="篩選器 8"/>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Q11">
      <text>
        <t xml:space="preserve">@tamttt@fih-foxconn.com
_已指派給「Jenna Thanh Tam」_
	-Hero Chen</t>
      </text>
    </comment>
    <comment authorId="0" ref="BP11">
      <text>
        <t xml:space="preserve">@canny.hm.zhou@fih-foxconn.com 
@chovy.c.xu@fih-foxconn.com 
@jun-hua.Li@fih-foxconn.com 
@becky.ning@fih-foxconn.com
_已指派給「canny.hm.zhou@fih-foxconn.com」_
	-Hero Chen</t>
      </text>
    </comment>
    <comment authorId="0" ref="Z9">
      <text>
        <t xml:space="preserve">@MingMHHsieh@fih-foxconn.com 
@RayHuang@fih-foxconn.com 
@amyyshsu@fih-foxconn.com 
Hi, SW &amp; TestTPM, 
please advise what's Android version for FL5 MP. tks-
Hero, 20250519
@tamttt@fih-foxconn.com 
@canny.hm.zhou@fih-foxconn.com
_已指派給「MingMHHsieh@fih-foxconn.com」_
	-Hero Chen
Hi Hero and team, please get the Android version from FRESET. The measurement is fastbootd_check_android_version: os_ver_str
Currently it is 16.
	-Ming-Hsien Hsieh
@sallyttyao@fih-foxconn.com @krista.wy.lin@fih-foxconn.com @KarinaYWan@fih-foxconn.com for vis
_已重新指派給「Tingting Yao」_
	-Amy Hsu</t>
      </text>
    </comment>
    <comment authorId="0" ref="BH11">
      <text>
        <t xml:space="preserve">@manhvd@fih-foxconn.com 
Hi, Mark
please update FL5 MP VN Packing router before 05/15. tks-
Hero, 2020502
@tamttt@fih-foxconn.com
@hienntt3@fih-foxconn.com
_已指派給「Mark Wu」_
	-Hero Chen
@manhvd@fih-foxconn.com 
@tamttt@fih-foxconn.com
_已重新指派給「Jenna Thanh Tam」_
	-Hero Chen
Hero, In PVT mapping table have shown many station choose YES/NO but now in this table no show any station status, example: Laser SIM/ SIMAOI/ WT-P/ FRESET...Pls help to re_check.
	-Mark Wu
@HeroKLChen@fih-foxconn.com
_已重新指派給「Hero Chen」_
	-Mark Wu
Hi, Mark,
MP mappin table won't show pack test station as PVT, let's follow MP POR station. Any question, please consult with LH Pack IE (黃曉冉) accordingly. thanks well. ^^
Hero, 20250528
@Xiao-Ran.Huang@fih-foxconn.com 
@tamttt@fih-foxconn.com
	-Hero Chen</t>
      </text>
    </comment>
    <comment authorId="0" ref="BG11">
      <text>
        <t xml:space="preserve">@Xiao-Ran.Huang@fih-foxconn.com 
Hi, 曉冉
please update FL5 MP Packing router before 5/7. tks.
Hero, 2025002
@chovy.c.xu@fih-foxconn.com 
@jim.bai@fih-foxconn.com 
@Cynthia.wang@fih-foxconn.com 
@kai-jun.liao@fih-foxconn.com 
@melody.zl.zhao@fih-foxconn.com 
@canny.hm.zhou@fih-foxconn.com 
@ivy.jy.gu@fih-foxconn.com
_已指派給「Xiao-Ran.Huang@fih-foxconn.com」_
	-Hero Chen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8">
      <text>
        <t xml:space="preserve">@zhi-jian.chi@fih-foxconn.com 
請幫忙建立Zombe驗證路由
_已指派給「zhi-jian.chi@fih-foxconn.com」_
	-Canny Zhou
done
	-池志堅</t>
      </text>
    </comment>
    <comment authorId="0" ref="B2">
      <text>
        <t xml:space="preserve">@Tao.zhang@fih-foxconn.com
_已指派給「」_
	-Ivy谷金燕</t>
      </text>
    </comment>
    <comment authorId="0" ref="J22">
      <text>
        <t xml:space="preserve">@Canny.HM.Zhou@fih-foxconn.com 
彩盒包臨時新增這兩個工站，取消時間目前待定。
_已指派給「Canny.HM.Zhou@fih-foxconn.com」_
	-池志堅
ok
	-Canny Zhou</t>
      </text>
    </comment>
    <comment authorId="0" ref="L14">
      <text>
        <t xml:space="preserve">@xiao-ran.huang@fih-foxconn.com 
hi 曉冉， 與Q 確認 SWFAI 路由請幫忙加上PACK-OQC2， 並將PACK-OQC2-S設置為 100%測試，謝謝~
_已指派給「xiao-ran.huang@fih-foxconn.com」_
	-Canny Zhou
done
	-池志堅</t>
      </text>
    </comment>
    <comment authorId="0" ref="I14">
      <text>
        <t xml:space="preserve">@amyyshsu@fih-foxconn.com 
@krista.wy.lin@fih-foxconn.com
_已指派給「amyyshsu@fih-foxconn.com」_
	-Hero Chen
MP no WT-P
	-Ray Huang</t>
      </text>
    </comment>
    <comment authorId="0" ref="N23">
      <text>
        <t xml:space="preserve">@amyyshsu@fih-foxconn.com 
@krista.wy.lin@fih-foxconn.com 
same here about retail box, plz also check is WT-P still on in MP stage.
Hero, 20250510
@RayHuang@fih-foxconn.com 
@Xiao-Ran.Huang@fih-foxconn.com 
@canny.hm.zhou@fih-foxconn.com 
@ivy.jy.gu@fih-foxconn.com
_已指派給「amyyshsu@fih-foxconn.com」_
	-Hero Chen
MP no WT-P
	-Ray Huang</t>
      </text>
    </comment>
    <comment authorId="0" ref="L8">
      <text>
        <t xml:space="preserve">@amyyshsu@fih-foxconn.com 
@krista.wy.lin@fih-foxconn.com 
Hi, Amy &amp; Krista,
please check is WT-P still on in MP stage. tks-
Hero, 20250510
@Xiao-Ran.Huang@fih-foxconn.com 
@canny.hm.zhou@fih-foxconn.com 
@ivy.jy.gu@fih-foxconn.com
_已指派給「amyyshsu@fih-foxconn.com」_
	-Hero Chen
MP no WT-P
	-Ray Huang</t>
      </text>
    </comment>
  </commentList>
</comments>
</file>

<file path=xl/sharedStrings.xml><?xml version="1.0" encoding="utf-8"?>
<sst xmlns="http://schemas.openxmlformats.org/spreadsheetml/2006/main" count="12337" uniqueCount="2232">
  <si>
    <t>R</t>
  </si>
  <si>
    <t>Pjt</t>
  </si>
  <si>
    <t>Year</t>
  </si>
  <si>
    <t>2022Y</t>
  </si>
  <si>
    <t>Month</t>
  </si>
  <si>
    <t>Aug.</t>
  </si>
  <si>
    <t>Sep.</t>
  </si>
  <si>
    <t>Oct.</t>
  </si>
  <si>
    <t>Nov.</t>
  </si>
  <si>
    <t>Dec.</t>
  </si>
  <si>
    <t>Jan.</t>
  </si>
  <si>
    <t>Feb.</t>
  </si>
  <si>
    <t>Mar.</t>
  </si>
  <si>
    <t>Apr.</t>
  </si>
  <si>
    <t>May</t>
  </si>
  <si>
    <t>Jun.</t>
  </si>
  <si>
    <t>Jul.</t>
  </si>
  <si>
    <r>
      <rPr>
        <rFont val="Tahoma"/>
        <color theme="1"/>
        <sz val="10.0"/>
      </rPr>
      <t>Plan
(</t>
    </r>
    <r>
      <rPr>
        <rFont val="Tahoma"/>
        <color rgb="FF0000FF"/>
        <sz val="10.0"/>
      </rPr>
      <t>20221016</t>
    </r>
    <r>
      <rPr>
        <rFont val="Tahoma"/>
        <color theme="1"/>
        <sz val="10.0"/>
      </rPr>
      <t xml:space="preserve"> udpate)</t>
    </r>
  </si>
  <si>
    <t>PROTO 1.0</t>
  </si>
  <si>
    <t>PROTO 1.1</t>
  </si>
  <si>
    <t>EVT1.0</t>
  </si>
  <si>
    <t>EVT 1.1</t>
  </si>
  <si>
    <t>DVT</t>
  </si>
  <si>
    <t>PVT</t>
  </si>
  <si>
    <t>MP (IOQ3)</t>
  </si>
  <si>
    <t>SMT Qty</t>
  </si>
  <si>
    <t>FATP Qty</t>
  </si>
  <si>
    <t>2,900 =&gt; 2,488</t>
  </si>
  <si>
    <t>2,150 =&gt; 1,292</t>
  </si>
  <si>
    <t>2,100 =&gt; 1,656</t>
  </si>
  <si>
    <t>1,600 =&gt;
1,173</t>
  </si>
  <si>
    <t>5650 =&gt; 4,828</t>
  </si>
  <si>
    <t>4850 =&gt; 3,700</t>
  </si>
  <si>
    <t>5300 =&gt; 4,830</t>
  </si>
  <si>
    <t>4600 =&gt; 4,000</t>
  </si>
  <si>
    <t>11500 =&gt; 8,416</t>
  </si>
  <si>
    <t>10784 =&gt; 7,275</t>
  </si>
  <si>
    <t>SMT</t>
  </si>
  <si>
    <t>Date</t>
  </si>
  <si>
    <t>MIH</t>
  </si>
  <si>
    <t>FBU</t>
  </si>
  <si>
    <t>09/30 =&gt; 10/13</t>
  </si>
  <si>
    <t>04/08 =&gt; 04/17</t>
  </si>
  <si>
    <t>SOP</t>
  </si>
  <si>
    <t>10/12 =&gt; No</t>
  </si>
  <si>
    <t>No</t>
  </si>
  <si>
    <t>03/01 =&gt; No</t>
  </si>
  <si>
    <t>04/19 =&gt; No</t>
  </si>
  <si>
    <t>MINI</t>
  </si>
  <si>
    <t>04/24 =&gt; 05/02</t>
  </si>
  <si>
    <t>MAIN</t>
  </si>
  <si>
    <t>05/01 =&gt; 05/08</t>
  </si>
  <si>
    <t>FATP</t>
  </si>
  <si>
    <t>10/06 =&gt; 10/10</t>
  </si>
  <si>
    <t>04/15 =&gt; 04/17</t>
  </si>
  <si>
    <t>08/26 =&gt; no</t>
  </si>
  <si>
    <t>10/13 =&gt; no</t>
  </si>
  <si>
    <t>03/04 =&gt; No</t>
  </si>
  <si>
    <t>04/21 =&gt; No</t>
  </si>
  <si>
    <t>08/30 =&gt;09/01</t>
  </si>
  <si>
    <t>04/25 =&gt; 05/02</t>
  </si>
  <si>
    <t>09/07 =&gt; 09/13</t>
  </si>
  <si>
    <t>10/26 =&gt; 10/21</t>
  </si>
  <si>
    <t>05/03 =&gt; 05/08</t>
  </si>
  <si>
    <t>Distro (Pack)</t>
  </si>
  <si>
    <t>Build Key Docs</t>
  </si>
  <si>
    <t>Owner</t>
  </si>
  <si>
    <t>Shipment &amp; Material Request</t>
  </si>
  <si>
    <t>Packing Related Management</t>
  </si>
  <si>
    <t>[EXT] FL5 FIH PRQ/CR Tracker List</t>
  </si>
  <si>
    <t>G_OPM/Frank Bao</t>
  </si>
  <si>
    <t>[EXT] FL5 SZ MP Ship-to-File</t>
  </si>
  <si>
    <t>G_OPM/Eva Zhang</t>
  </si>
  <si>
    <t>[EXT] FL5 MPS</t>
  </si>
  <si>
    <t>G_BPM/ravigodavarkar@google.com</t>
  </si>
  <si>
    <t>[EXT] FL5 SKU Matrix</t>
  </si>
  <si>
    <t>G_PLM/Diana Coker</t>
  </si>
  <si>
    <t>[EXT] FL5 SZ MP Device Request Table</t>
  </si>
  <si>
    <t>[EXT] FL5 IOQ Tracker</t>
  </si>
  <si>
    <t>FIH_PC/蘇信軍</t>
  </si>
  <si>
    <t>[INT] FL5 PVT/MP Build Plan &amp; Build Configs</t>
  </si>
  <si>
    <t>FIH_EPM/Dobby Lin</t>
  </si>
  <si>
    <t>[EXT] P24 PVT FATP CTB</t>
  </si>
  <si>
    <t>FIH_MPM/黃建</t>
  </si>
  <si>
    <t>[EXT] FL5 LH MP WIP Tracker -DOE</t>
  </si>
  <si>
    <t>FIH_OPM/Rita Qiu Vicky Chen</t>
  </si>
  <si>
    <t>[EXT] [P24] TK4/CM4/KM4 (PVT/Ramp) FBU/LBU/PKG Demand</t>
  </si>
  <si>
    <t>G_MPM/Sunny Xiao</t>
  </si>
  <si>
    <t>[EXT] P24 KM4/CM4/TK4 MIH</t>
  </si>
  <si>
    <t>FIH_MPM/alvincs hsu</t>
  </si>
  <si>
    <t>[EXT] FL5 SZ MP Retail/Carton/Pallet Labels Approval Tracking List</t>
  </si>
  <si>
    <t>G_Sustpm/John Zhu</t>
  </si>
  <si>
    <t>[EXT] FL5 Master Equipment List</t>
  </si>
  <si>
    <t>[EXT] FL5 VN MP Retail/Carton/Pallet Labels Approval Tracking List</t>
  </si>
  <si>
    <t>G_Sustpm/Leon Tsai</t>
  </si>
  <si>
    <t>[INT] FL5 PVT/MP EC Tracker</t>
  </si>
  <si>
    <t>[EXT] FL5 Key Allocation Tracker (TAC Range)</t>
  </si>
  <si>
    <t>G_TE/Jay Wang</t>
  </si>
  <si>
    <t>[EXT] FL5_PVT/MP_EAN &amp; UPC &amp; cSKU List</t>
  </si>
  <si>
    <t>G_PLM/Diana Coker / vermaradhika@google.com</t>
  </si>
  <si>
    <t>[EXT] SZ FL5 - Retail PKG FAI&amp;PFOL + SW FAI +Carrier FAI Tracker</t>
  </si>
  <si>
    <t>G_OPM/Lehman Lee</t>
  </si>
  <si>
    <t>[EXT]  FL5 LH Line Qual Ramp Master Chart Share with FIH</t>
  </si>
  <si>
    <t>G_SysTPM/Amy Ma</t>
  </si>
  <si>
    <t>[EXT] FL5 master data</t>
  </si>
  <si>
    <t>G/@hcliw@google.com</t>
  </si>
  <si>
    <t>[EXT] SZ BZ5 - Retail PKG FAI&amp;PFOL + SW FAI +Carrier FAI Tracker</t>
  </si>
  <si>
    <t>G_OPM/Emma Pai</t>
  </si>
  <si>
    <t>[EXT] BZ5 master data</t>
  </si>
  <si>
    <t>[EXT] SZ MT5 - Retail PKG FAI&amp;PFOL + SW FAI +Carrier FAI Tracker</t>
  </si>
  <si>
    <t>G_OPM/Sean Ao</t>
  </si>
  <si>
    <t>[EXT] MT5 master data</t>
  </si>
  <si>
    <t>[EXT] BZ5 SZ MP Retail/Carton/Pallet Labels Approval Tracking List</t>
  </si>
  <si>
    <t>[EXT] BZ5 VN MP Retail/Carton/Pallet Labels Approval Tracking List</t>
  </si>
  <si>
    <t>[EXT] MT5 SZ MP Retail/Carton/Pallet Labels Approval Tracking List</t>
  </si>
  <si>
    <t>Yield Dashboard &amp; MIL</t>
  </si>
  <si>
    <t>[EXT] MT5 VN MP Retail/Carton/Pallet Labels Approval Tracking List</t>
  </si>
  <si>
    <t>[EXT] TK4 DOE Request</t>
  </si>
  <si>
    <t>G_SysTPM/kanchin@</t>
  </si>
  <si>
    <t>[EXT] FIH VN &amp; LH_DL Working Hours</t>
  </si>
  <si>
    <t>FIH_EPM/HeroKLChen@ &amp; KevinKALu@</t>
  </si>
  <si>
    <t>[EXT] CM4 DOE Request</t>
  </si>
  <si>
    <t>[INT] P23 NPI build est 220412(Submitted)</t>
  </si>
  <si>
    <t>FIH_BPM/HarmokoRoni@</t>
  </si>
  <si>
    <t>[EXT] zNext 訓練教材 【2022/05/31 G officially train FIH】</t>
  </si>
  <si>
    <t>G_PLM/dabylin@</t>
  </si>
  <si>
    <t>[INT] Foxconn zNext access apply list</t>
  </si>
  <si>
    <t>FIH_EPM/blancoychuang@</t>
  </si>
  <si>
    <t>[INT] IDM1(F7)辦公區無線上網申請表-TPE</t>
  </si>
  <si>
    <t>[INT] G Project list</t>
  </si>
  <si>
    <t>[INT] 如何申請 Project Code</t>
  </si>
  <si>
    <t>FIH_EPM/HeroKLChen@</t>
  </si>
  <si>
    <t>[INT] Neptune,Bugnizer Accounts</t>
  </si>
  <si>
    <t>FIH_TestTPM/PerryPYLin@</t>
  </si>
  <si>
    <t>[INT] P23 通訊手機</t>
  </si>
  <si>
    <t>FIH_OPM/Carol.Deng@</t>
  </si>
  <si>
    <t>Google Share Doc_Security Setup</t>
  </si>
  <si>
    <t>FIH_EPM/arieltien@</t>
  </si>
  <si>
    <t>[INT] iFuse system操作SOP</t>
  </si>
  <si>
    <t>FIH_PD Lead/hornerwu@</t>
  </si>
  <si>
    <t>ME TPM/PD</t>
  </si>
  <si>
    <t>Refered Doc.</t>
  </si>
  <si>
    <t>[EXT] TK4 DVT Assembly Story</t>
  </si>
  <si>
    <t>G_METPM/williamhuang@</t>
  </si>
  <si>
    <t>[INT] NPI BOM change &amp; WO process flow</t>
  </si>
  <si>
    <t>[EXT] SB3 EVT1.1 Mech TPM FBU Tracker</t>
  </si>
  <si>
    <t>FIH_METPM/siyao.dai@</t>
  </si>
  <si>
    <t>P23/P24物料轉運流程</t>
  </si>
  <si>
    <t>[EXT] SB3 EVT1.0 METPM Build Report Detail Slides</t>
  </si>
  <si>
    <t>FIH_METPM/cora.wang@</t>
  </si>
  <si>
    <t>[INT] PM Lessons Learnt_Skywalker Programs</t>
  </si>
  <si>
    <t>[INT] TK4/CM4/KM4 Adhesive (Glue) Consumables Usage Tracker</t>
  </si>
  <si>
    <t>FIH_METPM/shihhsientang@</t>
  </si>
  <si>
    <t>[EXT] EVT METPM Tracker</t>
  </si>
  <si>
    <t>G_METPM/asgharali@</t>
  </si>
  <si>
    <t>[EXT] SB3 Proto1.1 Mech TPM FBU Tracker</t>
  </si>
  <si>
    <t>[EXT] SB3 P1.0 DOE1 (PM09) Dimple location record</t>
  </si>
  <si>
    <t>FIH_PQM/Lavender</t>
  </si>
  <si>
    <t>[EXT] SB3 Proto1.1 Criteria by alignment fixture&amp;machine</t>
  </si>
  <si>
    <t>[INT] The dimension of TK4 unit and MLB</t>
  </si>
  <si>
    <t>FIH_PD/趙和平</t>
  </si>
  <si>
    <t>[EXT] TK4 Cosmetic Protective Plan</t>
  </si>
  <si>
    <t>[EXT] Requests for TK4 FIH PD</t>
  </si>
  <si>
    <t>G_PD/jonesw@</t>
  </si>
  <si>
    <t>[EXT] TK4 EVT1.1 ME TPM Build Report detail slides</t>
  </si>
  <si>
    <t>FIH_METPM/Chris.hj.huang@</t>
  </si>
  <si>
    <t>[EXT] TK4/CM4/KM4 Adhesive (Glue) Consumables Usage Tracker</t>
  </si>
  <si>
    <t>Ops (OPM)</t>
  </si>
  <si>
    <t>Archive Doc.</t>
  </si>
  <si>
    <t>[EXT] P24 Layout/Line Setup Plan</t>
  </si>
  <si>
    <t>G_OPM/garywen@</t>
  </si>
  <si>
    <t>[EXT] Pixel hardware config naming</t>
  </si>
  <si>
    <t>G_EPS/kathrynpierce@</t>
  </si>
  <si>
    <t>[EXT] P22/P23 Factory Functional Room Layout Change Request Form</t>
  </si>
  <si>
    <t>G_OPM/frankbao@</t>
  </si>
  <si>
    <t>[INT] CM4/KM4/TK4_Team Roster</t>
  </si>
  <si>
    <t>FIH_OPM/Jessica.lm.Qiu@</t>
  </si>
  <si>
    <t>[EXT] P23 Operation Playbook</t>
  </si>
  <si>
    <t>[INT] P24  SQE  Team Roster</t>
  </si>
  <si>
    <t>FIH_SQE/john.zx.lian@</t>
  </si>
  <si>
    <t>[EXT] SB3 xVT DL Resource Tracker (算OT費用)</t>
  </si>
  <si>
    <t>[INT] (NRE HC)HK3SB3 FIH RFQ reply_V1.0 220705(Submitted)</t>
  </si>
  <si>
    <t>[INT] P23 NPI NRE (HK3 SB3)-with cost</t>
  </si>
  <si>
    <t>[INT] TK4 EVT1.0 SOP</t>
  </si>
  <si>
    <t>FIH_IE/Rong-Hua.Qiu@丘榮華</t>
  </si>
  <si>
    <t>[FIH Backup] REV 1 of  P23 RFP HK3 SB3  (external) 220616</t>
  </si>
  <si>
    <t>[INT] TK4 EVT1.0 Process</t>
  </si>
  <si>
    <t>[INT] P23 NPI build est 220412</t>
  </si>
  <si>
    <t>[INT] FIH Operator retention rate</t>
  </si>
  <si>
    <t>FIH_OPM/Ken.ml.Ou@</t>
  </si>
  <si>
    <t>[INT]  P23 NPI NRE (HK3 SB3)</t>
  </si>
  <si>
    <t>(NRE HC)HK3SB3 FIH RFQ reply_V1.0 220919_NRE(Submitted) -- working sheet</t>
  </si>
  <si>
    <t>[EXT] P22 Build Guidelines</t>
  </si>
  <si>
    <t>G_SysTPM/tristanling@</t>
  </si>
  <si>
    <t>[EXT] P23 - FIH/Skywalker Team list</t>
  </si>
  <si>
    <t>G_EPM/ahmz@ (Ahmad Mumtaz)</t>
  </si>
  <si>
    <t>[INT] HK3 SB3 DFM Request MLB qty</t>
  </si>
  <si>
    <t>FIH_OPM/Anna.CC.Zhu@</t>
  </si>
  <si>
    <t xml:space="preserve">[INT] P23 LH NPI MVA updates HK3SB3NPI2208051100 (Submitted) </t>
  </si>
  <si>
    <t>[EXT] SB3 P1.0 Build Readiness Report</t>
  </si>
  <si>
    <t>G_EPM/lunchin@</t>
  </si>
  <si>
    <t>[INT]FIH SB3 Team Member List</t>
  </si>
  <si>
    <t>[Inetrnal][HK3] FIH Team Roster</t>
  </si>
  <si>
    <t>FIH_OPM/Vicky.y.Chen@</t>
  </si>
  <si>
    <t>[EXT]  P24  Pixel Build Readiness Checklist</t>
  </si>
  <si>
    <t>FIH_EPM/NicolasYLPang@</t>
  </si>
  <si>
    <t>[INT] SB3 Proto Build Plan &amp; Build Configs</t>
  </si>
  <si>
    <t>[EXT] Skywalker Management Visit on 20221107</t>
  </si>
  <si>
    <t>[EXT] Pixel Phone NPI Build Schedule shared with FIH</t>
  </si>
  <si>
    <t>G_MPM/deliaj@(Delia Juyue)</t>
  </si>
  <si>
    <t>DRI: Hero Chen (EPM)/Canny Zhou (LH OPM) / Jenna Thanh Tam (VN OPM)</t>
  </si>
  <si>
    <t>Version</t>
  </si>
  <si>
    <t>Change Description</t>
  </si>
  <si>
    <t>Author</t>
  </si>
  <si>
    <t>Remark</t>
  </si>
  <si>
    <t>V29</t>
  </si>
  <si>
    <t>更新MAC WIFI 號段（R欄位）</t>
  </si>
  <si>
    <t>OPM: Canny zhou</t>
  </si>
  <si>
    <t>龍華地區</t>
  </si>
  <si>
    <t>V28</t>
  </si>
  <si>
    <t xml:space="preserve">9/15 Cut in SW Sepr EMR apply for all SKU (117 SKU) : BD3A.250721.001.E1 </t>
  </si>
  <si>
    <t>OPM: Jenna</t>
  </si>
  <si>
    <t>V27</t>
  </si>
  <si>
    <t>9/15號 導入軟體:BD3A.250721.001.E1</t>
  </si>
  <si>
    <t>V26</t>
  </si>
  <si>
    <t>Adding new IMEI (TAC range) 300K for FL5 VN NA
Start range: 35 676628 340000x
End range: 35 676628 639999x
Old range: 
Start range: 35 676628 040000x
End range: 35 676628 999999x</t>
  </si>
  <si>
    <t>V25</t>
  </si>
  <si>
    <t>Cut in CA BOB AW rev C (8 SKU)</t>
  </si>
  <si>
    <t>ECO</t>
  </si>
  <si>
    <t>V24</t>
  </si>
  <si>
    <t>更新WIFI MAC 號段（Q&amp;R欄位）</t>
  </si>
  <si>
    <t>V23</t>
  </si>
  <si>
    <t>MP -CA料號 更新AQ欄位BOB圖檔 RvC，9/1號白班開始導入C版BOB圖檔</t>
  </si>
  <si>
    <t>V22</t>
  </si>
  <si>
    <t xml:space="preserve">更新 ROW出貨地 IMEI </t>
  </si>
  <si>
    <t>V21</t>
  </si>
  <si>
    <t xml:space="preserve">更新 JP 出貨地 IMEI </t>
  </si>
  <si>
    <t>V17</t>
  </si>
  <si>
    <t>更新WIFI MAC 號段（Q&amp;R欄位）及ROW地址 IMEI</t>
  </si>
  <si>
    <t>V20</t>
  </si>
  <si>
    <t xml:space="preserve">FL5 VN MAC range adding 500K
New: 
Start range: B0:D5:FB:C6:60:70
End range: B0:D5:FB:CE:01:8F
Old range: 
Start range: 64:9D:38:32:91:82
End range: 64:9D:38:37:25:61
</t>
  </si>
  <si>
    <t>V19</t>
  </si>
  <si>
    <t>7/21 cut in FRC_VZW regression in packing and zombie line ( 18sku) :BD1A.250702.001.A3</t>
  </si>
  <si>
    <t>V18</t>
  </si>
  <si>
    <t>7/21號 導入FRC_VZW regression 軟體:BD1A.250702.001.A3</t>
  </si>
  <si>
    <t>V16</t>
  </si>
  <si>
    <t>7/17號 導入 VZW FRC packing line 軟體:BD1A.250702.001 &amp; ROW IMEI</t>
  </si>
  <si>
    <t>V15</t>
  </si>
  <si>
    <t xml:space="preserve">7/10 VN cut in 117x SKU with FRC SW in packing line :BD1A.250702.001 + 12x SKU in Zombie line </t>
  </si>
  <si>
    <t>V14</t>
  </si>
  <si>
    <t>7/10號 導入non VZW FRC packing line 軟體:BD1A.250702.001</t>
  </si>
  <si>
    <t>V13</t>
  </si>
  <si>
    <t>導入non VZW FRC Zombie 軟體:BD1A.250702.001</t>
  </si>
  <si>
    <t>V12</t>
  </si>
  <si>
    <t>V10</t>
  </si>
  <si>
    <t>MP IN/JP料號 更新AQ欄位 retail 圖檔 RvB，6/30號白班開始導入B 版retai 圖檔</t>
  </si>
  <si>
    <t>V09</t>
  </si>
  <si>
    <t>更新 ROW 出貨地 IMEI &amp;所有料號WIFI 範圍</t>
  </si>
  <si>
    <t>V08</t>
  </si>
  <si>
    <t>Cut in SW RC for 80sku (retai + CLRN) for FL5 VN. 
BD1A.250527.003.A5
Android 16</t>
  </si>
  <si>
    <t>V07</t>
  </si>
  <si>
    <t>更新部分DEMO 及精品機大箱標籤（BA欄位）</t>
  </si>
  <si>
    <t>V06</t>
  </si>
  <si>
    <t>V05</t>
  </si>
  <si>
    <t>MP GB料號 更新AQ欄位 retail 圖檔 RvB，6/16號導入B 版retai 圖檔</t>
  </si>
  <si>
    <t>V04</t>
  </si>
  <si>
    <t>(1) Update Description內容 (AC column) for all Sales SKUs
(2) Update External Color Name (J column) for all Sales SKUs</t>
  </si>
  <si>
    <t>EPM:Hero Chen</t>
  </si>
  <si>
    <t>both for VN and LH.</t>
  </si>
  <si>
    <t>V03</t>
  </si>
  <si>
    <t>導入RC 軟體版本：BD1A.250527.003.A5</t>
  </si>
  <si>
    <t>V02</t>
  </si>
  <si>
    <t>Initial</t>
  </si>
  <si>
    <t>V01</t>
  </si>
  <si>
    <t>DRI: Hero Chen (EPM)/Miya Huang (OPM)</t>
  </si>
  <si>
    <t>Update Date</t>
  </si>
  <si>
    <t>Stage</t>
  </si>
  <si>
    <t>GFL (FL5)</t>
  </si>
  <si>
    <t>MP</t>
  </si>
  <si>
    <t>TTL 生產 SKU QTY:</t>
  </si>
  <si>
    <t>Cat.</t>
  </si>
  <si>
    <t>Config Q'ty</t>
  </si>
  <si>
    <t>Pristine</t>
  </si>
  <si>
    <t>Press- N (MKG)</t>
  </si>
  <si>
    <t>Refurb</t>
  </si>
  <si>
    <r>
      <rPr>
        <rFont val="Tahoma"/>
        <color rgb="FFFFFFFF"/>
        <sz val="8.0"/>
      </rPr>
      <t xml:space="preserve">多條件 xlookup </t>
    </r>
    <r>
      <rPr>
        <rFont val="Tahoma"/>
        <b/>
        <color rgb="FFFFFFFF"/>
        <sz val="8.0"/>
      </rPr>
      <t>=arrayformula</t>
    </r>
    <r>
      <rPr>
        <rFont val="Tahoma"/>
        <color rgb="FFFFFFFF"/>
        <sz val="8.0"/>
      </rPr>
      <t>(xlookup(BE</t>
    </r>
    <r>
      <rPr>
        <rFont val="Tahoma"/>
        <color rgb="FFFFFFFF"/>
        <sz val="8.0"/>
      </rPr>
      <t>&amp;</t>
    </r>
    <r>
      <rPr>
        <rFont val="Tahoma"/>
        <color rgb="FFFFFFFF"/>
        <sz val="8.0"/>
      </rPr>
      <t>E</t>
    </r>
    <r>
      <rPr>
        <rFont val="Tahoma"/>
        <b/>
        <color rgb="FFFFFFFF"/>
        <sz val="8.0"/>
      </rPr>
      <t>,</t>
    </r>
    <r>
      <rPr>
        <rFont val="Tahoma"/>
        <color rgb="FFFFFFFF"/>
        <sz val="8.0"/>
      </rPr>
      <t>'IMaster!E7:E</t>
    </r>
    <r>
      <rPr>
        <rFont val="Tahoma"/>
        <color rgb="FFFFFFFF"/>
        <sz val="8.0"/>
      </rPr>
      <t>&amp;</t>
    </r>
    <r>
      <rPr>
        <rFont val="Tahoma"/>
        <color rgb="FFFFFFFF"/>
        <sz val="8.0"/>
      </rPr>
      <t>'Master!G7:G</t>
    </r>
    <r>
      <rPr>
        <rFont val="Tahoma"/>
        <b/>
        <color rgb="FFFFFFFF"/>
        <sz val="8.0"/>
      </rPr>
      <t>,</t>
    </r>
    <r>
      <rPr>
        <rFont val="Tahoma"/>
        <color rgb="FFFFFFFF"/>
        <sz val="8.0"/>
      </rPr>
      <t>'Master'!AG7:AG,"No demand",0,1)))</t>
    </r>
  </si>
  <si>
    <t>IQ (VzW only)</t>
  </si>
  <si>
    <t>DEMO</t>
  </si>
  <si>
    <t>Corp ENG NCUs</t>
  </si>
  <si>
    <t>CLNR/FRU</t>
  </si>
  <si>
    <t>NFU</t>
  </si>
  <si>
    <t>Cancel</t>
  </si>
  <si>
    <t>foxconn-sz</t>
  </si>
  <si>
    <t>04:00:6E:C4:01:C2</t>
  </si>
  <si>
    <t>04:00:6E:C8:95:A1</t>
  </si>
  <si>
    <t>foxconn-vn</t>
  </si>
  <si>
    <t>64:9D:38:32:91:82
B0:D5:FB:C6:60:70</t>
  </si>
  <si>
    <t>64:9D:38:37:25:61
B0:D5:FB:CE:01:8F</t>
  </si>
  <si>
    <t>MP1.0</t>
  </si>
  <si>
    <t>Android 16</t>
  </si>
  <si>
    <t>ATT/TMO/VZN</t>
  </si>
  <si>
    <t xml:space="preserve"> ATT/TMO/VZW</t>
  </si>
  <si>
    <t>x</t>
  </si>
  <si>
    <t>SZ Label approve_M</t>
  </si>
  <si>
    <t>SZ Label approve_N</t>
  </si>
  <si>
    <t>ATT</t>
  </si>
  <si>
    <t>SZ Label approve_L</t>
  </si>
  <si>
    <t>CMFIHCN</t>
  </si>
  <si>
    <t>CMFIHVN</t>
  </si>
  <si>
    <t>CMFIHIN</t>
  </si>
  <si>
    <t>E</t>
  </si>
  <si>
    <t>N</t>
  </si>
  <si>
    <t>D</t>
  </si>
  <si>
    <t>C</t>
  </si>
  <si>
    <t>z</t>
  </si>
  <si>
    <t>AH</t>
  </si>
  <si>
    <t>AI</t>
  </si>
  <si>
    <t>[DRI: SW Ming]</t>
  </si>
  <si>
    <t>[zNext]</t>
  </si>
  <si>
    <t>DRI: OPM</t>
  </si>
  <si>
    <t>[OPM: Canny Zhou]</t>
  </si>
  <si>
    <t>[OPM: Jenna Thanh Tam]</t>
  </si>
  <si>
    <t>J</t>
  </si>
  <si>
    <t>Dobby_O</t>
  </si>
  <si>
    <t>Dobby_Q</t>
  </si>
  <si>
    <t>Dobby_M</t>
  </si>
  <si>
    <t>Dobby_N</t>
  </si>
  <si>
    <t>Dobby_K</t>
  </si>
  <si>
    <t>[Formula]</t>
  </si>
  <si>
    <t>[PIC: PLM]</t>
  </si>
  <si>
    <t>[Pappu_C]</t>
  </si>
  <si>
    <t>[Pappu_D]</t>
  </si>
  <si>
    <t>Others_G</t>
  </si>
  <si>
    <t>Others_H</t>
  </si>
  <si>
    <t>[IE: 黃曉冉]</t>
  </si>
  <si>
    <t>[IE: Mark Wu]</t>
  </si>
  <si>
    <t>[PE: 白家鳴]</t>
  </si>
  <si>
    <t>[BPM: Ike Hsieh]</t>
  </si>
  <si>
    <t>[務務: 李怡夢]</t>
  </si>
  <si>
    <t>[SKW BPM]</t>
  </si>
  <si>
    <t>#</t>
  </si>
  <si>
    <t>Purpose</t>
  </si>
  <si>
    <t>Packout 
Type</t>
  </si>
  <si>
    <t>Sales SKU</t>
  </si>
  <si>
    <t>SKU Name</t>
  </si>
  <si>
    <t>P-SKU</t>
  </si>
  <si>
    <t>RF Type</t>
  </si>
  <si>
    <t>Color Key</t>
  </si>
  <si>
    <t>External Color Name</t>
  </si>
  <si>
    <t>Color ID
(SFC/iFUSE)</t>
  </si>
  <si>
    <t>Model#
產品型號#</t>
  </si>
  <si>
    <t>TAC Region
出貨地</t>
  </si>
  <si>
    <r>
      <rPr>
        <rFont val="Tahoma"/>
        <b/>
        <color rgb="FFFFFF00"/>
        <sz val="13.0"/>
      </rPr>
      <t>LH</t>
    </r>
    <r>
      <rPr>
        <rFont val="Tahoma"/>
        <b/>
        <color rgb="FFFFFF00"/>
        <sz val="15.0"/>
      </rPr>
      <t xml:space="preserve"> </t>
    </r>
    <r>
      <rPr>
        <rFont val="Tahoma"/>
        <b/>
        <color rgb="FFFFFFFF"/>
        <sz val="10.0"/>
      </rPr>
      <t>TAC Range</t>
    </r>
  </si>
  <si>
    <r>
      <rPr>
        <rFont val="Tahoma"/>
        <b/>
        <color rgb="FFFFFF00"/>
        <sz val="13.0"/>
      </rPr>
      <t xml:space="preserve"> LH</t>
    </r>
    <r>
      <rPr>
        <rFont val="Tahoma"/>
        <b/>
        <color rgb="FFFFFFFF"/>
        <sz val="11.0"/>
      </rPr>
      <t xml:space="preserve"> </t>
    </r>
    <r>
      <rPr>
        <rFont val="Tahoma"/>
        <b/>
        <color rgb="FFFFFFFF"/>
        <sz val="10.0"/>
      </rPr>
      <t>TAC(IMEI)
 Start Range</t>
    </r>
  </si>
  <si>
    <r>
      <rPr>
        <rFont val="Tahoma"/>
        <b/>
        <color rgb="FFFFFF00"/>
        <sz val="15.0"/>
      </rPr>
      <t>LH</t>
    </r>
    <r>
      <rPr>
        <rFont val="Tahoma"/>
        <b/>
        <color rgb="FFFFFF00"/>
        <sz val="10.0"/>
      </rPr>
      <t xml:space="preserve"> </t>
    </r>
    <r>
      <rPr>
        <rFont val="Tahoma"/>
        <b/>
        <color rgb="FFFFFFFF"/>
        <sz val="10.0"/>
      </rPr>
      <t>TAC(IMEI)
 End Range</t>
    </r>
  </si>
  <si>
    <r>
      <rPr>
        <rFont val="Tahoma"/>
        <b/>
        <color rgb="FFFFFF00"/>
        <sz val="13.0"/>
      </rPr>
      <t xml:space="preserve">LH </t>
    </r>
    <r>
      <rPr>
        <rFont val="Tahoma"/>
        <b/>
        <color rgb="FFFFFFFF"/>
        <sz val="10.0"/>
      </rPr>
      <t>WiFi/BT
MAC Start Range</t>
    </r>
  </si>
  <si>
    <r>
      <rPr>
        <rFont val="Tahoma"/>
        <b/>
        <color rgb="FFFFFF00"/>
        <sz val="13.0"/>
      </rPr>
      <t xml:space="preserve">LH  </t>
    </r>
    <r>
      <rPr>
        <rFont val="Tahoma"/>
        <b/>
        <color rgb="FFFFFFFF"/>
        <sz val="10.0"/>
      </rPr>
      <t>WiFi/BT
MAC  End Range</t>
    </r>
  </si>
  <si>
    <r>
      <rPr>
        <rFont val="Tahoma"/>
        <b/>
        <color rgb="FFFFFF00"/>
        <sz val="13.0"/>
      </rPr>
      <t>VN</t>
    </r>
    <r>
      <rPr>
        <rFont val="Tahoma"/>
        <b/>
        <color rgb="FFFFFFFF"/>
        <sz val="13.0"/>
      </rPr>
      <t xml:space="preserve"> </t>
    </r>
    <r>
      <rPr>
        <rFont val="Tahoma"/>
        <b/>
        <color rgb="FFFFFFFF"/>
        <sz val="10.0"/>
      </rPr>
      <t>TAC Range</t>
    </r>
  </si>
  <si>
    <r>
      <rPr>
        <rFont val="Tahoma"/>
        <b/>
        <color rgb="FFFFFF00"/>
        <sz val="13.0"/>
      </rPr>
      <t>VN</t>
    </r>
    <r>
      <rPr>
        <rFont val="Tahoma"/>
        <b/>
        <color rgb="FFFFFFFF"/>
        <sz val="10.0"/>
      </rPr>
      <t xml:space="preserve"> TAC(IMEI)
 Start Range</t>
    </r>
  </si>
  <si>
    <r>
      <rPr>
        <rFont val="Tahoma"/>
        <b/>
        <color rgb="FFFFFF00"/>
        <sz val="13.0"/>
      </rPr>
      <t>VN</t>
    </r>
    <r>
      <rPr>
        <rFont val="Tahoma"/>
        <b/>
        <color rgb="FFFFFFFF"/>
        <sz val="13.0"/>
      </rPr>
      <t xml:space="preserve"> </t>
    </r>
    <r>
      <rPr>
        <rFont val="Tahoma"/>
        <b/>
        <color rgb="FFFFFFFF"/>
        <sz val="10.0"/>
      </rPr>
      <t>TAC(IMEI)
 End Range</t>
    </r>
  </si>
  <si>
    <r>
      <rPr>
        <rFont val="Tahoma"/>
        <b/>
        <color rgb="FFFFFF00"/>
        <sz val="13.0"/>
      </rPr>
      <t xml:space="preserve">VN </t>
    </r>
    <r>
      <rPr>
        <rFont val="Tahoma"/>
        <b/>
        <color rgb="FFFFFFFF"/>
        <sz val="10.0"/>
      </rPr>
      <t>WiFi/BT
MAC Start Range</t>
    </r>
  </si>
  <si>
    <r>
      <rPr>
        <rFont val="Tahoma"/>
        <b/>
        <color rgb="FFFFFF00"/>
        <sz val="13.0"/>
      </rPr>
      <t xml:space="preserve">VN </t>
    </r>
    <r>
      <rPr>
        <rFont val="Tahoma"/>
        <b/>
        <color rgb="FFFFFFFF"/>
        <sz val="10.0"/>
      </rPr>
      <t>WiFi/BT
MAC  End Range</t>
    </r>
  </si>
  <si>
    <t>HW Ver.
硬體版本</t>
  </si>
  <si>
    <t>G655
Software</t>
  </si>
  <si>
    <t>LH Android Ver.
安卓版本</t>
  </si>
  <si>
    <r>
      <rPr>
        <rFont val="Tahoma"/>
        <b/>
        <color rgb="FFFFFF00"/>
        <sz val="13.0"/>
      </rPr>
      <t>VN</t>
    </r>
    <r>
      <rPr>
        <rFont val="Tahoma"/>
        <b/>
        <color rgb="FFFFFFFF"/>
        <sz val="10.0"/>
      </rPr>
      <t xml:space="preserve"> Android Ver.
安卓版本</t>
    </r>
  </si>
  <si>
    <r>
      <rPr>
        <rFont val="Tahoma"/>
        <b/>
        <color rgb="FFFFFFFF"/>
        <sz val="10.0"/>
      </rPr>
      <t>Description _</t>
    </r>
    <r>
      <rPr>
        <rFont val="Tahoma"/>
        <b/>
        <color rgb="FF00FFFF"/>
        <sz val="10.0"/>
      </rPr>
      <t>20250407 (From zNEXT)</t>
    </r>
    <r>
      <rPr>
        <rFont val="Tahoma"/>
        <b/>
        <color rgb="FFFFFFFF"/>
        <sz val="10.0"/>
      </rPr>
      <t xml:space="preserve">
(關務備案內容)</t>
    </r>
  </si>
  <si>
    <r>
      <rPr>
        <rFont val="Tahoma"/>
        <b/>
        <color theme="1"/>
        <sz val="10.0"/>
      </rPr>
      <t>Description_</t>
    </r>
    <r>
      <rPr>
        <rFont val="Tahoma"/>
        <b/>
        <color theme="1"/>
        <sz val="10.0"/>
      </rPr>
      <t xml:space="preserve">20250612 (From zNEXT)
</t>
    </r>
    <r>
      <rPr>
        <rFont val="Tahoma"/>
        <b/>
        <color theme="1"/>
        <sz val="10.0"/>
      </rPr>
      <t xml:space="preserve">(關務備案內容) </t>
    </r>
  </si>
  <si>
    <r>
      <rPr>
        <rFont val="Tahoma"/>
        <b/>
        <color rgb="FFFFFF00"/>
        <sz val="13.0"/>
      </rPr>
      <t xml:space="preserve">LH </t>
    </r>
    <r>
      <rPr>
        <rFont val="Tahoma"/>
        <b/>
        <color rgb="FFFFFFFF"/>
        <sz val="13.0"/>
      </rPr>
      <t>Zombie 出貨軟體</t>
    </r>
  </si>
  <si>
    <r>
      <rPr>
        <rFont val="Tahoma"/>
        <b/>
        <color rgb="FFFFFF00"/>
        <sz val="13.0"/>
      </rPr>
      <t>LH</t>
    </r>
    <r>
      <rPr>
        <rFont val="Tahoma"/>
        <b/>
        <color rgb="FFFFFFFF"/>
        <sz val="13.0"/>
      </rPr>
      <t xml:space="preserve"> </t>
    </r>
    <r>
      <rPr>
        <rFont val="Tahoma"/>
        <b/>
        <color rgb="FFFFFFFF"/>
        <sz val="10.0"/>
      </rPr>
      <t>SW Version
 出貨 image 版本</t>
    </r>
  </si>
  <si>
    <t>VN Zombie 出貨軟體</t>
  </si>
  <si>
    <t>VN SW Version
 出貨 image 版本</t>
  </si>
  <si>
    <r>
      <rPr>
        <rFont val="Tahoma"/>
        <b/>
        <color rgb="FFFFFFFF"/>
        <sz val="10.0"/>
      </rPr>
      <t xml:space="preserve">WCC
</t>
    </r>
    <r>
      <rPr>
        <rFont val="Tahoma"/>
        <b/>
        <color rgb="FFFFFF00"/>
        <sz val="7.0"/>
      </rPr>
      <t>[WiFi Country Code]</t>
    </r>
  </si>
  <si>
    <t>MLB</t>
  </si>
  <si>
    <t>ANT4
(Mic3)</t>
  </si>
  <si>
    <t>CLB
(Mic1)</t>
  </si>
  <si>
    <t>CG</t>
  </si>
  <si>
    <t>BG</t>
  </si>
  <si>
    <t>GB
(XCVR GPN)</t>
  </si>
  <si>
    <t>G954
PKG Assy</t>
  </si>
  <si>
    <t>G962
Country Kit
(Accessry)</t>
  </si>
  <si>
    <r>
      <rPr>
        <rFont val="Tahoma"/>
        <b/>
        <color rgb="FFFFFF00"/>
        <sz val="14.0"/>
      </rPr>
      <t xml:space="preserve">LH </t>
    </r>
    <r>
      <rPr>
        <rFont val="Tahoma"/>
        <b/>
        <color rgb="FFFFFFFF"/>
        <sz val="10.0"/>
      </rPr>
      <t>BOB artowrk GPN（MP 使用帶字母版本）</t>
    </r>
  </si>
  <si>
    <r>
      <rPr>
        <rFont val="Tahoma"/>
        <b/>
        <color rgb="FFFFFF00"/>
        <sz val="14.0"/>
      </rPr>
      <t>LH</t>
    </r>
    <r>
      <rPr>
        <rFont val="Tahoma"/>
        <b/>
        <color rgb="FFFFFFFF"/>
        <sz val="10.0"/>
      </rPr>
      <t xml:space="preserve"> Retail artwok GPN（MP使用字母版本）</t>
    </r>
  </si>
  <si>
    <t>UFS</t>
  </si>
  <si>
    <t>eSIM</t>
  </si>
  <si>
    <t>Regulatory Engrave
手機中框垃圾桶</t>
  </si>
  <si>
    <t>COO 镭雕 (IN 鐳雕)
手機中框 Made in COO</t>
  </si>
  <si>
    <t>cSKU
(Carrier SKU)</t>
  </si>
  <si>
    <t>UPC Code-12</t>
  </si>
  <si>
    <t>EAN Code-13</t>
  </si>
  <si>
    <t>Unite/Carton
 紙箱包裝數量</t>
  </si>
  <si>
    <t>Master Carton Label
卡通標籤</t>
  </si>
  <si>
    <t>Pallet Label
棧板標籤</t>
  </si>
  <si>
    <r>
      <rPr>
        <rFont val="Tahoma"/>
        <b/>
        <color rgb="FFFFFF00"/>
        <sz val="16.0"/>
      </rPr>
      <t xml:space="preserve">VN </t>
    </r>
    <r>
      <rPr>
        <rFont val="Tahoma"/>
        <b/>
        <color rgb="FFFFFFFF"/>
        <sz val="10.0"/>
      </rPr>
      <t>BOB artowrk GPN</t>
    </r>
  </si>
  <si>
    <r>
      <rPr>
        <rFont val="Tahoma"/>
        <b/>
        <color rgb="FFFFFF00"/>
        <sz val="16.0"/>
      </rPr>
      <t>VN</t>
    </r>
    <r>
      <rPr>
        <rFont val="Tahoma"/>
        <b/>
        <color rgb="FFFFFFFF"/>
        <sz val="16.0"/>
      </rPr>
      <t xml:space="preserve"> </t>
    </r>
    <r>
      <rPr>
        <rFont val="Tahoma"/>
        <b/>
        <color rgb="FFFFFFFF"/>
        <sz val="10.0"/>
      </rPr>
      <t>Retail artwok GPN</t>
    </r>
  </si>
  <si>
    <t>G670
SIM Card in device
Sim卡裝手機</t>
  </si>
  <si>
    <r>
      <rPr>
        <rFont val="Tahoma"/>
        <b/>
        <color rgb="FFFFFF00"/>
        <sz val="15.0"/>
      </rPr>
      <t xml:space="preserve">LH </t>
    </r>
    <r>
      <rPr>
        <rFont val="Tahoma"/>
        <b/>
        <color rgb="FFFFFFFF"/>
        <sz val="10.0"/>
      </rPr>
      <t>SFC Routing
SFC 路由名稱</t>
    </r>
  </si>
  <si>
    <r>
      <rPr>
        <rFont val="Tahoma"/>
        <b/>
        <color rgb="FFFFFF00"/>
        <sz val="14.0"/>
      </rPr>
      <t>VN</t>
    </r>
    <r>
      <rPr>
        <rFont val="Tahoma"/>
        <b/>
        <color rgb="FFFFFFFF"/>
        <sz val="10.0"/>
      </rPr>
      <t xml:space="preserve"> SFC Routing
SFC 路由名稱</t>
    </r>
  </si>
  <si>
    <t>建BOM 並維護SAP日期</t>
  </si>
  <si>
    <t>中文
品名</t>
  </si>
  <si>
    <t>提交核價日期</t>
  </si>
  <si>
    <r>
      <rPr>
        <rFont val="Tahoma"/>
        <b/>
        <color rgb="FFFFFF00"/>
        <sz val="15.0"/>
      </rPr>
      <t>LH</t>
    </r>
    <r>
      <rPr>
        <rFont val="Tahoma"/>
        <b/>
        <color rgb="FFFFFFFF"/>
        <sz val="10.0"/>
      </rPr>
      <t xml:space="preserve">
報關預備案 Status</t>
    </r>
  </si>
  <si>
    <r>
      <rPr>
        <rFont val="Tahoma"/>
        <b/>
        <color rgb="FFFFFF00"/>
        <sz val="13.0"/>
      </rPr>
      <t>LH</t>
    </r>
    <r>
      <rPr>
        <rFont val="Tahoma"/>
        <b/>
        <color rgb="FFFFFF00"/>
        <sz val="11.0"/>
      </rPr>
      <t xml:space="preserve"> </t>
    </r>
    <r>
      <rPr>
        <rFont val="Tahoma"/>
        <b/>
        <color rgb="FFFFFFFF"/>
        <sz val="8.0"/>
      </rPr>
      <t>The 1st 
ex-LH Date (IOQ3+NCU)
 第一次出貨目標日</t>
    </r>
  </si>
  <si>
    <r>
      <rPr>
        <rFont val="Tahoma"/>
        <b/>
        <color rgb="FFFFFF00"/>
        <sz val="14.0"/>
      </rPr>
      <t>VN</t>
    </r>
    <r>
      <rPr>
        <rFont val="Tahoma"/>
        <b/>
        <color rgb="FFFFFF00"/>
        <sz val="8.0"/>
      </rPr>
      <t xml:space="preserve"> </t>
    </r>
    <r>
      <rPr>
        <rFont val="Tahoma"/>
        <b/>
        <color rgb="FFFFFFFF"/>
        <sz val="8.0"/>
      </rPr>
      <t>The 1st 
ex-LH Date (IOQ3+NCU)
 第一次出貨目標日</t>
    </r>
  </si>
  <si>
    <r>
      <rPr>
        <rFont val="Tahoma"/>
        <b/>
        <color rgb="FFFFFF00"/>
        <sz val="12.0"/>
      </rPr>
      <t xml:space="preserve">IN </t>
    </r>
    <r>
      <rPr>
        <rFont val="Tahoma"/>
        <b/>
        <color rgb="FFFFFFFF"/>
        <sz val="8.0"/>
      </rPr>
      <t>The 1st 
ex-LH Date (IOQ3+NCU)
 第一次出貨目標日</t>
    </r>
  </si>
  <si>
    <r>
      <rPr>
        <rFont val="Tahoma"/>
        <b/>
        <color rgb="FFFFFF00"/>
        <sz val="14.0"/>
      </rPr>
      <t>LH</t>
    </r>
    <r>
      <rPr>
        <rFont val="Tahoma"/>
        <b/>
        <color rgb="FFFFFF00"/>
        <sz val="10.0"/>
      </rPr>
      <t xml:space="preserve"> </t>
    </r>
    <r>
      <rPr>
        <rFont val="Tahoma"/>
        <b/>
        <color rgb="FFFFFFFF"/>
        <sz val="10.0"/>
      </rPr>
      <t>MRP 模板
GPN</t>
    </r>
  </si>
  <si>
    <r>
      <rPr>
        <rFont val="Tahoma"/>
        <b/>
        <color rgb="FFFFFF00"/>
        <sz val="14.0"/>
      </rPr>
      <t>VN</t>
    </r>
    <r>
      <rPr>
        <rFont val="Tahoma"/>
        <b/>
        <color rgb="FFFFFF00"/>
        <sz val="8.0"/>
      </rPr>
      <t xml:space="preserve"> </t>
    </r>
    <r>
      <rPr>
        <rFont val="Tahoma"/>
        <b/>
        <color rgb="FFFFFFFF"/>
        <sz val="8.0"/>
      </rPr>
      <t>MRP 模板
GPN</t>
    </r>
  </si>
  <si>
    <t>Demo mode</t>
  </si>
  <si>
    <t>Retail Pack</t>
  </si>
  <si>
    <t>GA09425-US</t>
  </si>
  <si>
    <t>VZW, US</t>
  </si>
  <si>
    <t>UVZ</t>
  </si>
  <si>
    <t>CLR1</t>
  </si>
  <si>
    <t>04:00:6E:C4:01:C2
64:9D:38:C7:BC:9E
64:9D:38:DE:9F:FE
64:9D:38:EC:5B:9E
B0:D5:FB:A3:48:10
34:39:16:36:EE:80
B0:D5:FB:DD:43:D0
34:39:16:5D:00:FC
30:E0:44:6D:2C:72</t>
  </si>
  <si>
    <t>04:00:6E:C8:95:A1
64:9D:38:CC:50:7D
64:9D:38:E3:33:DD
64:9D:38:F0:EF:7D
B0:D5:FB:AA:E9:2F
34:39:16:3C:A3:6F
B0:D5:FB:DF:2F:FF
34:39:16:64:A2:1B
30:E0:44:74:CD:91</t>
  </si>
  <si>
    <t>SKU, CLR1, GOOD, MMWAVE, VZW, US, FL5</t>
  </si>
  <si>
    <t>Pixel 10, Obsidian, 128GB, VZW, US</t>
  </si>
  <si>
    <t>BD1A.250702.001.A3</t>
  </si>
  <si>
    <t>BD3A.250721.001.E1</t>
  </si>
  <si>
    <t>128GB</t>
  </si>
  <si>
    <t>840353926844</t>
  </si>
  <si>
    <t>0840353926844</t>
  </si>
  <si>
    <t>FL5-MP-彩盒包</t>
  </si>
  <si>
    <t>FL5-MP-Colorbox</t>
  </si>
  <si>
    <t>GA10238-US</t>
  </si>
  <si>
    <t>CLR2</t>
  </si>
  <si>
    <t>SKU, CLR2, GOOD, MMWAVE, VZW, US, FL5</t>
  </si>
  <si>
    <t>Pixel 10, Frost, 128GB, VZW, US</t>
  </si>
  <si>
    <t>840353926851</t>
  </si>
  <si>
    <t>0840353926851</t>
  </si>
  <si>
    <t>GA10239-US</t>
  </si>
  <si>
    <t>CLR3</t>
  </si>
  <si>
    <t>SKU, CLR3, GOOD, MMWAVE, VZW, US, FL5</t>
  </si>
  <si>
    <t>Pixel 10, Lemongrass, 128GB, VZW, US</t>
  </si>
  <si>
    <t>840353926875</t>
  </si>
  <si>
    <t>0840353926875</t>
  </si>
  <si>
    <t>GA10240-US</t>
  </si>
  <si>
    <t>CLR4</t>
  </si>
  <si>
    <t>SKU, CLR4, GOOD, MMWAVE, VZW, US, FL5</t>
  </si>
  <si>
    <t>Pixel 10, Indigo, 128GB, VZW, US</t>
  </si>
  <si>
    <t>840353926868</t>
  </si>
  <si>
    <t>0840353926868</t>
  </si>
  <si>
    <t>GA09861-US</t>
  </si>
  <si>
    <t>AT&amp;T, US</t>
  </si>
  <si>
    <t>UAT</t>
  </si>
  <si>
    <t>SKU, CLR1, GOOD, MMWAVE, AT&amp;T, US, FL5</t>
  </si>
  <si>
    <t>Pixel 10, Obsidian, 128GB, AT&amp;T, US</t>
  </si>
  <si>
    <t>BD1A.250702.001</t>
  </si>
  <si>
    <t>6990E</t>
  </si>
  <si>
    <t>840353926400</t>
  </si>
  <si>
    <t>0840353926400</t>
  </si>
  <si>
    <t>GA10246-US</t>
  </si>
  <si>
    <t>SKU, CLR4, GOOD, MMWAVE, AT&amp;T, US, FL5</t>
  </si>
  <si>
    <t>Pixel 10, Indigo, 128GB, AT&amp;T, US</t>
  </si>
  <si>
    <t>6991E</t>
  </si>
  <si>
    <t>840353926431</t>
  </si>
  <si>
    <t>0840353926431</t>
  </si>
  <si>
    <t>GA09862-US</t>
  </si>
  <si>
    <t>TMO, US</t>
  </si>
  <si>
    <t>UTM</t>
  </si>
  <si>
    <t>SKU, CLR1, GOOD, MMWAVE, TMO, US, FL5</t>
  </si>
  <si>
    <t>Pixel 10, Obsidian, 128GB, TMO, US</t>
  </si>
  <si>
    <t>840353926684</t>
  </si>
  <si>
    <t>0840353926684</t>
  </si>
  <si>
    <t>GA10252-US</t>
  </si>
  <si>
    <t>SKU, CLR4, GOOD, MMWAVE, Tmobile, US, FL5</t>
  </si>
  <si>
    <t>Pixel 10, Indigo, 128GB, TMO, US</t>
  </si>
  <si>
    <t>840353926691</t>
  </si>
  <si>
    <t>0840353926691</t>
  </si>
  <si>
    <t>GA09744-US</t>
  </si>
  <si>
    <t>GSTORE, US</t>
  </si>
  <si>
    <t>UGS</t>
  </si>
  <si>
    <t>SKU, CLR1, GOOD, MMWAVE, GSTORE, US, FL5</t>
  </si>
  <si>
    <t>Pixel 10, Obsidian, 128GB, GSTORE, US</t>
  </si>
  <si>
    <t>840353926769</t>
  </si>
  <si>
    <t>0840353926769</t>
  </si>
  <si>
    <t>GA10214-US</t>
  </si>
  <si>
    <t>SKU, CLR2, GOOD, MMWAVE, Gstore, US, FL5</t>
  </si>
  <si>
    <t>Pixel 10, Frost, 128GB, GSTORE, US</t>
  </si>
  <si>
    <t>840353926776</t>
  </si>
  <si>
    <t>0840353926776</t>
  </si>
  <si>
    <t>GA10215-US</t>
  </si>
  <si>
    <t>SKU, CLR3, GOOD, MMWAVE, Gstore, US, FL5</t>
  </si>
  <si>
    <t>Pixel 10, Lemongrass, 128GB, GSTORE, US</t>
  </si>
  <si>
    <t>840353926790</t>
  </si>
  <si>
    <t>0840353926790</t>
  </si>
  <si>
    <t>GA10216-US</t>
  </si>
  <si>
    <t>SKU, CLR4, GOOD, MMWAVE, Gstore, US, FL5</t>
  </si>
  <si>
    <t>Pixel 10, Indigo, 128GB, GSTORE, US</t>
  </si>
  <si>
    <t>840353926783</t>
  </si>
  <si>
    <t>0840353926783</t>
  </si>
  <si>
    <t>GA09744-CA</t>
  </si>
  <si>
    <t>CA/TW/SG/MY/AU/MX</t>
  </si>
  <si>
    <t>NCA</t>
  </si>
  <si>
    <t>35 440766 070000
35 440766 370000
35 440766 670000
35 815482 000000
35 815482 300000</t>
  </si>
  <si>
    <t>35 440766 999999
35 440766 669999
35 440766 999999
35 815482 299999
35 815482 599999</t>
  </si>
  <si>
    <t>SKU, CLR1, GOOD, SUB6, CA/TW/SG/MY/AU/MX, FL5</t>
  </si>
  <si>
    <t>Pixel 10, Obsidian, 128GB, CA/TW/SG/MY/AU/MX</t>
  </si>
  <si>
    <t>G990-08483-11-C</t>
  </si>
  <si>
    <t>G990-09561-00-01
G990-09561-00-A</t>
  </si>
  <si>
    <t>840353926882</t>
  </si>
  <si>
    <t>0840353926882</t>
  </si>
  <si>
    <t>G990-08484-11-04
G990-08484-11-C</t>
  </si>
  <si>
    <t>FL5-MP-彩盒包+鐳雕SIM</t>
  </si>
  <si>
    <t>FL5-MP-Colorbox+laserSIM</t>
  </si>
  <si>
    <t>GA10214-CA</t>
  </si>
  <si>
    <t>SKU, CLR2, GOOD, SUB6, CA/TW/SG/MY/AU/MX, FL5</t>
  </si>
  <si>
    <t>Pixel 10, Frost, 128GB, CA/TW/SG/MY/AU/MX</t>
  </si>
  <si>
    <t>G990-08483-21-C</t>
  </si>
  <si>
    <t>840353926998</t>
  </si>
  <si>
    <t>0840353926998</t>
  </si>
  <si>
    <t>G990-08484-21-04
G990-08484-21-C</t>
  </si>
  <si>
    <t>GA10215-CA</t>
  </si>
  <si>
    <t>SKU, CLR3, GOOD, SUB6, CA/TW/SG/MY/AU/MX, FL5</t>
  </si>
  <si>
    <t>Pixel 10, Lemongrass, 128GB, CA/TW/SG/MY/AU/MX</t>
  </si>
  <si>
    <t>G990-08483-31-C</t>
  </si>
  <si>
    <t>840353926950</t>
  </si>
  <si>
    <t>0840353926950</t>
  </si>
  <si>
    <t>G990-08484-31-04
G990-08484-31-C</t>
  </si>
  <si>
    <t>GA10216-CA</t>
  </si>
  <si>
    <t>SKU, CLR4, GOOD, SUB6, CA/TW/SG/MY/AU/MX, FL5</t>
  </si>
  <si>
    <t>Pixel 10, Indigo, 128GB, CA/TW/SG/MY/AU/MX</t>
  </si>
  <si>
    <t>G990-08483-41-C</t>
  </si>
  <si>
    <t>840353926967</t>
  </si>
  <si>
    <t>0840353926967</t>
  </si>
  <si>
    <t>G990-08484-41-04
G990-08484-41-C</t>
  </si>
  <si>
    <t>GA09744-GB</t>
  </si>
  <si>
    <t>UK/EU</t>
  </si>
  <si>
    <t>EMA</t>
  </si>
  <si>
    <t>SKU, CLR1, GOOD, SUB6, UK/EU, FL5</t>
  </si>
  <si>
    <t>Pixel 10, Obsidian, 128GB, UK/EU</t>
  </si>
  <si>
    <t>G990-08489-11-05
G990-08489-11-B</t>
  </si>
  <si>
    <t>G990-09563-00-A
G990-09563-00-B</t>
  </si>
  <si>
    <t>840353926905</t>
  </si>
  <si>
    <t>0840353926905</t>
  </si>
  <si>
    <t>GA10214-GB</t>
  </si>
  <si>
    <t>SKU, CLR2, GOOD, SUB6, EU/UK, FL5</t>
  </si>
  <si>
    <t>Pixel 10, Frost, 128GB, UK/EU</t>
  </si>
  <si>
    <t>G990-08489-21-05
G990-08489-21-B</t>
  </si>
  <si>
    <t>840353926943</t>
  </si>
  <si>
    <t>0840353926943</t>
  </si>
  <si>
    <t>GA10215-GB</t>
  </si>
  <si>
    <t>SKU, CLR3, GOOD, SUB6, EU/UK, FL5</t>
  </si>
  <si>
    <t>Pixel 10, Lemongrass, 128GB, UK/EU</t>
  </si>
  <si>
    <t>G990-08489-31-05
G990-08489-31-B</t>
  </si>
  <si>
    <t>840353926929</t>
  </si>
  <si>
    <t>0840353926929</t>
  </si>
  <si>
    <t>GA10216-GB</t>
  </si>
  <si>
    <t>SKU, CLR4, GOOD, SUB6, EU/UK, FL5</t>
  </si>
  <si>
    <t>Pixel 10, Indigo, 128GB, UK/EU</t>
  </si>
  <si>
    <t>G990-08489-41-05
G990-08489-41-B</t>
  </si>
  <si>
    <t>840353926981</t>
  </si>
  <si>
    <t>0840353926981</t>
  </si>
  <si>
    <t>GA09744-JP</t>
  </si>
  <si>
    <t>JP</t>
  </si>
  <si>
    <t>AJP</t>
  </si>
  <si>
    <t>35 416229 020000x
35 416229 320000x
35 416229 620000x</t>
  </si>
  <si>
    <t>35 416229 999999x
35 416229 619999x
35 416229 999999x</t>
  </si>
  <si>
    <t>SKU, CLR1, GOOD, SUB6, JP, FL5</t>
  </si>
  <si>
    <t>Pixel 10, Obsidian, 128GB, JP</t>
  </si>
  <si>
    <t>G990-08485-11-03-
G990-08485-11-B</t>
  </si>
  <si>
    <t>G990-09562-00-A
G990-09562-00-B</t>
  </si>
  <si>
    <t>840353926899</t>
  </si>
  <si>
    <t>0840353926899</t>
  </si>
  <si>
    <t>GA10214-JP</t>
  </si>
  <si>
    <t>SKU, CLR2, GOOD, SUB6, JP, FL5</t>
  </si>
  <si>
    <t>Pixel 10, Frost, 128GB, JP</t>
  </si>
  <si>
    <t>G990-08485-21-03
G990-08485-21-B</t>
  </si>
  <si>
    <t>840353926974</t>
  </si>
  <si>
    <t>0840353926974</t>
  </si>
  <si>
    <t>GA10215-JP</t>
  </si>
  <si>
    <t>SKU, CLR3, GOOD, SUB6, JP, FL5</t>
  </si>
  <si>
    <t>Pixel 10, Lemongrass, 128GB, JP</t>
  </si>
  <si>
    <t>G990-08485-31-03
G990-08485-31-B</t>
  </si>
  <si>
    <t>840353926912</t>
  </si>
  <si>
    <t>0840353926912</t>
  </si>
  <si>
    <t>GA10216-JP</t>
  </si>
  <si>
    <t>SKU, CLR4, GOOD, SUB6, JP, FL5</t>
  </si>
  <si>
    <t>Pixel 10, Indigo, 128GB, JP</t>
  </si>
  <si>
    <t>G990-08485-41-03
G990-08485-41-B</t>
  </si>
  <si>
    <t>840353926936</t>
  </si>
  <si>
    <t>0840353926936</t>
  </si>
  <si>
    <t>GA09744-IN</t>
  </si>
  <si>
    <t>IN</t>
  </si>
  <si>
    <t>SKU, CLR1, GOOD, SUB6, IN, FL5</t>
  </si>
  <si>
    <t>TBD</t>
  </si>
  <si>
    <t>[20250410]: PLM cancel.</t>
  </si>
  <si>
    <t>GA10214-IN</t>
  </si>
  <si>
    <t>SKU, CLR2, GOOD, SUB6, IN, FL5</t>
  </si>
  <si>
    <t>GA10215-IN</t>
  </si>
  <si>
    <t>SKU, CLR3, GOOD, SUB6, IN, FL5</t>
  </si>
  <si>
    <t>GA10216-IN</t>
  </si>
  <si>
    <t>SKU, CLR4, GOOD, SUB6, IN, FL5</t>
  </si>
  <si>
    <t>GA09880-US</t>
  </si>
  <si>
    <t>SKU, CLR1, BETTER, MMWAVE, VZW, US, FL5</t>
  </si>
  <si>
    <t>Pixel 10, Obsidian, 256GB, VZW, US</t>
  </si>
  <si>
    <t>256GB</t>
  </si>
  <si>
    <t>840353926486</t>
  </si>
  <si>
    <t>0840353926486</t>
  </si>
  <si>
    <t>GA10243-US</t>
  </si>
  <si>
    <t>SKU, CLR4, BETTER, MMWAVE, VZW, US, FL5</t>
  </si>
  <si>
    <t>Pixel 10, Indigo, 256GB, VZW, US</t>
  </si>
  <si>
    <t>840353926493</t>
  </si>
  <si>
    <t>0840353926493</t>
  </si>
  <si>
    <t>GA09882-US</t>
  </si>
  <si>
    <t>SKU, CLR1, BETTER, MMWAVE, TMO, US, FL5</t>
  </si>
  <si>
    <t>Pixel 10, Obsidian, 256GB, TMO, US</t>
  </si>
  <si>
    <t>840353926721</t>
  </si>
  <si>
    <t>0840353926721</t>
  </si>
  <si>
    <t>GA09883-US</t>
  </si>
  <si>
    <t>SKU, CLR1, BETTER, MMWAVE, GSTORE, US, FL5</t>
  </si>
  <si>
    <t>Pixel 10, Obsidian, 256GB, GSTORE, US</t>
  </si>
  <si>
    <t>840353926806</t>
  </si>
  <si>
    <t>0840353926806</t>
  </si>
  <si>
    <t>GA10217-US</t>
  </si>
  <si>
    <t>SKU, CLR2, BETTER, MMWAVE, Gstore, US, FL5</t>
  </si>
  <si>
    <t>Pixel 10, Frost, 256GB, GSTORE, US</t>
  </si>
  <si>
    <t>840353926813</t>
  </si>
  <si>
    <t>0840353926813</t>
  </si>
  <si>
    <t>GA10218-US</t>
  </si>
  <si>
    <t>SKU, CLR3, BETTER, MMWAVE, Gstore, US, FL5</t>
  </si>
  <si>
    <t>Pixel 10, Lemongrass, 256GB, GSTORE, US</t>
  </si>
  <si>
    <t>840353926837</t>
  </si>
  <si>
    <t>0840353926837</t>
  </si>
  <si>
    <t>GA10219-US</t>
  </si>
  <si>
    <t>SKU, CLR4, BETTER, MMWAVE, Gstore, US, FL5</t>
  </si>
  <si>
    <t>Pixel 10, Indigo, 256GB, GSTORE, US</t>
  </si>
  <si>
    <t>840353926820</t>
  </si>
  <si>
    <t>0840353926820</t>
  </si>
  <si>
    <t>GA09883-CA</t>
  </si>
  <si>
    <t>SKU, CLR1, BETTER, SUB6, CA/TW/SG/AU/MY/MX, FL5</t>
  </si>
  <si>
    <t>Pixel 10, Obsidian, 256GB, CA/TW/SG/AU/MY/MX</t>
  </si>
  <si>
    <t>G990-08483-12-C</t>
  </si>
  <si>
    <t>840353926530</t>
  </si>
  <si>
    <t>0840353926530</t>
  </si>
  <si>
    <t>G990-08484-12-04
G990-08484-12-C</t>
  </si>
  <si>
    <t>GA10217-CA</t>
  </si>
  <si>
    <t>SKU, CLR2, BETTER, SUB6, CA/TW/SG/MY/AU/MX, FL5</t>
  </si>
  <si>
    <t>Pixel 10, Frost, 256GB, CA/TW/SG/MY/AU/MX</t>
  </si>
  <si>
    <t>G990-08483-22-C</t>
  </si>
  <si>
    <t>840353926615</t>
  </si>
  <si>
    <t>0840353926615</t>
  </si>
  <si>
    <t>G990-08484-22-04
G990-08484-22-C</t>
  </si>
  <si>
    <t>GA10218-CA</t>
  </si>
  <si>
    <t>SKU, CLR3, BETTER, SUB6, CA/TW/SG/MY/AU/MX, FL5</t>
  </si>
  <si>
    <t>Pixel 10, Lemongrass, 256GB, CA/TW/SG/MY/AU/MX</t>
  </si>
  <si>
    <t>G990-08483-32-C</t>
  </si>
  <si>
    <t>840353926653</t>
  </si>
  <si>
    <t>0840353926653</t>
  </si>
  <si>
    <t>G990-08484-32-04
G990-08484-32-C</t>
  </si>
  <si>
    <t>GA10219-CA</t>
  </si>
  <si>
    <t>SKU, CLR4, BETTER, SUB6, CA/TW/SG/MY/AU/MX, FL5</t>
  </si>
  <si>
    <t>Pixel 10, Indigo, 256GB, CA/TW/SG/MY/AU/MX</t>
  </si>
  <si>
    <t>G990-08483-42-C</t>
  </si>
  <si>
    <t>840353926622</t>
  </si>
  <si>
    <t>0840353926622</t>
  </si>
  <si>
    <t>G990-08484-42-04
G990-08484-42-C</t>
  </si>
  <si>
    <t>GA09883-GB</t>
  </si>
  <si>
    <t>SKU, CLR1, BETTER, SUB6, EU/UK, FL5</t>
  </si>
  <si>
    <t>Pixel 10, Obsidian, 256GB, UK/EU</t>
  </si>
  <si>
    <t>G990-08489-12-05
G990-08489-12-B</t>
  </si>
  <si>
    <t>840353926547</t>
  </si>
  <si>
    <t>0840353926547</t>
  </si>
  <si>
    <t>GA10217-GB</t>
  </si>
  <si>
    <t>SKU, CLR2, BETTER, SUB6, EU/UK, FL5</t>
  </si>
  <si>
    <t>Pixel 10, Frost, 256GB, UK/EU</t>
  </si>
  <si>
    <t>G990-08489-22-05
G990-08489-22-B</t>
  </si>
  <si>
    <t>840353926646</t>
  </si>
  <si>
    <t>0840353926646</t>
  </si>
  <si>
    <t>GA10218-GB</t>
  </si>
  <si>
    <t>SKU, CLR3, BETTER, SUB6, EU/UK, FL5</t>
  </si>
  <si>
    <t>Pixel 10, Lemongrass, 256GB, UK/EU</t>
  </si>
  <si>
    <t>G990-08489-32-05
G990-08489-32-B</t>
  </si>
  <si>
    <t>840353926639</t>
  </si>
  <si>
    <t>0840353926639</t>
  </si>
  <si>
    <t>GA10219-GB</t>
  </si>
  <si>
    <t>SKU, CLR4, BETTER, SUB6, EU/UK, FL5</t>
  </si>
  <si>
    <t>Pixel 10, Indigo, 256GB, UK/EU</t>
  </si>
  <si>
    <t>G990-08489-42-05
G990-08489-42-B</t>
  </si>
  <si>
    <t>840353926608</t>
  </si>
  <si>
    <t>0840353926608</t>
  </si>
  <si>
    <t>GA09883-IN</t>
  </si>
  <si>
    <t>SKU, CLR1, BETTER, SUB6, IN, FL5</t>
  </si>
  <si>
    <t>Pixel 10, Obsidian, 256GB, IN</t>
  </si>
  <si>
    <t>G990-08487-12-03
G990-08487-12-B</t>
  </si>
  <si>
    <t>840353926523</t>
  </si>
  <si>
    <t>0840353926523</t>
  </si>
  <si>
    <t>GA10217-IN</t>
  </si>
  <si>
    <t>SKU, CLR2, BETTER, SUB6, IN, FL5</t>
  </si>
  <si>
    <t>Pixel 10, Frost, 256GB, IN</t>
  </si>
  <si>
    <t>G990-08487-22-03
G990-08487-22-B</t>
  </si>
  <si>
    <t>840353926585</t>
  </si>
  <si>
    <t>0840353926585</t>
  </si>
  <si>
    <t>GA10218-IN</t>
  </si>
  <si>
    <t>SKU, CLR3, BETTER, SUB6, IN, FL5</t>
  </si>
  <si>
    <t>Pixel 10, Lemongrass, 256GB, IN</t>
  </si>
  <si>
    <t>G990-08487-32-03
G990-08487-32-B</t>
  </si>
  <si>
    <t>840353926592</t>
  </si>
  <si>
    <t>0840353926592</t>
  </si>
  <si>
    <t>GA10219-IN</t>
  </si>
  <si>
    <t>SKU, CLR4, BETTER, SUB6, IN, FL5</t>
  </si>
  <si>
    <t>Pixel 10, Indigo, 256GB, IN</t>
  </si>
  <si>
    <t>G990-08487-42-03
G990-08487-42-B</t>
  </si>
  <si>
    <t>840353926677</t>
  </si>
  <si>
    <t>0840353926677</t>
  </si>
  <si>
    <t>GA09883-JP</t>
  </si>
  <si>
    <t>SKU, CLR1, BETTER, SUB6, JP, FL5</t>
  </si>
  <si>
    <t>Pixel 10, Obsidian, 256GB, JP</t>
  </si>
  <si>
    <t>G990-08485-12-03
G990-08485-12-B</t>
  </si>
  <si>
    <t>840353926554</t>
  </si>
  <si>
    <t>0840353926554</t>
  </si>
  <si>
    <t>GA10217-JP</t>
  </si>
  <si>
    <t>SKU, CLR2, BETTER, SUB6, JP, FL5</t>
  </si>
  <si>
    <t>Pixel 10, Frost, 256GB, JP</t>
  </si>
  <si>
    <t>G990-08485-22-03
G990-08485-22-B</t>
  </si>
  <si>
    <t>840353926660</t>
  </si>
  <si>
    <t>0840353926660</t>
  </si>
  <si>
    <t>GA10218-JP</t>
  </si>
  <si>
    <t>SKU, CLR3, BETTER, SUB6, JP, FL5</t>
  </si>
  <si>
    <t>Pixel 10, Lemongrass, 256GB, JP</t>
  </si>
  <si>
    <t>G990-08485-32-03
G990-08485-32-B</t>
  </si>
  <si>
    <t>840353926578</t>
  </si>
  <si>
    <t>0840353926578</t>
  </si>
  <si>
    <t>GA10219-JP</t>
  </si>
  <si>
    <t>SKU, CLR4, BETTER, SUB6, JP, FL5</t>
  </si>
  <si>
    <t>Pixel 10, Indigo, 256GB, JP</t>
  </si>
  <si>
    <t>G990-08485-42-03
G990-08485-42-B</t>
  </si>
  <si>
    <t>840353926561</t>
  </si>
  <si>
    <t>0840353926561</t>
  </si>
  <si>
    <t>IQGA09425-US</t>
  </si>
  <si>
    <t>SKU, CLR1, GOOD, MMWAVE, VZW, US, IQ, FL5</t>
  </si>
  <si>
    <t>Pixel 10, Obsidian, 128GB, VZW, US, IQ</t>
  </si>
  <si>
    <t>840353928350</t>
  </si>
  <si>
    <t>0840353928350</t>
  </si>
  <si>
    <t>IQGA10238-US</t>
  </si>
  <si>
    <t>SKU, CLR2, GOOD, MMWAVE, VZW, US, IQ, FL5</t>
  </si>
  <si>
    <t>Pixel 10, Frost, 128GB, VZW, US, IQ</t>
  </si>
  <si>
    <t>840353928367</t>
  </si>
  <si>
    <t>0840353928367</t>
  </si>
  <si>
    <t>IQGA10239-US</t>
  </si>
  <si>
    <t>SKU, CLR3, GOOD, MMWAVE, VZW, US, IQ, FL5</t>
  </si>
  <si>
    <t>Pixel 10, Lemongrass, 128GB, VZW, US, IQ</t>
  </si>
  <si>
    <t>840353928329</t>
  </si>
  <si>
    <t>0840353928329</t>
  </si>
  <si>
    <t>IQGA10240-US</t>
  </si>
  <si>
    <t>SKU, CLR4, GOOD, MMWAVE, VZW, US, IQ, FL5</t>
  </si>
  <si>
    <t>Pixel 10, Indigo, 128GB, VZW, US, IQ</t>
  </si>
  <si>
    <t>840353928336</t>
  </si>
  <si>
    <t>0840353928336</t>
  </si>
  <si>
    <t>GA11019-US</t>
  </si>
  <si>
    <t>SKU, CLR 4, GOOD, MMWAVE, TMO, IQ, US, FL5</t>
  </si>
  <si>
    <t>Pixel 10, CLR 4, 128GB, TMO, US, IQ</t>
  </si>
  <si>
    <t>840353948280</t>
  </si>
  <si>
    <t>0840353948280</t>
  </si>
  <si>
    <t>IQGA09880-US</t>
  </si>
  <si>
    <t>SKU, CLR1, BETTER, MMWAVE, VZW, US, IQ, FL5</t>
  </si>
  <si>
    <t>Pixel 10, Obsidian, 256GB, VZW, US, IQ</t>
  </si>
  <si>
    <t>840353928114</t>
  </si>
  <si>
    <t>0840353928114</t>
  </si>
  <si>
    <t>IQGA10243-US</t>
  </si>
  <si>
    <t>SKU, CLR4, BETTER, MMWAVE, VZW, US, IQ, FL5</t>
  </si>
  <si>
    <t>Pixel 10, Indigo, 256GB, VZW, US, IQ</t>
  </si>
  <si>
    <t>840353928145</t>
  </si>
  <si>
    <t>0840353928145</t>
  </si>
  <si>
    <t>Bulk Pack</t>
  </si>
  <si>
    <t>CLNRGOGA09425</t>
  </si>
  <si>
    <t>SKU, CLR1, GOOD, MMWAVE, VZW, FL5, FRU</t>
  </si>
  <si>
    <t>Pixel 10, Obsidian, 128GB, VZW, US, FRU</t>
  </si>
  <si>
    <t>840353939622</t>
  </si>
  <si>
    <t>0840353939622</t>
  </si>
  <si>
    <t>FL5-MP-工业包VZN</t>
  </si>
  <si>
    <t>FL5-MP-ENG-VZN</t>
  </si>
  <si>
    <t>CLNRGOGA10238</t>
  </si>
  <si>
    <t>SKU, CLR2, GOOD, MMWAVE, VZW, FL5, FRU</t>
  </si>
  <si>
    <t>Pixel 10, Frost, 128GB, VZW, US, FRU</t>
  </si>
  <si>
    <t>840353939646</t>
  </si>
  <si>
    <t>0840353939646</t>
  </si>
  <si>
    <t>CLNRGOGA10239</t>
  </si>
  <si>
    <t>SKU, CLR3, GOOD, MMWAVE, VZW, FL5, FRU</t>
  </si>
  <si>
    <t>Pixel 10, Lemongrass, 128GB, VZW, US, FRU</t>
  </si>
  <si>
    <t>840353939653</t>
  </si>
  <si>
    <t>0840353939653</t>
  </si>
  <si>
    <t>CLNRGOGA10240</t>
  </si>
  <si>
    <t>SKU, CLR4, GOOD, MMWAVE, VZW, FL5, FRU</t>
  </si>
  <si>
    <t>Pixel 10, Indigo, 128GB, VZW, US, FRU</t>
  </si>
  <si>
    <t>840353939660</t>
  </si>
  <si>
    <t>0840353939660</t>
  </si>
  <si>
    <t>CLNRGA09862</t>
  </si>
  <si>
    <t>SKU, CLR1, GOOD, MMWAVE, TMO, FL5, FRU</t>
  </si>
  <si>
    <t>840353939318</t>
  </si>
  <si>
    <t>0840353939318</t>
  </si>
  <si>
    <t>FL5-MP-工业包ROW</t>
  </si>
  <si>
    <t>FL5-MP-ENG-ROW</t>
  </si>
  <si>
    <t>CLNRGA10252</t>
  </si>
  <si>
    <t>SKU, CLR4, GOOD, MMWAVE, TMO, FL5, FRU</t>
  </si>
  <si>
    <t>Pixel 10, Indigo, 128GB, TMO, US, FRU</t>
  </si>
  <si>
    <t>840353939424</t>
  </si>
  <si>
    <t>0840353939424</t>
  </si>
  <si>
    <t>CLNRGA09744</t>
  </si>
  <si>
    <t>SKU, CLR1, GOOD, MMWAVE, GSTORE, FL5, FRU</t>
  </si>
  <si>
    <t>Pixel 10, Obsidian, 128GB, GSTORE, US, FRU</t>
  </si>
  <si>
    <t>840353939301</t>
  </si>
  <si>
    <t>0840353939301</t>
  </si>
  <si>
    <t>CLNRGA10214</t>
  </si>
  <si>
    <t>SKU, CLR2, GOOD, MMWAVE, GSTORE, FL5, FRU</t>
  </si>
  <si>
    <t>840353939349</t>
  </si>
  <si>
    <t>0840353939349</t>
  </si>
  <si>
    <t>CLNRGA10215</t>
  </si>
  <si>
    <t>SKU, CLR3, GOOD, MMWAVE, GSTORE, FL5, FRU</t>
  </si>
  <si>
    <t>Pixel 10, Lemongrass, 128GB, GSTORE, US, FRU</t>
  </si>
  <si>
    <t>840353939356</t>
  </si>
  <si>
    <t>0840353939356</t>
  </si>
  <si>
    <t>CLNRGA10216</t>
  </si>
  <si>
    <t>SKU, CLR4, GOOD, MMWAVE, GSTORE, FL5, FRU</t>
  </si>
  <si>
    <t>840353939363</t>
  </si>
  <si>
    <t>0840353939363</t>
  </si>
  <si>
    <t>CLNRGA10540</t>
  </si>
  <si>
    <t>CA/AU</t>
  </si>
  <si>
    <t>SKU, CLR1, GOOD, SUB6, CA/AU, FL5, FRU</t>
  </si>
  <si>
    <t>Pixel 10, Obsidian, 128GB, CA/AU, FRU</t>
  </si>
  <si>
    <t>840353939462</t>
  </si>
  <si>
    <t>0840353939462</t>
  </si>
  <si>
    <t>FL5-MP-工业包ROW+鐳雕SIM</t>
  </si>
  <si>
    <t>FL5-MP-ENG-ROW+laserSIM</t>
  </si>
  <si>
    <t>CLNRGA10541</t>
  </si>
  <si>
    <t>SKU, CLR2, GOOD, SUB6, CA/AU, FL5, FRU</t>
  </si>
  <si>
    <t>840353939479</t>
  </si>
  <si>
    <t>0840353939479</t>
  </si>
  <si>
    <t>CLNRGA10542</t>
  </si>
  <si>
    <t>SKU, CLR3, GOOD, SUB6, CA/AU, FL5, FRU</t>
  </si>
  <si>
    <t>840353939486</t>
  </si>
  <si>
    <t>0840353939486</t>
  </si>
  <si>
    <t>CLNRGA10543</t>
  </si>
  <si>
    <t>SKU, CLR4, GOOD, SUB6, CA/AU, FL5, FRU</t>
  </si>
  <si>
    <t>Pixel 10, Indigo, 128GB, CA/AU, FRU</t>
  </si>
  <si>
    <t>840353939493</t>
  </si>
  <si>
    <t>0840353939493</t>
  </si>
  <si>
    <t>CLNRGA10548</t>
  </si>
  <si>
    <t>SKU, CLR1, GOOD, SUB6, UK/EU, FL5, FRU</t>
  </si>
  <si>
    <t>Pixel 10, Obsidian, 128GB, UK/EU, FRU</t>
  </si>
  <si>
    <t>840353939547</t>
  </si>
  <si>
    <t>0840353939547</t>
  </si>
  <si>
    <t>CLNRGA10549</t>
  </si>
  <si>
    <t>SKU, CLR2, GOOD, SUB6, UK/EU, FL5, FRU</t>
  </si>
  <si>
    <t>Pixel 10, Frost, 128GB, UK/EU, FRU</t>
  </si>
  <si>
    <t>840353939554</t>
  </si>
  <si>
    <t>0840353939554</t>
  </si>
  <si>
    <t>CLNRGA10550</t>
  </si>
  <si>
    <t>SKU, CLR3, GOOD, SUB6, UK/EU, FL5, FRU</t>
  </si>
  <si>
    <t>Pixel 10, Lemongrass, 128GB, UK/EU, FRU</t>
  </si>
  <si>
    <t>840353939561</t>
  </si>
  <si>
    <t>0840353939561</t>
  </si>
  <si>
    <t>CLNRGA10551</t>
  </si>
  <si>
    <t>SKU, CLR4, GOOD, SUB6, UK/EU, FL5, FRU</t>
  </si>
  <si>
    <t>Pixel 10, Indigo, 128GB, UK/EU, FRU</t>
  </si>
  <si>
    <t>840353939578</t>
  </si>
  <si>
    <t>0840353939578</t>
  </si>
  <si>
    <t>CLNRGOGA09880</t>
  </si>
  <si>
    <t>SKU, CLR1, BETTER, MMWAVE, VZW, FL5, FRU</t>
  </si>
  <si>
    <t>Pixel 10, Obsidian, 256GB, VZW, US, FRU</t>
  </si>
  <si>
    <t>840353939639</t>
  </si>
  <si>
    <t>0840353939639</t>
  </si>
  <si>
    <t>CLNRGOGA10243</t>
  </si>
  <si>
    <t>SKU, CLR4, BETTER, MMWAVE, VZW, FL5, FRU</t>
  </si>
  <si>
    <t>Pixel 10, Indigo, 256GB, VZW, US, FRU</t>
  </si>
  <si>
    <t>840353939691</t>
  </si>
  <si>
    <t>0840353939691</t>
  </si>
  <si>
    <t>CLNRGA09882</t>
  </si>
  <si>
    <t>SKU, CLR1, BETTER, MMWAVE, TMO, FL5, FRU</t>
  </si>
  <si>
    <t>Pixel 10, Obsidian, 256GB, TMO, US, FRU</t>
  </si>
  <si>
    <t>840353939325</t>
  </si>
  <si>
    <t>0840353939325</t>
  </si>
  <si>
    <t>CLNRGA09883</t>
  </si>
  <si>
    <t>SKU, CLR1, BETTER, MMWAVE, GSTORE, FL5, FRU</t>
  </si>
  <si>
    <t>Pixel 10, Obsidian, 256GB, GSTORE, US, FRU</t>
  </si>
  <si>
    <t>840353939332</t>
  </si>
  <si>
    <t>0840353939332</t>
  </si>
  <si>
    <t>CLNRGA10217</t>
  </si>
  <si>
    <t>SKU, CLR2, BETTER, MMWAVE, GSTORE, FL5, FRU</t>
  </si>
  <si>
    <t>Pixel 10, Frost, 256GB, GSTORE, US, FRU</t>
  </si>
  <si>
    <t>840353939370</t>
  </si>
  <si>
    <t>0840353939370</t>
  </si>
  <si>
    <t>CLNRGA10218</t>
  </si>
  <si>
    <t>SKU, CLR3, BETTER, MMWAVE, GSTORE, FL5, FRU</t>
  </si>
  <si>
    <t>Pixel 10, Lemongrass, 256GB, GSTORE, US, FRU</t>
  </si>
  <si>
    <t>840353939387</t>
  </si>
  <si>
    <t>0840353939387</t>
  </si>
  <si>
    <t>CLNRGA10219</t>
  </si>
  <si>
    <t>SKU, CLR4, BETTER, MMWAVE, GSTORE, FL5, FRU</t>
  </si>
  <si>
    <t>840353939394</t>
  </si>
  <si>
    <t>0840353939394</t>
  </si>
  <si>
    <t>CLNRGA10544</t>
  </si>
  <si>
    <t>SKU, CLR1, BETTER, SUB6, CA/AU, FL5, FRU</t>
  </si>
  <si>
    <t>Pixel 10, Obsidian, 256GB, CA/AU, FRU</t>
  </si>
  <si>
    <t>840353939509</t>
  </si>
  <si>
    <t>0840353939509</t>
  </si>
  <si>
    <t>CLNRGA10545</t>
  </si>
  <si>
    <t>SKU, CLR2, BETTER, SUB6, CA/AU, FL5, FRU</t>
  </si>
  <si>
    <t>Pixel 10, Frost, 256GB, CA/AU, FRU</t>
  </si>
  <si>
    <t>840353939516</t>
  </si>
  <si>
    <t>0840353939516</t>
  </si>
  <si>
    <t>CLNRGA10546</t>
  </si>
  <si>
    <t>SKU, CLR3, BETTER, SUB6, CA/AU, FL5, FRU</t>
  </si>
  <si>
    <t>Pixel 10, Lemongrass, 256GB, CA/AU, FRU</t>
  </si>
  <si>
    <t>840353939523</t>
  </si>
  <si>
    <t>0840353939523</t>
  </si>
  <si>
    <t>CLNRGA10547</t>
  </si>
  <si>
    <t>SKU, CLR4, BETTER, SUB6, CA/AU, FL5, FRU</t>
  </si>
  <si>
    <t>Pixel 10, Indigo, 256GB, CA/AU, FRU</t>
  </si>
  <si>
    <t>840353939530</t>
  </si>
  <si>
    <t>0840353939530</t>
  </si>
  <si>
    <t>CLNRGA10552</t>
  </si>
  <si>
    <t>SKU, CLR1, BETTER, SUB6, UK/EU, FL5, FRU</t>
  </si>
  <si>
    <t>Pixel 10, Obsidian, 256GB, UK/EU, FRU</t>
  </si>
  <si>
    <t>840353939585</t>
  </si>
  <si>
    <t>0840353939585</t>
  </si>
  <si>
    <t>CLNRGA10553</t>
  </si>
  <si>
    <t>SKU, CLR2, BETTER, SUB6, UK/EU, FL5, FRU</t>
  </si>
  <si>
    <t>Pixel 10, Frost, 256GB, UK/EU, FRU</t>
  </si>
  <si>
    <t>840353939592</t>
  </si>
  <si>
    <t>0840353939592</t>
  </si>
  <si>
    <t>CLNRGA10554</t>
  </si>
  <si>
    <t>SKU, CLR3, BETTER, SUB6, UK/EU, FL5, FRU</t>
  </si>
  <si>
    <t>Pixel 10, Lemongrass, 256GB, UK/EU, FRU</t>
  </si>
  <si>
    <t>840353939608</t>
  </si>
  <si>
    <t>0840353939608</t>
  </si>
  <si>
    <t>CLNRGA10555</t>
  </si>
  <si>
    <t>SKU, CLR4, BETTER, SUB6, UK/EU, FL5, FRU</t>
  </si>
  <si>
    <t>Pixel 10, Indigo, 256GB, UK/EU, FRU</t>
  </si>
  <si>
    <t>840353939615</t>
  </si>
  <si>
    <t>0840353939615</t>
  </si>
  <si>
    <t>GA09744-US-N</t>
  </si>
  <si>
    <t>SKU, CLR1, GOOD, MMWAVE, GSTORE, US, PRESS, FL5</t>
  </si>
  <si>
    <t>Pixel 10, Obsidian, 128GB, GSTORE, US, PRESS</t>
  </si>
  <si>
    <t>840353928251</t>
  </si>
  <si>
    <t>0840353928251</t>
  </si>
  <si>
    <t>GA10214-US-N</t>
  </si>
  <si>
    <t>SKU, CLR2, GOOD, MMWAVE, GSTORE, US, PRESS, FL5</t>
  </si>
  <si>
    <t>Pixel 10, Frost, 128GB, GSTORE, US, PRESS</t>
  </si>
  <si>
    <t>840353928268</t>
  </si>
  <si>
    <t>0840353928268</t>
  </si>
  <si>
    <t>GA10215-US-N</t>
  </si>
  <si>
    <t>SKU, CLR3, GOOD, MMWAVE, GSTORE, US, PRESS, FL5</t>
  </si>
  <si>
    <t>Pixel 10, Lemongrass, 128GB, GSTORE, US, PRESS</t>
  </si>
  <si>
    <t>840353928282</t>
  </si>
  <si>
    <t>0840353928282</t>
  </si>
  <si>
    <t>GA10216-US-N</t>
  </si>
  <si>
    <t>SKU, CLR4, GOOD, MMWAVE, GSTORE, US, PRESS, FL5</t>
  </si>
  <si>
    <t>Pixel 10, Indigo, 128GB, GSTORE, US, PRESS</t>
  </si>
  <si>
    <t>840353928244</t>
  </si>
  <si>
    <t>0840353928244</t>
  </si>
  <si>
    <t>GA09744-JP-N</t>
  </si>
  <si>
    <t>SKU, CLR1, GOOD, SUB6, JP, PRESS, FL5</t>
  </si>
  <si>
    <t>Pixel 10, Obsidian, 128GB, JP, PRESS</t>
  </si>
  <si>
    <t>840353928374</t>
  </si>
  <si>
    <t>0840353928374</t>
  </si>
  <si>
    <t>GA10214-JP-N</t>
  </si>
  <si>
    <t>SKU, CLR2, GOOD, SUB6, JP, PRESS, FL5</t>
  </si>
  <si>
    <t>Pixel 10, Frost, 128GB, JP, PRESS</t>
  </si>
  <si>
    <t>840353928503</t>
  </si>
  <si>
    <t>0840353928503</t>
  </si>
  <si>
    <t>GA10215-JP-N</t>
  </si>
  <si>
    <t>SKU, CLR3, GOOD, SUB6, JP, PRESS, FL5</t>
  </si>
  <si>
    <t>Pixel 10, Lemongrass, 128GB, JP, PRESS</t>
  </si>
  <si>
    <t>840353928480</t>
  </si>
  <si>
    <t>0840353928480</t>
  </si>
  <si>
    <t>GA10216-JP-N</t>
  </si>
  <si>
    <t>SKU, CLR4, GOOD, SUB6, JP, PRESS, FL5</t>
  </si>
  <si>
    <t>Pixel 10, Indigo, 128GB, JP, PRESS</t>
  </si>
  <si>
    <t>840353928473</t>
  </si>
  <si>
    <t>0840353928473</t>
  </si>
  <si>
    <t>GA09744-CA-N</t>
  </si>
  <si>
    <t>SKU, CLR1, GOOD, SUB6, CA/TW/SG/MY/AU/MX, PRESS, FL5</t>
  </si>
  <si>
    <t>Pixel 10, Obsidian, 128GB, CA/TW/SG/MY/AU/MX, PRESS</t>
  </si>
  <si>
    <t>840353928626</t>
  </si>
  <si>
    <t>0840353928626</t>
  </si>
  <si>
    <t>GA10214-CA-N</t>
  </si>
  <si>
    <t>SKU, CLR2, GOOD, SUB6, CA/TW/SG/MY/AU/MX, PRESS, FL5</t>
  </si>
  <si>
    <t>Pixel 10, Frost, 128GB, CA/TW/SG/MY/AU/MX, PRESS</t>
  </si>
  <si>
    <t>840353928459</t>
  </si>
  <si>
    <t>0840353928459</t>
  </si>
  <si>
    <t>GA10215-CA-N</t>
  </si>
  <si>
    <t>SKU, CLR3, GOOD, SUB6, CA/TW/SG/MY/AU/MX, PRESS, FL5</t>
  </si>
  <si>
    <t>Pixel 10, Lemongrass, 128GB, CA/TW/SG/MY/AU/MX, PRESS</t>
  </si>
  <si>
    <t>840353928411</t>
  </si>
  <si>
    <t>0840353928411</t>
  </si>
  <si>
    <t>GA10216-CA-N</t>
  </si>
  <si>
    <t>SKU, CLR4, GOOD, SUB6, CA/TW/SG/MY/AU/MX, PRESS, FL5</t>
  </si>
  <si>
    <t>Pixel 10, Indigo, 128GB, CA/TW/SG/MY/AU/MX, PRESS</t>
  </si>
  <si>
    <t>840353928589</t>
  </si>
  <si>
    <t>0840353928589</t>
  </si>
  <si>
    <t>GA09744-GB-N</t>
  </si>
  <si>
    <t>GB, DE, IT, ES, IE, FR, NL, BE, AT, CH, PT, PL, CZ, HU, RO, SI, LV, LT, EE, FI, NO, SE, DK, SK</t>
  </si>
  <si>
    <t>SKU, CLR1, GOOD, SUB6, UK/EU, PRESS, FL5</t>
  </si>
  <si>
    <t>Pixel 10, Obsidian, 128GB, UK/EU, PRESS</t>
  </si>
  <si>
    <t>840353928510</t>
  </si>
  <si>
    <t>0840353928510</t>
  </si>
  <si>
    <t>GA10214-GB-N</t>
  </si>
  <si>
    <t>SKU, CLR2, GOOD, SUB6, UK/EU, PRESS, FL5</t>
  </si>
  <si>
    <t>Pixel 10, Frost, 128GB, UK/EU, PRESS</t>
  </si>
  <si>
    <t>840353928442</t>
  </si>
  <si>
    <t>0840353928442</t>
  </si>
  <si>
    <t>GA10215-GB-N</t>
  </si>
  <si>
    <t>SKU, CLR3, GOOD, SUB6, UK/EU, PRESS, FL5</t>
  </si>
  <si>
    <t>Pixel 10, Lemongrass, 128GB, UK/EU, PRESS</t>
  </si>
  <si>
    <t>840353928398</t>
  </si>
  <si>
    <t>0840353928398</t>
  </si>
  <si>
    <t>GA10216-GB-N</t>
  </si>
  <si>
    <t>SKU, CLR4, GOOD, SUB6, UK/EU, PRESS, FL5</t>
  </si>
  <si>
    <t>Pixel 10, Indigo, 128GB, UK/EU, PRESS</t>
  </si>
  <si>
    <t>840353928527</t>
  </si>
  <si>
    <t>0840353928527</t>
  </si>
  <si>
    <t>GA10771-US</t>
  </si>
  <si>
    <t>SKU, CLR1, GOOD, MMWAVE, TMO, US, DEMO, FL5</t>
  </si>
  <si>
    <t>Pixel 10, Obsidian, 128GB, TMO, US, DEMO</t>
  </si>
  <si>
    <t>840353928190</t>
  </si>
  <si>
    <t>0840353928190</t>
  </si>
  <si>
    <t>GA10772-US</t>
  </si>
  <si>
    <t>SKU, CLR4, GOOD, MMWAVE, TMO, US, DEMO, FL5</t>
  </si>
  <si>
    <t>Pixel 10, Indigo, 128GB, TMO, US, DEMO</t>
  </si>
  <si>
    <t>840353928220</t>
  </si>
  <si>
    <t>0840353928220</t>
  </si>
  <si>
    <t>GA10773-US</t>
  </si>
  <si>
    <t>ATT, US</t>
  </si>
  <si>
    <t>SKU, CLR1, GOOD, MMWAVE, ATT, US, DEMO, FL5</t>
  </si>
  <si>
    <t>Pixel 10, Obsidian, 128GB, ATT, US, DEMO</t>
  </si>
  <si>
    <t>840353928084</t>
  </si>
  <si>
    <t>0840353928084</t>
  </si>
  <si>
    <t>GA10774-US</t>
  </si>
  <si>
    <t>SKU, CLR4, GOOD, MMWAVE, ATT, US, DEMO, FL5</t>
  </si>
  <si>
    <t>Pixel 10, Indigo, 128GB, ATT, US, DEMO</t>
  </si>
  <si>
    <t>D991E</t>
  </si>
  <si>
    <t>840353928053</t>
  </si>
  <si>
    <t>0840353928053</t>
  </si>
  <si>
    <t>GA10775-US</t>
  </si>
  <si>
    <t>SKU, CLR1, GOOD, MMWAVE, GSTORE, US, DEMO, FL5</t>
  </si>
  <si>
    <t>Pixel 10, Obsidian, 128GB, GSTORE, US, DEMO</t>
  </si>
  <si>
    <t>840353928237</t>
  </si>
  <si>
    <t>0840353928237</t>
  </si>
  <si>
    <t>GA10776-US</t>
  </si>
  <si>
    <t>SKU, CLR4, GOOD, MMWAVE, GSTORE, US, DEMO, FL5</t>
  </si>
  <si>
    <t>Pixel 10, Indigo, 128GB, GSTORE, US, DEMO</t>
  </si>
  <si>
    <t>840353928275</t>
  </si>
  <si>
    <t>0840353928275</t>
  </si>
  <si>
    <t>GA10775-JP</t>
  </si>
  <si>
    <t>SKU, CLR1, GOOD, SUB6, JP, DEMO, FL5</t>
  </si>
  <si>
    <t>Pixel 10, Obsidian, 128GB, JP, DEMO</t>
  </si>
  <si>
    <t>G990-09767-00-A
G990-09767-00-B</t>
  </si>
  <si>
    <t>840353928619</t>
  </si>
  <si>
    <t>0840353928619</t>
  </si>
  <si>
    <t>GA10776-JP</t>
  </si>
  <si>
    <t>SKU, CLR4, GOOD, SUB6, JP, DEMO, FL5</t>
  </si>
  <si>
    <t>Pixel 10, Indigo, 128GB, JP, DEMO</t>
  </si>
  <si>
    <t>840353928534</t>
  </si>
  <si>
    <t>0840353928534</t>
  </si>
  <si>
    <t>GA10775-CA</t>
  </si>
  <si>
    <t>SKU, CLR1, GOOD, SUB6, CA/TW/SG/MY/AU/MX, DEMO, FL5</t>
  </si>
  <si>
    <t>Pixel 10, Obsidian, 128GB, CA/TW/SG/MY/AU/MX, DEMO</t>
  </si>
  <si>
    <t>G990-09766-00-01
G990-09766-00-A</t>
  </si>
  <si>
    <t>840353928381</t>
  </si>
  <si>
    <t>0840353928381</t>
  </si>
  <si>
    <t>GA10776-CA</t>
  </si>
  <si>
    <t>SKU, CLR4, GOOD, SUB6, CA/TW/SG/MY/AU/MX, DEMO, FL5</t>
  </si>
  <si>
    <t>Pixel 10, Indigo, 128GB, CA/TW/SG/MY/AU/MX, DEMO</t>
  </si>
  <si>
    <t>840353928541</t>
  </si>
  <si>
    <t>0840353928541</t>
  </si>
  <si>
    <t>GA10775-GB</t>
  </si>
  <si>
    <t>SKU, CLR1, GOOD, SUB6, UK/EU, DEMO, FL5</t>
  </si>
  <si>
    <t>Pixel 10, Obsidian, 128GB, UK/EU, DEMO</t>
  </si>
  <si>
    <t>840353928602</t>
  </si>
  <si>
    <t>0840353928602</t>
  </si>
  <si>
    <t>GA10776-GB</t>
  </si>
  <si>
    <t>SKU, CLR4, GOOD, SUB6, UK/EU, DEMO, FL5</t>
  </si>
  <si>
    <t>Pixel 10, Indigo, 128GB, UK/EU, DEMO</t>
  </si>
  <si>
    <t>840353928565</t>
  </si>
  <si>
    <t>0840353928565</t>
  </si>
  <si>
    <t>GA10777-IN</t>
  </si>
  <si>
    <t>SKU, CLR1, BETTER, SUB6, IN, DEMO, FL5</t>
  </si>
  <si>
    <t>Pixel 10, Obsidian, 256GB, IN, DEMO</t>
  </si>
  <si>
    <t>840353928152</t>
  </si>
  <si>
    <t>0840353928152</t>
  </si>
  <si>
    <t>GA10778-IN</t>
  </si>
  <si>
    <t>SKU, CLR4, BETTER, SUB6, IN, DEMO, FL5</t>
  </si>
  <si>
    <t>Pixel 10, Indigo, 256GB, IN, DEMO</t>
  </si>
  <si>
    <t>840353928169</t>
  </si>
  <si>
    <t>0840353928169</t>
  </si>
  <si>
    <t>GA10256</t>
  </si>
  <si>
    <t>TMO</t>
  </si>
  <si>
    <t>Pixel 10, Obsidian, TMO, US, NFU</t>
  </si>
  <si>
    <t>840353928206</t>
  </si>
  <si>
    <t>0840353928206</t>
  </si>
  <si>
    <t>PE 說不需建BOM</t>
  </si>
  <si>
    <t>GA10259</t>
  </si>
  <si>
    <t>Pixel 10, Indigo, TMO, US, NFU</t>
  </si>
  <si>
    <t>840353928176</t>
  </si>
  <si>
    <t>0840353928176</t>
  </si>
  <si>
    <t>GA10260</t>
  </si>
  <si>
    <t>VZW</t>
  </si>
  <si>
    <t>SKU, CLR1, VZW, US, NFU, FL5</t>
  </si>
  <si>
    <t>840353928343</t>
  </si>
  <si>
    <t>0840353928343</t>
  </si>
  <si>
    <t>GA10261</t>
  </si>
  <si>
    <t>Pixel 10, Frost, VZW, US, NFU</t>
  </si>
  <si>
    <t>840353928305</t>
  </si>
  <si>
    <t>0840353928305</t>
  </si>
  <si>
    <t>GA10262</t>
  </si>
  <si>
    <t>Pixel 10, Lemongrass, VZW, US, NFU</t>
  </si>
  <si>
    <t>840353928312</t>
  </si>
  <si>
    <t>0840353928312</t>
  </si>
  <si>
    <t>GA10263</t>
  </si>
  <si>
    <t>Pixel 10, Indigo, VZW, US, NFU</t>
  </si>
  <si>
    <t>840353928299</t>
  </si>
  <si>
    <t>0840353928299</t>
  </si>
  <si>
    <t>GA10264</t>
  </si>
  <si>
    <t>Pixel 10, Obsidian, ATT, US, NFU</t>
  </si>
  <si>
    <t>840353928107</t>
  </si>
  <si>
    <t>0840353928107</t>
  </si>
  <si>
    <t>GA10267</t>
  </si>
  <si>
    <t>Pixel 10, Indigo, ATT, US, NFU</t>
  </si>
  <si>
    <t>840353928091</t>
  </si>
  <si>
    <t>0840353928091</t>
  </si>
  <si>
    <t>GA10272</t>
  </si>
  <si>
    <t>US</t>
  </si>
  <si>
    <t>Pixel 10, Obsidian, US, NFU</t>
  </si>
  <si>
    <t>840353928497</t>
  </si>
  <si>
    <t>0840353928497</t>
  </si>
  <si>
    <t>GA10273</t>
  </si>
  <si>
    <t>Pixel 10, Frost, US, NFU</t>
  </si>
  <si>
    <t>840353928435</t>
  </si>
  <si>
    <t>0840353928435</t>
  </si>
  <si>
    <t>GA10769</t>
  </si>
  <si>
    <t>Pixel 10, Lemongrass, US, NFU</t>
  </si>
  <si>
    <t>840353928428</t>
  </si>
  <si>
    <t>0840353928428</t>
  </si>
  <si>
    <t>GA10770</t>
  </si>
  <si>
    <t>Pixel 10, Indigo, US, NFU</t>
  </si>
  <si>
    <t>840353928404</t>
  </si>
  <si>
    <t>0840353928404</t>
  </si>
  <si>
    <t>GA10268</t>
  </si>
  <si>
    <t>Pixel 10, Obsidian, JP, NFU</t>
  </si>
  <si>
    <t/>
  </si>
  <si>
    <t>840353928572</t>
  </si>
  <si>
    <t>0840353928572</t>
  </si>
  <si>
    <t>GA10269</t>
  </si>
  <si>
    <t>Pixel 10, Frost, JP, NFU</t>
  </si>
  <si>
    <t>840353928558</t>
  </si>
  <si>
    <t>0840353928558</t>
  </si>
  <si>
    <t>GA10270</t>
  </si>
  <si>
    <t>Pixel 10, Lemongrass, JP, NFU</t>
  </si>
  <si>
    <t>840353928596</t>
  </si>
  <si>
    <t>0840353928596</t>
  </si>
  <si>
    <t>GA10271</t>
  </si>
  <si>
    <t>Pixel 10, Indigo, JP, NFU</t>
  </si>
  <si>
    <t>840353928466</t>
  </si>
  <si>
    <t>0840353928466</t>
  </si>
  <si>
    <t>GA10907</t>
  </si>
  <si>
    <t xml:space="preserve">GB, DE, IT, ES, IE, FR, NL, BE, AT, CH, PT, PL, CEE ( CZ, HU, RO, SI, LV, LT, EE, FI), NO,SE,DK, SK, CA/TW/SG/AU/MY/MX
</t>
  </si>
  <si>
    <t>Pixel 10, Obsidian, UK/EU/CA/TW/SG/AU/MY/MX, NFU</t>
  </si>
  <si>
    <t>840353940161</t>
  </si>
  <si>
    <t>0840353940161</t>
  </si>
  <si>
    <t>GA10908</t>
  </si>
  <si>
    <t>Pixel 10, Frost, UK/EU/CA/TW/SG/AU/MY/MX, NFU</t>
  </si>
  <si>
    <t>840353940178</t>
  </si>
  <si>
    <t>0840353940178</t>
  </si>
  <si>
    <t>GA10909</t>
  </si>
  <si>
    <t>Pixel 10, Lemongrass, UK/EU/CA/TW/SG/AU/MY/MX, NFU</t>
  </si>
  <si>
    <t>840353940185</t>
  </si>
  <si>
    <t>0840353940185</t>
  </si>
  <si>
    <t>GA10910</t>
  </si>
  <si>
    <t>Pixel 10, Indigo, UK/EU/CA/TW/SG/AU/MY/MX, NFU</t>
  </si>
  <si>
    <t>840353940192</t>
  </si>
  <si>
    <t>0840353940192</t>
  </si>
  <si>
    <t>GA09425-US-RA</t>
  </si>
  <si>
    <t>US-VZW</t>
  </si>
  <si>
    <t>SKU, CLR1, GOOD, MMWAVE, VZW, FL5, REFURB</t>
  </si>
  <si>
    <t>Not in zNEXT</t>
  </si>
  <si>
    <t>840353939707</t>
  </si>
  <si>
    <t>0840353939707</t>
  </si>
  <si>
    <t>GA10238-US-RA</t>
  </si>
  <si>
    <t>SKU, CLR2, GOOD, MMWAVE, VZW, FL5, REFURB</t>
  </si>
  <si>
    <t>840353940048</t>
  </si>
  <si>
    <t>0840353940048</t>
  </si>
  <si>
    <t>GA10239-US-RA</t>
  </si>
  <si>
    <t>SKU, CLR3, GOOD, MMWAVE, VZW, FL5, REFURB</t>
  </si>
  <si>
    <t>840353940055</t>
  </si>
  <si>
    <t>0840353940055</t>
  </si>
  <si>
    <t>GA10240-US-RA</t>
  </si>
  <si>
    <t>SKU, CLR4, GOOD, MMWAVE, VZW, FL5, REFURB</t>
  </si>
  <si>
    <t>840353940062</t>
  </si>
  <si>
    <t>0840353940062</t>
  </si>
  <si>
    <t>GA09861-US-RA</t>
  </si>
  <si>
    <t>US -AT&amp;T</t>
  </si>
  <si>
    <t>SKU, CLR1, GOOD, MMWAVE, ATT, FL5, REFURB</t>
  </si>
  <si>
    <t>840353939776</t>
  </si>
  <si>
    <t>0840353939776</t>
  </si>
  <si>
    <t>GA10246-US-RA</t>
  </si>
  <si>
    <t>SKU, CLR4, GOOD, MMWAVE, ATT, FL5, REFURB</t>
  </si>
  <si>
    <t>840353940109</t>
  </si>
  <si>
    <t>0840353940109</t>
  </si>
  <si>
    <t>GA09862-US-RA</t>
  </si>
  <si>
    <t xml:space="preserve">US-Tmobile </t>
  </si>
  <si>
    <t>SKU, CLR1, GOOD, MMWAVE, TMO, FL5, REFURB</t>
  </si>
  <si>
    <t>840353939783</t>
  </si>
  <si>
    <t>0840353939783</t>
  </si>
  <si>
    <t>GA10252-US-RA</t>
  </si>
  <si>
    <t>SKU, CLR4, GOOD, MMWAVE, TMO, FL5, REFURB</t>
  </si>
  <si>
    <t>840353940147</t>
  </si>
  <si>
    <t>0840353940147</t>
  </si>
  <si>
    <t>GA09744-US-RA</t>
  </si>
  <si>
    <t>US GStore</t>
  </si>
  <si>
    <t>SKU, CLR1, GOOD, MMWAVE, GSTORE, FL5, REFURB</t>
  </si>
  <si>
    <t>840353939769</t>
  </si>
  <si>
    <t>0840353939769</t>
  </si>
  <si>
    <t>GA10214-US-RA</t>
  </si>
  <si>
    <t>SKU, CLR2, GOOD, MMWAVE, GSTORE, FL5, REFURB</t>
  </si>
  <si>
    <t>840353939912</t>
  </si>
  <si>
    <t>0840353939912</t>
  </si>
  <si>
    <t>GA10215-US-RA</t>
  </si>
  <si>
    <t>SKU, CLR3, GOOD, MMWAVE, GSTORE, FL5, REFURB</t>
  </si>
  <si>
    <t>840353939967</t>
  </si>
  <si>
    <t>0840353939967</t>
  </si>
  <si>
    <t>GA10216-US-RA</t>
  </si>
  <si>
    <t>SKU, CLR4, GOOD, MMWAVE, GSTORE, FL5, REFURB</t>
  </si>
  <si>
    <t>840353940017</t>
  </si>
  <si>
    <t>0840353940017</t>
  </si>
  <si>
    <t>GA09744-CA-RA</t>
  </si>
  <si>
    <t>SKU, CLR1, GOOD, SUB6, CA/TW/SG/MY/AU/MX, FL5, REFURB</t>
  </si>
  <si>
    <t>840353939714</t>
  </si>
  <si>
    <t>0840353939714</t>
  </si>
  <si>
    <t>GA10214-CA-RA</t>
  </si>
  <si>
    <t>SKU, CLR2, GOOD, SUB6, CA/TW/SG/MY/AU/MX, FL5, REFURB</t>
  </si>
  <si>
    <t>840353939875</t>
  </si>
  <si>
    <t>0840353939875</t>
  </si>
  <si>
    <t>GA10215-CA-RA</t>
  </si>
  <si>
    <t>SKU, CLR3, GOOD, SUB6, CA/TW/SG/MY/AU/MX, FL5, REFURB</t>
  </si>
  <si>
    <t>840353939929</t>
  </si>
  <si>
    <t>0840353939929</t>
  </si>
  <si>
    <t>GA10216-CA-RA</t>
  </si>
  <si>
    <t>SKU, CLR4, GOOD, SUB6, CA/TW/SG/MY/AU/MX, FL5, REFURB</t>
  </si>
  <si>
    <t>840353939974</t>
  </si>
  <si>
    <t>0840353939974</t>
  </si>
  <si>
    <t>GA09744-GB-RA</t>
  </si>
  <si>
    <t>UK,DE, IT, ES, IE,FR, NO,SE,DK,NL, BE, AT, CH, PT, PL, SK,
CEE (CZ, RO, HU, SI, LV, LT, EE, FI)</t>
  </si>
  <si>
    <t>SKU, CLR1, GOOD, SUB6, UK/EU, FL5, REFURB</t>
  </si>
  <si>
    <t>840353939721</t>
  </si>
  <si>
    <t>0840353939721</t>
  </si>
  <si>
    <t>GA10214-GB-RA</t>
  </si>
  <si>
    <t>SKU, CLR2, GOOD, SUB6, UK/EU, FL5, REFURB</t>
  </si>
  <si>
    <t>840353939882</t>
  </si>
  <si>
    <t>0840353939882</t>
  </si>
  <si>
    <t>GA10215-GB-RA</t>
  </si>
  <si>
    <t>SKU, CLR3, GOOD, SUB6, UK/EU, FL5, REFURB</t>
  </si>
  <si>
    <t>840353939936</t>
  </si>
  <si>
    <t>0840353939936</t>
  </si>
  <si>
    <t>GA10216-GB-RA</t>
  </si>
  <si>
    <t>SKU, CLR4, GOOD, SUB6, UK/EU, FL5, REFURB</t>
  </si>
  <si>
    <t>840353939981</t>
  </si>
  <si>
    <t>0840353939981</t>
  </si>
  <si>
    <t>GA09744-JP-RA</t>
  </si>
  <si>
    <t>SKU, CLR1, GOOD, SUB6, JP, FL5, REFURB</t>
  </si>
  <si>
    <t>840353939752</t>
  </si>
  <si>
    <t>0840353939752</t>
  </si>
  <si>
    <t>GA10214-JP-RA</t>
  </si>
  <si>
    <t>SKU, CLR2, GOOD, SUB6, JP, FL5, REFURB</t>
  </si>
  <si>
    <t>840353939905</t>
  </si>
  <si>
    <t>0840353939905</t>
  </si>
  <si>
    <t>GA10215-JP-RA</t>
  </si>
  <si>
    <t>SKU, CLR3, GOOD, SUB6, JP, FL5, REFURB</t>
  </si>
  <si>
    <t>840353939950</t>
  </si>
  <si>
    <t>0840353939950</t>
  </si>
  <si>
    <t>GA10216-JP-RA</t>
  </si>
  <si>
    <t>SKU, CLR4, GOOD, SUB6, JP, FL5, REFURB</t>
  </si>
  <si>
    <t>840353940000</t>
  </si>
  <si>
    <t>0840353940000</t>
  </si>
  <si>
    <t>GA09744-IN-RA</t>
  </si>
  <si>
    <t>SKU, CLR1, GOOD, SUB6, IN, FL5, REFURB</t>
  </si>
  <si>
    <t>GA10214-IN-RA</t>
  </si>
  <si>
    <t>SKU, CLR2, GOOD, SUB6, IN, FL5, REFURB</t>
  </si>
  <si>
    <t>GA10215-IN-RA</t>
  </si>
  <si>
    <t>SKU, CLR3, GOOD, SUB6, IN, FL5, REFURB</t>
  </si>
  <si>
    <t>GA10216-IN-RA</t>
  </si>
  <si>
    <t>SKU, CLR4, GOOD, SUB6, IN, FL5, REFURB</t>
  </si>
  <si>
    <t>GA09880-US-RA</t>
  </si>
  <si>
    <t>SKU, CLR1, BETTER, MMWAVE, VZW, FL5, REFURB</t>
  </si>
  <si>
    <t>840353939790</t>
  </si>
  <si>
    <t>0840353939790</t>
  </si>
  <si>
    <t>GA10243-US-RA</t>
  </si>
  <si>
    <t>SKU, CLR4, BETTER, MMWAVE, VZW, FL5, REFURB</t>
  </si>
  <si>
    <t>840353940345</t>
  </si>
  <si>
    <t>0840353940345</t>
  </si>
  <si>
    <t>GA09882-US-RA</t>
  </si>
  <si>
    <t>SKU, CLR1, BETTER, MMWAVE, TMO, FL5, REFURB</t>
  </si>
  <si>
    <t>840353939813</t>
  </si>
  <si>
    <t>0840353939813</t>
  </si>
  <si>
    <t>GA09883-US-RA</t>
  </si>
  <si>
    <t>SKU, CLR1, BETTER, MMWAVE, GSTORE, FL5, REFURB</t>
  </si>
  <si>
    <t>840353939868</t>
  </si>
  <si>
    <t>0840353939868</t>
  </si>
  <si>
    <t>GA10217-US-RA</t>
  </si>
  <si>
    <t>SKU, CLR2, BETTER, MMWAVE, GSTORE, FL5, REFURB</t>
  </si>
  <si>
    <t>GA10218-US-RA</t>
  </si>
  <si>
    <t>SKU, CLR3, BETTER, MMWAVE, GSTORE, FL5, REFURB</t>
  </si>
  <si>
    <t>GA10219-US-RA</t>
  </si>
  <si>
    <t>SKU, CLR4, BETTER, MMWAVE, GSTORE, FL5, REFURB</t>
  </si>
  <si>
    <t>GA09883-CA-RA</t>
  </si>
  <si>
    <t>SKU, CLR1, BETTER, SUB6, CA/TW/SG/MY/AU/MX, FL5, REFURB</t>
  </si>
  <si>
    <t>GA10217-CA-RA</t>
  </si>
  <si>
    <t>SKU, CLR2, BETTER, SUB6, CA/TW/SG/MY/AU/MX, FL5, REFURB</t>
  </si>
  <si>
    <t>GA10218-CA-RA</t>
  </si>
  <si>
    <t>SKU, CLR3, BETTER, SUB6, CA/TW/SG/MY/AU/MX, FL5, REFURB</t>
  </si>
  <si>
    <t>GA10219-CA-RA</t>
  </si>
  <si>
    <t>SKU, CLR4, BETTER, SUB6, CA/TW/SG/MY/AU/MX, FL5, REFURB</t>
  </si>
  <si>
    <t>GA09883-GB-RA</t>
  </si>
  <si>
    <t>SKU, CLR1, BETTER, SUB6, UK/EU, FL5, REFURB</t>
  </si>
  <si>
    <t>GA10217-GB-RA</t>
  </si>
  <si>
    <t>SKU, CLR2, BETTER, SUB6, UK/EU, FL5, REFURB</t>
  </si>
  <si>
    <t>GA10218-GB-RA</t>
  </si>
  <si>
    <t>SKU, CLR3, BETTER, SUB6, UK/EU, FL5, REFURB</t>
  </si>
  <si>
    <t>GA10219-GB-RA</t>
  </si>
  <si>
    <t>SKU, CLR4, BETTER, SUB6, UK/EU, FL5, REFURB</t>
  </si>
  <si>
    <t>GA09883-IN-RA</t>
  </si>
  <si>
    <t>SKU, CLR1, BETTER, SUB6, IN, FL5, REFURB</t>
  </si>
  <si>
    <t>GA10217-IN-RA</t>
  </si>
  <si>
    <t>SKU, CLR2, BETTER, SUB6, IN, FL5, REFURB</t>
  </si>
  <si>
    <t>GA10218-IN-RA</t>
  </si>
  <si>
    <t>SKU, CLR3, BETTER, SUB6, IN, FL5, REFURB</t>
  </si>
  <si>
    <t>GA10219-IN-RA</t>
  </si>
  <si>
    <t>SKU, CLR4, BETTER, SUB6, IN, FL5, REFURB</t>
  </si>
  <si>
    <t>GA09883-JP-RA</t>
  </si>
  <si>
    <t>SKU, CLR1, BETTER, SUB6, JP, FL5, REFURB</t>
  </si>
  <si>
    <t>GA10217-JP-RA</t>
  </si>
  <si>
    <t>SKU, CLR2, BETTER, SUB6, JP, FL5, REFURB</t>
  </si>
  <si>
    <t>GA10218-JP-RA</t>
  </si>
  <si>
    <t>SKU, CLR3, BETTER, SUB6, JP, FL5, REFURB</t>
  </si>
  <si>
    <t>GA10219-JP-RA</t>
  </si>
  <si>
    <t>SKU, CLR4, BETTER, SUB6, JP, FL5, REFURB</t>
  </si>
  <si>
    <t>IQGA10240-US-APK</t>
  </si>
  <si>
    <t>mmWave</t>
  </si>
  <si>
    <t>Indigo</t>
  </si>
  <si>
    <t>BUE</t>
  </si>
  <si>
    <t>GLBW0</t>
  </si>
  <si>
    <t>35 560678 020000x</t>
  </si>
  <si>
    <t>35 560678 999999x</t>
  </si>
  <si>
    <t>35 931451 020000x</t>
  </si>
  <si>
    <t>35 931451 999999x</t>
  </si>
  <si>
    <t>64:9D:38:32:91:82</t>
  </si>
  <si>
    <t>G710-07800-01</t>
  </si>
  <si>
    <t>G650-14694-05</t>
  </si>
  <si>
    <t>G710-07670-01</t>
  </si>
  <si>
    <t>G730-09533-04</t>
  </si>
  <si>
    <t>G950-15935-03</t>
  </si>
  <si>
    <t>G954-08540-00</t>
  </si>
  <si>
    <t>G962-00511-00</t>
  </si>
  <si>
    <t>G990-08380-41-01
G990-08380-41-A</t>
  </si>
  <si>
    <t>G990-08382-11-01
G990-08382-11-A</t>
  </si>
  <si>
    <t>Yes</t>
  </si>
  <si>
    <t>Retail_10ct</t>
  </si>
  <si>
    <t>VZN Master Carton Label</t>
  </si>
  <si>
    <t>VZN Pallet Label (BTS)</t>
  </si>
  <si>
    <t>G990-08482-41-01
G990-08482-41-A</t>
  </si>
  <si>
    <t>FL5-MP-RDM</t>
  </si>
  <si>
    <t>智能手機</t>
  </si>
  <si>
    <t>Close</t>
  </si>
  <si>
    <t>No Demand</t>
  </si>
  <si>
    <t>No demand</t>
  </si>
  <si>
    <t>GA10775-US-APK</t>
  </si>
  <si>
    <t>Obsidian</t>
  </si>
  <si>
    <t>BLK</t>
  </si>
  <si>
    <t>NA</t>
  </si>
  <si>
    <t>35 124436 070000x</t>
  </si>
  <si>
    <t>35 124436 999999x</t>
  </si>
  <si>
    <t>35 676628 040000x</t>
  </si>
  <si>
    <t>35 676628 999999x</t>
  </si>
  <si>
    <t>00</t>
  </si>
  <si>
    <t>G730-09533-01</t>
  </si>
  <si>
    <t>G950-15935-00</t>
  </si>
  <si>
    <t>G954-09573-00</t>
  </si>
  <si>
    <t>G990-08380-11-01
G990-08380-11-A</t>
  </si>
  <si>
    <t>G990-09765-00-01
G990-09765-00-A</t>
  </si>
  <si>
    <t>ROW Master Carton Label (UPC)</t>
  </si>
  <si>
    <t>Standard Pallet Label (BTO)
Standard Pallet Label (BTS)</t>
  </si>
  <si>
    <t>N/A</t>
  </si>
  <si>
    <t>GA10776-US-APK</t>
  </si>
  <si>
    <t>G990-08380-41-01
G990-08380-41-A</t>
  </si>
  <si>
    <t>GA10775-JP-APK</t>
  </si>
  <si>
    <t>JPN</t>
  </si>
  <si>
    <t>GL066</t>
  </si>
  <si>
    <t>35 444932 020000x</t>
  </si>
  <si>
    <t>35 444932 999999x</t>
  </si>
  <si>
    <t>64:9D:38:37:25:61</t>
  </si>
  <si>
    <t>G710-07800-00</t>
  </si>
  <si>
    <t>G950-15935-10</t>
  </si>
  <si>
    <t>G954-09575-00</t>
  </si>
  <si>
    <t>FL5-MP-RDM+SIM镭雕</t>
  </si>
  <si>
    <t>GA10776-JP-APK</t>
  </si>
  <si>
    <t>G950-15935-13</t>
  </si>
  <si>
    <t>GA10775-CA-APK</t>
  </si>
  <si>
    <t>Sub6</t>
  </si>
  <si>
    <t>GK2MP</t>
  </si>
  <si>
    <t>ROW</t>
  </si>
  <si>
    <t>35 795514 040000x</t>
  </si>
  <si>
    <t>35 795514 999999x</t>
  </si>
  <si>
    <t>GA10776-CA-APK</t>
  </si>
  <si>
    <t>GA10775-GB-APK</t>
  </si>
  <si>
    <t xml:space="preserve"> GK2MP</t>
  </si>
  <si>
    <t>G954-09576-00</t>
  </si>
  <si>
    <t>G990-09768-00-A
G990-09768-00-B</t>
  </si>
  <si>
    <t>ROW Master Carton Label (EAN)</t>
  </si>
  <si>
    <t>GA10776-GB-APK</t>
  </si>
  <si>
    <t>GA10778-IN-APK</t>
  </si>
  <si>
    <t>G710-07800-10</t>
  </si>
  <si>
    <t>G650-14694-07</t>
  </si>
  <si>
    <t>G950-15935-17</t>
  </si>
  <si>
    <t>IN Master Carton Label</t>
  </si>
  <si>
    <t>G952-05416-00-A</t>
  </si>
  <si>
    <t>Region</t>
  </si>
  <si>
    <t>Factory Site</t>
  </si>
  <si>
    <t>5-digit Model Name</t>
  </si>
  <si>
    <t>IMEI TAC</t>
  </si>
  <si>
    <t>TAC
Block</t>
  </si>
  <si>
    <t>Proto</t>
  </si>
  <si>
    <t>EVT &amp; DVT Range</t>
  </si>
  <si>
    <t>PVT Range</t>
  </si>
  <si>
    <t>MP Range</t>
  </si>
  <si>
    <t>When add to Akita</t>
  </si>
  <si>
    <t>中文品名</t>
  </si>
  <si>
    <t>Packout Type</t>
  </si>
  <si>
    <t>組成部件</t>
  </si>
  <si>
    <t>材質成份
(用中文表示)</t>
  </si>
  <si>
    <t>用途簡述</t>
  </si>
  <si>
    <t>圖片 （TOP/BOT）</t>
  </si>
  <si>
    <t>尺寸 (長X寬X高)mm</t>
  </si>
  <si>
    <t>單重(g)</t>
  </si>
  <si>
    <t>手機件是否含附件及包裝</t>
  </si>
  <si>
    <t>Description</t>
  </si>
  <si>
    <t>UFS Story</t>
  </si>
  <si>
    <t>其他</t>
  </si>
  <si>
    <t>Ex.</t>
  </si>
  <si>
    <t>Start</t>
  </si>
  <si>
    <t>End</t>
  </si>
  <si>
    <t>小板-PROX</t>
  </si>
  <si>
    <t>手機小板</t>
  </si>
  <si>
    <t>工業包</t>
  </si>
  <si>
    <t>小板</t>
  </si>
  <si>
    <t>PCBA小板</t>
  </si>
  <si>
    <t>開發手機用(適用于Google 牌手機)</t>
  </si>
  <si>
    <t>附件01 (小板-Prox)</t>
  </si>
  <si>
    <t>5.98 x 2.94 x 1.6</t>
  </si>
  <si>
    <t>無附件</t>
  </si>
  <si>
    <t>Good</t>
  </si>
  <si>
    <t>128 GB</t>
  </si>
  <si>
    <t>直板、6.29 英寸彩屏、內存128G、GPRS、藍牙、前攝1100萬、後攝1200/5000萬</t>
  </si>
  <si>
    <t>GAxxxxx-xx</t>
  </si>
  <si>
    <t>Commercial retail until (正貨)</t>
  </si>
  <si>
    <t>35 124436 000000x</t>
  </si>
  <si>
    <t>35 124436 049999x</t>
  </si>
  <si>
    <t>35 124436 050000x</t>
  </si>
  <si>
    <t>35 124436 069999x</t>
  </si>
  <si>
    <t xml:space="preserve">35 124436 070000x
</t>
  </si>
  <si>
    <t>foxconn-sz-NA</t>
  </si>
  <si>
    <t>小板-CLB</t>
  </si>
  <si>
    <t>附件03 (小板-CLB)</t>
  </si>
  <si>
    <t>67 x 21 x 5.7</t>
  </si>
  <si>
    <t>128GB_Samsung</t>
  </si>
  <si>
    <t>IQGAxxxxx-xx</t>
  </si>
  <si>
    <t>This is one time order Verizon places for display units</t>
  </si>
  <si>
    <t>Co-use the TAC for NA</t>
  </si>
  <si>
    <t>35 163422 000000x</t>
  </si>
  <si>
    <t>35 163422 009999x</t>
  </si>
  <si>
    <t>35 163422 010000x</t>
  </si>
  <si>
    <t>35 163422 019999x</t>
  </si>
  <si>
    <t>35 163422 020000x</t>
  </si>
  <si>
    <t>35 163422 999999x</t>
  </si>
  <si>
    <t>10/11 2024
foxconn-sz-TMO</t>
  </si>
  <si>
    <t>手機主板</t>
  </si>
  <si>
    <t>主板</t>
  </si>
  <si>
    <t>附件04 (MLB)</t>
  </si>
  <si>
    <t>65 x 56 x 4.2</t>
  </si>
  <si>
    <t>Better</t>
  </si>
  <si>
    <t>256 GB</t>
  </si>
  <si>
    <t>直板、6.29 英寸彩屏、內存256G、GPRS、藍牙、前攝1100萬、後攝1200/5000萬</t>
  </si>
  <si>
    <r>
      <rPr>
        <rFont val="Tahoma"/>
        <b/>
        <color rgb="FF0000FF"/>
      </rPr>
      <t>CLNRGO</t>
    </r>
    <r>
      <rPr>
        <rFont val="Tahoma"/>
        <color theme="1"/>
      </rPr>
      <t xml:space="preserve">GAxxxxxx
</t>
    </r>
    <r>
      <rPr>
        <rFont val="Tahoma"/>
        <b/>
        <color rgb="FF0000FF"/>
      </rPr>
      <t>CLNR</t>
    </r>
    <r>
      <rPr>
        <rFont val="Tahoma"/>
        <color theme="1"/>
      </rPr>
      <t>GAxxxxx</t>
    </r>
  </si>
  <si>
    <t>Certified like new and field replacement units, the packaging includes no accessories and master carton only
【註】VZW 只出手機；不出accessory 附件。(蜂巢式包裝；30ct)</t>
  </si>
  <si>
    <t>35 582324 000000x</t>
  </si>
  <si>
    <t>35 582324 009999x</t>
  </si>
  <si>
    <t>35 582324 010000x</t>
  </si>
  <si>
    <t>35 582324 019999x</t>
  </si>
  <si>
    <t>35 582324 020000x</t>
  </si>
  <si>
    <t>35 582324 999999x</t>
  </si>
  <si>
    <t>10/1 2024
foxconn-sz-ATT</t>
  </si>
  <si>
    <t>手機前蓋組件</t>
  </si>
  <si>
    <t>手機前蓋組件由中框，玻璃保護蓋，背膠組成</t>
  </si>
  <si>
    <t>附件05 (CG-sub 上蓋)</t>
  </si>
  <si>
    <t>150.00 x 69.14 x 4.42</t>
  </si>
  <si>
    <t>256GB_Micron</t>
  </si>
  <si>
    <r>
      <rPr>
        <rFont val="Tahoma, Arial"/>
        <color theme="1"/>
      </rPr>
      <t>DEMO units (None-Commercial Units; looks like pristine SKUs),</t>
    </r>
    <r>
      <rPr>
        <rFont val="Tahoma, Arial"/>
        <color rgb="FFFF0000"/>
      </rPr>
      <t xml:space="preserve"> including "Demo", "Carrier FAI", "Cherry Pick" and "Others NCU"</t>
    </r>
  </si>
  <si>
    <t>35 560678 000000x</t>
  </si>
  <si>
    <t>35 560678 009999x</t>
  </si>
  <si>
    <t>35 560678 010000x</t>
  </si>
  <si>
    <t>35 560678 019999x</t>
  </si>
  <si>
    <t>10/1 2024
foxconn-sz-VZW</t>
  </si>
  <si>
    <t>手機背蓋組件</t>
  </si>
  <si>
    <t>手機背蓋組件由中框，玻璃背蓋，背膠組成</t>
  </si>
  <si>
    <t>附件06 (BG-sub 下蓋)</t>
  </si>
  <si>
    <t>152.83 x 71.98 x 11.91</t>
  </si>
  <si>
    <t>256GB_Samsung</t>
  </si>
  <si>
    <r>
      <rPr>
        <rFont val="Tahoma"/>
        <color theme="1"/>
      </rPr>
      <t>GAxxxxx-xx</t>
    </r>
    <r>
      <rPr>
        <rFont val="Tahoma"/>
        <b/>
        <color theme="1"/>
      </rPr>
      <t>-</t>
    </r>
    <r>
      <rPr>
        <rFont val="Tahoma"/>
        <b/>
        <color rgb="FF0000FF"/>
      </rPr>
      <t>RA</t>
    </r>
  </si>
  <si>
    <t>退貨的手機回來拉皮之後再出貨, 好讓營運商給客人换機的</t>
  </si>
  <si>
    <t>35 440766 000000x</t>
  </si>
  <si>
    <t>35 440766 049999x</t>
  </si>
  <si>
    <t>35 440766 050000x</t>
  </si>
  <si>
    <t>35 440766 069999x</t>
  </si>
  <si>
    <t>35 440766 070000x</t>
  </si>
  <si>
    <t>35 440766 999999x</t>
  </si>
  <si>
    <t>foxconn-sz-ROW</t>
  </si>
  <si>
    <t>無線通話用</t>
  </si>
  <si>
    <t>附件07 (FATP手機)</t>
  </si>
  <si>
    <t>152.83 x 71.98 x 12.01</t>
  </si>
  <si>
    <r>
      <rPr>
        <rFont val="Arial"/>
        <color theme="1"/>
      </rPr>
      <t>GAxxxxx-xx-</t>
    </r>
    <r>
      <rPr>
        <rFont val="Arial"/>
        <b/>
        <color rgb="FF0000FF"/>
      </rPr>
      <t>N</t>
    </r>
  </si>
  <si>
    <t>Renmae from "cherrypicked"., which is non-commercial units that are not sold for retail but used for Marketing/PR/Press (公關機，不做銷售使用)</t>
  </si>
  <si>
    <t>Co-use the TAC for ROW</t>
  </si>
  <si>
    <t>35 416229 000000x</t>
  </si>
  <si>
    <t>35 416229 009999x</t>
  </si>
  <si>
    <t>35 416229 010000x</t>
  </si>
  <si>
    <t>35 416229 019999x</t>
  </si>
  <si>
    <t>35 416229 020000x</t>
  </si>
  <si>
    <t>35 416229 999999x</t>
  </si>
  <si>
    <t>9/27 2024
foxconn-sz-JPN</t>
  </si>
  <si>
    <r>
      <rPr>
        <rFont val="Arial"/>
        <color theme="1"/>
      </rPr>
      <t>GAxxxxx-xx</t>
    </r>
    <r>
      <rPr>
        <rFont val="Arial"/>
        <b/>
        <color rgb="FF0000FF"/>
      </rPr>
      <t>-Q</t>
    </r>
  </si>
  <si>
    <t>SKU, CLR1, memory, country, NCU CorpEng, product code) for the GAXXXXX-XX-Q SKUs)</t>
  </si>
  <si>
    <t>35 676628 000000x</t>
  </si>
  <si>
    <t>35 676628 019999x</t>
  </si>
  <si>
    <t>35 676628 020000x</t>
  </si>
  <si>
    <t>35 676628 039999x</t>
  </si>
  <si>
    <t>35 676628 040000x
35 676628 340000x</t>
  </si>
  <si>
    <t>35 676628 999999x
35 676628 639999x</t>
  </si>
  <si>
    <t>1/10 2025
foxconn-vn-NA</t>
  </si>
  <si>
    <t>White Box</t>
  </si>
  <si>
    <t>白盒包</t>
  </si>
  <si>
    <t>測試驗證用手機</t>
  </si>
  <si>
    <t>(1) C to C USB 數據線
(2) C to A USB 數據線
(3) SIM tool 插針
(4) OTG 轉接頭
(5) SIM 卡</t>
  </si>
  <si>
    <t>Golden Sample</t>
  </si>
  <si>
    <r>
      <rPr>
        <rFont val="Arial"/>
        <color theme="1"/>
      </rPr>
      <t>GAxxxxx-xx</t>
    </r>
    <r>
      <rPr>
        <rFont val="Arial"/>
        <b/>
        <color rgb="FF0000FF"/>
      </rPr>
      <t>-N</t>
    </r>
  </si>
  <si>
    <t>SKU, CLR1, memory, country, NCU Pristine, product code"  for the GAXXXXX-XX-N SKUs</t>
  </si>
  <si>
    <t>35 676321 000000x</t>
  </si>
  <si>
    <t>35 676321 009999x</t>
  </si>
  <si>
    <t>35 676321 010000x</t>
  </si>
  <si>
    <t>35 676321 019999x</t>
  </si>
  <si>
    <t>35 676321 020000x</t>
  </si>
  <si>
    <t>35 676321 999999x</t>
  </si>
  <si>
    <t>1/10 2025
foxconn-vn-TMO</t>
  </si>
  <si>
    <t>彩盒包</t>
  </si>
  <si>
    <t>(1) 說明書
(2) C-2-C USB 數據線</t>
  </si>
  <si>
    <t>Dummy</t>
  </si>
  <si>
    <t>GAxxxxx</t>
  </si>
  <si>
    <t xml:space="preserve">Tanley說我們不用特別去管那個，不會在FIH 做。用途是類似在電信商的那種假的展示機   </t>
  </si>
  <si>
    <t>35 484520 000000x</t>
  </si>
  <si>
    <t>35 484520 009999x</t>
  </si>
  <si>
    <t>35 484520 010000x</t>
  </si>
  <si>
    <t>35 484520 019999x</t>
  </si>
  <si>
    <t>35 484520 020000x</t>
  </si>
  <si>
    <t>35 484520 999999x</t>
  </si>
  <si>
    <t>1/10 2025
foxconn-vn-ATT</t>
  </si>
  <si>
    <t>DummyBat Pack</t>
  </si>
  <si>
    <t>白盒假電</t>
  </si>
  <si>
    <r>
      <rPr>
        <rFont val="Arial"/>
        <color theme="1"/>
      </rPr>
      <t>None function unit; dummy unit.</t>
    </r>
    <r>
      <rPr>
        <rFont val="Arial"/>
        <color rgb="FFFF0000"/>
      </rPr>
      <t xml:space="preserve"> [Beatriz; 0329]: NFU is not managed by the CM.</t>
    </r>
    <r>
      <rPr>
        <rFont val="Arial"/>
        <color theme="1"/>
      </rPr>
      <t xml:space="preserve">
用途是類似在電信商的那種假的展示機   </t>
    </r>
  </si>
  <si>
    <t>35 931451 000000x</t>
  </si>
  <si>
    <t>35 931451 009999x</t>
  </si>
  <si>
    <t>35 931451 010000x</t>
  </si>
  <si>
    <t>35 931451 019999x</t>
  </si>
  <si>
    <t>1/10 2025
foxconn-vn-VZW</t>
  </si>
  <si>
    <t>35 795514 000000x</t>
  </si>
  <si>
    <t>35 795514 019999x</t>
  </si>
  <si>
    <t>35 795514 020000x</t>
  </si>
  <si>
    <t>35 795514 039999x</t>
  </si>
  <si>
    <t>1/10 2025
foxconn-vn-ROW</t>
  </si>
  <si>
    <t>Key</t>
  </si>
  <si>
    <t>Color ID</t>
  </si>
  <si>
    <t>Internal Color Name</t>
  </si>
  <si>
    <t>圖片
(正面+反面)</t>
  </si>
  <si>
    <t>35 444932 000000x</t>
  </si>
  <si>
    <t>35 444932 009999x</t>
  </si>
  <si>
    <t>35 444932 010000x</t>
  </si>
  <si>
    <t>35 444932 019999x</t>
  </si>
  <si>
    <t>1/10 2025
foxconn-vn-JPN</t>
  </si>
  <si>
    <t>Midnight Haze</t>
  </si>
  <si>
    <t>foxconn-chennai</t>
  </si>
  <si>
    <t>35 431599 000000x</t>
  </si>
  <si>
    <t>35 431599 009999x</t>
  </si>
  <si>
    <t>35 431599 010000x</t>
  </si>
  <si>
    <t>35 431599 019999x</t>
  </si>
  <si>
    <t>35 431599 020000x</t>
  </si>
  <si>
    <t>35 431599 999999x</t>
  </si>
  <si>
    <t>5/8 2025
foxconn-chennai-NA</t>
  </si>
  <si>
    <t>PPL</t>
  </si>
  <si>
    <t>Frost</t>
  </si>
  <si>
    <t>Iris</t>
  </si>
  <si>
    <t>35 390069 000000x</t>
  </si>
  <si>
    <t>35 390069 009999x</t>
  </si>
  <si>
    <t>35 390069 010000x</t>
  </si>
  <si>
    <t>35 390069 019999x</t>
  </si>
  <si>
    <t>35 390069 020000x</t>
  </si>
  <si>
    <t>35 390069 999999x</t>
  </si>
  <si>
    <t>5/8 2025
foxconn-chennai-ROW</t>
  </si>
  <si>
    <t>YEL</t>
  </si>
  <si>
    <t>Lemongrass</t>
  </si>
  <si>
    <t>Limoncello Midtone</t>
  </si>
  <si>
    <t>Carrier/Region</t>
  </si>
  <si>
    <t>TAC RANGE
出貨地</t>
  </si>
  <si>
    <t>Model#</t>
  </si>
  <si>
    <t>RF SKU</t>
  </si>
  <si>
    <r>
      <rPr>
        <rFont val="Tahoma"/>
        <b/>
        <color rgb="FFFFFFFF"/>
      </rPr>
      <t xml:space="preserve">WCC
</t>
    </r>
    <r>
      <rPr>
        <rFont val="Tahoma"/>
        <b/>
        <color rgb="FFFFFF00"/>
        <sz val="9.0"/>
      </rPr>
      <t>[WiFi Country Code]</t>
    </r>
  </si>
  <si>
    <t>Pallet Label
 棧板標籤</t>
  </si>
  <si>
    <t>IOR Address
[Importer of Record]</t>
  </si>
  <si>
    <t>Ultra Blue</t>
  </si>
  <si>
    <t>ATT Master Carton Label</t>
  </si>
  <si>
    <t>ATT Pallet Label (BTO)
ATT Pallet Label (BTS)</t>
  </si>
  <si>
    <t>Google LLC
1600 Amphitheatre Parkway Mountain View, CA 94043</t>
  </si>
  <si>
    <t>Google Canada Corporation
1741 Lower Street
Suite 600 
Halifax, Nova Scotia B3J 0J2 
Canada</t>
  </si>
  <si>
    <t>GIS</t>
  </si>
  <si>
    <t>Google Japan G.K.
Shibuya Stream , 3-21-3
Shibuya, Shibuya-ku, Tokyo, Japan
150-0002</t>
  </si>
  <si>
    <t>Retail Label
彩盒標籤</t>
  </si>
  <si>
    <t>Rev.</t>
  </si>
  <si>
    <t>Territory</t>
  </si>
  <si>
    <t>TMO Master Carton Label</t>
  </si>
  <si>
    <t>T-Mobile Pallet Label (BTO)
T-Mobile Pallet Label (BTS)</t>
  </si>
  <si>
    <t>Carrier_VZN Retail Label</t>
  </si>
  <si>
    <t>revA</t>
  </si>
  <si>
    <t>VZN/ROW</t>
  </si>
  <si>
    <t>Carrier_ATT Retail Label</t>
  </si>
  <si>
    <t>Carrier_TMO Retail Label</t>
  </si>
  <si>
    <t>TMO(CN/VN)</t>
  </si>
  <si>
    <t>US Retail Label</t>
  </si>
  <si>
    <t>GStore</t>
  </si>
  <si>
    <t>EMEA Retail Label</t>
  </si>
  <si>
    <t>DE/FR/UK/IE/GE</t>
  </si>
  <si>
    <t>JP Retail Label</t>
  </si>
  <si>
    <t>CA Retail Label</t>
  </si>
  <si>
    <t>CA/TW/SG/AU/MY</t>
  </si>
  <si>
    <t>IN Retail Label</t>
  </si>
  <si>
    <t>DEMO_ATT&amp;TMO_Retail Label</t>
  </si>
  <si>
    <t>rev01</t>
  </si>
  <si>
    <t>ATT/TMO</t>
  </si>
  <si>
    <t xml:space="preserve">GK2MP
</t>
  </si>
  <si>
    <t>EU importer: Google Commerce Limited
70 Sir John Rogerson's Quay, Dublin 2 , D02R296 , Ireland 
GB Importer: Google Commerce Limited - UK Establishment 
1 St. Giles High Street, London, WC2H 8AG, United Kingdom</t>
  </si>
  <si>
    <t>DEMO_Retail Label</t>
  </si>
  <si>
    <t>GStore/VZN/CA/TW/SG/AU/MY/EMEA/JP</t>
  </si>
  <si>
    <t>UK,DE, IT, ES, IE,FR, NO,SE,DK,NL, BE, AT, CH, PT, PL, SK,
CEE ( CZ, HU, RO, SI, LV, LT, EE, FI)</t>
  </si>
  <si>
    <t>SW overlay labels for VZN_ ATT_TMO</t>
  </si>
  <si>
    <t>VZN/ATT/TMO</t>
  </si>
  <si>
    <t>EU importer: Google Commerce Limited
70 Sir John Rogerson's Quay, Dublin 2 , D02R296 , Ireland 
GB Importer: Google Commerce Limited - UK Establishment
1 St. Giles High Street, London, WC2H 8AG, United Kingdom</t>
  </si>
  <si>
    <t>Closure Label
封口貼紙</t>
  </si>
  <si>
    <t>Package Type</t>
  </si>
  <si>
    <t>ct/Carton</t>
  </si>
  <si>
    <t>G956-01719-00</t>
  </si>
  <si>
    <t>10ct</t>
  </si>
  <si>
    <t>Closure Label</t>
  </si>
  <si>
    <t>US/VZN/EU/JP有開孔要貼,TMO不使用。</t>
  </si>
  <si>
    <t>G956-01720-00</t>
  </si>
  <si>
    <t>5ct</t>
  </si>
  <si>
    <t>Closure Label (TMO only)</t>
  </si>
  <si>
    <t>G956-01721-00</t>
  </si>
  <si>
    <t>revB</t>
  </si>
  <si>
    <t>ECO-A37852</t>
  </si>
  <si>
    <t>AU,CA/TW,JP, Gstore, Fi</t>
  </si>
  <si>
    <t>DE,FR,UK,IE,SG,GE</t>
  </si>
  <si>
    <t>revC</t>
  </si>
  <si>
    <t>ATT Master Carton Label-1</t>
  </si>
  <si>
    <t>ECO-A34217</t>
  </si>
  <si>
    <t>RETAIL/DEMO</t>
  </si>
  <si>
    <t>G952
Bob Label</t>
  </si>
  <si>
    <t>Bob Label
彩盒底部標籤</t>
  </si>
  <si>
    <t>revD</t>
  </si>
  <si>
    <r>
      <rPr>
        <rFont val="Arial"/>
        <color theme="1"/>
      </rPr>
      <t>ECO-</t>
    </r>
    <r>
      <rPr>
        <rFont val="Arial"/>
        <color rgb="FFFF0000"/>
      </rPr>
      <t>wait</t>
    </r>
  </si>
  <si>
    <t>AU</t>
  </si>
  <si>
    <t>G952-02605-01</t>
  </si>
  <si>
    <t>BoB back Label_1L</t>
  </si>
  <si>
    <t>ECO-A51016</t>
  </si>
  <si>
    <t>MII : Made in India</t>
  </si>
  <si>
    <t>G952-02605-02</t>
  </si>
  <si>
    <t>G952-02605-03</t>
  </si>
  <si>
    <t>G952-02616-01</t>
  </si>
  <si>
    <t>G952-02616-02</t>
  </si>
  <si>
    <t>G952-02616-03</t>
  </si>
  <si>
    <t>G952-02616-04</t>
  </si>
  <si>
    <t>G952-02616-05</t>
  </si>
  <si>
    <t>G952-02616-06</t>
  </si>
  <si>
    <t>BTO: EDI System (透過電子PO下單。)
BTS: Normal case (ship to Google DC, PO # is the Google PO)</t>
  </si>
  <si>
    <t>FR</t>
  </si>
  <si>
    <t>G952-02604-01</t>
  </si>
  <si>
    <t>G952-02604-02</t>
  </si>
  <si>
    <t>ECO-A4882
ECO-A49763
ECO-A48749</t>
  </si>
  <si>
    <t>ATT, EDI System</t>
  </si>
  <si>
    <t>G952-02604-03</t>
  </si>
  <si>
    <t xml:space="preserve">VZW, Normal case </t>
  </si>
  <si>
    <t>G952-02615-01</t>
  </si>
  <si>
    <t>G952-02615-02</t>
  </si>
  <si>
    <t>G952-02615-03</t>
  </si>
  <si>
    <t>G952-02615-04</t>
  </si>
  <si>
    <t>G952-02615-05</t>
  </si>
  <si>
    <t>G952-02615-06</t>
  </si>
  <si>
    <t>G952-02606-01</t>
  </si>
  <si>
    <t>G952-02606-02</t>
  </si>
  <si>
    <t>G952-02606-03</t>
  </si>
  <si>
    <t>G952-02617-01</t>
  </si>
  <si>
    <t>G952-02617-02</t>
  </si>
  <si>
    <t>G952-02617-04</t>
  </si>
  <si>
    <t>G952-02596-01</t>
  </si>
  <si>
    <t>G952-02596-02</t>
  </si>
  <si>
    <t>G952-02596-03</t>
  </si>
  <si>
    <t>G952-02599-01</t>
  </si>
  <si>
    <t>G952-02599-02</t>
  </si>
  <si>
    <t>G952-02599-03</t>
  </si>
  <si>
    <t>G952-02607-01</t>
  </si>
  <si>
    <t>G952-02607-02</t>
  </si>
  <si>
    <t>G952-02607-03</t>
  </si>
  <si>
    <t>G952-02601-01</t>
  </si>
  <si>
    <t>BoB back Label_3L</t>
  </si>
  <si>
    <t>G952-02601-02</t>
  </si>
  <si>
    <t>G952-02601-03</t>
  </si>
  <si>
    <t>G952-02612-01</t>
  </si>
  <si>
    <t>G952-02612-02</t>
  </si>
  <si>
    <t>G952-02602-01</t>
  </si>
  <si>
    <t>BoB back Label_4L</t>
  </si>
  <si>
    <t>G952-02602-02</t>
  </si>
  <si>
    <t>G952-02602-03</t>
  </si>
  <si>
    <t>G952-02613-01</t>
  </si>
  <si>
    <t>G952-02613-02</t>
  </si>
  <si>
    <t>G952-02613-03</t>
  </si>
  <si>
    <t>G952-02613-04</t>
  </si>
  <si>
    <t>G952-02613-05</t>
  </si>
  <si>
    <t>G952-02613-06</t>
  </si>
  <si>
    <t>Level</t>
  </si>
  <si>
    <t>Object</t>
  </si>
  <si>
    <t>Type</t>
  </si>
  <si>
    <t>Release Status</t>
  </si>
  <si>
    <t>G962
Country Kit</t>
  </si>
  <si>
    <t>Sales SKU 前2碼</t>
  </si>
  <si>
    <t>Sales SKU 12-14碼</t>
  </si>
  <si>
    <t>GA10775-JP/01 ECO-A61814-SKU, CLR1, GOOD, SUB6, JP, DEMO, FL5</t>
  </si>
  <si>
    <t>SKU</t>
  </si>
  <si>
    <t>Prototype</t>
  </si>
  <si>
    <t>Abby Tsai (minchieh)</t>
  </si>
  <si>
    <t>GA10775-CA/01 ECO-A61814-SKU, CLR1, GOOD, SUB6, CA/TW/SG/MY/AU/MX, DEMO, FL5</t>
  </si>
  <si>
    <t>GA10776-CA/01 ECO-A61814-SKU, CLR4, GOOD, SUB6, CA/TW/SG/MY/AU/MX, DEMO, FL5</t>
  </si>
  <si>
    <t>GA10772-US/01 ECO-A61814-SKU, CLR4, GOOD, MMWAVE, TMO, US, DEMO, FL5</t>
  </si>
  <si>
    <t>GA10776-US/01 ECO-A61814-SKU, CLR4, GOOD, MMWAVE, GSTORE, US, DEMO, FL5</t>
  </si>
  <si>
    <t>GA10778-IN/01 ECO-A61814-SKU, CLR4, BETTER, SUB6, IN, DEMO, FL5</t>
  </si>
  <si>
    <t>GA10776-JP/01 ECO-A61814-SKU, CLR4, GOOD, SUB6, JP, DEMO, FL5</t>
  </si>
  <si>
    <t>GA10776-GB/01 ECO-A61814-SKU, CLR4, GOOD, SUB6, UK/EU, DEMO, FL5</t>
  </si>
  <si>
    <t>GA10775-GB/01 ECO-A61814-SKU, CLR1, GOOD, SUB6, UK/EU, DEMO, FL5</t>
  </si>
  <si>
    <t>GA10775-US/01 ECO-A61814-SKU, CLR1, GOOD, MMWAVE, GSTORE, US, DEMO, FL5</t>
  </si>
  <si>
    <t>GA10771-US/01 ECO-A61814-SKU, CLR1, GOOD, MMWAVE, TMO, US, DEMO, FL5</t>
  </si>
  <si>
    <t>GA10773-US/01 ECO-A61814-SKU, CLR1, GOOD, MMWAVE, ATT, US, DEMO, FL5</t>
  </si>
  <si>
    <t>GA10777-IN/01 ECO-A61814-SKU, CLR1, BETTER, SUB6, IN, DEMO, FL5</t>
  </si>
  <si>
    <t>GA10215-GB-N/01 ECO-A61814-SKU, CLR3, GOOD, SUB6, UK/EU, PRESS, FL5</t>
  </si>
  <si>
    <t>GA10216-GB-N/01 ECO-A61814-SKU, CLR4, GOOD, SUB6, UK/EU, PRESS, FL5</t>
  </si>
  <si>
    <t>GA10214-GB-N/01 ECO-A61814-SKU, CLR2, GOOD, SUB6, UK/EU, PRESS, FL5</t>
  </si>
  <si>
    <t>GA09744-GB-N/01 ECO-A61814-SKU, CLR1, GOOD, SUB6, UK/EU, PRESS, FL5</t>
  </si>
  <si>
    <t>GA10219-IN/03 ECO-A61702-SKU, CLR4, BETTER, SUB6, IN, FL5</t>
  </si>
  <si>
    <t>Cynthia Liu (cynthialiu)</t>
  </si>
  <si>
    <t>GA09883-IN/03 ECO-A61702-SKU, CLR1, BETTER, SUB6, IN, FL5</t>
  </si>
  <si>
    <t>GA10217-IN/03 ECO-A61702-SKU, CLR2, BETTER, SUB6, IN, FL5</t>
  </si>
  <si>
    <t>GA10218-IN/03 ECO-A61702-SKU, CLR3, BETTER, SUB6, IN, FL5</t>
  </si>
  <si>
    <t>GA10774-US/01 ECO-A61814-SKU, CLR4, GOOD, MMWAVE, ATT, US, DEMO, FL5</t>
  </si>
  <si>
    <t>GA11019-US/01 ECO-A61253-SKU, CLR 4, GOOD, MMWAVE, TMO, IQ, US, FL5</t>
  </si>
  <si>
    <t>Justin Cazalet (cazalet)</t>
  </si>
  <si>
    <t>GA10217-JP/01 ECO-A60361-SKU, CLR2, BETTER, SUB6, JP, FL5</t>
  </si>
  <si>
    <t>GA10217-US/01 ECO-A60361-SKU, CLR2, BETTER, MMWAVE, GSTORE, US, FL5</t>
  </si>
  <si>
    <t>GA09744-GB/01 ECO-A60361-SKU, CLR1, GOOD, SUB6, UK/EU, FL5</t>
  </si>
  <si>
    <t>GA10215-JP/01 ECO-A60361-SKU, CLR3, GOOD, SUB6, JP, FL5</t>
  </si>
  <si>
    <t>GA09883-CA/02 ECO-A60361-SKU, CLR1, BETTER, SUB6, CA/TW/SG/AU/MY/MX, FL5</t>
  </si>
  <si>
    <t>GA09883-US/02 ECO-A60361-SKU, CLR1, BETTER, MMWAVE, GSTORE, US, FL5</t>
  </si>
  <si>
    <t>GA10216-JP/01 ECO-A60361-SKU, CLR4, GOOD, SUB6, JP, FL5</t>
  </si>
  <si>
    <t>GA10218-CA/01 ECO-A60361-SKU, CLR3, BETTER, SUB6, CA/TW/SG/MY/AU/MX, FL5</t>
  </si>
  <si>
    <t>GA10219-US/01 ECO-A60361-SKU, CLR4, BETTER, MMWAVE, Gstore, US, FL5</t>
  </si>
  <si>
    <t>GA09744-CA/02 ECO-A60361-SKU, CLR1, GOOD, SUB6, CA/TW/SG/MY/AU/MX, FL5</t>
  </si>
  <si>
    <t>GA10214-JP/01 ECO-A60361-SKU, CLR2, GOOD, SUB6, JP, FL5</t>
  </si>
  <si>
    <t>GA09883-JP/01 ECO-A60361-SKU, CLR1, BETTER, SUB6, JP, FL5</t>
  </si>
  <si>
    <t>GA10218-US/01 ECO-A60361-SKU, CLR3, BETTER, MMWAVE, GSTORE, US, FL5</t>
  </si>
  <si>
    <t>GA10219-CA/01 ECO-A60361-SKU, CLR4, BETTER, SUB6, CA/TW/SG/MY/AU/MX, FL5</t>
  </si>
  <si>
    <t>GA09744-JP/01 ECO-A60361-SKU, CLR1, GOOD, SUB6, JP, FL5</t>
  </si>
  <si>
    <t>GA09882-US/01 ECO-A60361-SKU, CLR1, BETTER, MMWAVE, TMO, US, FL5</t>
  </si>
  <si>
    <t>GA10216-CA/02 ECO-A60361-SKU, CLR4, GOOD, SUB6, CA/TW/SG/MY/AU/MX, FL5</t>
  </si>
  <si>
    <t>GA10252-US/01 ECO-A60361-SKU, CLR4, GOOD, MMWAVE, Tmobile, US, FL5</t>
  </si>
  <si>
    <t>GA10214-CA/01 ECO-A60361-SKU, CLR2, GOOD, SUB6, CA/TW/SG/MY/AU/MX, FL5</t>
  </si>
  <si>
    <t>GA10219-GB/02 ECO-A60361-SKU, CLR4, BETTER, SUB6, EU/UK, FL5</t>
  </si>
  <si>
    <t>GA10246-US/01 ECO-A60361-SKU, CLR4, GOOD, MMWAVE, AT&amp;T, US, FL5</t>
  </si>
  <si>
    <t>GA09744-US/02 ECO-A60361-SKU, CLR1, GOOD, MMWAVE, GSTORE, US, FL5</t>
  </si>
  <si>
    <t>GA10215-CA/02 ECO-A60361-SKU, CLR3, GOOD, SUB6, CA/TW/SG/MY/AU/MX, FL5</t>
  </si>
  <si>
    <t>GA10243-US/01 ECO-A60361-SKU, CLR4, BETTER, MMWAVE, VZW, US, FL5</t>
  </si>
  <si>
    <t>GA10218-JP/01 ECO-A60361-SKU, CLR3, BETTER, SUB6, JP, FL5</t>
  </si>
  <si>
    <t>GA09883-GB/02 ECO-A60361-SKU, CLR1, BETTER, SUB6, EU/UK, FL5</t>
  </si>
  <si>
    <t>GA09861-US/02 ECO-A60361-SKU, CLR1, GOOD, MMWAVE, AT&amp;T, US, FL5</t>
  </si>
  <si>
    <t>GA10217-CA/02 ECO-A60361-SKU, CLR2, BETTER, SUB6, CA/TW/SG/MY/AU/MX, FL5</t>
  </si>
  <si>
    <t>GA10214-GB/01 ECO-A60361-SKU, CLR2, GOOD, SUB6, EU/UK, FL5</t>
  </si>
  <si>
    <t>GA09880-US/02 ECO-A60361-SKU, CLR1, BETTER, MMWAVE, VZW, US, FL5</t>
  </si>
  <si>
    <t>GA10216-GB/01 ECO-A60361-SKU, CLR4, GOOD, SUB6, EU/UK, FL5</t>
  </si>
  <si>
    <t>GA09862-US/02 ECO-A60361-SKU, CLR1, GOOD, MMWAVE, TMO, US, FL5</t>
  </si>
  <si>
    <t>GA10215-GB/01 ECO-A60361-SKU, CLR3, GOOD, SUB6, EU/UK, FL5</t>
  </si>
  <si>
    <t>GA10215-US/02 ECO-A60361-SKU, CLR3, GOOD, MMWAVE, GSTORE, US, FL5</t>
  </si>
  <si>
    <t>GA10239-US/02 ECO-A60361-SKU, CLR3, GOOD, MMWAVE, VZW, US, FL5</t>
  </si>
  <si>
    <t>IQGA10240-US/01 ECO-A60361-SKU, CLR4, GOOD, MMWAVE, VZW, US, IQ, FL5</t>
  </si>
  <si>
    <t>IQGA10239-US/01 ECO-A60361-SKU, CLR3, GOOD, MMWAVE, VZW, US, IQ, FL5</t>
  </si>
  <si>
    <t>IQGA09425-US/01 ECO-A60361-SKU, CLR1, GOOD, MMWAVE, VZW, US, IQ, FL5</t>
  </si>
  <si>
    <t>IQGA09880-US/01 ECO-A60361-SKU, CLR1, BETTER, MMWAVE, VZW, US, IQ, FL5</t>
  </si>
  <si>
    <t>IQGA10243-US/01 ECO-A60361-SKU, CLR4, BETTER, MMWAVE, VZW, US, IQ, FL5</t>
  </si>
  <si>
    <t>GA10219-JP/01 ECO-A60361-SKU, CLR4, BETTER, SUB6, JP, FL5</t>
  </si>
  <si>
    <t>GA10217-GB/02 ECO-A60361-SKU, CLR2, BETTER, SUB6, EU/UK, FL5</t>
  </si>
  <si>
    <t>GA10238-US/03 ECO-A60361-SKU, CLR2, GOOD, MMWAVE, VZW, US, FL5</t>
  </si>
  <si>
    <t>GA10216-US/02 ECO-A60361-SKU, CLR4, GOOD, MMWAVE, GSTORE, US, FL5</t>
  </si>
  <si>
    <t>GA10218-GB/02 ECO-A60361-SKU, CLR3, BETTER, SUB6, EU/UK, FL5</t>
  </si>
  <si>
    <t>GA10214-US/02 ECO-A60361-SKU, CLR2, GOOD, MMWAVE, GSTORE, US, FL5</t>
  </si>
  <si>
    <t>GA10240-US/02 ECO-A60361-SKU, CLR4, GOOD, MMWAVE, VZW, US, FL5</t>
  </si>
  <si>
    <t>IQGA10238-US/01 ECO-A60361-SKU, CLR2, GOOD, MMWAVE, VZW, US, IQ, FL5</t>
  </si>
  <si>
    <t>GA09425-US/03 ECO-A60361-SKU, CLR1, GOOD, MMWAVE, VZW, US, FL5</t>
  </si>
  <si>
    <t>G954-08541-00</t>
  </si>
  <si>
    <t>G954-08542-00</t>
  </si>
  <si>
    <t>CLNRGOGA10238/01 ECO-A61253-SKU, CLR2, GOOD, MMWAVE, VZW, FL5, FRU</t>
  </si>
  <si>
    <t>G954-09388-00</t>
  </si>
  <si>
    <t>CLNRGOGA10239/01 ECO-A61253-SKU, CLR3, GOOD, MMWAVE, VZW, FL5, FRU</t>
  </si>
  <si>
    <t>CLNRGOGA10243/01 ECO-A61253-SKU, CLR4, BETTER, MMWAVE, VZW, FL5, FRU</t>
  </si>
  <si>
    <t>CLNRGOGA10240/01 ECO-A61253-SKU, CLR4, GOOD, MMWAVE, VZW, FL5, FRU</t>
  </si>
  <si>
    <t>CLNRGOGA09880/01 ECO-A61253-SKU, CLR1, BETTER, MMWAVE, VZW, FL5, FRU</t>
  </si>
  <si>
    <t>CLNRGOGA09425/01 ECO-A61253-SKU, CLR1, GOOD, MMWAVE, VZW, FL5, FRU</t>
  </si>
  <si>
    <t>CLNRGA10252/01 ECO-A61253-SKU, CLR4, GOOD, MMWAVE, TMO, FL5, FRU</t>
  </si>
  <si>
    <t>G954-09387-00</t>
  </si>
  <si>
    <t>CLNRGA09862/01 ECO-A61253-SKU, CLR1, GOOD, MMWAVE, TMO, FL5, FRU</t>
  </si>
  <si>
    <t>CLNRGA09882/01 ECO-A61253-SKU, CLR1, BETTER, MMWAVE, TMO, FL5, FRU</t>
  </si>
  <si>
    <t>CLNRGA09744/01 ECO-A61253-SKU, CLR1, GOOD, MMWAVE, GSTORE, FL5, FRU</t>
  </si>
  <si>
    <t>G954-09389-00</t>
  </si>
  <si>
    <t>CLNRGA10215/01 ECO-A61253-SKU, CLR3, GOOD, MMWAVE, GSTORE, FL5, FRU</t>
  </si>
  <si>
    <t>CLNRGA10216/01 ECO-A61253-SKU, CLR4, GOOD, MMWAVE, GSTORE, FL5, FRU</t>
  </si>
  <si>
    <t>CLNRGA10217/01 ECO-A61253-SKU, CLR2, BETTER, MMWAVE, GSTORE, FL5, FRU</t>
  </si>
  <si>
    <t>CLNRGA10218/01 ECO-A61253-SKU, CLR3, BETTER, MMWAVE, GSTORE, FL5, FRU</t>
  </si>
  <si>
    <t>CLNRGA10214/01 ECO-A61253-SKU, CLR2, GOOD, MMWAVE, GSTORE, FL5, FRU</t>
  </si>
  <si>
    <t>CLNRGA10219/01 ECO-A61253-SKU, CLR4, BETTER, MMWAVE, GSTORE, FL5, FRU</t>
  </si>
  <si>
    <t>CLNRGA09883/01 ECO-A61253-SKU, CLR1, BETTER, MMWAVE, GSTORE, FL5, FRU</t>
  </si>
  <si>
    <t>CLNRGA10541/01 ECO-A61253-SKU, CLR2, GOOD, SUB6, CA/AU, FL5, FRU</t>
  </si>
  <si>
    <t>G954-09475-00</t>
  </si>
  <si>
    <t>CLNRGA10542/01 ECO-A61253-SKU, CLR3, GOOD, SUB6, CA/AU, FL5, FRU</t>
  </si>
  <si>
    <t>CLNRGA10540/01 ECO-A61253-SKU, CLR1, GOOD, SUB6, CA/AU, FL5, FRU</t>
  </si>
  <si>
    <t>CLNRGA10543/01 ECO-A61253-SKU, CLR4, GOOD, SUB6, CA/AU, FL5, FRU</t>
  </si>
  <si>
    <t>CLNRGA10545/01 ECO-A61253-SKU, CLR2, BETTER, SUB6, CA/AU, FL5, FRU</t>
  </si>
  <si>
    <t>CLNRGA10544/01 ECO-A61253-SKU, CLR1, BETTER, SUB6, CA/AU, FL5, FRU</t>
  </si>
  <si>
    <t>CLNRGA10546/01 ECO-A61253-SKU, CLR3, BETTER, SUB6, CA/AU, FL5, FRU</t>
  </si>
  <si>
    <t>CLNRGA10547/01 ECO-A61253-SKU, CLR4, BETTER, SUB6, CA/AU, FL5, FRU</t>
  </si>
  <si>
    <t>CLNRGA10553/01 ECO-A61253-SKU, CLR2, BETTER, SUB6, UK/EU, FL5, FRU</t>
  </si>
  <si>
    <t>G954-09390-00</t>
  </si>
  <si>
    <t>CLNRGA10554/01 ECO-A61253-SKU, CLR3, BETTER, SUB6, UK/EU, FL5, FRU</t>
  </si>
  <si>
    <t>CLNRGA10552/01 ECO-A61253-SKU, CLR1, BETTER, SUB6, UK/EU, FL5, FRU</t>
  </si>
  <si>
    <t>CLNRGA10550/01 ECO-A61253-SKU, CLR3, GOOD, SUB6, UK/EU, FL5, FRU</t>
  </si>
  <si>
    <t>CLNRGA10548/01 ECO-A61253-SKU, CLR1, GOOD, SUB6, UK/EU, FL5, FRU</t>
  </si>
  <si>
    <t>CLNRGA10549/01 ECO-A61253-SKU, CLR2, GOOD, SUB6, UK/EU, FL5, FRU</t>
  </si>
  <si>
    <t>CLNRGA10551/01 ECO-A61253-SKU, CLR4, GOOD, SUB6, UK/EU, FL5, FRU</t>
  </si>
  <si>
    <t>CLNRGA10555/01 ECO-A61253-SKU, CLR4, BETTER, SUB6, UK/EU, FL5, FRU</t>
  </si>
  <si>
    <t>G954-09574-00</t>
  </si>
  <si>
    <t>G962
 Country kit</t>
  </si>
  <si>
    <t>Item</t>
  </si>
  <si>
    <t>DRI: 黃曉冉 &amp; 池志堅 (LH IE)  &amp; Mark Wu (VN IE)</t>
  </si>
  <si>
    <t>(1) FIH LH Side</t>
  </si>
  <si>
    <t>標藍為已建路由，若有新增請及時通知</t>
  </si>
  <si>
    <t>FL5 MP 路由</t>
  </si>
  <si>
    <t>层级</t>
  </si>
  <si>
    <t>路由名称</t>
  </si>
  <si>
    <t>备注</t>
  </si>
  <si>
    <t>线体1（hybird）</t>
  </si>
  <si>
    <t>线体2（AUTO）</t>
  </si>
  <si>
    <t>线体3</t>
  </si>
  <si>
    <t>PACKING</t>
  </si>
  <si>
    <t>工業包ROW</t>
  </si>
  <si>
    <t>FL5_G1-2F-F01</t>
  </si>
  <si>
    <t>FL5_E10-2F-F02</t>
  </si>
  <si>
    <t>FL5_G1-2F-F03</t>
  </si>
  <si>
    <t>AIP</t>
  </si>
  <si>
    <t>AIPPOST</t>
  </si>
  <si>
    <t>PACK-GQDM</t>
  </si>
  <si>
    <t>PACK-CQDM</t>
  </si>
  <si>
    <t>FATP-AIRLK-WT-P</t>
  </si>
  <si>
    <t>FATP-PROV-COMBO</t>
  </si>
  <si>
    <t>PACK-FCOS1-A</t>
  </si>
  <si>
    <t>PACK-OQC2-S</t>
  </si>
  <si>
    <t>PACK-OQC2</t>
  </si>
  <si>
    <t>FATP-FRESET</t>
  </si>
  <si>
    <t>PACK-FCOS1</t>
  </si>
  <si>
    <t>IMEI</t>
  </si>
  <si>
    <t>PACK-LINKWRAP</t>
  </si>
  <si>
    <t>IMEI1</t>
  </si>
  <si>
    <t>CLNRIMEICK</t>
  </si>
  <si>
    <t>ACP</t>
  </si>
  <si>
    <t>工業包ROW+鐳雕SIM</t>
  </si>
  <si>
    <t>PACK-LASER-SIM</t>
  </si>
  <si>
    <t>PACK-SIM-AOI</t>
  </si>
  <si>
    <t>工業包VZN</t>
  </si>
  <si>
    <t>DEVICE</t>
  </si>
  <si>
    <t>DEVICE1</t>
  </si>
  <si>
    <t>FL5-MP-工业包VZN+鐳雕SIM</t>
  </si>
  <si>
    <t>工業包VZN+鐳雕SIM</t>
  </si>
  <si>
    <t>SW FAI</t>
  </si>
  <si>
    <t>线体2</t>
  </si>
  <si>
    <t>线体3（AUTO）</t>
  </si>
  <si>
    <t>FL5-MP-SWFAI</t>
  </si>
  <si>
    <t>SWFAI</t>
  </si>
  <si>
    <t>FL5_E10-2F-F03</t>
  </si>
  <si>
    <t>PACK-IMEI-CK</t>
  </si>
  <si>
    <t>鐳雕</t>
  </si>
  <si>
    <t>accessory</t>
  </si>
  <si>
    <t>FL5-镭雕</t>
  </si>
  <si>
    <t>镭雕后壳</t>
  </si>
  <si>
    <t>FL5_G1-2F-R01</t>
  </si>
  <si>
    <t>OFFLIP</t>
  </si>
  <si>
    <t>LINKDSN</t>
  </si>
  <si>
    <t>LASERENCL</t>
  </si>
  <si>
    <t>OFFLCOS1</t>
  </si>
  <si>
    <t>OFFLCP</t>
  </si>
  <si>
    <t>FL5-镭雕IN</t>
  </si>
  <si>
    <t>镭雕IN</t>
  </si>
  <si>
    <t>LASERENCLIN</t>
  </si>
  <si>
    <t>臨時</t>
  </si>
  <si>
    <t>MMV</t>
  </si>
  <si>
    <t>FATP-USB-CHECK</t>
  </si>
  <si>
    <t>FATP-USB-PACK</t>
  </si>
  <si>
    <t>PACK-INATM</t>
  </si>
  <si>
    <t>PACK-DPS</t>
  </si>
  <si>
    <t>PACK-SLEEVE</t>
  </si>
  <si>
    <t>PACK-WIC1</t>
  </si>
  <si>
    <t>PACK-WIC2</t>
  </si>
  <si>
    <t>PACK-WIC3</t>
  </si>
  <si>
    <t>PACK-FVI</t>
  </si>
  <si>
    <t>OOBE</t>
  </si>
  <si>
    <t>OBAIN</t>
  </si>
  <si>
    <t>OBACOS</t>
  </si>
  <si>
    <t>OBABARO</t>
  </si>
  <si>
    <t>OBAFUN</t>
  </si>
  <si>
    <t>OBASIMAOI</t>
  </si>
  <si>
    <t>OBARESET</t>
  </si>
  <si>
    <t>OBAOPP</t>
  </si>
  <si>
    <t>OBAACC</t>
  </si>
  <si>
    <t>OBABW</t>
  </si>
  <si>
    <t>OBAIMEICK</t>
  </si>
  <si>
    <t>OBAOUT</t>
  </si>
  <si>
    <t>FL5-MP-彩盒包UCD</t>
  </si>
  <si>
    <t>PACK-UCD</t>
  </si>
  <si>
    <t>SUB6</t>
  </si>
  <si>
    <t>FL5-MP-彩盒包+鐳雕SIM+UCD</t>
  </si>
  <si>
    <t>【備註】1. RE: Regular Engraving</t>
  </si>
  <si>
    <t xml:space="preserve">                 2. SE: Security Engraving</t>
  </si>
  <si>
    <t>zombie</t>
  </si>
  <si>
    <t>线体1</t>
  </si>
  <si>
    <t>FL5-MP-OTA+OVER+SIM镭雕</t>
  </si>
  <si>
    <t>FRC+OVER+SIM鐳雕</t>
  </si>
  <si>
    <t>CO</t>
  </si>
  <si>
    <t>FATP-ZOMBIE-OTA</t>
  </si>
  <si>
    <t>OVER</t>
  </si>
  <si>
    <t>FVI2</t>
  </si>
  <si>
    <t>FL5-MP-OTA+OVER</t>
  </si>
  <si>
    <t>FRC+OVER</t>
  </si>
  <si>
    <t>FL5-MP-OTA+SIM镭雕</t>
  </si>
  <si>
    <t>FRC+SIM鐳雕</t>
  </si>
  <si>
    <t>FL5-MP-OTA</t>
  </si>
  <si>
    <t>FRC</t>
  </si>
  <si>
    <t>RC+SIM鐳雕</t>
  </si>
  <si>
    <t>FATP-ZOMBIE-RDM</t>
  </si>
  <si>
    <t>RC</t>
  </si>
  <si>
    <t>FL5-MP-RDM无OBA重流</t>
  </si>
  <si>
    <t>无OBA</t>
  </si>
  <si>
    <t>MT5_F7-4F-Z01</t>
  </si>
  <si>
    <t>MT5_F7-4F-Z02</t>
  </si>
  <si>
    <t>FVI4</t>
  </si>
  <si>
    <t>FL5-MP-OTA-DOE+SIM镭雕</t>
  </si>
  <si>
    <t>OTA Zombie DOE+SIM镭雕</t>
  </si>
  <si>
    <t>FL5_G1-2F-Z01</t>
  </si>
  <si>
    <t>PACK-WAKE</t>
  </si>
  <si>
    <t>PACK-BOOT-CHECK</t>
  </si>
  <si>
    <t>FL5-MP-OTA-DOE</t>
  </si>
  <si>
    <t>OTA Zombie DOE</t>
  </si>
  <si>
    <t>PRQ工業包</t>
  </si>
  <si>
    <t>线体</t>
  </si>
  <si>
    <t>MP 料号出使用</t>
  </si>
  <si>
    <t>FL5-MP-PRQ-通用</t>
  </si>
  <si>
    <t>PRQ all SKU except VZW</t>
  </si>
  <si>
    <t>FL5_E10-4F-F01</t>
  </si>
  <si>
    <t>OQC2</t>
  </si>
  <si>
    <t>FL5-MP-PRQ-VZW</t>
  </si>
  <si>
    <t>PRQ with VZW</t>
  </si>
  <si>
    <t>FL5-MP-不過測站專用</t>
  </si>
  <si>
    <t>不過測站</t>
  </si>
  <si>
    <t>MP GB</t>
  </si>
  <si>
    <t>PVT料号出使用</t>
  </si>
  <si>
    <t>REL shipment Only</t>
  </si>
  <si>
    <t>FL5-MP-REL</t>
  </si>
  <si>
    <t>不過測站,Ship as fail</t>
  </si>
  <si>
    <t>TK4_G3-5F-F11</t>
  </si>
  <si>
    <t>CONFIGURE1</t>
  </si>
  <si>
    <t>CONFIGURE2</t>
  </si>
  <si>
    <t>PACKING（工業包）</t>
  </si>
  <si>
    <t>FL5-PRQ-工业包</t>
  </si>
  <si>
    <t>WT-P+测站</t>
  </si>
  <si>
    <t>(2) FIH VN Side</t>
  </si>
  <si>
    <t>MPS (inc.)</t>
  </si>
  <si>
    <t>MPS (cum)</t>
  </si>
  <si>
    <t>Cume MPS</t>
  </si>
  <si>
    <t>Q2 2025</t>
  </si>
  <si>
    <t>Q3 2025</t>
  </si>
  <si>
    <t>Q4 2025</t>
  </si>
  <si>
    <t>Q1 2026</t>
  </si>
  <si>
    <t>Q2 2026</t>
  </si>
  <si>
    <t>Tech</t>
  </si>
  <si>
    <t>memory</t>
  </si>
  <si>
    <t>Color</t>
  </si>
  <si>
    <t>Sku Type</t>
  </si>
  <si>
    <t>CM</t>
  </si>
  <si>
    <t>Ship to</t>
  </si>
  <si>
    <t>Carriers</t>
  </si>
  <si>
    <t>The 1st 
ex-LH Date (IOQ3+NCU)</t>
  </si>
  <si>
    <t>=if(isblank(G7),"",IFs(isblank(備案提交日期),"On-going",預計完成日期="Finish","Close",isblank(實際完成日期),"On-going",isblank(實際完成日期)=false,"Close"))</t>
  </si>
  <si>
    <t>DRI: 韋菁菁 (關務)</t>
  </si>
  <si>
    <t>On-going</t>
  </si>
  <si>
    <t>[Fomula]</t>
  </si>
  <si>
    <t>[EPM: Hero]</t>
  </si>
  <si>
    <t>[關務: 李怡夢]</t>
  </si>
  <si>
    <t>專案</t>
  </si>
  <si>
    <t>生產
階段</t>
  </si>
  <si>
    <t>Status</t>
  </si>
  <si>
    <t>Config</t>
  </si>
  <si>
    <t>[出貨料號]</t>
  </si>
  <si>
    <t>參考料號</t>
  </si>
  <si>
    <t>商品編碼
HS Code</t>
  </si>
  <si>
    <t>品牌</t>
  </si>
  <si>
    <t>品牌類型</t>
  </si>
  <si>
    <t>型號</t>
  </si>
  <si>
    <t>單重(kg)</t>
  </si>
  <si>
    <t>參考單價
[USD]</t>
  </si>
  <si>
    <t>用途
（適用機型）</t>
  </si>
  <si>
    <t>Description 
(關務備案內容)</t>
  </si>
  <si>
    <r>
      <rPr>
        <rFont val="Tahoma"/>
        <b/>
        <color rgb="FFFF0000"/>
      </rPr>
      <t>規格</t>
    </r>
    <r>
      <rPr>
        <rFont val="Tahoma"/>
        <b/>
        <color rgb="FFFF0000"/>
      </rPr>
      <t xml:space="preserve">
</t>
    </r>
    <r>
      <rPr>
        <rFont val="Tahoma"/>
        <b/>
        <color rgb="FFFF0000"/>
      </rPr>
      <t>(長mm*寬mm*厚mm)</t>
    </r>
  </si>
  <si>
    <t>原產國</t>
  </si>
  <si>
    <t>廠商</t>
  </si>
  <si>
    <t>備案提
交日期</t>
  </si>
  <si>
    <t>預計完
成日期</t>
  </si>
  <si>
    <t>實際完
成日期</t>
  </si>
  <si>
    <t>Modem Fusin</t>
  </si>
  <si>
    <t>備案序號</t>
  </si>
  <si>
    <t>PVT/MP</t>
  </si>
  <si>
    <t>G650-14850-03</t>
  </si>
  <si>
    <t>無品牌</t>
  </si>
  <si>
    <t>無</t>
  </si>
  <si>
    <t>PCBA, Prox Interposer, DL, FL5</t>
  </si>
  <si>
    <t>中國</t>
  </si>
  <si>
    <t>Foxconn</t>
  </si>
  <si>
    <t>PCBA, CLB, ML, FL5</t>
  </si>
  <si>
    <t>手机主板功能設計轉接板</t>
  </si>
  <si>
    <t>ASSY, MLB, PSIM, SUB6, FL5</t>
  </si>
  <si>
    <t>ASSY, MLB, ESIM, MMWAVE, FL5</t>
  </si>
  <si>
    <t>ASSY, MLB, PSIM, SUB6, BETTER, FL5</t>
  </si>
  <si>
    <t>G710-07800-11</t>
  </si>
  <si>
    <t>ASSY, MLB, ESIM, MMWAVE, BETTER, FL5</t>
  </si>
  <si>
    <t>Open</t>
  </si>
  <si>
    <t>[OPM:Miya]</t>
  </si>
  <si>
    <t>[關務:胡景森]</t>
  </si>
  <si>
    <t>顯示屏尺(英寸)</t>
  </si>
  <si>
    <t xml:space="preserve">   材質成份
(用中文表示)</t>
  </si>
  <si>
    <t>平面顯示模組類型（有機發光二極管）</t>
  </si>
  <si>
    <t>是否含驅動器或控制電路</t>
  </si>
  <si>
    <t>是否需要二次加工</t>
  </si>
  <si>
    <r>
      <rPr>
        <rFont val="Tahoma"/>
        <b/>
        <color rgb="FFFF0000"/>
      </rPr>
      <t>規格</t>
    </r>
    <r>
      <rPr>
        <rFont val="Tahoma"/>
        <b/>
        <color rgb="FFFF0000"/>
      </rPr>
      <t xml:space="preserve">
</t>
    </r>
    <r>
      <rPr>
        <rFont val="Tahoma"/>
        <b/>
        <color rgb="FFFF0000"/>
      </rPr>
      <t>(長mm*寬mm*厚mm)</t>
    </r>
  </si>
  <si>
    <t>6.29 英寸</t>
  </si>
  <si>
    <t>手機前蓋組件由顯示屏、玻璃保護蓋，背膠組成。</t>
  </si>
  <si>
    <t>有機發光二極管顯示屏</t>
  </si>
  <si>
    <t>含驅動器和控制電路</t>
  </si>
  <si>
    <t>不需要二次加工</t>
  </si>
  <si>
    <t>ASSY, DISPLAY, FRONT, FL5</t>
  </si>
  <si>
    <t>手機背蓋組件由玻璃背蓋、後鏡頭、無線充電模組與背膠組成。</t>
  </si>
  <si>
    <t>Google</t>
  </si>
  <si>
    <t>有品牌</t>
  </si>
  <si>
    <t>ASSY, BG SUB, CLR1, FL5</t>
  </si>
  <si>
    <t>G730-09533-02</t>
  </si>
  <si>
    <t>ASSY, BG SUB, CLR2, FL5</t>
  </si>
  <si>
    <t>G730-09533-03</t>
  </si>
  <si>
    <t>ASSY, BG SUB, CLR3, FL5</t>
  </si>
  <si>
    <t>ASSY, BG SUB, CLR4, FL5</t>
  </si>
  <si>
    <t>G730-09533-01SKD</t>
  </si>
  <si>
    <t>VN BG SKD</t>
  </si>
  <si>
    <t>ASSY, BG SUB, CLR1, FL5, SKD</t>
  </si>
  <si>
    <t>G730-09533-02SKD</t>
  </si>
  <si>
    <t>ASSY, BG SUB, CLR2, FL5, SKD</t>
  </si>
  <si>
    <t>G730-09533-03SKD</t>
  </si>
  <si>
    <t>ASSY, BG SUB, CLR3, FL5, SKD</t>
  </si>
  <si>
    <t>G730-09533-04SKD</t>
  </si>
  <si>
    <t>ASSY, BG SUB, CLR4, FL5, SKD</t>
  </si>
  <si>
    <t>G730-10772-01SA</t>
  </si>
  <si>
    <t>VN BG SA</t>
  </si>
  <si>
    <t>手機後蓋組件由背蓋，磁铁組成 , 無電池</t>
  </si>
  <si>
    <t>ASSY, BG, VN, CLR1, FL5, SA</t>
  </si>
  <si>
    <t>G730-10772-02SA</t>
  </si>
  <si>
    <t>ASSY, BG, VN, CLR2, FL5, SA</t>
  </si>
  <si>
    <t>G730-10772-03SA</t>
  </si>
  <si>
    <t>ASSY, BG, VN, CLR3, FL5, SA</t>
  </si>
  <si>
    <t>G730-10772-04SA</t>
  </si>
  <si>
    <t>ASSY, BG, VN, CLR4, FL5, SA</t>
  </si>
  <si>
    <t>G710-07670-01INSKD</t>
  </si>
  <si>
    <t>IND CG SKD</t>
  </si>
  <si>
    <t>21FL50001SCPK</t>
  </si>
  <si>
    <t>G730-09533-01INSKD</t>
  </si>
  <si>
    <t>IND BG SKD</t>
  </si>
  <si>
    <t>21FL500001SBPK</t>
  </si>
  <si>
    <t>G730-09533-02INSKD</t>
  </si>
  <si>
    <t>G730-09533-03INSKD</t>
  </si>
  <si>
    <t>G730-09533-04INSKD</t>
  </si>
  <si>
    <t>DRI: 李怡夢 (關務)</t>
  </si>
  <si>
    <t>AS</t>
  </si>
  <si>
    <t>AM</t>
  </si>
  <si>
    <t>others_C</t>
  </si>
  <si>
    <t>others_E</t>
  </si>
  <si>
    <t>others_F</t>
  </si>
  <si>
    <t>境外品牌（貼牌生產)</t>
  </si>
  <si>
    <t>L</t>
  </si>
  <si>
    <t>Others_J</t>
  </si>
  <si>
    <t>核價_Q</t>
  </si>
  <si>
    <t>否</t>
  </si>
  <si>
    <t>others_K</t>
  </si>
  <si>
    <t>開發手機中框組件模型(適用于Google 牌手機)</t>
  </si>
  <si>
    <t>others_g</t>
  </si>
  <si>
    <t>Others_AB</t>
  </si>
  <si>
    <t>others_I</t>
  </si>
  <si>
    <t>Tensor series</t>
  </si>
  <si>
    <t>蜂窩網絡</t>
  </si>
  <si>
    <t>WCDMA&amp;GSM&amp;LTE&amp;5G制式</t>
  </si>
  <si>
    <t>AL</t>
  </si>
  <si>
    <t>K</t>
  </si>
  <si>
    <t>05/22 更新順序</t>
  </si>
  <si>
    <t>Cat</t>
  </si>
  <si>
    <t>出貨料號</t>
  </si>
  <si>
    <t>G950
(XCVR GPN)</t>
  </si>
  <si>
    <t>是否加密</t>
  </si>
  <si>
    <t>功能</t>
  </si>
  <si>
    <r>
      <rPr>
        <rFont val="Tahoma"/>
        <b/>
        <color rgb="FFFF0000"/>
      </rPr>
      <t>規格</t>
    </r>
    <r>
      <rPr>
        <rFont val="Tahoma"/>
        <b/>
        <color rgb="FFFF0000"/>
      </rPr>
      <t xml:space="preserve">
</t>
    </r>
    <r>
      <rPr>
        <rFont val="Tahoma"/>
        <b/>
        <color rgb="FFFF0000"/>
      </rPr>
      <t>(長mm*寬mm*厚mm)</t>
    </r>
  </si>
  <si>
    <t>CPU品牌</t>
  </si>
  <si>
    <t>CPU型號</t>
  </si>
  <si>
    <t>適用網絡種類
（蜂窩網絡、無線網絡、有線網絡、以太網絡)</t>
  </si>
  <si>
    <t>網絡制式</t>
  </si>
  <si>
    <t>圖片 
（TOP/BOT）</t>
  </si>
  <si>
    <t>原預計完
成日期</t>
  </si>
  <si>
    <t>修正 (預計完成日期)</t>
  </si>
  <si>
    <r>
      <rPr>
        <rFont val="Tahoma"/>
        <b/>
        <color rgb="FFFFFF00"/>
        <sz val="13.0"/>
      </rPr>
      <t>LH</t>
    </r>
    <r>
      <rPr>
        <rFont val="Tahoma"/>
        <b/>
        <color rgb="FFFFFF00"/>
        <sz val="11.0"/>
      </rPr>
      <t xml:space="preserve"> </t>
    </r>
    <r>
      <rPr>
        <rFont val="Tahoma"/>
        <b/>
        <color rgb="FFFFFFFF"/>
        <sz val="8.0"/>
      </rPr>
      <t>The 1st 
ex-LH Date (IOQ3+NCU)
 第一次出貨目標日</t>
    </r>
  </si>
  <si>
    <t>研發測試用(適用于Google 牌手機)</t>
  </si>
  <si>
    <t>ASSY, FINAL DEVICE, GOOD, MMWAVE, CLR1, FL5</t>
  </si>
  <si>
    <t>ASSY, FINAL DEVICE, GOOD, SUB6, CLR1, FL5</t>
  </si>
  <si>
    <t>G950-15935-11</t>
  </si>
  <si>
    <t>ASSY, FINAL DEVICE, GOOD, SUB6, CLR2, FL5</t>
  </si>
  <si>
    <t>G950-15935-15</t>
  </si>
  <si>
    <t>ASSY, FINAL DEVICE, BETTER, SUB6, CLR2, FL5</t>
  </si>
  <si>
    <t>G950-15935-04</t>
  </si>
  <si>
    <t>ASSY, FINAL DEVICE, BETTER, MMWAVE, CLR1, FL5</t>
  </si>
  <si>
    <t>G950-15935-14</t>
  </si>
  <si>
    <t>ASSY, FINAL DEVICE, BETTER, SUB6, CLR1, FL5</t>
  </si>
  <si>
    <t>ASSY, FINAL DEVICE, GOOD, MMWAVE, CLR4, FL5</t>
  </si>
  <si>
    <t>ASSY, FINAL DEVICE, GOOD, SUB6, CLR4, FL5</t>
  </si>
  <si>
    <t>ASSY, FINAL DEVICE, BETTER, SUB6, CLR4, FL5</t>
  </si>
  <si>
    <t>G950-15935-01</t>
  </si>
  <si>
    <t>ASSY, FINAL DEVICE, GOOD, MMWAVE, CLR2, FL5</t>
  </si>
  <si>
    <t>G950-15935-02</t>
  </si>
  <si>
    <t>ASSY, FINAL DEVICE, GOOD, MMWAVE, CLR3, FL5</t>
  </si>
  <si>
    <t>G950-15935-12</t>
  </si>
  <si>
    <t>ASSY, FINAL DEVICE, GOOD, SUB6, CLR3, FL5</t>
  </si>
  <si>
    <t>G950-15935-16</t>
  </si>
  <si>
    <t>ASSY, FINAL DEVICE, BETTER, SUB6, CLR3, FL5</t>
  </si>
  <si>
    <t>有附件</t>
  </si>
  <si>
    <t>SKU, CLR1, BETTER, SUB6, UK/EU, FL5</t>
  </si>
  <si>
    <t>SKU, CLR4, GOOD, SUB6, UK/EU, FL5</t>
  </si>
  <si>
    <t>SKU, CLR2, BETTER, SUB6, UK/EU, FL5</t>
  </si>
  <si>
    <t>SKU, CLR3, GOOD, SUB6, UK/EU, FL5</t>
  </si>
  <si>
    <t>SKU, CLR2, GOOD, MMWAVE, GSTORE, US, FL5</t>
  </si>
  <si>
    <t>G950-15935-05</t>
  </si>
  <si>
    <t>ASSY, FINAL DEVICE, BETTER, MMWAVE, CLR2, FL5</t>
  </si>
  <si>
    <t>G950-15935-06</t>
  </si>
  <si>
    <t>ASSY, FINAL DEVICE, BETTER, MMWAVE, CLR3, FL5</t>
  </si>
  <si>
    <t>G950-15935-07</t>
  </si>
  <si>
    <t>ASSY, FINAL DEVICE, BETTER, MMWAVE, CLR4, FL5</t>
  </si>
  <si>
    <t>DRI: Harmoko/Ike (BPM)</t>
  </si>
  <si>
    <t>AY</t>
  </si>
  <si>
    <t>F</t>
  </si>
  <si>
    <t>H</t>
  </si>
  <si>
    <t>M</t>
  </si>
  <si>
    <t>[PE: Cynthia wang ]</t>
  </si>
  <si>
    <t>Sales SKU
[出貨料號]</t>
  </si>
  <si>
    <t>Pack Type</t>
  </si>
  <si>
    <t>LH Price (USD)
INFO +MVA</t>
  </si>
  <si>
    <t>VN Price (USD)
INFO +MVA</t>
  </si>
  <si>
    <t>核價提
交日期</t>
  </si>
  <si>
    <t>Note</t>
  </si>
  <si>
    <r>
      <rPr>
        <rFont val="Tahoma"/>
        <b/>
        <color rgb="FFFFFF00"/>
        <sz val="13.0"/>
      </rPr>
      <t>LH</t>
    </r>
    <r>
      <rPr>
        <rFont val="Tahoma"/>
        <b/>
        <color rgb="FFFFFF00"/>
        <sz val="11.0"/>
      </rPr>
      <t xml:space="preserve"> </t>
    </r>
    <r>
      <rPr>
        <rFont val="Tahoma"/>
        <b/>
        <color rgb="FFFFFFFF"/>
        <sz val="8.0"/>
      </rPr>
      <t>The 1st 
ex-LH Date (IOQ3+NCU)
 第一次出貨目標日</t>
    </r>
  </si>
  <si>
    <t>BG SKD</t>
  </si>
  <si>
    <t>BG SA</t>
  </si>
  <si>
    <t>CG SKD</t>
  </si>
  <si>
    <t>繞港銷帳</t>
  </si>
  <si>
    <t>Sales SKU
 [出貨料號]</t>
  </si>
  <si>
    <t>TAC RANGE
 出貨地</t>
  </si>
  <si>
    <t>GB
 (XCVR GPN)</t>
  </si>
  <si>
    <t>LH Price (USD)
 INFO +MVA</t>
  </si>
  <si>
    <t>VN Price (USD)
 INFO +MVA</t>
  </si>
  <si>
    <t>核價提
 交日期</t>
  </si>
  <si>
    <t>預計完
 成日期</t>
  </si>
  <si>
    <t>實際完
 成日期</t>
  </si>
  <si>
    <t>GB, DE, IT, ES, IE, FR, NL, BE, AT, CH, PT, PL, CEE ( CZ, HU, RO, SI, LV, LT, EE, FI), NO,SE,DK, SK, CA/TW/SG/AU/MY/MX</t>
  </si>
  <si>
    <t>US-Tmobile</t>
  </si>
  <si>
    <t>UK,DE, IT, ES, IE,FR, NO,SE,DK,NL, BE, AT, CH, PT, PL, SK,
 CEE (CZ, RO, HU, SI, LV, LT, EE, FI)</t>
  </si>
  <si>
    <t>DRI: Hero Chen (EPM)</t>
  </si>
  <si>
    <t>BH</t>
  </si>
  <si>
    <t>X</t>
  </si>
  <si>
    <t>TTL:</t>
  </si>
  <si>
    <t>富泰宏</t>
  </si>
  <si>
    <t>工廠出貨用</t>
  </si>
  <si>
    <t>陳冠伶/502619</t>
  </si>
  <si>
    <t>Y</t>
  </si>
  <si>
    <t>[BPM: Harmoko]</t>
  </si>
  <si>
    <t>[經管: 王演文]</t>
  </si>
  <si>
    <t>Request
Date</t>
  </si>
  <si>
    <t>QTY</t>
  </si>
  <si>
    <t>U/P 
(USD)</t>
  </si>
  <si>
    <t>AMT 
(USD)</t>
  </si>
  <si>
    <t>Project</t>
  </si>
  <si>
    <t>Vender</t>
  </si>
  <si>
    <t>請購用途</t>
  </si>
  <si>
    <t>保管人 (姓名/工號)</t>
  </si>
  <si>
    <t>描述</t>
  </si>
  <si>
    <t>PR Start</t>
  </si>
  <si>
    <t>PR end</t>
  </si>
  <si>
    <t>PR#</t>
  </si>
  <si>
    <t>PO Start</t>
  </si>
  <si>
    <t>PO end</t>
  </si>
  <si>
    <t>PO#</t>
  </si>
</sst>
</file>

<file path=xl/styles.xml><?xml version="1.0" encoding="utf-8"?>
<styleSheet xmlns="http://schemas.openxmlformats.org/spreadsheetml/2006/main" xmlns:x14ac="http://schemas.microsoft.com/office/spreadsheetml/2009/9/ac" xmlns:mc="http://schemas.openxmlformats.org/markup-compatibility/2006">
  <numFmts count="24">
    <numFmt numFmtId="164" formatCode="mm&quot;/&quot;dd"/>
    <numFmt numFmtId="165" formatCode="m/d"/>
    <numFmt numFmtId="166" formatCode="yyyy/M/d"/>
    <numFmt numFmtId="167" formatCode="#,##0_);[Red](#,##0)"/>
    <numFmt numFmtId="168" formatCode="0.0000"/>
    <numFmt numFmtId="169" formatCode="0.0000000"/>
    <numFmt numFmtId="170" formatCode="0.00000"/>
    <numFmt numFmtId="171" formatCode="&quot;$&quot;#,##0.00"/>
    <numFmt numFmtId="172" formatCode="[$NT$-404]#,##0.00"/>
    <numFmt numFmtId="173" formatCode="M/d/yyyy"/>
    <numFmt numFmtId="174" formatCode="#,##0,K"/>
    <numFmt numFmtId="175" formatCode="#,##0.0,K"/>
    <numFmt numFmtId="176" formatCode="mmm&quot;'&quot;yy"/>
    <numFmt numFmtId="177" formatCode="m/d/yyyy"/>
    <numFmt numFmtId="178" formatCode="0.0%"/>
    <numFmt numFmtId="179" formatCode="_(* #,##0.0000_);[red]_(* (#,##0.0000);_(* &quot;-&quot;_);_(@_)"/>
    <numFmt numFmtId="180" formatCode="0 &quot;d&quot;"/>
    <numFmt numFmtId="181" formatCode="_(* #,##0.00_);[red]_(* (#,##0.00);_(* &quot;-&quot;_);_(@_)"/>
    <numFmt numFmtId="182" formatCode="m月d日"/>
    <numFmt numFmtId="183" formatCode="yyyy/m/d"/>
    <numFmt numFmtId="184" formatCode="yyyy&quot;-&quot;mm&quot;-&quot;dd"/>
    <numFmt numFmtId="185" formatCode="#,##0_);[Red]\(#,##0\)"/>
    <numFmt numFmtId="186" formatCode="_(* #,##0.00_);_(* \(#,##0.00\);_(* &quot;-&quot;_);_(@_)"/>
    <numFmt numFmtId="187" formatCode="_(\ #,##0.00_);_(\ \(#,##0.00\);_(\ &quot;-&quot;_);_(@_)"/>
  </numFmts>
  <fonts count="166">
    <font>
      <sz val="10.0"/>
      <color rgb="FF000000"/>
      <name val="Arial"/>
      <scheme val="minor"/>
    </font>
    <font>
      <sz val="10.0"/>
      <color theme="1"/>
      <name val="Tahoma"/>
    </font>
    <font>
      <sz val="10.0"/>
      <color rgb="FFFFFFFF"/>
      <name val="Tahoma"/>
    </font>
    <font>
      <sz val="10.0"/>
      <color rgb="FF000000"/>
      <name val="Tahoma"/>
    </font>
    <font>
      <b/>
      <color theme="1"/>
      <name val="Tahoma"/>
    </font>
    <font>
      <color rgb="FFFFFFFF"/>
      <name val="Tahoma"/>
    </font>
    <font/>
    <font>
      <sz val="8.0"/>
      <color theme="1"/>
      <name val="Tahoma"/>
    </font>
    <font>
      <b/>
      <sz val="8.0"/>
      <color theme="1"/>
      <name val="Tahoma"/>
    </font>
    <font>
      <sz val="8.0"/>
      <color rgb="FFFFFFFF"/>
      <name val="Tahoma"/>
    </font>
    <font>
      <b/>
      <sz val="10.0"/>
      <color theme="1"/>
      <name val="Tahoma"/>
    </font>
    <font>
      <b/>
      <u/>
      <sz val="9.0"/>
      <color rgb="FF0000FF"/>
      <name val="Tahoma"/>
    </font>
    <font>
      <b/>
      <u/>
      <sz val="10.0"/>
      <color rgb="FF0000FF"/>
      <name val="Tahoma"/>
    </font>
    <font>
      <b/>
      <u/>
      <sz val="10.0"/>
      <color rgb="FF0000FF"/>
      <name val="Tahoma"/>
    </font>
    <font>
      <b/>
      <u/>
      <sz val="9.0"/>
      <color rgb="FF0000FF"/>
      <name val="Tahoma"/>
    </font>
    <font>
      <b/>
      <sz val="9.0"/>
      <color rgb="FFFFFFFF"/>
      <name val="Tahoma"/>
    </font>
    <font>
      <b/>
      <sz val="10.0"/>
      <color rgb="FFFF0000"/>
      <name val="Tahoma"/>
    </font>
    <font>
      <b/>
      <sz val="10.0"/>
      <color rgb="FFFFFFFF"/>
      <name val="Tahoma"/>
    </font>
    <font>
      <b/>
      <sz val="10.0"/>
      <color rgb="FF000000"/>
      <name val="Tahoma"/>
    </font>
    <font>
      <sz val="8.0"/>
      <color rgb="FFFF0000"/>
      <name val="Tahoma"/>
    </font>
    <font>
      <b/>
      <sz val="8.0"/>
      <color rgb="FFFFFF00"/>
      <name val="Tahoma"/>
    </font>
    <font>
      <u/>
      <sz val="10.0"/>
      <color rgb="FF0000FF"/>
      <name val="Tahoma"/>
    </font>
    <font>
      <u/>
      <sz val="10.0"/>
      <color theme="1"/>
      <name val="Tahoma"/>
    </font>
    <font>
      <u/>
      <color rgb="FF0000FF"/>
    </font>
    <font>
      <u/>
      <sz val="10.0"/>
      <color rgb="FF0000FF"/>
      <name val="Tahoma"/>
    </font>
    <font>
      <u/>
      <sz val="10.0"/>
      <color theme="1"/>
      <name val="Tahoma"/>
    </font>
    <font>
      <u/>
      <sz val="10.0"/>
      <color rgb="FF1155CC"/>
      <name val="Tahoma"/>
    </font>
    <font>
      <u/>
      <color rgb="FFFFFFFF"/>
      <name val="Tahoma"/>
    </font>
    <font>
      <u/>
      <color theme="1"/>
      <name val="Tahoma"/>
    </font>
    <font>
      <u/>
      <color rgb="FF0000FF"/>
      <name val="Tahoma"/>
    </font>
    <font>
      <u/>
      <sz val="10.0"/>
      <color rgb="FF0000FF"/>
      <name val="Tahoma"/>
    </font>
    <font>
      <u/>
      <color rgb="FF1155CC"/>
      <name val="Tahoma"/>
    </font>
    <font>
      <u/>
      <color theme="1"/>
      <name val="Arial"/>
      <scheme val="minor"/>
    </font>
    <font>
      <color theme="1"/>
      <name val="Tahoma"/>
    </font>
    <font>
      <u/>
      <sz val="10.0"/>
      <color rgb="FF0000FF"/>
      <name val="Tahoma"/>
    </font>
    <font>
      <color theme="1"/>
      <name val="Arial"/>
      <scheme val="minor"/>
    </font>
    <font>
      <u/>
      <color rgb="FF1155CC"/>
      <name val="Tahoma"/>
    </font>
    <font>
      <u/>
      <color rgb="FF0000FF"/>
      <name val="Tahoma"/>
    </font>
    <font>
      <u/>
      <sz val="10.0"/>
      <color rgb="FF0000FF"/>
      <name val="Tahoma"/>
    </font>
    <font>
      <u/>
      <color theme="1"/>
      <name val="Tahoma"/>
    </font>
    <font>
      <u/>
      <sz val="10.0"/>
      <color rgb="FFFFFFFF"/>
      <name val="Tahoma"/>
    </font>
    <font>
      <u/>
      <color rgb="FF1155CC"/>
      <name val="Tahoma"/>
    </font>
    <font>
      <u/>
      <color rgb="FF0000FF"/>
    </font>
    <font>
      <u/>
      <sz val="10.0"/>
      <color rgb="FF0000FF"/>
      <name val="Tahoma"/>
    </font>
    <font>
      <u/>
      <color rgb="FF0000FF"/>
      <name val="Tahoma"/>
    </font>
    <font>
      <u/>
      <sz val="10.0"/>
      <color rgb="FF1155CC"/>
      <name val="Tahoma"/>
    </font>
    <font>
      <u/>
      <sz val="10.0"/>
      <color rgb="FF0000FF"/>
      <name val="Tahoma"/>
    </font>
    <font>
      <u/>
      <sz val="10.0"/>
      <color rgb="FF1155CC"/>
      <name val="Tahoma"/>
    </font>
    <font>
      <u/>
      <sz val="10.0"/>
      <color rgb="FF1155CC"/>
      <name val="Tahoma"/>
    </font>
    <font>
      <u/>
      <sz val="10.0"/>
      <color rgb="FF1155CC"/>
      <name val="Tahoma"/>
    </font>
    <font>
      <u/>
      <color theme="0"/>
      <name val="Tahoma"/>
    </font>
    <font>
      <u/>
      <sz val="10.0"/>
      <color rgb="FF0000FF"/>
      <name val="Tahoma"/>
    </font>
    <font>
      <u/>
      <sz val="10.0"/>
      <color theme="1"/>
      <name val="Tahoma"/>
    </font>
    <font>
      <sz val="10.0"/>
      <color rgb="FF1155CC"/>
      <name val="Tahoma"/>
    </font>
    <font>
      <u/>
      <sz val="10.0"/>
      <color theme="1"/>
      <name val="Tahoma"/>
    </font>
    <font>
      <u/>
      <sz val="10.0"/>
      <color rgb="FF1155CC"/>
      <name val="Tahoma"/>
    </font>
    <font>
      <u/>
      <color rgb="FF0000FF"/>
      <name val="Tahoma"/>
    </font>
    <font>
      <u/>
      <sz val="10.0"/>
      <color rgb="FF1155CC"/>
      <name val="Tahoma"/>
    </font>
    <font>
      <u/>
      <color rgb="FF0000FF"/>
      <name val="Tahoma"/>
    </font>
    <font>
      <u/>
      <sz val="10.0"/>
      <color rgb="FF0000FF"/>
      <name val="Tahoma"/>
    </font>
    <font>
      <b/>
      <sz val="18.0"/>
      <color rgb="FF34A853"/>
      <name val="Arial"/>
      <scheme val="minor"/>
    </font>
    <font>
      <color theme="1"/>
      <name val="Arial"/>
    </font>
    <font>
      <u/>
      <color theme="1"/>
      <name val="Tahoma"/>
    </font>
    <font>
      <b/>
      <sz val="18.0"/>
      <color rgb="FF34A853"/>
      <name val="Tahoma"/>
    </font>
    <font>
      <b/>
      <sz val="12.0"/>
      <color rgb="FF0000FF"/>
      <name val="Tahoma"/>
    </font>
    <font>
      <b/>
      <sz val="13.0"/>
      <color rgb="FF34A853"/>
      <name val="Tahoma"/>
    </font>
    <font>
      <b/>
      <sz val="14.0"/>
      <color theme="1"/>
      <name val="Tahoma"/>
    </font>
    <font>
      <sz val="10.0"/>
      <color rgb="FF0B5394"/>
      <name val="Tahoma"/>
    </font>
    <font>
      <b/>
      <sz val="10.0"/>
      <color rgb="FF0B5394"/>
      <name val="Tahoma"/>
    </font>
    <font>
      <b/>
      <sz val="9.0"/>
      <color rgb="FFFF0000"/>
      <name val="Tahoma"/>
    </font>
    <font>
      <sz val="8.0"/>
      <color rgb="FF0000FF"/>
      <name val="Tahoma"/>
    </font>
    <font>
      <b/>
      <sz val="14.0"/>
      <color rgb="FF0000FF"/>
      <name val="Tahoma"/>
    </font>
    <font>
      <sz val="10.0"/>
      <color rgb="FFFF00FF"/>
      <name val="Tahoma"/>
    </font>
    <font>
      <b/>
      <color rgb="FF999999"/>
      <name val="Tahoma"/>
    </font>
    <font>
      <sz val="7.0"/>
      <color rgb="FF8E7CC3"/>
      <name val="Tahoma"/>
    </font>
    <font>
      <sz val="8.0"/>
      <color rgb="FF8E7CC3"/>
      <name val="Tahoma"/>
    </font>
    <font>
      <sz val="8.0"/>
      <color rgb="FF9900FF"/>
      <name val="Tahoma"/>
    </font>
    <font>
      <sz val="8.0"/>
      <color rgb="FFA4C2F4"/>
      <name val="Tahoma"/>
    </font>
    <font>
      <sz val="8.0"/>
      <color rgb="FFCFE2F3"/>
      <name val="Tahoma"/>
    </font>
    <font>
      <sz val="8.0"/>
      <color rgb="FFFF00FF"/>
      <name val="Tahoma"/>
    </font>
    <font>
      <u/>
      <sz val="9.0"/>
      <color theme="1"/>
      <name val="Tahoma"/>
    </font>
    <font>
      <u/>
      <sz val="9.0"/>
      <color theme="1"/>
      <name val="Tahoma"/>
    </font>
    <font>
      <u/>
      <sz val="8.0"/>
      <color rgb="FFFF00FF"/>
      <name val="Tahoma"/>
    </font>
    <font>
      <u/>
      <sz val="8.0"/>
      <color rgb="FFFF00FF"/>
      <name val="Tahoma"/>
    </font>
    <font>
      <b/>
      <sz val="12.0"/>
      <color rgb="FFFFFFFF"/>
      <name val="Tahoma"/>
    </font>
    <font>
      <b/>
      <sz val="8.0"/>
      <color rgb="FFFFFFFF"/>
      <name val="Tahoma"/>
    </font>
    <font>
      <b/>
      <sz val="10.0"/>
      <color rgb="FF333333"/>
      <name val="Tahoma"/>
    </font>
    <font>
      <sz val="11.0"/>
      <color theme="1"/>
      <name val="&quot;Microsoft JhengHei&quot;"/>
    </font>
    <font>
      <sz val="10.0"/>
      <name val="Tahoma"/>
    </font>
    <font>
      <sz val="11.0"/>
      <color theme="1"/>
      <name val="Microsoft JhengHei"/>
    </font>
    <font>
      <sz val="11.0"/>
      <color theme="1"/>
      <name val="Tahoma"/>
    </font>
    <font>
      <color rgb="FF000000"/>
      <name val="Tahoma"/>
    </font>
    <font>
      <b/>
      <sz val="12.0"/>
      <color rgb="FF000000"/>
      <name val="Tahoma"/>
    </font>
    <font>
      <sz val="11.0"/>
      <color theme="1"/>
      <name val="Arial"/>
    </font>
    <font>
      <sz val="10.0"/>
      <color rgb="FFFF0000"/>
      <name val="Tahoma"/>
    </font>
    <font>
      <sz val="11.0"/>
      <color theme="1"/>
      <name val="Calibri"/>
    </font>
    <font>
      <sz val="8.0"/>
      <color rgb="FF6FA8DC"/>
      <name val="Arial"/>
      <scheme val="minor"/>
    </font>
    <font>
      <b/>
      <sz val="10.0"/>
      <color rgb="FFFFFF00"/>
      <name val="Tahoma"/>
    </font>
    <font>
      <b/>
      <color rgb="FFFFFFFF"/>
      <name val="Tahoma"/>
    </font>
    <font>
      <b/>
      <u/>
      <color rgb="FFFFFF00"/>
      <name val="Tahoma"/>
    </font>
    <font>
      <sz val="12.0"/>
      <color rgb="FF000000"/>
      <name val="新細明體"/>
    </font>
    <font>
      <color rgb="FF0000FF"/>
      <name val="Arial"/>
      <scheme val="minor"/>
    </font>
    <font>
      <u/>
      <color rgb="FF0000FF"/>
    </font>
    <font>
      <b/>
      <sz val="11.0"/>
      <color rgb="FF000000"/>
      <name val="新細明體"/>
    </font>
    <font>
      <sz val="11.0"/>
      <color rgb="FF000000"/>
      <name val="新細明體"/>
    </font>
    <font>
      <b/>
      <color theme="1"/>
      <name val="Arial"/>
      <scheme val="minor"/>
    </font>
    <font>
      <color theme="1"/>
      <name val="Calibri"/>
    </font>
    <font>
      <b/>
      <sz val="14.0"/>
      <color rgb="FF34A853"/>
      <name val="Tahoma"/>
    </font>
    <font>
      <b/>
      <sz val="22.0"/>
      <color theme="1"/>
      <name val="Calibri"/>
    </font>
    <font>
      <color theme="1"/>
      <name val="&quot;Microsoft JhengHei&quot;"/>
    </font>
    <font>
      <b/>
      <color theme="1"/>
      <name val="&quot;Microsoft JhengHei&quot;"/>
    </font>
    <font>
      <strike/>
      <sz val="11.0"/>
      <color rgb="FFFF0000"/>
      <name val="Arial"/>
    </font>
    <font>
      <strike/>
      <sz val="11.0"/>
      <color rgb="FFFFFF00"/>
      <name val="Arial"/>
    </font>
    <font>
      <sz val="11.0"/>
      <color rgb="FFFF0000"/>
      <name val="Arial"/>
    </font>
    <font>
      <sz val="11.0"/>
      <color rgb="FF000000"/>
      <name val="Arial"/>
    </font>
    <font>
      <color theme="1"/>
      <name val="Docs-Calibri"/>
    </font>
    <font>
      <strike/>
      <sz val="11.0"/>
      <color theme="1"/>
      <name val="Arial"/>
    </font>
    <font>
      <sz val="11.0"/>
      <color rgb="FF0000FF"/>
      <name val="&quot;Microsoft JhengHei&quot;"/>
    </font>
    <font>
      <sz val="11.0"/>
      <color theme="1"/>
      <name val="Google Sans"/>
    </font>
    <font>
      <color rgb="FFFF00FF"/>
      <name val="Arial"/>
      <scheme val="minor"/>
    </font>
    <font>
      <b/>
      <sz val="8.0"/>
      <color theme="1"/>
      <name val="Arial"/>
    </font>
    <font>
      <b/>
      <sz val="8.0"/>
      <color rgb="FFFFFFFF"/>
      <name val="Arial"/>
    </font>
    <font>
      <sz val="10.0"/>
      <color rgb="FFF3F3F3"/>
      <name val="Tahoma"/>
    </font>
    <font>
      <color rgb="FFFF0000"/>
      <name val="Tahoma"/>
    </font>
    <font>
      <b/>
      <color rgb="FF000000"/>
      <name val="Tahoma"/>
    </font>
    <font>
      <sz val="8.0"/>
      <color rgb="FF6FA8DC"/>
      <name val="Tahoma"/>
    </font>
    <font>
      <color rgb="FF0000FF"/>
      <name val="Tahoma"/>
    </font>
    <font>
      <color rgb="FF2B8F46"/>
      <name val="Tahoma"/>
    </font>
    <font>
      <b/>
      <color rgb="FFFF0000"/>
      <name val="Tahoma"/>
    </font>
    <font>
      <b/>
      <color theme="1"/>
      <name val="Arial"/>
    </font>
    <font>
      <b/>
      <color rgb="FFFF0000"/>
      <name val="Arial"/>
    </font>
    <font>
      <color rgb="FFFF0000"/>
      <name val="Arial"/>
    </font>
    <font>
      <color rgb="FFCFE2F3"/>
      <name val="Arial"/>
    </font>
    <font>
      <b/>
      <color rgb="FFCFE2F3"/>
      <name val="Arial"/>
    </font>
    <font>
      <color rgb="FFEA4335"/>
      <name val="Tahoma"/>
    </font>
    <font>
      <sz val="9.0"/>
      <color rgb="FFFF0000"/>
      <name val="Tahoma"/>
    </font>
    <font>
      <color rgb="FFFF0000"/>
      <name val="Arial"/>
      <scheme val="minor"/>
    </font>
    <font>
      <b/>
      <sz val="8.0"/>
      <color rgb="FF34A853"/>
      <name val="Tahoma"/>
    </font>
    <font>
      <b/>
      <sz val="10.0"/>
      <color rgb="FF34A853"/>
      <name val="Tahoma"/>
    </font>
    <font>
      <sz val="10.0"/>
      <color rgb="FF6FA8DC"/>
      <name val="Tahoma"/>
    </font>
    <font>
      <sz val="8.0"/>
      <color rgb="FF6D9EEB"/>
      <name val="Tahoma"/>
    </font>
    <font>
      <sz val="7.0"/>
      <color rgb="FF6D9EEB"/>
      <name val="Tahoma"/>
    </font>
    <font>
      <b/>
      <sz val="7.0"/>
      <color rgb="FF6D9EEB"/>
      <name val="Tahoma"/>
    </font>
    <font>
      <sz val="7.0"/>
      <color rgb="FFFF0000"/>
      <name val="Tahoma"/>
    </font>
    <font>
      <sz val="7.0"/>
      <color rgb="FF6FA8DC"/>
      <name val="Tahoma"/>
    </font>
    <font>
      <sz val="7.0"/>
      <color rgb="FF0000FF"/>
      <name val="Tahoma"/>
    </font>
    <font>
      <sz val="7.0"/>
      <color theme="1"/>
      <name val="Tahoma"/>
    </font>
    <font>
      <sz val="7.0"/>
      <color rgb="FFFF00FF"/>
      <name val="Tahoma"/>
    </font>
    <font>
      <sz val="9.0"/>
      <color rgb="FFFF00FF"/>
      <name val="Tahoma"/>
    </font>
    <font>
      <b/>
      <sz val="8.0"/>
      <color rgb="FF000000"/>
      <name val="Tahoma"/>
    </font>
    <font>
      <sz val="8.0"/>
      <color rgb="FF000000"/>
      <name val="Tahoma"/>
    </font>
    <font>
      <b/>
      <sz val="7.0"/>
      <color theme="1"/>
      <name val="Tahoma"/>
    </font>
    <font>
      <sz val="10.0"/>
      <color rgb="FF0000FF"/>
      <name val="Tahoma"/>
    </font>
    <font>
      <color rgb="FFFF00FF"/>
      <name val="Tahoma"/>
    </font>
    <font>
      <u/>
      <color rgb="FFFF00FF"/>
      <name val="Tahoma"/>
    </font>
    <font>
      <color rgb="FF000000"/>
      <name val="Arial"/>
    </font>
    <font>
      <b/>
      <color rgb="FFF3F3F3"/>
      <name val="Tahoma"/>
    </font>
    <font>
      <color rgb="FF000000"/>
      <name val="細明體"/>
    </font>
    <font>
      <sz val="7.0"/>
      <color rgb="FF9FC5E8"/>
      <name val="Tahoma"/>
    </font>
    <font>
      <b/>
      <sz val="7.0"/>
      <color rgb="FF9FC5E8"/>
      <name val="Tahoma"/>
    </font>
    <font>
      <sz val="7.0"/>
      <color rgb="FFD5A6BD"/>
      <name val="Tahoma"/>
    </font>
    <font>
      <sz val="8.0"/>
      <color rgb="FFCCCCCC"/>
      <name val="Tahoma"/>
    </font>
    <font>
      <b/>
      <u/>
      <sz val="10.0"/>
      <color rgb="FF0000FF"/>
      <name val="Tahoma"/>
    </font>
    <font>
      <b/>
      <u/>
      <sz val="10.0"/>
      <color rgb="FF0000FF"/>
      <name val="Tahoma"/>
    </font>
    <font>
      <u/>
      <sz val="10.0"/>
      <color rgb="FF0000FF"/>
      <name val="Tahoma"/>
    </font>
    <font>
      <u/>
      <sz val="10.0"/>
      <color rgb="FF0000FF"/>
      <name val="Tahoma"/>
    </font>
  </fonts>
  <fills count="49">
    <fill>
      <patternFill patternType="none"/>
    </fill>
    <fill>
      <patternFill patternType="lightGray"/>
    </fill>
    <fill>
      <patternFill patternType="solid">
        <fgColor rgb="FF073763"/>
        <bgColor rgb="FF073763"/>
      </patternFill>
    </fill>
    <fill>
      <patternFill patternType="solid">
        <fgColor rgb="FF3D85C6"/>
        <bgColor rgb="FF3D85C6"/>
      </patternFill>
    </fill>
    <fill>
      <patternFill patternType="solid">
        <fgColor rgb="FFFFE599"/>
        <bgColor rgb="FFFFE599"/>
      </patternFill>
    </fill>
    <fill>
      <patternFill patternType="solid">
        <fgColor rgb="FFFFD966"/>
        <bgColor rgb="FFFFD966"/>
      </patternFill>
    </fill>
    <fill>
      <patternFill patternType="solid">
        <fgColor rgb="FFF1C232"/>
        <bgColor rgb="FFF1C232"/>
      </patternFill>
    </fill>
    <fill>
      <patternFill patternType="solid">
        <fgColor rgb="FFBF9000"/>
        <bgColor rgb="FFBF9000"/>
      </patternFill>
    </fill>
    <fill>
      <patternFill patternType="solid">
        <fgColor rgb="FF7F6000"/>
        <bgColor rgb="FF7F6000"/>
      </patternFill>
    </fill>
    <fill>
      <patternFill patternType="solid">
        <fgColor rgb="FF666666"/>
        <bgColor rgb="FF666666"/>
      </patternFill>
    </fill>
    <fill>
      <patternFill patternType="solid">
        <fgColor rgb="FF9FC5E8"/>
        <bgColor rgb="FF9FC5E8"/>
      </patternFill>
    </fill>
    <fill>
      <patternFill patternType="solid">
        <fgColor rgb="FFF4C7C3"/>
        <bgColor rgb="FFF4C7C3"/>
      </patternFill>
    </fill>
    <fill>
      <patternFill patternType="solid">
        <fgColor rgb="FFCFE2F3"/>
        <bgColor rgb="FFCFE2F3"/>
      </patternFill>
    </fill>
    <fill>
      <patternFill patternType="solid">
        <fgColor rgb="FFB7B7B7"/>
        <bgColor rgb="FFB7B7B7"/>
      </patternFill>
    </fill>
    <fill>
      <patternFill patternType="solid">
        <fgColor rgb="FFFFFF00"/>
        <bgColor rgb="FFFFFF00"/>
      </patternFill>
    </fill>
    <fill>
      <patternFill patternType="solid">
        <fgColor rgb="FFFF0000"/>
        <bgColor rgb="FFFF0000"/>
      </patternFill>
    </fill>
    <fill>
      <patternFill patternType="solid">
        <fgColor rgb="FF2B8F46"/>
        <bgColor rgb="FF2B8F46"/>
      </patternFill>
    </fill>
    <fill>
      <patternFill patternType="solid">
        <fgColor rgb="FFD9D9D9"/>
        <bgColor rgb="FFD9D9D9"/>
      </patternFill>
    </fill>
    <fill>
      <patternFill patternType="solid">
        <fgColor rgb="FFEAD1DC"/>
        <bgColor rgb="FFEAD1DC"/>
      </patternFill>
    </fill>
    <fill>
      <patternFill patternType="solid">
        <fgColor theme="5"/>
        <bgColor theme="5"/>
      </patternFill>
    </fill>
    <fill>
      <patternFill patternType="solid">
        <fgColor rgb="FFD9D2E9"/>
        <bgColor rgb="FFD9D2E9"/>
      </patternFill>
    </fill>
    <fill>
      <patternFill patternType="solid">
        <fgColor rgb="FFCCCCCC"/>
        <bgColor rgb="FFCCCCCC"/>
      </patternFill>
    </fill>
    <fill>
      <patternFill patternType="solid">
        <fgColor rgb="FFFCD5B4"/>
        <bgColor rgb="FFFCD5B4"/>
      </patternFill>
    </fill>
    <fill>
      <patternFill patternType="solid">
        <fgColor rgb="FFFFFFFF"/>
        <bgColor rgb="FFFFFFFF"/>
      </patternFill>
    </fill>
    <fill>
      <patternFill patternType="solid">
        <fgColor rgb="FFF9CB9C"/>
        <bgColor rgb="FFF9CB9C"/>
      </patternFill>
    </fill>
    <fill>
      <patternFill patternType="solid">
        <fgColor rgb="FFFF00FF"/>
        <bgColor rgb="FFFF00FF"/>
      </patternFill>
    </fill>
    <fill>
      <patternFill patternType="solid">
        <fgColor rgb="FF434343"/>
        <bgColor rgb="FF434343"/>
      </patternFill>
    </fill>
    <fill>
      <patternFill patternType="solid">
        <fgColor rgb="FF6FA8DC"/>
        <bgColor rgb="FF6FA8DC"/>
      </patternFill>
    </fill>
    <fill>
      <patternFill patternType="solid">
        <fgColor theme="7"/>
        <bgColor theme="7"/>
      </patternFill>
    </fill>
    <fill>
      <patternFill patternType="solid">
        <fgColor rgb="FFD9EAD3"/>
        <bgColor rgb="FFD9EAD3"/>
      </patternFill>
    </fill>
    <fill>
      <patternFill patternType="solid">
        <fgColor rgb="FFFF9900"/>
        <bgColor rgb="FFFF9900"/>
      </patternFill>
    </fill>
    <fill>
      <patternFill patternType="solid">
        <fgColor rgb="FF0000FF"/>
        <bgColor rgb="FF0000FF"/>
      </patternFill>
    </fill>
    <fill>
      <patternFill patternType="solid">
        <fgColor rgb="FFA64D79"/>
        <bgColor rgb="FFA64D79"/>
      </patternFill>
    </fill>
    <fill>
      <patternFill patternType="solid">
        <fgColor rgb="FF9900FF"/>
        <bgColor rgb="FF9900FF"/>
      </patternFill>
    </fill>
    <fill>
      <patternFill patternType="solid">
        <fgColor rgb="FF00FFFF"/>
        <bgColor rgb="FF00FFFF"/>
      </patternFill>
    </fill>
    <fill>
      <patternFill patternType="solid">
        <fgColor rgb="FFFFF2CC"/>
        <bgColor rgb="FFFFF2CC"/>
      </patternFill>
    </fill>
    <fill>
      <patternFill patternType="solid">
        <fgColor rgb="FF2D729D"/>
        <bgColor rgb="FF2D729D"/>
      </patternFill>
    </fill>
    <fill>
      <patternFill patternType="solid">
        <fgColor rgb="FF0B5394"/>
        <bgColor rgb="FF0B5394"/>
      </patternFill>
    </fill>
    <fill>
      <patternFill patternType="solid">
        <fgColor rgb="FFC0C0C0"/>
        <bgColor rgb="FFC0C0C0"/>
      </patternFill>
    </fill>
    <fill>
      <patternFill patternType="solid">
        <fgColor rgb="FF00FF00"/>
        <bgColor rgb="FF00FF00"/>
      </patternFill>
    </fill>
    <fill>
      <patternFill patternType="solid">
        <fgColor rgb="FFEA9999"/>
        <bgColor rgb="FFEA9999"/>
      </patternFill>
    </fill>
    <fill>
      <patternFill patternType="solid">
        <fgColor rgb="FFB7E1CD"/>
        <bgColor rgb="FFB7E1CD"/>
      </patternFill>
    </fill>
    <fill>
      <patternFill patternType="solid">
        <fgColor rgb="FFEEE4E8"/>
        <bgColor rgb="FFEEE4E8"/>
      </patternFill>
    </fill>
    <fill>
      <patternFill patternType="solid">
        <fgColor rgb="FF999999"/>
        <bgColor rgb="FF999999"/>
      </patternFill>
    </fill>
    <fill>
      <patternFill patternType="solid">
        <fgColor rgb="FFFCE8B2"/>
        <bgColor rgb="FFFCE8B2"/>
      </patternFill>
    </fill>
    <fill>
      <patternFill patternType="solid">
        <fgColor rgb="FFFBBC04"/>
        <bgColor rgb="FFFBBC04"/>
      </patternFill>
    </fill>
    <fill>
      <patternFill patternType="solid">
        <fgColor rgb="FFC9DAF8"/>
        <bgColor rgb="FFC9DAF8"/>
      </patternFill>
    </fill>
    <fill>
      <patternFill patternType="solid">
        <fgColor rgb="FFFCE5CD"/>
        <bgColor rgb="FFFCE5CD"/>
      </patternFill>
    </fill>
    <fill>
      <patternFill patternType="solid">
        <fgColor rgb="FFF4CCCC"/>
        <bgColor rgb="FFF4CCCC"/>
      </patternFill>
    </fill>
  </fills>
  <borders count="37">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dotted">
        <color rgb="FF000000"/>
      </left>
      <right style="dotted">
        <color rgb="FF000000"/>
      </right>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bottom style="dotted">
        <color rgb="FF000000"/>
      </bottom>
    </border>
    <border>
      <right style="dotted">
        <color rgb="FF000000"/>
      </right>
      <bottom style="dotted">
        <color rgb="FF000000"/>
      </bottom>
    </border>
    <border>
      <left style="dotted">
        <color rgb="FF000000"/>
      </left>
      <top style="dotted">
        <color rgb="FF000000"/>
      </top>
      <bottom style="dotted">
        <color rgb="FF000000"/>
      </bottom>
    </border>
    <border>
      <bottom style="thin">
        <color rgb="FF000000"/>
      </bottom>
    </border>
    <border>
      <right style="thin">
        <color rgb="FF000000"/>
      </right>
      <bottom style="thin">
        <color rgb="FF000000"/>
      </bottom>
    </border>
    <border>
      <left style="thin">
        <color rgb="FF000000"/>
      </left>
    </border>
    <border>
      <left style="thick">
        <color rgb="FFFF0000"/>
      </left>
      <right style="thick">
        <color rgb="FFFF0000"/>
      </right>
    </border>
    <border>
      <right style="thin">
        <color rgb="FF000000"/>
      </right>
    </border>
    <border>
      <left style="double">
        <color rgb="FF000000"/>
      </left>
      <top style="thin">
        <color rgb="FF000000"/>
      </top>
      <bottom style="thin">
        <color rgb="FF000000"/>
      </bottom>
    </border>
    <border>
      <right style="double">
        <color rgb="FF000000"/>
      </right>
      <top style="thin">
        <color rgb="FF000000"/>
      </top>
      <bottom style="thin">
        <color rgb="FF000000"/>
      </bottom>
    </border>
    <border>
      <right style="thin">
        <color rgb="FF000000"/>
      </right>
      <top style="thin">
        <color rgb="FF000000"/>
      </top>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bottom style="thin">
        <color rgb="FF000000"/>
      </bottom>
    </border>
    <border>
      <left style="thick">
        <color rgb="FFFF0000"/>
      </left>
      <right style="thick">
        <color rgb="FFFF0000"/>
      </right>
      <bottom style="thin">
        <color rgb="FF000000"/>
      </bottom>
    </border>
    <border>
      <left style="double">
        <color rgb="FF000000"/>
      </left>
      <right style="thin">
        <color rgb="FF000000"/>
      </right>
      <top style="thin">
        <color rgb="FF000000"/>
      </top>
    </border>
    <border>
      <left style="thin">
        <color rgb="FF000000"/>
      </left>
      <right style="double">
        <color rgb="FF000000"/>
      </right>
      <top style="thin">
        <color rgb="FF000000"/>
      </top>
    </border>
    <border>
      <right style="dotted">
        <color rgb="FF000000"/>
      </right>
      <top style="dotted">
        <color rgb="FF000000"/>
      </top>
    </border>
    <border>
      <left style="dotted">
        <color rgb="FF000000"/>
      </left>
      <right style="dotted">
        <color rgb="FF000000"/>
      </right>
      <top style="dotted">
        <color rgb="FF000000"/>
      </top>
    </border>
    <border>
      <left style="dotted">
        <color rgb="FF000000"/>
      </left>
      <top style="dotted">
        <color rgb="FF000000"/>
      </top>
    </border>
    <border>
      <left/>
      <top/>
      <bottom/>
    </border>
    <border>
      <top style="thin">
        <color rgb="FF000000"/>
      </top>
    </border>
    <border>
      <left style="thin">
        <color rgb="FF000000"/>
      </left>
      <top style="thin">
        <color rgb="FF000000"/>
      </top>
    </border>
    <border>
      <left/>
      <bottom/>
    </border>
    <border>
      <right/>
      <bottom/>
    </border>
    <border>
      <left/>
      <right/>
      <bottom/>
    </border>
  </borders>
  <cellStyleXfs count="1">
    <xf borderId="0" fillId="0" fontId="0" numFmtId="0" applyAlignment="1" applyFont="1"/>
  </cellStyleXfs>
  <cellXfs count="1168">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vertical="center"/>
    </xf>
    <xf borderId="0" fillId="0" fontId="1" numFmtId="0" xfId="0" applyAlignment="1" applyFont="1">
      <alignment horizontal="center" vertical="center"/>
    </xf>
    <xf borderId="1" fillId="0" fontId="4" numFmtId="0" xfId="0" applyAlignment="1" applyBorder="1" applyFont="1">
      <alignment horizontal="center" shrinkToFit="0" vertical="center" wrapText="1"/>
    </xf>
    <xf borderId="2" fillId="0" fontId="4" numFmtId="0" xfId="0" applyAlignment="1" applyBorder="1" applyFont="1">
      <alignment horizontal="center" shrinkToFit="0" vertical="center" wrapText="1"/>
    </xf>
    <xf borderId="3" fillId="2" fontId="5" numFmtId="0" xfId="0" applyAlignment="1" applyBorder="1" applyFill="1" applyFont="1">
      <alignment horizontal="center" readingOrder="0" shrinkToFit="0" vertical="center" wrapText="1"/>
    </xf>
    <xf borderId="4" fillId="0" fontId="6" numFmtId="0" xfId="0" applyBorder="1" applyFont="1"/>
    <xf borderId="5" fillId="0" fontId="6" numFmtId="0" xfId="0" applyBorder="1" applyFont="1"/>
    <xf borderId="4" fillId="3" fontId="5" numFmtId="0" xfId="0" applyAlignment="1" applyBorder="1" applyFill="1" applyFont="1">
      <alignment horizontal="center" readingOrder="0" shrinkToFit="0" vertical="center" wrapText="1"/>
    </xf>
    <xf borderId="0" fillId="0" fontId="7" numFmtId="0" xfId="0" applyAlignment="1" applyFont="1">
      <alignment vertical="center"/>
    </xf>
    <xf borderId="6" fillId="0" fontId="6" numFmtId="0" xfId="0" applyBorder="1" applyFont="1"/>
    <xf borderId="2" fillId="0" fontId="8" numFmtId="0" xfId="0" applyAlignment="1" applyBorder="1" applyFont="1">
      <alignment horizontal="center" shrinkToFit="0" vertical="center" wrapText="1"/>
    </xf>
    <xf borderId="2" fillId="2" fontId="9" numFmtId="0" xfId="0" applyAlignment="1" applyBorder="1" applyFont="1">
      <alignment horizontal="center" readingOrder="0" shrinkToFit="0" vertical="center" wrapText="1"/>
    </xf>
    <xf borderId="2" fillId="3" fontId="9" numFmtId="0" xfId="0" applyAlignment="1" applyBorder="1" applyFont="1">
      <alignment horizontal="center" readingOrder="0" shrinkToFit="0" vertical="center" wrapText="1"/>
    </xf>
    <xf borderId="3" fillId="3" fontId="9" numFmtId="0" xfId="0" applyAlignment="1" applyBorder="1" applyFont="1">
      <alignment horizontal="center" readingOrder="0" shrinkToFit="0" vertical="center" wrapText="1"/>
    </xf>
    <xf borderId="0" fillId="0" fontId="9" numFmtId="0" xfId="0" applyAlignment="1" applyFont="1">
      <alignment horizontal="center" shrinkToFit="0" vertical="center" wrapText="1"/>
    </xf>
    <xf borderId="0" fillId="0" fontId="7" numFmtId="0" xfId="0" applyAlignment="1" applyFont="1">
      <alignment shrinkToFit="0" vertical="center" wrapText="1"/>
    </xf>
    <xf borderId="0" fillId="0" fontId="9" numFmtId="0" xfId="0" applyAlignment="1" applyFont="1">
      <alignment horizontal="center" vertical="center"/>
    </xf>
    <xf borderId="1" fillId="0" fontId="10"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3" fillId="4" fontId="11" numFmtId="0" xfId="0" applyAlignment="1" applyBorder="1" applyFill="1" applyFont="1">
      <alignment horizontal="center" readingOrder="0" shrinkToFit="0" vertical="center" wrapText="1"/>
    </xf>
    <xf borderId="3" fillId="5" fontId="12" numFmtId="0" xfId="0" applyAlignment="1" applyBorder="1" applyFill="1" applyFont="1">
      <alignment horizontal="center" readingOrder="0" shrinkToFit="0" vertical="center" wrapText="1"/>
    </xf>
    <xf borderId="3" fillId="6" fontId="13" numFmtId="0" xfId="0" applyAlignment="1" applyBorder="1" applyFill="1" applyFont="1">
      <alignment horizontal="center" readingOrder="0" shrinkToFit="0" vertical="center" wrapText="1"/>
    </xf>
    <xf borderId="3" fillId="7" fontId="14" numFmtId="0" xfId="0" applyAlignment="1" applyBorder="1" applyFill="1" applyFont="1">
      <alignment horizontal="center" readingOrder="0" shrinkToFit="0" vertical="center" wrapText="1"/>
    </xf>
    <xf borderId="3" fillId="8" fontId="15" numFmtId="0" xfId="0" applyAlignment="1" applyBorder="1" applyFill="1" applyFont="1">
      <alignment horizontal="center" shrinkToFit="0" vertical="center" wrapText="1"/>
    </xf>
    <xf borderId="3" fillId="9" fontId="15" numFmtId="0" xfId="0" applyAlignment="1" applyBorder="1" applyFill="1" applyFont="1">
      <alignment horizontal="center" readingOrder="0" shrinkToFit="0" vertical="center" wrapText="1"/>
    </xf>
    <xf borderId="7" fillId="0" fontId="6" numFmtId="0" xfId="0" applyBorder="1" applyFont="1"/>
    <xf borderId="2" fillId="4" fontId="7" numFmtId="0" xfId="0" applyAlignment="1" applyBorder="1" applyFont="1">
      <alignment horizontal="center" shrinkToFit="0" vertical="center" wrapText="1"/>
    </xf>
    <xf borderId="2" fillId="5" fontId="7" numFmtId="0" xfId="0" applyAlignment="1" applyBorder="1" applyFont="1">
      <alignment horizontal="center" shrinkToFit="0" vertical="center" wrapText="1"/>
    </xf>
    <xf borderId="2" fillId="6" fontId="7" numFmtId="0" xfId="0" applyAlignment="1" applyBorder="1" applyFont="1">
      <alignment horizontal="center" shrinkToFit="0" vertical="center" wrapText="1"/>
    </xf>
    <xf borderId="2" fillId="7" fontId="9" numFmtId="0" xfId="0" applyAlignment="1" applyBorder="1" applyFont="1">
      <alignment horizontal="center" shrinkToFit="0" vertical="center" wrapText="1"/>
    </xf>
    <xf borderId="2" fillId="8" fontId="9" numFmtId="0" xfId="0" applyAlignment="1" applyBorder="1" applyFont="1">
      <alignment horizontal="center" shrinkToFit="0" vertical="center" wrapText="1"/>
    </xf>
    <xf borderId="2" fillId="9" fontId="9" numFmtId="0" xfId="0" applyAlignment="1" applyBorder="1" applyFont="1">
      <alignment horizontal="center" readingOrder="0" shrinkToFit="0" vertical="center" wrapText="1"/>
    </xf>
    <xf borderId="0" fillId="0" fontId="10" numFmtId="0" xfId="0" applyAlignment="1" applyFont="1">
      <alignment vertical="center"/>
    </xf>
    <xf borderId="2" fillId="4" fontId="16" numFmtId="3" xfId="0" applyAlignment="1" applyBorder="1" applyFont="1" applyNumberFormat="1">
      <alignment horizontal="center" readingOrder="0" shrinkToFit="0" vertical="center" wrapText="1"/>
    </xf>
    <xf borderId="2" fillId="4" fontId="16" numFmtId="0" xfId="0" applyAlignment="1" applyBorder="1" applyFont="1">
      <alignment horizontal="center" readingOrder="0" shrinkToFit="0" vertical="center" wrapText="1"/>
    </xf>
    <xf borderId="2" fillId="5" fontId="16" numFmtId="3" xfId="0" applyAlignment="1" applyBorder="1" applyFont="1" applyNumberFormat="1">
      <alignment horizontal="center" readingOrder="0" shrinkToFit="0" vertical="center" wrapText="1"/>
    </xf>
    <xf borderId="2" fillId="6" fontId="16" numFmtId="3" xfId="0" applyAlignment="1" applyBorder="1" applyFont="1" applyNumberFormat="1">
      <alignment horizontal="center" readingOrder="0" shrinkToFit="0" vertical="center" wrapText="1"/>
    </xf>
    <xf borderId="2" fillId="7" fontId="17" numFmtId="3" xfId="0" applyAlignment="1" applyBorder="1" applyFont="1" applyNumberFormat="1">
      <alignment horizontal="center" readingOrder="0" shrinkToFit="0" vertical="center" wrapText="1"/>
    </xf>
    <xf borderId="2" fillId="8" fontId="17" numFmtId="3" xfId="0" applyAlignment="1" applyBorder="1" applyFont="1" applyNumberFormat="1">
      <alignment horizontal="center" readingOrder="0" shrinkToFit="0" vertical="center" wrapText="1"/>
    </xf>
    <xf borderId="2" fillId="9" fontId="17" numFmtId="0" xfId="0" applyAlignment="1" applyBorder="1" applyFont="1">
      <alignment horizontal="center" readingOrder="0" shrinkToFit="0" vertical="center" wrapText="1"/>
    </xf>
    <xf borderId="0" fillId="0" fontId="10" numFmtId="0" xfId="0" applyAlignment="1" applyFont="1">
      <alignment shrinkToFit="0" vertical="center" wrapText="1"/>
    </xf>
    <xf borderId="0" fillId="0" fontId="18" numFmtId="0" xfId="0" applyAlignment="1" applyFont="1">
      <alignment horizontal="left" readingOrder="0" vertical="center"/>
    </xf>
    <xf borderId="2" fillId="10" fontId="8" numFmtId="0" xfId="0" applyAlignment="1" applyBorder="1" applyFill="1" applyFont="1">
      <alignment horizontal="center" shrinkToFit="0" vertical="center" wrapText="1"/>
    </xf>
    <xf borderId="2" fillId="10" fontId="7" numFmtId="164" xfId="0" applyAlignment="1" applyBorder="1" applyFont="1" applyNumberFormat="1">
      <alignment horizontal="center" shrinkToFit="0" vertical="center" wrapText="1"/>
    </xf>
    <xf borderId="2" fillId="10" fontId="8" numFmtId="164" xfId="0" applyAlignment="1" applyBorder="1" applyFont="1" applyNumberFormat="1">
      <alignment horizontal="center" shrinkToFit="0" vertical="center" wrapText="1"/>
    </xf>
    <xf borderId="2" fillId="11" fontId="7" numFmtId="0" xfId="0" applyAlignment="1" applyBorder="1" applyFill="1" applyFont="1">
      <alignment horizontal="center" shrinkToFit="0" vertical="center" wrapText="1"/>
    </xf>
    <xf borderId="2" fillId="11" fontId="7" numFmtId="164" xfId="0" applyAlignment="1" applyBorder="1" applyFont="1" applyNumberFormat="1">
      <alignment horizontal="center" shrinkToFit="0" vertical="center" wrapText="1"/>
    </xf>
    <xf borderId="2" fillId="12" fontId="7" numFmtId="0" xfId="0" applyAlignment="1" applyBorder="1" applyFill="1" applyFont="1">
      <alignment horizontal="center" shrinkToFit="0" vertical="center" wrapText="1"/>
    </xf>
    <xf borderId="2" fillId="13" fontId="7" numFmtId="164" xfId="0" applyAlignment="1" applyBorder="1" applyFill="1" applyFont="1" applyNumberFormat="1">
      <alignment horizontal="center" readingOrder="0" shrinkToFit="0" vertical="center" wrapText="1"/>
    </xf>
    <xf borderId="2" fillId="12" fontId="7" numFmtId="164" xfId="0" applyAlignment="1" applyBorder="1" applyFont="1" applyNumberFormat="1">
      <alignment horizontal="center" shrinkToFit="0" vertical="center" wrapText="1"/>
    </xf>
    <xf borderId="2" fillId="13" fontId="7" numFmtId="0" xfId="0" applyAlignment="1" applyBorder="1" applyFont="1">
      <alignment horizontal="center" readingOrder="0" shrinkToFit="0" vertical="center" wrapText="1"/>
    </xf>
    <xf borderId="2" fillId="14" fontId="7" numFmtId="0" xfId="0" applyAlignment="1" applyBorder="1" applyFill="1" applyFont="1">
      <alignment horizontal="center" readingOrder="0" shrinkToFit="0" vertical="center" wrapText="1"/>
    </xf>
    <xf borderId="2" fillId="0" fontId="7" numFmtId="164" xfId="0" applyAlignment="1" applyBorder="1" applyFont="1" applyNumberFormat="1">
      <alignment horizontal="center" shrinkToFit="0" vertical="center" wrapText="1"/>
    </xf>
    <xf borderId="2" fillId="0" fontId="7" numFmtId="0" xfId="0" applyAlignment="1" applyBorder="1" applyFont="1">
      <alignment horizontal="center" readingOrder="0" shrinkToFit="0" vertical="center" wrapText="1"/>
    </xf>
    <xf borderId="2" fillId="0" fontId="7" numFmtId="164" xfId="0" applyAlignment="1" applyBorder="1" applyFont="1" applyNumberFormat="1">
      <alignment horizontal="center" readingOrder="0" shrinkToFit="0" vertical="center" wrapText="1"/>
    </xf>
    <xf borderId="2" fillId="13" fontId="7" numFmtId="164" xfId="0" applyAlignment="1" applyBorder="1" applyFont="1" applyNumberFormat="1">
      <alignment horizontal="center" shrinkToFit="0" vertical="center" wrapText="1"/>
    </xf>
    <xf borderId="2" fillId="13" fontId="7" numFmtId="165" xfId="0" applyAlignment="1" applyBorder="1" applyFont="1" applyNumberFormat="1">
      <alignment horizontal="center" readingOrder="0" shrinkToFit="0" vertical="center" wrapText="1"/>
    </xf>
    <xf borderId="2" fillId="12" fontId="7" numFmtId="0" xfId="0" applyAlignment="1" applyBorder="1" applyFont="1">
      <alignment horizontal="center" readingOrder="0" shrinkToFit="0" vertical="center" wrapText="1"/>
    </xf>
    <xf borderId="2" fillId="13" fontId="19" numFmtId="164" xfId="0" applyAlignment="1" applyBorder="1" applyFont="1" applyNumberFormat="1">
      <alignment horizontal="center" readingOrder="0" shrinkToFit="0" vertical="center" wrapText="1"/>
    </xf>
    <xf borderId="2" fillId="15" fontId="20" numFmtId="164" xfId="0" applyAlignment="1" applyBorder="1" applyFill="1" applyFont="1" applyNumberFormat="1">
      <alignment horizontal="center" readingOrder="0" shrinkToFit="0" vertical="center" wrapText="1"/>
    </xf>
    <xf borderId="0" fillId="0" fontId="2" numFmtId="0" xfId="0" applyAlignment="1" applyFont="1">
      <alignment horizontal="center" vertical="center"/>
    </xf>
    <xf borderId="0" fillId="0" fontId="2" numFmtId="0" xfId="0" applyAlignment="1" applyFont="1">
      <alignment horizontal="center" readingOrder="0" shrinkToFit="0" vertical="center" wrapText="1"/>
    </xf>
    <xf borderId="0" fillId="16" fontId="2" numFmtId="0" xfId="0" applyAlignment="1" applyFill="1" applyFont="1">
      <alignment horizontal="center" shrinkToFit="0" vertical="center" wrapText="1"/>
    </xf>
    <xf borderId="0" fillId="16" fontId="2" numFmtId="0" xfId="0" applyAlignment="1" applyFont="1">
      <alignment horizontal="center" readingOrder="0" shrinkToFit="0" vertical="center" wrapText="1"/>
    </xf>
    <xf borderId="0" fillId="16" fontId="2" numFmtId="0" xfId="0" applyAlignment="1" applyFont="1">
      <alignment horizontal="center" readingOrder="0" shrinkToFit="0" vertical="center" wrapText="1"/>
    </xf>
    <xf borderId="0" fillId="0" fontId="3" numFmtId="0" xfId="0" applyAlignment="1" applyFont="1">
      <alignment readingOrder="0" vertical="center"/>
    </xf>
    <xf borderId="0" fillId="14" fontId="21" numFmtId="0" xfId="0" applyAlignment="1" applyFont="1">
      <alignment readingOrder="0" shrinkToFit="0" vertical="center" wrapText="1"/>
    </xf>
    <xf borderId="0" fillId="0" fontId="22" numFmtId="0" xfId="0" applyAlignment="1" applyFont="1">
      <alignment readingOrder="0" shrinkToFit="0" vertical="center" wrapText="1"/>
    </xf>
    <xf borderId="0" fillId="14" fontId="23" numFmtId="0" xfId="0" applyAlignment="1" applyFont="1">
      <alignment horizontal="left" readingOrder="0" vertical="center"/>
    </xf>
    <xf borderId="0" fillId="14" fontId="24" numFmtId="0" xfId="0" applyAlignment="1" applyFont="1">
      <alignment readingOrder="0" shrinkToFit="0" vertical="center" wrapText="1"/>
    </xf>
    <xf borderId="0" fillId="0" fontId="25" numFmtId="0" xfId="0" applyAlignment="1" applyFont="1">
      <alignment horizontal="left" readingOrder="0" shrinkToFit="0" vertical="center" wrapText="1"/>
    </xf>
    <xf borderId="0" fillId="0" fontId="26" numFmtId="0" xfId="0" applyAlignment="1" applyFont="1">
      <alignment readingOrder="0" vertical="center"/>
    </xf>
    <xf borderId="0" fillId="15" fontId="27" numFmtId="0" xfId="0" applyAlignment="1" applyFont="1">
      <alignment shrinkToFit="0" wrapText="1"/>
    </xf>
    <xf borderId="0" fillId="0" fontId="28" numFmtId="0" xfId="0" applyAlignment="1" applyFont="1">
      <alignment shrinkToFit="0" wrapText="1"/>
    </xf>
    <xf borderId="0" fillId="14" fontId="29" numFmtId="0" xfId="0" applyAlignment="1" applyFont="1">
      <alignment horizontal="left" readingOrder="0" vertical="center"/>
    </xf>
    <xf borderId="0" fillId="0" fontId="30"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14" fontId="31" numFmtId="0" xfId="0" applyAlignment="1" applyFont="1">
      <alignment shrinkToFit="0" vertical="bottom" wrapText="1"/>
    </xf>
    <xf borderId="0" fillId="15" fontId="2" numFmtId="0" xfId="0" applyAlignment="1" applyFont="1">
      <alignment horizontal="left" readingOrder="0" shrinkToFit="0" vertical="center" wrapText="1"/>
    </xf>
    <xf borderId="0" fillId="0" fontId="32" numFmtId="0" xfId="0" applyAlignment="1" applyFont="1">
      <alignment horizontal="left" readingOrder="0" vertical="center"/>
    </xf>
    <xf borderId="0" fillId="0" fontId="1" numFmtId="0" xfId="0" applyAlignment="1" applyFont="1">
      <alignment horizontal="left" readingOrder="0" shrinkToFit="0" vertical="center" wrapText="1"/>
    </xf>
    <xf borderId="0" fillId="0" fontId="33" numFmtId="0" xfId="0" applyAlignment="1" applyFont="1">
      <alignment vertical="center"/>
    </xf>
    <xf borderId="0" fillId="0" fontId="34" numFmtId="0" xfId="0" applyAlignment="1" applyFont="1">
      <alignment readingOrder="0" shrinkToFit="0" vertical="center" wrapText="1"/>
    </xf>
    <xf borderId="0" fillId="14" fontId="35"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36" numFmtId="0" xfId="0" applyAlignment="1" applyFont="1">
      <alignment shrinkToFit="0" wrapText="1"/>
    </xf>
    <xf borderId="0" fillId="0" fontId="1" numFmtId="0" xfId="0" applyAlignment="1" applyFont="1">
      <alignment readingOrder="0" shrinkToFit="0" vertical="center" wrapText="1"/>
    </xf>
    <xf borderId="0" fillId="0" fontId="37" numFmtId="0" xfId="0" applyAlignment="1" applyFont="1">
      <alignment readingOrder="0" shrinkToFit="0" wrapText="1"/>
    </xf>
    <xf borderId="0" fillId="0" fontId="1" numFmtId="0" xfId="0" applyAlignment="1" applyFont="1">
      <alignment readingOrder="0" vertical="center"/>
    </xf>
    <xf borderId="0" fillId="0" fontId="33" numFmtId="0" xfId="0" applyAlignment="1" applyFont="1">
      <alignment horizontal="left" readingOrder="0" vertical="center"/>
    </xf>
    <xf borderId="0" fillId="14" fontId="38" numFmtId="0" xfId="0" applyAlignment="1" applyFont="1">
      <alignment horizontal="left" readingOrder="0" shrinkToFit="0" vertical="center" wrapText="1"/>
    </xf>
    <xf borderId="0" fillId="0" fontId="39" numFmtId="0" xfId="0" applyAlignment="1" applyFont="1">
      <alignment readingOrder="0" shrinkToFit="0" vertical="center" wrapText="1"/>
    </xf>
    <xf borderId="0" fillId="0" fontId="40" numFmtId="0" xfId="0" applyAlignment="1" applyFont="1">
      <alignment readingOrder="0" vertical="center"/>
    </xf>
    <xf borderId="0" fillId="14" fontId="41" numFmtId="0" xfId="0" applyAlignment="1" applyFont="1">
      <alignment shrinkToFit="0" wrapText="1"/>
    </xf>
    <xf borderId="0" fillId="17" fontId="42" numFmtId="0" xfId="0" applyAlignment="1" applyFill="1" applyFont="1">
      <alignment horizontal="left" readingOrder="0" vertical="center"/>
    </xf>
    <xf borderId="0" fillId="0" fontId="35" numFmtId="0" xfId="0" applyAlignment="1" applyFont="1">
      <alignment horizontal="left" vertical="center"/>
    </xf>
    <xf borderId="0" fillId="17" fontId="43" numFmtId="0" xfId="0" applyAlignment="1" applyFont="1">
      <alignment horizontal="left" readingOrder="0" shrinkToFit="0" vertical="center" wrapText="1"/>
    </xf>
    <xf borderId="0" fillId="17" fontId="44" numFmtId="0" xfId="0" applyAlignment="1" applyFont="1">
      <alignment readingOrder="0" shrinkToFit="0" vertical="center" wrapText="1"/>
    </xf>
    <xf borderId="0" fillId="0" fontId="45" numFmtId="0" xfId="0" applyAlignment="1" applyFont="1">
      <alignment readingOrder="0" shrinkToFit="0" vertical="center" wrapText="1"/>
    </xf>
    <xf borderId="0" fillId="18" fontId="46" numFmtId="0" xfId="0" applyAlignment="1" applyFill="1" applyFont="1">
      <alignment horizontal="left" readingOrder="0" shrinkToFit="0" vertical="center" wrapText="1"/>
    </xf>
    <xf borderId="0" fillId="0" fontId="47" numFmtId="0" xfId="0" applyAlignment="1" applyFont="1">
      <alignment readingOrder="0" shrinkToFit="0" vertical="center" wrapText="1"/>
    </xf>
    <xf borderId="0" fillId="0" fontId="33" numFmtId="0" xfId="0" applyAlignment="1" applyFont="1">
      <alignment readingOrder="0" shrinkToFit="0" vertical="center" wrapText="1"/>
    </xf>
    <xf borderId="0" fillId="18" fontId="48" numFmtId="0" xfId="0" applyAlignment="1" applyFont="1">
      <alignment readingOrder="0" shrinkToFit="0" vertical="center" wrapText="1"/>
    </xf>
    <xf borderId="0" fillId="0" fontId="49"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19" fontId="50" numFmtId="0" xfId="0" applyAlignment="1" applyFill="1" applyFont="1">
      <alignment readingOrder="0" shrinkToFit="0" vertical="center" wrapText="1"/>
    </xf>
    <xf borderId="0" fillId="0" fontId="51" numFmtId="0" xfId="0" applyAlignment="1" applyFont="1">
      <alignment readingOrder="0" shrinkToFit="0" vertical="center" wrapText="1"/>
    </xf>
    <xf borderId="0" fillId="0" fontId="52"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left" shrinkToFit="0" vertical="center" wrapText="1"/>
    </xf>
    <xf borderId="0" fillId="0" fontId="53" numFmtId="0" xfId="0" applyAlignment="1" applyFont="1">
      <alignment readingOrder="0" shrinkToFit="0" vertical="center" wrapText="1"/>
    </xf>
    <xf borderId="0" fillId="0" fontId="1" numFmtId="0" xfId="0" applyAlignment="1" applyFont="1">
      <alignment readingOrder="0" shrinkToFit="0" vertical="center" wrapText="1"/>
    </xf>
    <xf borderId="0" fillId="0" fontId="54" numFmtId="0" xfId="0" applyAlignment="1" applyFont="1">
      <alignment horizontal="left" shrinkToFit="0" vertical="center" wrapText="1"/>
    </xf>
    <xf borderId="0" fillId="0" fontId="55" numFmtId="0" xfId="0" applyAlignment="1" applyFont="1">
      <alignment vertical="center"/>
    </xf>
    <xf borderId="0" fillId="0" fontId="2" numFmtId="0" xfId="0" applyAlignment="1" applyFont="1">
      <alignment readingOrder="0" shrinkToFit="0" vertical="center" wrapText="1"/>
    </xf>
    <xf borderId="0" fillId="14" fontId="56" numFmtId="0" xfId="0" applyAlignment="1" applyFont="1">
      <alignment readingOrder="0" vertical="center"/>
    </xf>
    <xf borderId="0" fillId="0" fontId="33" numFmtId="0" xfId="0" applyAlignment="1" applyFont="1">
      <alignment readingOrder="0" vertical="center"/>
    </xf>
    <xf borderId="0" fillId="14" fontId="3" numFmtId="0" xfId="0" applyAlignment="1" applyFont="1">
      <alignment readingOrder="0" shrinkToFit="0" vertical="center" wrapText="1"/>
    </xf>
    <xf borderId="0" fillId="17" fontId="57" numFmtId="0" xfId="0" applyAlignment="1" applyFont="1">
      <alignment readingOrder="0" shrinkToFit="0" vertical="center" wrapText="1"/>
    </xf>
    <xf borderId="0" fillId="20" fontId="58" numFmtId="0" xfId="0" applyAlignment="1" applyFill="1" applyFont="1">
      <alignment readingOrder="0" shrinkToFit="0" vertical="center" wrapText="1"/>
    </xf>
    <xf borderId="0" fillId="21" fontId="59" numFmtId="0" xfId="0" applyAlignment="1" applyFill="1" applyFont="1">
      <alignment readingOrder="0" shrinkToFit="0" vertical="center" wrapText="1"/>
    </xf>
    <xf borderId="0" fillId="0" fontId="35" numFmtId="0" xfId="0" applyAlignment="1" applyFont="1">
      <alignment readingOrder="0" vertical="center"/>
    </xf>
    <xf borderId="0" fillId="0" fontId="60" numFmtId="0" xfId="0" applyAlignment="1" applyFont="1">
      <alignment readingOrder="0" vertical="center"/>
    </xf>
    <xf borderId="0" fillId="0" fontId="61" numFmtId="0" xfId="0" applyAlignment="1" applyFont="1">
      <alignment vertical="center"/>
    </xf>
    <xf borderId="0" fillId="0" fontId="61" numFmtId="0" xfId="0" applyAlignment="1" applyFont="1">
      <alignment vertical="top"/>
    </xf>
    <xf borderId="0" fillId="0" fontId="61" numFmtId="0" xfId="0" applyAlignment="1" applyFont="1">
      <alignment shrinkToFit="0" vertical="center" wrapText="1"/>
    </xf>
    <xf borderId="0" fillId="0" fontId="35" numFmtId="0" xfId="0" applyAlignment="1" applyFont="1">
      <alignment vertical="center"/>
    </xf>
    <xf borderId="0" fillId="0" fontId="61" numFmtId="0" xfId="0" applyAlignment="1" applyFont="1">
      <alignment horizontal="center" vertical="center"/>
    </xf>
    <xf borderId="0" fillId="0" fontId="4" numFmtId="0" xfId="0" applyAlignment="1" applyFont="1">
      <alignment horizontal="center" vertical="center"/>
    </xf>
    <xf borderId="0" fillId="0" fontId="4" numFmtId="166" xfId="0" applyAlignment="1" applyFont="1" applyNumberFormat="1">
      <alignment horizontal="center" vertical="center"/>
    </xf>
    <xf borderId="0" fillId="0" fontId="4" numFmtId="0" xfId="0" applyAlignment="1" applyFont="1">
      <alignment horizontal="center" shrinkToFit="0" vertical="top" wrapText="1"/>
    </xf>
    <xf borderId="0" fillId="0" fontId="4" numFmtId="0" xfId="0" applyAlignment="1" applyFont="1">
      <alignment horizontal="center" shrinkToFit="0" vertical="center" wrapText="1"/>
    </xf>
    <xf borderId="0" fillId="0" fontId="35" numFmtId="0" xfId="0" applyAlignment="1" applyFont="1">
      <alignment horizontal="center" vertical="center"/>
    </xf>
    <xf borderId="2" fillId="22" fontId="4" numFmtId="0" xfId="0" applyAlignment="1" applyBorder="1" applyFill="1" applyFont="1">
      <alignment horizontal="center" vertical="center"/>
    </xf>
    <xf borderId="2" fillId="22" fontId="4" numFmtId="166" xfId="0" applyAlignment="1" applyBorder="1" applyFont="1" applyNumberFormat="1">
      <alignment horizontal="center" vertical="center"/>
    </xf>
    <xf borderId="2" fillId="22" fontId="4" numFmtId="0" xfId="0" applyAlignment="1" applyBorder="1" applyFont="1">
      <alignment horizontal="center" shrinkToFit="0" vertical="top" wrapText="1"/>
    </xf>
    <xf borderId="2" fillId="22" fontId="4" numFmtId="0" xfId="0" applyAlignment="1" applyBorder="1" applyFont="1">
      <alignment horizontal="center" readingOrder="0" vertical="center"/>
    </xf>
    <xf borderId="2" fillId="22" fontId="4" numFmtId="0" xfId="0" applyAlignment="1" applyBorder="1" applyFont="1">
      <alignment horizontal="center" readingOrder="0" shrinkToFit="0" vertical="center" wrapText="1"/>
    </xf>
    <xf borderId="2" fillId="23" fontId="33" numFmtId="0" xfId="0" applyAlignment="1" applyBorder="1" applyFill="1" applyFont="1">
      <alignment horizontal="center" readingOrder="0" vertical="center"/>
    </xf>
    <xf borderId="2" fillId="0" fontId="33" numFmtId="166" xfId="0" applyAlignment="1" applyBorder="1" applyFont="1" applyNumberFormat="1">
      <alignment horizontal="center" readingOrder="0" vertical="center"/>
    </xf>
    <xf borderId="2" fillId="0" fontId="33" numFmtId="0" xfId="0" applyAlignment="1" applyBorder="1" applyFont="1">
      <alignment readingOrder="0" shrinkToFit="0" vertical="top" wrapText="1"/>
    </xf>
    <xf borderId="2" fillId="0" fontId="33" numFmtId="0" xfId="0" applyAlignment="1" applyBorder="1" applyFont="1">
      <alignment readingOrder="0" vertical="center"/>
    </xf>
    <xf borderId="2" fillId="23" fontId="33" numFmtId="0" xfId="0" applyAlignment="1" applyBorder="1" applyFont="1">
      <alignment readingOrder="0" shrinkToFit="0" vertical="top" wrapText="1"/>
    </xf>
    <xf borderId="2" fillId="23" fontId="33" numFmtId="0" xfId="0" applyAlignment="1" applyBorder="1" applyFont="1">
      <alignment readingOrder="0" vertical="center"/>
    </xf>
    <xf borderId="2" fillId="23" fontId="33" numFmtId="166" xfId="0" applyAlignment="1" applyBorder="1" applyFont="1" applyNumberFormat="1">
      <alignment horizontal="center" readingOrder="0" vertical="center"/>
    </xf>
    <xf borderId="2" fillId="0" fontId="33" numFmtId="0" xfId="0" applyAlignment="1" applyBorder="1" applyFont="1">
      <alignment horizontal="center" readingOrder="0" vertical="center"/>
    </xf>
    <xf borderId="2" fillId="0" fontId="33" numFmtId="0" xfId="0" applyAlignment="1" applyBorder="1" applyFont="1">
      <alignment readingOrder="0" shrinkToFit="0" vertical="center" wrapText="1"/>
    </xf>
    <xf borderId="2" fillId="0" fontId="62" numFmtId="0" xfId="0" applyAlignment="1" applyBorder="1" applyFont="1">
      <alignment readingOrder="0" vertical="center"/>
    </xf>
    <xf borderId="2" fillId="0" fontId="33" numFmtId="0" xfId="0" applyAlignment="1" applyBorder="1" applyFont="1">
      <alignment horizontal="center" vertical="center"/>
    </xf>
    <xf borderId="2" fillId="0" fontId="33" numFmtId="0" xfId="0" applyAlignment="1" applyBorder="1" applyFont="1">
      <alignment shrinkToFit="0" vertical="top" wrapText="1"/>
    </xf>
    <xf borderId="2" fillId="23" fontId="61" numFmtId="0" xfId="0" applyAlignment="1" applyBorder="1" applyFont="1">
      <alignment horizontal="center" readingOrder="0" vertical="center"/>
    </xf>
    <xf borderId="2" fillId="23" fontId="61" numFmtId="0" xfId="0" applyAlignment="1" applyBorder="1" applyFont="1">
      <alignment readingOrder="0" shrinkToFit="0" vertical="top" wrapText="1"/>
    </xf>
    <xf borderId="2" fillId="23" fontId="33" numFmtId="0" xfId="0" applyAlignment="1" applyBorder="1" applyFont="1">
      <alignment readingOrder="0" shrinkToFit="0" vertical="center" wrapText="1"/>
    </xf>
    <xf borderId="0" fillId="23" fontId="33" numFmtId="0" xfId="0" applyAlignment="1" applyFont="1">
      <alignment horizontal="left" readingOrder="0"/>
    </xf>
    <xf borderId="2" fillId="0" fontId="61" numFmtId="0" xfId="0" applyAlignment="1" applyBorder="1" applyFont="1">
      <alignment horizontal="center" readingOrder="0" vertical="center"/>
    </xf>
    <xf borderId="2" fillId="23" fontId="61" numFmtId="0" xfId="0" applyAlignment="1" applyBorder="1" applyFont="1">
      <alignment readingOrder="0" vertical="top"/>
    </xf>
    <xf borderId="2" fillId="0" fontId="61" numFmtId="0" xfId="0" applyAlignment="1" applyBorder="1" applyFont="1">
      <alignment vertical="center"/>
    </xf>
    <xf borderId="2" fillId="0" fontId="61" numFmtId="166" xfId="0" applyAlignment="1" applyBorder="1" applyFont="1" applyNumberFormat="1">
      <alignment vertical="center"/>
    </xf>
    <xf borderId="2" fillId="0" fontId="33" numFmtId="0" xfId="0" applyAlignment="1" applyBorder="1" applyFont="1">
      <alignment vertical="center"/>
    </xf>
    <xf borderId="2" fillId="0" fontId="33" numFmtId="0" xfId="0" applyAlignment="1" applyBorder="1" applyFont="1">
      <alignment shrinkToFit="0" vertical="center" wrapText="1"/>
    </xf>
    <xf borderId="2" fillId="0" fontId="33" numFmtId="166" xfId="0" applyAlignment="1" applyBorder="1" applyFont="1" applyNumberFormat="1">
      <alignment horizontal="center" vertical="center"/>
    </xf>
    <xf borderId="2" fillId="0" fontId="61" numFmtId="0" xfId="0" applyAlignment="1" applyBorder="1" applyFont="1">
      <alignment shrinkToFit="0" vertical="top" wrapText="1"/>
    </xf>
    <xf borderId="2" fillId="0" fontId="61" numFmtId="0" xfId="0" applyAlignment="1" applyBorder="1" applyFont="1">
      <alignment shrinkToFit="0" vertical="center" wrapText="1"/>
    </xf>
    <xf borderId="2" fillId="0" fontId="61" numFmtId="0" xfId="0" applyAlignment="1" applyBorder="1" applyFont="1">
      <alignment vertical="top"/>
    </xf>
    <xf borderId="0" fillId="0" fontId="2" numFmtId="0" xfId="0" applyAlignment="1" applyFont="1">
      <alignment horizontal="center" readingOrder="0" vertical="center"/>
    </xf>
    <xf borderId="0" fillId="0" fontId="63" numFmtId="0" xfId="0" applyAlignment="1" applyFont="1">
      <alignment readingOrder="0" vertical="center"/>
    </xf>
    <xf borderId="0" fillId="0" fontId="63" numFmtId="0" xfId="0" applyAlignment="1" applyFont="1">
      <alignment horizontal="left" readingOrder="0" vertical="center"/>
    </xf>
    <xf borderId="0" fillId="0" fontId="1" numFmtId="0" xfId="0" applyAlignment="1" applyFont="1">
      <alignment horizontal="left" vertical="center"/>
    </xf>
    <xf borderId="0" fillId="0" fontId="1" numFmtId="0" xfId="0" applyAlignment="1" applyFont="1">
      <alignment horizontal="center" readingOrder="0" vertical="center"/>
    </xf>
    <xf borderId="0" fillId="0" fontId="1" numFmtId="0" xfId="0" applyAlignment="1" applyFont="1">
      <alignment horizontal="right" readingOrder="0" vertical="center"/>
    </xf>
    <xf borderId="0" fillId="0" fontId="64" numFmtId="0" xfId="0" applyAlignment="1" applyFont="1">
      <alignment horizontal="center" readingOrder="0" vertical="center"/>
    </xf>
    <xf borderId="0" fillId="0" fontId="17" numFmtId="49" xfId="0" applyAlignment="1" applyFont="1" applyNumberFormat="1">
      <alignment horizontal="center" readingOrder="0" vertical="center"/>
    </xf>
    <xf borderId="0" fillId="0" fontId="33" numFmtId="0" xfId="0" applyAlignment="1" applyFont="1">
      <alignment horizontal="left" vertical="center"/>
    </xf>
    <xf borderId="0" fillId="0" fontId="4" numFmtId="0" xfId="0" applyAlignment="1" applyFont="1">
      <alignment horizontal="left" shrinkToFit="0" vertical="center" wrapText="1"/>
    </xf>
    <xf borderId="0" fillId="0" fontId="10" numFmtId="49" xfId="0" applyAlignment="1" applyFont="1" applyNumberFormat="1">
      <alignment horizontal="left" readingOrder="0" shrinkToFit="0" vertical="center" wrapText="1"/>
    </xf>
    <xf borderId="0" fillId="0" fontId="10" numFmtId="0" xfId="0" applyAlignment="1" applyFont="1">
      <alignment horizontal="left" readingOrder="0" vertical="center"/>
    </xf>
    <xf borderId="0" fillId="0" fontId="17" numFmtId="0" xfId="0" applyAlignment="1" applyFont="1">
      <alignment horizontal="left" readingOrder="0" vertical="center"/>
    </xf>
    <xf borderId="0" fillId="0" fontId="16" numFmtId="0" xfId="0" applyAlignment="1" applyFont="1">
      <alignment horizontal="left" readingOrder="0" vertical="center"/>
    </xf>
    <xf borderId="0" fillId="0" fontId="10" numFmtId="0" xfId="0" applyAlignment="1" applyFont="1">
      <alignment horizontal="center" readingOrder="0" vertical="center"/>
    </xf>
    <xf borderId="0" fillId="0" fontId="17" numFmtId="0" xfId="0" applyAlignment="1" applyFont="1">
      <alignment horizontal="center" readingOrder="0" vertical="center"/>
    </xf>
    <xf borderId="0" fillId="0" fontId="1" numFmtId="49" xfId="0" applyAlignment="1" applyFont="1" applyNumberFormat="1">
      <alignment vertical="center"/>
    </xf>
    <xf borderId="0" fillId="0" fontId="17" numFmtId="49" xfId="0" applyAlignment="1" applyFont="1" applyNumberFormat="1">
      <alignment horizontal="left" readingOrder="0" vertical="center"/>
    </xf>
    <xf borderId="0" fillId="0" fontId="10" numFmtId="164" xfId="0" applyAlignment="1" applyFont="1" applyNumberFormat="1">
      <alignment horizontal="center" readingOrder="0" vertical="center"/>
    </xf>
    <xf borderId="0" fillId="0" fontId="17" numFmtId="164" xfId="0" applyAlignment="1" applyFont="1" applyNumberFormat="1">
      <alignment horizontal="center" readingOrder="0" vertical="center"/>
    </xf>
    <xf borderId="0" fillId="0" fontId="17" numFmtId="49" xfId="0" applyAlignment="1" applyFont="1" applyNumberFormat="1">
      <alignment horizontal="center" readingOrder="0" vertical="center"/>
    </xf>
    <xf borderId="0" fillId="0" fontId="61" numFmtId="0" xfId="0" applyAlignment="1" applyFont="1">
      <alignment horizontal="center"/>
    </xf>
    <xf borderId="0" fillId="0" fontId="65" numFmtId="0" xfId="0" applyAlignment="1" applyFont="1">
      <alignment readingOrder="0" vertical="center"/>
    </xf>
    <xf borderId="0" fillId="0" fontId="33" numFmtId="0" xfId="0" applyFont="1"/>
    <xf borderId="0" fillId="0" fontId="33" numFmtId="0" xfId="0" applyAlignment="1" applyFont="1">
      <alignment horizontal="center"/>
    </xf>
    <xf borderId="0" fillId="0" fontId="66" numFmtId="0" xfId="0" applyAlignment="1" applyFont="1">
      <alignment horizontal="left" readingOrder="0" vertical="center"/>
    </xf>
    <xf borderId="0" fillId="0" fontId="10" numFmtId="49" xfId="0" applyAlignment="1" applyFont="1" applyNumberFormat="1">
      <alignment horizontal="center" readingOrder="0" shrinkToFit="0" vertical="center" wrapText="1"/>
    </xf>
    <xf borderId="0" fillId="0" fontId="16" numFmtId="0" xfId="0" applyAlignment="1" applyFont="1">
      <alignment horizontal="center" readingOrder="0" vertical="center"/>
    </xf>
    <xf borderId="0" fillId="0" fontId="2" numFmtId="0" xfId="0" applyAlignment="1" applyFont="1">
      <alignment horizontal="left" readingOrder="0" vertical="center"/>
    </xf>
    <xf borderId="0" fillId="0" fontId="67" numFmtId="0" xfId="0" applyAlignment="1" applyFont="1">
      <alignment horizontal="left" readingOrder="0" vertical="center"/>
    </xf>
    <xf borderId="0" fillId="0" fontId="68" numFmtId="166" xfId="0" applyAlignment="1" applyFont="1" applyNumberFormat="1">
      <alignment horizontal="left" readingOrder="0" vertical="bottom"/>
    </xf>
    <xf borderId="8" fillId="0" fontId="4" numFmtId="0" xfId="0" applyAlignment="1" applyBorder="1" applyFont="1">
      <alignment horizontal="center" vertical="center"/>
    </xf>
    <xf borderId="9" fillId="0" fontId="4" numFmtId="0" xfId="0" applyAlignment="1" applyBorder="1" applyFont="1">
      <alignment horizontal="center" shrinkToFit="0" vertical="center" wrapText="1"/>
    </xf>
    <xf borderId="0" fillId="0" fontId="4" numFmtId="41" xfId="0" applyAlignment="1" applyFont="1" applyNumberFormat="1">
      <alignment horizontal="center" vertical="center"/>
    </xf>
    <xf borderId="0" fillId="0" fontId="1" numFmtId="49" xfId="0" applyAlignment="1" applyFont="1" applyNumberFormat="1">
      <alignment horizontal="left" vertical="center"/>
    </xf>
    <xf borderId="0" fillId="0" fontId="1" numFmtId="49" xfId="0" applyAlignment="1" applyFont="1" applyNumberFormat="1">
      <alignment horizontal="left" readingOrder="0" vertical="center"/>
    </xf>
    <xf borderId="0" fillId="0" fontId="17" numFmtId="164" xfId="0" applyAlignment="1" applyFont="1" applyNumberFormat="1">
      <alignment horizontal="left" readingOrder="0" vertical="center"/>
    </xf>
    <xf borderId="0" fillId="0" fontId="69" numFmtId="0" xfId="0" applyAlignment="1" applyFont="1">
      <alignment horizontal="left" readingOrder="0" vertical="center"/>
    </xf>
    <xf borderId="10" fillId="0" fontId="33" numFmtId="0" xfId="0" applyAlignment="1" applyBorder="1" applyFont="1">
      <alignment horizontal="center" readingOrder="0" vertical="center"/>
    </xf>
    <xf borderId="11" fillId="0" fontId="33" numFmtId="0" xfId="0" applyAlignment="1" applyBorder="1" applyFont="1">
      <alignment horizontal="center" readingOrder="0" shrinkToFit="0" vertical="center" wrapText="1"/>
    </xf>
    <xf borderId="12" fillId="0" fontId="70" numFmtId="0" xfId="0" applyAlignment="1" applyBorder="1" applyFont="1">
      <alignment horizontal="left" readingOrder="0" vertical="center"/>
    </xf>
    <xf borderId="8" fillId="0" fontId="71" numFmtId="41" xfId="0" applyAlignment="1" applyBorder="1" applyFont="1" applyNumberFormat="1">
      <alignment horizontal="center" readingOrder="0" vertical="center"/>
    </xf>
    <xf borderId="0" fillId="0" fontId="67" numFmtId="0" xfId="0" applyAlignment="1" applyFont="1">
      <alignment horizontal="left" vertical="center"/>
    </xf>
    <xf borderId="0" fillId="0" fontId="67" numFmtId="166" xfId="0" applyAlignment="1" applyFont="1" applyNumberFormat="1">
      <alignment horizontal="left" readingOrder="0" vertical="center"/>
    </xf>
    <xf borderId="0" fillId="0" fontId="33" numFmtId="0" xfId="0" applyAlignment="1" applyFont="1">
      <alignment horizontal="left"/>
    </xf>
    <xf borderId="2" fillId="24" fontId="4" numFmtId="0" xfId="0" applyAlignment="1" applyBorder="1" applyFill="1" applyFont="1">
      <alignment horizontal="left" shrinkToFit="0" vertical="center" wrapText="1"/>
    </xf>
    <xf borderId="2" fillId="24" fontId="4" numFmtId="41" xfId="0" applyAlignment="1" applyBorder="1" applyFont="1" applyNumberFormat="1">
      <alignment horizontal="left" vertical="center"/>
    </xf>
    <xf borderId="2" fillId="24" fontId="4" numFmtId="41" xfId="0" applyAlignment="1" applyBorder="1" applyFont="1" applyNumberFormat="1">
      <alignment horizontal="center" vertical="center"/>
    </xf>
    <xf borderId="0" fillId="0" fontId="4" numFmtId="41" xfId="0" applyAlignment="1" applyFont="1" applyNumberFormat="1">
      <alignment horizontal="left" vertical="center"/>
    </xf>
    <xf borderId="2" fillId="24" fontId="1" numFmtId="0" xfId="0" applyAlignment="1" applyBorder="1" applyFont="1">
      <alignment horizontal="left" readingOrder="0" vertical="center"/>
    </xf>
    <xf borderId="2" fillId="0" fontId="4" numFmtId="41" xfId="0" applyAlignment="1" applyBorder="1" applyFont="1" applyNumberFormat="1">
      <alignment horizontal="left" vertical="center"/>
    </xf>
    <xf borderId="2" fillId="0" fontId="4" numFmtId="41" xfId="0" applyAlignment="1" applyBorder="1" applyFont="1" applyNumberFormat="1">
      <alignment horizontal="center" vertical="center"/>
    </xf>
    <xf borderId="0" fillId="0" fontId="10" numFmtId="49" xfId="0" applyAlignment="1" applyFont="1" applyNumberFormat="1">
      <alignment horizontal="center" readingOrder="0" vertical="center"/>
    </xf>
    <xf borderId="0" fillId="0" fontId="9" numFmtId="4" xfId="0" applyAlignment="1" applyFont="1" applyNumberFormat="1">
      <alignment horizontal="left" readingOrder="0" vertical="center"/>
    </xf>
    <xf borderId="0" fillId="0" fontId="10" numFmtId="49" xfId="0" applyAlignment="1" applyFont="1" applyNumberFormat="1">
      <alignment horizontal="left" readingOrder="0" vertical="center"/>
    </xf>
    <xf borderId="0" fillId="0" fontId="33" numFmtId="49" xfId="0" applyAlignment="1" applyFont="1" applyNumberFormat="1">
      <alignment horizontal="left" shrinkToFit="0" vertical="center" wrapText="1"/>
    </xf>
    <xf borderId="0" fillId="0" fontId="72" numFmtId="49" xfId="0" applyAlignment="1" applyFont="1" applyNumberFormat="1">
      <alignment horizontal="center" readingOrder="0" vertical="center"/>
    </xf>
    <xf borderId="0" fillId="0" fontId="1" numFmtId="0" xfId="0" applyAlignment="1" applyFont="1">
      <alignment horizontal="center" readingOrder="0" vertical="center"/>
    </xf>
    <xf borderId="0" fillId="0" fontId="1" numFmtId="0" xfId="0" applyAlignment="1" applyFont="1">
      <alignment horizontal="left" readingOrder="0" vertical="center"/>
    </xf>
    <xf borderId="2" fillId="0" fontId="1" numFmtId="0" xfId="0" applyAlignment="1" applyBorder="1" applyFont="1">
      <alignment horizontal="left" readingOrder="0" vertical="center"/>
    </xf>
    <xf borderId="2" fillId="0" fontId="73" numFmtId="41" xfId="0" applyAlignment="1" applyBorder="1" applyFont="1" applyNumberFormat="1">
      <alignment horizontal="center" vertical="center"/>
    </xf>
    <xf borderId="0" fillId="0" fontId="74" numFmtId="0" xfId="0" applyAlignment="1" applyFont="1">
      <alignment horizontal="center" shrinkToFit="0" vertical="bottom" wrapText="1"/>
    </xf>
    <xf borderId="0" fillId="14" fontId="74" numFmtId="0" xfId="0" applyAlignment="1" applyFont="1">
      <alignment horizontal="center" readingOrder="0" shrinkToFit="0" vertical="bottom" wrapText="1"/>
    </xf>
    <xf borderId="0" fillId="0" fontId="33" numFmtId="49" xfId="0" applyAlignment="1" applyFont="1" applyNumberFormat="1">
      <alignment horizontal="left" readingOrder="0"/>
    </xf>
    <xf borderId="0" fillId="14" fontId="75" numFmtId="0" xfId="0" applyAlignment="1" applyFont="1">
      <alignment horizontal="center" readingOrder="0" shrinkToFit="0" vertical="bottom" wrapText="1"/>
    </xf>
    <xf borderId="0" fillId="0" fontId="74" numFmtId="0" xfId="0" applyAlignment="1" applyFont="1">
      <alignment horizontal="center" readingOrder="0" shrinkToFit="0" vertical="bottom" wrapText="1"/>
    </xf>
    <xf borderId="0" fillId="0" fontId="76" numFmtId="0" xfId="0" applyAlignment="1" applyFont="1">
      <alignment horizontal="center" readingOrder="0" shrinkToFit="0" vertical="bottom" wrapText="1"/>
    </xf>
    <xf borderId="0" fillId="0" fontId="75" numFmtId="0" xfId="0" applyAlignment="1" applyFont="1">
      <alignment horizontal="center" readingOrder="0" shrinkToFit="0" vertical="bottom" wrapText="1"/>
    </xf>
    <xf borderId="0" fillId="0" fontId="75" numFmtId="0" xfId="0" applyAlignment="1" applyFont="1">
      <alignment horizontal="center" readingOrder="0" shrinkToFit="0" vertical="center" wrapText="1"/>
    </xf>
    <xf borderId="0" fillId="0" fontId="77" numFmtId="0" xfId="0" applyAlignment="1" applyFont="1">
      <alignment horizontal="center" readingOrder="0" vertical="center"/>
    </xf>
    <xf borderId="0" fillId="0" fontId="78" numFmtId="49" xfId="0" applyAlignment="1" applyFont="1" applyNumberFormat="1">
      <alignment horizontal="left" readingOrder="0" vertical="center"/>
    </xf>
    <xf borderId="0" fillId="0" fontId="1" numFmtId="164" xfId="0" applyAlignment="1" applyFont="1" applyNumberFormat="1">
      <alignment horizontal="center" readingOrder="0" vertical="center"/>
    </xf>
    <xf borderId="0" fillId="0" fontId="78" numFmtId="164" xfId="0" applyAlignment="1" applyFont="1" applyNumberFormat="1">
      <alignment horizontal="left" readingOrder="0" vertical="center"/>
    </xf>
    <xf borderId="0" fillId="0" fontId="77" numFmtId="0" xfId="0" applyAlignment="1" applyFont="1">
      <alignment horizontal="center" readingOrder="0" vertical="center"/>
    </xf>
    <xf borderId="0" fillId="0" fontId="77" numFmtId="0" xfId="0" applyAlignment="1" applyFont="1">
      <alignment horizontal="center" readingOrder="0" vertical="bottom"/>
    </xf>
    <xf borderId="0" fillId="0" fontId="77" numFmtId="0" xfId="0" applyAlignment="1" applyFont="1">
      <alignment horizontal="left" readingOrder="0" vertical="bottom"/>
    </xf>
    <xf borderId="0" fillId="0" fontId="77" numFmtId="0" xfId="0" applyAlignment="1" applyFont="1">
      <alignment horizontal="center" readingOrder="0" shrinkToFit="0" vertical="bottom" wrapText="1"/>
    </xf>
    <xf borderId="0" fillId="0" fontId="7" numFmtId="0" xfId="0" applyAlignment="1" applyFont="1">
      <alignment horizontal="center" readingOrder="0" vertical="bottom"/>
    </xf>
    <xf borderId="0" fillId="0" fontId="77" numFmtId="49" xfId="0" applyAlignment="1" applyFont="1" applyNumberFormat="1">
      <alignment horizontal="center" readingOrder="0" vertical="bottom"/>
    </xf>
    <xf borderId="0" fillId="0" fontId="77" numFmtId="49" xfId="0" applyAlignment="1" applyFont="1" applyNumberFormat="1">
      <alignment horizontal="center" readingOrder="0" shrinkToFit="0" vertical="bottom" wrapText="1"/>
    </xf>
    <xf borderId="13" fillId="0" fontId="79" numFmtId="0" xfId="0" applyAlignment="1" applyBorder="1" applyFont="1">
      <alignment horizontal="center"/>
    </xf>
    <xf borderId="0" fillId="0" fontId="79" numFmtId="0" xfId="0" applyAlignment="1" applyFont="1">
      <alignment horizontal="center" readingOrder="0" vertical="bottom"/>
    </xf>
    <xf borderId="13" fillId="0" fontId="79" numFmtId="0" xfId="0" applyAlignment="1" applyBorder="1" applyFont="1">
      <alignment horizontal="center" readingOrder="0"/>
    </xf>
    <xf borderId="0" fillId="25" fontId="80" numFmtId="0" xfId="0" applyAlignment="1" applyFill="1" applyFont="1">
      <alignment horizontal="center" readingOrder="0" vertical="bottom"/>
    </xf>
    <xf borderId="0" fillId="25" fontId="81" numFmtId="0" xfId="0" applyAlignment="1" applyFont="1">
      <alignment horizontal="center" readingOrder="0" vertical="center"/>
    </xf>
    <xf borderId="0" fillId="0" fontId="70" numFmtId="49" xfId="0" applyAlignment="1" applyFont="1" applyNumberFormat="1">
      <alignment horizontal="center" readingOrder="0" shrinkToFit="0" vertical="bottom" wrapText="1"/>
    </xf>
    <xf borderId="0" fillId="0" fontId="79" numFmtId="49" xfId="0" applyAlignment="1" applyFont="1" applyNumberFormat="1">
      <alignment horizontal="center" readingOrder="0" vertical="bottom"/>
    </xf>
    <xf borderId="0" fillId="0" fontId="82" numFmtId="49" xfId="0" applyAlignment="1" applyFont="1" applyNumberFormat="1">
      <alignment horizontal="center" readingOrder="0" vertical="bottom"/>
    </xf>
    <xf borderId="0" fillId="0" fontId="83" numFmtId="0" xfId="0" applyAlignment="1" applyFont="1">
      <alignment horizontal="center" readingOrder="0" vertical="bottom"/>
    </xf>
    <xf borderId="0" fillId="0" fontId="77" numFmtId="164" xfId="0" applyAlignment="1" applyFont="1" applyNumberFormat="1">
      <alignment horizontal="center" readingOrder="0" vertical="center"/>
    </xf>
    <xf borderId="0" fillId="0" fontId="72" numFmtId="0" xfId="0" applyAlignment="1" applyFont="1">
      <alignment horizontal="center" readingOrder="0" vertical="center"/>
    </xf>
    <xf borderId="0" fillId="0" fontId="70" numFmtId="49" xfId="0" applyAlignment="1" applyFont="1" applyNumberFormat="1">
      <alignment horizontal="center" readingOrder="0" shrinkToFit="0" vertical="bottom" wrapText="1"/>
    </xf>
    <xf borderId="0" fillId="0" fontId="17" numFmtId="0" xfId="0" applyAlignment="1" applyFont="1">
      <alignment horizontal="center" shrinkToFit="0" vertical="center" wrapText="1"/>
    </xf>
    <xf borderId="2" fillId="26" fontId="17" numFmtId="0" xfId="0" applyAlignment="1" applyBorder="1" applyFill="1" applyFont="1">
      <alignment horizontal="center" readingOrder="0" shrinkToFit="0" vertical="center" wrapText="1"/>
    </xf>
    <xf borderId="2" fillId="26" fontId="2" numFmtId="0" xfId="0" applyAlignment="1" applyBorder="1" applyFont="1">
      <alignment horizontal="center" readingOrder="0" shrinkToFit="0" vertical="center" wrapText="1"/>
    </xf>
    <xf borderId="2" fillId="14" fontId="10" numFmtId="0" xfId="0" applyAlignment="1" applyBorder="1" applyFont="1">
      <alignment horizontal="center" readingOrder="0" shrinkToFit="0" vertical="center" wrapText="1"/>
    </xf>
    <xf borderId="2" fillId="26" fontId="15" numFmtId="0" xfId="0" applyAlignment="1" applyBorder="1" applyFont="1">
      <alignment horizontal="center" readingOrder="0" shrinkToFit="0" vertical="center" wrapText="1"/>
    </xf>
    <xf borderId="1" fillId="26" fontId="17" numFmtId="49" xfId="0" applyAlignment="1" applyBorder="1" applyFont="1" applyNumberFormat="1">
      <alignment horizontal="center" readingOrder="0" shrinkToFit="0" vertical="center" wrapText="1"/>
    </xf>
    <xf borderId="2" fillId="26" fontId="17" numFmtId="167" xfId="0" applyAlignment="1" applyBorder="1" applyFont="1" applyNumberFormat="1">
      <alignment horizontal="center" readingOrder="0" shrinkToFit="0" vertical="center" wrapText="1"/>
    </xf>
    <xf borderId="2" fillId="26" fontId="17" numFmtId="49" xfId="0" applyAlignment="1" applyBorder="1" applyFont="1" applyNumberFormat="1">
      <alignment horizontal="center" readingOrder="0" shrinkToFit="0" vertical="center" wrapText="1"/>
    </xf>
    <xf borderId="2" fillId="27" fontId="17" numFmtId="49" xfId="0" applyAlignment="1" applyBorder="1" applyFill="1" applyFont="1" applyNumberFormat="1">
      <alignment horizontal="center" readingOrder="0" shrinkToFit="0" vertical="center" wrapText="1"/>
    </xf>
    <xf borderId="2" fillId="27" fontId="17" numFmtId="49" xfId="0" applyAlignment="1" applyBorder="1" applyFont="1" applyNumberFormat="1">
      <alignment horizontal="center" readingOrder="0" shrinkToFit="0" vertical="center" wrapText="1"/>
    </xf>
    <xf borderId="2" fillId="26" fontId="17" numFmtId="0" xfId="0" applyAlignment="1" applyBorder="1" applyFont="1">
      <alignment horizontal="center" readingOrder="0" shrinkToFit="0" vertical="center" wrapText="1"/>
    </xf>
    <xf borderId="2" fillId="26" fontId="17" numFmtId="49" xfId="0" applyAlignment="1" applyBorder="1" applyFont="1" applyNumberFormat="1">
      <alignment horizontal="center" readingOrder="0" shrinkToFit="0" vertical="center" wrapText="1"/>
    </xf>
    <xf borderId="2" fillId="26" fontId="84" numFmtId="49" xfId="0" applyAlignment="1" applyBorder="1" applyFont="1" applyNumberFormat="1">
      <alignment horizontal="center" readingOrder="0" shrinkToFit="0" vertical="center" wrapText="1"/>
    </xf>
    <xf borderId="2" fillId="28" fontId="17" numFmtId="0" xfId="0" applyAlignment="1" applyBorder="1" applyFill="1" applyFont="1">
      <alignment horizontal="center" shrinkToFit="0" vertical="center" wrapText="1"/>
    </xf>
    <xf borderId="2" fillId="17" fontId="4" numFmtId="0" xfId="0" applyAlignment="1" applyBorder="1" applyFont="1">
      <alignment horizontal="center" shrinkToFit="0" vertical="center" wrapText="1"/>
    </xf>
    <xf borderId="2" fillId="29" fontId="4" numFmtId="0" xfId="0" applyAlignment="1" applyBorder="1" applyFill="1" applyFont="1">
      <alignment horizontal="center" shrinkToFit="0" vertical="center" wrapText="1"/>
    </xf>
    <xf borderId="2" fillId="19" fontId="17" numFmtId="0" xfId="0" applyAlignment="1" applyBorder="1" applyFont="1">
      <alignment horizontal="center" readingOrder="0" shrinkToFit="0" vertical="center" wrapText="1"/>
    </xf>
    <xf borderId="2" fillId="30" fontId="17" numFmtId="0" xfId="0" applyAlignment="1" applyBorder="1" applyFill="1" applyFont="1">
      <alignment horizontal="center" readingOrder="0" shrinkToFit="0" vertical="center" wrapText="1"/>
    </xf>
    <xf borderId="2" fillId="31" fontId="17" numFmtId="0" xfId="0" applyAlignment="1" applyBorder="1" applyFill="1" applyFont="1">
      <alignment horizontal="center" readingOrder="0" shrinkToFit="0" vertical="center" wrapText="1"/>
    </xf>
    <xf borderId="2" fillId="32" fontId="17" numFmtId="0" xfId="0" applyAlignment="1" applyBorder="1" applyFill="1" applyFont="1">
      <alignment horizontal="center" readingOrder="0" shrinkToFit="0" vertical="center" wrapText="1"/>
    </xf>
    <xf borderId="3" fillId="27" fontId="17" numFmtId="0" xfId="0" applyAlignment="1" applyBorder="1" applyFont="1">
      <alignment horizontal="center" readingOrder="0" shrinkToFit="0" vertical="center" wrapText="1"/>
    </xf>
    <xf borderId="2" fillId="26" fontId="17" numFmtId="164" xfId="0" applyAlignment="1" applyBorder="1" applyFont="1" applyNumberFormat="1">
      <alignment horizontal="center" readingOrder="0" shrinkToFit="0" vertical="center" wrapText="1"/>
    </xf>
    <xf borderId="5" fillId="26" fontId="17" numFmtId="164" xfId="0" applyAlignment="1" applyBorder="1" applyFont="1" applyNumberFormat="1">
      <alignment horizontal="center" readingOrder="0" shrinkToFit="0" vertical="center" wrapText="1"/>
    </xf>
    <xf borderId="6" fillId="26" fontId="85" numFmtId="0" xfId="0" applyAlignment="1" applyBorder="1" applyFont="1">
      <alignment horizontal="center" readingOrder="0" shrinkToFit="0" vertical="center" wrapText="1"/>
    </xf>
    <xf borderId="6" fillId="27" fontId="85" numFmtId="0" xfId="0" applyAlignment="1" applyBorder="1" applyFont="1">
      <alignment horizontal="center" readingOrder="0" shrinkToFit="0" vertical="center" wrapText="1"/>
    </xf>
    <xf borderId="6" fillId="33" fontId="85" numFmtId="0" xfId="0" applyAlignment="1" applyBorder="1" applyFill="1" applyFont="1">
      <alignment horizontal="center" readingOrder="0" shrinkToFit="0" vertical="center" wrapText="1"/>
    </xf>
    <xf borderId="2" fillId="32" fontId="17" numFmtId="0" xfId="0" applyAlignment="1" applyBorder="1" applyFont="1">
      <alignment horizontal="center" readingOrder="0" shrinkToFit="0" vertical="center" wrapText="1"/>
    </xf>
    <xf borderId="0" fillId="0" fontId="17" numFmtId="0" xfId="0" applyAlignment="1" applyFont="1">
      <alignment horizontal="center" readingOrder="0" shrinkToFit="0" vertical="center" wrapText="1"/>
    </xf>
    <xf borderId="2" fillId="0" fontId="1" numFmtId="0" xfId="0" applyAlignment="1" applyBorder="1" applyFont="1">
      <alignment horizontal="center" readingOrder="0" vertical="center"/>
    </xf>
    <xf borderId="2" fillId="0" fontId="86" numFmtId="0" xfId="0" applyAlignment="1" applyBorder="1" applyFont="1">
      <alignment vertical="center"/>
    </xf>
    <xf borderId="2" fillId="0" fontId="3" numFmtId="0" xfId="0" applyAlignment="1" applyBorder="1" applyFont="1">
      <alignment horizontal="left" shrinkToFit="0" vertical="center" wrapText="1"/>
    </xf>
    <xf borderId="2" fillId="0" fontId="33" numFmtId="0" xfId="0" applyAlignment="1" applyBorder="1" applyFont="1">
      <alignment horizontal="center"/>
    </xf>
    <xf borderId="3" fillId="0" fontId="1" numFmtId="0" xfId="0" applyAlignment="1" applyBorder="1" applyFont="1">
      <alignment horizontal="center" vertical="center"/>
    </xf>
    <xf borderId="2" fillId="0" fontId="1" numFmtId="49" xfId="0" applyAlignment="1" applyBorder="1" applyFont="1" applyNumberFormat="1">
      <alignment horizontal="center" vertical="center"/>
    </xf>
    <xf borderId="2" fillId="0" fontId="1" numFmtId="49" xfId="0" applyAlignment="1" applyBorder="1" applyFont="1" applyNumberFormat="1">
      <alignment horizontal="center" shrinkToFit="0" vertical="center" wrapText="1"/>
    </xf>
    <xf borderId="2" fillId="0" fontId="1" numFmtId="49" xfId="0" applyAlignment="1" applyBorder="1" applyFont="1" applyNumberFormat="1">
      <alignment horizontal="center" shrinkToFit="0" vertical="center" wrapText="1"/>
    </xf>
    <xf borderId="5" fillId="0" fontId="3" numFmtId="0" xfId="0" applyAlignment="1" applyBorder="1" applyFont="1">
      <alignment horizontal="center" readingOrder="0" shrinkToFit="0" vertical="center" wrapText="1"/>
    </xf>
    <xf borderId="2" fillId="0" fontId="3" numFmtId="0" xfId="0" applyAlignment="1" applyBorder="1" applyFont="1">
      <alignment horizontal="center" readingOrder="0" shrinkToFit="0" vertical="center" wrapText="1"/>
    </xf>
    <xf borderId="2" fillId="0" fontId="1" numFmtId="49" xfId="0" applyAlignment="1" applyBorder="1" applyFont="1" applyNumberFormat="1">
      <alignment horizontal="center" readingOrder="0" vertical="center"/>
    </xf>
    <xf borderId="2" fillId="0" fontId="1" numFmtId="49" xfId="0" applyAlignment="1" applyBorder="1" applyFont="1" applyNumberFormat="1">
      <alignment horizontal="center" readingOrder="0" shrinkToFit="0" vertical="center" wrapText="1"/>
    </xf>
    <xf borderId="2" fillId="0" fontId="1" numFmtId="0" xfId="0" applyAlignment="1" applyBorder="1" applyFont="1">
      <alignment horizontal="center" readingOrder="0" vertical="center"/>
    </xf>
    <xf borderId="2" fillId="0" fontId="1" numFmtId="0" xfId="0" applyAlignment="1" applyBorder="1" applyFont="1">
      <alignment readingOrder="0" shrinkToFit="0" vertical="center" wrapText="1"/>
    </xf>
    <xf borderId="2" fillId="0" fontId="1" numFmtId="0" xfId="0" applyAlignment="1" applyBorder="1" applyFont="1">
      <alignment readingOrder="0" shrinkToFit="0" vertical="center" wrapText="1"/>
    </xf>
    <xf borderId="2" fillId="29" fontId="1" numFmtId="0" xfId="0" applyAlignment="1" applyBorder="1" applyFont="1">
      <alignment readingOrder="0" shrinkToFit="0" vertical="center" wrapText="1"/>
    </xf>
    <xf borderId="2" fillId="0" fontId="33" numFmtId="0" xfId="0" applyAlignment="1" applyBorder="1" applyFont="1">
      <alignment horizontal="center" shrinkToFit="0" vertical="center" wrapText="1"/>
    </xf>
    <xf borderId="2" fillId="29" fontId="33" numFmtId="0" xfId="0" applyAlignment="1" applyBorder="1" applyFont="1">
      <alignment horizontal="center" readingOrder="0" shrinkToFit="0" vertical="center" wrapText="1"/>
    </xf>
    <xf borderId="2" fillId="0" fontId="1" numFmtId="0" xfId="0" applyAlignment="1" applyBorder="1" applyFont="1">
      <alignment horizontal="center" vertical="center"/>
    </xf>
    <xf borderId="2" fillId="17" fontId="1" numFmtId="0" xfId="0" applyAlignment="1" applyBorder="1" applyFont="1">
      <alignment horizontal="center" vertical="center"/>
    </xf>
    <xf borderId="2" fillId="0" fontId="1" numFmtId="0" xfId="0" applyAlignment="1" applyBorder="1" applyFont="1">
      <alignment horizontal="center" readingOrder="0" shrinkToFit="0" vertical="center" wrapText="1"/>
    </xf>
    <xf borderId="2" fillId="0" fontId="1" numFmtId="0" xfId="0" applyAlignment="1" applyBorder="1" applyFont="1">
      <alignment horizontal="left" readingOrder="0" shrinkToFit="0" vertical="center" wrapText="1"/>
    </xf>
    <xf borderId="2" fillId="0" fontId="1" numFmtId="0" xfId="0" applyAlignment="1" applyBorder="1" applyFont="1">
      <alignment horizontal="center" readingOrder="0" shrinkToFit="0" vertical="center" wrapText="1"/>
    </xf>
    <xf borderId="2" fillId="0" fontId="3" numFmtId="0" xfId="0" applyAlignment="1" applyBorder="1" applyFont="1">
      <alignment horizontal="center" readingOrder="0" shrinkToFit="0" vertical="center" wrapText="0"/>
    </xf>
    <xf borderId="14" fillId="34" fontId="87" numFmtId="0" xfId="0" applyAlignment="1" applyBorder="1" applyFill="1" applyFont="1">
      <alignment horizontal="center" readingOrder="0" vertical="center"/>
    </xf>
    <xf borderId="2" fillId="34" fontId="3" numFmtId="0" xfId="0" applyAlignment="1" applyBorder="1" applyFont="1">
      <alignment horizontal="center" readingOrder="0" shrinkToFit="0" vertical="center" wrapText="0"/>
    </xf>
    <xf borderId="2" fillId="0" fontId="3" numFmtId="164" xfId="0" applyAlignment="1" applyBorder="1" applyFont="1" applyNumberFormat="1">
      <alignment horizontal="center" readingOrder="0" shrinkToFit="0" wrapText="0"/>
    </xf>
    <xf borderId="5" fillId="0" fontId="3" numFmtId="164" xfId="0" applyAlignment="1" applyBorder="1" applyFont="1" applyNumberFormat="1">
      <alignment horizontal="center" readingOrder="0" shrinkToFit="0" vertical="center" wrapText="0"/>
    </xf>
    <xf borderId="2" fillId="0" fontId="3" numFmtId="164" xfId="0" applyAlignment="1" applyBorder="1" applyFont="1" applyNumberFormat="1">
      <alignment horizontal="center" readingOrder="0" shrinkToFit="0" vertical="center" wrapText="0"/>
    </xf>
    <xf borderId="2" fillId="0" fontId="1" numFmtId="164" xfId="0" applyAlignment="1" applyBorder="1" applyFont="1" applyNumberFormat="1">
      <alignment horizontal="center" readingOrder="0" shrinkToFit="0" vertical="center" wrapText="1"/>
    </xf>
    <xf borderId="2" fillId="0" fontId="3" numFmtId="0" xfId="0" applyAlignment="1" applyBorder="1" applyFont="1">
      <alignment horizontal="center" readingOrder="0" shrinkToFit="0" vertical="center" wrapText="1"/>
    </xf>
    <xf borderId="2" fillId="0" fontId="3" numFmtId="0" xfId="0" applyAlignment="1" applyBorder="1" applyFont="1">
      <alignment horizontal="left" readingOrder="0" shrinkToFit="0" vertical="center" wrapText="1"/>
    </xf>
    <xf borderId="0" fillId="0" fontId="3" numFmtId="0" xfId="0" applyAlignment="1" applyFont="1">
      <alignment horizontal="left" readingOrder="0" shrinkToFit="0" vertical="center" wrapText="1"/>
    </xf>
    <xf borderId="2" fillId="0" fontId="1" numFmtId="0" xfId="0" applyAlignment="1" applyBorder="1" applyFont="1">
      <alignment horizontal="left" shrinkToFit="0" vertical="center" wrapText="1"/>
    </xf>
    <xf borderId="2" fillId="0" fontId="86" numFmtId="0" xfId="0" applyAlignment="1" applyBorder="1" applyFont="1">
      <alignment vertical="center"/>
    </xf>
    <xf borderId="2" fillId="0" fontId="10" numFmtId="0" xfId="0" applyAlignment="1" applyBorder="1" applyFont="1">
      <alignment horizontal="left" vertical="center"/>
    </xf>
    <xf borderId="2" fillId="0" fontId="33" numFmtId="0" xfId="0" applyAlignment="1" applyBorder="1" applyFont="1">
      <alignment horizontal="center"/>
    </xf>
    <xf borderId="2" fillId="0" fontId="88" numFmtId="0" xfId="0" applyAlignment="1" applyBorder="1" applyFont="1">
      <alignment horizontal="center" readingOrder="0" vertical="center"/>
    </xf>
    <xf borderId="2" fillId="0" fontId="88" numFmtId="0" xfId="0" applyAlignment="1" applyBorder="1" applyFont="1">
      <alignment horizontal="center" readingOrder="0" shrinkToFit="0" vertical="center" wrapText="1"/>
    </xf>
    <xf borderId="2" fillId="0" fontId="1" numFmtId="49" xfId="0" applyAlignment="1" applyBorder="1" applyFont="1" applyNumberFormat="1">
      <alignment horizontal="center" readingOrder="0" shrinkToFit="0" vertical="center" wrapText="1"/>
    </xf>
    <xf borderId="14" fillId="34" fontId="89" numFmtId="0" xfId="0" applyAlignment="1" applyBorder="1" applyFont="1">
      <alignment horizontal="center" readingOrder="0"/>
    </xf>
    <xf borderId="2" fillId="0" fontId="86" numFmtId="0" xfId="0" applyAlignment="1" applyBorder="1" applyFont="1">
      <alignment readingOrder="0" vertical="center"/>
    </xf>
    <xf borderId="2" fillId="0" fontId="10" numFmtId="0" xfId="0" applyAlignment="1" applyBorder="1" applyFont="1">
      <alignment horizontal="left" readingOrder="0" vertical="center"/>
    </xf>
    <xf borderId="2" fillId="0" fontId="1" numFmtId="0" xfId="0" applyAlignment="1" applyBorder="1" applyFont="1">
      <alignment readingOrder="0" shrinkToFit="0" vertical="center" wrapText="1"/>
    </xf>
    <xf borderId="2" fillId="14" fontId="1" numFmtId="49" xfId="0" applyAlignment="1" applyBorder="1" applyFont="1" applyNumberFormat="1">
      <alignment horizontal="center" readingOrder="0" vertical="center"/>
    </xf>
    <xf borderId="2" fillId="23" fontId="90" numFmtId="0" xfId="0" applyAlignment="1" applyBorder="1" applyFont="1">
      <alignment horizontal="center" readingOrder="0" vertical="center"/>
    </xf>
    <xf borderId="2" fillId="34" fontId="90" numFmtId="0" xfId="0" applyAlignment="1" applyBorder="1" applyFont="1">
      <alignment horizontal="center" readingOrder="0" vertical="center"/>
    </xf>
    <xf borderId="2" fillId="0" fontId="3" numFmtId="164" xfId="0" applyAlignment="1" applyBorder="1" applyFont="1" applyNumberFormat="1">
      <alignment horizontal="center" shrinkToFit="0" wrapText="0"/>
    </xf>
    <xf borderId="3" fillId="0" fontId="1" numFmtId="0" xfId="0" applyAlignment="1" applyBorder="1" applyFont="1">
      <alignment horizontal="left" vertical="center"/>
    </xf>
    <xf borderId="3" fillId="34" fontId="1" numFmtId="0" xfId="0" applyAlignment="1" applyBorder="1" applyFont="1">
      <alignment horizontal="left" vertical="center"/>
    </xf>
    <xf borderId="2" fillId="23" fontId="91" numFmtId="0" xfId="0" applyAlignment="1" applyBorder="1" applyFont="1">
      <alignment horizontal="left" readingOrder="0" vertical="center"/>
    </xf>
    <xf borderId="0" fillId="0" fontId="91" numFmtId="0" xfId="0" applyAlignment="1" applyFont="1">
      <alignment horizontal="left" readingOrder="0" vertical="center"/>
    </xf>
    <xf borderId="2" fillId="0" fontId="86" numFmtId="0" xfId="0" applyAlignment="1" applyBorder="1" applyFont="1">
      <alignment horizontal="left" vertical="center"/>
    </xf>
    <xf borderId="2" fillId="0" fontId="92" numFmtId="0" xfId="0" applyAlignment="1" applyBorder="1" applyFont="1">
      <alignment horizontal="left" readingOrder="0" shrinkToFit="0" vertical="center" wrapText="1"/>
    </xf>
    <xf borderId="0" fillId="0" fontId="92" numFmtId="0" xfId="0" applyAlignment="1" applyFont="1">
      <alignment horizontal="left" readingOrder="0" shrinkToFit="0" vertical="center" wrapText="1"/>
    </xf>
    <xf borderId="2" fillId="0" fontId="86" numFmtId="0" xfId="0" applyAlignment="1" applyBorder="1" applyFont="1">
      <alignment horizontal="left" shrinkToFit="0" vertical="center" wrapText="1"/>
    </xf>
    <xf borderId="2" fillId="24" fontId="1" numFmtId="0" xfId="0" applyAlignment="1" applyBorder="1" applyFont="1">
      <alignment readingOrder="0" shrinkToFit="0" vertical="center" wrapText="1"/>
    </xf>
    <xf borderId="14" fillId="34" fontId="93" numFmtId="0" xfId="0" applyAlignment="1" applyBorder="1" applyFont="1">
      <alignment horizontal="center" readingOrder="0" vertical="center"/>
    </xf>
    <xf borderId="2" fillId="0" fontId="10" numFmtId="0" xfId="0" applyAlignment="1" applyBorder="1" applyFont="1">
      <alignment horizontal="left" vertical="center"/>
    </xf>
    <xf borderId="2" fillId="0" fontId="18" numFmtId="0" xfId="0" applyAlignment="1" applyBorder="1" applyFont="1">
      <alignment horizontal="left" vertical="center"/>
    </xf>
    <xf borderId="2" fillId="0" fontId="1" numFmtId="0" xfId="0" applyAlignment="1" applyBorder="1" applyFont="1">
      <alignment horizontal="center" vertical="center"/>
    </xf>
    <xf borderId="2" fillId="0" fontId="18" numFmtId="0" xfId="0" applyAlignment="1" applyBorder="1" applyFont="1">
      <alignment horizontal="left" shrinkToFit="0" vertical="center" wrapText="1"/>
    </xf>
    <xf borderId="2" fillId="0" fontId="18" numFmtId="49" xfId="0" applyAlignment="1" applyBorder="1" applyFont="1" applyNumberFormat="1">
      <alignment horizontal="left" vertical="center"/>
    </xf>
    <xf borderId="2" fillId="0" fontId="1" numFmtId="0" xfId="0" applyAlignment="1" applyBorder="1" applyFont="1">
      <alignment horizontal="left" vertical="center"/>
    </xf>
    <xf borderId="2" fillId="14" fontId="1" numFmtId="0" xfId="0" applyAlignment="1" applyBorder="1" applyFont="1">
      <alignment horizontal="left" readingOrder="0" shrinkToFit="0" vertical="center" wrapText="1"/>
    </xf>
    <xf borderId="2" fillId="35" fontId="1" numFmtId="0" xfId="0" applyAlignment="1" applyBorder="1" applyFill="1" applyFont="1">
      <alignment horizontal="left" readingOrder="0" vertical="center"/>
    </xf>
    <xf borderId="14" fillId="0" fontId="87" numFmtId="0" xfId="0" applyAlignment="1" applyBorder="1" applyFont="1">
      <alignment horizontal="center" readingOrder="0" vertical="center"/>
    </xf>
    <xf borderId="2" fillId="23" fontId="3" numFmtId="0" xfId="0" applyAlignment="1" applyBorder="1" applyFont="1">
      <alignment horizontal="center" readingOrder="0" shrinkToFit="0" vertical="center" wrapText="0"/>
    </xf>
    <xf borderId="2" fillId="0" fontId="1" numFmtId="0" xfId="0" applyAlignment="1" applyBorder="1" applyFont="1">
      <alignment horizontal="center" readingOrder="0" shrinkToFit="0" vertical="center" wrapText="0"/>
    </xf>
    <xf borderId="2" fillId="13" fontId="1" numFmtId="0" xfId="0" applyAlignment="1" applyBorder="1" applyFont="1">
      <alignment readingOrder="0" shrinkToFit="0" vertical="center" wrapText="1"/>
    </xf>
    <xf borderId="2" fillId="0" fontId="1" numFmtId="164" xfId="0" applyAlignment="1" applyBorder="1" applyFont="1" applyNumberFormat="1">
      <alignment horizontal="center" shrinkToFit="0" vertical="center" wrapText="0"/>
    </xf>
    <xf borderId="2" fillId="0" fontId="1" numFmtId="49" xfId="0" applyAlignment="1" applyBorder="1" applyFont="1" applyNumberFormat="1">
      <alignment horizontal="left" readingOrder="0" vertical="center"/>
    </xf>
    <xf borderId="2" fillId="23" fontId="91" numFmtId="0" xfId="0" applyAlignment="1" applyBorder="1" applyFont="1">
      <alignment horizontal="left" readingOrder="0"/>
    </xf>
    <xf borderId="0" fillId="0" fontId="91" numFmtId="0" xfId="0" applyAlignment="1" applyFont="1">
      <alignment horizontal="left" readingOrder="0"/>
    </xf>
    <xf borderId="2" fillId="0" fontId="1" numFmtId="0" xfId="0" applyAlignment="1" applyBorder="1" applyFont="1">
      <alignment shrinkToFit="0" vertical="center" wrapText="1"/>
    </xf>
    <xf borderId="2" fillId="0" fontId="1" numFmtId="164" xfId="0" applyAlignment="1" applyBorder="1" applyFont="1" applyNumberFormat="1">
      <alignment horizontal="center" readingOrder="0" shrinkToFit="0" vertical="center" wrapText="0"/>
    </xf>
    <xf borderId="2" fillId="0" fontId="94" numFmtId="0" xfId="0" applyAlignment="1" applyBorder="1" applyFont="1">
      <alignment vertical="center"/>
    </xf>
    <xf borderId="2" fillId="23" fontId="1" numFmtId="0" xfId="0" applyAlignment="1" applyBorder="1" applyFont="1">
      <alignment horizontal="center" readingOrder="0" vertical="center"/>
    </xf>
    <xf borderId="2" fillId="0" fontId="1" numFmtId="0" xfId="0" applyAlignment="1" applyBorder="1" applyFont="1">
      <alignment horizontal="center" shrinkToFit="0" vertical="center" wrapText="1"/>
    </xf>
    <xf borderId="0" fillId="0" fontId="10" numFmtId="0" xfId="0" applyAlignment="1" applyFont="1">
      <alignment horizontal="left" readingOrder="0" vertical="center"/>
    </xf>
    <xf borderId="0" fillId="0" fontId="1" numFmtId="49" xfId="0" applyAlignment="1" applyFont="1" applyNumberFormat="1">
      <alignment horizontal="center" vertical="center"/>
    </xf>
    <xf borderId="0" fillId="0" fontId="1" numFmtId="49" xfId="0" applyAlignment="1" applyFont="1" applyNumberFormat="1">
      <alignment horizontal="center" shrinkToFit="0" vertical="center" wrapText="1"/>
    </xf>
    <xf borderId="0" fillId="0" fontId="1" numFmtId="49" xfId="0" applyAlignment="1" applyFont="1" applyNumberFormat="1">
      <alignment horizontal="center" shrinkToFit="0" vertical="center" wrapText="1"/>
    </xf>
    <xf borderId="0" fillId="0" fontId="3" numFmtId="0" xfId="0" applyAlignment="1" applyFont="1">
      <alignment horizontal="center" readingOrder="0" shrinkToFit="0" vertical="center" wrapText="1"/>
    </xf>
    <xf borderId="0" fillId="0" fontId="1" numFmtId="49" xfId="0" applyAlignment="1" applyFont="1" applyNumberFormat="1">
      <alignment horizontal="center" readingOrder="0" vertical="center"/>
    </xf>
    <xf borderId="0" fillId="0" fontId="1" numFmtId="49" xfId="0" applyAlignment="1" applyFont="1" applyNumberFormat="1">
      <alignment horizontal="center" readingOrder="0" shrinkToFit="0" vertical="center" wrapText="1"/>
    </xf>
    <xf borderId="0" fillId="0" fontId="94" numFmtId="0" xfId="0" applyAlignment="1" applyFont="1">
      <alignment vertical="center"/>
    </xf>
    <xf borderId="0" fillId="0" fontId="1"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17" fontId="1" numFmtId="0" xfId="0" applyAlignment="1" applyFont="1">
      <alignment horizontal="center" vertical="center"/>
    </xf>
    <xf borderId="0" fillId="0" fontId="1" numFmtId="0" xfId="0" applyAlignment="1" applyFont="1">
      <alignment horizontal="center" readingOrder="0" shrinkToFit="0" vertical="center" wrapText="1"/>
    </xf>
    <xf borderId="0" fillId="0" fontId="3" numFmtId="0" xfId="0" applyAlignment="1" applyFont="1">
      <alignment horizontal="center" readingOrder="0" shrinkToFit="0" vertical="center" wrapText="0"/>
    </xf>
    <xf borderId="0" fillId="23" fontId="1" numFmtId="0" xfId="0" applyAlignment="1" applyFont="1">
      <alignment horizontal="center" readingOrder="0" vertical="center"/>
    </xf>
    <xf borderId="0" fillId="0" fontId="1" numFmtId="164" xfId="0" applyAlignment="1" applyFont="1" applyNumberFormat="1">
      <alignment horizontal="center" shrinkToFit="0" vertical="center" wrapText="0"/>
    </xf>
    <xf borderId="0" fillId="0" fontId="3" numFmtId="164" xfId="0" applyAlignment="1" applyFont="1" applyNumberFormat="1">
      <alignment horizontal="center" readingOrder="0" shrinkToFit="0" vertical="center" wrapText="0"/>
    </xf>
    <xf borderId="0" fillId="0" fontId="1" numFmtId="164" xfId="0" applyAlignment="1" applyFont="1" applyNumberFormat="1">
      <alignment horizontal="center" readingOrder="0" shrinkToFit="0" vertical="center" wrapText="1"/>
    </xf>
    <xf borderId="0" fillId="0" fontId="1" numFmtId="0" xfId="0" applyAlignment="1" applyFont="1">
      <alignment horizontal="center" shrinkToFit="0" vertical="center" wrapText="1"/>
    </xf>
    <xf borderId="0" fillId="0" fontId="3" numFmtId="0" xfId="0" applyAlignment="1" applyFont="1">
      <alignment horizontal="center" readingOrder="0" shrinkToFit="0" vertical="center" wrapText="1"/>
    </xf>
    <xf borderId="2" fillId="0" fontId="95" numFmtId="49" xfId="0" applyAlignment="1" applyBorder="1" applyFont="1" applyNumberFormat="1">
      <alignment horizontal="center" vertical="bottom"/>
    </xf>
    <xf borderId="0" fillId="0" fontId="35" numFmtId="0" xfId="0" applyAlignment="1" applyFont="1">
      <alignment shrinkToFit="0" wrapText="1"/>
    </xf>
    <xf borderId="0" fillId="0" fontId="96" numFmtId="0" xfId="0" applyAlignment="1" applyFont="1">
      <alignment horizontal="center"/>
    </xf>
    <xf borderId="0" fillId="0" fontId="96" numFmtId="0" xfId="0" applyAlignment="1" applyFont="1">
      <alignment horizontal="center" shrinkToFit="0" wrapText="1"/>
    </xf>
    <xf borderId="15" fillId="36" fontId="17" numFmtId="0" xfId="0" applyAlignment="1" applyBorder="1" applyFill="1" applyFont="1">
      <alignment horizontal="center" vertical="center"/>
    </xf>
    <xf borderId="16" fillId="36" fontId="97" numFmtId="0" xfId="0" applyAlignment="1" applyBorder="1" applyFont="1">
      <alignment horizontal="center" vertical="center"/>
    </xf>
    <xf borderId="17" fillId="36" fontId="17" numFmtId="0" xfId="0" applyAlignment="1" applyBorder="1" applyFont="1">
      <alignment horizontal="center" shrinkToFit="0" vertical="center" wrapText="1"/>
    </xf>
    <xf borderId="7" fillId="36" fontId="17" numFmtId="0" xfId="0" applyAlignment="1" applyBorder="1" applyFont="1">
      <alignment horizontal="center" vertical="center"/>
    </xf>
    <xf borderId="18" fillId="27" fontId="17" numFmtId="0" xfId="0" applyAlignment="1" applyBorder="1" applyFont="1">
      <alignment horizontal="center" shrinkToFit="0" vertical="center" wrapText="1"/>
    </xf>
    <xf borderId="19" fillId="0" fontId="6" numFmtId="0" xfId="0" applyBorder="1" applyFont="1"/>
    <xf borderId="18" fillId="3" fontId="17" numFmtId="0" xfId="0" applyAlignment="1" applyBorder="1" applyFont="1">
      <alignment horizontal="center" shrinkToFit="0" vertical="center" wrapText="1"/>
    </xf>
    <xf borderId="18" fillId="37" fontId="17" numFmtId="0" xfId="0" applyAlignment="1" applyBorder="1" applyFill="1" applyFont="1">
      <alignment horizontal="center" vertical="center"/>
    </xf>
    <xf borderId="4" fillId="2" fontId="17" numFmtId="0" xfId="0" applyAlignment="1" applyBorder="1" applyFont="1">
      <alignment horizontal="center" vertical="center"/>
    </xf>
    <xf borderId="20" fillId="36" fontId="17" numFmtId="0" xfId="0" applyAlignment="1" applyBorder="1" applyFont="1">
      <alignment horizontal="center" shrinkToFit="0" vertical="center" wrapText="1"/>
    </xf>
    <xf borderId="0" fillId="16" fontId="98" numFmtId="0" xfId="0" applyAlignment="1" applyFont="1">
      <alignment horizontal="center" shrinkToFit="0" wrapText="1"/>
    </xf>
    <xf borderId="0" fillId="16" fontId="98" numFmtId="0" xfId="0" applyAlignment="1" applyFont="1">
      <alignment horizontal="center" shrinkToFit="0" wrapText="1"/>
    </xf>
    <xf borderId="0" fillId="16" fontId="99" numFmtId="0" xfId="0" applyAlignment="1" applyFont="1">
      <alignment horizontal="center" shrinkToFit="0" wrapText="1"/>
    </xf>
    <xf borderId="0" fillId="16" fontId="98" numFmtId="168" xfId="0" applyAlignment="1" applyFont="1" applyNumberFormat="1">
      <alignment horizontal="center" shrinkToFit="0" wrapText="1"/>
    </xf>
    <xf borderId="8" fillId="16" fontId="98" numFmtId="168" xfId="0" applyAlignment="1" applyBorder="1" applyFont="1" applyNumberFormat="1">
      <alignment horizontal="center" shrinkToFit="0" vertical="bottom" wrapText="1"/>
    </xf>
    <xf borderId="8" fillId="16" fontId="17" numFmtId="0" xfId="0" applyAlignment="1" applyBorder="1" applyFont="1">
      <alignment horizontal="center" shrinkToFit="0" vertical="center" wrapText="1"/>
    </xf>
    <xf borderId="8" fillId="16" fontId="17" numFmtId="0" xfId="0" applyAlignment="1" applyBorder="1" applyFont="1">
      <alignment horizontal="center" readingOrder="0" shrinkToFit="0" vertical="center" wrapText="1"/>
    </xf>
    <xf borderId="21" fillId="9" fontId="17" numFmtId="0" xfId="0" applyAlignment="1" applyBorder="1" applyFont="1">
      <alignment horizontal="center" readingOrder="0" shrinkToFit="0" vertical="center" wrapText="1"/>
    </xf>
    <xf borderId="22" fillId="9" fontId="17" numFmtId="0" xfId="0" applyAlignment="1" applyBorder="1" applyFont="1">
      <alignment horizontal="center" readingOrder="0" shrinkToFit="0" vertical="center" wrapText="1"/>
    </xf>
    <xf borderId="23" fillId="9" fontId="17" numFmtId="0" xfId="0" applyAlignment="1" applyBorder="1" applyFont="1">
      <alignment horizontal="center" readingOrder="0" shrinkToFit="0" vertical="center" wrapText="1"/>
    </xf>
    <xf borderId="24" fillId="36" fontId="17" numFmtId="0" xfId="0" applyAlignment="1" applyBorder="1" applyFont="1">
      <alignment horizontal="center" vertical="center"/>
    </xf>
    <xf borderId="25" fillId="36" fontId="97" numFmtId="0" xfId="0" applyAlignment="1" applyBorder="1" applyFont="1">
      <alignment horizontal="center" vertical="center"/>
    </xf>
    <xf borderId="14" fillId="36" fontId="17" numFmtId="0" xfId="0" applyAlignment="1" applyBorder="1" applyFont="1">
      <alignment horizontal="center" shrinkToFit="0" vertical="center" wrapText="1"/>
    </xf>
    <xf borderId="6" fillId="36" fontId="17" numFmtId="0" xfId="0" applyAlignment="1" applyBorder="1" applyFont="1">
      <alignment horizontal="center" vertical="center"/>
    </xf>
    <xf borderId="26" fillId="27" fontId="17" numFmtId="0" xfId="0" applyAlignment="1" applyBorder="1" applyFont="1">
      <alignment horizontal="center" shrinkToFit="0" vertical="center" wrapText="1"/>
    </xf>
    <xf borderId="27" fillId="27" fontId="17" numFmtId="0" xfId="0" applyAlignment="1" applyBorder="1" applyFont="1">
      <alignment horizontal="center" shrinkToFit="0" vertical="center" wrapText="1"/>
    </xf>
    <xf borderId="26" fillId="3" fontId="17" numFmtId="0" xfId="0" applyAlignment="1" applyBorder="1" applyFont="1">
      <alignment horizontal="center" shrinkToFit="0" vertical="center" wrapText="1"/>
    </xf>
    <xf borderId="27" fillId="3" fontId="17" numFmtId="0" xfId="0" applyAlignment="1" applyBorder="1" applyFont="1">
      <alignment horizontal="center" shrinkToFit="0" vertical="center" wrapText="1"/>
    </xf>
    <xf borderId="26" fillId="37" fontId="17" numFmtId="0" xfId="0" applyAlignment="1" applyBorder="1" applyFont="1">
      <alignment horizontal="center" vertical="center"/>
    </xf>
    <xf borderId="27" fillId="37" fontId="17" numFmtId="0" xfId="0" applyAlignment="1" applyBorder="1" applyFont="1">
      <alignment horizontal="center" vertical="center"/>
    </xf>
    <xf borderId="20" fillId="2" fontId="17" numFmtId="0" xfId="0" applyAlignment="1" applyBorder="1" applyFont="1">
      <alignment horizontal="center" vertical="center"/>
    </xf>
    <xf borderId="1" fillId="2" fontId="17" numFmtId="0" xfId="0" applyAlignment="1" applyBorder="1" applyFont="1">
      <alignment horizontal="center" vertical="center"/>
    </xf>
    <xf borderId="0" fillId="0" fontId="98" numFmtId="0" xfId="0" applyAlignment="1" applyFont="1">
      <alignment horizontal="center" shrinkToFit="0" wrapText="1"/>
    </xf>
    <xf borderId="8" fillId="0" fontId="33" numFmtId="0" xfId="0" applyBorder="1" applyFont="1"/>
    <xf borderId="8" fillId="0" fontId="33" numFmtId="0" xfId="0" applyBorder="1" applyFont="1"/>
    <xf borderId="8" fillId="0" fontId="33" numFmtId="0" xfId="0" applyAlignment="1" applyBorder="1" applyFont="1">
      <alignment shrinkToFit="0" wrapText="1"/>
    </xf>
    <xf borderId="8" fillId="0" fontId="33" numFmtId="0" xfId="0" applyAlignment="1" applyBorder="1" applyFont="1">
      <alignment readingOrder="0" shrinkToFit="0" wrapText="1"/>
    </xf>
    <xf borderId="8" fillId="0" fontId="33" numFmtId="169" xfId="0" applyAlignment="1" applyBorder="1" applyFont="1" applyNumberFormat="1">
      <alignment horizontal="center" readingOrder="0"/>
    </xf>
    <xf borderId="10" fillId="0" fontId="33" numFmtId="169" xfId="0" applyAlignment="1" applyBorder="1" applyFont="1" applyNumberFormat="1">
      <alignment vertical="bottom"/>
    </xf>
    <xf borderId="8" fillId="0" fontId="61" numFmtId="0" xfId="0" applyAlignment="1" applyBorder="1" applyFont="1">
      <alignment vertical="bottom"/>
    </xf>
    <xf borderId="8" fillId="0" fontId="35" numFmtId="0" xfId="0" applyAlignment="1" applyBorder="1" applyFont="1">
      <alignment readingOrder="0"/>
    </xf>
    <xf borderId="9" fillId="0" fontId="35" numFmtId="0" xfId="0" applyAlignment="1" applyBorder="1" applyFont="1">
      <alignment readingOrder="0"/>
    </xf>
    <xf borderId="12" fillId="0" fontId="33" numFmtId="0" xfId="0" applyAlignment="1" applyBorder="1" applyFont="1">
      <alignment shrinkToFit="0" wrapText="1"/>
    </xf>
    <xf borderId="10" fillId="14" fontId="1" numFmtId="0" xfId="0" applyAlignment="1" applyBorder="1" applyFont="1">
      <alignment readingOrder="0" vertical="center"/>
    </xf>
    <xf borderId="10" fillId="0" fontId="1" numFmtId="0" xfId="0" applyAlignment="1" applyBorder="1" applyFont="1">
      <alignment readingOrder="0" vertical="center"/>
    </xf>
    <xf borderId="10" fillId="14" fontId="1" numFmtId="0" xfId="0" applyAlignment="1" applyBorder="1" applyFont="1">
      <alignment horizontal="center" readingOrder="0" vertical="center"/>
    </xf>
    <xf borderId="8" fillId="0" fontId="1" numFmtId="0" xfId="0" applyAlignment="1" applyBorder="1" applyFont="1">
      <alignment horizontal="center" readingOrder="0" vertical="center"/>
    </xf>
    <xf borderId="8" fillId="14" fontId="1" numFmtId="0" xfId="0" applyAlignment="1" applyBorder="1" applyFont="1">
      <alignment readingOrder="0" vertical="center"/>
    </xf>
    <xf borderId="8" fillId="14" fontId="1" numFmtId="0" xfId="0" applyAlignment="1" applyBorder="1" applyFont="1">
      <alignment readingOrder="0"/>
    </xf>
    <xf borderId="10" fillId="0" fontId="3" numFmtId="0" xfId="0" applyAlignment="1" applyBorder="1" applyFont="1">
      <alignment readingOrder="0" shrinkToFit="0" wrapText="0"/>
    </xf>
    <xf borderId="0" fillId="0" fontId="100" numFmtId="0" xfId="0" applyAlignment="1" applyFont="1">
      <alignment readingOrder="0" shrinkToFit="0" wrapText="0"/>
    </xf>
    <xf borderId="0" fillId="0" fontId="35" numFmtId="0" xfId="0" applyAlignment="1" applyFont="1">
      <alignment readingOrder="0"/>
    </xf>
    <xf borderId="8" fillId="0" fontId="1" numFmtId="0" xfId="0" applyAlignment="1" applyBorder="1" applyFont="1">
      <alignment readingOrder="0" vertical="center"/>
    </xf>
    <xf borderId="8" fillId="14" fontId="1" numFmtId="0" xfId="0" applyAlignment="1" applyBorder="1" applyFont="1">
      <alignment horizontal="center" readingOrder="0" vertical="center"/>
    </xf>
    <xf borderId="8" fillId="0" fontId="1" numFmtId="0" xfId="0" applyAlignment="1" applyBorder="1" applyFont="1">
      <alignment horizontal="center" vertical="center"/>
    </xf>
    <xf borderId="8" fillId="0" fontId="3" numFmtId="0" xfId="0" applyAlignment="1" applyBorder="1" applyFont="1">
      <alignment readingOrder="0" shrinkToFit="0" wrapText="0"/>
    </xf>
    <xf borderId="12" fillId="0" fontId="33" numFmtId="0" xfId="0" applyAlignment="1" applyBorder="1" applyFont="1">
      <alignment readingOrder="0" shrinkToFit="0" wrapText="1"/>
    </xf>
    <xf borderId="12" fillId="0" fontId="33" numFmtId="0" xfId="0" applyAlignment="1" applyBorder="1" applyFont="1">
      <alignment readingOrder="0" shrinkToFit="0" wrapText="1"/>
    </xf>
    <xf borderId="8" fillId="0" fontId="33" numFmtId="0" xfId="0" applyAlignment="1" applyBorder="1" applyFont="1">
      <alignment shrinkToFit="0" wrapText="1"/>
    </xf>
    <xf borderId="28" fillId="0" fontId="35" numFmtId="0" xfId="0" applyAlignment="1" applyBorder="1" applyFont="1">
      <alignment readingOrder="0"/>
    </xf>
    <xf borderId="29" fillId="0" fontId="33" numFmtId="0" xfId="0" applyAlignment="1" applyBorder="1" applyFont="1">
      <alignment readingOrder="0" shrinkToFit="0" wrapText="1"/>
    </xf>
    <xf borderId="30" fillId="0" fontId="33" numFmtId="0" xfId="0" applyAlignment="1" applyBorder="1" applyFont="1">
      <alignment shrinkToFit="0" wrapText="1"/>
    </xf>
    <xf borderId="12" fillId="0" fontId="35" numFmtId="0" xfId="0" applyAlignment="1" applyBorder="1" applyFont="1">
      <alignment readingOrder="0" shrinkToFit="0" wrapText="1"/>
    </xf>
    <xf borderId="8" fillId="0" fontId="1" numFmtId="0" xfId="0" applyAlignment="1" applyBorder="1" applyFont="1">
      <alignment readingOrder="0"/>
    </xf>
    <xf borderId="9" fillId="21" fontId="35" numFmtId="0" xfId="0" applyAlignment="1" applyBorder="1" applyFont="1">
      <alignment readingOrder="0"/>
    </xf>
    <xf borderId="8" fillId="21" fontId="35" numFmtId="0" xfId="0" applyAlignment="1" applyBorder="1" applyFont="1">
      <alignment readingOrder="0"/>
    </xf>
    <xf borderId="12" fillId="21" fontId="35" numFmtId="0" xfId="0" applyAlignment="1" applyBorder="1" applyFont="1">
      <alignment readingOrder="0"/>
    </xf>
    <xf borderId="8" fillId="0" fontId="33" numFmtId="170" xfId="0" applyAlignment="1" applyBorder="1" applyFont="1" applyNumberFormat="1">
      <alignment horizontal="center" readingOrder="0"/>
    </xf>
    <xf borderId="8" fillId="21" fontId="61" numFmtId="0" xfId="0" applyAlignment="1" applyBorder="1" applyFont="1">
      <alignment readingOrder="0" shrinkToFit="0" wrapText="1"/>
    </xf>
    <xf borderId="12" fillId="21" fontId="61" numFmtId="0" xfId="0" applyAlignment="1" applyBorder="1" applyFont="1">
      <alignment shrinkToFit="0" wrapText="1"/>
    </xf>
    <xf borderId="8" fillId="0" fontId="35" numFmtId="0" xfId="0" applyAlignment="1" applyBorder="1" applyFont="1">
      <alignment readingOrder="0"/>
    </xf>
    <xf borderId="8" fillId="0" fontId="35" numFmtId="0" xfId="0" applyBorder="1" applyFont="1"/>
    <xf borderId="8" fillId="18" fontId="35" numFmtId="0" xfId="0" applyAlignment="1" applyBorder="1" applyFont="1">
      <alignment readingOrder="0"/>
    </xf>
    <xf borderId="0" fillId="0" fontId="33" numFmtId="0" xfId="0" applyAlignment="1" applyFont="1">
      <alignment shrinkToFit="0" wrapText="1"/>
    </xf>
    <xf borderId="8" fillId="14" fontId="35" numFmtId="0" xfId="0" applyAlignment="1" applyBorder="1" applyFont="1">
      <alignment readingOrder="0"/>
    </xf>
    <xf borderId="8" fillId="0" fontId="100" numFmtId="0" xfId="0" applyAlignment="1" applyBorder="1" applyFont="1">
      <alignment readingOrder="0" shrinkToFit="0" wrapText="0"/>
    </xf>
    <xf borderId="0" fillId="0" fontId="61" numFmtId="0" xfId="0" applyAlignment="1" applyFont="1">
      <alignment shrinkToFit="0" wrapText="1"/>
    </xf>
    <xf borderId="0" fillId="16" fontId="98" numFmtId="0" xfId="0" applyAlignment="1" applyFont="1">
      <alignment horizontal="center" shrinkToFit="0" vertical="center" wrapText="1"/>
    </xf>
    <xf borderId="0" fillId="16" fontId="98" numFmtId="0" xfId="0" applyAlignment="1" applyFont="1">
      <alignment horizontal="center" readingOrder="0" shrinkToFit="0" vertical="center" wrapText="1"/>
    </xf>
    <xf borderId="0" fillId="16" fontId="98" numFmtId="0" xfId="0" applyAlignment="1" applyFont="1">
      <alignment horizontal="center" shrinkToFit="0" vertical="center" wrapText="1"/>
    </xf>
    <xf borderId="8" fillId="16" fontId="98" numFmtId="0" xfId="0" applyAlignment="1" applyBorder="1" applyFont="1">
      <alignment horizontal="center" readingOrder="0" shrinkToFit="0" vertical="center" wrapText="1"/>
    </xf>
    <xf borderId="8" fillId="0" fontId="35" numFmtId="0" xfId="0" applyBorder="1" applyFont="1"/>
    <xf borderId="0" fillId="0" fontId="1" numFmtId="0" xfId="0" applyAlignment="1" applyFont="1">
      <alignment readingOrder="0" vertical="center"/>
    </xf>
    <xf borderId="8" fillId="0" fontId="35" numFmtId="0" xfId="0" applyAlignment="1" applyBorder="1" applyFont="1">
      <alignment shrinkToFit="0" vertical="center" wrapText="1"/>
    </xf>
    <xf borderId="8" fillId="0" fontId="35" numFmtId="0" xfId="0" applyAlignment="1" applyBorder="1" applyFont="1">
      <alignment vertical="center"/>
    </xf>
    <xf borderId="8" fillId="0" fontId="35" numFmtId="0" xfId="0" applyAlignment="1" applyBorder="1" applyFont="1">
      <alignment readingOrder="0" vertical="center"/>
    </xf>
    <xf borderId="8" fillId="0" fontId="61" numFmtId="49" xfId="0" applyAlignment="1" applyBorder="1" applyFont="1" applyNumberFormat="1">
      <alignment readingOrder="0" vertical="center"/>
    </xf>
    <xf borderId="8" fillId="0" fontId="61" numFmtId="0" xfId="0" applyAlignment="1" applyBorder="1" applyFont="1">
      <alignment readingOrder="0" vertical="center"/>
    </xf>
    <xf borderId="8" fillId="0" fontId="35" numFmtId="0" xfId="0" applyAlignment="1" applyBorder="1" applyFont="1">
      <alignment readingOrder="0" shrinkToFit="0" wrapText="1"/>
    </xf>
    <xf borderId="8" fillId="0" fontId="35" numFmtId="0" xfId="0" applyAlignment="1" applyBorder="1" applyFont="1">
      <alignment readingOrder="0" shrinkToFit="0" vertical="center" wrapText="1"/>
    </xf>
    <xf borderId="8" fillId="14" fontId="35" numFmtId="0" xfId="0" applyAlignment="1" applyBorder="1" applyFont="1">
      <alignment readingOrder="0" shrinkToFit="0" wrapText="1"/>
    </xf>
    <xf borderId="0" fillId="0" fontId="35" numFmtId="0" xfId="0" applyAlignment="1" applyFont="1">
      <alignment vertical="top"/>
    </xf>
    <xf borderId="8" fillId="16" fontId="17" numFmtId="0" xfId="0" applyAlignment="1" applyBorder="1" applyFont="1">
      <alignment horizontal="center" readingOrder="0" shrinkToFit="0" vertical="top" wrapText="1"/>
    </xf>
    <xf borderId="8" fillId="16" fontId="17" numFmtId="0" xfId="0" applyAlignment="1" applyBorder="1" applyFont="1">
      <alignment horizontal="center" shrinkToFit="0" vertical="top" wrapText="1"/>
    </xf>
    <xf borderId="0" fillId="0" fontId="35" numFmtId="0" xfId="0" applyAlignment="1" applyFont="1">
      <alignment readingOrder="0" vertical="top"/>
    </xf>
    <xf borderId="8" fillId="0" fontId="1" numFmtId="0" xfId="0" applyAlignment="1" applyBorder="1" applyFont="1">
      <alignment vertical="center"/>
    </xf>
    <xf borderId="8" fillId="0" fontId="33" numFmtId="0" xfId="0" applyAlignment="1" applyBorder="1" applyFont="1">
      <alignment readingOrder="0" vertical="center"/>
    </xf>
    <xf borderId="8" fillId="0" fontId="61" numFmtId="0" xfId="0" applyAlignment="1" applyBorder="1" applyFont="1">
      <alignment horizontal="left" readingOrder="0" shrinkToFit="0" vertical="bottom" wrapText="1"/>
    </xf>
    <xf borderId="8" fillId="0" fontId="1" numFmtId="0" xfId="0" applyAlignment="1" applyBorder="1" applyFont="1">
      <alignment readingOrder="0" shrinkToFit="0" vertical="center" wrapText="1"/>
    </xf>
    <xf borderId="1" fillId="9" fontId="17" numFmtId="0" xfId="0" applyAlignment="1" applyBorder="1" applyFont="1">
      <alignment horizontal="center" readingOrder="0" shrinkToFit="0" vertical="center" wrapText="1"/>
    </xf>
    <xf borderId="0" fillId="0" fontId="61" numFmtId="0" xfId="0" applyAlignment="1" applyFont="1">
      <alignment horizontal="center" shrinkToFit="0" vertical="center" wrapText="1"/>
    </xf>
    <xf borderId="0" fillId="0" fontId="61" numFmtId="0" xfId="0" applyAlignment="1" applyFont="1">
      <alignment horizontal="center" readingOrder="0" shrinkToFit="0" vertical="center" wrapText="1"/>
    </xf>
    <xf borderId="0" fillId="0" fontId="101" numFmtId="0" xfId="0" applyAlignment="1" applyFont="1">
      <alignment readingOrder="0"/>
    </xf>
    <xf borderId="8" fillId="0" fontId="35" numFmtId="0" xfId="0" applyAlignment="1" applyBorder="1" applyFont="1">
      <alignment horizontal="left" readingOrder="0" shrinkToFit="0" wrapText="1"/>
    </xf>
    <xf borderId="0" fillId="0" fontId="33" numFmtId="0" xfId="0" applyAlignment="1" applyFont="1">
      <alignment readingOrder="0" shrinkToFit="0" wrapText="1"/>
    </xf>
    <xf borderId="0" fillId="0" fontId="61" numFmtId="0" xfId="0" applyAlignment="1" applyFont="1">
      <alignment readingOrder="0" shrinkToFit="0" wrapText="1"/>
    </xf>
    <xf borderId="0" fillId="0" fontId="35" numFmtId="0" xfId="0" applyAlignment="1" applyFont="1">
      <alignment readingOrder="0" shrinkToFit="0" wrapText="1"/>
    </xf>
    <xf borderId="8" fillId="0" fontId="61" numFmtId="0" xfId="0" applyAlignment="1" applyBorder="1" applyFont="1">
      <alignment vertical="bottom"/>
    </xf>
    <xf borderId="8" fillId="0" fontId="35" numFmtId="0" xfId="0" applyAlignment="1" applyBorder="1" applyFont="1">
      <alignment horizontal="center"/>
    </xf>
    <xf borderId="8" fillId="0" fontId="61" numFmtId="0" xfId="0" applyAlignment="1" applyBorder="1" applyFont="1">
      <alignment readingOrder="0" vertical="bottom"/>
    </xf>
    <xf borderId="8" fillId="0" fontId="35" numFmtId="0" xfId="0" applyAlignment="1" applyBorder="1" applyFont="1">
      <alignment horizontal="center" readingOrder="0"/>
    </xf>
    <xf borderId="8" fillId="0" fontId="61" numFmtId="0" xfId="0" applyAlignment="1" applyBorder="1" applyFont="1">
      <alignment readingOrder="0" shrinkToFit="0" vertical="bottom" wrapText="0"/>
    </xf>
    <xf borderId="8" fillId="0" fontId="61" numFmtId="0" xfId="0" applyAlignment="1" applyBorder="1" applyFont="1">
      <alignment readingOrder="0" shrinkToFit="0" vertical="center" wrapText="0"/>
    </xf>
    <xf borderId="1" fillId="9" fontId="17" numFmtId="0" xfId="0" applyAlignment="1" applyBorder="1" applyFont="1">
      <alignment horizontal="center" readingOrder="0" shrinkToFit="0" vertical="center" wrapText="0"/>
    </xf>
    <xf borderId="1" fillId="9" fontId="17" numFmtId="0" xfId="0" applyAlignment="1" applyBorder="1" applyFont="1">
      <alignment horizontal="center" shrinkToFit="0" vertical="center" wrapText="1"/>
    </xf>
    <xf borderId="8" fillId="9" fontId="17" numFmtId="0" xfId="0" applyAlignment="1" applyBorder="1" applyFont="1">
      <alignment horizontal="center" readingOrder="0" shrinkToFit="0" vertical="center" wrapText="1"/>
    </xf>
    <xf borderId="8" fillId="9" fontId="98" numFmtId="0" xfId="0" applyAlignment="1" applyBorder="1" applyFont="1">
      <alignment horizontal="center" readingOrder="0" shrinkToFit="0" vertical="center" wrapText="1"/>
    </xf>
    <xf borderId="8" fillId="0" fontId="61" numFmtId="0" xfId="0" applyAlignment="1" applyBorder="1" applyFont="1">
      <alignment vertical="center"/>
    </xf>
    <xf borderId="8" fillId="0" fontId="61" numFmtId="0" xfId="0" applyAlignment="1" applyBorder="1" applyFont="1">
      <alignment horizontal="left" readingOrder="0" shrinkToFit="0" vertical="center" wrapText="1"/>
    </xf>
    <xf borderId="8" fillId="0" fontId="35" numFmtId="0" xfId="0" applyAlignment="1" applyBorder="1" applyFont="1">
      <alignment horizontal="left" readingOrder="0" shrinkToFit="0" vertical="center" wrapText="1"/>
    </xf>
    <xf borderId="0" fillId="0" fontId="1" numFmtId="0" xfId="0" applyFont="1"/>
    <xf borderId="0" fillId="0" fontId="1" numFmtId="0" xfId="0" applyAlignment="1" applyFont="1">
      <alignment horizontal="center"/>
    </xf>
    <xf borderId="0" fillId="14" fontId="35" numFmtId="0" xfId="0" applyFont="1"/>
    <xf borderId="0" fillId="0" fontId="35" numFmtId="0" xfId="0" applyFont="1"/>
    <xf borderId="0" fillId="0" fontId="35" numFmtId="49" xfId="0" applyFont="1" applyNumberFormat="1"/>
    <xf borderId="0" fillId="0" fontId="102" numFmtId="0" xfId="0" applyFont="1"/>
    <xf borderId="0" fillId="0" fontId="35" numFmtId="171" xfId="0" applyFont="1" applyNumberFormat="1"/>
    <xf borderId="2" fillId="38" fontId="103" numFmtId="0" xfId="0" applyAlignment="1" applyBorder="1" applyFill="1" applyFont="1">
      <alignment horizontal="center" readingOrder="0" shrinkToFit="0" vertical="bottom" wrapText="0"/>
    </xf>
    <xf borderId="5" fillId="38" fontId="103" numFmtId="0" xfId="0" applyAlignment="1" applyBorder="1" applyFont="1">
      <alignment horizontal="center" readingOrder="0" shrinkToFit="0" vertical="bottom" wrapText="0"/>
    </xf>
    <xf borderId="6" fillId="0" fontId="104" numFmtId="0" xfId="0" applyAlignment="1" applyBorder="1" applyFont="1">
      <alignment horizontal="left" readingOrder="0" shrinkToFit="0" vertical="bottom" wrapText="0"/>
    </xf>
    <xf borderId="14" fillId="0" fontId="104" numFmtId="0" xfId="0" applyAlignment="1" applyBorder="1" applyFont="1">
      <alignment horizontal="left" readingOrder="0" shrinkToFit="0" vertical="bottom" wrapText="0"/>
    </xf>
    <xf borderId="2" fillId="0" fontId="104" numFmtId="0" xfId="0" applyAlignment="1" applyBorder="1" applyFont="1">
      <alignment horizontal="left" readingOrder="0" shrinkToFit="0" vertical="bottom" wrapText="0"/>
    </xf>
    <xf borderId="5" fillId="0" fontId="104" numFmtId="0" xfId="0" applyAlignment="1" applyBorder="1" applyFont="1">
      <alignment horizontal="left" readingOrder="0" shrinkToFit="0" vertical="bottom" wrapText="0"/>
    </xf>
    <xf borderId="0" fillId="0" fontId="105" numFmtId="0" xfId="0" applyAlignment="1" applyFont="1">
      <alignment horizontal="center" readingOrder="0"/>
    </xf>
    <xf borderId="0" fillId="14" fontId="105" numFmtId="172" xfId="0" applyAlignment="1" applyFont="1" applyNumberFormat="1">
      <alignment horizontal="center"/>
    </xf>
    <xf borderId="0" fillId="0" fontId="105" numFmtId="172" xfId="0" applyAlignment="1" applyFont="1" applyNumberFormat="1">
      <alignment horizontal="center"/>
    </xf>
    <xf borderId="0" fillId="0" fontId="105" numFmtId="0" xfId="0" applyAlignment="1" applyFont="1">
      <alignment horizontal="center"/>
    </xf>
    <xf borderId="0" fillId="19" fontId="17" numFmtId="0" xfId="0" applyAlignment="1" applyFont="1">
      <alignment horizontal="center" readingOrder="0" shrinkToFit="0" vertical="center" wrapText="1"/>
    </xf>
    <xf borderId="0" fillId="30" fontId="17" numFmtId="0" xfId="0" applyAlignment="1" applyFont="1">
      <alignment horizontal="center" readingOrder="0" shrinkToFit="0" vertical="center" wrapText="1"/>
    </xf>
    <xf borderId="0" fillId="28" fontId="17" numFmtId="0" xfId="0" applyAlignment="1" applyFont="1">
      <alignment horizontal="center" shrinkToFit="0" vertical="center" wrapText="1"/>
    </xf>
    <xf borderId="0" fillId="29" fontId="4" numFmtId="0" xfId="0" applyAlignment="1" applyFont="1">
      <alignment horizontal="center" shrinkToFit="0" vertical="center" wrapText="1"/>
    </xf>
    <xf borderId="0" fillId="14" fontId="35" numFmtId="49" xfId="0" applyFont="1" applyNumberFormat="1"/>
    <xf borderId="0" fillId="0" fontId="105" numFmtId="0" xfId="0" applyFont="1"/>
    <xf borderId="0" fillId="0" fontId="106" numFmtId="0" xfId="0" applyFont="1"/>
    <xf borderId="0" fillId="0" fontId="106" numFmtId="0" xfId="0" applyAlignment="1" applyFont="1">
      <alignment horizontal="center" vertical="center"/>
    </xf>
    <xf borderId="0" fillId="0" fontId="107" numFmtId="0" xfId="0" applyAlignment="1" applyFont="1">
      <alignment readingOrder="0" vertical="center"/>
    </xf>
    <xf borderId="0" fillId="0" fontId="108" numFmtId="0" xfId="0" applyAlignment="1" applyFont="1">
      <alignment readingOrder="0"/>
    </xf>
    <xf borderId="0" fillId="0" fontId="61" numFmtId="0" xfId="0" applyFont="1"/>
    <xf borderId="2" fillId="34" fontId="109" numFmtId="0" xfId="0" applyAlignment="1" applyBorder="1" applyFont="1">
      <alignment horizontal="center" shrinkToFit="0" vertical="center" wrapText="1"/>
    </xf>
    <xf borderId="0" fillId="0" fontId="61" numFmtId="0" xfId="0" applyFont="1"/>
    <xf borderId="0" fillId="14" fontId="110" numFmtId="0" xfId="0" applyAlignment="1" applyFont="1">
      <alignment readingOrder="0"/>
    </xf>
    <xf borderId="0" fillId="0" fontId="93" numFmtId="0" xfId="0" applyAlignment="1" applyFont="1">
      <alignment horizontal="center"/>
    </xf>
    <xf borderId="5" fillId="0" fontId="93" numFmtId="0" xfId="0" applyAlignment="1" applyBorder="1" applyFont="1">
      <alignment horizontal="center" vertical="center"/>
    </xf>
    <xf borderId="0" fillId="0" fontId="93" numFmtId="0" xfId="0" applyAlignment="1" applyFont="1">
      <alignment horizontal="center" vertical="bottom"/>
    </xf>
    <xf borderId="0" fillId="0" fontId="93" numFmtId="0" xfId="0" applyAlignment="1" applyFont="1">
      <alignment horizontal="center" readingOrder="0"/>
    </xf>
    <xf borderId="0" fillId="0" fontId="61" numFmtId="0" xfId="0" applyAlignment="1" applyFont="1">
      <alignment vertical="bottom"/>
    </xf>
    <xf borderId="17" fillId="39" fontId="106" numFmtId="0" xfId="0" applyBorder="1" applyFill="1" applyFont="1"/>
    <xf borderId="5" fillId="0" fontId="93" numFmtId="0" xfId="0" applyAlignment="1" applyBorder="1" applyFont="1">
      <alignment horizontal="center"/>
    </xf>
    <xf borderId="5" fillId="0" fontId="93" numFmtId="0" xfId="0" applyAlignment="1" applyBorder="1" applyFont="1">
      <alignment horizontal="center" vertical="bottom"/>
    </xf>
    <xf borderId="5" fillId="0" fontId="93" numFmtId="0" xfId="0" applyAlignment="1" applyBorder="1" applyFont="1">
      <alignment horizontal="center" readingOrder="0" vertical="bottom"/>
    </xf>
    <xf borderId="5" fillId="0" fontId="93" numFmtId="0" xfId="0" applyAlignment="1" applyBorder="1" applyFont="1">
      <alignment horizontal="center" readingOrder="0"/>
    </xf>
    <xf borderId="1" fillId="0" fontId="93" numFmtId="0" xfId="0" applyAlignment="1" applyBorder="1" applyFont="1">
      <alignment horizontal="center" vertical="center"/>
    </xf>
    <xf borderId="14" fillId="14" fontId="93" numFmtId="0" xfId="0" applyAlignment="1" applyBorder="1" applyFont="1">
      <alignment horizontal="center"/>
    </xf>
    <xf borderId="2" fillId="0" fontId="89" numFmtId="0" xfId="0" applyAlignment="1" applyBorder="1" applyFont="1">
      <alignment horizontal="center" vertical="bottom"/>
    </xf>
    <xf borderId="2" fillId="0" fontId="89" numFmtId="0" xfId="0" applyAlignment="1" applyBorder="1" applyFont="1">
      <alignment horizontal="center" readingOrder="0" vertical="bottom"/>
    </xf>
    <xf borderId="2" fillId="0" fontId="93" numFmtId="0" xfId="0" applyAlignment="1" applyBorder="1" applyFont="1">
      <alignment horizontal="center" readingOrder="0" vertical="bottom"/>
    </xf>
    <xf borderId="14" fillId="0" fontId="93" numFmtId="0" xfId="0" applyAlignment="1" applyBorder="1" applyFont="1">
      <alignment horizontal="center" readingOrder="0" vertical="bottom"/>
    </xf>
    <xf borderId="2" fillId="0" fontId="111" numFmtId="0" xfId="0" applyAlignment="1" applyBorder="1" applyFont="1">
      <alignment horizontal="center" vertical="bottom"/>
    </xf>
    <xf borderId="14" fillId="15" fontId="112" numFmtId="0" xfId="0" applyAlignment="1" applyBorder="1" applyFont="1">
      <alignment horizontal="center" vertical="bottom"/>
    </xf>
    <xf borderId="14" fillId="0" fontId="93" numFmtId="0" xfId="0" applyAlignment="1" applyBorder="1" applyFont="1">
      <alignment horizontal="center" vertical="bottom"/>
    </xf>
    <xf borderId="6" fillId="0" fontId="113" numFmtId="0" xfId="0" applyAlignment="1" applyBorder="1" applyFont="1">
      <alignment horizontal="center" readingOrder="0" vertical="bottom"/>
    </xf>
    <xf borderId="5" fillId="0" fontId="113" numFmtId="0" xfId="0" applyAlignment="1" applyBorder="1" applyFont="1">
      <alignment horizontal="center" vertical="bottom"/>
    </xf>
    <xf borderId="14" fillId="0" fontId="113" numFmtId="0" xfId="0" applyAlignment="1" applyBorder="1" applyFont="1">
      <alignment horizontal="center" vertical="bottom"/>
    </xf>
    <xf borderId="2" fillId="23" fontId="93" numFmtId="0" xfId="0" applyAlignment="1" applyBorder="1" applyFont="1">
      <alignment horizontal="center" vertical="bottom"/>
    </xf>
    <xf borderId="2" fillId="0" fontId="93" numFmtId="0" xfId="0" applyAlignment="1" applyBorder="1" applyFont="1">
      <alignment horizontal="center" vertical="bottom"/>
    </xf>
    <xf borderId="14" fillId="14" fontId="93" numFmtId="0" xfId="0" applyAlignment="1" applyBorder="1" applyFont="1">
      <alignment horizontal="center" readingOrder="0"/>
    </xf>
    <xf borderId="14" fillId="14" fontId="93" numFmtId="0" xfId="0" applyAlignment="1" applyBorder="1" applyFont="1">
      <alignment horizontal="center" vertical="bottom"/>
    </xf>
    <xf borderId="2" fillId="0" fontId="113" numFmtId="0" xfId="0" applyAlignment="1" applyBorder="1" applyFont="1">
      <alignment horizontal="center" vertical="bottom"/>
    </xf>
    <xf borderId="0" fillId="0" fontId="93" numFmtId="0" xfId="0" applyAlignment="1" applyFont="1">
      <alignment horizontal="center" vertical="center"/>
    </xf>
    <xf borderId="0" fillId="0" fontId="93" numFmtId="0" xfId="0" applyAlignment="1" applyFont="1">
      <alignment vertical="bottom"/>
    </xf>
    <xf borderId="0" fillId="0" fontId="93" numFmtId="0" xfId="0" applyAlignment="1" applyFont="1">
      <alignment horizontal="center" vertical="bottom"/>
    </xf>
    <xf borderId="5" fillId="0" fontId="93" numFmtId="0" xfId="0" applyAlignment="1" applyBorder="1" applyFont="1">
      <alignment horizontal="center" vertical="bottom"/>
    </xf>
    <xf borderId="5" fillId="14" fontId="93" numFmtId="0" xfId="0" applyAlignment="1" applyBorder="1" applyFont="1">
      <alignment horizontal="center" readingOrder="0"/>
    </xf>
    <xf borderId="2" fillId="0" fontId="35" numFmtId="0" xfId="0" applyAlignment="1" applyBorder="1" applyFont="1">
      <alignment horizontal="center" readingOrder="0"/>
    </xf>
    <xf borderId="2" fillId="0" fontId="35" numFmtId="0" xfId="0" applyAlignment="1" applyBorder="1" applyFont="1">
      <alignment horizontal="center"/>
    </xf>
    <xf borderId="17" fillId="39" fontId="106" numFmtId="0" xfId="0" applyAlignment="1" applyBorder="1" applyFont="1">
      <alignment horizontal="center" vertical="bottom"/>
    </xf>
    <xf borderId="5" fillId="0" fontId="93" numFmtId="0" xfId="0" applyAlignment="1" applyBorder="1" applyFont="1">
      <alignment vertical="bottom"/>
    </xf>
    <xf borderId="17" fillId="0" fontId="61" numFmtId="0" xfId="0" applyAlignment="1" applyBorder="1" applyFont="1">
      <alignment vertical="bottom"/>
    </xf>
    <xf borderId="14" fillId="14" fontId="93" numFmtId="0" xfId="0" applyAlignment="1" applyBorder="1" applyFont="1">
      <alignment vertical="bottom"/>
    </xf>
    <xf borderId="14" fillId="23" fontId="93" numFmtId="0" xfId="0" applyAlignment="1" applyBorder="1" applyFont="1">
      <alignment horizontal="center" vertical="bottom"/>
    </xf>
    <xf borderId="14" fillId="23" fontId="93" numFmtId="0" xfId="0" applyAlignment="1" applyBorder="1" applyFont="1">
      <alignment horizontal="center" vertical="bottom"/>
    </xf>
    <xf borderId="0" fillId="0" fontId="61" numFmtId="0" xfId="0" applyAlignment="1" applyFont="1">
      <alignment readingOrder="0" vertical="bottom"/>
    </xf>
    <xf borderId="0" fillId="0" fontId="93" numFmtId="0" xfId="0" applyAlignment="1" applyFont="1">
      <alignment horizontal="center" readingOrder="0" vertical="bottom"/>
    </xf>
    <xf borderId="17" fillId="39" fontId="106" numFmtId="0" xfId="0" applyAlignment="1" applyBorder="1" applyFont="1">
      <alignment readingOrder="0"/>
    </xf>
    <xf borderId="14" fillId="14" fontId="106" numFmtId="0" xfId="0" applyAlignment="1" applyBorder="1" applyFont="1">
      <alignment readingOrder="0" vertical="bottom"/>
    </xf>
    <xf borderId="14" fillId="0" fontId="113" numFmtId="0" xfId="0" applyAlignment="1" applyBorder="1" applyFont="1">
      <alignment horizontal="center" readingOrder="0" vertical="bottom"/>
    </xf>
    <xf borderId="14" fillId="0" fontId="111" numFmtId="0" xfId="0" applyAlignment="1" applyBorder="1" applyFont="1">
      <alignment horizontal="center" vertical="bottom"/>
    </xf>
    <xf borderId="14" fillId="14" fontId="106" numFmtId="0" xfId="0" applyAlignment="1" applyBorder="1" applyFont="1">
      <alignment readingOrder="0"/>
    </xf>
    <xf borderId="0" fillId="0" fontId="106" numFmtId="0" xfId="0" applyAlignment="1" applyFont="1">
      <alignment readingOrder="0"/>
    </xf>
    <xf borderId="2" fillId="0" fontId="93" numFmtId="0" xfId="0" applyAlignment="1" applyBorder="1" applyFont="1">
      <alignment horizontal="center" vertical="center"/>
    </xf>
    <xf borderId="2" fillId="23" fontId="114" numFmtId="0" xfId="0" applyAlignment="1" applyBorder="1" applyFont="1">
      <alignment horizontal="center" readingOrder="0" vertical="center"/>
    </xf>
    <xf borderId="2" fillId="14" fontId="93" numFmtId="0" xfId="0" applyAlignment="1" applyBorder="1" applyFont="1">
      <alignment horizontal="center" readingOrder="0" vertical="center"/>
    </xf>
    <xf borderId="2" fillId="0" fontId="61" numFmtId="0" xfId="0" applyAlignment="1" applyBorder="1" applyFont="1">
      <alignment horizontal="center" vertical="center"/>
    </xf>
    <xf borderId="14" fillId="23" fontId="113" numFmtId="0" xfId="0" applyAlignment="1" applyBorder="1" applyFont="1">
      <alignment horizontal="center" vertical="bottom"/>
    </xf>
    <xf borderId="2" fillId="14" fontId="93" numFmtId="0" xfId="0" applyAlignment="1" applyBorder="1" applyFont="1">
      <alignment horizontal="center" vertical="center"/>
    </xf>
    <xf borderId="13" fillId="0" fontId="61" numFmtId="0" xfId="0" applyAlignment="1" applyBorder="1" applyFont="1">
      <alignment vertical="bottom"/>
    </xf>
    <xf borderId="2" fillId="0" fontId="106" numFmtId="0" xfId="0" applyBorder="1" applyFont="1"/>
    <xf borderId="2" fillId="14" fontId="93" numFmtId="0" xfId="0" applyAlignment="1" applyBorder="1" applyFont="1">
      <alignment horizontal="center" vertical="bottom"/>
    </xf>
    <xf borderId="2" fillId="0" fontId="61" numFmtId="0" xfId="0" applyAlignment="1" applyBorder="1" applyFont="1">
      <alignment vertical="bottom"/>
    </xf>
    <xf borderId="14" fillId="14" fontId="93" numFmtId="0" xfId="0" applyAlignment="1" applyBorder="1" applyFont="1">
      <alignment horizontal="center" readingOrder="0" vertical="bottom"/>
    </xf>
    <xf borderId="17" fillId="34" fontId="115" numFmtId="0" xfId="0" applyAlignment="1" applyBorder="1" applyFont="1">
      <alignment vertical="bottom"/>
    </xf>
    <xf borderId="17" fillId="35" fontId="61" numFmtId="0" xfId="0" applyAlignment="1" applyBorder="1" applyFont="1">
      <alignment horizontal="center" vertical="bottom"/>
    </xf>
    <xf borderId="1" fillId="23" fontId="93" numFmtId="0" xfId="0" applyAlignment="1" applyBorder="1" applyFont="1">
      <alignment horizontal="center" vertical="bottom"/>
    </xf>
    <xf borderId="2" fillId="34" fontId="93" numFmtId="0" xfId="0" applyAlignment="1" applyBorder="1" applyFont="1">
      <alignment horizontal="center" readingOrder="0" vertical="bottom"/>
    </xf>
    <xf borderId="2" fillId="23" fontId="116" numFmtId="0" xfId="0" applyAlignment="1" applyBorder="1" applyFont="1">
      <alignment horizontal="center" vertical="bottom"/>
    </xf>
    <xf borderId="2" fillId="23" fontId="117" numFmtId="0" xfId="0" applyAlignment="1" applyBorder="1" applyFont="1">
      <alignment horizontal="center" vertical="bottom"/>
    </xf>
    <xf borderId="2" fillId="23" fontId="113" numFmtId="0" xfId="0" applyAlignment="1" applyBorder="1" applyFont="1">
      <alignment horizontal="center" vertical="bottom"/>
    </xf>
    <xf borderId="2" fillId="23" fontId="61" numFmtId="0" xfId="0" applyAlignment="1" applyBorder="1" applyFont="1">
      <alignment horizontal="center" vertical="bottom"/>
    </xf>
    <xf borderId="2" fillId="23" fontId="61" numFmtId="0" xfId="0" applyAlignment="1" applyBorder="1" applyFont="1">
      <alignment horizontal="center" readingOrder="0" vertical="bottom"/>
    </xf>
    <xf borderId="2" fillId="23" fontId="61" numFmtId="0" xfId="0" applyAlignment="1" applyBorder="1" applyFont="1">
      <alignment vertical="bottom"/>
    </xf>
    <xf borderId="17" fillId="0" fontId="6" numFmtId="0" xfId="0" applyBorder="1" applyFont="1"/>
    <xf borderId="2" fillId="23" fontId="93" numFmtId="0" xfId="0" applyAlignment="1" applyBorder="1" applyFont="1">
      <alignment horizontal="center" readingOrder="0" vertical="bottom"/>
    </xf>
    <xf borderId="2" fillId="23" fontId="87" numFmtId="0" xfId="0" applyAlignment="1" applyBorder="1" applyFont="1">
      <alignment horizontal="center" vertical="bottom"/>
    </xf>
    <xf borderId="17" fillId="40" fontId="61" numFmtId="0" xfId="0" applyAlignment="1" applyBorder="1" applyFill="1" applyFont="1">
      <alignment vertical="bottom"/>
    </xf>
    <xf borderId="2" fillId="23" fontId="87" numFmtId="0" xfId="0" applyAlignment="1" applyBorder="1" applyFont="1">
      <alignment vertical="bottom"/>
    </xf>
    <xf borderId="2" fillId="23" fontId="87" numFmtId="0" xfId="0" applyAlignment="1" applyBorder="1" applyFont="1">
      <alignment horizontal="center" readingOrder="0" vertical="bottom"/>
    </xf>
    <xf borderId="14" fillId="23" fontId="118" numFmtId="0" xfId="0" applyAlignment="1" applyBorder="1" applyFont="1">
      <alignment horizontal="center"/>
    </xf>
    <xf borderId="2" fillId="23" fontId="93" numFmtId="0" xfId="0" applyAlignment="1" applyBorder="1" applyFont="1">
      <alignment vertical="bottom"/>
    </xf>
    <xf borderId="2" fillId="34" fontId="87" numFmtId="0" xfId="0" applyAlignment="1" applyBorder="1" applyFont="1">
      <alignment horizontal="center" readingOrder="0" vertical="bottom"/>
    </xf>
    <xf borderId="2" fillId="23" fontId="111" numFmtId="0" xfId="0" applyAlignment="1" applyBorder="1" applyFont="1">
      <alignment horizontal="center" vertical="bottom"/>
    </xf>
    <xf borderId="0" fillId="0" fontId="35" numFmtId="3" xfId="0" applyFont="1" applyNumberFormat="1"/>
    <xf borderId="0" fillId="0" fontId="35" numFmtId="173" xfId="0" applyFont="1" applyNumberFormat="1"/>
    <xf borderId="0" fillId="0" fontId="35" numFmtId="14" xfId="0" applyFont="1" applyNumberFormat="1"/>
    <xf borderId="0" fillId="0" fontId="35" numFmtId="164" xfId="0" applyAlignment="1" applyFont="1" applyNumberFormat="1">
      <alignment horizontal="center"/>
    </xf>
    <xf borderId="0" fillId="0" fontId="119" numFmtId="0" xfId="0" applyAlignment="1" applyFont="1">
      <alignment horizontal="center" readingOrder="0"/>
    </xf>
    <xf borderId="0" fillId="0" fontId="119" numFmtId="0" xfId="0" applyAlignment="1" applyFont="1">
      <alignment horizontal="center"/>
    </xf>
    <xf borderId="0" fillId="0" fontId="35" numFmtId="0" xfId="0" applyAlignment="1" applyFont="1">
      <alignment horizontal="center"/>
    </xf>
    <xf borderId="0" fillId="0" fontId="35" numFmtId="3" xfId="0" applyFont="1" applyNumberFormat="1"/>
    <xf borderId="0" fillId="0" fontId="35" numFmtId="174" xfId="0" applyFont="1" applyNumberFormat="1"/>
    <xf borderId="0" fillId="0" fontId="35" numFmtId="175" xfId="0" applyFont="1" applyNumberFormat="1"/>
    <xf borderId="0" fillId="0" fontId="105" numFmtId="176" xfId="0" applyFont="1" applyNumberFormat="1"/>
    <xf borderId="0" fillId="0" fontId="105" numFmtId="174" xfId="0" applyFont="1" applyNumberFormat="1"/>
    <xf borderId="0" fillId="34" fontId="105" numFmtId="174" xfId="0" applyFont="1" applyNumberFormat="1"/>
    <xf borderId="0" fillId="0" fontId="105" numFmtId="177" xfId="0" applyFont="1" applyNumberFormat="1"/>
    <xf borderId="2" fillId="34" fontId="120" numFmtId="164" xfId="0" applyAlignment="1" applyBorder="1" applyFont="1" applyNumberFormat="1">
      <alignment horizontal="center" shrinkToFit="0" vertical="center" wrapText="1"/>
    </xf>
    <xf borderId="2" fillId="32" fontId="121" numFmtId="164" xfId="0" applyAlignment="1" applyBorder="1" applyFont="1" applyNumberFormat="1">
      <alignment horizontal="center" shrinkToFit="0" vertical="center" wrapText="1"/>
    </xf>
    <xf quotePrefix="1" borderId="0" fillId="0" fontId="122" numFmtId="0" xfId="0" applyAlignment="1" applyFont="1">
      <alignment horizontal="left" readingOrder="0" vertical="center"/>
    </xf>
    <xf borderId="0" fillId="0" fontId="123" numFmtId="0" xfId="0" applyAlignment="1" applyFont="1">
      <alignment vertical="center"/>
    </xf>
    <xf borderId="0" fillId="0" fontId="123" numFmtId="2" xfId="0" applyAlignment="1" applyFont="1" applyNumberFormat="1">
      <alignment horizontal="center" vertical="center"/>
    </xf>
    <xf borderId="0" fillId="0" fontId="123" numFmtId="168" xfId="0" applyAlignment="1" applyFont="1" applyNumberFormat="1">
      <alignment vertical="center"/>
    </xf>
    <xf borderId="0" fillId="0" fontId="33" numFmtId="0" xfId="0" applyAlignment="1" applyFont="1">
      <alignment horizontal="center" vertical="center"/>
    </xf>
    <xf borderId="0" fillId="0" fontId="33" numFmtId="164" xfId="0" applyAlignment="1" applyFont="1" applyNumberFormat="1">
      <alignment vertical="center"/>
    </xf>
    <xf borderId="9" fillId="41" fontId="10" numFmtId="0" xfId="0" applyAlignment="1" applyBorder="1" applyFill="1" applyFont="1">
      <alignment readingOrder="0" vertical="center"/>
    </xf>
    <xf borderId="8" fillId="0" fontId="124" numFmtId="0" xfId="0" applyAlignment="1" applyBorder="1" applyFont="1">
      <alignment horizontal="center" readingOrder="0" shrinkToFit="0" vertical="center" wrapText="1"/>
    </xf>
    <xf borderId="8" fillId="14" fontId="4" numFmtId="178" xfId="0" applyAlignment="1" applyBorder="1" applyFont="1" applyNumberFormat="1">
      <alignment horizontal="right" readingOrder="0" vertical="center"/>
    </xf>
    <xf borderId="0" fillId="0" fontId="33" numFmtId="2" xfId="0" applyAlignment="1" applyFont="1" applyNumberFormat="1">
      <alignment vertical="center"/>
    </xf>
    <xf borderId="0" fillId="0" fontId="33" numFmtId="0" xfId="0" applyAlignment="1" applyFont="1">
      <alignment shrinkToFit="0" vertical="center" wrapText="0"/>
    </xf>
    <xf borderId="0" fillId="0" fontId="4" numFmtId="0" xfId="0" applyAlignment="1" applyFont="1">
      <alignment readingOrder="0" vertical="center"/>
    </xf>
    <xf borderId="9" fillId="11" fontId="10" numFmtId="0" xfId="0" applyAlignment="1" applyBorder="1" applyFont="1">
      <alignment vertical="center"/>
    </xf>
    <xf borderId="8" fillId="0" fontId="4" numFmtId="178" xfId="0" applyAlignment="1" applyBorder="1" applyFont="1" applyNumberFormat="1">
      <alignment horizontal="right" readingOrder="0" vertical="center"/>
    </xf>
    <xf borderId="0" fillId="0" fontId="19" numFmtId="0" xfId="0" applyAlignment="1" applyFont="1">
      <alignment readingOrder="0" shrinkToFit="0" vertical="center" wrapText="1"/>
    </xf>
    <xf borderId="0" fillId="0" fontId="125" numFmtId="0" xfId="0" applyAlignment="1" applyFont="1">
      <alignment readingOrder="0" shrinkToFit="0" vertical="center" wrapText="1"/>
    </xf>
    <xf borderId="0" fillId="0" fontId="123" numFmtId="0" xfId="0" applyAlignment="1" applyFont="1">
      <alignment horizontal="center" readingOrder="0" vertical="center"/>
    </xf>
    <xf borderId="0" fillId="0" fontId="123" numFmtId="168" xfId="0" applyAlignment="1" applyFont="1" applyNumberFormat="1">
      <alignment readingOrder="0" vertical="center"/>
    </xf>
    <xf borderId="13" fillId="0" fontId="33" numFmtId="0" xfId="0" applyBorder="1" applyFont="1"/>
    <xf borderId="13" fillId="0" fontId="126" numFmtId="0" xfId="0" applyAlignment="1" applyBorder="1" applyFont="1">
      <alignment horizontal="center"/>
    </xf>
    <xf borderId="13" fillId="0" fontId="126" numFmtId="0" xfId="0" applyAlignment="1" applyBorder="1" applyFont="1">
      <alignment horizontal="center" vertical="bottom"/>
    </xf>
    <xf borderId="13" fillId="0" fontId="33" numFmtId="0" xfId="0" applyAlignment="1" applyBorder="1" applyFont="1">
      <alignment horizontal="center"/>
    </xf>
    <xf borderId="13" fillId="0" fontId="126" numFmtId="2" xfId="0" applyAlignment="1" applyBorder="1" applyFont="1" applyNumberFormat="1">
      <alignment horizontal="center"/>
    </xf>
    <xf borderId="13" fillId="0" fontId="126" numFmtId="168" xfId="0" applyAlignment="1" applyBorder="1" applyFont="1" applyNumberFormat="1">
      <alignment horizontal="center"/>
    </xf>
    <xf borderId="13" fillId="0" fontId="126" numFmtId="0" xfId="0" applyAlignment="1" applyBorder="1" applyFont="1">
      <alignment horizontal="center" shrinkToFit="0" wrapText="1"/>
    </xf>
    <xf borderId="13" fillId="0" fontId="127" numFmtId="0" xfId="0" applyAlignment="1" applyBorder="1" applyFont="1">
      <alignment horizontal="center" readingOrder="0" vertical="center"/>
    </xf>
    <xf borderId="13" fillId="0" fontId="33" numFmtId="0" xfId="0" applyBorder="1" applyFont="1"/>
    <xf borderId="2" fillId="24" fontId="4" numFmtId="0" xfId="0" applyAlignment="1" applyBorder="1" applyFont="1">
      <alignment horizontal="center" shrinkToFit="0" wrapText="1"/>
    </xf>
    <xf borderId="2" fillId="24" fontId="4" numFmtId="0" xfId="0" applyAlignment="1" applyBorder="1" applyFont="1">
      <alignment horizontal="center"/>
    </xf>
    <xf borderId="2" fillId="24" fontId="128" numFmtId="0" xfId="0" applyAlignment="1" applyBorder="1" applyFont="1">
      <alignment horizontal="center" shrinkToFit="0" wrapText="1"/>
    </xf>
    <xf borderId="2" fillId="24" fontId="4" numFmtId="2" xfId="0" applyAlignment="1" applyBorder="1" applyFont="1" applyNumberFormat="1">
      <alignment horizontal="center" shrinkToFit="0" wrapText="1"/>
    </xf>
    <xf borderId="2" fillId="24" fontId="128" numFmtId="168" xfId="0" applyAlignment="1" applyBorder="1" applyFont="1" applyNumberFormat="1">
      <alignment horizontal="center" shrinkToFit="0" wrapText="1"/>
    </xf>
    <xf borderId="3" fillId="24" fontId="128" numFmtId="0" xfId="0" applyAlignment="1" applyBorder="1" applyFont="1">
      <alignment horizontal="center" shrinkToFit="0" wrapText="1"/>
    </xf>
    <xf borderId="2" fillId="24" fontId="4" numFmtId="0" xfId="0" applyAlignment="1" applyBorder="1" applyFont="1">
      <alignment horizontal="center"/>
    </xf>
    <xf borderId="2" fillId="0" fontId="1" numFmtId="0" xfId="0" applyAlignment="1" applyBorder="1" applyFont="1">
      <alignment horizontal="center" readingOrder="0"/>
    </xf>
    <xf borderId="5" fillId="23" fontId="1" numFmtId="0" xfId="0" applyAlignment="1" applyBorder="1" applyFont="1">
      <alignment horizontal="center" readingOrder="0"/>
    </xf>
    <xf borderId="5" fillId="0" fontId="1" numFmtId="0" xfId="0" applyAlignment="1" applyBorder="1" applyFont="1">
      <alignment horizontal="center" readingOrder="0"/>
    </xf>
    <xf borderId="2" fillId="0" fontId="1" numFmtId="0" xfId="0" applyAlignment="1" applyBorder="1" applyFont="1">
      <alignment horizontal="center" vertical="center"/>
    </xf>
    <xf borderId="5" fillId="23" fontId="10" numFmtId="0" xfId="0" applyAlignment="1" applyBorder="1" applyFont="1">
      <alignment readingOrder="0"/>
    </xf>
    <xf borderId="5" fillId="0" fontId="16" numFmtId="0" xfId="0" applyAlignment="1" applyBorder="1" applyFont="1">
      <alignment horizontal="center" readingOrder="0" shrinkToFit="0" wrapText="1"/>
    </xf>
    <xf borderId="5" fillId="0" fontId="1" numFmtId="0" xfId="0" applyAlignment="1" applyBorder="1" applyFont="1">
      <alignment readingOrder="0"/>
    </xf>
    <xf borderId="5" fillId="0" fontId="1" numFmtId="0" xfId="0" applyAlignment="1" applyBorder="1" applyFont="1">
      <alignment horizontal="center"/>
    </xf>
    <xf borderId="5" fillId="0" fontId="1" numFmtId="2" xfId="0" applyAlignment="1" applyBorder="1" applyFont="1" applyNumberFormat="1">
      <alignment horizontal="center" readingOrder="0"/>
    </xf>
    <xf borderId="5" fillId="0" fontId="1" numFmtId="169" xfId="0" applyAlignment="1" applyBorder="1" applyFont="1" applyNumberFormat="1">
      <alignment horizontal="center" readingOrder="0"/>
    </xf>
    <xf borderId="5" fillId="0" fontId="94" numFmtId="168" xfId="0" applyAlignment="1" applyBorder="1" applyFont="1" applyNumberFormat="1">
      <alignment horizontal="right" readingOrder="0"/>
    </xf>
    <xf borderId="5" fillId="0" fontId="94" numFmtId="168" xfId="0" applyAlignment="1" applyBorder="1" applyFont="1" applyNumberFormat="1">
      <alignment readingOrder="0"/>
    </xf>
    <xf borderId="5" fillId="0" fontId="1" numFmtId="0" xfId="0" applyAlignment="1" applyBorder="1" applyFont="1">
      <alignment readingOrder="0" shrinkToFit="0" wrapText="1"/>
    </xf>
    <xf borderId="5" fillId="0" fontId="1" numFmtId="0" xfId="0" applyAlignment="1" applyBorder="1" applyFont="1">
      <alignment horizontal="left" readingOrder="0"/>
    </xf>
    <xf borderId="5" fillId="0" fontId="94" numFmtId="0" xfId="0" applyAlignment="1" applyBorder="1" applyFont="1">
      <alignment horizontal="center" readingOrder="0"/>
    </xf>
    <xf borderId="2" fillId="17" fontId="33" numFmtId="164" xfId="0" applyAlignment="1" applyBorder="1" applyFont="1" applyNumberFormat="1">
      <alignment horizontal="center" readingOrder="0" vertical="center"/>
    </xf>
    <xf borderId="5" fillId="0" fontId="1" numFmtId="164" xfId="0" applyAlignment="1" applyBorder="1" applyFont="1" applyNumberFormat="1">
      <alignment readingOrder="0"/>
    </xf>
    <xf borderId="2" fillId="0" fontId="1" numFmtId="0" xfId="0" applyAlignment="1" applyBorder="1" applyFont="1">
      <alignment vertical="center"/>
    </xf>
    <xf borderId="2" fillId="0" fontId="1" numFmtId="0" xfId="0" applyAlignment="1" applyBorder="1" applyFont="1">
      <alignment readingOrder="0" vertical="center"/>
    </xf>
    <xf borderId="6" fillId="23" fontId="1" numFmtId="0" xfId="0" applyAlignment="1" applyBorder="1" applyFont="1">
      <alignment horizontal="center" readingOrder="0"/>
    </xf>
    <xf borderId="14" fillId="23" fontId="1" numFmtId="0" xfId="0" applyAlignment="1" applyBorder="1" applyFont="1">
      <alignment horizontal="center" readingOrder="0"/>
    </xf>
    <xf borderId="14" fillId="0" fontId="1" numFmtId="0" xfId="0" applyAlignment="1" applyBorder="1" applyFont="1">
      <alignment horizontal="center" readingOrder="0"/>
    </xf>
    <xf borderId="14" fillId="23" fontId="10" numFmtId="0" xfId="0" applyAlignment="1" applyBorder="1" applyFont="1">
      <alignment readingOrder="0"/>
    </xf>
    <xf borderId="14" fillId="0" fontId="16" numFmtId="0" xfId="0" applyAlignment="1" applyBorder="1" applyFont="1">
      <alignment horizontal="center" readingOrder="0" shrinkToFit="0" wrapText="1"/>
    </xf>
    <xf borderId="14" fillId="0" fontId="1" numFmtId="0" xfId="0" applyAlignment="1" applyBorder="1" applyFont="1">
      <alignment readingOrder="0"/>
    </xf>
    <xf borderId="14" fillId="0" fontId="1" numFmtId="0" xfId="0" applyAlignment="1" applyBorder="1" applyFont="1">
      <alignment horizontal="center"/>
    </xf>
    <xf borderId="14" fillId="0" fontId="1" numFmtId="2" xfId="0" applyAlignment="1" applyBorder="1" applyFont="1" applyNumberFormat="1">
      <alignment horizontal="center" readingOrder="0"/>
    </xf>
    <xf borderId="14" fillId="0" fontId="1" numFmtId="169" xfId="0" applyAlignment="1" applyBorder="1" applyFont="1" applyNumberFormat="1">
      <alignment horizontal="center" readingOrder="0"/>
    </xf>
    <xf borderId="14" fillId="0" fontId="94" numFmtId="168" xfId="0" applyAlignment="1" applyBorder="1" applyFont="1" applyNumberFormat="1">
      <alignment horizontal="right" readingOrder="0"/>
    </xf>
    <xf borderId="14" fillId="0" fontId="94" numFmtId="168" xfId="0" applyAlignment="1" applyBorder="1" applyFont="1" applyNumberFormat="1">
      <alignment readingOrder="0"/>
    </xf>
    <xf borderId="14" fillId="0" fontId="1" numFmtId="0" xfId="0" applyAlignment="1" applyBorder="1" applyFont="1">
      <alignment readingOrder="0" shrinkToFit="0" wrapText="1"/>
    </xf>
    <xf borderId="14" fillId="0" fontId="1" numFmtId="0" xfId="0" applyAlignment="1" applyBorder="1" applyFont="1">
      <alignment horizontal="left" readingOrder="0"/>
    </xf>
    <xf borderId="14" fillId="0" fontId="94" numFmtId="0" xfId="0" applyAlignment="1" applyBorder="1" applyFont="1">
      <alignment horizontal="center" readingOrder="0"/>
    </xf>
    <xf borderId="6" fillId="17" fontId="33" numFmtId="164" xfId="0" applyAlignment="1" applyBorder="1" applyFont="1" applyNumberFormat="1">
      <alignment horizontal="center" readingOrder="0" vertical="center"/>
    </xf>
    <xf borderId="14" fillId="0" fontId="1" numFmtId="164" xfId="0" applyAlignment="1" applyBorder="1" applyFont="1" applyNumberFormat="1">
      <alignment readingOrder="0"/>
    </xf>
    <xf borderId="14" fillId="0" fontId="1" numFmtId="164" xfId="0" applyAlignment="1" applyBorder="1" applyFont="1" applyNumberFormat="1">
      <alignment horizontal="center" readingOrder="0" vertical="center"/>
    </xf>
    <xf borderId="2" fillId="17" fontId="33" numFmtId="164" xfId="0" applyAlignment="1" applyBorder="1" applyFont="1" applyNumberFormat="1">
      <alignment horizontal="center" readingOrder="0"/>
    </xf>
    <xf borderId="0" fillId="0" fontId="3" numFmtId="0" xfId="0" applyAlignment="1" applyFont="1">
      <alignment readingOrder="0" vertical="center"/>
    </xf>
    <xf borderId="6" fillId="17" fontId="33" numFmtId="164" xfId="0" applyAlignment="1" applyBorder="1" applyFont="1" applyNumberFormat="1">
      <alignment horizontal="center" readingOrder="0"/>
    </xf>
    <xf borderId="2" fillId="23" fontId="33" numFmtId="0" xfId="0" applyAlignment="1" applyBorder="1" applyFont="1">
      <alignment vertical="center"/>
    </xf>
    <xf borderId="2" fillId="0" fontId="123" numFmtId="0" xfId="0" applyAlignment="1" applyBorder="1" applyFont="1">
      <alignment vertical="center"/>
    </xf>
    <xf borderId="2" fillId="0" fontId="123" numFmtId="2" xfId="0" applyAlignment="1" applyBorder="1" applyFont="1" applyNumberFormat="1">
      <alignment horizontal="center" vertical="center"/>
    </xf>
    <xf borderId="2" fillId="0" fontId="123" numFmtId="168" xfId="0" applyAlignment="1" applyBorder="1" applyFont="1" applyNumberFormat="1">
      <alignment vertical="center"/>
    </xf>
    <xf borderId="2" fillId="0" fontId="33" numFmtId="0" xfId="0" applyAlignment="1" applyBorder="1" applyFont="1">
      <alignment horizontal="left" vertical="center"/>
    </xf>
    <xf borderId="2" fillId="0" fontId="33" numFmtId="164" xfId="0" applyAlignment="1" applyBorder="1" applyFont="1" applyNumberFormat="1">
      <alignment horizontal="center" vertical="center"/>
    </xf>
    <xf borderId="2" fillId="0" fontId="33" numFmtId="164" xfId="0" applyAlignment="1" applyBorder="1" applyFont="1" applyNumberFormat="1">
      <alignment vertical="center"/>
    </xf>
    <xf borderId="2" fillId="42" fontId="33" numFmtId="0" xfId="0" applyAlignment="1" applyBorder="1" applyFill="1" applyFont="1">
      <alignment vertical="center"/>
    </xf>
    <xf borderId="2" fillId="42" fontId="123" numFmtId="2" xfId="0" applyAlignment="1" applyBorder="1" applyFont="1" applyNumberFormat="1">
      <alignment horizontal="center" vertical="center"/>
    </xf>
    <xf borderId="2" fillId="42" fontId="123" numFmtId="168" xfId="0" applyAlignment="1" applyBorder="1" applyFont="1" applyNumberFormat="1">
      <alignment vertical="center"/>
    </xf>
    <xf borderId="2" fillId="42" fontId="123" numFmtId="0" xfId="0" applyAlignment="1" applyBorder="1" applyFont="1">
      <alignment vertical="center"/>
    </xf>
    <xf borderId="2" fillId="42" fontId="33" numFmtId="0" xfId="0" applyAlignment="1" applyBorder="1" applyFont="1">
      <alignment horizontal="left" vertical="center"/>
    </xf>
    <xf borderId="2" fillId="42" fontId="33" numFmtId="164" xfId="0" applyAlignment="1" applyBorder="1" applyFont="1" applyNumberFormat="1">
      <alignment horizontal="center" vertical="center"/>
    </xf>
    <xf borderId="2" fillId="42" fontId="33" numFmtId="164" xfId="0" applyAlignment="1" applyBorder="1" applyFont="1" applyNumberFormat="1">
      <alignment vertical="center"/>
    </xf>
    <xf borderId="2" fillId="0" fontId="123" numFmtId="0" xfId="0" applyAlignment="1" applyBorder="1" applyFont="1">
      <alignment horizontal="center" vertical="center"/>
    </xf>
    <xf borderId="0" fillId="0" fontId="129" numFmtId="0" xfId="0" applyAlignment="1" applyFont="1">
      <alignment horizontal="center" vertical="center"/>
    </xf>
    <xf borderId="0" fillId="0" fontId="130" numFmtId="0" xfId="0" applyAlignment="1" applyFont="1">
      <alignment horizontal="center" vertical="center"/>
    </xf>
    <xf borderId="0" fillId="0" fontId="61" numFmtId="2" xfId="0" applyAlignment="1" applyFont="1" applyNumberFormat="1">
      <alignment horizontal="center" vertical="center"/>
    </xf>
    <xf borderId="0" fillId="0" fontId="131" numFmtId="0" xfId="0" applyAlignment="1" applyFont="1">
      <alignment vertical="center"/>
    </xf>
    <xf borderId="0" fillId="0" fontId="131" numFmtId="0" xfId="0" applyAlignment="1" applyFont="1">
      <alignment horizontal="center" vertical="center"/>
    </xf>
    <xf borderId="0" fillId="0" fontId="131" numFmtId="179" xfId="0" applyAlignment="1" applyFont="1" applyNumberFormat="1">
      <alignment shrinkToFit="0" vertical="center" wrapText="1"/>
    </xf>
    <xf borderId="0" fillId="0" fontId="61" numFmtId="164" xfId="0" applyAlignment="1" applyFont="1" applyNumberFormat="1">
      <alignment horizontal="center" shrinkToFit="0" vertical="center" wrapText="1"/>
    </xf>
    <xf borderId="0" fillId="0" fontId="61" numFmtId="164" xfId="0" applyAlignment="1" applyFont="1" applyNumberFormat="1">
      <alignment horizontal="left" shrinkToFit="0" vertical="center" wrapText="1"/>
    </xf>
    <xf borderId="0" fillId="0" fontId="61" numFmtId="164" xfId="0" applyAlignment="1" applyFont="1" applyNumberFormat="1">
      <alignment horizontal="center" vertical="center"/>
    </xf>
    <xf borderId="8" fillId="41" fontId="33" numFmtId="0" xfId="0" applyAlignment="1" applyBorder="1" applyFont="1">
      <alignment horizontal="left" readingOrder="0" vertical="center"/>
    </xf>
    <xf borderId="8" fillId="11" fontId="1" numFmtId="0" xfId="0" applyAlignment="1" applyBorder="1" applyFont="1">
      <alignment horizontal="left" readingOrder="0" vertical="center"/>
    </xf>
    <xf borderId="0" fillId="0" fontId="132" numFmtId="0" xfId="0" applyAlignment="1" applyFont="1">
      <alignment horizontal="center" vertical="center"/>
    </xf>
    <xf borderId="0" fillId="0" fontId="133" numFmtId="0" xfId="0" applyAlignment="1" applyFont="1">
      <alignment horizontal="center" readingOrder="0" vertical="center"/>
    </xf>
    <xf borderId="0" fillId="0" fontId="132" numFmtId="0" xfId="0" applyAlignment="1" applyFont="1">
      <alignment horizontal="center" readingOrder="0" vertical="center"/>
    </xf>
    <xf borderId="0" fillId="0" fontId="130" numFmtId="0" xfId="0" applyAlignment="1" applyFont="1">
      <alignment horizontal="center" readingOrder="0" vertical="center"/>
    </xf>
    <xf borderId="0" fillId="0" fontId="132" numFmtId="2" xfId="0" applyAlignment="1" applyFont="1" applyNumberFormat="1">
      <alignment horizontal="center" readingOrder="0" vertical="center"/>
    </xf>
    <xf borderId="0" fillId="0" fontId="132" numFmtId="0" xfId="0" applyAlignment="1" applyFont="1">
      <alignment horizontal="center" shrinkToFit="0" vertical="center" wrapText="1"/>
    </xf>
    <xf borderId="0" fillId="0" fontId="132" numFmtId="0" xfId="0" applyAlignment="1" applyFont="1">
      <alignment horizontal="center" readingOrder="0" shrinkToFit="0" vertical="center" wrapText="1"/>
    </xf>
    <xf borderId="0" fillId="0" fontId="131" numFmtId="179" xfId="0" applyAlignment="1" applyFont="1" applyNumberFormat="1">
      <alignment horizontal="center" shrinkToFit="0" vertical="center" wrapText="1"/>
    </xf>
    <xf borderId="0" fillId="0" fontId="132" numFmtId="164" xfId="0" applyAlignment="1" applyFont="1" applyNumberFormat="1">
      <alignment horizontal="center" shrinkToFit="0" vertical="center" wrapText="1"/>
    </xf>
    <xf borderId="0" fillId="0" fontId="132" numFmtId="164" xfId="0" applyAlignment="1" applyFont="1" applyNumberFormat="1">
      <alignment horizontal="left" shrinkToFit="0" vertical="center" wrapText="1"/>
    </xf>
    <xf borderId="0" fillId="0" fontId="132" numFmtId="164" xfId="0" applyAlignment="1" applyFont="1" applyNumberFormat="1">
      <alignment horizontal="center" vertical="center"/>
    </xf>
    <xf borderId="0" fillId="0" fontId="61" numFmtId="0" xfId="0" applyAlignment="1" applyFont="1">
      <alignment horizontal="center" readingOrder="0" vertical="center"/>
    </xf>
    <xf borderId="0" fillId="0" fontId="126" numFmtId="0" xfId="0" applyAlignment="1" applyFont="1">
      <alignment horizontal="center" readingOrder="0" vertical="center"/>
    </xf>
    <xf borderId="0" fillId="0" fontId="61" numFmtId="0" xfId="0" applyAlignment="1" applyFont="1">
      <alignment readingOrder="0" vertical="center"/>
    </xf>
    <xf borderId="0" fillId="0" fontId="126" numFmtId="2" xfId="0" applyAlignment="1" applyFont="1" applyNumberFormat="1">
      <alignment horizontal="center" readingOrder="0" vertical="center"/>
    </xf>
    <xf borderId="0" fillId="0" fontId="61" numFmtId="0" xfId="0" applyAlignment="1" applyFont="1">
      <alignment readingOrder="0" shrinkToFit="0" vertical="center" wrapText="1"/>
    </xf>
    <xf borderId="0" fillId="0" fontId="126" numFmtId="0" xfId="0" applyAlignment="1" applyFont="1">
      <alignment horizontal="center" readingOrder="0" shrinkToFit="0" vertical="center" wrapText="1"/>
    </xf>
    <xf borderId="0" fillId="0" fontId="131" numFmtId="0" xfId="0" applyAlignment="1" applyFont="1">
      <alignment horizontal="center" readingOrder="0" vertical="center"/>
    </xf>
    <xf borderId="0" fillId="0" fontId="33" numFmtId="179" xfId="0" applyAlignment="1" applyFont="1" applyNumberFormat="1">
      <alignment horizontal="center" readingOrder="0" shrinkToFit="0" vertical="center" wrapText="1"/>
    </xf>
    <xf borderId="0" fillId="0" fontId="33" numFmtId="0" xfId="0" applyAlignment="1" applyFont="1">
      <alignment horizontal="center" readingOrder="0" shrinkToFit="0" vertical="center" wrapText="1"/>
    </xf>
    <xf borderId="0" fillId="0" fontId="61" numFmtId="164" xfId="0" applyAlignment="1" applyFont="1" applyNumberFormat="1">
      <alignment horizontal="center" readingOrder="0" shrinkToFit="0" vertical="center" wrapText="1"/>
    </xf>
    <xf borderId="0" fillId="0" fontId="123" numFmtId="164" xfId="0" applyAlignment="1" applyFont="1" applyNumberFormat="1">
      <alignment horizontal="center" readingOrder="0" shrinkToFit="0" vertical="center" wrapText="1"/>
    </xf>
    <xf borderId="2" fillId="24" fontId="128" numFmtId="170" xfId="0" applyAlignment="1" applyBorder="1" applyFont="1" applyNumberFormat="1">
      <alignment horizontal="center" shrinkToFit="0" wrapText="1"/>
    </xf>
    <xf borderId="2" fillId="24" fontId="128" numFmtId="179" xfId="0" applyAlignment="1" applyBorder="1" applyFont="1" applyNumberFormat="1">
      <alignment horizontal="center" shrinkToFit="0" wrapText="1"/>
    </xf>
    <xf borderId="2" fillId="24" fontId="4" numFmtId="164" xfId="0" applyAlignment="1" applyBorder="1" applyFont="1" applyNumberFormat="1">
      <alignment horizontal="center" shrinkToFit="0" wrapText="1"/>
    </xf>
    <xf borderId="2" fillId="24" fontId="4" numFmtId="0" xfId="0" applyAlignment="1" applyBorder="1" applyFont="1">
      <alignment horizontal="center" shrinkToFit="0" wrapText="1"/>
    </xf>
    <xf borderId="3" fillId="24" fontId="128" numFmtId="0" xfId="0" applyAlignment="1" applyBorder="1" applyFont="1">
      <alignment horizontal="center" shrinkToFit="0" wrapText="1"/>
    </xf>
    <xf borderId="2" fillId="24" fontId="4" numFmtId="164" xfId="0" applyAlignment="1" applyBorder="1" applyFont="1" applyNumberFormat="1">
      <alignment horizontal="center"/>
    </xf>
    <xf borderId="2" fillId="17" fontId="33" numFmtId="0" xfId="0" applyAlignment="1" applyBorder="1" applyFont="1">
      <alignment horizontal="center" readingOrder="0"/>
    </xf>
    <xf borderId="2" fillId="17" fontId="4" numFmtId="0" xfId="0" applyAlignment="1" applyBorder="1" applyFont="1">
      <alignment horizontal="center" readingOrder="0"/>
    </xf>
    <xf borderId="2" fillId="17" fontId="128" numFmtId="0" xfId="0" applyAlignment="1" applyBorder="1" applyFont="1">
      <alignment horizontal="center" readingOrder="0" shrinkToFit="0" wrapText="1"/>
    </xf>
    <xf borderId="2" fillId="17" fontId="33" numFmtId="2" xfId="0" applyAlignment="1" applyBorder="1" applyFont="1" applyNumberFormat="1">
      <alignment horizontal="center" readingOrder="0"/>
    </xf>
    <xf borderId="2" fillId="17" fontId="33" numFmtId="0" xfId="0" applyAlignment="1" applyBorder="1" applyFont="1">
      <alignment readingOrder="0" shrinkToFit="0" wrapText="1"/>
    </xf>
    <xf borderId="2" fillId="17" fontId="123" numFmtId="170" xfId="0" applyAlignment="1" applyBorder="1" applyFont="1" applyNumberFormat="1">
      <alignment horizontal="center" readingOrder="0"/>
    </xf>
    <xf borderId="2" fillId="17" fontId="134" numFmtId="179" xfId="0" applyAlignment="1" applyBorder="1" applyFont="1" applyNumberFormat="1">
      <alignment horizontal="right" readingOrder="0"/>
    </xf>
    <xf borderId="2" fillId="17" fontId="33" numFmtId="0" xfId="0" applyAlignment="1" applyBorder="1" applyFont="1">
      <alignment horizontal="center" readingOrder="0" shrinkToFit="0" wrapText="1"/>
    </xf>
    <xf borderId="2" fillId="17" fontId="33" numFmtId="0" xfId="0" applyAlignment="1" applyBorder="1" applyFont="1">
      <alignment horizontal="left" readingOrder="0" shrinkToFit="0" wrapText="1"/>
    </xf>
    <xf borderId="2" fillId="17" fontId="135" numFmtId="0" xfId="0" applyAlignment="1" applyBorder="1" applyFont="1">
      <alignment horizontal="center" readingOrder="0"/>
    </xf>
    <xf borderId="2" fillId="17" fontId="61" numFmtId="164" xfId="0" applyBorder="1" applyFont="1" applyNumberFormat="1"/>
    <xf borderId="2" fillId="17" fontId="61" numFmtId="49" xfId="0" applyBorder="1" applyFont="1" applyNumberFormat="1"/>
    <xf borderId="2" fillId="23" fontId="1" numFmtId="0" xfId="0" applyAlignment="1" applyBorder="1" applyFont="1">
      <alignment horizontal="center" vertical="center"/>
    </xf>
    <xf borderId="2" fillId="0" fontId="16" numFmtId="0" xfId="0" applyAlignment="1" applyBorder="1" applyFont="1">
      <alignment horizontal="center" shrinkToFit="0" vertical="center" wrapText="1"/>
    </xf>
    <xf borderId="2" fillId="0" fontId="1" numFmtId="164" xfId="0" applyAlignment="1" applyBorder="1" applyFont="1" applyNumberFormat="1">
      <alignment horizontal="center" vertical="center"/>
    </xf>
    <xf borderId="2" fillId="0" fontId="1" numFmtId="2" xfId="0" applyAlignment="1" applyBorder="1" applyFont="1" applyNumberFormat="1">
      <alignment horizontal="center" vertical="center"/>
    </xf>
    <xf borderId="2" fillId="0" fontId="94" numFmtId="170" xfId="0" applyAlignment="1" applyBorder="1" applyFont="1" applyNumberFormat="1">
      <alignment horizontal="center" readingOrder="0" vertical="center"/>
    </xf>
    <xf borderId="2" fillId="0" fontId="94" numFmtId="179" xfId="0" applyAlignment="1" applyBorder="1" applyFont="1" applyNumberFormat="1">
      <alignment horizontal="right" readingOrder="0" vertical="center"/>
    </xf>
    <xf borderId="2" fillId="0" fontId="1" numFmtId="0" xfId="0" applyAlignment="1" applyBorder="1" applyFont="1">
      <alignment shrinkToFit="0" vertical="center" wrapText="1"/>
    </xf>
    <xf borderId="2" fillId="0" fontId="94" numFmtId="0" xfId="0" applyAlignment="1" applyBorder="1" applyFont="1">
      <alignment horizontal="center" readingOrder="0" vertical="center"/>
    </xf>
    <xf borderId="2" fillId="0" fontId="1" numFmtId="164" xfId="0" applyAlignment="1" applyBorder="1" applyFont="1" applyNumberFormat="1">
      <alignment horizontal="center" readingOrder="0" vertical="center"/>
    </xf>
    <xf borderId="2" fillId="0" fontId="16" numFmtId="0" xfId="0" applyAlignment="1" applyBorder="1" applyFont="1">
      <alignment horizontal="center" readingOrder="0" vertical="center"/>
    </xf>
    <xf borderId="2" fillId="0" fontId="94" numFmtId="179" xfId="0" applyAlignment="1" applyBorder="1" applyFont="1" applyNumberFormat="1">
      <alignment shrinkToFit="0" vertical="center" wrapText="1"/>
    </xf>
    <xf borderId="2" fillId="0" fontId="1" numFmtId="164" xfId="0" applyAlignment="1" applyBorder="1" applyFont="1" applyNumberFormat="1">
      <alignment horizontal="center" shrinkToFit="0" vertical="center" wrapText="1"/>
    </xf>
    <xf borderId="2" fillId="0" fontId="3" numFmtId="164" xfId="0" applyAlignment="1" applyBorder="1" applyFont="1" applyNumberFormat="1">
      <alignment horizontal="center" readingOrder="0" vertical="center"/>
    </xf>
    <xf borderId="2" fillId="0" fontId="35" numFmtId="164" xfId="0" applyAlignment="1" applyBorder="1" applyFont="1" applyNumberFormat="1">
      <alignment horizontal="center" vertical="center"/>
    </xf>
    <xf borderId="2" fillId="0" fontId="35" numFmtId="2" xfId="0" applyAlignment="1" applyBorder="1" applyFont="1" applyNumberFormat="1">
      <alignment horizontal="center" vertical="center"/>
    </xf>
    <xf borderId="2" fillId="0" fontId="35" numFmtId="0" xfId="0" applyAlignment="1" applyBorder="1" applyFont="1">
      <alignment shrinkToFit="0" vertical="center" wrapText="1"/>
    </xf>
    <xf borderId="2" fillId="0" fontId="35" numFmtId="164" xfId="0" applyAlignment="1" applyBorder="1" applyFont="1" applyNumberFormat="1">
      <alignment horizontal="center" shrinkToFit="0" vertical="center" wrapText="1"/>
    </xf>
    <xf borderId="2" fillId="0" fontId="35" numFmtId="0" xfId="0" applyAlignment="1" applyBorder="1" applyFont="1">
      <alignment readingOrder="0" vertical="center"/>
    </xf>
    <xf borderId="2" fillId="0" fontId="35" numFmtId="0" xfId="0" applyAlignment="1" applyBorder="1" applyFont="1">
      <alignment vertical="center"/>
    </xf>
    <xf borderId="2" fillId="0" fontId="35" numFmtId="0" xfId="0" applyAlignment="1" applyBorder="1" applyFont="1">
      <alignment horizontal="center" vertical="center"/>
    </xf>
    <xf borderId="2" fillId="0" fontId="4" numFmtId="0" xfId="0" applyAlignment="1" applyBorder="1" applyFont="1">
      <alignment horizontal="center" readingOrder="0"/>
    </xf>
    <xf borderId="2" fillId="0" fontId="35" numFmtId="0" xfId="0" applyAlignment="1" applyBorder="1" applyFont="1">
      <alignment horizontal="center" readingOrder="0" vertical="center"/>
    </xf>
    <xf borderId="2" fillId="0" fontId="35" numFmtId="0" xfId="0" applyAlignment="1" applyBorder="1" applyFont="1">
      <alignment readingOrder="0" shrinkToFit="0" vertical="center" wrapText="1"/>
    </xf>
    <xf borderId="2" fillId="0" fontId="136" numFmtId="0" xfId="0" applyAlignment="1" applyBorder="1" applyFont="1">
      <alignment horizontal="center" readingOrder="0" vertical="center"/>
    </xf>
    <xf borderId="2" fillId="0" fontId="35" numFmtId="0" xfId="0" applyAlignment="1" applyBorder="1" applyFont="1">
      <alignment horizontal="left" readingOrder="0" shrinkToFit="0" vertical="center" wrapText="1"/>
    </xf>
    <xf borderId="2" fillId="0" fontId="35" numFmtId="2" xfId="0" applyAlignment="1" applyBorder="1" applyFont="1" applyNumberFormat="1">
      <alignment horizontal="center" readingOrder="0" vertical="center"/>
    </xf>
    <xf borderId="2" fillId="0" fontId="35" numFmtId="0" xfId="0" applyAlignment="1" applyBorder="1" applyFont="1">
      <alignment horizontal="center" readingOrder="0" shrinkToFit="0" vertical="center" wrapText="1"/>
    </xf>
    <xf borderId="2" fillId="0" fontId="136" numFmtId="170" xfId="0" applyAlignment="1" applyBorder="1" applyFont="1" applyNumberFormat="1">
      <alignment horizontal="center" readingOrder="0" vertical="center"/>
    </xf>
    <xf borderId="2" fillId="0" fontId="33" numFmtId="0" xfId="0" applyAlignment="1" applyBorder="1" applyFont="1">
      <alignment horizontal="center" readingOrder="0"/>
    </xf>
    <xf borderId="2" fillId="0" fontId="35" numFmtId="164" xfId="0" applyAlignment="1" applyBorder="1" applyFont="1" applyNumberFormat="1">
      <alignment horizontal="center" readingOrder="0" vertical="center"/>
    </xf>
    <xf borderId="0" fillId="0" fontId="137" numFmtId="0" xfId="0" applyAlignment="1" applyFont="1">
      <alignment horizontal="center" vertical="center"/>
    </xf>
    <xf borderId="0" fillId="0" fontId="138" numFmtId="0" xfId="0" applyAlignment="1" applyFont="1">
      <alignment vertical="center"/>
    </xf>
    <xf borderId="0" fillId="0" fontId="1" numFmtId="0" xfId="0" applyAlignment="1" applyFont="1">
      <alignment horizontal="center" vertical="center"/>
    </xf>
    <xf borderId="0" fillId="0" fontId="18" numFmtId="0" xfId="0" applyAlignment="1" applyFont="1">
      <alignment horizontal="center" shrinkToFit="0" vertical="center" wrapText="1"/>
    </xf>
    <xf borderId="0" fillId="0" fontId="1" numFmtId="0" xfId="0" applyAlignment="1" applyFont="1">
      <alignment vertical="center"/>
    </xf>
    <xf borderId="0" fillId="0" fontId="10" numFmtId="0" xfId="0" applyAlignment="1" applyFont="1">
      <alignment horizontal="left" shrinkToFit="0" vertical="center" wrapText="1"/>
    </xf>
    <xf borderId="0" fillId="0" fontId="3" numFmtId="0" xfId="0" applyAlignment="1" applyFont="1">
      <alignment horizontal="left" vertical="center"/>
    </xf>
    <xf borderId="0" fillId="0" fontId="16" numFmtId="0" xfId="0" applyAlignment="1" applyFont="1">
      <alignment horizontal="center" shrinkToFit="0" vertical="center" wrapText="1"/>
    </xf>
    <xf borderId="0" fillId="0" fontId="10" numFmtId="0" xfId="0" applyAlignment="1" applyFont="1">
      <alignment horizontal="center" vertical="center"/>
    </xf>
    <xf borderId="0" fillId="0" fontId="10" numFmtId="168" xfId="0" applyAlignment="1" applyFont="1" applyNumberFormat="1">
      <alignment horizontal="center" shrinkToFit="0" vertical="center" wrapText="1"/>
    </xf>
    <xf borderId="0" fillId="0" fontId="16" numFmtId="168" xfId="0" applyAlignment="1" applyFont="1" applyNumberFormat="1">
      <alignment horizontal="center" shrinkToFit="0" vertical="center" wrapText="1"/>
    </xf>
    <xf borderId="0" fillId="0" fontId="18" numFmtId="0" xfId="0" applyAlignment="1" applyFont="1">
      <alignment horizontal="left" shrinkToFit="0" vertical="center" wrapText="1"/>
    </xf>
    <xf borderId="0" fillId="0" fontId="1" numFmtId="164" xfId="0" applyAlignment="1" applyFont="1" applyNumberFormat="1">
      <alignment vertical="center"/>
    </xf>
    <xf borderId="0" fillId="0" fontId="1" numFmtId="164" xfId="0" applyAlignment="1" applyFont="1" applyNumberFormat="1">
      <alignment horizontal="center" vertical="center"/>
    </xf>
    <xf borderId="8" fillId="41" fontId="10" numFmtId="0" xfId="0" applyAlignment="1" applyBorder="1" applyFont="1">
      <alignment vertical="center"/>
    </xf>
    <xf borderId="8" fillId="0" fontId="18" numFmtId="0" xfId="0" applyAlignment="1" applyBorder="1" applyFont="1">
      <alignment horizontal="center" shrinkToFit="0" vertical="center" wrapText="1"/>
    </xf>
    <xf borderId="8" fillId="0" fontId="1" numFmtId="178" xfId="0" applyAlignment="1" applyBorder="1" applyFont="1" applyNumberFormat="1">
      <alignment horizontal="center" shrinkToFit="0" vertical="center" wrapText="1"/>
    </xf>
    <xf borderId="0" fillId="0" fontId="16" numFmtId="0" xfId="0" applyAlignment="1" applyFont="1">
      <alignment horizontal="left" shrinkToFit="0" vertical="center" wrapText="1"/>
    </xf>
    <xf borderId="0" fillId="0" fontId="125" numFmtId="0" xfId="0" applyAlignment="1" applyFont="1">
      <alignment horizontal="center" shrinkToFit="0" vertical="center" wrapText="1"/>
    </xf>
    <xf borderId="0" fillId="0" fontId="139" numFmtId="0" xfId="0" applyAlignment="1" applyFont="1">
      <alignment horizontal="center" shrinkToFit="0" vertical="center" wrapText="1"/>
    </xf>
    <xf borderId="8" fillId="11" fontId="10" numFmtId="0" xfId="0" applyAlignment="1" applyBorder="1" applyFont="1">
      <alignment vertical="center"/>
    </xf>
    <xf borderId="0" fillId="0" fontId="1" numFmtId="168" xfId="0" applyAlignment="1" applyFont="1" applyNumberFormat="1">
      <alignment horizontal="center" shrinkToFit="0" vertical="center" wrapText="1"/>
    </xf>
    <xf borderId="0" fillId="0" fontId="94" numFmtId="168" xfId="0" applyAlignment="1" applyFont="1" applyNumberFormat="1">
      <alignment horizontal="center" shrinkToFit="0" vertical="center" wrapText="1"/>
    </xf>
    <xf borderId="0" fillId="0" fontId="94" numFmtId="0" xfId="0" applyAlignment="1" applyFont="1">
      <alignment horizontal="center" shrinkToFit="0" vertical="center" wrapText="1"/>
    </xf>
    <xf borderId="0" fillId="0" fontId="139"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94" numFmtId="0" xfId="0" applyAlignment="1" applyFont="1">
      <alignment horizontal="center" readingOrder="0" shrinkToFit="0" vertical="center" wrapText="1"/>
    </xf>
    <xf borderId="0" fillId="0" fontId="139" numFmtId="164" xfId="0" applyAlignment="1" applyFont="1" applyNumberFormat="1">
      <alignment horizontal="center" vertical="center"/>
    </xf>
    <xf borderId="0" fillId="0" fontId="139" numFmtId="0" xfId="0" applyAlignment="1" applyFont="1">
      <alignment horizontal="center" vertical="center"/>
    </xf>
    <xf borderId="0" fillId="0" fontId="139" numFmtId="0" xfId="0" applyAlignment="1" applyFont="1">
      <alignment vertical="center"/>
    </xf>
    <xf borderId="0" fillId="0" fontId="140" numFmtId="0" xfId="0" applyAlignment="1" applyFont="1">
      <alignment horizontal="center" readingOrder="0" vertical="bottom"/>
    </xf>
    <xf borderId="0" fillId="0" fontId="141" numFmtId="0" xfId="0" applyAlignment="1" applyFont="1">
      <alignment horizontal="center" readingOrder="0" vertical="bottom"/>
    </xf>
    <xf borderId="0" fillId="0" fontId="141" numFmtId="0" xfId="0" applyAlignment="1" applyFont="1">
      <alignment horizontal="center" readingOrder="0" shrinkToFit="0" vertical="bottom" wrapText="1"/>
    </xf>
    <xf borderId="0" fillId="0" fontId="142" numFmtId="0" xfId="0" applyAlignment="1" applyFont="1">
      <alignment horizontal="center" readingOrder="0" vertical="bottom"/>
    </xf>
    <xf borderId="0" fillId="0" fontId="143" numFmtId="0" xfId="0" applyAlignment="1" applyFont="1">
      <alignment horizontal="center" readingOrder="0" vertical="bottom"/>
    </xf>
    <xf borderId="0" fillId="0" fontId="141" numFmtId="168" xfId="0" applyAlignment="1" applyFont="1" applyNumberFormat="1">
      <alignment horizontal="center" readingOrder="0" vertical="bottom"/>
    </xf>
    <xf borderId="0" fillId="0" fontId="141" numFmtId="164" xfId="0" applyAlignment="1" applyFont="1" applyNumberFormat="1">
      <alignment horizontal="center" readingOrder="0" vertical="bottom"/>
    </xf>
    <xf borderId="0" fillId="0" fontId="144" numFmtId="0" xfId="0" applyAlignment="1" applyFont="1">
      <alignment horizontal="center" shrinkToFit="0" vertical="bottom" wrapText="1"/>
    </xf>
    <xf borderId="0" fillId="0" fontId="145" numFmtId="0" xfId="0" applyAlignment="1" applyFont="1">
      <alignment horizontal="center" vertical="bottom"/>
    </xf>
    <xf borderId="0" fillId="0" fontId="146" numFmtId="0" xfId="0" applyAlignment="1" applyFont="1">
      <alignment horizontal="center" readingOrder="0" vertical="bottom"/>
    </xf>
    <xf borderId="0" fillId="0" fontId="145" numFmtId="0" xfId="0" applyAlignment="1" applyFont="1">
      <alignment horizontal="center" vertical="center"/>
    </xf>
    <xf borderId="0" fillId="0" fontId="145" numFmtId="168" xfId="0" applyAlignment="1" applyFont="1" applyNumberFormat="1">
      <alignment horizontal="center" vertical="bottom"/>
    </xf>
    <xf borderId="0" fillId="0" fontId="145" numFmtId="0" xfId="0" applyAlignment="1" applyFont="1">
      <alignment horizontal="center" shrinkToFit="0" vertical="bottom" wrapText="1"/>
    </xf>
    <xf borderId="0" fillId="0" fontId="146" numFmtId="164" xfId="0" applyAlignment="1" applyFont="1" applyNumberFormat="1">
      <alignment horizontal="center" readingOrder="0" vertical="bottom"/>
    </xf>
    <xf borderId="0" fillId="0" fontId="147" numFmtId="180" xfId="0" applyAlignment="1" applyFont="1" applyNumberFormat="1">
      <alignment horizontal="center" readingOrder="0" vertical="bottom"/>
    </xf>
    <xf borderId="0" fillId="0" fontId="148" numFmtId="0" xfId="0" applyAlignment="1" applyFont="1">
      <alignment horizontal="center" readingOrder="0" shrinkToFit="0" vertical="bottom" wrapText="1"/>
    </xf>
    <xf borderId="0" fillId="0" fontId="145" numFmtId="164" xfId="0" applyAlignment="1" applyFont="1" applyNumberFormat="1">
      <alignment horizontal="center" vertical="bottom"/>
    </xf>
    <xf borderId="0" fillId="0" fontId="144" numFmtId="0" xfId="0" applyAlignment="1" applyFont="1">
      <alignment horizontal="center" vertical="bottom"/>
    </xf>
    <xf borderId="0" fillId="0" fontId="149" numFmtId="0" xfId="0" applyAlignment="1" applyFont="1">
      <alignment horizontal="center" shrinkToFit="0" vertical="center" wrapText="1"/>
    </xf>
    <xf borderId="2" fillId="24" fontId="4" numFmtId="0" xfId="0" applyAlignment="1" applyBorder="1" applyFont="1">
      <alignment horizontal="center" shrinkToFit="0" vertical="center" wrapText="1"/>
    </xf>
    <xf borderId="2" fillId="24" fontId="4" numFmtId="0" xfId="0" applyAlignment="1" applyBorder="1" applyFont="1">
      <alignment horizontal="center" shrinkToFit="0" vertical="center" wrapText="1"/>
    </xf>
    <xf borderId="2" fillId="24" fontId="4" numFmtId="0" xfId="0" applyAlignment="1" applyBorder="1" applyFont="1">
      <alignment horizontal="center" vertical="center"/>
    </xf>
    <xf borderId="2" fillId="24" fontId="4" numFmtId="0" xfId="0" applyAlignment="1" applyBorder="1" applyFont="1">
      <alignment horizontal="center" vertical="center"/>
    </xf>
    <xf borderId="2" fillId="24" fontId="128" numFmtId="0" xfId="0" applyAlignment="1" applyBorder="1" applyFont="1">
      <alignment horizontal="center" shrinkToFit="0" vertical="center" wrapText="1"/>
    </xf>
    <xf borderId="2" fillId="24" fontId="4" numFmtId="0" xfId="0" applyAlignment="1" applyBorder="1" applyFont="1">
      <alignment horizontal="center" vertical="center"/>
    </xf>
    <xf borderId="2" fillId="24" fontId="4" numFmtId="168" xfId="0" applyAlignment="1" applyBorder="1" applyFont="1" applyNumberFormat="1">
      <alignment horizontal="center" shrinkToFit="0" vertical="center" wrapText="1"/>
    </xf>
    <xf borderId="2" fillId="24" fontId="128" numFmtId="168" xfId="0" applyAlignment="1" applyBorder="1" applyFont="1" applyNumberFormat="1">
      <alignment horizontal="center" shrinkToFit="0" vertical="center" wrapText="1"/>
    </xf>
    <xf borderId="2" fillId="24" fontId="4" numFmtId="0" xfId="0" applyAlignment="1" applyBorder="1" applyFont="1">
      <alignment horizontal="left" shrinkToFit="0" vertical="center" wrapText="1"/>
    </xf>
    <xf borderId="2" fillId="24" fontId="128" numFmtId="2" xfId="0" applyAlignment="1" applyBorder="1" applyFont="1" applyNumberFormat="1">
      <alignment horizontal="center" shrinkToFit="0" vertical="center" wrapText="1"/>
    </xf>
    <xf borderId="2" fillId="24" fontId="4" numFmtId="2" xfId="0" applyAlignment="1" applyBorder="1" applyFont="1" applyNumberFormat="1">
      <alignment horizontal="center" shrinkToFit="0" vertical="center" wrapText="1"/>
    </xf>
    <xf borderId="2" fillId="24" fontId="128" numFmtId="0" xfId="0" applyAlignment="1" applyBorder="1" applyFont="1">
      <alignment horizontal="center" shrinkToFit="0" vertical="center" wrapText="1"/>
    </xf>
    <xf borderId="2" fillId="24" fontId="4" numFmtId="164" xfId="0" applyAlignment="1" applyBorder="1" applyFont="1" applyNumberFormat="1">
      <alignment horizontal="center" shrinkToFit="0" vertical="center" wrapText="1"/>
    </xf>
    <xf borderId="2" fillId="24" fontId="4" numFmtId="0" xfId="0" applyAlignment="1" applyBorder="1" applyFont="1">
      <alignment horizontal="center" readingOrder="0" shrinkToFit="0" vertical="center" wrapText="1"/>
    </xf>
    <xf borderId="2" fillId="24" fontId="128" numFmtId="0" xfId="0" applyAlignment="1" applyBorder="1" applyFont="1">
      <alignment horizontal="center" readingOrder="0" shrinkToFit="0" vertical="center" wrapText="1"/>
    </xf>
    <xf borderId="2" fillId="24" fontId="4" numFmtId="164" xfId="0" applyAlignment="1" applyBorder="1" applyFont="1" applyNumberFormat="1">
      <alignment horizontal="center" vertical="center"/>
    </xf>
    <xf borderId="6" fillId="0" fontId="85" numFmtId="0" xfId="0" applyAlignment="1" applyBorder="1" applyFont="1">
      <alignment horizontal="center" readingOrder="0" shrinkToFit="0" vertical="center" wrapText="1"/>
    </xf>
    <xf borderId="2" fillId="26" fontId="85" numFmtId="0" xfId="0" applyAlignment="1" applyBorder="1" applyFont="1">
      <alignment horizontal="center" readingOrder="0" shrinkToFit="0" vertical="center" wrapText="1"/>
    </xf>
    <xf borderId="0" fillId="0" fontId="150" numFmtId="0" xfId="0" applyAlignment="1" applyFont="1">
      <alignment horizontal="center" vertical="center"/>
    </xf>
    <xf borderId="2" fillId="23" fontId="3" numFmtId="0" xfId="0" applyAlignment="1" applyBorder="1" applyFont="1">
      <alignment horizontal="center" readingOrder="0" vertical="center"/>
    </xf>
    <xf borderId="2" fillId="0" fontId="3" numFmtId="0" xfId="0" applyAlignment="1" applyBorder="1" applyFont="1">
      <alignment horizontal="center" readingOrder="0" vertical="center"/>
    </xf>
    <xf borderId="2" fillId="0" fontId="10" numFmtId="0" xfId="0" applyAlignment="1" applyBorder="1" applyFont="1">
      <alignment horizontal="left" readingOrder="0" shrinkToFit="0" vertical="center" wrapText="1"/>
    </xf>
    <xf borderId="2" fillId="23" fontId="3" numFmtId="0" xfId="0" applyAlignment="1" applyBorder="1" applyFont="1">
      <alignment horizontal="left" readingOrder="0" vertical="center"/>
    </xf>
    <xf borderId="2" fillId="23" fontId="16" numFmtId="0" xfId="0" applyAlignment="1" applyBorder="1" applyFont="1">
      <alignment horizontal="center" readingOrder="0" shrinkToFit="0" vertical="center" wrapText="1"/>
    </xf>
    <xf borderId="2" fillId="0" fontId="1" numFmtId="168" xfId="0" applyAlignment="1" applyBorder="1" applyFont="1" applyNumberFormat="1">
      <alignment horizontal="center" readingOrder="0" vertical="center"/>
    </xf>
    <xf borderId="2" fillId="0" fontId="94" numFmtId="168" xfId="0" applyAlignment="1" applyBorder="1" applyFont="1" applyNumberFormat="1">
      <alignment horizontal="center" readingOrder="0" vertical="center"/>
    </xf>
    <xf borderId="2" fillId="0" fontId="3" numFmtId="0" xfId="0" applyAlignment="1" applyBorder="1" applyFont="1">
      <alignment horizontal="left" readingOrder="0" vertical="center"/>
    </xf>
    <xf borderId="2" fillId="0" fontId="3" numFmtId="0" xfId="0" applyAlignment="1" applyBorder="1" applyFont="1">
      <alignment readingOrder="0" vertical="center"/>
    </xf>
    <xf borderId="0" fillId="0" fontId="150" numFmtId="0" xfId="0" applyAlignment="1" applyFont="1">
      <alignment horizontal="center" readingOrder="0" vertical="center"/>
    </xf>
    <xf borderId="2" fillId="0" fontId="94" numFmtId="168" xfId="0" applyAlignment="1" applyBorder="1" applyFont="1" applyNumberFormat="1">
      <alignment horizontal="right" readingOrder="0" vertical="center"/>
    </xf>
    <xf borderId="2" fillId="0" fontId="1" numFmtId="164" xfId="0" applyAlignment="1" applyBorder="1" applyFont="1" applyNumberFormat="1">
      <alignment horizontal="center" vertical="center"/>
    </xf>
    <xf borderId="0" fillId="0" fontId="7" numFmtId="0" xfId="0" applyAlignment="1" applyFont="1">
      <alignment vertical="center"/>
    </xf>
    <xf borderId="0" fillId="0" fontId="7" numFmtId="0" xfId="0" applyAlignment="1" applyFont="1">
      <alignment readingOrder="0" vertical="center"/>
    </xf>
    <xf borderId="2" fillId="23" fontId="3" numFmtId="0" xfId="0" applyAlignment="1" applyBorder="1" applyFont="1">
      <alignment horizontal="center" vertical="center"/>
    </xf>
    <xf borderId="2" fillId="23" fontId="3" numFmtId="0" xfId="0" applyAlignment="1" applyBorder="1" applyFont="1">
      <alignment horizontal="left" readingOrder="0" vertical="center"/>
    </xf>
    <xf borderId="2" fillId="23" fontId="16" numFmtId="0" xfId="0" applyAlignment="1" applyBorder="1" applyFont="1">
      <alignment horizontal="center" shrinkToFit="0" vertical="center" wrapText="1"/>
    </xf>
    <xf borderId="2" fillId="0" fontId="3" numFmtId="0" xfId="0" applyAlignment="1" applyBorder="1" applyFont="1">
      <alignment horizontal="center" vertical="center"/>
    </xf>
    <xf borderId="2" fillId="0" fontId="94" numFmtId="168" xfId="0" applyAlignment="1" applyBorder="1" applyFont="1" applyNumberFormat="1">
      <alignment horizontal="right" vertical="center"/>
    </xf>
    <xf borderId="2" fillId="0" fontId="94" numFmtId="2" xfId="0" applyAlignment="1" applyBorder="1" applyFont="1" applyNumberFormat="1">
      <alignment horizontal="center" vertical="center"/>
    </xf>
    <xf borderId="2" fillId="0" fontId="3" numFmtId="169" xfId="0" applyAlignment="1" applyBorder="1" applyFont="1" applyNumberFormat="1">
      <alignment horizontal="left" vertical="center"/>
    </xf>
    <xf borderId="2" fillId="0" fontId="3" numFmtId="0" xfId="0" applyAlignment="1" applyBorder="1" applyFont="1">
      <alignment vertical="center"/>
    </xf>
    <xf borderId="2" fillId="0" fontId="94" numFmtId="0" xfId="0" applyAlignment="1" applyBorder="1" applyFont="1">
      <alignment horizontal="center" vertical="center"/>
    </xf>
    <xf borderId="2" fillId="0" fontId="3" numFmtId="0" xfId="0" applyAlignment="1" applyBorder="1" applyFont="1">
      <alignment horizontal="center" shrinkToFit="0" vertical="center" wrapText="1"/>
    </xf>
    <xf borderId="2" fillId="0" fontId="3" numFmtId="164" xfId="0" applyAlignment="1" applyBorder="1" applyFont="1" applyNumberFormat="1">
      <alignment horizontal="center" readingOrder="0" vertical="center"/>
    </xf>
    <xf borderId="2" fillId="0" fontId="94" numFmtId="164" xfId="0" applyAlignment="1" applyBorder="1" applyFont="1" applyNumberFormat="1">
      <alignment horizontal="center" readingOrder="0" vertical="center"/>
    </xf>
    <xf borderId="31" fillId="0" fontId="7" numFmtId="0" xfId="0" applyAlignment="1" applyBorder="1" applyFont="1">
      <alignment vertical="center"/>
    </xf>
    <xf borderId="2" fillId="23" fontId="16" numFmtId="49" xfId="0" applyAlignment="1" applyBorder="1" applyFont="1" applyNumberFormat="1">
      <alignment horizontal="center" shrinkToFit="0" vertical="center" wrapText="1"/>
    </xf>
    <xf borderId="0" fillId="0" fontId="7" numFmtId="0" xfId="0" applyAlignment="1" applyFont="1">
      <alignment horizontal="center" readingOrder="0" vertical="center"/>
    </xf>
    <xf borderId="2" fillId="0" fontId="10" numFmtId="0" xfId="0" applyAlignment="1" applyBorder="1" applyFont="1">
      <alignment horizontal="left" shrinkToFit="0" vertical="center" wrapText="1"/>
    </xf>
    <xf borderId="2" fillId="23" fontId="16" numFmtId="0" xfId="0" applyAlignment="1" applyBorder="1" applyFont="1">
      <alignment horizontal="center" shrinkToFit="0" vertical="center" wrapText="1"/>
    </xf>
    <xf borderId="2" fillId="0" fontId="1" numFmtId="0" xfId="0" applyAlignment="1" applyBorder="1" applyFont="1">
      <alignment vertical="center"/>
    </xf>
    <xf borderId="2" fillId="0" fontId="94" numFmtId="168" xfId="0" applyAlignment="1" applyBorder="1" applyFont="1" applyNumberFormat="1">
      <alignment horizontal="center" vertical="center"/>
    </xf>
    <xf borderId="0" fillId="0" fontId="7" numFmtId="0" xfId="0" applyAlignment="1" applyFont="1">
      <alignment horizontal="center" vertical="center"/>
    </xf>
    <xf borderId="0" fillId="18" fontId="7" numFmtId="0" xfId="0" applyAlignment="1" applyFont="1">
      <alignment horizontal="center" vertical="center"/>
    </xf>
    <xf borderId="2" fillId="18" fontId="1" numFmtId="0" xfId="0" applyAlignment="1" applyBorder="1" applyFont="1">
      <alignment vertical="center"/>
    </xf>
    <xf borderId="2" fillId="18" fontId="3" numFmtId="0" xfId="0" applyAlignment="1" applyBorder="1" applyFont="1">
      <alignment horizontal="center" vertical="center"/>
    </xf>
    <xf borderId="2" fillId="18" fontId="3" numFmtId="0" xfId="0" applyAlignment="1" applyBorder="1" applyFont="1">
      <alignment horizontal="center" readingOrder="0" vertical="center"/>
    </xf>
    <xf borderId="2" fillId="18" fontId="1" numFmtId="0" xfId="0" applyAlignment="1" applyBorder="1" applyFont="1">
      <alignment horizontal="center" vertical="center"/>
    </xf>
    <xf borderId="2" fillId="18" fontId="10" numFmtId="0" xfId="0" applyAlignment="1" applyBorder="1" applyFont="1">
      <alignment horizontal="left" readingOrder="0" shrinkToFit="0" vertical="center" wrapText="1"/>
    </xf>
    <xf borderId="2" fillId="18" fontId="3" numFmtId="0" xfId="0" applyAlignment="1" applyBorder="1" applyFont="1">
      <alignment horizontal="left" readingOrder="0" vertical="center"/>
    </xf>
    <xf borderId="2" fillId="18" fontId="16" numFmtId="0" xfId="0" applyAlignment="1" applyBorder="1" applyFont="1">
      <alignment horizontal="center" shrinkToFit="0" vertical="center" wrapText="1"/>
    </xf>
    <xf borderId="2" fillId="18" fontId="1" numFmtId="168" xfId="0" applyAlignment="1" applyBorder="1" applyFont="1" applyNumberFormat="1">
      <alignment horizontal="center" readingOrder="0" vertical="center"/>
    </xf>
    <xf borderId="2" fillId="18" fontId="94" numFmtId="168" xfId="0" applyAlignment="1" applyBorder="1" applyFont="1" applyNumberFormat="1">
      <alignment horizontal="center" vertical="center"/>
    </xf>
    <xf borderId="2" fillId="18" fontId="94" numFmtId="0" xfId="0" applyAlignment="1" applyBorder="1" applyFont="1">
      <alignment horizontal="center" vertical="center"/>
    </xf>
    <xf borderId="2" fillId="18" fontId="3" numFmtId="0" xfId="0" applyAlignment="1" applyBorder="1" applyFont="1">
      <alignment vertical="center"/>
    </xf>
    <xf borderId="2" fillId="18" fontId="1" numFmtId="0" xfId="0" applyAlignment="1" applyBorder="1" applyFont="1">
      <alignment horizontal="left" readingOrder="0" vertical="center"/>
    </xf>
    <xf borderId="2" fillId="18" fontId="3" numFmtId="0" xfId="0" applyAlignment="1" applyBorder="1" applyFont="1">
      <alignment horizontal="center" shrinkToFit="0" vertical="center" wrapText="1"/>
    </xf>
    <xf borderId="2" fillId="18" fontId="3" numFmtId="164" xfId="0" applyAlignment="1" applyBorder="1" applyFont="1" applyNumberFormat="1">
      <alignment horizontal="center" readingOrder="0" vertical="center"/>
    </xf>
    <xf borderId="2" fillId="18" fontId="3" numFmtId="164" xfId="0" applyAlignment="1" applyBorder="1" applyFont="1" applyNumberFormat="1">
      <alignment horizontal="center" readingOrder="0" vertical="center"/>
    </xf>
    <xf borderId="2" fillId="18" fontId="1" numFmtId="164" xfId="0" applyAlignment="1" applyBorder="1" applyFont="1" applyNumberFormat="1">
      <alignment horizontal="center" readingOrder="0" vertical="center"/>
    </xf>
    <xf borderId="0" fillId="18" fontId="1" numFmtId="0" xfId="0" applyAlignment="1" applyFont="1">
      <alignment vertical="center"/>
    </xf>
    <xf borderId="0" fillId="0" fontId="7" numFmtId="0" xfId="0" applyAlignment="1" applyFont="1">
      <alignment horizontal="center" vertical="center"/>
    </xf>
    <xf borderId="2" fillId="0" fontId="1" numFmtId="168" xfId="0" applyAlignment="1" applyBorder="1" applyFont="1" applyNumberFormat="1">
      <alignment horizontal="center" vertical="center"/>
    </xf>
    <xf borderId="2" fillId="0" fontId="94" numFmtId="0" xfId="0" applyAlignment="1" applyBorder="1" applyFont="1">
      <alignment vertical="center"/>
    </xf>
    <xf borderId="2" fillId="0" fontId="94" numFmtId="0" xfId="0" applyAlignment="1" applyBorder="1" applyFont="1">
      <alignment horizontal="center" vertical="center"/>
    </xf>
    <xf borderId="2" fillId="0" fontId="1" numFmtId="0" xfId="0" applyAlignment="1" applyBorder="1" applyFont="1">
      <alignment horizontal="center" shrinkToFit="0" vertical="center" wrapText="1"/>
    </xf>
    <xf borderId="2" fillId="0" fontId="1" numFmtId="164" xfId="0" applyAlignment="1" applyBorder="1" applyFont="1" applyNumberFormat="1">
      <alignment vertical="center"/>
    </xf>
    <xf borderId="0" fillId="0" fontId="33" numFmtId="0" xfId="0" applyAlignment="1" applyFont="1">
      <alignment shrinkToFit="0" vertical="center" wrapText="1"/>
    </xf>
    <xf borderId="0" fillId="0" fontId="33" numFmtId="0" xfId="0" applyAlignment="1" applyFont="1">
      <alignment horizontal="center" shrinkToFit="0" vertical="center" wrapText="1"/>
    </xf>
    <xf borderId="0" fillId="0" fontId="4" numFmtId="0" xfId="0" applyAlignment="1" applyFont="1">
      <alignment shrinkToFit="0" vertical="center" wrapText="1"/>
    </xf>
    <xf borderId="8" fillId="0" fontId="10" numFmtId="178" xfId="0" applyAlignment="1" applyBorder="1" applyFont="1" applyNumberFormat="1">
      <alignment shrinkToFit="0" vertical="center" wrapText="1"/>
    </xf>
    <xf borderId="0" fillId="0" fontId="123" numFmtId="2" xfId="0" applyAlignment="1" applyFont="1" applyNumberFormat="1">
      <alignment horizontal="center" shrinkToFit="0" vertical="center" wrapText="1"/>
    </xf>
    <xf borderId="0" fillId="0" fontId="33" numFmtId="164" xfId="0" applyAlignment="1" applyFont="1" applyNumberFormat="1">
      <alignment horizontal="center" shrinkToFit="0" vertical="center" wrapText="1"/>
    </xf>
    <xf borderId="0" fillId="0" fontId="63" numFmtId="0" xfId="0" applyAlignment="1" applyFont="1">
      <alignment horizontal="left" readingOrder="0" shrinkToFit="0" vertical="center" wrapText="0"/>
    </xf>
    <xf borderId="0" fillId="0" fontId="33" numFmtId="0" xfId="0" applyAlignment="1" applyFont="1">
      <alignment horizontal="center" shrinkToFit="0" vertical="center" wrapText="0"/>
    </xf>
    <xf borderId="0" fillId="0" fontId="4" numFmtId="0" xfId="0" applyAlignment="1" applyFont="1">
      <alignment shrinkToFit="0" vertical="center" wrapText="0"/>
    </xf>
    <xf borderId="0" fillId="0" fontId="123" numFmtId="0" xfId="0" applyAlignment="1" applyFont="1">
      <alignment horizontal="left" readingOrder="0" shrinkToFit="0" vertical="center" wrapText="0"/>
    </xf>
    <xf borderId="0" fillId="0" fontId="33" numFmtId="164" xfId="0" applyAlignment="1" applyFont="1" applyNumberFormat="1">
      <alignment horizontal="center" shrinkToFit="0" vertical="center" wrapText="0"/>
    </xf>
    <xf borderId="0" fillId="0" fontId="144" numFmtId="0" xfId="0" applyAlignment="1" applyFont="1">
      <alignment horizontal="center" shrinkToFit="0" vertical="bottom" wrapText="1"/>
    </xf>
    <xf borderId="0" fillId="0" fontId="144" numFmtId="0" xfId="0" applyAlignment="1" applyFont="1">
      <alignment horizontal="center" readingOrder="0" shrinkToFit="0" vertical="bottom" wrapText="1"/>
    </xf>
    <xf borderId="0" fillId="0" fontId="151" numFmtId="0" xfId="0" applyAlignment="1" applyFont="1">
      <alignment horizontal="center" shrinkToFit="0" vertical="bottom" wrapText="1"/>
    </xf>
    <xf borderId="8" fillId="43" fontId="5" numFmtId="0" xfId="0" applyAlignment="1" applyBorder="1" applyFill="1" applyFont="1">
      <alignment horizontal="left" shrinkToFit="0" vertical="center" wrapText="1"/>
    </xf>
    <xf borderId="0" fillId="0" fontId="144" numFmtId="2" xfId="0" applyAlignment="1" applyFont="1" applyNumberFormat="1">
      <alignment horizontal="center" readingOrder="0" shrinkToFit="0" vertical="bottom" wrapText="1"/>
    </xf>
    <xf borderId="0" fillId="0" fontId="33" numFmtId="0" xfId="0" applyAlignment="1" applyFont="1">
      <alignment horizontal="center" readingOrder="0" shrinkToFit="0" vertical="bottom" wrapText="1"/>
    </xf>
    <xf borderId="0" fillId="0" fontId="144" numFmtId="164" xfId="0" applyAlignment="1" applyFont="1" applyNumberFormat="1">
      <alignment horizontal="center" shrinkToFit="0" vertical="bottom" wrapText="1"/>
    </xf>
    <xf borderId="0" fillId="0" fontId="147" numFmtId="180" xfId="0" applyAlignment="1" applyFont="1" applyNumberFormat="1">
      <alignment horizontal="center" readingOrder="0" shrinkToFit="0" vertical="bottom" wrapText="1"/>
    </xf>
    <xf borderId="0" fillId="0" fontId="147" numFmtId="0" xfId="0" applyAlignment="1" applyFont="1">
      <alignment horizontal="center" readingOrder="0" shrinkToFit="0" vertical="bottom" wrapText="1"/>
    </xf>
    <xf borderId="0" fillId="0" fontId="33" numFmtId="0" xfId="0" applyAlignment="1" applyFont="1">
      <alignment horizontal="center" shrinkToFit="0" vertical="bottom" wrapText="1"/>
    </xf>
    <xf borderId="0" fillId="0" fontId="152" numFmtId="0" xfId="0" applyAlignment="1" applyFont="1">
      <alignment horizontal="center" readingOrder="0" shrinkToFit="0" vertical="bottom" wrapText="1"/>
    </xf>
    <xf borderId="0" fillId="0" fontId="4" numFmtId="0" xfId="0" applyAlignment="1" applyFont="1">
      <alignment horizontal="center" shrinkToFit="0" vertical="bottom" wrapText="1"/>
    </xf>
    <xf borderId="0" fillId="0" fontId="153" numFmtId="2" xfId="0" applyAlignment="1" applyFont="1" applyNumberFormat="1">
      <alignment horizontal="center" readingOrder="0" shrinkToFit="0" vertical="bottom" wrapText="1"/>
    </xf>
    <xf borderId="0" fillId="0" fontId="154" numFmtId="0" xfId="0" applyAlignment="1" applyFont="1">
      <alignment horizontal="center" readingOrder="0" shrinkToFit="0" vertical="bottom" wrapText="1"/>
    </xf>
    <xf borderId="0" fillId="0" fontId="33" numFmtId="164" xfId="0" applyAlignment="1" applyFont="1" applyNumberFormat="1">
      <alignment horizontal="center" shrinkToFit="0" vertical="bottom" wrapText="1"/>
    </xf>
    <xf borderId="0" fillId="0" fontId="152" numFmtId="2" xfId="0" applyAlignment="1" applyFont="1" applyNumberFormat="1">
      <alignment horizontal="center" readingOrder="0" shrinkToFit="0" vertical="bottom" wrapText="1"/>
    </xf>
    <xf borderId="2" fillId="24" fontId="124" numFmtId="0" xfId="0" applyAlignment="1" applyBorder="1" applyFont="1">
      <alignment horizontal="center" readingOrder="0" shrinkToFit="0" vertical="center" wrapText="1"/>
    </xf>
    <xf borderId="2" fillId="24" fontId="4" numFmtId="0" xfId="0" applyAlignment="1" applyBorder="1" applyFont="1">
      <alignment horizontal="left" readingOrder="0" shrinkToFit="0" vertical="center" wrapText="1"/>
    </xf>
    <xf borderId="3" fillId="24" fontId="18" numFmtId="0" xfId="0" applyAlignment="1" applyBorder="1" applyFont="1">
      <alignment horizontal="center" shrinkToFit="0" vertical="center" wrapText="1"/>
    </xf>
    <xf borderId="3" fillId="24" fontId="4" numFmtId="0" xfId="0" applyAlignment="1" applyBorder="1" applyFont="1">
      <alignment horizontal="center" readingOrder="0" shrinkToFit="0" vertical="center" wrapText="1"/>
    </xf>
    <xf borderId="2" fillId="24" fontId="18" numFmtId="0" xfId="0" applyAlignment="1" applyBorder="1" applyFont="1">
      <alignment horizontal="center" readingOrder="0" shrinkToFit="0" vertical="center" wrapText="1"/>
    </xf>
    <xf borderId="2" fillId="24" fontId="18" numFmtId="164" xfId="0" applyAlignment="1" applyBorder="1" applyFont="1" applyNumberFormat="1">
      <alignment horizontal="center" readingOrder="0" shrinkToFit="0" vertical="center" wrapText="1"/>
    </xf>
    <xf borderId="2" fillId="24" fontId="10" numFmtId="164" xfId="0" applyAlignment="1" applyBorder="1" applyFont="1" applyNumberFormat="1">
      <alignment horizontal="center" readingOrder="0" shrinkToFit="0" vertical="center" wrapText="1"/>
    </xf>
    <xf borderId="2" fillId="24" fontId="10" numFmtId="0" xfId="0" applyAlignment="1" applyBorder="1" applyFont="1">
      <alignment horizontal="center" readingOrder="0" shrinkToFit="0" vertical="center" wrapText="1"/>
    </xf>
    <xf borderId="2" fillId="0" fontId="33" numFmtId="0" xfId="0" applyAlignment="1" applyBorder="1" applyFont="1">
      <alignment horizontal="center" readingOrder="0" shrinkToFit="0" vertical="center" wrapText="1"/>
    </xf>
    <xf borderId="2" fillId="0" fontId="4" numFmtId="0" xfId="0" applyAlignment="1" applyBorder="1" applyFont="1">
      <alignment shrinkToFit="0" vertical="center" wrapText="1"/>
    </xf>
    <xf borderId="2" fillId="0" fontId="33" numFmtId="0" xfId="0" applyAlignment="1" applyBorder="1" applyFont="1">
      <alignment horizontal="center" shrinkToFit="0" vertical="center" wrapText="1"/>
    </xf>
    <xf borderId="2" fillId="0" fontId="33" numFmtId="0" xfId="0" applyAlignment="1" applyBorder="1" applyFont="1">
      <alignment horizontal="left" shrinkToFit="0" vertical="center" wrapText="1"/>
    </xf>
    <xf borderId="3" fillId="0" fontId="1" numFmtId="0" xfId="0" applyAlignment="1" applyBorder="1" applyFont="1">
      <alignment horizontal="center" shrinkToFit="0" vertical="center" wrapText="1"/>
    </xf>
    <xf borderId="3" fillId="0" fontId="33" numFmtId="0" xfId="0" applyAlignment="1" applyBorder="1" applyFont="1">
      <alignment shrinkToFit="0" vertical="center" wrapText="1"/>
    </xf>
    <xf borderId="2" fillId="0" fontId="123" numFmtId="2" xfId="0" applyAlignment="1" applyBorder="1" applyFont="1" applyNumberFormat="1">
      <alignment horizontal="center" shrinkToFit="0" vertical="center" wrapText="1"/>
    </xf>
    <xf borderId="2" fillId="0" fontId="33" numFmtId="164" xfId="0" applyAlignment="1" applyBorder="1" applyFont="1" applyNumberFormat="1">
      <alignment horizontal="center" readingOrder="0" shrinkToFit="0" vertical="center" wrapText="1"/>
    </xf>
    <xf borderId="2" fillId="0" fontId="33" numFmtId="164" xfId="0" applyAlignment="1" applyBorder="1" applyFont="1" applyNumberFormat="1">
      <alignment horizontal="center" shrinkToFit="0" vertical="center" wrapText="1"/>
    </xf>
    <xf borderId="2" fillId="0" fontId="4" numFmtId="0" xfId="0" applyAlignment="1" applyBorder="1" applyFont="1">
      <alignment shrinkToFit="0" vertical="center" wrapText="1"/>
    </xf>
    <xf borderId="2" fillId="0" fontId="4" numFmtId="0" xfId="0" applyAlignment="1" applyBorder="1" applyFont="1">
      <alignment readingOrder="0" shrinkToFit="0" vertical="center" wrapText="1"/>
    </xf>
    <xf borderId="2" fillId="0" fontId="4" numFmtId="49" xfId="0" applyAlignment="1" applyBorder="1" applyFont="1" applyNumberFormat="1">
      <alignment shrinkToFit="0" vertical="center" wrapText="1"/>
    </xf>
    <xf borderId="2" fillId="0" fontId="33" numFmtId="0" xfId="0" applyAlignment="1" applyBorder="1" applyFont="1">
      <alignment horizontal="left" readingOrder="0" shrinkToFit="0" vertical="center" wrapText="1"/>
    </xf>
    <xf borderId="2" fillId="0" fontId="3" numFmtId="164" xfId="0" applyAlignment="1" applyBorder="1" applyFont="1" applyNumberFormat="1">
      <alignment horizontal="center" readingOrder="0"/>
    </xf>
    <xf borderId="3" fillId="0" fontId="33" numFmtId="0" xfId="0" applyAlignment="1" applyBorder="1" applyFont="1">
      <alignment readingOrder="0" shrinkToFit="0" vertical="center" wrapText="1"/>
    </xf>
    <xf borderId="0" fillId="11" fontId="33" numFmtId="0" xfId="0" applyAlignment="1" applyFont="1">
      <alignment shrinkToFit="0" vertical="center" wrapText="1"/>
    </xf>
    <xf borderId="2" fillId="11" fontId="33" numFmtId="0" xfId="0" applyAlignment="1" applyBorder="1" applyFont="1">
      <alignment horizontal="center" shrinkToFit="0" vertical="center" wrapText="1"/>
    </xf>
    <xf borderId="2" fillId="11" fontId="4" numFmtId="0" xfId="0" applyAlignment="1" applyBorder="1" applyFont="1">
      <alignment shrinkToFit="0" vertical="center" wrapText="1"/>
    </xf>
    <xf borderId="2" fillId="11" fontId="33" numFmtId="0" xfId="0" applyAlignment="1" applyBorder="1" applyFont="1">
      <alignment shrinkToFit="0" vertical="center" wrapText="1"/>
    </xf>
    <xf borderId="2" fillId="11" fontId="33" numFmtId="0" xfId="0" applyAlignment="1" applyBorder="1" applyFont="1">
      <alignment horizontal="left" shrinkToFit="0" vertical="center" wrapText="1"/>
    </xf>
    <xf borderId="2" fillId="11" fontId="123" numFmtId="2" xfId="0" applyAlignment="1" applyBorder="1" applyFont="1" applyNumberFormat="1">
      <alignment horizontal="center" shrinkToFit="0" vertical="center" wrapText="1"/>
    </xf>
    <xf borderId="2" fillId="11" fontId="33" numFmtId="164" xfId="0" applyAlignment="1" applyBorder="1" applyFont="1" applyNumberFormat="1">
      <alignment horizontal="center" shrinkToFit="0" vertical="center" wrapText="1"/>
    </xf>
    <xf borderId="0" fillId="0" fontId="1" numFmtId="181" xfId="0" applyFont="1" applyNumberFormat="1"/>
    <xf borderId="0" fillId="0" fontId="1" numFmtId="164" xfId="0" applyAlignment="1" applyFont="1" applyNumberFormat="1">
      <alignment horizontal="center"/>
    </xf>
    <xf borderId="1" fillId="24" fontId="18" numFmtId="0" xfId="0" applyAlignment="1" applyBorder="1" applyFont="1">
      <alignment horizontal="center" readingOrder="0"/>
    </xf>
    <xf borderId="20" fillId="24" fontId="18" numFmtId="0" xfId="0" applyAlignment="1" applyBorder="1" applyFont="1">
      <alignment horizontal="center" readingOrder="0"/>
    </xf>
    <xf borderId="20" fillId="24" fontId="16" numFmtId="0" xfId="0" applyAlignment="1" applyBorder="1" applyFont="1">
      <alignment horizontal="center" readingOrder="0"/>
    </xf>
    <xf borderId="20" fillId="24" fontId="18" numFmtId="0" xfId="0" applyAlignment="1" applyBorder="1" applyFont="1">
      <alignment horizontal="left" readingOrder="0"/>
    </xf>
    <xf borderId="32" fillId="24" fontId="18" numFmtId="0" xfId="0" applyAlignment="1" applyBorder="1" applyFont="1">
      <alignment horizontal="center" readingOrder="0"/>
    </xf>
    <xf borderId="33" fillId="24" fontId="18" numFmtId="0" xfId="0" applyAlignment="1" applyBorder="1" applyFont="1">
      <alignment horizontal="center" readingOrder="0"/>
    </xf>
    <xf borderId="20" fillId="24" fontId="18" numFmtId="181" xfId="0" applyAlignment="1" applyBorder="1" applyFont="1" applyNumberFormat="1">
      <alignment horizontal="center" readingOrder="0"/>
    </xf>
    <xf borderId="20" fillId="24" fontId="18" numFmtId="164" xfId="0" applyAlignment="1" applyBorder="1" applyFont="1" applyNumberFormat="1">
      <alignment horizontal="center" readingOrder="0"/>
    </xf>
    <xf borderId="2" fillId="0" fontId="3" numFmtId="0" xfId="0" applyAlignment="1" applyBorder="1" applyFont="1">
      <alignment horizontal="center" readingOrder="0"/>
    </xf>
    <xf borderId="5" fillId="0" fontId="3" numFmtId="0" xfId="0" applyAlignment="1" applyBorder="1" applyFont="1">
      <alignment horizontal="center" readingOrder="0"/>
    </xf>
    <xf borderId="5" fillId="9" fontId="17" numFmtId="0" xfId="0" applyAlignment="1" applyBorder="1" applyFont="1">
      <alignment readingOrder="0"/>
    </xf>
    <xf borderId="5" fillId="0" fontId="3" numFmtId="0" xfId="0" applyAlignment="1" applyBorder="1" applyFont="1">
      <alignment readingOrder="0"/>
    </xf>
    <xf borderId="5" fillId="11" fontId="3" numFmtId="0" xfId="0" applyAlignment="1" applyBorder="1" applyFont="1">
      <alignment horizontal="center" readingOrder="0"/>
    </xf>
    <xf borderId="5" fillId="27" fontId="3" numFmtId="0" xfId="0" applyAlignment="1" applyBorder="1" applyFont="1">
      <alignment readingOrder="0"/>
    </xf>
    <xf borderId="5" fillId="0" fontId="3" numFmtId="181" xfId="0" applyAlignment="1" applyBorder="1" applyFont="1" applyNumberFormat="1">
      <alignment horizontal="right" readingOrder="0"/>
    </xf>
    <xf borderId="5" fillId="0" fontId="3" numFmtId="164" xfId="0" applyAlignment="1" applyBorder="1" applyFont="1" applyNumberFormat="1">
      <alignment horizontal="center" readingOrder="0"/>
    </xf>
    <xf borderId="5" fillId="0" fontId="3" numFmtId="0" xfId="0" applyBorder="1" applyFont="1"/>
    <xf borderId="6" fillId="0" fontId="3" numFmtId="0" xfId="0" applyAlignment="1" applyBorder="1" applyFont="1">
      <alignment horizontal="center" readingOrder="0"/>
    </xf>
    <xf borderId="14" fillId="0" fontId="3" numFmtId="0" xfId="0" applyAlignment="1" applyBorder="1" applyFont="1">
      <alignment horizontal="center" readingOrder="0"/>
    </xf>
    <xf borderId="14" fillId="20" fontId="18" numFmtId="0" xfId="0" applyAlignment="1" applyBorder="1" applyFont="1">
      <alignment readingOrder="0"/>
    </xf>
    <xf borderId="14" fillId="0" fontId="3" numFmtId="0" xfId="0" applyAlignment="1" applyBorder="1" applyFont="1">
      <alignment readingOrder="0"/>
    </xf>
    <xf borderId="14" fillId="27" fontId="3" numFmtId="0" xfId="0" applyAlignment="1" applyBorder="1" applyFont="1">
      <alignment readingOrder="0"/>
    </xf>
    <xf borderId="14" fillId="0" fontId="3" numFmtId="181" xfId="0" applyAlignment="1" applyBorder="1" applyFont="1" applyNumberFormat="1">
      <alignment horizontal="right" readingOrder="0"/>
    </xf>
    <xf borderId="14" fillId="0" fontId="3" numFmtId="0" xfId="0" applyBorder="1" applyFont="1"/>
    <xf borderId="2" fillId="17" fontId="3" numFmtId="0" xfId="0" applyAlignment="1" applyBorder="1" applyFont="1">
      <alignment horizontal="center" readingOrder="0"/>
    </xf>
    <xf borderId="14" fillId="17" fontId="3" numFmtId="0" xfId="0" applyAlignment="1" applyBorder="1" applyFont="1">
      <alignment horizontal="center" readingOrder="0"/>
    </xf>
    <xf borderId="14" fillId="17" fontId="18" numFmtId="0" xfId="0" applyAlignment="1" applyBorder="1" applyFont="1">
      <alignment readingOrder="0"/>
    </xf>
    <xf borderId="14" fillId="17" fontId="3" numFmtId="0" xfId="0" applyAlignment="1" applyBorder="1" applyFont="1">
      <alignment readingOrder="0"/>
    </xf>
    <xf borderId="5" fillId="17" fontId="3" numFmtId="0" xfId="0" applyAlignment="1" applyBorder="1" applyFont="1">
      <alignment horizontal="center" readingOrder="0"/>
    </xf>
    <xf borderId="14" fillId="17" fontId="94" numFmtId="181" xfId="0" applyAlignment="1" applyBorder="1" applyFont="1" applyNumberFormat="1">
      <alignment horizontal="center" readingOrder="0"/>
    </xf>
    <xf borderId="14" fillId="17" fontId="3" numFmtId="181" xfId="0" applyAlignment="1" applyBorder="1" applyFont="1" applyNumberFormat="1">
      <alignment horizontal="right" readingOrder="0"/>
    </xf>
    <xf borderId="14" fillId="17" fontId="3" numFmtId="182" xfId="0" applyAlignment="1" applyBorder="1" applyFont="1" applyNumberFormat="1">
      <alignment horizontal="center" readingOrder="0"/>
    </xf>
    <xf borderId="14" fillId="17" fontId="3" numFmtId="0" xfId="0" applyBorder="1" applyFont="1"/>
    <xf borderId="6" fillId="17" fontId="3" numFmtId="0" xfId="0" applyAlignment="1" applyBorder="1" applyFont="1">
      <alignment horizontal="center" readingOrder="0"/>
    </xf>
    <xf borderId="14" fillId="17" fontId="17" numFmtId="0" xfId="0" applyAlignment="1" applyBorder="1" applyFont="1">
      <alignment readingOrder="0"/>
    </xf>
    <xf borderId="14" fillId="12" fontId="18" numFmtId="0" xfId="0" applyAlignment="1" applyBorder="1" applyFont="1">
      <alignment readingOrder="0"/>
    </xf>
    <xf borderId="14" fillId="44" fontId="18" numFmtId="0" xfId="0" applyAlignment="1" applyBorder="1" applyFill="1" applyFont="1">
      <alignment readingOrder="0"/>
    </xf>
    <xf borderId="14" fillId="9" fontId="17" numFmtId="0" xfId="0" applyAlignment="1" applyBorder="1" applyFont="1">
      <alignment readingOrder="0"/>
    </xf>
    <xf borderId="14" fillId="20" fontId="3" numFmtId="0" xfId="0" applyAlignment="1" applyBorder="1" applyFont="1">
      <alignment readingOrder="0"/>
    </xf>
    <xf borderId="2" fillId="43" fontId="3" numFmtId="0" xfId="0" applyAlignment="1" applyBorder="1" applyFont="1">
      <alignment horizontal="center" readingOrder="0"/>
    </xf>
    <xf borderId="14" fillId="43" fontId="3" numFmtId="0" xfId="0" applyAlignment="1" applyBorder="1" applyFont="1">
      <alignment horizontal="center" readingOrder="0"/>
    </xf>
    <xf borderId="14" fillId="43" fontId="17" numFmtId="0" xfId="0" applyAlignment="1" applyBorder="1" applyFont="1">
      <alignment readingOrder="0"/>
    </xf>
    <xf borderId="14" fillId="43" fontId="3" numFmtId="0" xfId="0" applyAlignment="1" applyBorder="1" applyFont="1">
      <alignment readingOrder="0"/>
    </xf>
    <xf borderId="5" fillId="43" fontId="3" numFmtId="0" xfId="0" applyAlignment="1" applyBorder="1" applyFont="1">
      <alignment horizontal="center" readingOrder="0"/>
    </xf>
    <xf borderId="14" fillId="43" fontId="3" numFmtId="181" xfId="0" applyBorder="1" applyFont="1" applyNumberFormat="1"/>
    <xf borderId="14" fillId="43" fontId="3" numFmtId="164" xfId="0" applyAlignment="1" applyBorder="1" applyFont="1" applyNumberFormat="1">
      <alignment horizontal="center"/>
    </xf>
    <xf borderId="14" fillId="43" fontId="3" numFmtId="0" xfId="0" applyBorder="1" applyFont="1"/>
    <xf borderId="6" fillId="43" fontId="3" numFmtId="0" xfId="0" applyAlignment="1" applyBorder="1" applyFont="1">
      <alignment horizontal="center" readingOrder="0"/>
    </xf>
    <xf borderId="14" fillId="43" fontId="18" numFmtId="0" xfId="0" applyAlignment="1" applyBorder="1" applyFont="1">
      <alignment readingOrder="0"/>
    </xf>
    <xf borderId="14" fillId="45" fontId="3" numFmtId="0" xfId="0" applyAlignment="1" applyBorder="1" applyFill="1" applyFont="1">
      <alignment readingOrder="0"/>
    </xf>
    <xf borderId="14" fillId="11" fontId="3" numFmtId="0" xfId="0" applyAlignment="1" applyBorder="1" applyFont="1">
      <alignment horizontal="center" readingOrder="0"/>
    </xf>
    <xf borderId="14" fillId="0" fontId="3" numFmtId="181" xfId="0" applyAlignment="1" applyBorder="1" applyFont="1" applyNumberFormat="1">
      <alignment horizontal="center" readingOrder="0"/>
    </xf>
    <xf borderId="14" fillId="0" fontId="3" numFmtId="164" xfId="0" applyAlignment="1" applyBorder="1" applyFont="1" applyNumberFormat="1">
      <alignment horizontal="center"/>
    </xf>
    <xf borderId="2" fillId="0" fontId="1" numFmtId="181" xfId="0" applyAlignment="1" applyBorder="1" applyFont="1" applyNumberFormat="1">
      <alignment horizontal="right" readingOrder="0"/>
    </xf>
    <xf borderId="2" fillId="0" fontId="3" numFmtId="0" xfId="0" applyBorder="1" applyFont="1"/>
    <xf borderId="14" fillId="0" fontId="18" numFmtId="0" xfId="0" applyAlignment="1" applyBorder="1" applyFont="1">
      <alignment readingOrder="0"/>
    </xf>
    <xf borderId="2" fillId="0" fontId="91" numFmtId="0" xfId="0" applyAlignment="1" applyBorder="1" applyFont="1">
      <alignment readingOrder="0" vertical="bottom"/>
    </xf>
    <xf borderId="2" fillId="0" fontId="91" numFmtId="0" xfId="0" applyAlignment="1" applyBorder="1" applyFont="1">
      <alignment horizontal="center" readingOrder="0" vertical="bottom"/>
    </xf>
    <xf borderId="14" fillId="0" fontId="3" numFmtId="0" xfId="0" applyAlignment="1" applyBorder="1" applyFont="1">
      <alignment horizontal="left" readingOrder="0"/>
    </xf>
    <xf borderId="24" fillId="0" fontId="3" numFmtId="0" xfId="0" applyBorder="1" applyFont="1"/>
    <xf borderId="6" fillId="0" fontId="3" numFmtId="0" xfId="0" applyAlignment="1" applyBorder="1" applyFont="1">
      <alignment horizontal="center"/>
    </xf>
    <xf borderId="14" fillId="0" fontId="3" numFmtId="0" xfId="0" applyAlignment="1" applyBorder="1" applyFont="1">
      <alignment horizontal="center"/>
    </xf>
    <xf borderId="2" fillId="0" fontId="1" numFmtId="181" xfId="0" applyAlignment="1" applyBorder="1" applyFont="1" applyNumberFormat="1">
      <alignment horizontal="center" readingOrder="0"/>
    </xf>
    <xf borderId="2" fillId="0" fontId="3" numFmtId="164" xfId="0" applyAlignment="1" applyBorder="1" applyFont="1" applyNumberFormat="1">
      <alignment horizontal="center"/>
    </xf>
    <xf borderId="2" fillId="0" fontId="3" numFmtId="0" xfId="0" applyAlignment="1" applyBorder="1" applyFont="1">
      <alignment horizontal="center"/>
    </xf>
    <xf borderId="6" fillId="0" fontId="91" numFmtId="0" xfId="0" applyAlignment="1" applyBorder="1" applyFont="1">
      <alignment readingOrder="0" vertical="bottom"/>
    </xf>
    <xf borderId="6" fillId="0" fontId="91" numFmtId="0" xfId="0" applyAlignment="1" applyBorder="1" applyFont="1">
      <alignment horizontal="center" readingOrder="0" vertical="bottom"/>
    </xf>
    <xf borderId="2" fillId="0" fontId="18" numFmtId="0" xfId="0" applyAlignment="1" applyBorder="1" applyFont="1">
      <alignment readingOrder="0"/>
    </xf>
    <xf borderId="2" fillId="0" fontId="3" numFmtId="0" xfId="0" applyAlignment="1" applyBorder="1" applyFont="1">
      <alignment horizontal="left" readingOrder="0"/>
    </xf>
    <xf borderId="2" fillId="11" fontId="3" numFmtId="0" xfId="0" applyAlignment="1" applyBorder="1" applyFont="1">
      <alignment horizontal="center" readingOrder="0"/>
    </xf>
    <xf borderId="2" fillId="0" fontId="124" numFmtId="0" xfId="0" applyAlignment="1" applyBorder="1" applyFont="1">
      <alignment horizontal="center" readingOrder="0" vertical="bottom"/>
    </xf>
    <xf borderId="2" fillId="0" fontId="91" numFmtId="0" xfId="0" applyAlignment="1" applyBorder="1" applyFont="1">
      <alignment readingOrder="0"/>
    </xf>
    <xf borderId="2" fillId="0" fontId="91" numFmtId="0" xfId="0" applyAlignment="1" applyBorder="1" applyFont="1">
      <alignment horizontal="center" readingOrder="0"/>
    </xf>
    <xf borderId="2" fillId="0" fontId="91" numFmtId="0" xfId="0" applyBorder="1" applyFont="1"/>
    <xf borderId="2" fillId="0" fontId="155" numFmtId="0" xfId="0" applyAlignment="1" applyBorder="1" applyFont="1">
      <alignment horizontal="center"/>
    </xf>
    <xf borderId="2" fillId="14" fontId="33" numFmtId="181" xfId="0" applyAlignment="1" applyBorder="1" applyFont="1" applyNumberFormat="1">
      <alignment horizontal="right" readingOrder="0"/>
    </xf>
    <xf borderId="2" fillId="14" fontId="1" numFmtId="181" xfId="0" applyAlignment="1" applyBorder="1" applyFont="1" applyNumberFormat="1">
      <alignment horizontal="center" readingOrder="0"/>
    </xf>
    <xf borderId="2" fillId="9" fontId="156" numFmtId="0" xfId="0" applyAlignment="1" applyBorder="1" applyFont="1">
      <alignment horizontal="center" readingOrder="0" vertical="bottom"/>
    </xf>
    <xf borderId="2" fillId="0" fontId="155" numFmtId="0" xfId="0" applyAlignment="1" applyBorder="1" applyFont="1">
      <alignment horizontal="center" readingOrder="0"/>
    </xf>
    <xf borderId="2" fillId="20" fontId="124" numFmtId="0" xfId="0" applyAlignment="1" applyBorder="1" applyFont="1">
      <alignment horizontal="center" readingOrder="0" vertical="bottom"/>
    </xf>
    <xf borderId="2" fillId="4" fontId="124" numFmtId="0" xfId="0" applyAlignment="1" applyBorder="1" applyFont="1">
      <alignment horizontal="center" readingOrder="0" vertical="bottom"/>
    </xf>
    <xf borderId="2" fillId="46" fontId="124" numFmtId="0" xfId="0" applyAlignment="1" applyBorder="1" applyFill="1" applyFont="1">
      <alignment horizontal="center" readingOrder="0" vertical="bottom"/>
    </xf>
    <xf borderId="2" fillId="20" fontId="124" numFmtId="0" xfId="0" applyAlignment="1" applyBorder="1" applyFont="1">
      <alignment readingOrder="0"/>
    </xf>
    <xf borderId="2" fillId="0" fontId="157" numFmtId="0" xfId="0" applyAlignment="1" applyBorder="1" applyFont="1">
      <alignment horizontal="center" readingOrder="0"/>
    </xf>
    <xf borderId="2" fillId="27" fontId="91" numFmtId="0" xfId="0" applyAlignment="1" applyBorder="1" applyFont="1">
      <alignment readingOrder="0" vertical="bottom"/>
    </xf>
    <xf borderId="2" fillId="0" fontId="1" numFmtId="0" xfId="0" applyBorder="1" applyFont="1"/>
    <xf borderId="2" fillId="4" fontId="124" numFmtId="0" xfId="0" applyAlignment="1" applyBorder="1" applyFont="1">
      <alignment readingOrder="0"/>
    </xf>
    <xf borderId="2" fillId="10" fontId="124" numFmtId="0" xfId="0" applyAlignment="1" applyBorder="1" applyFont="1">
      <alignment readingOrder="0"/>
    </xf>
    <xf borderId="0" fillId="0" fontId="150" numFmtId="164" xfId="0" applyAlignment="1" applyFont="1" applyNumberFormat="1">
      <alignment horizontal="center" vertical="center"/>
    </xf>
    <xf borderId="0" fillId="0" fontId="138" numFmtId="0" xfId="0" applyAlignment="1" applyFont="1">
      <alignment horizontal="center" vertical="center"/>
    </xf>
    <xf borderId="0" fillId="0" fontId="138" numFmtId="164" xfId="0" applyAlignment="1" applyFont="1" applyNumberFormat="1">
      <alignment horizontal="center" vertical="center"/>
    </xf>
    <xf borderId="0" fillId="0" fontId="18" numFmtId="183" xfId="0" applyAlignment="1" applyFont="1" applyNumberFormat="1">
      <alignment horizontal="center" shrinkToFit="0" vertical="center" wrapText="1"/>
    </xf>
    <xf borderId="0" fillId="0" fontId="10" numFmtId="184" xfId="0" applyAlignment="1" applyFont="1" applyNumberFormat="1">
      <alignment horizontal="center" vertical="center"/>
    </xf>
    <xf borderId="0" fillId="0" fontId="16" numFmtId="184" xfId="0" applyAlignment="1" applyFont="1" applyNumberFormat="1">
      <alignment horizontal="center" shrinkToFit="0" vertical="center" wrapText="1"/>
    </xf>
    <xf borderId="0" fillId="0" fontId="1" numFmtId="185" xfId="0" applyAlignment="1" applyFont="1" applyNumberFormat="1">
      <alignment horizontal="left" vertical="center"/>
    </xf>
    <xf borderId="0" fillId="0" fontId="1" numFmtId="185" xfId="0" applyAlignment="1" applyFont="1" applyNumberFormat="1">
      <alignment horizontal="center" vertical="center"/>
    </xf>
    <xf borderId="0" fillId="0" fontId="94" numFmtId="185" xfId="0" applyAlignment="1" applyFont="1" applyNumberFormat="1">
      <alignment horizontal="right" readingOrder="0" vertical="center"/>
    </xf>
    <xf borderId="0" fillId="0" fontId="94" numFmtId="186" xfId="0" applyAlignment="1" applyFont="1" applyNumberFormat="1">
      <alignment horizontal="right" vertical="center"/>
    </xf>
    <xf borderId="0" fillId="0" fontId="3" numFmtId="187" xfId="0" applyAlignment="1" applyFont="1" applyNumberFormat="1">
      <alignment horizontal="right" vertical="center"/>
    </xf>
    <xf borderId="0" fillId="0" fontId="3" numFmtId="0" xfId="0" applyAlignment="1" applyFont="1">
      <alignment horizontal="center" vertical="center"/>
    </xf>
    <xf borderId="0" fillId="0" fontId="3" numFmtId="0" xfId="0" applyAlignment="1" applyFont="1">
      <alignment shrinkToFit="0" vertical="center" wrapText="1"/>
    </xf>
    <xf borderId="0" fillId="0" fontId="3" numFmtId="164" xfId="0" applyAlignment="1" applyFont="1" applyNumberFormat="1">
      <alignment horizontal="center" vertical="center"/>
    </xf>
    <xf borderId="0" fillId="0" fontId="1" numFmtId="0" xfId="0" applyAlignment="1" applyFont="1">
      <alignment horizontal="center" vertical="center"/>
    </xf>
    <xf borderId="0" fillId="0" fontId="3" numFmtId="0" xfId="0" applyAlignment="1" applyFont="1">
      <alignment vertical="center"/>
    </xf>
    <xf borderId="0" fillId="23" fontId="150" numFmtId="164" xfId="0" applyAlignment="1" applyFont="1" applyNumberFormat="1">
      <alignment horizontal="center" vertical="center"/>
    </xf>
    <xf borderId="0" fillId="0" fontId="3" numFmtId="0" xfId="0" applyAlignment="1" applyFont="1">
      <alignment readingOrder="0" shrinkToFit="0" vertical="center" wrapText="1"/>
    </xf>
    <xf borderId="0" fillId="23" fontId="3" numFmtId="0" xfId="0" applyAlignment="1" applyFont="1">
      <alignment vertical="center"/>
    </xf>
    <xf borderId="0" fillId="23" fontId="158" numFmtId="164" xfId="0" applyAlignment="1" applyFont="1" applyNumberFormat="1">
      <alignment horizontal="center" vertical="bottom"/>
    </xf>
    <xf borderId="0" fillId="23" fontId="158" numFmtId="0" xfId="0" applyAlignment="1" applyFont="1">
      <alignment horizontal="center" vertical="bottom"/>
    </xf>
    <xf borderId="0" fillId="0" fontId="158" numFmtId="0" xfId="0" applyAlignment="1" applyFont="1">
      <alignment horizontal="center" readingOrder="0" vertical="bottom"/>
    </xf>
    <xf borderId="0" fillId="0" fontId="159" numFmtId="0" xfId="0" applyAlignment="1" applyFont="1">
      <alignment horizontal="center" vertical="bottom"/>
    </xf>
    <xf borderId="0" fillId="0" fontId="158" numFmtId="185" xfId="0" applyAlignment="1" applyFont="1" applyNumberFormat="1">
      <alignment horizontal="center" readingOrder="0" vertical="bottom"/>
    </xf>
    <xf borderId="0" fillId="0" fontId="94" numFmtId="186" xfId="0" applyAlignment="1" applyFont="1" applyNumberFormat="1">
      <alignment horizontal="center" vertical="bottom"/>
    </xf>
    <xf borderId="0" fillId="23" fontId="16" numFmtId="187" xfId="0" applyAlignment="1" applyFont="1" applyNumberFormat="1">
      <alignment horizontal="center" vertical="bottom"/>
    </xf>
    <xf borderId="0" fillId="23" fontId="160" numFmtId="0" xfId="0" applyAlignment="1" applyFont="1">
      <alignment horizontal="center" readingOrder="0" vertical="center"/>
    </xf>
    <xf borderId="0" fillId="23" fontId="146" numFmtId="0" xfId="0" applyAlignment="1" applyFont="1">
      <alignment horizontal="center" vertical="bottom"/>
    </xf>
    <xf borderId="0" fillId="23" fontId="158" numFmtId="183" xfId="0" applyAlignment="1" applyFont="1" applyNumberFormat="1">
      <alignment horizontal="center" vertical="bottom"/>
    </xf>
    <xf borderId="0" fillId="23" fontId="161" numFmtId="164" xfId="0" applyAlignment="1" applyFont="1" applyNumberFormat="1">
      <alignment horizontal="center" vertical="bottom"/>
    </xf>
    <xf borderId="0" fillId="23" fontId="161" numFmtId="0" xfId="0" applyAlignment="1" applyFont="1">
      <alignment horizontal="center" vertical="bottom"/>
    </xf>
    <xf borderId="0" fillId="0" fontId="7" numFmtId="164" xfId="0" applyAlignment="1" applyFont="1" applyNumberFormat="1">
      <alignment horizontal="center" readingOrder="0" vertical="bottom"/>
    </xf>
    <xf borderId="0" fillId="0" fontId="70" numFmtId="0" xfId="0" applyAlignment="1" applyFont="1">
      <alignment horizontal="center" shrinkToFit="0" vertical="bottom" wrapText="1"/>
    </xf>
    <xf borderId="0" fillId="0" fontId="19" numFmtId="186" xfId="0" applyAlignment="1" applyFont="1" applyNumberFormat="1">
      <alignment horizontal="center" readingOrder="0" vertical="bottom"/>
    </xf>
    <xf borderId="0" fillId="0" fontId="70" numFmtId="0" xfId="0" applyAlignment="1" applyFont="1">
      <alignment horizontal="center" vertical="bottom"/>
    </xf>
    <xf borderId="0" fillId="0" fontId="19" numFmtId="164" xfId="0" applyAlignment="1" applyFont="1" applyNumberFormat="1">
      <alignment horizontal="center" shrinkToFit="0" vertical="bottom" wrapText="1"/>
    </xf>
    <xf borderId="0" fillId="0" fontId="19" numFmtId="0" xfId="0" applyAlignment="1" applyFont="1">
      <alignment horizontal="center" shrinkToFit="0" vertical="bottom" wrapText="1"/>
    </xf>
    <xf borderId="0" fillId="23" fontId="161" numFmtId="0" xfId="0" applyAlignment="1" applyFont="1">
      <alignment vertical="bottom"/>
    </xf>
    <xf borderId="34" fillId="23" fontId="150" numFmtId="164" xfId="0" applyAlignment="1" applyBorder="1" applyFont="1" applyNumberFormat="1">
      <alignment horizontal="center" vertical="center"/>
    </xf>
    <xf borderId="2" fillId="47" fontId="18" numFmtId="0" xfId="0" applyAlignment="1" applyBorder="1" applyFill="1" applyFont="1">
      <alignment horizontal="center" readingOrder="0" shrinkToFit="0" vertical="center" wrapText="1"/>
    </xf>
    <xf borderId="2" fillId="47" fontId="18" numFmtId="164" xfId="0" applyAlignment="1" applyBorder="1" applyFont="1" applyNumberFormat="1">
      <alignment horizontal="center" vertical="center"/>
    </xf>
    <xf borderId="2" fillId="47" fontId="18" numFmtId="0" xfId="0" applyAlignment="1" applyBorder="1" applyFont="1">
      <alignment horizontal="center" shrinkToFit="0" vertical="center" wrapText="1"/>
    </xf>
    <xf borderId="2" fillId="47" fontId="16" numFmtId="0" xfId="0" applyAlignment="1" applyBorder="1" applyFont="1">
      <alignment horizontal="center" readingOrder="0" shrinkToFit="0" vertical="center" wrapText="1"/>
    </xf>
    <xf borderId="2" fillId="47" fontId="10" numFmtId="0" xfId="0" applyAlignment="1" applyBorder="1" applyFont="1">
      <alignment horizontal="center" readingOrder="0" shrinkToFit="0" vertical="center" wrapText="1"/>
    </xf>
    <xf borderId="2" fillId="47" fontId="16" numFmtId="0" xfId="0" applyAlignment="1" applyBorder="1" applyFont="1">
      <alignment horizontal="center" shrinkToFit="0" vertical="center" wrapText="1"/>
    </xf>
    <xf borderId="2" fillId="47" fontId="16" numFmtId="186" xfId="0" applyAlignment="1" applyBorder="1" applyFont="1" applyNumberFormat="1">
      <alignment horizontal="center" shrinkToFit="0" vertical="center" wrapText="1"/>
    </xf>
    <xf borderId="2" fillId="47" fontId="18" numFmtId="187" xfId="0" applyAlignment="1" applyBorder="1" applyFont="1" applyNumberFormat="1">
      <alignment horizontal="center" vertical="center"/>
    </xf>
    <xf borderId="2" fillId="47" fontId="18" numFmtId="0" xfId="0" applyAlignment="1" applyBorder="1" applyFont="1">
      <alignment horizontal="center" vertical="center"/>
    </xf>
    <xf borderId="2" fillId="47" fontId="18" numFmtId="0" xfId="0" applyAlignment="1" applyBorder="1" applyFont="1">
      <alignment horizontal="center" shrinkToFit="0" vertical="center" wrapText="1"/>
    </xf>
    <xf borderId="2" fillId="47" fontId="18" numFmtId="164" xfId="0" applyAlignment="1" applyBorder="1" applyFont="1" applyNumberFormat="1">
      <alignment horizontal="center" shrinkToFit="0" vertical="center" wrapText="1"/>
    </xf>
    <xf borderId="2" fillId="47" fontId="162" numFmtId="0" xfId="0" applyAlignment="1" applyBorder="1" applyFont="1">
      <alignment horizontal="center" readingOrder="0" shrinkToFit="0" vertical="center" wrapText="1"/>
    </xf>
    <xf borderId="2" fillId="47" fontId="163" numFmtId="0" xfId="0" applyAlignment="1" applyBorder="1" applyFont="1">
      <alignment horizontal="center" readingOrder="0" shrinkToFit="0" vertical="center" wrapText="1"/>
    </xf>
    <xf borderId="6" fillId="47" fontId="10" numFmtId="185" xfId="0" applyAlignment="1" applyBorder="1" applyFont="1" applyNumberFormat="1">
      <alignment horizontal="center" readingOrder="0" vertical="center"/>
    </xf>
    <xf borderId="35" fillId="23" fontId="3" numFmtId="0" xfId="0" applyAlignment="1" applyBorder="1" applyFont="1">
      <alignment horizontal="center" vertical="center"/>
    </xf>
    <xf borderId="36" fillId="23" fontId="3" numFmtId="0" xfId="0" applyAlignment="1" applyBorder="1" applyFont="1">
      <alignment horizontal="center" vertical="center"/>
    </xf>
    <xf borderId="14" fillId="0" fontId="3" numFmtId="0" xfId="0" applyAlignment="1" applyBorder="1" applyFont="1">
      <alignment horizontal="center" vertical="center"/>
    </xf>
    <xf borderId="0" fillId="0" fontId="7" numFmtId="164" xfId="0" applyAlignment="1" applyFont="1" applyNumberFormat="1">
      <alignment horizontal="center" vertical="center"/>
    </xf>
    <xf borderId="2" fillId="0" fontId="3" numFmtId="164" xfId="0" applyAlignment="1" applyBorder="1" applyFont="1" applyNumberFormat="1">
      <alignment horizontal="center" readingOrder="0" shrinkToFit="0" vertical="center" wrapText="1"/>
    </xf>
    <xf borderId="2" fillId="0" fontId="10" numFmtId="0" xfId="0" applyAlignment="1" applyBorder="1" applyFont="1">
      <alignment horizontal="center" vertical="center"/>
    </xf>
    <xf borderId="2" fillId="0" fontId="94" numFmtId="185" xfId="0" applyAlignment="1" applyBorder="1" applyFont="1" applyNumberFormat="1">
      <alignment horizontal="center" readingOrder="0" vertical="center"/>
    </xf>
    <xf borderId="2" fillId="0" fontId="94" numFmtId="185" xfId="0" applyAlignment="1" applyBorder="1" applyFont="1" applyNumberFormat="1">
      <alignment horizontal="right" readingOrder="0" vertical="center"/>
    </xf>
    <xf borderId="2" fillId="0" fontId="94" numFmtId="186" xfId="0" applyAlignment="1" applyBorder="1" applyFont="1" applyNumberFormat="1">
      <alignment vertical="center"/>
    </xf>
    <xf borderId="2" fillId="0" fontId="1" numFmtId="187" xfId="0" applyAlignment="1" applyBorder="1" applyFont="1" applyNumberFormat="1">
      <alignment horizontal="right" vertical="center"/>
    </xf>
    <xf borderId="2" fillId="0" fontId="3" numFmtId="0" xfId="0" applyAlignment="1" applyBorder="1" applyFont="1">
      <alignment readingOrder="0" shrinkToFit="0" vertical="center" wrapText="1"/>
    </xf>
    <xf borderId="2" fillId="0" fontId="164" numFmtId="0" xfId="0" applyAlignment="1" applyBorder="1" applyFont="1">
      <alignment horizontal="center" readingOrder="0" vertical="center"/>
    </xf>
    <xf borderId="2" fillId="0" fontId="165" numFmtId="0" xfId="0" applyAlignment="1" applyBorder="1" applyFont="1">
      <alignment horizontal="center" readingOrder="0" vertical="center"/>
    </xf>
    <xf borderId="2" fillId="0" fontId="10" numFmtId="49" xfId="0" applyAlignment="1" applyBorder="1" applyFont="1" applyNumberFormat="1">
      <alignment horizontal="center" vertical="center"/>
    </xf>
    <xf borderId="2" fillId="0" fontId="1" numFmtId="0" xfId="0" applyAlignment="1" applyBorder="1" applyFont="1">
      <alignment horizontal="center" readingOrder="0" vertical="center"/>
    </xf>
    <xf borderId="2" fillId="0" fontId="1" numFmtId="0" xfId="0" applyAlignment="1" applyBorder="1" applyFont="1">
      <alignment horizontal="center" readingOrder="0" vertical="center"/>
    </xf>
    <xf borderId="2" fillId="0" fontId="10" numFmtId="49" xfId="0" applyAlignment="1" applyBorder="1" applyFont="1" applyNumberFormat="1">
      <alignment horizontal="center" readingOrder="0" vertical="center"/>
    </xf>
    <xf borderId="2" fillId="0" fontId="10" numFmtId="0" xfId="0" applyAlignment="1" applyBorder="1" applyFont="1">
      <alignment horizontal="center" readingOrder="0" vertical="center"/>
    </xf>
    <xf borderId="2" fillId="0" fontId="1" numFmtId="0" xfId="0" applyAlignment="1" applyBorder="1" applyFont="1">
      <alignment horizontal="center" readingOrder="0" vertical="center"/>
    </xf>
    <xf borderId="2" fillId="0" fontId="1" numFmtId="0" xfId="0" applyAlignment="1" applyBorder="1" applyFont="1">
      <alignment horizontal="center" vertical="center"/>
    </xf>
    <xf borderId="2" fillId="0" fontId="94" numFmtId="185" xfId="0" applyAlignment="1" applyBorder="1" applyFont="1" applyNumberFormat="1">
      <alignment horizontal="right" vertical="center"/>
    </xf>
    <xf borderId="2" fillId="0" fontId="35" numFmtId="0" xfId="0" applyBorder="1" applyFont="1"/>
    <xf borderId="0" fillId="48" fontId="7" numFmtId="164" xfId="0" applyAlignment="1" applyFill="1" applyFont="1" applyNumberFormat="1">
      <alignment horizontal="center" vertical="center"/>
    </xf>
    <xf borderId="2" fillId="48" fontId="1" numFmtId="0" xfId="0" applyAlignment="1" applyBorder="1" applyFont="1">
      <alignment horizontal="center" vertical="center"/>
    </xf>
    <xf borderId="2" fillId="48" fontId="1" numFmtId="164" xfId="0" applyAlignment="1" applyBorder="1" applyFont="1" applyNumberFormat="1">
      <alignment horizontal="center" vertical="center"/>
    </xf>
    <xf borderId="2" fillId="48" fontId="10" numFmtId="0" xfId="0" applyAlignment="1" applyBorder="1" applyFont="1">
      <alignment horizontal="center" vertical="center"/>
    </xf>
    <xf borderId="2" fillId="48" fontId="94" numFmtId="0" xfId="0" applyAlignment="1" applyBorder="1" applyFont="1">
      <alignment horizontal="center" vertical="center"/>
    </xf>
    <xf borderId="2" fillId="48" fontId="1" numFmtId="0" xfId="0" applyAlignment="1" applyBorder="1" applyFont="1">
      <alignment horizontal="left" vertical="center"/>
    </xf>
    <xf borderId="2" fillId="48" fontId="94" numFmtId="0" xfId="0" applyAlignment="1" applyBorder="1" applyFont="1">
      <alignment vertical="center"/>
    </xf>
    <xf borderId="2" fillId="48" fontId="94" numFmtId="186" xfId="0" applyAlignment="1" applyBorder="1" applyFont="1" applyNumberFormat="1">
      <alignment vertical="center"/>
    </xf>
    <xf borderId="2" fillId="48" fontId="1" numFmtId="0" xfId="0" applyAlignment="1" applyBorder="1" applyFont="1">
      <alignment vertical="center"/>
    </xf>
    <xf borderId="2" fillId="48" fontId="1" numFmtId="0" xfId="0" applyAlignment="1" applyBorder="1" applyFont="1">
      <alignment horizontal="center" vertical="center"/>
    </xf>
    <xf borderId="0" fillId="48" fontId="1" numFmtId="0" xfId="0" applyAlignment="1" applyFont="1">
      <alignment vertical="center"/>
    </xf>
  </cellXfs>
  <cellStyles count="1">
    <cellStyle xfId="0" name="Normal" builtinId="0"/>
  </cellStyles>
  <dxfs count="26">
    <dxf>
      <font/>
      <fill>
        <patternFill patternType="solid">
          <fgColor rgb="FFF4CCCC"/>
          <bgColor rgb="FFF4CCCC"/>
        </patternFill>
      </fill>
      <border/>
    </dxf>
    <dxf>
      <font>
        <color rgb="FFFFFFFF"/>
      </font>
      <fill>
        <patternFill patternType="solid">
          <fgColor rgb="FF666666"/>
          <bgColor rgb="FF666666"/>
        </patternFill>
      </fill>
      <border/>
    </dxf>
    <dxf>
      <font>
        <color rgb="FF000000"/>
      </font>
      <fill>
        <patternFill patternType="solid">
          <fgColor rgb="FFD9D2E9"/>
          <bgColor rgb="FFD9D2E9"/>
        </patternFill>
      </fill>
      <border/>
    </dxf>
    <dxf>
      <font/>
      <fill>
        <patternFill patternType="solid">
          <fgColor rgb="FFFCE8B2"/>
          <bgColor rgb="FFFCE8B2"/>
        </patternFill>
      </fill>
      <border/>
    </dxf>
    <dxf>
      <font>
        <color rgb="FF000000"/>
      </font>
      <fill>
        <patternFill patternType="solid">
          <fgColor rgb="FFFCE8B2"/>
          <bgColor rgb="FFFCE8B2"/>
        </patternFill>
      </fill>
      <border/>
    </dxf>
    <dxf>
      <font/>
      <fill>
        <patternFill patternType="solid">
          <fgColor rgb="FFCFE2F3"/>
          <bgColor rgb="FFCFE2F3"/>
        </patternFill>
      </fill>
      <border/>
    </dxf>
    <dxf>
      <font>
        <color rgb="FFFFFFFF"/>
      </font>
      <fill>
        <patternFill patternType="solid">
          <fgColor rgb="FF4A86E8"/>
          <bgColor rgb="FF4A86E8"/>
        </patternFill>
      </fill>
      <border/>
    </dxf>
    <dxf>
      <font/>
      <fill>
        <patternFill patternType="solid">
          <fgColor rgb="FFD9D2E9"/>
          <bgColor rgb="FFD9D2E9"/>
        </patternFill>
      </fill>
      <border/>
    </dxf>
    <dxf>
      <font/>
      <fill>
        <patternFill patternType="solid">
          <fgColor rgb="FFF6B26B"/>
          <bgColor rgb="FFF6B26B"/>
        </patternFill>
      </fill>
      <border/>
    </dxf>
    <dxf>
      <font/>
      <fill>
        <patternFill patternType="solid">
          <fgColor rgb="FFCCCCCC"/>
          <bgColor rgb="FFCCCCCC"/>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FFF00"/>
          <bgColor rgb="FFFFFF00"/>
        </patternFill>
      </fill>
      <border/>
    </dxf>
    <dxf>
      <font/>
      <fill>
        <patternFill patternType="solid">
          <fgColor rgb="FF00FF00"/>
          <bgColor rgb="FF00FF00"/>
        </patternFill>
      </fill>
      <border/>
    </dxf>
    <dxf>
      <font/>
      <fill>
        <patternFill patternType="solid">
          <fgColor rgb="FFB7B7B7"/>
          <bgColor rgb="FFB7B7B7"/>
        </patternFill>
      </fill>
      <border/>
    </dxf>
    <dxf>
      <font/>
      <fill>
        <patternFill patternType="solid">
          <fgColor rgb="FFFF0000"/>
          <bgColor rgb="FFFF0000"/>
        </patternFill>
      </fill>
      <border/>
    </dxf>
    <dxf>
      <font/>
      <fill>
        <patternFill patternType="solid">
          <fgColor rgb="FFD9D9D9"/>
          <bgColor rgb="FFD9D9D9"/>
        </patternFill>
      </fill>
      <border/>
    </dxf>
    <dxf>
      <font>
        <color rgb="FFFF00FF"/>
      </font>
      <fill>
        <patternFill patternType="solid">
          <fgColor rgb="FFD9D9D9"/>
          <bgColor rgb="FFD9D9D9"/>
        </patternFill>
      </fill>
      <border/>
    </dxf>
    <dxf>
      <font>
        <color rgb="FFF3F3F3"/>
      </font>
      <fill>
        <patternFill patternType="solid">
          <fgColor rgb="FF666666"/>
          <bgColor rgb="FF666666"/>
        </patternFill>
      </fill>
      <border/>
    </dxf>
    <dxf>
      <font/>
      <fill>
        <patternFill patternType="solid">
          <fgColor rgb="FFFFE599"/>
          <bgColor rgb="FFFFE599"/>
        </patternFill>
      </fill>
      <border/>
    </dxf>
    <dxf>
      <font>
        <color rgb="FF000000"/>
      </font>
      <fill>
        <patternFill patternType="solid">
          <fgColor rgb="FFC9DAF8"/>
          <bgColor rgb="FFC9DAF8"/>
        </patternFill>
      </fill>
      <border/>
    </dxf>
    <dxf>
      <font/>
      <fill>
        <patternFill patternType="solid">
          <fgColor rgb="FF9FC5E8"/>
          <bgColor rgb="FF9FC5E8"/>
        </patternFill>
      </fill>
      <border/>
    </dxf>
    <dxf>
      <font/>
      <fill>
        <patternFill patternType="solid">
          <fgColor theme="6"/>
          <bgColor theme="6"/>
        </patternFill>
      </fill>
      <border/>
    </dxf>
    <dxf>
      <font/>
      <fill>
        <patternFill patternType="solid">
          <fgColor rgb="FF6FA8DC"/>
          <bgColor rgb="FF6FA8DC"/>
        </patternFill>
      </fill>
      <border/>
    </dxf>
    <dxf>
      <font/>
      <fill>
        <patternFill patternType="solid">
          <fgColor rgb="FF999999"/>
          <bgColor rgb="FF999999"/>
        </patternFill>
      </fill>
      <border/>
    </dxf>
    <dxf>
      <font>
        <color rgb="FF000000"/>
      </font>
      <fill>
        <patternFill patternType="solid">
          <fgColor rgb="FFFFE599"/>
          <bgColor rgb="FFFFE59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209550</xdr:colOff>
      <xdr:row>1</xdr:row>
      <xdr:rowOff>114300</xdr:rowOff>
    </xdr:from>
    <xdr:ext cx="1628775" cy="12192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209550</xdr:colOff>
      <xdr:row>1</xdr:row>
      <xdr:rowOff>114300</xdr:rowOff>
    </xdr:from>
    <xdr:ext cx="2924175" cy="12192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spreadsheets/d/14OdoR8Vb0Uh_RRkzoZrxJhPADjW4Q6FL1tkZ-k_AWUM/edit?gid=857825124" TargetMode="External"/><Relationship Id="rId42" Type="http://schemas.openxmlformats.org/officeDocument/2006/relationships/hyperlink" Target="https://docs.google.com/spreadsheets/d/1zm-h1xK76dhgfK30XThH4eYYuBN9cCgoEzI9UR2CNnU/edit?gid=36186494" TargetMode="External"/><Relationship Id="rId41" Type="http://schemas.openxmlformats.org/officeDocument/2006/relationships/hyperlink" Target="mailto:emmapai@google.com" TargetMode="External"/><Relationship Id="rId44" Type="http://schemas.openxmlformats.org/officeDocument/2006/relationships/hyperlink" Target="https://docs.google.com/spreadsheets/d/1XuRitf_aiV0OP6E_-q5KFpI1bZWpvFok0-XnT4uIojU/edit?resourcekey=0-spFnSsxtrpbX8IYyOz8KoQ&amp;gid=857825124" TargetMode="External"/><Relationship Id="rId43" Type="http://schemas.openxmlformats.org/officeDocument/2006/relationships/hyperlink" Target="mailto:hcliw@google.com" TargetMode="External"/><Relationship Id="rId46" Type="http://schemas.openxmlformats.org/officeDocument/2006/relationships/hyperlink" Target="https://docs.google.com/spreadsheets/d/1j0kuYzA9Ys-LKE4PiPj5l49Gfnx1IpYp-_M_pZOleI0/edit?resourcekey=0-4S8-hDwyd-RZcrERiQocAA&amp;gid=625196473" TargetMode="External"/><Relationship Id="rId45" Type="http://schemas.openxmlformats.org/officeDocument/2006/relationships/hyperlink" Target="mailto:seanao@google.com" TargetMode="External"/><Relationship Id="rId107" Type="http://schemas.openxmlformats.org/officeDocument/2006/relationships/hyperlink" Target="https://docs.google.com/spreadsheets/d/1baoKPiM9j9EyHmHZ1EwrYrHRZEuk3PxVQsTldzGPX3A/edit" TargetMode="External"/><Relationship Id="rId106" Type="http://schemas.openxmlformats.org/officeDocument/2006/relationships/hyperlink" Target="https://docs.google.com/spreadsheets/d/1MZoD4QlGZrCq7P7rh8c9ZtZjOdKwdxTFXzFlFJMV8DA/edit?disco=AAAAygd2gZ0&amp;usp=todo_email_discussion&amp;ts=647edd2a&amp;usp_dm=false" TargetMode="External"/><Relationship Id="rId105" Type="http://schemas.openxmlformats.org/officeDocument/2006/relationships/hyperlink" Target="https://docs.google.com/spreadsheets/d/192aeDu_dgJKU0wt4ojvYYzLlcettbaZAlauYXdJMNWI/edit" TargetMode="External"/><Relationship Id="rId104" Type="http://schemas.openxmlformats.org/officeDocument/2006/relationships/hyperlink" Target="https://docs.google.com/spreadsheets/d/1kwZJTOD8AYY-tNWHipcw8uZh59sb55-Gls4ONfQe7dE/edit" TargetMode="External"/><Relationship Id="rId109" Type="http://schemas.openxmlformats.org/officeDocument/2006/relationships/hyperlink" Target="https://docs.google.com/spreadsheets/d/1QtIhpr_2lb484SeoBpaHYxQbLH4tLbWjwYQe3TwSXgY/edit" TargetMode="External"/><Relationship Id="rId108" Type="http://schemas.openxmlformats.org/officeDocument/2006/relationships/hyperlink" Target="https://docs.google.com/presentation/d/1SRpRcsIx-xCB5iSGUIZX-w0MSc5TXA-cDTB486Dk0FU/edit?usp=sharing" TargetMode="External"/><Relationship Id="rId48" Type="http://schemas.openxmlformats.org/officeDocument/2006/relationships/hyperlink" Target="https://docs.google.com/spreadsheets/d/1b1nnUxWores4wuxeWdSXnF3UAMUBU4b1K0bSbcf6wW0/edit?gid=1763328259" TargetMode="External"/><Relationship Id="rId47" Type="http://schemas.openxmlformats.org/officeDocument/2006/relationships/hyperlink" Target="mailto:hcliw@google.com" TargetMode="External"/><Relationship Id="rId49" Type="http://schemas.openxmlformats.org/officeDocument/2006/relationships/hyperlink" Target="https://docs.google.com/spreadsheets/d/15lzIx3irnFzzB1FWzssnBG7N0TKQQGt1hWrVTnBNvgM/edit?gid=656591904" TargetMode="External"/><Relationship Id="rId103" Type="http://schemas.openxmlformats.org/officeDocument/2006/relationships/hyperlink" Target="https://drive.google.com/drive/folders/1Esos_KnbBnmZ2UKrjTCAUhGORww5dpAW?resourcekey=0-88a_AuvMJ7oyBrRqGC9C-Q" TargetMode="External"/><Relationship Id="rId102" Type="http://schemas.openxmlformats.org/officeDocument/2006/relationships/hyperlink" Target="https://docs.google.com/spreadsheets/d/1xhs4YuK1qR36TmBnKE_7bm5cT7rgvN56Tx3ed0IQtqk/edit" TargetMode="External"/><Relationship Id="rId101" Type="http://schemas.openxmlformats.org/officeDocument/2006/relationships/hyperlink" Target="https://docs.google.com/spreadsheets/d/1ToSMPDqIYx0y89cWGgDoE9oc02rHcInHVkGxcXc6FEo/edit" TargetMode="External"/><Relationship Id="rId100" Type="http://schemas.openxmlformats.org/officeDocument/2006/relationships/hyperlink" Target="https://docs.google.com/spreadsheets/d/1mgwrHkY9yy_5wVxMSTvAl57XTgHoDrFi6HONbPl3m-s/edit?resourcekey=0-IOna8wK2ng1YA_WTS1RkIQ" TargetMode="External"/><Relationship Id="rId31" Type="http://schemas.openxmlformats.org/officeDocument/2006/relationships/hyperlink" Target="https://docs.google.com/spreadsheets/d/1snGkBiCKXXUhxJPKBv08olmihyKZO-ns1kF7IuSYWJ0/edit?gid=858771475&amp;resourcekey=0-gDwp4WB6syrO7kmYgLpErw" TargetMode="External"/><Relationship Id="rId30" Type="http://schemas.openxmlformats.org/officeDocument/2006/relationships/hyperlink" Target="mailto:dobbyytlin@fih-foxconn.com" TargetMode="External"/><Relationship Id="rId33" Type="http://schemas.openxmlformats.org/officeDocument/2006/relationships/hyperlink" Target="https://docs.google.com/spreadsheets/d/1LJ7gQkkxqUTA9m8JIe3s51mtZ7qFu6YhdvM2Qxgf86U/edit?gid=488190159" TargetMode="External"/><Relationship Id="rId32" Type="http://schemas.openxmlformats.org/officeDocument/2006/relationships/hyperlink" Target="mailto:wangjay@google.com" TargetMode="External"/><Relationship Id="rId35" Type="http://schemas.openxmlformats.org/officeDocument/2006/relationships/hyperlink" Target="https://docs.google.com/spreadsheets/d/1dHIi8x2os-XIIaovOL-TVp6lQAe6CzrCgj-wF_2eVNw/edit?pli=1&amp;resourcekey=0-5kWkbR7E1KDa1QvvsfHE7A&amp;gid=857825124" TargetMode="External"/><Relationship Id="rId34" Type="http://schemas.openxmlformats.org/officeDocument/2006/relationships/hyperlink" Target="mailto:dianacoker@google.com" TargetMode="External"/><Relationship Id="rId37" Type="http://schemas.openxmlformats.org/officeDocument/2006/relationships/hyperlink" Target="mailto:amyma@google.com" TargetMode="External"/><Relationship Id="rId36" Type="http://schemas.openxmlformats.org/officeDocument/2006/relationships/hyperlink" Target="mailto:lehmanlee@google.com" TargetMode="External"/><Relationship Id="rId39" Type="http://schemas.openxmlformats.org/officeDocument/2006/relationships/hyperlink" Target="mailto:hcliw@google.com" TargetMode="External"/><Relationship Id="rId38" Type="http://schemas.openxmlformats.org/officeDocument/2006/relationships/hyperlink" Target="https://docs.google.com/spreadsheets/d/1zWoAJoa3sStPpwalRz9nmF6MJpJiE0e_AtkRHWtcjx0/edit?gid=2042488652" TargetMode="External"/><Relationship Id="rId20" Type="http://schemas.openxmlformats.org/officeDocument/2006/relationships/hyperlink" Target="mailto:rita.d.qiu@fih-foxconn.com" TargetMode="External"/><Relationship Id="rId22" Type="http://schemas.openxmlformats.org/officeDocument/2006/relationships/hyperlink" Target="mailto:Alvincshsu@FIH-Foxconn.com" TargetMode="External"/><Relationship Id="rId21" Type="http://schemas.openxmlformats.org/officeDocument/2006/relationships/hyperlink" Target="mailto:sunnyxiao@google.com" TargetMode="External"/><Relationship Id="rId24" Type="http://schemas.openxmlformats.org/officeDocument/2006/relationships/hyperlink" Target="mailto:zhujohn@google.com" TargetMode="External"/><Relationship Id="rId23" Type="http://schemas.openxmlformats.org/officeDocument/2006/relationships/hyperlink" Target="https://docs.google.com/spreadsheets/d/1iQ0r193sXY989BHCJS6Nd9csCvJYRM4HNcheNImDXNI/edit?resourcekey=0-60qFfDa2wTJsG5MLfY8F5g&amp;gid=1763328259" TargetMode="External"/><Relationship Id="rId26" Type="http://schemas.openxmlformats.org/officeDocument/2006/relationships/hyperlink" Target="mailto:frankbao@google.com" TargetMode="External"/><Relationship Id="rId25" Type="http://schemas.openxmlformats.org/officeDocument/2006/relationships/hyperlink" Target="https://docs.google.com/spreadsheets/d/1XDgcESjwP5qIsCLmZ3K06l45HfVTn-2RPjMdYvmqWTE/edit" TargetMode="External"/><Relationship Id="rId28" Type="http://schemas.openxmlformats.org/officeDocument/2006/relationships/hyperlink" Target="mailto:leontsai@google.com" TargetMode="External"/><Relationship Id="rId27" Type="http://schemas.openxmlformats.org/officeDocument/2006/relationships/hyperlink" Target="https://docs.google.com/spreadsheets/d/1a4dHbPa1EGFMkSv4lOA3TrIDJnv8ZWdkdVqVCMMvKKc/edit?resourcekey=0-fD-rzZUhOm65zw7ZsR03IA&amp;gid=1763328259" TargetMode="External"/><Relationship Id="rId29" Type="http://schemas.openxmlformats.org/officeDocument/2006/relationships/hyperlink" Target="https://docs.google.com/spreadsheets/d/1kQPzDTMa4qjeM7Fq6Dgu8FHXYMBmqJsezdxH0o2k9vc/edit?gid=38555862" TargetMode="External"/><Relationship Id="rId95" Type="http://schemas.openxmlformats.org/officeDocument/2006/relationships/hyperlink" Target="https://docs.google.com/spreadsheets/d/1_2h8qP0YJN9sh6anjkdGhhhQv4zq_esA5eC8oCnLzOo/edit" TargetMode="External"/><Relationship Id="rId94" Type="http://schemas.openxmlformats.org/officeDocument/2006/relationships/hyperlink" Target="https://docs.google.com/spreadsheets/d/1D402WJYGPzrDK46sijoTw4FLkVOr2Ayl/edit" TargetMode="External"/><Relationship Id="rId97" Type="http://schemas.openxmlformats.org/officeDocument/2006/relationships/hyperlink" Target="https://docs.google.com/spreadsheets/d/1swL8-kxzvHHEOGGQP9bqK1GQjFpWNMpEg0thR_MB8lo/edit" TargetMode="External"/><Relationship Id="rId96" Type="http://schemas.openxmlformats.org/officeDocument/2006/relationships/hyperlink" Target="https://docs.google.com/spreadsheets/d/1L1l43mKlAem3o3JEl2U5FPlKr2Qe1lk6VHy1NVJPF3k/edit" TargetMode="External"/><Relationship Id="rId11" Type="http://schemas.openxmlformats.org/officeDocument/2006/relationships/hyperlink" Target="https://docs.google.com/spreadsheets/d/1ofdrSdiF-OleXch0bORX6QpMjRIey_Dg3xZZTa4lssY/edit?resourcekey=0-M_KGZAAIO25x6VUDrvB6zA&amp;gid=413440144" TargetMode="External"/><Relationship Id="rId99" Type="http://schemas.openxmlformats.org/officeDocument/2006/relationships/hyperlink" Target="https://docs.google.com/presentation/d/1O7D_l9qJ2nM3zX3Es7H2w4GPrfRvbTZqHMsa_jiW_Rg/edit" TargetMode="External"/><Relationship Id="rId10" Type="http://schemas.openxmlformats.org/officeDocument/2006/relationships/hyperlink" Target="mailto:ravigodavarkar@google.com" TargetMode="External"/><Relationship Id="rId98" Type="http://schemas.openxmlformats.org/officeDocument/2006/relationships/hyperlink" Target="https://docs.google.com/spreadsheets/d/15nXOMEpwWckRcBWVGmuyNddGfLsSULRMAPOMNQBknFo/edit" TargetMode="External"/><Relationship Id="rId13" Type="http://schemas.openxmlformats.org/officeDocument/2006/relationships/hyperlink" Target="https://docs.google.com/spreadsheets/d/1Ia0j9qp2oVIzVCEa38fJpMyRV1Fa664_abiDl1Cc2ZM/edit?resourcekey=0-emm8pyoUDJ-Lku8wdOjO1A&amp;gid=587091500" TargetMode="External"/><Relationship Id="rId12" Type="http://schemas.openxmlformats.org/officeDocument/2006/relationships/hyperlink" Target="mailto:dianacoker@google.com" TargetMode="External"/><Relationship Id="rId91" Type="http://schemas.openxmlformats.org/officeDocument/2006/relationships/hyperlink" Target="https://docs.google.com/spreadsheets/d/16S5lvUwI2dWXOMw5G6lTcfL1GF7i3dZk7vp-q0aDkhY/edit" TargetMode="External"/><Relationship Id="rId90" Type="http://schemas.openxmlformats.org/officeDocument/2006/relationships/hyperlink" Target="https://docs.google.com/spreadsheets/d/1BIsdIk6tcg57PYgQkty7q8XPuobwy0xlbfJxKJyAmg8/edit" TargetMode="External"/><Relationship Id="rId93" Type="http://schemas.openxmlformats.org/officeDocument/2006/relationships/hyperlink" Target="https://docs.google.com/document/d/1aUvZzPqnWSyHm4ZZnvuCGf9VJI1xSqtXsf0Q3-TOVsw/edit" TargetMode="External"/><Relationship Id="rId92" Type="http://schemas.openxmlformats.org/officeDocument/2006/relationships/hyperlink" Target="https://drive.google.com/drive/folders/1wKOKX2UjBOwMar5cC1Ycl2Tk9cJ7yvX8" TargetMode="External"/><Relationship Id="rId15" Type="http://schemas.openxmlformats.org/officeDocument/2006/relationships/hyperlink" Target="https://drive.google.com/drive/folders/1KARN3kca-Ep6CCmMyAinLjzfIxKKqYsX" TargetMode="External"/><Relationship Id="rId110" Type="http://schemas.openxmlformats.org/officeDocument/2006/relationships/drawing" Target="../drawings/drawing1.xml"/><Relationship Id="rId14" Type="http://schemas.openxmlformats.org/officeDocument/2006/relationships/hyperlink" Target="mailto:zeva@google.com" TargetMode="External"/><Relationship Id="rId17" Type="http://schemas.openxmlformats.org/officeDocument/2006/relationships/hyperlink" Target="mailto:dobbyytlin@fih-foxconn.com" TargetMode="External"/><Relationship Id="rId16" Type="http://schemas.openxmlformats.org/officeDocument/2006/relationships/hyperlink" Target="https://docs.google.com/spreadsheets/d/1ZyZkeq9EmUYdrxT74iMtZMWfoju6ZObyJDYwxSDnWLs/edit?gid=1484223341" TargetMode="External"/><Relationship Id="rId19" Type="http://schemas.openxmlformats.org/officeDocument/2006/relationships/hyperlink" Target="https://docs.google.com/spreadsheets/d/1rG21cKu9ldnWnDTcFFpORLOQMNLEN3qsoIwOvbNL0PM/edit?gid=149797225" TargetMode="External"/><Relationship Id="rId18" Type="http://schemas.openxmlformats.org/officeDocument/2006/relationships/hyperlink" Target="mailto:jian.huang@fih-foxconn.com" TargetMode="External"/><Relationship Id="rId84" Type="http://schemas.openxmlformats.org/officeDocument/2006/relationships/hyperlink" Target="https://docs.google.com/presentation/d/1bJspabVvuJs70rqrUc-HIJMT0CCWKpRXDTcbsAq2jCo/edit" TargetMode="External"/><Relationship Id="rId83" Type="http://schemas.openxmlformats.org/officeDocument/2006/relationships/hyperlink" Target="https://docs.google.com/presentation/d/1qJi2AcexGQ6GicoTAcosNZasSJYhHxv9ZvxGhHpL7zE/edit" TargetMode="External"/><Relationship Id="rId86" Type="http://schemas.openxmlformats.org/officeDocument/2006/relationships/hyperlink" Target="https://docs.google.com/spreadsheets/d/1O5qyACwOZ8rnDs-YlCdhCOxF49TVDL7mfFgdoy0a5AU/edit?usp=share_link" TargetMode="External"/><Relationship Id="rId85" Type="http://schemas.openxmlformats.org/officeDocument/2006/relationships/hyperlink" Target="https://docs.google.com/spreadsheets/d/15A2Pn-XJ5mns-DvpJIoGlpgM4TppTfjTeVb6_vmf48Y/edit" TargetMode="External"/><Relationship Id="rId88" Type="http://schemas.openxmlformats.org/officeDocument/2006/relationships/hyperlink" Target="https://docs.google.com/spreadsheets/d/1EtDFOc2PiIW22tE1gfzkKjxW3wMdULhY_S0cXlCHltA/edit" TargetMode="External"/><Relationship Id="rId87" Type="http://schemas.openxmlformats.org/officeDocument/2006/relationships/hyperlink" Target="https://docs.google.com/spreadsheets/d/1BIsdIk6tcg57PYgQkty7q8XPuobwy0xlbfJxKJyAmg8/edit" TargetMode="External"/><Relationship Id="rId89" Type="http://schemas.openxmlformats.org/officeDocument/2006/relationships/hyperlink" Target="https://docs.google.com/spreadsheets/d/1c-Hu_5JSZw-XFsDEc4cduZRxJi9Y0rpT51DrmgO_XDM/edit" TargetMode="External"/><Relationship Id="rId80" Type="http://schemas.openxmlformats.org/officeDocument/2006/relationships/hyperlink" Target="https://docs.google.com/presentation/d/1m-f1Upy05ecjQ41F0_DWx-eqr0JSYgz3nTDkf30ISHw/edit?resourcekey=0-mICDnZb6s4KUT-Ym7W-ToA" TargetMode="External"/><Relationship Id="rId82" Type="http://schemas.openxmlformats.org/officeDocument/2006/relationships/hyperlink" Target="https://docs.google.com/spreadsheets/d/1Ko1XinpL47yD9dnCn9q7RiIECCZd402qGnFt4D-sxl4/edit" TargetMode="External"/><Relationship Id="rId81" Type="http://schemas.openxmlformats.org/officeDocument/2006/relationships/hyperlink" Target="https://docs.google.com/presentation/d/1mL68c-n4nk0uXz7QBnl-siHi9ArkXXxOTXGaULankvI/edit" TargetMode="External"/><Relationship Id="rId1" Type="http://schemas.openxmlformats.org/officeDocument/2006/relationships/hyperlink" Target="https://docs.google.com/spreadsheets/d/1PvCPdmvbNnfbi4KKOK-Lhy64_bhHqonEvZofI7J47lo/edit" TargetMode="External"/><Relationship Id="rId2" Type="http://schemas.openxmlformats.org/officeDocument/2006/relationships/hyperlink" Target="https://docs.google.com/spreadsheets/d/1KEdhK5bw--ovxO9JAbFnlA9dIfGI5HRhR5krU_CBMmA/edit" TargetMode="External"/><Relationship Id="rId3" Type="http://schemas.openxmlformats.org/officeDocument/2006/relationships/hyperlink" Target="https://docs.google.com/spreadsheets/d/1CYbsiQWRg9xNP4Fyd9TflTBkvjerdQes-sZxYyPdbEk/edit" TargetMode="External"/><Relationship Id="rId4" Type="http://schemas.openxmlformats.org/officeDocument/2006/relationships/hyperlink" Target="https://docs.google.com/spreadsheets/d/1n-X7wWJWZFRxAslFYGZqdBpZ_4x0tLujb3F4OcYbk9w/edit" TargetMode="External"/><Relationship Id="rId9" Type="http://schemas.openxmlformats.org/officeDocument/2006/relationships/hyperlink" Target="https://docs.google.com/spreadsheets/d/1d21IsXdWbUjO2z7Y1PEw8bmbTqq6V8fe_5fnQ4VqjJk/edit?resourcekey=0-RgBTiowB7KN1PYNNASu-kQ&amp;gid=93886256" TargetMode="External"/><Relationship Id="rId5" Type="http://schemas.openxmlformats.org/officeDocument/2006/relationships/hyperlink" Target="https://docs.google.com/spreadsheets/d/1TNxBFDr18LbizHJFsCFJb9QxckHFY-6PvWHzIlp_IS8/edit?resourcekey=0-SuPlzz0b5VGD0w4O9T0ipw&amp;gid=299336447" TargetMode="External"/><Relationship Id="rId6" Type="http://schemas.openxmlformats.org/officeDocument/2006/relationships/hyperlink" Target="mailto:frankbao@google.com" TargetMode="External"/><Relationship Id="rId7" Type="http://schemas.openxmlformats.org/officeDocument/2006/relationships/hyperlink" Target="https://docs.google.com/spreadsheets/d/17UCBdL0vPP9mAv1lv-RuxCxu48pQ0CChhJyip7jCsuI/edit?gid=1691539602" TargetMode="External"/><Relationship Id="rId8" Type="http://schemas.openxmlformats.org/officeDocument/2006/relationships/hyperlink" Target="mailto:zeva@google.com" TargetMode="External"/><Relationship Id="rId73" Type="http://schemas.openxmlformats.org/officeDocument/2006/relationships/hyperlink" Target="https://docs.google.com/spreadsheets/d/1Ko1XinpL47yD9dnCn9q7RiIECCZd402qGnFt4D-sxl4/edit?usp=drive_link" TargetMode="External"/><Relationship Id="rId72" Type="http://schemas.openxmlformats.org/officeDocument/2006/relationships/hyperlink" Target="https://docs.google.com/presentation/d/18RFcmoUytQqVQVbHf4D_Xb3MKwSXDrh79X--WGI4iFw/edit" TargetMode="External"/><Relationship Id="rId75" Type="http://schemas.openxmlformats.org/officeDocument/2006/relationships/hyperlink" Target="https://docs.google.com/spreadsheets/d/1jf7w96sgQBRL-bSMTnyi8hcXnWmJNio-ffJmbOdMerA/edit" TargetMode="External"/><Relationship Id="rId74" Type="http://schemas.openxmlformats.org/officeDocument/2006/relationships/hyperlink" Target="https://docs.google.com/spreadsheets/d/1imF9q6DH5coFckUdOEtcdlXmFfTQf-LCtDn2fsNpsHU/edit" TargetMode="External"/><Relationship Id="rId77" Type="http://schemas.openxmlformats.org/officeDocument/2006/relationships/hyperlink" Target="https://docs.google.com/presentation/d/1PPyx91W2EbewvKV4MEmD7W3c_1yxb2CCK7mSIl8Gzhs/edit" TargetMode="External"/><Relationship Id="rId76" Type="http://schemas.openxmlformats.org/officeDocument/2006/relationships/hyperlink" Target="https://docs.google.com/spreadsheets/d/1Le3h9NNwQu4_4RGCfmPyRAPTPdxpnY2gp1mGrQLxnXA/edit" TargetMode="External"/><Relationship Id="rId79" Type="http://schemas.openxmlformats.org/officeDocument/2006/relationships/hyperlink" Target="https://docs.google.com/presentation/d/15lXoCZvOBBQA9bfIXIy7O7cpAsBlCoa5a6vAP4wHnZc/edit" TargetMode="External"/><Relationship Id="rId78" Type="http://schemas.openxmlformats.org/officeDocument/2006/relationships/hyperlink" Target="https://docs.google.com/presentation/d/17-GiFOF6N6zb7pH2GlbEOGjdlb3ubBLk8xm93zSPFtg/edit" TargetMode="External"/><Relationship Id="rId71" Type="http://schemas.openxmlformats.org/officeDocument/2006/relationships/hyperlink" Target="https://docs.google.com/presentation/d/1R1tCPzkuUvicvjOHmtXPtHK3EMUoNPWM-EEPJg83zGk/edit?resourcekey=0-Rb2UVTWTSktnSM9QYlNKxg" TargetMode="External"/><Relationship Id="rId70" Type="http://schemas.openxmlformats.org/officeDocument/2006/relationships/hyperlink" Target="https://docs.google.com/presentation/d/1wZnL4TeyD9Phm5MtzRG_9Xnh_vzcvSKoq6QSKWPpBqE/edit" TargetMode="External"/><Relationship Id="rId62" Type="http://schemas.openxmlformats.org/officeDocument/2006/relationships/hyperlink" Target="https://drive.google.com/drive/folders/1fL5g6ndNopT_77-xGvCKN6cHz72M7BVn?usp=sharing" TargetMode="External"/><Relationship Id="rId61" Type="http://schemas.openxmlformats.org/officeDocument/2006/relationships/hyperlink" Target="https://docs.google.com/spreadsheets/d/1DAD6bgWgpVRTa13rjJrZEROoFiouUw9qlABEqphaW08/edit" TargetMode="External"/><Relationship Id="rId64" Type="http://schemas.openxmlformats.org/officeDocument/2006/relationships/hyperlink" Target="https://docs.google.com/spreadsheets/d/1tmgYGL6Wu7X2fsmG-mnD3ABWDEHdIjBHsm44hWxGXlY/edit" TargetMode="External"/><Relationship Id="rId63" Type="http://schemas.openxmlformats.org/officeDocument/2006/relationships/hyperlink" Target="https://docs.google.com/spreadsheets/d/1D98jtUsNnYumvjuSzjjorScI1jJZVCNGm50AyegSbfI/edit" TargetMode="External"/><Relationship Id="rId66" Type="http://schemas.openxmlformats.org/officeDocument/2006/relationships/hyperlink" Target="https://docs.google.com/presentation/d/1PpcVNiuCuykVmIgMOFcJ3DwXTO2xReExDGxp8JvtDkk/edit" TargetMode="External"/><Relationship Id="rId65" Type="http://schemas.openxmlformats.org/officeDocument/2006/relationships/hyperlink" Target="https://docs.google.com/presentation/d/1cLnwBf8IabjfoEzvBs9nPhoLKiS-tGvPoe3N7l8ahkw/edit?usp=sharing" TargetMode="External"/><Relationship Id="rId68" Type="http://schemas.openxmlformats.org/officeDocument/2006/relationships/hyperlink" Target="https://docs.google.com/presentation/d/1QjPquVUwXdmI0gNxt0MPFl4hZFAELzVwcXrwKinJ-44/edit" TargetMode="External"/><Relationship Id="rId67" Type="http://schemas.openxmlformats.org/officeDocument/2006/relationships/hyperlink" Target="https://docs.google.com/presentation/d/1iAXEgnFkCQQ0Jf4myyKwb5UKA96oCX4HCs-rAi1s22Y/edit?resourcekey=0-6S9vnH4JXDm_VRH1HE7Idg" TargetMode="External"/><Relationship Id="rId60" Type="http://schemas.openxmlformats.org/officeDocument/2006/relationships/hyperlink" Target="https://docs.google.com/spreadsheets/d/1KWg_GkQhh5peKBUF28OC4lISUBKOLfCxg1lbG5kbc6w/edit" TargetMode="External"/><Relationship Id="rId69" Type="http://schemas.openxmlformats.org/officeDocument/2006/relationships/hyperlink" Target="https://docs.google.com/spreadsheets/d/1vdyR1T8nWPI3_H7Mg7jvpu5UdZ8ItdXHbZ4u2HFKOqc/edit?usp=share_link" TargetMode="External"/><Relationship Id="rId51" Type="http://schemas.openxmlformats.org/officeDocument/2006/relationships/hyperlink" Target="https://docs.google.com/spreadsheets/d/1azg9xXuyPRLjytfYiXSSYF_WFwkkCExy_PE9BQgsSP0/edit?gid=1763328259" TargetMode="External"/><Relationship Id="rId50" Type="http://schemas.openxmlformats.org/officeDocument/2006/relationships/hyperlink" Target="mailto:leontsai@google.com" TargetMode="External"/><Relationship Id="rId53" Type="http://schemas.openxmlformats.org/officeDocument/2006/relationships/hyperlink" Target="mailto:leontsai@google.com" TargetMode="External"/><Relationship Id="rId52" Type="http://schemas.openxmlformats.org/officeDocument/2006/relationships/hyperlink" Target="https://docs.google.com/spreadsheets/d/1JRwWiLHMlPaZMTdhKR1zV4WDHl50XYA2nBj23GnwUsw/edit?gid=1763328259" TargetMode="External"/><Relationship Id="rId55" Type="http://schemas.openxmlformats.org/officeDocument/2006/relationships/hyperlink" Target="https://docs.google.com/spreadsheets/d/1kWVvpeCXYuzVACwo3vkDP59OEWw6aW_SRkITc1mv-Io/edit" TargetMode="External"/><Relationship Id="rId54" Type="http://schemas.openxmlformats.org/officeDocument/2006/relationships/hyperlink" Target="https://docs.google.com/spreadsheets/d/1yBReDxusJdPwW32VEgLbFlB1Iel2Fds3VY7zMUhR41o/edit?resourcekey=0-t2lB2RJbFodAt7DT_k81eg" TargetMode="External"/><Relationship Id="rId57" Type="http://schemas.openxmlformats.org/officeDocument/2006/relationships/hyperlink" Target="https://docs.google.com/spreadsheets/d/1_2h8qP0YJN9sh6anjkdGhhhQv4zq_esA5eC8oCnLzOo/edit" TargetMode="External"/><Relationship Id="rId56" Type="http://schemas.openxmlformats.org/officeDocument/2006/relationships/hyperlink" Target="https://docs.google.com/spreadsheets/d/1u8NpxCdVwqLaoZxLHckJRNmkLpFk2T4o8AYtJzoIPS4/edit?resourcekey=0-su3ggUmhboHgV-5mClLmvg" TargetMode="External"/><Relationship Id="rId59" Type="http://schemas.openxmlformats.org/officeDocument/2006/relationships/hyperlink" Target="https://docs.google.com/spreadsheets/d/1caVEi7UGZ3zYwswpFEXgYqeMZn036rbXaLrNIqTHcqw/edit" TargetMode="External"/><Relationship Id="rId58" Type="http://schemas.openxmlformats.org/officeDocument/2006/relationships/hyperlink" Target="https://drive.google.com/drive/folders/1U_GD4OhAV3wARVWqqe8P6vhFGcbjX68w"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HeroKLChen@fih-foxconn.com" TargetMode="External"/><Relationship Id="rId2" Type="http://schemas.openxmlformats.org/officeDocument/2006/relationships/hyperlink" Target="mailto:HeroKLChen@fih-foxconn.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vmlDrawing" Target="../drawings/vmlDrawing1.vml"/><Relationship Id="rId10" Type="http://schemas.openxmlformats.org/officeDocument/2006/relationships/drawing" Target="../drawings/drawing3.xml"/><Relationship Id="rId1" Type="http://schemas.openxmlformats.org/officeDocument/2006/relationships/comments" Target="../comments1.xml"/><Relationship Id="rId2" Type="http://schemas.openxmlformats.org/officeDocument/2006/relationships/hyperlink" Target="mailto:canny.hm.zhou@fih-foxconn.com" TargetMode="External"/><Relationship Id="rId3" Type="http://schemas.openxmlformats.org/officeDocument/2006/relationships/hyperlink" Target="mailto:canny.hm.zhou@fih-foxconn.com" TargetMode="External"/><Relationship Id="rId4" Type="http://schemas.openxmlformats.org/officeDocument/2006/relationships/hyperlink" Target="mailto:tamttt@fih-foxconn.com" TargetMode="External"/><Relationship Id="rId9" Type="http://schemas.openxmlformats.org/officeDocument/2006/relationships/hyperlink" Target="mailto:ikecyhsieh@fih-foxconn.com" TargetMode="External"/><Relationship Id="rId5" Type="http://schemas.openxmlformats.org/officeDocument/2006/relationships/hyperlink" Target="mailto:tamttt@fih-foxconn.com" TargetMode="External"/><Relationship Id="rId6" Type="http://schemas.openxmlformats.org/officeDocument/2006/relationships/hyperlink" Target="mailto:xiao-ran.huang@fih-foxconn.com" TargetMode="External"/><Relationship Id="rId7" Type="http://schemas.openxmlformats.org/officeDocument/2006/relationships/hyperlink" Target="mailto:manhvd@fih-foxconn.com" TargetMode="External"/><Relationship Id="rId8" Type="http://schemas.openxmlformats.org/officeDocument/2006/relationships/hyperlink" Target="mailto:jim.bai@fih-foxconn.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presentation/d/17-GiFOF6N6zb7pH2GlbEOGjdlb3ubBLk8xm93zSPFtg/edit"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1" Type="http://schemas.openxmlformats.org/officeDocument/2006/relationships/hyperlink" Target="https://drive.google.com/file/d/12NULT4nvUb6ZhaJVC9_M1bqDpLLXBd0k/view?usp=drive_link" TargetMode="External"/><Relationship Id="rId30" Type="http://schemas.openxmlformats.org/officeDocument/2006/relationships/hyperlink" Target="https://drive.google.com/file/d/1rdMmsdwzdywAJCn2v2TL0obfAnlp3WTS/view?usp=drive_link" TargetMode="External"/><Relationship Id="rId32" Type="http://schemas.openxmlformats.org/officeDocument/2006/relationships/drawing" Target="../drawings/drawing6.xml"/><Relationship Id="rId20" Type="http://schemas.openxmlformats.org/officeDocument/2006/relationships/hyperlink" Target="https://drive.google.com/file/d/1_H2c1vO4oi_263o9dczVlaL9C2mxXPxe/view?usp=sharing" TargetMode="External"/><Relationship Id="rId22" Type="http://schemas.openxmlformats.org/officeDocument/2006/relationships/hyperlink" Target="https://drive.google.com/file/d/1Tu5TTnPyzt0FJgGy0PURC3z7TJKWeu0n/view?usp=sharing" TargetMode="External"/><Relationship Id="rId21" Type="http://schemas.openxmlformats.org/officeDocument/2006/relationships/hyperlink" Target="https://drive.google.com/file/d/1xhAUEzfNzj7vImL5TG8em7gt6Q_LSGMM/view?usp=sharing" TargetMode="External"/><Relationship Id="rId24" Type="http://schemas.openxmlformats.org/officeDocument/2006/relationships/hyperlink" Target="https://drive.google.com/file/d/1xSl3Qdp2ZawouZrGkSRARW1QI5BoQmha/view?usp=drive_link" TargetMode="External"/><Relationship Id="rId23" Type="http://schemas.openxmlformats.org/officeDocument/2006/relationships/hyperlink" Target="https://drive.google.com/file/d/1xswq66AIna0PEt_XThBCa7Qabi1zpXSq/view?usp=sharing" TargetMode="External"/><Relationship Id="rId26" Type="http://schemas.openxmlformats.org/officeDocument/2006/relationships/hyperlink" Target="https://drive.google.com/file/d/1rdMmsdwzdywAJCn2v2TL0obfAnlp3WTS/view?usp=drive_link" TargetMode="External"/><Relationship Id="rId25" Type="http://schemas.openxmlformats.org/officeDocument/2006/relationships/hyperlink" Target="https://drive.google.com/file/d/1MMSeACcApXygRE71XbDUOZjwtSK3U_oY/view?usp=drive_link&amp;resourcekey=0-H1m8NlzBxqut0yrrASPfDQ" TargetMode="External"/><Relationship Id="rId28" Type="http://schemas.openxmlformats.org/officeDocument/2006/relationships/hyperlink" Target="https://drive.google.com/file/d/1xSl3Qdp2ZawouZrGkSRARW1QI5BoQmha/view?usp=drive_link" TargetMode="External"/><Relationship Id="rId27" Type="http://schemas.openxmlformats.org/officeDocument/2006/relationships/hyperlink" Target="https://drive.google.com/file/d/1mkZWYzFGr9ylT2fefyuF-QzeZPPAfqER/view?usp=drive_link&amp;resourcekey=0-gQ7S9veBIhLLDBe0q0Z70w" TargetMode="External"/><Relationship Id="rId29" Type="http://schemas.openxmlformats.org/officeDocument/2006/relationships/hyperlink" Target="https://drive.google.com/file/d/1pQq14F2wmhMPRx-FkP-WwMoEu38gQubn/view?usp=drive_link" TargetMode="External"/><Relationship Id="rId11" Type="http://schemas.openxmlformats.org/officeDocument/2006/relationships/hyperlink" Target="https://drive.google.com/file/d/1V94appS73vDLQ1lLpnAKms-OfR5FKORQ/view?usp=drive_link" TargetMode="External"/><Relationship Id="rId10" Type="http://schemas.openxmlformats.org/officeDocument/2006/relationships/hyperlink" Target="https://drive.google.com/file/d/1V94appS73vDLQ1lLpnAKms-OfR5FKORQ/view?usp=drive_link" TargetMode="External"/><Relationship Id="rId13" Type="http://schemas.openxmlformats.org/officeDocument/2006/relationships/hyperlink" Target="https://drive.google.com/file/d/1KbZtabnpCZGXiBhZYlvy-GbiTkGsRjz1/view?usp=sharing" TargetMode="External"/><Relationship Id="rId12" Type="http://schemas.openxmlformats.org/officeDocument/2006/relationships/hyperlink" Target="https://drive.google.com/file/d/1V94appS73vDLQ1lLpnAKms-OfR5FKORQ/view?usp=drive_link" TargetMode="External"/><Relationship Id="rId15" Type="http://schemas.openxmlformats.org/officeDocument/2006/relationships/hyperlink" Target="https://drive.google.com/file/d/1Si3H2TKG2GE6DbRNwh0vgN2XKAg4V7iN/view?usp=sharing" TargetMode="External"/><Relationship Id="rId14" Type="http://schemas.openxmlformats.org/officeDocument/2006/relationships/hyperlink" Target="https://drive.google.com/file/d/1lO3LiIfO-5sA2g1voQGRcmm2opjIwDsD/view?usp=sharing" TargetMode="External"/><Relationship Id="rId17" Type="http://schemas.openxmlformats.org/officeDocument/2006/relationships/hyperlink" Target="https://drive.google.com/file/d/1eI9lENLwH6tO2HOdm08CxPvLOgtnU_CN/view?usp=sharing" TargetMode="External"/><Relationship Id="rId16" Type="http://schemas.openxmlformats.org/officeDocument/2006/relationships/hyperlink" Target="https://drive.google.com/file/d/19rBdG1GjxnmcKLS4ILI2xRokCLQr9QFg/view?usp=sharing" TargetMode="External"/><Relationship Id="rId19" Type="http://schemas.openxmlformats.org/officeDocument/2006/relationships/hyperlink" Target="https://drive.google.com/file/d/1TojimdyUXiS-QP3SZyfmxPcMOKN8CwFh/view?usp=sharing" TargetMode="External"/><Relationship Id="rId18" Type="http://schemas.openxmlformats.org/officeDocument/2006/relationships/hyperlink" Target="https://drive.google.com/file/d/1XV0QpQ04onvGKypIRKMJMcgQ4_qKjJAc/view?usp=sharing" TargetMode="External"/><Relationship Id="rId1" Type="http://schemas.openxmlformats.org/officeDocument/2006/relationships/hyperlink" Target="https://drive.google.com/file/d/1Gi93_7-1vHLELPdPvruJYQFf_jjEeAE6/view?usp=drive_link&amp;resourcekey=0-DWrh2VOGLeCU5yr9QGrKqQ" TargetMode="External"/><Relationship Id="rId2" Type="http://schemas.openxmlformats.org/officeDocument/2006/relationships/hyperlink" Target="https://drive.google.com/file/d/1Gi93_7-1vHLELPdPvruJYQFf_jjEeAE6/view?usp=drive_link&amp;resourcekey=0-DWrh2VOGLeCU5yr9QGrKqQ" TargetMode="External"/><Relationship Id="rId3" Type="http://schemas.openxmlformats.org/officeDocument/2006/relationships/hyperlink" Target="https://drive.google.com/file/d/1Gi93_7-1vHLELPdPvruJYQFf_jjEeAE6/view?usp=drive_link&amp;resourcekey=0-DWrh2VOGLeCU5yr9QGrKqQ" TargetMode="External"/><Relationship Id="rId4" Type="http://schemas.openxmlformats.org/officeDocument/2006/relationships/hyperlink" Target="https://drive.google.com/file/d/1Gi93_7-1vHLELPdPvruJYQFf_jjEeAE6/view?usp=drive_link&amp;resourcekey=0-DWrh2VOGLeCU5yr9QGrKqQ" TargetMode="External"/><Relationship Id="rId9" Type="http://schemas.openxmlformats.org/officeDocument/2006/relationships/hyperlink" Target="https://drive.google.com/file/d/1V94appS73vDLQ1lLpnAKms-OfR5FKORQ/view?usp=drive_link" TargetMode="External"/><Relationship Id="rId5" Type="http://schemas.openxmlformats.org/officeDocument/2006/relationships/hyperlink" Target="https://drive.google.com/file/d/1Gi93_7-1vHLELPdPvruJYQFf_jjEeAE6/view?usp=drive_link&amp;resourcekey=0-DWrh2VOGLeCU5yr9QGrKqQ" TargetMode="External"/><Relationship Id="rId6" Type="http://schemas.openxmlformats.org/officeDocument/2006/relationships/hyperlink" Target="https://drive.google.com/file/d/1Gi93_7-1vHLELPdPvruJYQFf_jjEeAE6/view?usp=drive_link&amp;resourcekey=0-DWrh2VOGLeCU5yr9QGrKqQ" TargetMode="External"/><Relationship Id="rId7" Type="http://schemas.openxmlformats.org/officeDocument/2006/relationships/hyperlink" Target="https://drive.google.com/file/d/1Gi93_7-1vHLELPdPvruJYQFf_jjEeAE6/view?usp=drive_link&amp;resourcekey=0-DWrh2VOGLeCU5yr9QGrKqQ" TargetMode="External"/><Relationship Id="rId8" Type="http://schemas.openxmlformats.org/officeDocument/2006/relationships/hyperlink" Target="https://drive.google.com/file/d/1Gi93_7-1vHLELPdPvruJYQFf_jjEeAE6/view?usp=drive_link&amp;resourcekey=0-DWrh2VOGLeCU5yr9QGrKqQ"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2.xml"/><Relationship Id="rId3"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40" Type="http://schemas.openxmlformats.org/officeDocument/2006/relationships/hyperlink" Target="https://drive.google.com/file/d/1YcVp9Ib4_ca_JtwPLJlxGmNZIgM9G2fr/view?usp=drive_link" TargetMode="External"/><Relationship Id="rId42" Type="http://schemas.openxmlformats.org/officeDocument/2006/relationships/hyperlink" Target="https://drive.google.com/drive/folders/1dabO3_bF6zM59c8KLhM7Q-3XOkEQMOD3" TargetMode="External"/><Relationship Id="rId41" Type="http://schemas.openxmlformats.org/officeDocument/2006/relationships/hyperlink" Target="https://drive.google.com/drive/folders/13ZChRWo1Rnhxr1EhQe_MP4o0JO0ITCzS?usp=drive_link" TargetMode="External"/><Relationship Id="rId44" Type="http://schemas.openxmlformats.org/officeDocument/2006/relationships/hyperlink" Target="https://drive.google.com/drive/folders/1e-giw7kqBGYDftgz1m2W0VTe051VfaHG?usp=drive_link" TargetMode="External"/><Relationship Id="rId43" Type="http://schemas.openxmlformats.org/officeDocument/2006/relationships/hyperlink" Target="https://drive.google.com/file/d/1ORRYxdK_fcsq8UyqzSOU4o63O5a9RC9a/view?usp=drive_link" TargetMode="External"/><Relationship Id="rId46" Type="http://schemas.openxmlformats.org/officeDocument/2006/relationships/hyperlink" Target="https://drive.google.com/file/d/188013OROc9U1LmTXjROrjzGUiYtfDGOM/view?usp=sharing" TargetMode="External"/><Relationship Id="rId45" Type="http://schemas.openxmlformats.org/officeDocument/2006/relationships/hyperlink" Target="https://drive.google.com/drive/folders/1n43iWEAxAGfaBq-Gq_-2rFm8adMeCxqu" TargetMode="External"/><Relationship Id="rId107" Type="http://schemas.openxmlformats.org/officeDocument/2006/relationships/hyperlink" Target="https://drive.google.com/file/d/163xUXkBi1Ri0WOcNexd4FMbX3L6k81p9/view?usp=drive_link" TargetMode="External"/><Relationship Id="rId106" Type="http://schemas.openxmlformats.org/officeDocument/2006/relationships/hyperlink" Target="https://drive.google.com/drive/folders/1EpGv80hvW69k7RADTr-P8enCudlzg_Sg" TargetMode="External"/><Relationship Id="rId105" Type="http://schemas.openxmlformats.org/officeDocument/2006/relationships/hyperlink" Target="https://drive.google.com/drive/folders/1-mqFyqzPTq6qvmCbyWiQKgBb3UJe2tpN" TargetMode="External"/><Relationship Id="rId104" Type="http://schemas.openxmlformats.org/officeDocument/2006/relationships/hyperlink" Target="https://drive.google.com/drive/folders/1kNVPHF9-qf7JF_BMbGM-y3n02QuktCEt?usp=drive_link" TargetMode="External"/><Relationship Id="rId109" Type="http://schemas.openxmlformats.org/officeDocument/2006/relationships/hyperlink" Target="https://drive.google.com/drive/folders/1EpGv80hvW69k7RADTr-P8enCudlzg_Sg" TargetMode="External"/><Relationship Id="rId108" Type="http://schemas.openxmlformats.org/officeDocument/2006/relationships/hyperlink" Target="https://drive.google.com/drive/folders/1WgMdx5N2kwuMskJ10CxblnOkTJXtXVlh?usp=drive_link" TargetMode="External"/><Relationship Id="rId48" Type="http://schemas.openxmlformats.org/officeDocument/2006/relationships/hyperlink" Target="https://drive.google.com/file/d/1KwbwAD7njou9iD8nX9f8oFFj_9ZkUMXu/view?usp=sharing" TargetMode="External"/><Relationship Id="rId47" Type="http://schemas.openxmlformats.org/officeDocument/2006/relationships/hyperlink" Target="https://drive.google.com/file/d/1KbZtabnpCZGXiBhZYlvy-GbiTkGsRjz1/view?usp=sharing" TargetMode="External"/><Relationship Id="rId49" Type="http://schemas.openxmlformats.org/officeDocument/2006/relationships/hyperlink" Target="https://drive.google.com/file/d/1lO3LiIfO-5sA2g1voQGRcmm2opjIwDsD/view?usp=sharing" TargetMode="External"/><Relationship Id="rId103" Type="http://schemas.openxmlformats.org/officeDocument/2006/relationships/hyperlink" Target="https://drive.google.com/file/d/1qatB6jfaW0OzEHvrONcRIx0-V1RXK1ct/view?usp=drive_link" TargetMode="External"/><Relationship Id="rId102" Type="http://schemas.openxmlformats.org/officeDocument/2006/relationships/hyperlink" Target="https://drive.google.com/drive/folders/12bwO4tnHJ8zHSEdADM5sNFF6lFTN-E2S" TargetMode="External"/><Relationship Id="rId101" Type="http://schemas.openxmlformats.org/officeDocument/2006/relationships/hyperlink" Target="https://drive.google.com/drive/folders/1dsQfXH_b5SBD50uZL8McRR8t8OCGbh5C?usp=drive_link" TargetMode="External"/><Relationship Id="rId100" Type="http://schemas.openxmlformats.org/officeDocument/2006/relationships/hyperlink" Target="https://drive.google.com/file/d/1a4ItQ41CmCqBMe6rSL0lcaL0aMdqcCBe/view?usp=drive_link" TargetMode="External"/><Relationship Id="rId31" Type="http://schemas.openxmlformats.org/officeDocument/2006/relationships/hyperlink" Target="https://drive.google.com/drive/folders/1FWCCI4R1enxV7iOVTihZfPx-dtGE9kgl" TargetMode="External"/><Relationship Id="rId30" Type="http://schemas.openxmlformats.org/officeDocument/2006/relationships/hyperlink" Target="https://drive.google.com/drive/folders/1yKzalv8yu2_l8nlM6wfpzzjMhYonenE2?usp=drive_link" TargetMode="External"/><Relationship Id="rId33" Type="http://schemas.openxmlformats.org/officeDocument/2006/relationships/hyperlink" Target="https://drive.google.com/drive/folders/14TCqhdDFNPpAvTVNiDzXPGVytU-IVcHY?usp=drive_link" TargetMode="External"/><Relationship Id="rId32" Type="http://schemas.openxmlformats.org/officeDocument/2006/relationships/hyperlink" Target="https://drive.google.com/file/d/1eRcEUV0Dbaptkw7Dyt_F8cnmZpnmm2Wo/view?usp=drive_link" TargetMode="External"/><Relationship Id="rId35" Type="http://schemas.openxmlformats.org/officeDocument/2006/relationships/hyperlink" Target="https://drive.google.com/file/d/1OdBSwjFTXkpMYFmUa9BNvxu5a0N5HZt3/view?usp=drive_link" TargetMode="External"/><Relationship Id="rId34" Type="http://schemas.openxmlformats.org/officeDocument/2006/relationships/hyperlink" Target="https://drive.google.com/drive/folders/1iHfsKsK8w1_StK4ElSDs2xsMyQEZPYZA" TargetMode="External"/><Relationship Id="rId37" Type="http://schemas.openxmlformats.org/officeDocument/2006/relationships/hyperlink" Target="https://drive.google.com/drive/folders/1MPozmXGBf7B0yHGMRDv-Q1Krz32BpHGd" TargetMode="External"/><Relationship Id="rId36" Type="http://schemas.openxmlformats.org/officeDocument/2006/relationships/hyperlink" Target="https://drive.google.com/drive/folders/1Ms7S3UkkK4op42iowJcNeAVDuRFr01P6?usp=drive_link" TargetMode="External"/><Relationship Id="rId39" Type="http://schemas.openxmlformats.org/officeDocument/2006/relationships/hyperlink" Target="https://drive.google.com/file/d/1PYCzThlqhMgtUVVQybzrBi-6ds59htos/view?usp=sharing" TargetMode="External"/><Relationship Id="rId38" Type="http://schemas.openxmlformats.org/officeDocument/2006/relationships/hyperlink" Target="https://drive.google.com/file/d/1rsHiIVsuPqJLMl56-MxJDgN1cqtiLZLG/view?usp=sharing" TargetMode="External"/><Relationship Id="rId20" Type="http://schemas.openxmlformats.org/officeDocument/2006/relationships/hyperlink" Target="https://drive.google.com/file/d/1Zr1yBELGto0KymMKVWzAMfAzhLFWLhuJ/view?usp=drive_link" TargetMode="External"/><Relationship Id="rId22" Type="http://schemas.openxmlformats.org/officeDocument/2006/relationships/hyperlink" Target="https://drive.google.com/file/d/1LmBy2dNOflqJLUhXKWasFwSR1eNI73MR/view?usp=drive_link" TargetMode="External"/><Relationship Id="rId21" Type="http://schemas.openxmlformats.org/officeDocument/2006/relationships/hyperlink" Target="https://drive.google.com/file/d/1LmBy2dNOflqJLUhXKWasFwSR1eNI73MR/view?usp=drive_link" TargetMode="External"/><Relationship Id="rId24" Type="http://schemas.openxmlformats.org/officeDocument/2006/relationships/hyperlink" Target="https://drive.google.com/drive/folders/1Cstd75TfDftiEmZxKyfOn5ELW-qF9Eml?usp=drive_link" TargetMode="External"/><Relationship Id="rId23" Type="http://schemas.openxmlformats.org/officeDocument/2006/relationships/hyperlink" Target="https://drive.google.com/file/d/1TKvkVL4o7bqj-pmn7xcl1twcot7d8QX9/view?usp=drive_link" TargetMode="External"/><Relationship Id="rId129" Type="http://schemas.openxmlformats.org/officeDocument/2006/relationships/hyperlink" Target="https://drive.google.com/drive/folders/1FYDOGWgtIeQ7cSXBnmjYJRb_VYR3STlj?usp=drive_link" TargetMode="External"/><Relationship Id="rId128" Type="http://schemas.openxmlformats.org/officeDocument/2006/relationships/hyperlink" Target="https://drive.google.com/file/d/1q5dXHeUTPdULpyJtdlcg3tiwsktVO4Q9/view?usp=drive_link" TargetMode="External"/><Relationship Id="rId127" Type="http://schemas.openxmlformats.org/officeDocument/2006/relationships/hyperlink" Target="https://drive.google.com/drive/folders/1KS09yNv4wdS0oQe0KA_6l9dLlChMpRXk" TargetMode="External"/><Relationship Id="rId126" Type="http://schemas.openxmlformats.org/officeDocument/2006/relationships/hyperlink" Target="https://drive.google.com/drive/folders/1XAgT_1Q-UGaj5vk41LonvDBdIuLHGNQp?usp=drive_link" TargetMode="External"/><Relationship Id="rId26" Type="http://schemas.openxmlformats.org/officeDocument/2006/relationships/hyperlink" Target="https://drive.google.com/file/d/1dORkbpcaitHtguazocp1aO8PODUSoHVQ/view?usp=drive_link" TargetMode="External"/><Relationship Id="rId121" Type="http://schemas.openxmlformats.org/officeDocument/2006/relationships/hyperlink" Target="https://drive.google.com/drive/folders/1uKy3Paql_DY35oSWYdydnsAaaUjma4FY" TargetMode="External"/><Relationship Id="rId25" Type="http://schemas.openxmlformats.org/officeDocument/2006/relationships/hyperlink" Target="https://drive.google.com/drive/folders/1ikDGY46AaY6tKHKF11wxLLME0Zzx2zsF" TargetMode="External"/><Relationship Id="rId120" Type="http://schemas.openxmlformats.org/officeDocument/2006/relationships/hyperlink" Target="https://drive.google.com/drive/folders/1a_yflbJ7n_pXHzBwUA1XfYILpRPruCzy?usp=drive_link" TargetMode="External"/><Relationship Id="rId28" Type="http://schemas.openxmlformats.org/officeDocument/2006/relationships/hyperlink" Target="https://drive.google.com/drive/folders/1mEo1Y6nPeE9p0RSm19-c25n-ROiyi0Yi" TargetMode="External"/><Relationship Id="rId27" Type="http://schemas.openxmlformats.org/officeDocument/2006/relationships/hyperlink" Target="https://drive.google.com/drive/folders/1uMCkK7NhzpinUnhI9dh_1b0TrQQKfHTl?usp=drive_link" TargetMode="External"/><Relationship Id="rId125" Type="http://schemas.openxmlformats.org/officeDocument/2006/relationships/hyperlink" Target="https://drive.google.com/file/d/1Goa7TMpstseMrrhgVG70nCzltEczgtMI/view?usp=drive_link" TargetMode="External"/><Relationship Id="rId29" Type="http://schemas.openxmlformats.org/officeDocument/2006/relationships/hyperlink" Target="https://drive.google.com/file/d/1_F7XcdaOxnuwrF2n0TpjxabM9lw5KCNk/view?usp=drive_link" TargetMode="External"/><Relationship Id="rId124" Type="http://schemas.openxmlformats.org/officeDocument/2006/relationships/hyperlink" Target="https://drive.google.com/drive/folders/1-YS6QFdFrVG4Hfsf7HsXZsI3NqH5Ye5R" TargetMode="External"/><Relationship Id="rId123" Type="http://schemas.openxmlformats.org/officeDocument/2006/relationships/hyperlink" Target="https://drive.google.com/drive/folders/1XpzWVaDtYKBm6HTQrZfSi6IFv_GA6EV5?usp=drive_link" TargetMode="External"/><Relationship Id="rId122" Type="http://schemas.openxmlformats.org/officeDocument/2006/relationships/hyperlink" Target="https://drive.google.com/file/d/1Jz7jLk7RKcujIXfwGygW6LBsX4-zOjRY/view?usp=drive_link" TargetMode="External"/><Relationship Id="rId95" Type="http://schemas.openxmlformats.org/officeDocument/2006/relationships/hyperlink" Target="https://drive.google.com/file/d/1rsHiIVsuPqJLMl56-MxJDgN1cqtiLZLG/view?usp=sharing" TargetMode="External"/><Relationship Id="rId94" Type="http://schemas.openxmlformats.org/officeDocument/2006/relationships/hyperlink" Target="https://drive.google.com/drive/folders/1MQcUJGdzGGTJ-c2Py5MpmbFap5WNQ_sD" TargetMode="External"/><Relationship Id="rId97" Type="http://schemas.openxmlformats.org/officeDocument/2006/relationships/hyperlink" Target="https://drive.google.com/file/d/1y86C9totN04hUd-cqXljjfHZDDl7Tqvn/view?usp=drive_link" TargetMode="External"/><Relationship Id="rId96" Type="http://schemas.openxmlformats.org/officeDocument/2006/relationships/hyperlink" Target="https://drive.google.com/file/d/1PYCzThlqhMgtUVVQybzrBi-6ds59htos/view?usp=sharing" TargetMode="External"/><Relationship Id="rId11" Type="http://schemas.openxmlformats.org/officeDocument/2006/relationships/hyperlink" Target="https://drive.google.com/file/d/1LmBy2dNOflqJLUhXKWasFwSR1eNI73MR/view?usp=drive_link" TargetMode="External"/><Relationship Id="rId99" Type="http://schemas.openxmlformats.org/officeDocument/2006/relationships/hyperlink" Target="https://drive.google.com/drive/folders/1wblggyQExt4ake335KFfKo94GhJjfaJh" TargetMode="External"/><Relationship Id="rId10" Type="http://schemas.openxmlformats.org/officeDocument/2006/relationships/hyperlink" Target="https://drive.google.com/file/d/1LmBy2dNOflqJLUhXKWasFwSR1eNI73MR/view?usp=drive_link" TargetMode="External"/><Relationship Id="rId98" Type="http://schemas.openxmlformats.org/officeDocument/2006/relationships/hyperlink" Target="https://drive.google.com/drive/folders/1RPcLTzlE7Kfas5-tobLXspuLkDNW_HVV?usp=drive_link" TargetMode="External"/><Relationship Id="rId13" Type="http://schemas.openxmlformats.org/officeDocument/2006/relationships/hyperlink" Target="https://drive.google.com/file/d/1Gi93_7-1vHLELPdPvruJYQFf_jjEeAE6/view?usp=drive_link&amp;resourcekey=0-DWrh2VOGLeCU5yr9QGrKqQ" TargetMode="External"/><Relationship Id="rId12" Type="http://schemas.openxmlformats.org/officeDocument/2006/relationships/hyperlink" Target="https://drive.google.com/file/d/1LmBy2dNOflqJLUhXKWasFwSR1eNI73MR/view?usp=drive_link" TargetMode="External"/><Relationship Id="rId91" Type="http://schemas.openxmlformats.org/officeDocument/2006/relationships/hyperlink" Target="https://drive.google.com/drive/folders/18qeBvOn06OMOiz40MBF_ZI14kzSqOZ0d" TargetMode="External"/><Relationship Id="rId90" Type="http://schemas.openxmlformats.org/officeDocument/2006/relationships/hyperlink" Target="https://drive.google.com/drive/folders/1Tcb8PtBRfsunfx3oH8KRG6xL07IY0QaG?usp=drive_link" TargetMode="External"/><Relationship Id="rId93" Type="http://schemas.openxmlformats.org/officeDocument/2006/relationships/hyperlink" Target="https://drive.google.com/drive/folders/1XAnGrjc0znz6f46tzq8p_P58hvsTT0Z5?usp=drive_link" TargetMode="External"/><Relationship Id="rId92" Type="http://schemas.openxmlformats.org/officeDocument/2006/relationships/hyperlink" Target="https://drive.google.com/file/d/1nUEwcg8wQyem8yiUYRCN68Z-O-Xs1mnf/view?usp=drive_link" TargetMode="External"/><Relationship Id="rId118" Type="http://schemas.openxmlformats.org/officeDocument/2006/relationships/hyperlink" Target="https://drive.google.com/drive/folders/1r1Sn94fIQXsgDTS68LOQSqp73wbAK5Hp" TargetMode="External"/><Relationship Id="rId117" Type="http://schemas.openxmlformats.org/officeDocument/2006/relationships/hyperlink" Target="https://drive.google.com/drive/folders/1EEMCVwhy2JkWokAyZNBN4zCbwXhCQmQC?usp=drive_link" TargetMode="External"/><Relationship Id="rId116" Type="http://schemas.openxmlformats.org/officeDocument/2006/relationships/hyperlink" Target="https://drive.google.com/file/d/1q5soMwcFGUG_X7ziMcJRmX6QUPfgezyR/view?usp=drive_link" TargetMode="External"/><Relationship Id="rId115" Type="http://schemas.openxmlformats.org/officeDocument/2006/relationships/hyperlink" Target="https://drive.google.com/drive/folders/1j8qZQwootFKR9DPJpkmTkqgsio4cdkXU" TargetMode="External"/><Relationship Id="rId119" Type="http://schemas.openxmlformats.org/officeDocument/2006/relationships/hyperlink" Target="https://drive.google.com/file/d/1Jmde-12IKXSfkNDTB0yI9pzHfv67X5fF/view?usp=drive_link" TargetMode="External"/><Relationship Id="rId15" Type="http://schemas.openxmlformats.org/officeDocument/2006/relationships/hyperlink" Target="https://drive.google.com/file/d/1Gi93_7-1vHLELPdPvruJYQFf_jjEeAE6/view?usp=drive_link&amp;resourcekey=0-DWrh2VOGLeCU5yr9QGrKqQ" TargetMode="External"/><Relationship Id="rId110" Type="http://schemas.openxmlformats.org/officeDocument/2006/relationships/hyperlink" Target="https://drive.google.com/file/d/16c6KozDNLtr3uwHDDpzPpQtvvXWLmtF0/view?usp=drive_link" TargetMode="External"/><Relationship Id="rId14" Type="http://schemas.openxmlformats.org/officeDocument/2006/relationships/hyperlink" Target="https://drive.google.com/file/d/1Gi93_7-1vHLELPdPvruJYQFf_jjEeAE6/view?usp=drive_link&amp;resourcekey=0-DWrh2VOGLeCU5yr9QGrKqQ" TargetMode="External"/><Relationship Id="rId17" Type="http://schemas.openxmlformats.org/officeDocument/2006/relationships/hyperlink" Target="https://drive.google.com/file/d/1Zr1yBELGto0KymMKVWzAMfAzhLFWLhuJ/view?usp=drive_link" TargetMode="External"/><Relationship Id="rId16" Type="http://schemas.openxmlformats.org/officeDocument/2006/relationships/hyperlink" Target="https://drive.google.com/file/d/1Gi93_7-1vHLELPdPvruJYQFf_jjEeAE6/view?usp=drive_link&amp;resourcekey=0-DWrh2VOGLeCU5yr9QGrKqQ" TargetMode="External"/><Relationship Id="rId19" Type="http://schemas.openxmlformats.org/officeDocument/2006/relationships/hyperlink" Target="https://drive.google.com/file/d/1Zr1yBELGto0KymMKVWzAMfAzhLFWLhuJ/view?usp=drive_link" TargetMode="External"/><Relationship Id="rId114" Type="http://schemas.openxmlformats.org/officeDocument/2006/relationships/hyperlink" Target="https://drive.google.com/drive/folders/1vynQjgEZqdf0XqPhjANc1qUy76Ti26DS?usp=drive_link" TargetMode="External"/><Relationship Id="rId18" Type="http://schemas.openxmlformats.org/officeDocument/2006/relationships/hyperlink" Target="https://drive.google.com/file/d/1Zr1yBELGto0KymMKVWzAMfAzhLFWLhuJ/view?usp=drive_link" TargetMode="External"/><Relationship Id="rId113" Type="http://schemas.openxmlformats.org/officeDocument/2006/relationships/hyperlink" Target="https://drive.google.com/file/d/1aYbNDrGh9gF4IEC0KuVWPm_cawNQZPN7/view?usp=drive_link" TargetMode="External"/><Relationship Id="rId112" Type="http://schemas.openxmlformats.org/officeDocument/2006/relationships/hyperlink" Target="https://drive.google.com/drive/folders/1KXG5kY9cau2UBZrJ5TNWC_2V7Q9OxcpA" TargetMode="External"/><Relationship Id="rId111" Type="http://schemas.openxmlformats.org/officeDocument/2006/relationships/hyperlink" Target="https://drive.google.com/drive/folders/1Ah0ZMxwznjGHCaY5igtmltQ3jUGjaV9q?usp=drive_link" TargetMode="External"/><Relationship Id="rId84" Type="http://schemas.openxmlformats.org/officeDocument/2006/relationships/hyperlink" Target="https://drive.google.com/drive/folders/1xPFooDHdirwz6JzL-Z_tWgNVwsc_g_vV?usp=drive_link" TargetMode="External"/><Relationship Id="rId83" Type="http://schemas.openxmlformats.org/officeDocument/2006/relationships/hyperlink" Target="https://drive.google.com/file/d/1_c8kBDM13lXMpvT8RtnadRmJqyrTFKOT/view?usp=drive_link" TargetMode="External"/><Relationship Id="rId86" Type="http://schemas.openxmlformats.org/officeDocument/2006/relationships/hyperlink" Target="https://drive.google.com/file/d/1uT4Ad781uFBYrQbiqDCdP5-KMtrQYaie/view?usp=drive_link" TargetMode="External"/><Relationship Id="rId85" Type="http://schemas.openxmlformats.org/officeDocument/2006/relationships/hyperlink" Target="https://drive.google.com/drive/folders/1mEo1Y6nPeE9p0RSm19-c25n-ROiyi0Yi" TargetMode="External"/><Relationship Id="rId88" Type="http://schemas.openxmlformats.org/officeDocument/2006/relationships/hyperlink" Target="https://drive.google.com/drive/folders/1wD_0RSGztpY6fR3unH7XKZ8RezKvzdKC" TargetMode="External"/><Relationship Id="rId87" Type="http://schemas.openxmlformats.org/officeDocument/2006/relationships/hyperlink" Target="https://drive.google.com/drive/folders/1vV6plqGM1n25iSthik5SI9JwNkGHJGu9?usp=drive_link" TargetMode="External"/><Relationship Id="rId89" Type="http://schemas.openxmlformats.org/officeDocument/2006/relationships/hyperlink" Target="https://drive.google.com/file/d/1FY1U9V9BQFy1PokqUIn5ZSORoLPXmJB8/view?usp=drive_link" TargetMode="External"/><Relationship Id="rId80" Type="http://schemas.openxmlformats.org/officeDocument/2006/relationships/hyperlink" Target="https://drive.google.com/file/d/1KAk6GLOKfCgIZvzRr0eZcUqMh-AQ89az/view?usp=drive_link" TargetMode="External"/><Relationship Id="rId82" Type="http://schemas.openxmlformats.org/officeDocument/2006/relationships/hyperlink" Target="https://drive.google.com/drive/folders/15zPKI05yL0IESRq4y4qL4kH_LyRz9SWL" TargetMode="External"/><Relationship Id="rId81" Type="http://schemas.openxmlformats.org/officeDocument/2006/relationships/hyperlink" Target="https://drive.google.com/drive/folders/1GEyDyyOt0mG863iZJcjeb3s_DvmImAES?usp=drive_link" TargetMode="External"/><Relationship Id="rId1" Type="http://schemas.openxmlformats.org/officeDocument/2006/relationships/hyperlink" Target="https://drive.google.com/file/d/1Gi93_7-1vHLELPdPvruJYQFf_jjEeAE6/view?usp=drive_link&amp;resourcekey=0-DWrh2VOGLeCU5yr9QGrKqQ" TargetMode="External"/><Relationship Id="rId2" Type="http://schemas.openxmlformats.org/officeDocument/2006/relationships/hyperlink" Target="https://drive.google.com/file/d/1Gi93_7-1vHLELPdPvruJYQFf_jjEeAE6/view?usp=drive_link&amp;resourcekey=0-DWrh2VOGLeCU5yr9QGrKqQ" TargetMode="External"/><Relationship Id="rId3" Type="http://schemas.openxmlformats.org/officeDocument/2006/relationships/hyperlink" Target="https://drive.google.com/file/d/1Gi93_7-1vHLELPdPvruJYQFf_jjEeAE6/view?usp=drive_link&amp;resourcekey=0-DWrh2VOGLeCU5yr9QGrKqQ" TargetMode="External"/><Relationship Id="rId4" Type="http://schemas.openxmlformats.org/officeDocument/2006/relationships/hyperlink" Target="https://drive.google.com/file/d/1Gi93_7-1vHLELPdPvruJYQFf_jjEeAE6/view?usp=drive_link&amp;resourcekey=0-DWrh2VOGLeCU5yr9QGrKqQ" TargetMode="External"/><Relationship Id="rId9" Type="http://schemas.openxmlformats.org/officeDocument/2006/relationships/hyperlink" Target="https://drive.google.com/file/d/1LmBy2dNOflqJLUhXKWasFwSR1eNI73MR/view?usp=drive_link" TargetMode="External"/><Relationship Id="rId140" Type="http://schemas.openxmlformats.org/officeDocument/2006/relationships/drawing" Target="../drawings/drawing13.xml"/><Relationship Id="rId5" Type="http://schemas.openxmlformats.org/officeDocument/2006/relationships/hyperlink" Target="https://drive.google.com/file/d/1Gi93_7-1vHLELPdPvruJYQFf_jjEeAE6/view?usp=drive_link&amp;resourcekey=0-DWrh2VOGLeCU5yr9QGrKqQ" TargetMode="External"/><Relationship Id="rId6" Type="http://schemas.openxmlformats.org/officeDocument/2006/relationships/hyperlink" Target="https://drive.google.com/file/d/1Gi93_7-1vHLELPdPvruJYQFf_jjEeAE6/view?usp=drive_link&amp;resourcekey=0-DWrh2VOGLeCU5yr9QGrKqQ" TargetMode="External"/><Relationship Id="rId7" Type="http://schemas.openxmlformats.org/officeDocument/2006/relationships/hyperlink" Target="https://drive.google.com/file/d/1Gi93_7-1vHLELPdPvruJYQFf_jjEeAE6/view?usp=drive_link&amp;resourcekey=0-DWrh2VOGLeCU5yr9QGrKqQ" TargetMode="External"/><Relationship Id="rId8" Type="http://schemas.openxmlformats.org/officeDocument/2006/relationships/hyperlink" Target="https://drive.google.com/file/d/1Gi93_7-1vHLELPdPvruJYQFf_jjEeAE6/view?usp=drive_link&amp;resourcekey=0-DWrh2VOGLeCU5yr9QGrKqQ" TargetMode="External"/><Relationship Id="rId73" Type="http://schemas.openxmlformats.org/officeDocument/2006/relationships/hyperlink" Target="https://drive.google.com/drive/folders/1POlj3-PRP24v-Too8zFRIu-x1lFaxnyg" TargetMode="External"/><Relationship Id="rId72" Type="http://schemas.openxmlformats.org/officeDocument/2006/relationships/hyperlink" Target="https://drive.google.com/drive/folders/1EtWq3dH6XHfB4MaSvwmFS3bpB5rQkFMe?usp=drive_link" TargetMode="External"/><Relationship Id="rId75" Type="http://schemas.openxmlformats.org/officeDocument/2006/relationships/hyperlink" Target="https://drive.google.com/file/d/1xhAUEzfNzj7vImL5TG8em7gt6Q_LSGMM/view?usp=sharing" TargetMode="External"/><Relationship Id="rId74" Type="http://schemas.openxmlformats.org/officeDocument/2006/relationships/hyperlink" Target="https://drive.google.com/file/d/1rsHiIVsuPqJLMl56-MxJDgN1cqtiLZLG/view?usp=sharing" TargetMode="External"/><Relationship Id="rId77" Type="http://schemas.openxmlformats.org/officeDocument/2006/relationships/hyperlink" Target="https://drive.google.com/file/d/1Tu5TTnPyzt0FJgGy0PURC3z7TJKWeu0n/view?usp=sharing" TargetMode="External"/><Relationship Id="rId76" Type="http://schemas.openxmlformats.org/officeDocument/2006/relationships/hyperlink" Target="https://drive.google.com/file/d/1PYCzThlqhMgtUVVQybzrBi-6ds59htos/view?usp=sharing" TargetMode="External"/><Relationship Id="rId79" Type="http://schemas.openxmlformats.org/officeDocument/2006/relationships/hyperlink" Target="https://drive.google.com/file/d/1xswq66AIna0PEt_XThBCa7Qabi1zpXSq/view?usp=sharing" TargetMode="External"/><Relationship Id="rId78" Type="http://schemas.openxmlformats.org/officeDocument/2006/relationships/hyperlink" Target="https://drive.google.com/file/d/1PYCzThlqhMgtUVVQybzrBi-6ds59htos/view?usp=sharing" TargetMode="External"/><Relationship Id="rId71" Type="http://schemas.openxmlformats.org/officeDocument/2006/relationships/hyperlink" Target="https://drive.google.com/file/d/135Rn8V2ATuAM0Gixz24hlJckVSqP2vE9/view?usp=drive_link" TargetMode="External"/><Relationship Id="rId70" Type="http://schemas.openxmlformats.org/officeDocument/2006/relationships/hyperlink" Target="https://drive.google.com/drive/folders/1PU1GcKRpz07SYl2I4FcTHmonItqKNrIT" TargetMode="External"/><Relationship Id="rId139" Type="http://schemas.openxmlformats.org/officeDocument/2006/relationships/hyperlink" Target="https://drive.google.com/drive/folders/1XL5x4cTKFdyD6ZNADFySS6Bib-tySROR" TargetMode="External"/><Relationship Id="rId138" Type="http://schemas.openxmlformats.org/officeDocument/2006/relationships/hyperlink" Target="https://drive.google.com/drive/folders/1bTPop5z_cdPCAQ18c_LjmOvW2LubQw76?usp=drive_link" TargetMode="External"/><Relationship Id="rId137" Type="http://schemas.openxmlformats.org/officeDocument/2006/relationships/hyperlink" Target="https://drive.google.com/file/d/1UO4p6Nv09CjDzLLc7puPJlJjVTdPVNqW/view?usp=drive_link" TargetMode="External"/><Relationship Id="rId132" Type="http://schemas.openxmlformats.org/officeDocument/2006/relationships/hyperlink" Target="https://drive.google.com/drive/folders/1zZ16f6VK94jJcvdF5cq7oX-DhAG5AIre?usp=drive_link" TargetMode="External"/><Relationship Id="rId131" Type="http://schemas.openxmlformats.org/officeDocument/2006/relationships/hyperlink" Target="https://drive.google.com/file/d/1HQ5ketkIczuqeTu89kinE4zmIP1KJe9D/view?usp=drive_link" TargetMode="External"/><Relationship Id="rId130" Type="http://schemas.openxmlformats.org/officeDocument/2006/relationships/hyperlink" Target="https://drive.google.com/drive/folders/1RrgKeqn0onv3iU2LRujlMqf0ZKHmjyTk" TargetMode="External"/><Relationship Id="rId136" Type="http://schemas.openxmlformats.org/officeDocument/2006/relationships/hyperlink" Target="https://drive.google.com/drive/folders/1RqgKBmLwx7BT8ABHao86WCeG0gYCv17T" TargetMode="External"/><Relationship Id="rId135" Type="http://schemas.openxmlformats.org/officeDocument/2006/relationships/hyperlink" Target="https://drive.google.com/drive/folders/1iJWdGr8uOxV6t_mCbYm0dNl3lV40Tkpw?usp=drive_link" TargetMode="External"/><Relationship Id="rId134" Type="http://schemas.openxmlformats.org/officeDocument/2006/relationships/hyperlink" Target="https://drive.google.com/file/d/1t8fcGOvM_qDjmZuBQHZI_DnQkUkJ3bCv/view?usp=drive_link" TargetMode="External"/><Relationship Id="rId133" Type="http://schemas.openxmlformats.org/officeDocument/2006/relationships/hyperlink" Target="https://drive.google.com/drive/folders/1H_F5PRu2wwsIp-7ZN6nbSFqiy70e6vhq" TargetMode="External"/><Relationship Id="rId62" Type="http://schemas.openxmlformats.org/officeDocument/2006/relationships/hyperlink" Target="https://drive.google.com/drive/folders/1Pfn-pygwYQYI5L9b3Yca9KieVThIwNYT?usp=drive_link" TargetMode="External"/><Relationship Id="rId61" Type="http://schemas.openxmlformats.org/officeDocument/2006/relationships/hyperlink" Target="https://drive.google.com/file/d/16HPrbNUJP41E4ve2bGbjU1G8JpmVTNyE/view?usp=drive_link" TargetMode="External"/><Relationship Id="rId64" Type="http://schemas.openxmlformats.org/officeDocument/2006/relationships/hyperlink" Target="https://drive.google.com/file/d/188013OROc9U1LmTXjROrjzGUiYtfDGOM/view?usp=sharing" TargetMode="External"/><Relationship Id="rId63" Type="http://schemas.openxmlformats.org/officeDocument/2006/relationships/hyperlink" Target="https://drive.google.com/drive/folders/1FYLwfuwbVABPgIZ7RiIxx13EuoCSGKdY" TargetMode="External"/><Relationship Id="rId66" Type="http://schemas.openxmlformats.org/officeDocument/2006/relationships/hyperlink" Target="https://drive.google.com/file/d/1KwbwAD7njou9iD8nX9f8oFFj_9ZkUMXu/view?usp=sharing" TargetMode="External"/><Relationship Id="rId65" Type="http://schemas.openxmlformats.org/officeDocument/2006/relationships/hyperlink" Target="https://drive.google.com/file/d/1TojimdyUXiS-QP3SZyfmxPcMOKN8CwFh/view?usp=sharing" TargetMode="External"/><Relationship Id="rId68" Type="http://schemas.openxmlformats.org/officeDocument/2006/relationships/hyperlink" Target="https://drive.google.com/file/d/1H27yeNqYPnoEgLsFayanKJALe94sI0gH/view?usp=drive_link" TargetMode="External"/><Relationship Id="rId67" Type="http://schemas.openxmlformats.org/officeDocument/2006/relationships/hyperlink" Target="https://drive.google.com/file/d/1_H2c1vO4oi_263o9dczVlaL9C2mxXPxe/view?usp=sharing" TargetMode="External"/><Relationship Id="rId60" Type="http://schemas.openxmlformats.org/officeDocument/2006/relationships/hyperlink" Target="https://drive.google.com/file/d/1XV0QpQ04onvGKypIRKMJMcgQ4_qKjJAc/view?usp=sharing" TargetMode="External"/><Relationship Id="rId69" Type="http://schemas.openxmlformats.org/officeDocument/2006/relationships/hyperlink" Target="https://drive.google.com/drive/folders/1iC_sP-AP6coL9MCB2_98YrHSVIio9GDH?usp=drive_link" TargetMode="External"/><Relationship Id="rId51" Type="http://schemas.openxmlformats.org/officeDocument/2006/relationships/hyperlink" Target="https://drive.google.com/drive/folders/1GoDklabIj2cErAPEpxp_lsaYzdm6MjQY?usp=drive_link" TargetMode="External"/><Relationship Id="rId50" Type="http://schemas.openxmlformats.org/officeDocument/2006/relationships/hyperlink" Target="https://drive.google.com/file/d/1VEg4dOkfLifAsCFUrpNVZOs2hMjL3r0R/view?usp=drive_link" TargetMode="External"/><Relationship Id="rId53" Type="http://schemas.openxmlformats.org/officeDocument/2006/relationships/hyperlink" Target="https://drive.google.com/file/d/1Ex7YuppgxeTQIKBBu97yOB-yPqGd8nx4/view?usp=sharing" TargetMode="External"/><Relationship Id="rId52" Type="http://schemas.openxmlformats.org/officeDocument/2006/relationships/hyperlink" Target="https://drive.google.com/drive/folders/1rPmdFJo87krQ7mVUXyFO-Jdce-texT0O" TargetMode="External"/><Relationship Id="rId55" Type="http://schemas.openxmlformats.org/officeDocument/2006/relationships/hyperlink" Target="https://drive.google.com/file/d/1rsHiIVsuPqJLMl56-MxJDgN1cqtiLZLG/view?usp=sharing" TargetMode="External"/><Relationship Id="rId54" Type="http://schemas.openxmlformats.org/officeDocument/2006/relationships/hyperlink" Target="https://drive.google.com/file/d/1Si3H2TKG2GE6DbRNwh0vgN2XKAg4V7iN/view?usp=sharing" TargetMode="External"/><Relationship Id="rId57" Type="http://schemas.openxmlformats.org/officeDocument/2006/relationships/hyperlink" Target="https://drive.google.com/file/d/1PYCzThlqhMgtUVVQybzrBi-6ds59htos/view?usp=sharing" TargetMode="External"/><Relationship Id="rId56" Type="http://schemas.openxmlformats.org/officeDocument/2006/relationships/hyperlink" Target="https://drive.google.com/file/d/19rBdG1GjxnmcKLS4ILI2xRokCLQr9QFg/view?usp=sharing" TargetMode="External"/><Relationship Id="rId59" Type="http://schemas.openxmlformats.org/officeDocument/2006/relationships/hyperlink" Target="https://drive.google.com/file/d/1PYCzThlqhMgtUVVQybzrBi-6ds59htos/view?usp=sharing" TargetMode="External"/><Relationship Id="rId58" Type="http://schemas.openxmlformats.org/officeDocument/2006/relationships/hyperlink" Target="https://drive.google.com/file/d/1eI9lENLwH6tO2HOdm08CxPvLOgtnU_CN/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mailto:cynthia.wang@fih-foxconn.com"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31" Type="http://schemas.openxmlformats.org/officeDocument/2006/relationships/hyperlink" Target="https://drive.google.com/file/d/1fg70DLudom-gYxMPBb1oyaKIO-VdTrjD/view?usp=drive_link" TargetMode="External"/><Relationship Id="rId30" Type="http://schemas.openxmlformats.org/officeDocument/2006/relationships/hyperlink" Target="https://drive.google.com/file/d/1nTrDUrgOq84Nt7M_mTaF8or9e2LFbV4R/view?usp=drive_link" TargetMode="External"/><Relationship Id="rId33" Type="http://schemas.openxmlformats.org/officeDocument/2006/relationships/hyperlink" Target="https://drive.google.com/file/d/1fg70DLudom-gYxMPBb1oyaKIO-VdTrjD/view?usp=drive_link" TargetMode="External"/><Relationship Id="rId32" Type="http://schemas.openxmlformats.org/officeDocument/2006/relationships/hyperlink" Target="https://drive.google.com/file/d/1nTrDUrgOq84Nt7M_mTaF8or9e2LFbV4R/view?usp=drive_link" TargetMode="External"/><Relationship Id="rId35" Type="http://schemas.openxmlformats.org/officeDocument/2006/relationships/drawing" Target="../drawings/drawing21.xml"/><Relationship Id="rId34" Type="http://schemas.openxmlformats.org/officeDocument/2006/relationships/hyperlink" Target="https://drive.google.com/file/d/1nTrDUrgOq84Nt7M_mTaF8or9e2LFbV4R/view?usp=drive_link" TargetMode="External"/><Relationship Id="rId20" Type="http://schemas.openxmlformats.org/officeDocument/2006/relationships/hyperlink" Target="https://drive.google.com/file/d/1nTrDUrgOq84Nt7M_mTaF8or9e2LFbV4R/view?usp=drive_link" TargetMode="External"/><Relationship Id="rId22" Type="http://schemas.openxmlformats.org/officeDocument/2006/relationships/hyperlink" Target="https://drive.google.com/file/d/1nTrDUrgOq84Nt7M_mTaF8or9e2LFbV4R/view?usp=drive_link" TargetMode="External"/><Relationship Id="rId21" Type="http://schemas.openxmlformats.org/officeDocument/2006/relationships/hyperlink" Target="https://drive.google.com/file/d/1fg70DLudom-gYxMPBb1oyaKIO-VdTrjD/view?usp=drive_link" TargetMode="External"/><Relationship Id="rId24" Type="http://schemas.openxmlformats.org/officeDocument/2006/relationships/hyperlink" Target="https://drive.google.com/file/d/1nTrDUrgOq84Nt7M_mTaF8or9e2LFbV4R/view?usp=drive_link" TargetMode="External"/><Relationship Id="rId23" Type="http://schemas.openxmlformats.org/officeDocument/2006/relationships/hyperlink" Target="https://drive.google.com/file/d/1fg70DLudom-gYxMPBb1oyaKIO-VdTrjD/view?usp=drive_link" TargetMode="External"/><Relationship Id="rId26" Type="http://schemas.openxmlformats.org/officeDocument/2006/relationships/hyperlink" Target="https://drive.google.com/file/d/1nTrDUrgOq84Nt7M_mTaF8or9e2LFbV4R/view?usp=drive_link" TargetMode="External"/><Relationship Id="rId25" Type="http://schemas.openxmlformats.org/officeDocument/2006/relationships/hyperlink" Target="https://drive.google.com/file/d/1fg70DLudom-gYxMPBb1oyaKIO-VdTrjD/view?usp=drive_link" TargetMode="External"/><Relationship Id="rId28" Type="http://schemas.openxmlformats.org/officeDocument/2006/relationships/hyperlink" Target="https://drive.google.com/file/d/1nTrDUrgOq84Nt7M_mTaF8or9e2LFbV4R/view?usp=drive_link" TargetMode="External"/><Relationship Id="rId27" Type="http://schemas.openxmlformats.org/officeDocument/2006/relationships/hyperlink" Target="https://drive.google.com/file/d/1fg70DLudom-gYxMPBb1oyaKIO-VdTrjD/view?usp=drive_link" TargetMode="External"/><Relationship Id="rId29" Type="http://schemas.openxmlformats.org/officeDocument/2006/relationships/hyperlink" Target="https://drive.google.com/file/d/1fg70DLudom-gYxMPBb1oyaKIO-VdTrjD/view?usp=drive_link" TargetMode="External"/><Relationship Id="rId11" Type="http://schemas.openxmlformats.org/officeDocument/2006/relationships/hyperlink" Target="https://drive.google.com/file/d/1fg70DLudom-gYxMPBb1oyaKIO-VdTrjD/view?usp=drive_link" TargetMode="External"/><Relationship Id="rId10" Type="http://schemas.openxmlformats.org/officeDocument/2006/relationships/hyperlink" Target="https://drive.google.com/file/d/1nTrDUrgOq84Nt7M_mTaF8or9e2LFbV4R/view?usp=drive_link" TargetMode="External"/><Relationship Id="rId13" Type="http://schemas.openxmlformats.org/officeDocument/2006/relationships/hyperlink" Target="https://drive.google.com/file/d/1fg70DLudom-gYxMPBb1oyaKIO-VdTrjD/view?usp=drive_link" TargetMode="External"/><Relationship Id="rId12" Type="http://schemas.openxmlformats.org/officeDocument/2006/relationships/hyperlink" Target="https://drive.google.com/file/d/1nTrDUrgOq84Nt7M_mTaF8or9e2LFbV4R/view?usp=drive_link" TargetMode="External"/><Relationship Id="rId15" Type="http://schemas.openxmlformats.org/officeDocument/2006/relationships/hyperlink" Target="https://drive.google.com/file/d/1fg70DLudom-gYxMPBb1oyaKIO-VdTrjD/view?usp=drive_link" TargetMode="External"/><Relationship Id="rId14" Type="http://schemas.openxmlformats.org/officeDocument/2006/relationships/hyperlink" Target="https://drive.google.com/file/d/1nTrDUrgOq84Nt7M_mTaF8or9e2LFbV4R/view?usp=drive_link" TargetMode="External"/><Relationship Id="rId17" Type="http://schemas.openxmlformats.org/officeDocument/2006/relationships/hyperlink" Target="https://drive.google.com/file/d/1fg70DLudom-gYxMPBb1oyaKIO-VdTrjD/view?usp=drive_link" TargetMode="External"/><Relationship Id="rId16" Type="http://schemas.openxmlformats.org/officeDocument/2006/relationships/hyperlink" Target="https://drive.google.com/file/d/1nTrDUrgOq84Nt7M_mTaF8or9e2LFbV4R/view?usp=drive_link" TargetMode="External"/><Relationship Id="rId19" Type="http://schemas.openxmlformats.org/officeDocument/2006/relationships/hyperlink" Target="https://drive.google.com/file/d/1fg70DLudom-gYxMPBb1oyaKIO-VdTrjD/view?usp=drive_link" TargetMode="External"/><Relationship Id="rId18" Type="http://schemas.openxmlformats.org/officeDocument/2006/relationships/hyperlink" Target="https://drive.google.com/file/d/1nTrDUrgOq84Nt7M_mTaF8or9e2LFbV4R/view?usp=drive_link" TargetMode="External"/><Relationship Id="rId1" Type="http://schemas.openxmlformats.org/officeDocument/2006/relationships/hyperlink" Target="https://drive.google.com/drive/folders/1DwSiGMN4lysQvJ46td7WKIkU9ciRYfPC?usp=drive_link" TargetMode="External"/><Relationship Id="rId2" Type="http://schemas.openxmlformats.org/officeDocument/2006/relationships/hyperlink" Target="https://drive.google.com/drive/folders/1H5WH03QuWS7AVuXiKqdBBoajmIE7Qa8I?usp=drive_link" TargetMode="External"/><Relationship Id="rId3" Type="http://schemas.openxmlformats.org/officeDocument/2006/relationships/hyperlink" Target="https://drive.google.com/file/d/1fg70DLudom-gYxMPBb1oyaKIO-VdTrjD/view?usp=drive_link" TargetMode="External"/><Relationship Id="rId4" Type="http://schemas.openxmlformats.org/officeDocument/2006/relationships/hyperlink" Target="https://drive.google.com/file/d/1nTrDUrgOq84Nt7M_mTaF8or9e2LFbV4R/view?usp=drive_link" TargetMode="External"/><Relationship Id="rId9" Type="http://schemas.openxmlformats.org/officeDocument/2006/relationships/hyperlink" Target="https://drive.google.com/file/d/1fg70DLudom-gYxMPBb1oyaKIO-VdTrjD/view?usp=drive_link" TargetMode="External"/><Relationship Id="rId5" Type="http://schemas.openxmlformats.org/officeDocument/2006/relationships/hyperlink" Target="https://drive.google.com/file/d/1fg70DLudom-gYxMPBb1oyaKIO-VdTrjD/view?usp=drive_link" TargetMode="External"/><Relationship Id="rId6" Type="http://schemas.openxmlformats.org/officeDocument/2006/relationships/hyperlink" Target="https://drive.google.com/file/d/1nTrDUrgOq84Nt7M_mTaF8or9e2LFbV4R/view?usp=drive_link" TargetMode="External"/><Relationship Id="rId7" Type="http://schemas.openxmlformats.org/officeDocument/2006/relationships/hyperlink" Target="https://drive.google.com/file/d/1fg70DLudom-gYxMPBb1oyaKIO-VdTrjD/view?usp=drive_link" TargetMode="External"/><Relationship Id="rId8" Type="http://schemas.openxmlformats.org/officeDocument/2006/relationships/hyperlink" Target="https://drive.google.com/file/d/1nTrDUrgOq84Nt7M_mTaF8or9e2LFbV4R/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1" max="1" width="1.75"/>
    <col customWidth="1" min="2" max="5" width="9.75"/>
    <col customWidth="1" min="6" max="7" width="12.0"/>
    <col customWidth="1" min="8" max="8" width="6.25"/>
    <col customWidth="1" min="9" max="12" width="9.75"/>
    <col customWidth="1" min="13" max="14" width="12.75"/>
    <col customWidth="1" min="15" max="15" width="5.5"/>
    <col customWidth="1" min="16" max="19" width="10.63"/>
    <col customWidth="1" min="20" max="21" width="11.5"/>
    <col customWidth="1" min="22" max="22" width="8.13"/>
  </cols>
  <sheetData>
    <row r="1" ht="6.0" customHeight="1">
      <c r="A1" s="1"/>
      <c r="B1" s="2"/>
      <c r="C1" s="2"/>
      <c r="D1" s="3"/>
      <c r="E1" s="3"/>
      <c r="F1" s="3"/>
      <c r="G1" s="3"/>
      <c r="H1" s="3"/>
      <c r="I1" s="3"/>
      <c r="J1" s="3"/>
      <c r="K1" s="3"/>
      <c r="L1" s="3"/>
      <c r="M1" s="3"/>
      <c r="N1" s="3"/>
      <c r="O1" s="4" t="s">
        <v>0</v>
      </c>
      <c r="P1" s="3"/>
      <c r="Q1" s="3"/>
      <c r="R1" s="3"/>
      <c r="S1" s="5"/>
      <c r="T1" s="5"/>
      <c r="U1" s="5"/>
      <c r="V1" s="6"/>
      <c r="W1" s="6"/>
      <c r="X1" s="6"/>
      <c r="Y1" s="6"/>
      <c r="Z1" s="6"/>
      <c r="AA1" s="6"/>
      <c r="AB1" s="6"/>
      <c r="AC1" s="6"/>
      <c r="AD1" s="6"/>
      <c r="AE1" s="6"/>
      <c r="AF1" s="6"/>
    </row>
    <row r="2" hidden="1">
      <c r="A2" s="7"/>
      <c r="B2" s="8" t="s">
        <v>1</v>
      </c>
      <c r="C2" s="9" t="s">
        <v>2</v>
      </c>
      <c r="D2" s="10" t="s">
        <v>3</v>
      </c>
      <c r="E2" s="11"/>
      <c r="F2" s="11"/>
      <c r="G2" s="11"/>
      <c r="H2" s="12"/>
      <c r="I2" s="13">
        <v>2023.0</v>
      </c>
      <c r="J2" s="11"/>
      <c r="K2" s="11"/>
      <c r="L2" s="11"/>
      <c r="M2" s="11"/>
      <c r="N2" s="11"/>
      <c r="O2" s="11"/>
      <c r="P2" s="11"/>
      <c r="Q2" s="11"/>
      <c r="R2" s="5"/>
      <c r="S2" s="5"/>
      <c r="T2" s="5"/>
      <c r="U2" s="5"/>
      <c r="V2" s="6"/>
      <c r="W2" s="6"/>
      <c r="X2" s="6"/>
      <c r="Y2" s="6"/>
      <c r="Z2" s="6"/>
      <c r="AA2" s="6"/>
      <c r="AB2" s="6"/>
      <c r="AC2" s="6"/>
      <c r="AD2" s="6"/>
      <c r="AE2" s="6"/>
      <c r="AF2" s="6"/>
    </row>
    <row r="3" ht="15.0" hidden="1" customHeight="1">
      <c r="A3" s="14"/>
      <c r="B3" s="15"/>
      <c r="C3" s="16" t="s">
        <v>4</v>
      </c>
      <c r="D3" s="17" t="s">
        <v>5</v>
      </c>
      <c r="E3" s="17" t="s">
        <v>6</v>
      </c>
      <c r="F3" s="17" t="s">
        <v>7</v>
      </c>
      <c r="G3" s="17" t="s">
        <v>8</v>
      </c>
      <c r="H3" s="17" t="s">
        <v>9</v>
      </c>
      <c r="I3" s="18" t="s">
        <v>10</v>
      </c>
      <c r="J3" s="18" t="s">
        <v>11</v>
      </c>
      <c r="K3" s="18" t="s">
        <v>12</v>
      </c>
      <c r="L3" s="18" t="s">
        <v>13</v>
      </c>
      <c r="M3" s="18" t="s">
        <v>14</v>
      </c>
      <c r="N3" s="19" t="s">
        <v>15</v>
      </c>
      <c r="O3" s="12"/>
      <c r="P3" s="19" t="s">
        <v>16</v>
      </c>
      <c r="Q3" s="18" t="s">
        <v>5</v>
      </c>
      <c r="R3" s="20"/>
      <c r="S3" s="20"/>
      <c r="T3" s="20"/>
      <c r="U3" s="21"/>
      <c r="V3" s="14"/>
      <c r="W3" s="14"/>
      <c r="X3" s="14"/>
      <c r="Y3" s="14"/>
      <c r="Z3" s="14"/>
      <c r="AA3" s="14"/>
      <c r="AB3" s="14"/>
      <c r="AC3" s="14"/>
      <c r="AD3" s="14"/>
      <c r="AE3" s="14"/>
      <c r="AF3" s="14"/>
    </row>
    <row r="4" ht="15.0" hidden="1" customHeight="1">
      <c r="A4" s="22"/>
      <c r="B4" s="23" t="str">
        <f>TK4_PVT_BM!E3</f>
        <v>#REF!</v>
      </c>
      <c r="C4" s="24" t="s">
        <v>17</v>
      </c>
      <c r="D4" s="25" t="s">
        <v>18</v>
      </c>
      <c r="E4" s="12"/>
      <c r="F4" s="25" t="s">
        <v>19</v>
      </c>
      <c r="G4" s="12"/>
      <c r="H4" s="26" t="s">
        <v>20</v>
      </c>
      <c r="I4" s="12"/>
      <c r="J4" s="27" t="s">
        <v>21</v>
      </c>
      <c r="K4" s="12"/>
      <c r="L4" s="28" t="s">
        <v>22</v>
      </c>
      <c r="M4" s="12"/>
      <c r="N4" s="29" t="s">
        <v>23</v>
      </c>
      <c r="O4" s="12"/>
      <c r="P4" s="30" t="s">
        <v>24</v>
      </c>
      <c r="Q4" s="12"/>
      <c r="R4" s="20"/>
      <c r="S4" s="20"/>
      <c r="T4" s="20"/>
      <c r="U4" s="20"/>
      <c r="V4" s="22"/>
      <c r="W4" s="22"/>
      <c r="X4" s="22"/>
      <c r="Y4" s="22"/>
      <c r="Z4" s="22"/>
      <c r="AA4" s="22"/>
      <c r="AB4" s="22"/>
      <c r="AC4" s="22"/>
      <c r="AD4" s="22"/>
      <c r="AE4" s="22"/>
      <c r="AF4" s="22"/>
    </row>
    <row r="5" ht="11.25" hidden="1" customHeight="1">
      <c r="A5" s="14"/>
      <c r="B5" s="31"/>
      <c r="C5" s="31"/>
      <c r="D5" s="32" t="s">
        <v>25</v>
      </c>
      <c r="E5" s="32" t="s">
        <v>26</v>
      </c>
      <c r="F5" s="32" t="s">
        <v>25</v>
      </c>
      <c r="G5" s="32" t="s">
        <v>26</v>
      </c>
      <c r="H5" s="33" t="s">
        <v>25</v>
      </c>
      <c r="I5" s="33" t="s">
        <v>26</v>
      </c>
      <c r="J5" s="34" t="s">
        <v>25</v>
      </c>
      <c r="K5" s="34" t="s">
        <v>26</v>
      </c>
      <c r="L5" s="35" t="s">
        <v>25</v>
      </c>
      <c r="M5" s="35" t="s">
        <v>26</v>
      </c>
      <c r="N5" s="36" t="s">
        <v>25</v>
      </c>
      <c r="O5" s="36" t="s">
        <v>26</v>
      </c>
      <c r="P5" s="37" t="s">
        <v>25</v>
      </c>
      <c r="Q5" s="37" t="s">
        <v>26</v>
      </c>
      <c r="R5" s="21"/>
      <c r="S5" s="21"/>
      <c r="T5" s="21"/>
      <c r="U5" s="21"/>
      <c r="V5" s="14"/>
      <c r="W5" s="14"/>
      <c r="X5" s="14"/>
      <c r="Y5" s="14"/>
      <c r="Z5" s="14"/>
      <c r="AA5" s="14"/>
      <c r="AB5" s="14"/>
      <c r="AC5" s="14"/>
      <c r="AD5" s="14"/>
      <c r="AE5" s="14"/>
      <c r="AF5" s="14"/>
    </row>
    <row r="6" hidden="1">
      <c r="A6" s="38"/>
      <c r="B6" s="31"/>
      <c r="C6" s="31"/>
      <c r="D6" s="39" t="s">
        <v>27</v>
      </c>
      <c r="E6" s="39" t="s">
        <v>28</v>
      </c>
      <c r="F6" s="39" t="s">
        <v>29</v>
      </c>
      <c r="G6" s="40" t="s">
        <v>30</v>
      </c>
      <c r="H6" s="41" t="s">
        <v>31</v>
      </c>
      <c r="I6" s="41" t="s">
        <v>32</v>
      </c>
      <c r="J6" s="42" t="s">
        <v>33</v>
      </c>
      <c r="K6" s="42" t="s">
        <v>34</v>
      </c>
      <c r="L6" s="43" t="s">
        <v>35</v>
      </c>
      <c r="M6" s="43" t="s">
        <v>36</v>
      </c>
      <c r="N6" s="44">
        <v>2100.0</v>
      </c>
      <c r="O6" s="44">
        <v>2000.0</v>
      </c>
      <c r="P6" s="45"/>
      <c r="Q6" s="45"/>
      <c r="R6" s="46"/>
      <c r="S6" s="46"/>
      <c r="T6" s="46"/>
      <c r="U6" s="46"/>
      <c r="V6" s="47"/>
      <c r="W6" s="47"/>
      <c r="X6" s="38"/>
      <c r="Y6" s="38"/>
      <c r="Z6" s="38"/>
      <c r="AA6" s="38"/>
      <c r="AB6" s="38"/>
      <c r="AC6" s="38"/>
      <c r="AD6" s="38"/>
      <c r="AE6" s="38"/>
      <c r="AF6" s="38"/>
    </row>
    <row r="7" ht="11.25" hidden="1" customHeight="1">
      <c r="A7" s="14"/>
      <c r="B7" s="31"/>
      <c r="C7" s="31"/>
      <c r="D7" s="48" t="s">
        <v>37</v>
      </c>
      <c r="E7" s="49" t="s">
        <v>38</v>
      </c>
      <c r="F7" s="50" t="s">
        <v>37</v>
      </c>
      <c r="G7" s="49" t="s">
        <v>38</v>
      </c>
      <c r="H7" s="50" t="s">
        <v>37</v>
      </c>
      <c r="I7" s="49" t="s">
        <v>38</v>
      </c>
      <c r="J7" s="50" t="s">
        <v>37</v>
      </c>
      <c r="K7" s="49" t="s">
        <v>38</v>
      </c>
      <c r="L7" s="50" t="s">
        <v>37</v>
      </c>
      <c r="M7" s="49" t="s">
        <v>38</v>
      </c>
      <c r="N7" s="50" t="s">
        <v>37</v>
      </c>
      <c r="O7" s="49" t="s">
        <v>38</v>
      </c>
      <c r="P7" s="50" t="s">
        <v>37</v>
      </c>
      <c r="Q7" s="49" t="s">
        <v>38</v>
      </c>
      <c r="R7" s="21"/>
      <c r="S7" s="21"/>
      <c r="T7" s="21"/>
      <c r="U7" s="21"/>
      <c r="V7" s="14"/>
      <c r="W7" s="14"/>
      <c r="X7" s="14"/>
      <c r="Y7" s="14"/>
      <c r="Z7" s="14"/>
      <c r="AA7" s="14"/>
      <c r="AB7" s="14"/>
      <c r="AC7" s="14"/>
      <c r="AD7" s="14"/>
      <c r="AE7" s="14"/>
      <c r="AF7" s="14"/>
    </row>
    <row r="8" ht="11.25" hidden="1" customHeight="1">
      <c r="A8" s="14"/>
      <c r="B8" s="31"/>
      <c r="C8" s="31"/>
      <c r="D8" s="51" t="s">
        <v>39</v>
      </c>
      <c r="E8" s="52">
        <f>if(isblank(E9),"",_xlfn.WORKDAY.INTL(E9,-7,11))</f>
        <v>44778</v>
      </c>
      <c r="F8" s="52" t="s">
        <v>39</v>
      </c>
      <c r="G8" s="52">
        <v>44826.0</v>
      </c>
      <c r="H8" s="52" t="s">
        <v>39</v>
      </c>
      <c r="I8" s="52">
        <f>if(isblank(I9),"",_xlfn.WORKDAY.INTL(I9,-7,11))</f>
        <v>44912</v>
      </c>
      <c r="J8" s="52" t="s">
        <v>39</v>
      </c>
      <c r="K8" s="52">
        <v>44974.0</v>
      </c>
      <c r="L8" s="52" t="s">
        <v>39</v>
      </c>
      <c r="M8" s="52">
        <v>45016.0</v>
      </c>
      <c r="N8" s="52" t="s">
        <v>39</v>
      </c>
      <c r="O8" s="52" t="str">
        <f>if(isblank(O9),"",_xlfn.WORKDAY.INTL(O9,-7,11))</f>
        <v/>
      </c>
      <c r="P8" s="52" t="s">
        <v>39</v>
      </c>
      <c r="Q8" s="52" t="str">
        <f>if(isblank(Q9),"",_xlfn.WORKDAY.INTL(Q9,-7,11))</f>
        <v/>
      </c>
      <c r="R8" s="21"/>
      <c r="S8" s="21"/>
      <c r="T8" s="21"/>
      <c r="U8" s="21"/>
      <c r="V8" s="14"/>
      <c r="W8" s="14"/>
      <c r="X8" s="14"/>
      <c r="Y8" s="14"/>
      <c r="Z8" s="14"/>
      <c r="AA8" s="14"/>
      <c r="AB8" s="14"/>
      <c r="AC8" s="14"/>
      <c r="AD8" s="14"/>
      <c r="AE8" s="14"/>
      <c r="AF8" s="14"/>
    </row>
    <row r="9" ht="11.25" hidden="1" customHeight="1">
      <c r="A9" s="14"/>
      <c r="B9" s="31"/>
      <c r="C9" s="31"/>
      <c r="D9" s="53" t="s">
        <v>40</v>
      </c>
      <c r="E9" s="54">
        <v>44786.0</v>
      </c>
      <c r="F9" s="55" t="s">
        <v>40</v>
      </c>
      <c r="G9" s="56" t="s">
        <v>41</v>
      </c>
      <c r="H9" s="55" t="s">
        <v>40</v>
      </c>
      <c r="I9" s="54">
        <v>44921.0</v>
      </c>
      <c r="J9" s="55" t="s">
        <v>40</v>
      </c>
      <c r="K9" s="54">
        <v>44982.0</v>
      </c>
      <c r="L9" s="55" t="s">
        <v>40</v>
      </c>
      <c r="M9" s="57" t="s">
        <v>42</v>
      </c>
      <c r="N9" s="55" t="s">
        <v>40</v>
      </c>
      <c r="O9" s="58"/>
      <c r="P9" s="55" t="s">
        <v>40</v>
      </c>
      <c r="Q9" s="59"/>
      <c r="R9" s="21"/>
      <c r="S9" s="21"/>
      <c r="T9" s="21"/>
      <c r="U9" s="21"/>
      <c r="V9" s="14"/>
      <c r="W9" s="14"/>
      <c r="X9" s="14"/>
      <c r="Y9" s="14"/>
      <c r="Z9" s="14"/>
      <c r="AA9" s="14"/>
      <c r="AB9" s="14"/>
      <c r="AC9" s="14"/>
      <c r="AD9" s="14"/>
      <c r="AE9" s="14"/>
      <c r="AF9" s="14"/>
    </row>
    <row r="10" ht="11.25" hidden="1" customHeight="1">
      <c r="A10" s="14"/>
      <c r="B10" s="31"/>
      <c r="C10" s="31"/>
      <c r="D10" s="53" t="s">
        <v>43</v>
      </c>
      <c r="E10" s="54">
        <v>44797.0</v>
      </c>
      <c r="F10" s="55" t="s">
        <v>43</v>
      </c>
      <c r="G10" s="54" t="s">
        <v>44</v>
      </c>
      <c r="H10" s="55" t="s">
        <v>43</v>
      </c>
      <c r="I10" s="56" t="s">
        <v>45</v>
      </c>
      <c r="J10" s="55" t="s">
        <v>43</v>
      </c>
      <c r="K10" s="56" t="s">
        <v>46</v>
      </c>
      <c r="L10" s="55" t="s">
        <v>43</v>
      </c>
      <c r="M10" s="59" t="s">
        <v>47</v>
      </c>
      <c r="N10" s="55" t="s">
        <v>43</v>
      </c>
      <c r="O10" s="58"/>
      <c r="P10" s="55" t="s">
        <v>43</v>
      </c>
      <c r="Q10" s="59"/>
      <c r="R10" s="21"/>
      <c r="S10" s="21"/>
      <c r="T10" s="21"/>
      <c r="U10" s="21"/>
      <c r="V10" s="14"/>
      <c r="W10" s="14"/>
      <c r="X10" s="14"/>
      <c r="Y10" s="14"/>
      <c r="Z10" s="14"/>
      <c r="AA10" s="14"/>
      <c r="AB10" s="14"/>
      <c r="AC10" s="14"/>
      <c r="AD10" s="14"/>
      <c r="AE10" s="14"/>
      <c r="AF10" s="14"/>
    </row>
    <row r="11" ht="11.25" hidden="1" customHeight="1">
      <c r="A11" s="14"/>
      <c r="B11" s="31"/>
      <c r="C11" s="31"/>
      <c r="D11" s="53" t="s">
        <v>48</v>
      </c>
      <c r="E11" s="54">
        <v>44802.0</v>
      </c>
      <c r="F11" s="55" t="s">
        <v>48</v>
      </c>
      <c r="G11" s="54">
        <v>44851.0</v>
      </c>
      <c r="H11" s="55" t="s">
        <v>48</v>
      </c>
      <c r="I11" s="54">
        <v>44564.0</v>
      </c>
      <c r="J11" s="55" t="s">
        <v>48</v>
      </c>
      <c r="K11" s="54">
        <v>44991.0</v>
      </c>
      <c r="L11" s="55" t="s">
        <v>48</v>
      </c>
      <c r="M11" s="57" t="s">
        <v>49</v>
      </c>
      <c r="N11" s="55" t="s">
        <v>48</v>
      </c>
      <c r="O11" s="60">
        <v>44731.0</v>
      </c>
      <c r="P11" s="55" t="s">
        <v>48</v>
      </c>
      <c r="Q11" s="60">
        <v>44759.0</v>
      </c>
      <c r="R11" s="21"/>
      <c r="S11" s="21"/>
      <c r="T11" s="21"/>
      <c r="U11" s="21"/>
      <c r="V11" s="14"/>
      <c r="W11" s="14"/>
      <c r="X11" s="14"/>
      <c r="Y11" s="14"/>
      <c r="Z11" s="14"/>
      <c r="AA11" s="14"/>
      <c r="AB11" s="14"/>
      <c r="AC11" s="14"/>
      <c r="AD11" s="14"/>
      <c r="AE11" s="14"/>
      <c r="AF11" s="14"/>
    </row>
    <row r="12" ht="11.25" hidden="1" customHeight="1">
      <c r="A12" s="14"/>
      <c r="B12" s="31"/>
      <c r="C12" s="31"/>
      <c r="D12" s="53" t="s">
        <v>50</v>
      </c>
      <c r="E12" s="54">
        <v>44809.0</v>
      </c>
      <c r="F12" s="55" t="s">
        <v>50</v>
      </c>
      <c r="G12" s="54">
        <v>44858.0</v>
      </c>
      <c r="H12" s="55" t="s">
        <v>50</v>
      </c>
      <c r="I12" s="54">
        <v>44935.0</v>
      </c>
      <c r="J12" s="55" t="s">
        <v>50</v>
      </c>
      <c r="K12" s="54">
        <v>44993.0</v>
      </c>
      <c r="L12" s="55" t="s">
        <v>50</v>
      </c>
      <c r="M12" s="59" t="s">
        <v>51</v>
      </c>
      <c r="N12" s="55" t="s">
        <v>50</v>
      </c>
      <c r="O12" s="60"/>
      <c r="P12" s="55" t="s">
        <v>50</v>
      </c>
      <c r="Q12" s="60"/>
      <c r="R12" s="21"/>
      <c r="S12" s="21"/>
      <c r="T12" s="21"/>
      <c r="U12" s="21"/>
      <c r="V12" s="14"/>
      <c r="W12" s="14"/>
      <c r="X12" s="14"/>
      <c r="Y12" s="14"/>
      <c r="Z12" s="14"/>
      <c r="AA12" s="14"/>
      <c r="AB12" s="14"/>
      <c r="AC12" s="14"/>
      <c r="AD12" s="14"/>
      <c r="AE12" s="14"/>
      <c r="AF12" s="14"/>
    </row>
    <row r="13" ht="11.25" hidden="1" customHeight="1">
      <c r="A13" s="14"/>
      <c r="B13" s="31"/>
      <c r="C13" s="31"/>
      <c r="D13" s="48" t="s">
        <v>52</v>
      </c>
      <c r="E13" s="49" t="s">
        <v>38</v>
      </c>
      <c r="F13" s="50" t="s">
        <v>52</v>
      </c>
      <c r="G13" s="49" t="s">
        <v>38</v>
      </c>
      <c r="H13" s="50" t="s">
        <v>52</v>
      </c>
      <c r="I13" s="49" t="s">
        <v>38</v>
      </c>
      <c r="J13" s="50" t="s">
        <v>52</v>
      </c>
      <c r="K13" s="49" t="s">
        <v>38</v>
      </c>
      <c r="L13" s="50" t="s">
        <v>52</v>
      </c>
      <c r="M13" s="49" t="s">
        <v>38</v>
      </c>
      <c r="N13" s="50" t="s">
        <v>52</v>
      </c>
      <c r="O13" s="49" t="s">
        <v>38</v>
      </c>
      <c r="P13" s="50" t="s">
        <v>52</v>
      </c>
      <c r="Q13" s="49" t="s">
        <v>38</v>
      </c>
      <c r="R13" s="21"/>
      <c r="S13" s="21"/>
      <c r="T13" s="21"/>
      <c r="U13" s="21"/>
      <c r="V13" s="14"/>
      <c r="W13" s="14"/>
      <c r="X13" s="14"/>
      <c r="Y13" s="14"/>
      <c r="Z13" s="14"/>
      <c r="AA13" s="14"/>
      <c r="AB13" s="14"/>
      <c r="AC13" s="14"/>
      <c r="AD13" s="14"/>
      <c r="AE13" s="14"/>
      <c r="AF13" s="14"/>
    </row>
    <row r="14" ht="11.25" hidden="1" customHeight="1">
      <c r="A14" s="14"/>
      <c r="B14" s="31"/>
      <c r="C14" s="31"/>
      <c r="D14" s="51" t="s">
        <v>39</v>
      </c>
      <c r="E14" s="52">
        <f>if(isblank(E15),"",_xlfn.WORKDAY.INTL(E15,-7,11))</f>
        <v>44779</v>
      </c>
      <c r="F14" s="52" t="s">
        <v>39</v>
      </c>
      <c r="G14" s="52">
        <v>44832.0</v>
      </c>
      <c r="H14" s="52" t="s">
        <v>39</v>
      </c>
      <c r="I14" s="52">
        <f>if(isblank(I15),"",_xlfn.WORKDAY.INTL(I15,-7,11))</f>
        <v>44908</v>
      </c>
      <c r="J14" s="52" t="s">
        <v>39</v>
      </c>
      <c r="K14" s="61">
        <v>44610.0</v>
      </c>
      <c r="L14" s="52" t="s">
        <v>39</v>
      </c>
      <c r="M14" s="52">
        <v>44658.0</v>
      </c>
      <c r="N14" s="52" t="s">
        <v>39</v>
      </c>
      <c r="O14" s="52" t="str">
        <f>if(isblank(O15),"",_xlfn.WORKDAY.INTL(O15,-7,11))</f>
        <v/>
      </c>
      <c r="P14" s="52" t="s">
        <v>39</v>
      </c>
      <c r="Q14" s="52">
        <f>if(isblank(Q15),"",_xlfn.WORKDAY.INTL(Q15,-7,11))</f>
        <v>44779</v>
      </c>
      <c r="R14" s="21"/>
      <c r="S14" s="21"/>
      <c r="T14" s="21"/>
      <c r="U14" s="21"/>
      <c r="V14" s="14"/>
      <c r="W14" s="14"/>
      <c r="X14" s="14"/>
      <c r="Y14" s="14"/>
      <c r="Z14" s="14"/>
      <c r="AA14" s="14"/>
      <c r="AB14" s="14"/>
      <c r="AC14" s="14"/>
      <c r="AD14" s="14"/>
      <c r="AE14" s="14"/>
      <c r="AF14" s="14"/>
    </row>
    <row r="15" ht="11.25" hidden="1" customHeight="1">
      <c r="A15" s="14"/>
      <c r="B15" s="31"/>
      <c r="C15" s="31"/>
      <c r="D15" s="53" t="s">
        <v>40</v>
      </c>
      <c r="E15" s="54">
        <v>44788.0</v>
      </c>
      <c r="F15" s="55" t="s">
        <v>40</v>
      </c>
      <c r="G15" s="56" t="s">
        <v>53</v>
      </c>
      <c r="H15" s="55" t="s">
        <v>40</v>
      </c>
      <c r="I15" s="54">
        <v>44916.0</v>
      </c>
      <c r="J15" s="55" t="s">
        <v>40</v>
      </c>
      <c r="K15" s="61">
        <v>44618.0</v>
      </c>
      <c r="L15" s="55" t="s">
        <v>40</v>
      </c>
      <c r="M15" s="57" t="s">
        <v>54</v>
      </c>
      <c r="N15" s="55" t="s">
        <v>40</v>
      </c>
      <c r="O15" s="58"/>
      <c r="P15" s="55" t="s">
        <v>40</v>
      </c>
      <c r="Q15" s="60">
        <v>44788.0</v>
      </c>
      <c r="R15" s="21"/>
      <c r="S15" s="21"/>
      <c r="T15" s="21"/>
      <c r="U15" s="21"/>
      <c r="V15" s="14"/>
      <c r="W15" s="14"/>
      <c r="X15" s="14"/>
      <c r="Y15" s="14"/>
      <c r="Z15" s="14"/>
      <c r="AA15" s="14"/>
      <c r="AB15" s="14"/>
      <c r="AC15" s="14"/>
      <c r="AD15" s="14"/>
      <c r="AE15" s="14"/>
      <c r="AF15" s="14"/>
    </row>
    <row r="16" ht="11.25" hidden="1" customHeight="1">
      <c r="A16" s="14"/>
      <c r="B16" s="31"/>
      <c r="C16" s="31"/>
      <c r="D16" s="53" t="s">
        <v>43</v>
      </c>
      <c r="E16" s="56" t="s">
        <v>55</v>
      </c>
      <c r="F16" s="55" t="s">
        <v>43</v>
      </c>
      <c r="G16" s="54" t="s">
        <v>56</v>
      </c>
      <c r="H16" s="55" t="s">
        <v>43</v>
      </c>
      <c r="I16" s="56" t="s">
        <v>45</v>
      </c>
      <c r="J16" s="55" t="s">
        <v>43</v>
      </c>
      <c r="K16" s="56" t="s">
        <v>57</v>
      </c>
      <c r="L16" s="55" t="s">
        <v>43</v>
      </c>
      <c r="M16" s="59" t="s">
        <v>58</v>
      </c>
      <c r="N16" s="55" t="s">
        <v>43</v>
      </c>
      <c r="O16" s="58"/>
      <c r="P16" s="55" t="s">
        <v>43</v>
      </c>
      <c r="Q16" s="59"/>
      <c r="R16" s="21"/>
      <c r="S16" s="21"/>
      <c r="T16" s="21"/>
      <c r="U16" s="21"/>
      <c r="V16" s="14"/>
      <c r="W16" s="14"/>
      <c r="X16" s="14"/>
      <c r="Y16" s="14"/>
      <c r="Z16" s="14"/>
      <c r="AA16" s="14"/>
      <c r="AB16" s="14"/>
      <c r="AC16" s="14"/>
      <c r="AD16" s="14"/>
      <c r="AE16" s="14"/>
      <c r="AF16" s="14"/>
    </row>
    <row r="17" ht="11.25" hidden="1" customHeight="1">
      <c r="A17" s="14"/>
      <c r="B17" s="31"/>
      <c r="C17" s="31"/>
      <c r="D17" s="53" t="s">
        <v>48</v>
      </c>
      <c r="E17" s="56" t="s">
        <v>59</v>
      </c>
      <c r="F17" s="55" t="s">
        <v>48</v>
      </c>
      <c r="G17" s="62">
        <v>44851.0</v>
      </c>
      <c r="H17" s="55" t="s">
        <v>48</v>
      </c>
      <c r="I17" s="54">
        <v>44566.0</v>
      </c>
      <c r="J17" s="55" t="s">
        <v>48</v>
      </c>
      <c r="K17" s="54">
        <v>44628.0</v>
      </c>
      <c r="L17" s="55" t="s">
        <v>48</v>
      </c>
      <c r="M17" s="57" t="s">
        <v>60</v>
      </c>
      <c r="N17" s="55" t="s">
        <v>48</v>
      </c>
      <c r="O17" s="58"/>
      <c r="P17" s="55" t="s">
        <v>48</v>
      </c>
      <c r="Q17" s="59"/>
      <c r="R17" s="21"/>
      <c r="S17" s="21"/>
      <c r="T17" s="21"/>
      <c r="U17" s="21"/>
      <c r="V17" s="14"/>
      <c r="W17" s="14"/>
      <c r="X17" s="14"/>
      <c r="Y17" s="14"/>
      <c r="Z17" s="14"/>
      <c r="AA17" s="14"/>
      <c r="AB17" s="14"/>
      <c r="AC17" s="14"/>
      <c r="AD17" s="14"/>
      <c r="AE17" s="14"/>
      <c r="AF17" s="14"/>
    </row>
    <row r="18" ht="11.25" hidden="1" customHeight="1">
      <c r="A18" s="14"/>
      <c r="B18" s="31"/>
      <c r="C18" s="31"/>
      <c r="D18" s="53" t="s">
        <v>50</v>
      </c>
      <c r="E18" s="56" t="s">
        <v>61</v>
      </c>
      <c r="F18" s="55" t="s">
        <v>50</v>
      </c>
      <c r="G18" s="56" t="s">
        <v>62</v>
      </c>
      <c r="H18" s="55" t="s">
        <v>50</v>
      </c>
      <c r="I18" s="54">
        <v>44937.0</v>
      </c>
      <c r="J18" s="55" t="s">
        <v>50</v>
      </c>
      <c r="K18" s="54">
        <v>45000.0</v>
      </c>
      <c r="L18" s="55" t="s">
        <v>50</v>
      </c>
      <c r="M18" s="59" t="s">
        <v>63</v>
      </c>
      <c r="N18" s="55" t="s">
        <v>50</v>
      </c>
      <c r="O18" s="58"/>
      <c r="P18" s="55" t="s">
        <v>50</v>
      </c>
      <c r="Q18" s="60">
        <v>44804.0</v>
      </c>
      <c r="R18" s="21"/>
      <c r="S18" s="21"/>
      <c r="T18" s="21"/>
      <c r="U18" s="21"/>
      <c r="V18" s="14"/>
      <c r="W18" s="14"/>
      <c r="X18" s="14"/>
      <c r="Y18" s="14"/>
      <c r="Z18" s="14"/>
      <c r="AA18" s="14"/>
      <c r="AB18" s="14"/>
      <c r="AC18" s="14"/>
      <c r="AD18" s="14"/>
      <c r="AE18" s="14"/>
      <c r="AF18" s="14"/>
    </row>
    <row r="19" ht="11.25" hidden="1" customHeight="1">
      <c r="A19" s="14"/>
      <c r="B19" s="15"/>
      <c r="C19" s="15"/>
      <c r="D19" s="63" t="s">
        <v>64</v>
      </c>
      <c r="E19" s="54">
        <v>44825.0</v>
      </c>
      <c r="F19" s="63" t="s">
        <v>64</v>
      </c>
      <c r="G19" s="54">
        <v>44874.0</v>
      </c>
      <c r="H19" s="63" t="s">
        <v>64</v>
      </c>
      <c r="I19" s="64">
        <v>44598.0</v>
      </c>
      <c r="J19" s="63" t="s">
        <v>64</v>
      </c>
      <c r="K19" s="54">
        <v>44649.0</v>
      </c>
      <c r="L19" s="63" t="s">
        <v>64</v>
      </c>
      <c r="M19" s="60">
        <v>44698.0</v>
      </c>
      <c r="N19" s="63" t="s">
        <v>64</v>
      </c>
      <c r="O19" s="58"/>
      <c r="P19" s="63" t="s">
        <v>64</v>
      </c>
      <c r="Q19" s="65">
        <v>44806.0</v>
      </c>
      <c r="R19" s="21"/>
      <c r="S19" s="21"/>
      <c r="T19" s="21"/>
      <c r="U19" s="21"/>
      <c r="V19" s="14"/>
      <c r="W19" s="14"/>
      <c r="X19" s="14"/>
      <c r="Y19" s="14"/>
      <c r="Z19" s="14"/>
      <c r="AA19" s="14"/>
      <c r="AB19" s="14"/>
      <c r="AC19" s="14"/>
      <c r="AD19" s="14"/>
      <c r="AE19" s="14"/>
      <c r="AF19" s="14"/>
    </row>
    <row r="20" ht="7.5" customHeight="1">
      <c r="A20" s="66"/>
      <c r="B20" s="3"/>
      <c r="C20" s="4"/>
      <c r="D20" s="2"/>
      <c r="E20" s="67"/>
      <c r="F20" s="67"/>
      <c r="G20" s="2"/>
      <c r="H20" s="4"/>
      <c r="I20" s="4"/>
      <c r="J20" s="2"/>
      <c r="K20" s="2"/>
      <c r="L20" s="2"/>
      <c r="M20" s="2"/>
      <c r="N20" s="2"/>
      <c r="O20" s="2"/>
      <c r="P20" s="2"/>
      <c r="Q20" s="2"/>
      <c r="R20" s="2"/>
      <c r="S20" s="2"/>
      <c r="T20" s="2"/>
      <c r="U20" s="2"/>
      <c r="V20" s="1"/>
      <c r="W20" s="1"/>
      <c r="X20" s="1"/>
      <c r="Y20" s="1"/>
      <c r="Z20" s="1"/>
      <c r="AA20" s="1"/>
      <c r="AB20" s="1"/>
      <c r="AC20" s="1"/>
      <c r="AD20" s="1"/>
      <c r="AE20" s="1"/>
      <c r="AF20" s="1"/>
    </row>
    <row r="21">
      <c r="A21" s="66"/>
      <c r="B21" s="68" t="s">
        <v>65</v>
      </c>
      <c r="F21" s="69" t="s">
        <v>66</v>
      </c>
      <c r="H21" s="2"/>
      <c r="I21" s="70" t="s">
        <v>67</v>
      </c>
      <c r="M21" s="70" t="s">
        <v>66</v>
      </c>
      <c r="O21" s="2"/>
      <c r="P21" s="70" t="s">
        <v>68</v>
      </c>
      <c r="T21" s="69" t="s">
        <v>66</v>
      </c>
      <c r="V21" s="1"/>
      <c r="W21" s="1"/>
      <c r="X21" s="1"/>
      <c r="Y21" s="1"/>
      <c r="Z21" s="1"/>
      <c r="AA21" s="1"/>
      <c r="AB21" s="1"/>
      <c r="AC21" s="1"/>
      <c r="AD21" s="1"/>
      <c r="AE21" s="1"/>
      <c r="AF21" s="1"/>
    </row>
    <row r="22">
      <c r="A22" s="71"/>
      <c r="B22" s="72" t="s">
        <v>69</v>
      </c>
      <c r="F22" s="73" t="s">
        <v>70</v>
      </c>
      <c r="H22" s="2"/>
      <c r="I22" s="74" t="s">
        <v>71</v>
      </c>
      <c r="M22" s="73" t="s">
        <v>72</v>
      </c>
      <c r="O22" s="2"/>
      <c r="P22" s="75" t="s">
        <v>73</v>
      </c>
      <c r="T22" s="76" t="s">
        <v>74</v>
      </c>
      <c r="V22" s="1"/>
      <c r="W22" s="1"/>
      <c r="X22" s="1"/>
      <c r="Y22" s="1"/>
      <c r="Z22" s="1"/>
      <c r="AA22" s="1"/>
      <c r="AB22" s="1"/>
      <c r="AC22" s="1"/>
      <c r="AD22" s="1"/>
      <c r="AE22" s="1"/>
      <c r="AF22" s="1"/>
    </row>
    <row r="23" ht="18.75" customHeight="1">
      <c r="A23" s="77"/>
      <c r="B23" s="78" t="s">
        <v>75</v>
      </c>
      <c r="F23" s="79" t="s">
        <v>76</v>
      </c>
      <c r="H23" s="2"/>
      <c r="I23" s="80" t="s">
        <v>77</v>
      </c>
      <c r="M23" s="73" t="s">
        <v>72</v>
      </c>
      <c r="O23" s="2"/>
      <c r="P23" s="81" t="s">
        <v>78</v>
      </c>
      <c r="T23" s="82" t="s">
        <v>79</v>
      </c>
      <c r="V23" s="1"/>
      <c r="W23" s="1"/>
      <c r="X23" s="1"/>
      <c r="Y23" s="1"/>
      <c r="Z23" s="1"/>
      <c r="AA23" s="1"/>
      <c r="AB23" s="1"/>
      <c r="AC23" s="1"/>
      <c r="AD23" s="1"/>
      <c r="AE23" s="1"/>
      <c r="AF23" s="1"/>
    </row>
    <row r="24">
      <c r="A24" s="77"/>
      <c r="B24" s="83" t="s">
        <v>80</v>
      </c>
      <c r="F24" s="79" t="s">
        <v>81</v>
      </c>
      <c r="H24" s="2"/>
      <c r="I24" s="84" t="s">
        <v>82</v>
      </c>
      <c r="M24" s="85" t="s">
        <v>83</v>
      </c>
      <c r="O24" s="2"/>
      <c r="P24" s="86"/>
      <c r="T24" s="82"/>
      <c r="V24" s="1"/>
      <c r="W24" s="87"/>
      <c r="X24" s="1"/>
      <c r="Y24" s="1"/>
      <c r="Z24" s="1"/>
      <c r="AA24" s="1"/>
      <c r="AB24" s="1"/>
      <c r="AC24" s="1"/>
      <c r="AD24" s="1"/>
      <c r="AE24" s="1"/>
      <c r="AF24" s="1"/>
    </row>
    <row r="25">
      <c r="A25" s="77"/>
      <c r="B25" s="88" t="s">
        <v>84</v>
      </c>
      <c r="F25" s="73" t="s">
        <v>85</v>
      </c>
      <c r="H25" s="2"/>
      <c r="I25" s="89" t="s">
        <v>86</v>
      </c>
      <c r="M25" s="85" t="s">
        <v>87</v>
      </c>
      <c r="O25" s="2"/>
      <c r="P25" s="90"/>
      <c r="T25" s="91"/>
      <c r="V25" s="1"/>
      <c r="W25" s="1"/>
      <c r="X25" s="1"/>
      <c r="Y25" s="1"/>
      <c r="Z25" s="1"/>
      <c r="AA25" s="1"/>
      <c r="AB25" s="1"/>
      <c r="AC25" s="1"/>
      <c r="AD25" s="1"/>
      <c r="AE25" s="1"/>
      <c r="AF25" s="1"/>
    </row>
    <row r="26">
      <c r="A26" s="77"/>
      <c r="B26" s="92"/>
      <c r="F26" s="82"/>
      <c r="H26" s="2"/>
      <c r="I26" s="86" t="s">
        <v>88</v>
      </c>
      <c r="M26" s="73" t="s">
        <v>89</v>
      </c>
      <c r="O26" s="2"/>
      <c r="P26" s="81" t="s">
        <v>90</v>
      </c>
      <c r="T26" s="73" t="s">
        <v>91</v>
      </c>
      <c r="V26" s="1"/>
      <c r="W26" s="1"/>
      <c r="X26" s="1"/>
      <c r="Y26" s="1"/>
      <c r="Z26" s="1"/>
      <c r="AA26" s="1"/>
      <c r="AB26" s="1"/>
      <c r="AC26" s="1"/>
      <c r="AD26" s="1"/>
      <c r="AE26" s="1"/>
      <c r="AF26" s="1"/>
    </row>
    <row r="27">
      <c r="A27" s="77"/>
      <c r="B27" s="93" t="s">
        <v>92</v>
      </c>
      <c r="F27" s="79" t="s">
        <v>70</v>
      </c>
      <c r="H27" s="2"/>
      <c r="I27" s="94"/>
      <c r="M27" s="82"/>
      <c r="O27" s="2"/>
      <c r="P27" s="81" t="s">
        <v>93</v>
      </c>
      <c r="T27" s="73" t="s">
        <v>94</v>
      </c>
      <c r="V27" s="1"/>
      <c r="W27" s="1"/>
      <c r="X27" s="1"/>
      <c r="Y27" s="1"/>
      <c r="Z27" s="1"/>
      <c r="AA27" s="1"/>
      <c r="AB27" s="1"/>
      <c r="AC27" s="1"/>
      <c r="AD27" s="1"/>
      <c r="AE27" s="1"/>
      <c r="AF27" s="1"/>
    </row>
    <row r="28">
      <c r="A28" s="77"/>
      <c r="B28" s="88" t="s">
        <v>95</v>
      </c>
      <c r="F28" s="79" t="s">
        <v>81</v>
      </c>
      <c r="H28" s="2"/>
      <c r="I28" s="95" t="s">
        <v>96</v>
      </c>
      <c r="M28" s="79" t="s">
        <v>97</v>
      </c>
      <c r="O28" s="2"/>
      <c r="P28" s="90"/>
      <c r="T28" s="82"/>
      <c r="V28" s="1"/>
      <c r="W28" s="1"/>
      <c r="X28" s="1"/>
      <c r="Y28" s="1"/>
      <c r="Z28" s="1"/>
      <c r="AA28" s="1"/>
      <c r="AB28" s="1"/>
      <c r="AC28" s="1"/>
      <c r="AD28" s="1"/>
      <c r="AE28" s="1"/>
      <c r="AF28" s="1"/>
    </row>
    <row r="29">
      <c r="A29" s="96"/>
      <c r="B29" s="88" t="s">
        <v>98</v>
      </c>
      <c r="F29" s="73" t="s">
        <v>99</v>
      </c>
      <c r="H29" s="82"/>
      <c r="I29" s="97"/>
      <c r="M29" s="82"/>
      <c r="O29" s="2"/>
      <c r="P29" s="98" t="s">
        <v>100</v>
      </c>
      <c r="T29" s="99" t="s">
        <v>101</v>
      </c>
      <c r="V29" s="1"/>
      <c r="W29" s="1"/>
      <c r="X29" s="1"/>
      <c r="Y29" s="1"/>
      <c r="Z29" s="1"/>
      <c r="AA29" s="1"/>
      <c r="AB29" s="1"/>
      <c r="AC29" s="1"/>
      <c r="AD29" s="1"/>
      <c r="AE29" s="1"/>
      <c r="AF29" s="1"/>
    </row>
    <row r="30">
      <c r="A30" s="100"/>
      <c r="B30" s="88" t="s">
        <v>102</v>
      </c>
      <c r="F30" s="73" t="s">
        <v>103</v>
      </c>
      <c r="H30" s="2"/>
      <c r="I30" s="101" t="s">
        <v>104</v>
      </c>
      <c r="M30" s="79" t="s">
        <v>105</v>
      </c>
      <c r="O30" s="2"/>
      <c r="P30" s="81" t="s">
        <v>106</v>
      </c>
      <c r="T30" s="73" t="s">
        <v>107</v>
      </c>
      <c r="V30" s="1"/>
      <c r="W30" s="1"/>
      <c r="X30" s="1"/>
      <c r="Y30" s="1"/>
      <c r="Z30" s="1"/>
      <c r="AA30" s="1"/>
      <c r="AB30" s="1"/>
      <c r="AC30" s="1"/>
      <c r="AD30" s="1"/>
      <c r="AE30" s="1"/>
      <c r="AF30" s="1"/>
    </row>
    <row r="31">
      <c r="A31" s="100"/>
      <c r="B31" s="92"/>
      <c r="F31" s="82"/>
      <c r="H31" s="2"/>
      <c r="I31" s="102" t="s">
        <v>108</v>
      </c>
      <c r="M31" s="79" t="s">
        <v>105</v>
      </c>
      <c r="O31" s="2"/>
      <c r="P31" s="81" t="s">
        <v>109</v>
      </c>
      <c r="T31" s="73" t="s">
        <v>110</v>
      </c>
      <c r="V31" s="1"/>
      <c r="W31" s="1"/>
      <c r="X31" s="1"/>
      <c r="Y31" s="1"/>
      <c r="Z31" s="1"/>
      <c r="AA31" s="1"/>
      <c r="AB31" s="1"/>
      <c r="AC31" s="1"/>
      <c r="AD31" s="1"/>
      <c r="AE31" s="1"/>
      <c r="AF31" s="1"/>
    </row>
    <row r="32">
      <c r="A32" s="77"/>
      <c r="B32" s="92"/>
      <c r="F32" s="82"/>
      <c r="H32" s="2"/>
      <c r="I32" s="102" t="s">
        <v>111</v>
      </c>
      <c r="M32" s="79" t="s">
        <v>105</v>
      </c>
      <c r="O32" s="2"/>
      <c r="P32" s="90"/>
      <c r="T32" s="82"/>
      <c r="V32" s="1"/>
      <c r="W32" s="1"/>
      <c r="X32" s="1"/>
      <c r="Y32" s="1"/>
      <c r="Z32" s="1"/>
      <c r="AA32" s="1"/>
      <c r="AB32" s="1"/>
      <c r="AC32" s="1"/>
      <c r="AD32" s="1"/>
      <c r="AE32" s="1"/>
      <c r="AF32" s="1"/>
    </row>
    <row r="33">
      <c r="A33" s="77"/>
      <c r="B33" s="92"/>
      <c r="F33" s="82"/>
      <c r="H33" s="2"/>
      <c r="I33" s="103"/>
      <c r="M33" s="103"/>
      <c r="O33" s="2"/>
      <c r="V33" s="1"/>
      <c r="W33" s="1"/>
      <c r="X33" s="1"/>
      <c r="Y33" s="1"/>
      <c r="Z33" s="1"/>
      <c r="AA33" s="1"/>
      <c r="AB33" s="1"/>
      <c r="AC33" s="1"/>
      <c r="AD33" s="1"/>
      <c r="AE33" s="1"/>
      <c r="AF33" s="1"/>
    </row>
    <row r="34">
      <c r="A34" s="77"/>
      <c r="B34" s="92"/>
      <c r="F34" s="82"/>
      <c r="H34" s="2"/>
      <c r="I34" s="103"/>
      <c r="M34" s="103"/>
      <c r="O34" s="2"/>
      <c r="P34" s="104" t="s">
        <v>112</v>
      </c>
      <c r="T34" s="82"/>
      <c r="V34" s="1"/>
      <c r="W34" s="1"/>
      <c r="X34" s="1"/>
      <c r="Y34" s="1"/>
      <c r="Z34" s="1"/>
      <c r="AA34" s="1"/>
      <c r="AB34" s="1"/>
      <c r="AC34" s="1"/>
      <c r="AD34" s="1"/>
      <c r="AE34" s="1"/>
      <c r="AF34" s="1"/>
    </row>
    <row r="35">
      <c r="A35" s="1"/>
      <c r="B35" s="92"/>
      <c r="F35" s="82"/>
      <c r="H35" s="2"/>
      <c r="I35" s="103"/>
      <c r="M35" s="103"/>
      <c r="O35" s="2"/>
      <c r="P35" s="104" t="s">
        <v>113</v>
      </c>
      <c r="T35" s="73" t="s">
        <v>94</v>
      </c>
      <c r="V35" s="1"/>
      <c r="W35" s="1"/>
      <c r="X35" s="1"/>
      <c r="Y35" s="1"/>
      <c r="Z35" s="1"/>
      <c r="AA35" s="1"/>
      <c r="AB35" s="1"/>
      <c r="AC35" s="1"/>
      <c r="AD35" s="1"/>
      <c r="AE35" s="1"/>
      <c r="AF35" s="1"/>
    </row>
    <row r="36">
      <c r="A36" s="1"/>
      <c r="B36" s="92"/>
      <c r="F36" s="82"/>
      <c r="H36" s="2"/>
      <c r="I36" s="103"/>
      <c r="M36" s="103"/>
      <c r="O36" s="2"/>
      <c r="P36" s="90"/>
      <c r="T36" s="82"/>
      <c r="V36" s="1"/>
      <c r="W36" s="1"/>
      <c r="X36" s="1"/>
      <c r="Y36" s="1"/>
      <c r="Z36" s="1"/>
      <c r="AA36" s="1"/>
      <c r="AB36" s="1"/>
      <c r="AC36" s="1"/>
      <c r="AD36" s="1"/>
      <c r="AE36" s="1"/>
      <c r="AF36" s="1"/>
    </row>
    <row r="37">
      <c r="A37" s="1"/>
      <c r="B37" s="92"/>
      <c r="F37" s="82"/>
      <c r="H37" s="2"/>
      <c r="I37" s="103"/>
      <c r="M37" s="103"/>
      <c r="O37" s="2"/>
      <c r="P37" s="105" t="s">
        <v>114</v>
      </c>
      <c r="T37" s="87"/>
      <c r="V37" s="1"/>
      <c r="W37" s="1"/>
      <c r="X37" s="1"/>
      <c r="Y37" s="1"/>
      <c r="Z37" s="1"/>
      <c r="AA37" s="1"/>
      <c r="AB37" s="1"/>
      <c r="AC37" s="1"/>
      <c r="AD37" s="1"/>
      <c r="AE37" s="1"/>
      <c r="AF37" s="1"/>
    </row>
    <row r="38" hidden="1">
      <c r="A38" s="66"/>
      <c r="B38" s="69" t="s">
        <v>115</v>
      </c>
      <c r="F38" s="69" t="s">
        <v>66</v>
      </c>
      <c r="H38" s="2"/>
      <c r="I38" s="103"/>
      <c r="M38" s="103"/>
      <c r="O38" s="2"/>
      <c r="P38" s="105" t="s">
        <v>116</v>
      </c>
      <c r="T38" s="73" t="s">
        <v>94</v>
      </c>
      <c r="V38" s="1"/>
      <c r="W38" s="87"/>
      <c r="X38" s="87"/>
      <c r="Y38" s="87"/>
      <c r="Z38" s="87"/>
      <c r="AA38" s="87"/>
      <c r="AB38" s="87"/>
      <c r="AC38" s="1"/>
      <c r="AD38" s="1"/>
      <c r="AE38" s="1"/>
      <c r="AF38" s="1"/>
    </row>
    <row r="39" hidden="1">
      <c r="A39" s="77"/>
      <c r="B39" s="75" t="s">
        <v>117</v>
      </c>
      <c r="F39" s="91" t="s">
        <v>118</v>
      </c>
      <c r="H39" s="2"/>
      <c r="I39" s="103"/>
      <c r="M39" s="103"/>
      <c r="O39" s="2"/>
      <c r="P39" s="106" t="s">
        <v>119</v>
      </c>
      <c r="T39" s="82" t="s">
        <v>120</v>
      </c>
      <c r="V39" s="1"/>
      <c r="W39" s="87"/>
      <c r="X39" s="87"/>
      <c r="Y39" s="87"/>
      <c r="Z39" s="87"/>
      <c r="AA39" s="87"/>
      <c r="AB39" s="87"/>
      <c r="AC39" s="1"/>
      <c r="AD39" s="1"/>
      <c r="AE39" s="1"/>
      <c r="AF39" s="1"/>
    </row>
    <row r="40" hidden="1">
      <c r="A40" s="77"/>
      <c r="B40" s="107" t="s">
        <v>121</v>
      </c>
      <c r="F40" s="91" t="s">
        <v>118</v>
      </c>
      <c r="H40" s="2"/>
      <c r="I40" s="103"/>
      <c r="M40" s="103"/>
      <c r="O40" s="2"/>
      <c r="P40" s="108" t="s">
        <v>122</v>
      </c>
      <c r="T40" s="82" t="s">
        <v>123</v>
      </c>
      <c r="V40" s="1"/>
      <c r="W40" s="87"/>
      <c r="X40" s="87"/>
      <c r="Y40" s="87"/>
      <c r="Z40" s="87"/>
      <c r="AA40" s="87"/>
      <c r="AB40" s="87"/>
      <c r="AC40" s="1"/>
      <c r="AD40" s="1"/>
      <c r="AE40" s="1"/>
      <c r="AF40" s="1"/>
    </row>
    <row r="41" hidden="1">
      <c r="A41" s="77"/>
      <c r="B41" s="92"/>
      <c r="F41" s="109"/>
      <c r="H41" s="2"/>
      <c r="I41" s="103"/>
      <c r="M41" s="103"/>
      <c r="O41" s="2"/>
      <c r="P41" s="110" t="s">
        <v>124</v>
      </c>
      <c r="T41" s="82" t="s">
        <v>125</v>
      </c>
      <c r="V41" s="1"/>
      <c r="W41" s="87"/>
      <c r="X41" s="87"/>
      <c r="Y41" s="87"/>
      <c r="Z41" s="87"/>
      <c r="AA41" s="87"/>
      <c r="AB41" s="87"/>
      <c r="AC41" s="1"/>
      <c r="AD41" s="1"/>
      <c r="AE41" s="1"/>
      <c r="AF41" s="1"/>
    </row>
    <row r="42" hidden="1">
      <c r="A42" s="77"/>
      <c r="B42" s="92"/>
      <c r="F42" s="109"/>
      <c r="H42" s="2"/>
      <c r="I42" s="103"/>
      <c r="M42" s="103"/>
      <c r="O42" s="2"/>
      <c r="P42" s="111" t="s">
        <v>126</v>
      </c>
      <c r="T42" s="82" t="s">
        <v>127</v>
      </c>
      <c r="V42" s="1"/>
      <c r="W42" s="87"/>
      <c r="X42" s="87"/>
      <c r="Y42" s="87"/>
      <c r="Z42" s="87"/>
      <c r="AA42" s="87"/>
      <c r="AB42" s="87"/>
      <c r="AC42" s="1"/>
      <c r="AD42" s="1"/>
      <c r="AE42" s="1"/>
      <c r="AF42" s="1"/>
    </row>
    <row r="43" hidden="1">
      <c r="A43" s="77"/>
      <c r="B43" s="92"/>
      <c r="F43" s="109"/>
      <c r="H43" s="2"/>
      <c r="I43" s="103"/>
      <c r="M43" s="103"/>
      <c r="O43" s="2"/>
      <c r="P43" s="111" t="s">
        <v>128</v>
      </c>
      <c r="T43" s="82" t="s">
        <v>127</v>
      </c>
      <c r="V43" s="1"/>
      <c r="W43" s="87"/>
      <c r="X43" s="87"/>
      <c r="Y43" s="87"/>
      <c r="Z43" s="87"/>
      <c r="AA43" s="87"/>
      <c r="AB43" s="87"/>
      <c r="AC43" s="1"/>
      <c r="AD43" s="1"/>
      <c r="AE43" s="1"/>
      <c r="AF43" s="1"/>
    </row>
    <row r="44" hidden="1">
      <c r="A44" s="77"/>
      <c r="B44" s="92"/>
      <c r="F44" s="109"/>
      <c r="H44" s="2"/>
      <c r="I44" s="103"/>
      <c r="M44" s="103"/>
      <c r="O44" s="2"/>
      <c r="P44" s="108" t="s">
        <v>129</v>
      </c>
      <c r="T44" s="82" t="s">
        <v>127</v>
      </c>
      <c r="V44" s="1"/>
      <c r="W44" s="87"/>
      <c r="X44" s="87"/>
      <c r="Y44" s="87"/>
      <c r="Z44" s="87"/>
      <c r="AA44" s="87"/>
      <c r="AB44" s="87"/>
      <c r="AC44" s="1"/>
      <c r="AD44" s="1"/>
      <c r="AE44" s="1"/>
      <c r="AF44" s="1"/>
    </row>
    <row r="45" hidden="1">
      <c r="A45" s="77"/>
      <c r="B45" s="92"/>
      <c r="F45" s="109"/>
      <c r="H45" s="2"/>
      <c r="I45" s="103"/>
      <c r="M45" s="103"/>
      <c r="O45" s="2"/>
      <c r="P45" s="108"/>
      <c r="T45" s="112"/>
      <c r="V45" s="1"/>
      <c r="W45" s="87"/>
      <c r="X45" s="87"/>
      <c r="Y45" s="87"/>
      <c r="Z45" s="87"/>
      <c r="AA45" s="87"/>
      <c r="AB45" s="87"/>
      <c r="AC45" s="1"/>
      <c r="AD45" s="1"/>
      <c r="AE45" s="1"/>
      <c r="AF45" s="1"/>
    </row>
    <row r="46" hidden="1">
      <c r="A46" s="77"/>
      <c r="B46" s="92"/>
      <c r="F46" s="109"/>
      <c r="H46" s="2"/>
      <c r="I46" s="103"/>
      <c r="M46" s="103"/>
      <c r="O46" s="2"/>
      <c r="P46" s="113" t="s">
        <v>130</v>
      </c>
      <c r="T46" s="82" t="s">
        <v>131</v>
      </c>
      <c r="V46" s="1"/>
      <c r="W46" s="87"/>
      <c r="X46" s="87"/>
      <c r="Y46" s="87"/>
      <c r="Z46" s="87"/>
      <c r="AA46" s="87"/>
      <c r="AB46" s="87"/>
      <c r="AC46" s="1"/>
      <c r="AD46" s="1"/>
      <c r="AE46" s="1"/>
      <c r="AF46" s="1"/>
    </row>
    <row r="47" hidden="1">
      <c r="A47" s="77"/>
      <c r="B47" s="92"/>
      <c r="F47" s="109"/>
      <c r="H47" s="2"/>
      <c r="I47" s="103"/>
      <c r="M47" s="103"/>
      <c r="O47" s="2"/>
      <c r="P47" s="106" t="s">
        <v>132</v>
      </c>
      <c r="T47" s="82" t="s">
        <v>133</v>
      </c>
      <c r="V47" s="1"/>
      <c r="W47" s="87"/>
      <c r="X47" s="87"/>
      <c r="Y47" s="87"/>
      <c r="Z47" s="87"/>
      <c r="AA47" s="87"/>
      <c r="AB47" s="87"/>
      <c r="AC47" s="1"/>
      <c r="AD47" s="1"/>
      <c r="AE47" s="1"/>
      <c r="AF47" s="1"/>
    </row>
    <row r="48" hidden="1">
      <c r="A48" s="77"/>
      <c r="B48" s="92"/>
      <c r="F48" s="109"/>
      <c r="H48" s="2"/>
      <c r="I48" s="103"/>
      <c r="M48" s="103"/>
      <c r="O48" s="2"/>
      <c r="P48" s="106" t="s">
        <v>134</v>
      </c>
      <c r="T48" s="82" t="s">
        <v>135</v>
      </c>
      <c r="V48" s="1"/>
      <c r="W48" s="87"/>
      <c r="X48" s="87"/>
      <c r="Y48" s="87"/>
      <c r="Z48" s="87"/>
      <c r="AA48" s="87"/>
      <c r="AB48" s="87"/>
      <c r="AC48" s="1"/>
      <c r="AD48" s="1"/>
      <c r="AE48" s="1"/>
      <c r="AF48" s="1"/>
    </row>
    <row r="49" hidden="1">
      <c r="A49" s="77"/>
      <c r="B49" s="92"/>
      <c r="F49" s="109"/>
      <c r="H49" s="2"/>
      <c r="I49" s="103"/>
      <c r="M49" s="103"/>
      <c r="O49" s="2"/>
      <c r="P49" s="114" t="s">
        <v>136</v>
      </c>
      <c r="T49" s="82" t="s">
        <v>137</v>
      </c>
      <c r="V49" s="1"/>
      <c r="W49" s="87"/>
      <c r="X49" s="87"/>
      <c r="Y49" s="87"/>
      <c r="Z49" s="87"/>
      <c r="AA49" s="87"/>
      <c r="AB49" s="87"/>
      <c r="AC49" s="1"/>
      <c r="AD49" s="1"/>
      <c r="AE49" s="1"/>
      <c r="AF49" s="1"/>
    </row>
    <row r="50" hidden="1">
      <c r="A50" s="77"/>
      <c r="B50" s="92"/>
      <c r="F50" s="109"/>
      <c r="H50" s="2"/>
      <c r="I50" s="103"/>
      <c r="M50" s="103"/>
      <c r="O50" s="2"/>
      <c r="P50" s="114" t="s">
        <v>138</v>
      </c>
      <c r="T50" s="115" t="s">
        <v>139</v>
      </c>
      <c r="V50" s="1"/>
      <c r="W50" s="87"/>
      <c r="X50" s="87"/>
      <c r="Y50" s="87"/>
      <c r="Z50" s="87"/>
      <c r="AA50" s="87"/>
      <c r="AB50" s="87"/>
      <c r="AC50" s="1"/>
      <c r="AD50" s="1"/>
      <c r="AE50" s="1"/>
      <c r="AF50" s="1"/>
    </row>
    <row r="51" hidden="1">
      <c r="A51" s="77"/>
      <c r="B51" s="116"/>
      <c r="F51" s="91"/>
      <c r="H51" s="2"/>
      <c r="I51" s="103"/>
      <c r="M51" s="103"/>
      <c r="O51" s="2"/>
      <c r="P51" s="108"/>
      <c r="T51" s="112"/>
      <c r="V51" s="1"/>
      <c r="W51" s="1"/>
      <c r="X51" s="1"/>
      <c r="Y51" s="1"/>
      <c r="Z51" s="1"/>
      <c r="AA51" s="1"/>
      <c r="AB51" s="1"/>
      <c r="AC51" s="1"/>
      <c r="AD51" s="1"/>
      <c r="AE51" s="1"/>
      <c r="AF51" s="1"/>
    </row>
    <row r="52" hidden="1">
      <c r="A52" s="77"/>
      <c r="B52" s="116"/>
      <c r="F52" s="91"/>
      <c r="H52" s="2"/>
      <c r="I52" s="103"/>
      <c r="M52" s="103"/>
      <c r="O52" s="2"/>
      <c r="P52" s="106"/>
      <c r="T52" s="112"/>
      <c r="V52" s="1"/>
      <c r="W52" s="1"/>
      <c r="X52" s="1"/>
      <c r="Y52" s="1"/>
      <c r="Z52" s="1"/>
      <c r="AA52" s="1"/>
      <c r="AB52" s="1"/>
      <c r="AC52" s="1"/>
      <c r="AD52" s="1"/>
      <c r="AE52" s="1"/>
      <c r="AF52" s="1"/>
    </row>
    <row r="53" ht="18.0" hidden="1" customHeight="1">
      <c r="A53" s="77"/>
      <c r="B53" s="116"/>
      <c r="F53" s="91"/>
      <c r="H53" s="2"/>
      <c r="I53" s="103"/>
      <c r="M53" s="103"/>
      <c r="O53" s="2"/>
      <c r="P53" s="108"/>
      <c r="T53" s="117"/>
      <c r="V53" s="1"/>
      <c r="W53" s="1"/>
      <c r="X53" s="1"/>
      <c r="Y53" s="1"/>
      <c r="Z53" s="1"/>
      <c r="AA53" s="1"/>
      <c r="AB53" s="1"/>
      <c r="AC53" s="1"/>
      <c r="AD53" s="1"/>
      <c r="AE53" s="1"/>
      <c r="AF53" s="1"/>
    </row>
    <row r="54" hidden="1">
      <c r="A54" s="77"/>
      <c r="B54" s="116"/>
      <c r="F54" s="91"/>
      <c r="H54" s="2"/>
      <c r="I54" s="103"/>
      <c r="M54" s="103"/>
      <c r="O54" s="2"/>
      <c r="P54" s="108"/>
      <c r="T54" s="117"/>
      <c r="V54" s="1"/>
      <c r="W54" s="1"/>
      <c r="X54" s="1"/>
      <c r="Y54" s="1"/>
      <c r="Z54" s="1"/>
      <c r="AA54" s="1"/>
      <c r="AB54" s="1"/>
      <c r="AC54" s="1"/>
      <c r="AD54" s="1"/>
      <c r="AE54" s="1"/>
      <c r="AF54" s="1"/>
    </row>
    <row r="55" hidden="1">
      <c r="A55" s="77"/>
      <c r="B55" s="116"/>
      <c r="F55" s="91"/>
      <c r="H55" s="2"/>
      <c r="I55" s="103"/>
      <c r="M55" s="103"/>
      <c r="O55" s="2"/>
      <c r="P55" s="108"/>
      <c r="T55" s="117"/>
      <c r="V55" s="1"/>
      <c r="W55" s="1"/>
      <c r="X55" s="1"/>
      <c r="Y55" s="1"/>
      <c r="Z55" s="1"/>
      <c r="AA55" s="1"/>
      <c r="AB55" s="1"/>
      <c r="AC55" s="1"/>
      <c r="AD55" s="1"/>
      <c r="AE55" s="1"/>
      <c r="AF55" s="1"/>
    </row>
    <row r="56" hidden="1">
      <c r="A56" s="77"/>
      <c r="B56" s="116"/>
      <c r="F56" s="91"/>
      <c r="H56" s="2"/>
      <c r="I56" s="103"/>
      <c r="M56" s="103"/>
      <c r="O56" s="2"/>
      <c r="P56" s="108"/>
      <c r="T56" s="117"/>
      <c r="V56" s="1"/>
      <c r="W56" s="1"/>
      <c r="X56" s="1"/>
      <c r="Y56" s="1"/>
      <c r="Z56" s="1"/>
      <c r="AA56" s="1"/>
      <c r="AB56" s="1"/>
      <c r="AC56" s="1"/>
      <c r="AD56" s="1"/>
      <c r="AE56" s="1"/>
      <c r="AF56" s="1"/>
    </row>
    <row r="57" hidden="1">
      <c r="A57" s="77"/>
      <c r="B57" s="118"/>
      <c r="F57" s="117"/>
      <c r="H57" s="2"/>
      <c r="I57" s="103"/>
      <c r="M57" s="103"/>
      <c r="O57" s="2"/>
      <c r="P57" s="119"/>
      <c r="T57" s="120"/>
      <c r="V57" s="1"/>
      <c r="W57" s="1"/>
      <c r="X57" s="1"/>
      <c r="Y57" s="1"/>
      <c r="Z57" s="1"/>
      <c r="AA57" s="1"/>
      <c r="AB57" s="1"/>
      <c r="AC57" s="1"/>
      <c r="AD57" s="1"/>
      <c r="AE57" s="1"/>
      <c r="AF57" s="1"/>
    </row>
    <row r="58" hidden="1">
      <c r="A58" s="66"/>
      <c r="B58" s="69" t="s">
        <v>140</v>
      </c>
      <c r="F58" s="69" t="s">
        <v>66</v>
      </c>
      <c r="H58" s="2"/>
      <c r="I58" s="103"/>
      <c r="M58" s="103"/>
      <c r="O58" s="2"/>
      <c r="P58" s="69" t="s">
        <v>141</v>
      </c>
      <c r="T58" s="69" t="s">
        <v>66</v>
      </c>
      <c r="V58" s="1"/>
      <c r="W58" s="1"/>
      <c r="X58" s="1"/>
      <c r="Y58" s="1"/>
      <c r="Z58" s="1"/>
      <c r="AA58" s="1"/>
      <c r="AB58" s="1"/>
      <c r="AC58" s="1"/>
      <c r="AD58" s="1"/>
      <c r="AE58" s="1"/>
      <c r="AF58" s="1"/>
    </row>
    <row r="59" hidden="1">
      <c r="A59" s="77"/>
      <c r="B59" s="72" t="s">
        <v>142</v>
      </c>
      <c r="F59" s="82" t="s">
        <v>143</v>
      </c>
      <c r="H59" s="2"/>
      <c r="I59" s="103"/>
      <c r="M59" s="103"/>
      <c r="O59" s="2"/>
      <c r="P59" s="114" t="s">
        <v>144</v>
      </c>
      <c r="T59" s="112" t="s">
        <v>135</v>
      </c>
      <c r="V59" s="1"/>
      <c r="W59" s="1"/>
      <c r="X59" s="1"/>
      <c r="Y59" s="1"/>
      <c r="Z59" s="1"/>
      <c r="AA59" s="1"/>
      <c r="AB59" s="1"/>
      <c r="AC59" s="1"/>
      <c r="AD59" s="1"/>
      <c r="AE59" s="1"/>
      <c r="AF59" s="1"/>
    </row>
    <row r="60" hidden="1">
      <c r="A60" s="121"/>
      <c r="B60" s="88" t="s">
        <v>145</v>
      </c>
      <c r="F60" s="82" t="s">
        <v>146</v>
      </c>
      <c r="H60" s="2"/>
      <c r="I60" s="103"/>
      <c r="M60" s="103"/>
      <c r="O60" s="2"/>
      <c r="P60" s="107" t="s">
        <v>147</v>
      </c>
      <c r="T60" s="82" t="s">
        <v>135</v>
      </c>
      <c r="V60" s="1"/>
      <c r="W60" s="1"/>
      <c r="X60" s="1"/>
      <c r="Y60" s="1"/>
      <c r="Z60" s="1"/>
      <c r="AA60" s="1"/>
      <c r="AB60" s="1"/>
      <c r="AC60" s="1"/>
      <c r="AD60" s="1"/>
      <c r="AE60" s="1"/>
      <c r="AF60" s="1"/>
    </row>
    <row r="61" hidden="1">
      <c r="A61" s="121"/>
      <c r="B61" s="75" t="s">
        <v>148</v>
      </c>
      <c r="F61" s="91" t="s">
        <v>149</v>
      </c>
      <c r="H61" s="2"/>
      <c r="I61" s="103"/>
      <c r="M61" s="103"/>
      <c r="O61" s="2"/>
      <c r="P61" s="114" t="s">
        <v>150</v>
      </c>
      <c r="T61" s="112" t="s">
        <v>137</v>
      </c>
      <c r="V61" s="1"/>
      <c r="W61" s="1"/>
      <c r="X61" s="1"/>
      <c r="Y61" s="1"/>
      <c r="Z61" s="1"/>
      <c r="AA61" s="1"/>
      <c r="AB61" s="1"/>
      <c r="AC61" s="1"/>
      <c r="AD61" s="1"/>
      <c r="AE61" s="1"/>
      <c r="AF61" s="1"/>
    </row>
    <row r="62" ht="25.5" hidden="1" customHeight="1">
      <c r="A62" s="121"/>
      <c r="B62" s="75" t="s">
        <v>151</v>
      </c>
      <c r="F62" s="91" t="s">
        <v>152</v>
      </c>
      <c r="H62" s="2"/>
      <c r="I62" s="103"/>
      <c r="M62" s="103"/>
      <c r="O62" s="2"/>
      <c r="P62" s="116"/>
      <c r="T62" s="112"/>
      <c r="V62" s="1"/>
      <c r="W62" s="1"/>
      <c r="X62" s="1"/>
      <c r="Y62" s="1"/>
      <c r="Z62" s="1"/>
      <c r="AA62" s="1"/>
      <c r="AB62" s="1"/>
      <c r="AC62" s="1"/>
      <c r="AD62" s="1"/>
      <c r="AE62" s="1"/>
      <c r="AF62" s="1"/>
    </row>
    <row r="63" ht="16.5" hidden="1" customHeight="1">
      <c r="A63" s="77"/>
      <c r="B63" s="114" t="s">
        <v>153</v>
      </c>
      <c r="F63" s="91" t="s">
        <v>154</v>
      </c>
      <c r="H63" s="2"/>
      <c r="I63" s="103"/>
      <c r="M63" s="103"/>
      <c r="O63" s="2"/>
      <c r="P63" s="106"/>
      <c r="T63" s="112"/>
      <c r="V63" s="1"/>
      <c r="W63" s="1"/>
      <c r="X63" s="1"/>
      <c r="Y63" s="1"/>
      <c r="Z63" s="1"/>
      <c r="AA63" s="1"/>
      <c r="AB63" s="1"/>
      <c r="AC63" s="1"/>
      <c r="AD63" s="1"/>
      <c r="AE63" s="1"/>
      <c r="AF63" s="1"/>
    </row>
    <row r="64" ht="16.5" hidden="1" customHeight="1">
      <c r="A64" s="77"/>
      <c r="B64" s="114" t="s">
        <v>155</v>
      </c>
      <c r="F64" s="91" t="s">
        <v>146</v>
      </c>
      <c r="H64" s="2"/>
      <c r="I64" s="103"/>
      <c r="M64" s="103"/>
      <c r="O64" s="2"/>
      <c r="P64" s="116"/>
      <c r="T64" s="91"/>
      <c r="V64" s="1"/>
      <c r="W64" s="1"/>
      <c r="X64" s="1"/>
      <c r="Y64" s="1"/>
      <c r="Z64" s="1"/>
      <c r="AA64" s="1"/>
      <c r="AB64" s="1"/>
      <c r="AC64" s="1"/>
      <c r="AD64" s="1"/>
      <c r="AE64" s="1"/>
      <c r="AF64" s="1"/>
    </row>
    <row r="65" ht="16.5" hidden="1" customHeight="1">
      <c r="A65" s="77"/>
      <c r="B65" s="88" t="s">
        <v>156</v>
      </c>
      <c r="F65" s="82" t="s">
        <v>157</v>
      </c>
      <c r="H65" s="2"/>
      <c r="I65" s="103"/>
      <c r="M65" s="103"/>
      <c r="O65" s="2"/>
      <c r="P65" s="106"/>
      <c r="T65" s="112"/>
      <c r="V65" s="1"/>
      <c r="W65" s="1"/>
      <c r="X65" s="1"/>
      <c r="Y65" s="1"/>
      <c r="Z65" s="1"/>
      <c r="AA65" s="1"/>
      <c r="AB65" s="1"/>
      <c r="AC65" s="1"/>
      <c r="AD65" s="1"/>
      <c r="AE65" s="1"/>
      <c r="AF65" s="1"/>
    </row>
    <row r="66" ht="16.5" hidden="1" customHeight="1">
      <c r="A66" s="1"/>
      <c r="B66" s="114" t="s">
        <v>158</v>
      </c>
      <c r="F66" s="91" t="s">
        <v>146</v>
      </c>
      <c r="H66" s="2"/>
      <c r="I66" s="103"/>
      <c r="M66" s="103"/>
      <c r="O66" s="2"/>
      <c r="P66" s="106"/>
      <c r="T66" s="112"/>
      <c r="V66" s="1"/>
      <c r="W66" s="1"/>
      <c r="X66" s="1"/>
      <c r="Y66" s="1"/>
      <c r="Z66" s="1"/>
      <c r="AA66" s="1"/>
      <c r="AB66" s="1"/>
      <c r="AC66" s="1"/>
      <c r="AD66" s="1"/>
      <c r="AE66" s="1"/>
      <c r="AF66" s="1"/>
    </row>
    <row r="67" ht="16.5" hidden="1" customHeight="1">
      <c r="A67" s="1"/>
      <c r="B67" s="88" t="s">
        <v>159</v>
      </c>
      <c r="F67" s="82" t="s">
        <v>160</v>
      </c>
      <c r="H67" s="2"/>
      <c r="I67" s="103"/>
      <c r="M67" s="103"/>
      <c r="O67" s="2"/>
      <c r="P67" s="106"/>
      <c r="T67" s="112"/>
      <c r="V67" s="1"/>
      <c r="W67" s="1"/>
      <c r="X67" s="1"/>
      <c r="Y67" s="1"/>
      <c r="Z67" s="1"/>
      <c r="AA67" s="1"/>
      <c r="AB67" s="1"/>
      <c r="AC67" s="1"/>
      <c r="AD67" s="1"/>
      <c r="AE67" s="1"/>
      <c r="AF67" s="1"/>
    </row>
    <row r="68" hidden="1">
      <c r="A68" s="77"/>
      <c r="B68" s="88" t="s">
        <v>161</v>
      </c>
      <c r="F68" s="82" t="s">
        <v>160</v>
      </c>
      <c r="H68" s="2"/>
      <c r="I68" s="103"/>
      <c r="M68" s="103"/>
      <c r="O68" s="2"/>
      <c r="P68" s="116"/>
      <c r="T68" s="82"/>
      <c r="V68" s="1"/>
      <c r="W68" s="1"/>
      <c r="X68" s="1"/>
      <c r="Y68" s="1"/>
      <c r="Z68" s="1"/>
      <c r="AA68" s="1"/>
      <c r="AB68" s="1"/>
      <c r="AC68" s="1"/>
      <c r="AD68" s="1"/>
      <c r="AE68" s="1"/>
      <c r="AF68" s="1"/>
    </row>
    <row r="69" hidden="1">
      <c r="A69" s="1"/>
      <c r="B69" s="75" t="s">
        <v>162</v>
      </c>
      <c r="F69" s="91" t="s">
        <v>163</v>
      </c>
      <c r="H69" s="2"/>
      <c r="I69" s="103"/>
      <c r="M69" s="103"/>
      <c r="O69" s="2"/>
      <c r="P69" s="122"/>
      <c r="T69" s="82"/>
      <c r="V69" s="1"/>
      <c r="W69" s="1"/>
      <c r="X69" s="1"/>
      <c r="Y69" s="1"/>
      <c r="Z69" s="1"/>
      <c r="AA69" s="1"/>
      <c r="AB69" s="1"/>
      <c r="AC69" s="1"/>
      <c r="AD69" s="1"/>
      <c r="AE69" s="1"/>
      <c r="AF69" s="1"/>
    </row>
    <row r="70" hidden="1">
      <c r="A70" s="1"/>
      <c r="B70" s="75" t="s">
        <v>164</v>
      </c>
      <c r="F70" s="91" t="s">
        <v>165</v>
      </c>
      <c r="H70" s="2"/>
      <c r="I70" s="103"/>
      <c r="M70" s="103"/>
      <c r="O70" s="2"/>
      <c r="P70" s="92"/>
      <c r="T70" s="91"/>
      <c r="V70" s="1"/>
      <c r="W70" s="1"/>
      <c r="X70" s="1"/>
      <c r="Y70" s="1"/>
      <c r="Z70" s="1"/>
      <c r="AA70" s="1"/>
      <c r="AB70" s="1"/>
      <c r="AC70" s="1"/>
      <c r="AD70" s="1"/>
      <c r="AE70" s="1"/>
      <c r="AF70" s="1"/>
    </row>
    <row r="71" hidden="1">
      <c r="A71" s="1"/>
      <c r="B71" s="114" t="s">
        <v>166</v>
      </c>
      <c r="F71" s="91" t="s">
        <v>152</v>
      </c>
      <c r="H71" s="2"/>
      <c r="I71" s="103"/>
      <c r="M71" s="103"/>
      <c r="O71" s="2"/>
      <c r="P71" s="92"/>
      <c r="T71" s="115"/>
      <c r="V71" s="1"/>
      <c r="W71" s="1"/>
      <c r="X71" s="1"/>
      <c r="Y71" s="1"/>
      <c r="Z71" s="1"/>
      <c r="AA71" s="1"/>
      <c r="AB71" s="1"/>
      <c r="AC71" s="1"/>
      <c r="AD71" s="1"/>
      <c r="AE71" s="1"/>
      <c r="AF71" s="1"/>
    </row>
    <row r="72" hidden="1">
      <c r="A72" s="1"/>
      <c r="B72" s="106"/>
      <c r="F72" s="91"/>
      <c r="H72" s="2"/>
      <c r="I72" s="103"/>
      <c r="M72" s="103"/>
      <c r="O72" s="2"/>
      <c r="P72" s="119"/>
      <c r="T72" s="120"/>
      <c r="V72" s="1"/>
      <c r="W72" s="1"/>
      <c r="X72" s="1"/>
      <c r="Y72" s="1"/>
      <c r="Z72" s="1"/>
      <c r="AA72" s="1"/>
      <c r="AB72" s="1"/>
      <c r="AC72" s="1"/>
      <c r="AD72" s="1"/>
      <c r="AE72" s="1"/>
      <c r="AF72" s="1"/>
    </row>
    <row r="73" hidden="1">
      <c r="A73" s="1"/>
      <c r="B73" s="106"/>
      <c r="F73" s="91"/>
      <c r="H73" s="2"/>
      <c r="I73" s="103"/>
      <c r="M73" s="103"/>
      <c r="O73" s="2"/>
      <c r="P73" s="119"/>
      <c r="T73" s="120"/>
      <c r="V73" s="1"/>
      <c r="W73" s="1"/>
      <c r="X73" s="1"/>
      <c r="Y73" s="1"/>
      <c r="Z73" s="1"/>
      <c r="AA73" s="1"/>
      <c r="AB73" s="1"/>
      <c r="AC73" s="1"/>
      <c r="AD73" s="1"/>
      <c r="AE73" s="1"/>
      <c r="AF73" s="1"/>
    </row>
    <row r="74" hidden="1">
      <c r="A74" s="1"/>
      <c r="B74" s="108"/>
      <c r="F74" s="117"/>
      <c r="H74" s="2"/>
      <c r="I74" s="103"/>
      <c r="M74" s="103"/>
      <c r="O74" s="2"/>
      <c r="P74" s="119"/>
      <c r="T74" s="120"/>
      <c r="V74" s="1"/>
      <c r="W74" s="1"/>
      <c r="X74" s="1"/>
      <c r="Y74" s="1"/>
      <c r="Z74" s="1"/>
      <c r="AA74" s="1"/>
      <c r="AB74" s="1"/>
      <c r="AC74" s="1"/>
      <c r="AD74" s="1"/>
      <c r="AE74" s="1"/>
      <c r="AF74" s="1"/>
    </row>
    <row r="75" hidden="1">
      <c r="A75" s="66"/>
      <c r="B75" s="69" t="s">
        <v>167</v>
      </c>
      <c r="F75" s="69" t="s">
        <v>66</v>
      </c>
      <c r="H75" s="2"/>
      <c r="I75" s="103"/>
      <c r="M75" s="103"/>
      <c r="O75" s="2"/>
      <c r="P75" s="69" t="s">
        <v>168</v>
      </c>
      <c r="T75" s="69" t="s">
        <v>66</v>
      </c>
      <c r="V75" s="1"/>
      <c r="W75" s="1"/>
      <c r="X75" s="1"/>
      <c r="Y75" s="1"/>
      <c r="Z75" s="1"/>
      <c r="AA75" s="1"/>
      <c r="AB75" s="1"/>
      <c r="AC75" s="1"/>
      <c r="AD75" s="1"/>
      <c r="AE75" s="1"/>
      <c r="AF75" s="1"/>
    </row>
    <row r="76" hidden="1">
      <c r="A76" s="1"/>
      <c r="B76" s="72" t="s">
        <v>169</v>
      </c>
      <c r="F76" s="82" t="s">
        <v>170</v>
      </c>
      <c r="H76" s="2"/>
      <c r="I76" s="103"/>
      <c r="M76" s="103"/>
      <c r="O76" s="2"/>
      <c r="P76" s="108" t="s">
        <v>171</v>
      </c>
      <c r="T76" s="82" t="s">
        <v>172</v>
      </c>
      <c r="V76" s="1"/>
      <c r="W76" s="1"/>
      <c r="X76" s="1"/>
      <c r="Y76" s="1"/>
      <c r="Z76" s="1"/>
      <c r="AA76" s="1"/>
      <c r="AB76" s="1"/>
      <c r="AC76" s="1"/>
      <c r="AD76" s="1"/>
      <c r="AE76" s="1"/>
      <c r="AF76" s="1"/>
    </row>
    <row r="77" hidden="1">
      <c r="A77" s="1"/>
      <c r="B77" s="106" t="s">
        <v>173</v>
      </c>
      <c r="F77" s="91" t="s">
        <v>174</v>
      </c>
      <c r="H77" s="2"/>
      <c r="I77" s="103"/>
      <c r="M77" s="103"/>
      <c r="O77" s="2"/>
      <c r="P77" s="72" t="s">
        <v>175</v>
      </c>
      <c r="T77" s="82" t="s">
        <v>176</v>
      </c>
      <c r="V77" s="1"/>
      <c r="W77" s="1"/>
      <c r="X77" s="1"/>
      <c r="Y77" s="1"/>
      <c r="Z77" s="1"/>
      <c r="AA77" s="1"/>
      <c r="AB77" s="1"/>
      <c r="AC77" s="1"/>
      <c r="AD77" s="1"/>
      <c r="AE77" s="1"/>
      <c r="AF77" s="1"/>
    </row>
    <row r="78" hidden="1">
      <c r="A78" s="1"/>
      <c r="B78" s="108" t="s">
        <v>177</v>
      </c>
      <c r="F78" s="91" t="s">
        <v>174</v>
      </c>
      <c r="H78" s="2"/>
      <c r="I78" s="103"/>
      <c r="M78" s="103"/>
      <c r="O78" s="2"/>
      <c r="P78" s="123" t="s">
        <v>178</v>
      </c>
      <c r="T78" s="124" t="s">
        <v>179</v>
      </c>
      <c r="V78" s="1"/>
      <c r="W78" s="1"/>
      <c r="X78" s="1"/>
      <c r="Y78" s="1"/>
      <c r="Z78" s="1"/>
      <c r="AA78" s="1"/>
      <c r="AB78" s="1"/>
      <c r="AC78" s="1"/>
      <c r="AD78" s="1"/>
      <c r="AE78" s="1"/>
      <c r="AF78" s="1"/>
    </row>
    <row r="79" hidden="1">
      <c r="A79" s="1"/>
      <c r="B79" s="125" t="s">
        <v>180</v>
      </c>
      <c r="F79" s="91" t="s">
        <v>123</v>
      </c>
      <c r="H79" s="2"/>
      <c r="I79" s="103"/>
      <c r="M79" s="103"/>
      <c r="O79" s="2"/>
      <c r="P79" s="108" t="s">
        <v>181</v>
      </c>
      <c r="T79" s="82" t="s">
        <v>123</v>
      </c>
      <c r="V79" s="1"/>
      <c r="W79" s="1"/>
      <c r="X79" s="1"/>
      <c r="Y79" s="1"/>
      <c r="Z79" s="1"/>
      <c r="AA79" s="1"/>
      <c r="AB79" s="1"/>
      <c r="AC79" s="1"/>
      <c r="AD79" s="1"/>
      <c r="AE79" s="1"/>
      <c r="AF79" s="1"/>
    </row>
    <row r="80" hidden="1">
      <c r="A80" s="1"/>
      <c r="B80" s="108" t="s">
        <v>177</v>
      </c>
      <c r="F80" s="91" t="s">
        <v>174</v>
      </c>
      <c r="H80" s="2"/>
      <c r="I80" s="103"/>
      <c r="M80" s="103"/>
      <c r="O80" s="2"/>
      <c r="P80" s="126" t="s">
        <v>182</v>
      </c>
      <c r="T80" s="82" t="s">
        <v>123</v>
      </c>
      <c r="V80" s="1"/>
      <c r="W80" s="1"/>
      <c r="X80" s="1"/>
      <c r="Y80" s="1"/>
      <c r="Z80" s="1"/>
      <c r="AA80" s="1"/>
      <c r="AB80" s="1"/>
      <c r="AC80" s="1"/>
      <c r="AD80" s="1"/>
      <c r="AE80" s="1"/>
      <c r="AF80" s="1"/>
    </row>
    <row r="81" hidden="1">
      <c r="A81" s="1"/>
      <c r="B81" s="75" t="s">
        <v>183</v>
      </c>
      <c r="F81" s="91" t="s">
        <v>184</v>
      </c>
      <c r="H81" s="2"/>
      <c r="I81" s="103"/>
      <c r="M81" s="103"/>
      <c r="O81" s="2"/>
      <c r="P81" s="126" t="s">
        <v>185</v>
      </c>
      <c r="T81" s="82" t="s">
        <v>123</v>
      </c>
      <c r="V81" s="1"/>
      <c r="W81" s="1"/>
      <c r="X81" s="1"/>
      <c r="Y81" s="1"/>
      <c r="Z81" s="1"/>
      <c r="AA81" s="1"/>
      <c r="AB81" s="1"/>
      <c r="AC81" s="1"/>
      <c r="AD81" s="1"/>
      <c r="AE81" s="1"/>
      <c r="AF81" s="1"/>
    </row>
    <row r="82" hidden="1">
      <c r="A82" s="1"/>
      <c r="B82" s="72" t="s">
        <v>186</v>
      </c>
      <c r="F82" s="91" t="s">
        <v>184</v>
      </c>
      <c r="H82" s="2"/>
      <c r="I82" s="103"/>
      <c r="M82" s="103"/>
      <c r="O82" s="2"/>
      <c r="P82" s="126" t="s">
        <v>187</v>
      </c>
      <c r="T82" s="82" t="s">
        <v>123</v>
      </c>
      <c r="V82" s="1"/>
      <c r="W82" s="1"/>
      <c r="X82" s="1"/>
      <c r="Y82" s="1"/>
      <c r="Z82" s="1"/>
      <c r="AA82" s="1"/>
      <c r="AB82" s="1"/>
      <c r="AC82" s="1"/>
      <c r="AD82" s="1"/>
      <c r="AE82" s="1"/>
      <c r="AF82" s="1"/>
    </row>
    <row r="83" hidden="1">
      <c r="A83" s="1"/>
      <c r="B83" s="88" t="s">
        <v>188</v>
      </c>
      <c r="F83" s="82" t="s">
        <v>189</v>
      </c>
      <c r="H83" s="2"/>
      <c r="I83" s="103"/>
      <c r="M83" s="103"/>
      <c r="O83" s="2"/>
      <c r="P83" s="126" t="s">
        <v>190</v>
      </c>
      <c r="T83" s="82" t="s">
        <v>123</v>
      </c>
      <c r="V83" s="1"/>
      <c r="W83" s="1"/>
      <c r="X83" s="1"/>
      <c r="Y83" s="1"/>
      <c r="Z83" s="1"/>
      <c r="AA83" s="1"/>
      <c r="AB83" s="1"/>
      <c r="AC83" s="1"/>
      <c r="AD83" s="1"/>
      <c r="AE83" s="1"/>
      <c r="AF83" s="1"/>
    </row>
    <row r="84" hidden="1">
      <c r="A84" s="66"/>
      <c r="B84" s="106"/>
      <c r="F84" s="91"/>
      <c r="H84" s="2"/>
      <c r="I84" s="103"/>
      <c r="M84" s="103"/>
      <c r="O84" s="2"/>
      <c r="P84" s="127" t="s">
        <v>191</v>
      </c>
      <c r="T84" s="82" t="s">
        <v>123</v>
      </c>
      <c r="V84" s="1"/>
      <c r="W84" s="1"/>
      <c r="X84" s="1"/>
      <c r="Y84" s="1"/>
      <c r="Z84" s="1"/>
      <c r="AA84" s="1"/>
      <c r="AB84" s="1"/>
      <c r="AC84" s="1"/>
      <c r="AD84" s="1"/>
      <c r="AE84" s="1"/>
      <c r="AF84" s="1"/>
    </row>
    <row r="85" hidden="1">
      <c r="A85" s="66"/>
      <c r="B85" s="106"/>
      <c r="F85" s="91"/>
      <c r="H85" s="2"/>
      <c r="I85" s="103"/>
      <c r="M85" s="103"/>
      <c r="O85" s="2"/>
      <c r="P85" s="108" t="s">
        <v>192</v>
      </c>
      <c r="T85" s="82" t="s">
        <v>193</v>
      </c>
      <c r="V85" s="1"/>
      <c r="W85" s="1"/>
      <c r="X85" s="1"/>
      <c r="Y85" s="1"/>
      <c r="Z85" s="1"/>
      <c r="AA85" s="1"/>
      <c r="AB85" s="1"/>
      <c r="AC85" s="1"/>
      <c r="AD85" s="1"/>
      <c r="AE85" s="1"/>
      <c r="AF85" s="1"/>
    </row>
    <row r="86" hidden="1">
      <c r="A86" s="66"/>
      <c r="B86" s="2"/>
      <c r="F86" s="117"/>
      <c r="H86" s="2"/>
      <c r="I86" s="103"/>
      <c r="M86" s="103"/>
      <c r="O86" s="2"/>
      <c r="P86" s="108" t="s">
        <v>194</v>
      </c>
      <c r="T86" s="82" t="s">
        <v>195</v>
      </c>
      <c r="V86" s="1"/>
      <c r="W86" s="1"/>
      <c r="X86" s="1"/>
      <c r="Y86" s="1"/>
      <c r="Z86" s="1"/>
      <c r="AA86" s="1"/>
      <c r="AB86" s="1"/>
      <c r="AC86" s="1"/>
      <c r="AD86" s="1"/>
      <c r="AE86" s="1"/>
      <c r="AF86" s="1"/>
    </row>
    <row r="87" hidden="1">
      <c r="A87" s="1"/>
      <c r="B87" s="2"/>
      <c r="C87" s="117"/>
      <c r="D87" s="2"/>
      <c r="E87" s="2"/>
      <c r="F87" s="2"/>
      <c r="G87" s="2"/>
      <c r="H87" s="2"/>
      <c r="I87" s="103"/>
      <c r="M87" s="103"/>
      <c r="O87" s="2"/>
      <c r="P87" s="88" t="s">
        <v>196</v>
      </c>
      <c r="T87" s="82" t="s">
        <v>197</v>
      </c>
      <c r="V87" s="1"/>
      <c r="W87" s="1"/>
      <c r="X87" s="1"/>
      <c r="Y87" s="1"/>
      <c r="Z87" s="1"/>
      <c r="AA87" s="1"/>
      <c r="AB87" s="1"/>
      <c r="AC87" s="1"/>
      <c r="AD87" s="1"/>
      <c r="AE87" s="1"/>
      <c r="AF87" s="1"/>
    </row>
    <row r="88" hidden="1">
      <c r="A88" s="1"/>
      <c r="B88" s="2"/>
      <c r="C88" s="117"/>
      <c r="D88" s="2"/>
      <c r="E88" s="2"/>
      <c r="F88" s="2"/>
      <c r="G88" s="2"/>
      <c r="H88" s="2"/>
      <c r="I88" s="103"/>
      <c r="M88" s="103"/>
      <c r="O88" s="2"/>
      <c r="P88" s="88" t="s">
        <v>198</v>
      </c>
      <c r="T88" s="82" t="s">
        <v>123</v>
      </c>
      <c r="V88" s="1"/>
      <c r="W88" s="1"/>
      <c r="X88" s="1"/>
      <c r="Y88" s="1"/>
      <c r="Z88" s="1"/>
      <c r="AA88" s="1"/>
      <c r="AB88" s="1"/>
      <c r="AC88" s="1"/>
      <c r="AD88" s="1"/>
      <c r="AE88" s="1"/>
      <c r="AF88" s="1"/>
    </row>
    <row r="89" hidden="1">
      <c r="A89" s="1"/>
      <c r="B89" s="2"/>
      <c r="C89" s="117"/>
      <c r="D89" s="2"/>
      <c r="E89" s="2"/>
      <c r="F89" s="2"/>
      <c r="G89" s="2"/>
      <c r="H89" s="2"/>
      <c r="I89" s="103"/>
      <c r="M89" s="103"/>
      <c r="O89" s="2"/>
      <c r="P89" s="126" t="s">
        <v>199</v>
      </c>
      <c r="T89" s="82" t="s">
        <v>200</v>
      </c>
      <c r="V89" s="1"/>
      <c r="W89" s="1"/>
      <c r="X89" s="1"/>
      <c r="Y89" s="1"/>
      <c r="Z89" s="1"/>
      <c r="AA89" s="1"/>
      <c r="AB89" s="1"/>
      <c r="AC89" s="1"/>
      <c r="AD89" s="1"/>
      <c r="AE89" s="1"/>
      <c r="AF89" s="1"/>
    </row>
    <row r="90" hidden="1">
      <c r="A90" s="1"/>
      <c r="B90" s="2"/>
      <c r="C90" s="117"/>
      <c r="D90" s="2"/>
      <c r="E90" s="2"/>
      <c r="F90" s="2"/>
      <c r="G90" s="2"/>
      <c r="H90" s="2"/>
      <c r="I90" s="103"/>
      <c r="M90" s="103"/>
      <c r="O90" s="2"/>
      <c r="P90" s="88" t="s">
        <v>201</v>
      </c>
      <c r="T90" s="82" t="s">
        <v>135</v>
      </c>
      <c r="V90" s="1"/>
      <c r="W90" s="1"/>
      <c r="X90" s="1"/>
      <c r="Y90" s="1"/>
      <c r="Z90" s="1"/>
      <c r="AA90" s="1"/>
      <c r="AB90" s="1"/>
      <c r="AC90" s="1"/>
      <c r="AD90" s="1"/>
      <c r="AE90" s="1"/>
      <c r="AF90" s="1"/>
    </row>
    <row r="91" hidden="1">
      <c r="A91" s="1"/>
      <c r="B91" s="2"/>
      <c r="C91" s="117"/>
      <c r="D91" s="2"/>
      <c r="E91" s="2"/>
      <c r="F91" s="2"/>
      <c r="G91" s="2"/>
      <c r="H91" s="2"/>
      <c r="I91" s="103"/>
      <c r="M91" s="103"/>
      <c r="O91" s="2"/>
      <c r="P91" s="88" t="s">
        <v>202</v>
      </c>
      <c r="T91" s="82" t="s">
        <v>203</v>
      </c>
      <c r="V91" s="1"/>
      <c r="W91" s="1"/>
      <c r="X91" s="1"/>
      <c r="Y91" s="1"/>
      <c r="Z91" s="1"/>
      <c r="AA91" s="1"/>
      <c r="AB91" s="1"/>
      <c r="AC91" s="1"/>
      <c r="AD91" s="1"/>
      <c r="AE91" s="1"/>
      <c r="AF91" s="1"/>
    </row>
    <row r="92" hidden="1">
      <c r="A92" s="1"/>
      <c r="B92" s="2"/>
      <c r="C92" s="117"/>
      <c r="D92" s="2"/>
      <c r="E92" s="2"/>
      <c r="F92" s="2"/>
      <c r="G92" s="2"/>
      <c r="H92" s="2"/>
      <c r="I92" s="103"/>
      <c r="M92" s="103"/>
      <c r="O92" s="2"/>
      <c r="P92" s="128" t="s">
        <v>204</v>
      </c>
      <c r="T92" s="82" t="s">
        <v>205</v>
      </c>
      <c r="V92" s="1"/>
      <c r="W92" s="1"/>
      <c r="X92" s="1"/>
      <c r="Y92" s="1"/>
      <c r="Z92" s="1"/>
      <c r="AA92" s="1"/>
      <c r="AB92" s="1"/>
      <c r="AC92" s="1"/>
      <c r="AD92" s="1"/>
      <c r="AE92" s="1"/>
      <c r="AF92" s="1"/>
    </row>
    <row r="93" hidden="1">
      <c r="A93" s="1"/>
      <c r="B93" s="2"/>
      <c r="C93" s="117"/>
      <c r="D93" s="2"/>
      <c r="E93" s="2"/>
      <c r="F93" s="2"/>
      <c r="G93" s="2"/>
      <c r="H93" s="2"/>
      <c r="I93" s="103"/>
      <c r="M93" s="103"/>
      <c r="O93" s="2"/>
      <c r="P93" s="88" t="s">
        <v>206</v>
      </c>
      <c r="T93" s="82" t="s">
        <v>137</v>
      </c>
      <c r="V93" s="1"/>
      <c r="W93" s="1"/>
      <c r="X93" s="1"/>
      <c r="Y93" s="1"/>
      <c r="Z93" s="1"/>
      <c r="AA93" s="1"/>
      <c r="AB93" s="1"/>
      <c r="AC93" s="1"/>
      <c r="AD93" s="1"/>
      <c r="AE93" s="1"/>
      <c r="AF93" s="1"/>
    </row>
    <row r="94" hidden="1">
      <c r="A94" s="1"/>
      <c r="B94" s="2"/>
      <c r="C94" s="117"/>
      <c r="D94" s="2"/>
      <c r="E94" s="2"/>
      <c r="F94" s="2"/>
      <c r="G94" s="2"/>
      <c r="H94" s="2"/>
      <c r="I94" s="103"/>
      <c r="M94" s="103"/>
      <c r="O94" s="2"/>
      <c r="P94" s="128" t="s">
        <v>207</v>
      </c>
      <c r="T94" s="82" t="s">
        <v>123</v>
      </c>
      <c r="V94" s="1"/>
      <c r="W94" s="1"/>
      <c r="X94" s="1"/>
      <c r="Y94" s="1"/>
      <c r="Z94" s="1"/>
      <c r="AA94" s="1"/>
      <c r="AB94" s="1"/>
      <c r="AC94" s="1"/>
      <c r="AD94" s="1"/>
      <c r="AE94" s="1"/>
      <c r="AF94" s="1"/>
    </row>
    <row r="95" hidden="1">
      <c r="A95" s="1"/>
      <c r="B95" s="2"/>
      <c r="C95" s="117"/>
      <c r="D95" s="2"/>
      <c r="E95" s="2"/>
      <c r="F95" s="2"/>
      <c r="G95" s="2"/>
      <c r="H95" s="2"/>
      <c r="I95" s="103"/>
      <c r="M95" s="103"/>
      <c r="O95" s="2"/>
      <c r="P95" s="126" t="s">
        <v>208</v>
      </c>
      <c r="T95" s="82" t="s">
        <v>209</v>
      </c>
      <c r="V95" s="1"/>
      <c r="W95" s="1"/>
      <c r="X95" s="1"/>
      <c r="Y95" s="1"/>
      <c r="Z95" s="1"/>
      <c r="AA95" s="1"/>
      <c r="AB95" s="1"/>
      <c r="AC95" s="1"/>
      <c r="AD95" s="1"/>
      <c r="AE95" s="1"/>
      <c r="AF95" s="1"/>
    </row>
    <row r="96">
      <c r="A96" s="1"/>
      <c r="B96" s="2"/>
      <c r="C96" s="117"/>
      <c r="D96" s="2"/>
      <c r="E96" s="2"/>
      <c r="F96" s="2"/>
      <c r="G96" s="2"/>
      <c r="H96" s="2"/>
      <c r="I96" s="103"/>
      <c r="M96" s="103"/>
      <c r="O96" s="2"/>
      <c r="P96" s="2"/>
      <c r="Q96" s="2"/>
      <c r="R96" s="2"/>
      <c r="S96" s="2"/>
      <c r="T96" s="2"/>
      <c r="U96" s="2"/>
      <c r="V96" s="1"/>
      <c r="W96" s="1"/>
      <c r="X96" s="1"/>
      <c r="Y96" s="1"/>
      <c r="Z96" s="1"/>
      <c r="AA96" s="1"/>
      <c r="AB96" s="1"/>
      <c r="AC96" s="1"/>
      <c r="AD96" s="1"/>
      <c r="AE96" s="1"/>
      <c r="AF96" s="1"/>
    </row>
    <row r="97">
      <c r="A97" s="1"/>
      <c r="B97" s="2"/>
      <c r="C97" s="117"/>
      <c r="D97" s="2"/>
      <c r="E97" s="2"/>
      <c r="F97" s="2"/>
      <c r="G97" s="2"/>
      <c r="H97" s="2"/>
      <c r="I97" s="103"/>
      <c r="M97" s="103"/>
      <c r="O97" s="2"/>
      <c r="P97" s="2"/>
      <c r="Q97" s="2"/>
      <c r="R97" s="2"/>
      <c r="S97" s="2"/>
      <c r="T97" s="2"/>
      <c r="U97" s="2"/>
      <c r="V97" s="1"/>
      <c r="W97" s="1"/>
      <c r="X97" s="1"/>
      <c r="Y97" s="1"/>
      <c r="Z97" s="1"/>
      <c r="AA97" s="1"/>
      <c r="AB97" s="1"/>
      <c r="AC97" s="1"/>
      <c r="AD97" s="1"/>
      <c r="AE97" s="1"/>
      <c r="AF97" s="1"/>
    </row>
    <row r="98">
      <c r="A98" s="1"/>
      <c r="B98" s="2"/>
      <c r="C98" s="117"/>
      <c r="D98" s="2"/>
      <c r="E98" s="2"/>
      <c r="F98" s="2"/>
      <c r="G98" s="2"/>
      <c r="H98" s="2"/>
      <c r="I98" s="103"/>
      <c r="M98" s="103"/>
      <c r="O98" s="2"/>
      <c r="P98" s="2"/>
      <c r="Q98" s="2"/>
      <c r="R98" s="2"/>
      <c r="S98" s="2"/>
      <c r="T98" s="2"/>
      <c r="U98" s="2"/>
      <c r="V98" s="1"/>
      <c r="W98" s="1"/>
      <c r="X98" s="1"/>
      <c r="Y98" s="1"/>
      <c r="Z98" s="1"/>
      <c r="AA98" s="1"/>
      <c r="AB98" s="1"/>
      <c r="AC98" s="1"/>
      <c r="AD98" s="1"/>
      <c r="AE98" s="1"/>
      <c r="AF98" s="1"/>
    </row>
    <row r="99">
      <c r="A99" s="1"/>
      <c r="B99" s="2"/>
      <c r="C99" s="117"/>
      <c r="D99" s="2"/>
      <c r="E99" s="2"/>
      <c r="F99" s="2"/>
      <c r="G99" s="2"/>
      <c r="H99" s="2"/>
      <c r="I99" s="103"/>
      <c r="M99" s="103"/>
      <c r="O99" s="2"/>
      <c r="P99" s="2"/>
      <c r="Q99" s="2"/>
      <c r="R99" s="2"/>
      <c r="S99" s="2"/>
      <c r="T99" s="2"/>
      <c r="U99" s="2"/>
      <c r="V99" s="1"/>
      <c r="W99" s="1"/>
      <c r="X99" s="1"/>
      <c r="Y99" s="1"/>
      <c r="Z99" s="1"/>
      <c r="AA99" s="1"/>
      <c r="AB99" s="1"/>
      <c r="AC99" s="1"/>
      <c r="AD99" s="1"/>
      <c r="AE99" s="1"/>
      <c r="AF99" s="1"/>
    </row>
    <row r="100">
      <c r="A100" s="1"/>
      <c r="B100" s="2"/>
      <c r="C100" s="117"/>
      <c r="D100" s="2"/>
      <c r="E100" s="2"/>
      <c r="F100" s="2"/>
      <c r="G100" s="2"/>
      <c r="H100" s="2"/>
      <c r="I100" s="117"/>
      <c r="J100" s="2"/>
      <c r="K100" s="2"/>
      <c r="L100" s="2"/>
      <c r="M100" s="2"/>
      <c r="N100" s="2"/>
      <c r="O100" s="2"/>
      <c r="P100" s="2"/>
      <c r="Q100" s="2"/>
      <c r="R100" s="2"/>
      <c r="S100" s="2"/>
      <c r="T100" s="2"/>
      <c r="U100" s="2"/>
      <c r="V100" s="1"/>
      <c r="W100" s="1"/>
      <c r="X100" s="1"/>
      <c r="Y100" s="1"/>
      <c r="Z100" s="1"/>
      <c r="AA100" s="1"/>
      <c r="AB100" s="1"/>
      <c r="AC100" s="1"/>
      <c r="AD100" s="1"/>
      <c r="AE100" s="1"/>
      <c r="AF100" s="1"/>
    </row>
    <row r="101">
      <c r="A101" s="1"/>
      <c r="B101" s="2"/>
      <c r="C101" s="117"/>
      <c r="D101" s="2"/>
      <c r="E101" s="2"/>
      <c r="F101" s="2"/>
      <c r="G101" s="2"/>
      <c r="H101" s="2"/>
      <c r="I101" s="117"/>
      <c r="J101" s="2"/>
      <c r="K101" s="2"/>
      <c r="L101" s="2"/>
      <c r="M101" s="2"/>
      <c r="N101" s="2"/>
      <c r="O101" s="2"/>
      <c r="P101" s="2"/>
      <c r="Q101" s="2"/>
      <c r="R101" s="2"/>
      <c r="S101" s="2"/>
      <c r="T101" s="2"/>
      <c r="U101" s="2"/>
      <c r="V101" s="1"/>
      <c r="W101" s="1"/>
      <c r="X101" s="1"/>
      <c r="Y101" s="1"/>
      <c r="Z101" s="1"/>
      <c r="AA101" s="1"/>
      <c r="AB101" s="1"/>
      <c r="AC101" s="1"/>
      <c r="AD101" s="1"/>
      <c r="AE101" s="1"/>
      <c r="AF101" s="1"/>
    </row>
    <row r="102">
      <c r="A102" s="1"/>
      <c r="B102" s="2"/>
      <c r="C102" s="117"/>
      <c r="D102" s="2"/>
      <c r="E102" s="2"/>
      <c r="F102" s="2"/>
      <c r="G102" s="2"/>
      <c r="H102" s="2"/>
      <c r="I102" s="117"/>
      <c r="J102" s="2"/>
      <c r="K102" s="2"/>
      <c r="L102" s="2"/>
      <c r="M102" s="2"/>
      <c r="N102" s="2"/>
      <c r="O102" s="2"/>
      <c r="P102" s="2"/>
      <c r="Q102" s="2"/>
      <c r="R102" s="2"/>
      <c r="S102" s="2"/>
      <c r="T102" s="2"/>
      <c r="U102" s="2"/>
      <c r="V102" s="1"/>
      <c r="W102" s="1"/>
      <c r="X102" s="1"/>
      <c r="Y102" s="1"/>
      <c r="Z102" s="1"/>
      <c r="AA102" s="1"/>
      <c r="AB102" s="1"/>
      <c r="AC102" s="1"/>
      <c r="AD102" s="1"/>
      <c r="AE102" s="1"/>
      <c r="AF102" s="1"/>
    </row>
    <row r="103">
      <c r="A103" s="1"/>
      <c r="B103" s="2"/>
      <c r="C103" s="117"/>
      <c r="D103" s="2"/>
      <c r="E103" s="2"/>
      <c r="F103" s="2"/>
      <c r="G103" s="2"/>
      <c r="H103" s="2"/>
      <c r="I103" s="117"/>
      <c r="J103" s="2"/>
      <c r="K103" s="2"/>
      <c r="L103" s="2"/>
      <c r="M103" s="2"/>
      <c r="N103" s="2"/>
      <c r="O103" s="2"/>
      <c r="P103" s="2"/>
      <c r="Q103" s="2"/>
      <c r="R103" s="2"/>
      <c r="S103" s="2"/>
      <c r="T103" s="2"/>
      <c r="U103" s="2"/>
      <c r="V103" s="1"/>
      <c r="W103" s="1"/>
      <c r="X103" s="1"/>
      <c r="Y103" s="1"/>
      <c r="Z103" s="1"/>
      <c r="AA103" s="1"/>
      <c r="AB103" s="1"/>
      <c r="AC103" s="1"/>
      <c r="AD103" s="1"/>
      <c r="AE103" s="1"/>
      <c r="AF103" s="1"/>
    </row>
    <row r="104">
      <c r="A104" s="1"/>
      <c r="B104" s="2"/>
      <c r="C104" s="117"/>
      <c r="D104" s="2"/>
      <c r="E104" s="2"/>
      <c r="F104" s="2"/>
      <c r="G104" s="2"/>
      <c r="H104" s="2"/>
      <c r="I104" s="117"/>
      <c r="J104" s="2"/>
      <c r="K104" s="2"/>
      <c r="L104" s="2"/>
      <c r="M104" s="2"/>
      <c r="N104" s="2"/>
      <c r="O104" s="2"/>
      <c r="P104" s="2"/>
      <c r="Q104" s="2"/>
      <c r="R104" s="2"/>
      <c r="S104" s="2"/>
      <c r="T104" s="2"/>
      <c r="U104" s="2"/>
      <c r="V104" s="1"/>
      <c r="W104" s="1"/>
      <c r="X104" s="1"/>
      <c r="Y104" s="1"/>
      <c r="Z104" s="1"/>
      <c r="AA104" s="1"/>
      <c r="AB104" s="1"/>
      <c r="AC104" s="1"/>
      <c r="AD104" s="1"/>
      <c r="AE104" s="1"/>
      <c r="AF104" s="1"/>
    </row>
    <row r="105">
      <c r="A105" s="1"/>
      <c r="B105" s="2"/>
      <c r="C105" s="117"/>
      <c r="D105" s="2"/>
      <c r="E105" s="2"/>
      <c r="F105" s="2"/>
      <c r="G105" s="2"/>
      <c r="H105" s="2"/>
      <c r="I105" s="117"/>
      <c r="J105" s="2"/>
      <c r="K105" s="2"/>
      <c r="L105" s="2"/>
      <c r="M105" s="2"/>
      <c r="N105" s="2"/>
      <c r="O105" s="2"/>
      <c r="P105" s="2"/>
      <c r="Q105" s="2"/>
      <c r="R105" s="2"/>
      <c r="S105" s="2"/>
      <c r="T105" s="2"/>
      <c r="U105" s="2"/>
      <c r="V105" s="1"/>
      <c r="W105" s="1"/>
      <c r="X105" s="1"/>
      <c r="Y105" s="1"/>
      <c r="Z105" s="1"/>
      <c r="AA105" s="1"/>
      <c r="AB105" s="1"/>
      <c r="AC105" s="1"/>
      <c r="AD105" s="1"/>
      <c r="AE105" s="1"/>
      <c r="AF105" s="1"/>
    </row>
    <row r="106">
      <c r="A106" s="1"/>
      <c r="B106" s="2"/>
      <c r="C106" s="117"/>
      <c r="D106" s="2"/>
      <c r="E106" s="2"/>
      <c r="F106" s="2"/>
      <c r="G106" s="2"/>
      <c r="H106" s="2"/>
      <c r="I106" s="117"/>
      <c r="J106" s="2"/>
      <c r="K106" s="2"/>
      <c r="L106" s="2"/>
      <c r="M106" s="2"/>
      <c r="N106" s="2"/>
      <c r="O106" s="2"/>
      <c r="P106" s="2"/>
      <c r="Q106" s="2"/>
      <c r="R106" s="2"/>
      <c r="S106" s="2"/>
      <c r="T106" s="2"/>
      <c r="U106" s="2"/>
      <c r="V106" s="1"/>
      <c r="W106" s="1"/>
      <c r="X106" s="1"/>
      <c r="Y106" s="1"/>
      <c r="Z106" s="1"/>
      <c r="AA106" s="1"/>
      <c r="AB106" s="1"/>
      <c r="AC106" s="1"/>
      <c r="AD106" s="1"/>
      <c r="AE106" s="1"/>
      <c r="AF106" s="1"/>
    </row>
    <row r="107">
      <c r="A107" s="1"/>
      <c r="B107" s="2"/>
      <c r="C107" s="117"/>
      <c r="D107" s="2"/>
      <c r="E107" s="2"/>
      <c r="F107" s="2"/>
      <c r="G107" s="2"/>
      <c r="H107" s="2"/>
      <c r="I107" s="117"/>
      <c r="J107" s="2"/>
      <c r="K107" s="2"/>
      <c r="L107" s="2"/>
      <c r="M107" s="2"/>
      <c r="N107" s="2"/>
      <c r="O107" s="2"/>
      <c r="P107" s="2"/>
      <c r="Q107" s="2"/>
      <c r="R107" s="2"/>
      <c r="S107" s="2"/>
      <c r="T107" s="2"/>
      <c r="U107" s="2"/>
      <c r="V107" s="1"/>
      <c r="W107" s="1"/>
      <c r="X107" s="1"/>
      <c r="Y107" s="1"/>
      <c r="Z107" s="1"/>
      <c r="AA107" s="1"/>
      <c r="AB107" s="1"/>
      <c r="AC107" s="1"/>
      <c r="AD107" s="1"/>
      <c r="AE107" s="1"/>
      <c r="AF107" s="1"/>
    </row>
    <row r="108">
      <c r="A108" s="1"/>
      <c r="B108" s="2"/>
      <c r="C108" s="117"/>
      <c r="D108" s="2"/>
      <c r="E108" s="2"/>
      <c r="F108" s="2"/>
      <c r="G108" s="2"/>
      <c r="H108" s="2"/>
      <c r="I108" s="117"/>
      <c r="J108" s="2"/>
      <c r="K108" s="2"/>
      <c r="L108" s="2"/>
      <c r="M108" s="2"/>
      <c r="N108" s="2"/>
      <c r="O108" s="2"/>
      <c r="P108" s="2"/>
      <c r="Q108" s="2"/>
      <c r="R108" s="2"/>
      <c r="S108" s="2"/>
      <c r="T108" s="2"/>
      <c r="U108" s="2"/>
      <c r="V108" s="1"/>
      <c r="W108" s="1"/>
      <c r="X108" s="1"/>
      <c r="Y108" s="1"/>
      <c r="Z108" s="1"/>
      <c r="AA108" s="1"/>
      <c r="AB108" s="1"/>
      <c r="AC108" s="1"/>
      <c r="AD108" s="1"/>
      <c r="AE108" s="1"/>
      <c r="AF108" s="1"/>
    </row>
    <row r="109">
      <c r="A109" s="1"/>
      <c r="B109" s="2"/>
      <c r="C109" s="117"/>
      <c r="D109" s="2"/>
      <c r="E109" s="2"/>
      <c r="F109" s="2"/>
      <c r="G109" s="2"/>
      <c r="H109" s="2"/>
      <c r="I109" s="117"/>
      <c r="J109" s="2"/>
      <c r="K109" s="2"/>
      <c r="L109" s="2"/>
      <c r="M109" s="2"/>
      <c r="N109" s="2"/>
      <c r="O109" s="2"/>
      <c r="P109" s="2"/>
      <c r="Q109" s="2"/>
      <c r="R109" s="2"/>
      <c r="S109" s="2"/>
      <c r="T109" s="2"/>
      <c r="U109" s="2"/>
      <c r="V109" s="1"/>
      <c r="W109" s="1"/>
      <c r="X109" s="1"/>
      <c r="Y109" s="1"/>
      <c r="Z109" s="1"/>
      <c r="AA109" s="1"/>
      <c r="AB109" s="1"/>
      <c r="AC109" s="1"/>
      <c r="AD109" s="1"/>
      <c r="AE109" s="1"/>
      <c r="AF109" s="1"/>
    </row>
    <row r="110">
      <c r="A110" s="1"/>
      <c r="B110" s="2"/>
      <c r="C110" s="117"/>
      <c r="D110" s="2"/>
      <c r="E110" s="2"/>
      <c r="F110" s="2"/>
      <c r="G110" s="2"/>
      <c r="H110" s="2"/>
      <c r="I110" s="117"/>
      <c r="J110" s="2"/>
      <c r="K110" s="2"/>
      <c r="L110" s="2"/>
      <c r="M110" s="2"/>
      <c r="N110" s="2"/>
      <c r="O110" s="2"/>
      <c r="P110" s="2"/>
      <c r="Q110" s="2"/>
      <c r="R110" s="2"/>
      <c r="S110" s="2"/>
      <c r="T110" s="2"/>
      <c r="U110" s="2"/>
      <c r="V110" s="1"/>
      <c r="W110" s="1"/>
      <c r="X110" s="1"/>
      <c r="Y110" s="1"/>
      <c r="Z110" s="1"/>
      <c r="AA110" s="1"/>
      <c r="AB110" s="1"/>
      <c r="AC110" s="1"/>
      <c r="AD110" s="1"/>
      <c r="AE110" s="1"/>
      <c r="AF110" s="1"/>
    </row>
    <row r="111">
      <c r="A111" s="1"/>
      <c r="B111" s="2"/>
      <c r="C111" s="117"/>
      <c r="D111" s="2"/>
      <c r="E111" s="2"/>
      <c r="F111" s="2"/>
      <c r="G111" s="2"/>
      <c r="H111" s="2"/>
      <c r="I111" s="117"/>
      <c r="J111" s="2"/>
      <c r="K111" s="2"/>
      <c r="L111" s="2"/>
      <c r="M111" s="2"/>
      <c r="N111" s="2"/>
      <c r="O111" s="2"/>
      <c r="P111" s="2"/>
      <c r="Q111" s="2"/>
      <c r="R111" s="2"/>
      <c r="S111" s="2"/>
      <c r="T111" s="2"/>
      <c r="U111" s="2"/>
      <c r="V111" s="1"/>
      <c r="W111" s="1"/>
      <c r="X111" s="1"/>
      <c r="Y111" s="1"/>
      <c r="Z111" s="1"/>
      <c r="AA111" s="1"/>
      <c r="AB111" s="1"/>
      <c r="AC111" s="1"/>
      <c r="AD111" s="1"/>
      <c r="AE111" s="1"/>
      <c r="AF111" s="1"/>
    </row>
    <row r="112">
      <c r="A112" s="1"/>
      <c r="B112" s="2"/>
      <c r="C112" s="117"/>
      <c r="D112" s="2"/>
      <c r="E112" s="2"/>
      <c r="F112" s="2"/>
      <c r="G112" s="2"/>
      <c r="H112" s="2"/>
      <c r="I112" s="117"/>
      <c r="J112" s="2"/>
      <c r="K112" s="2"/>
      <c r="L112" s="2"/>
      <c r="M112" s="2"/>
      <c r="N112" s="2"/>
      <c r="O112" s="2"/>
      <c r="P112" s="2"/>
      <c r="Q112" s="2"/>
      <c r="R112" s="2"/>
      <c r="S112" s="2"/>
      <c r="T112" s="2"/>
      <c r="U112" s="2"/>
      <c r="V112" s="1"/>
      <c r="W112" s="1"/>
      <c r="X112" s="1"/>
      <c r="Y112" s="1"/>
      <c r="Z112" s="1"/>
      <c r="AA112" s="1"/>
      <c r="AB112" s="1"/>
      <c r="AC112" s="1"/>
      <c r="AD112" s="1"/>
      <c r="AE112" s="1"/>
      <c r="AF112" s="1"/>
    </row>
    <row r="113">
      <c r="A113" s="1"/>
      <c r="B113" s="2"/>
      <c r="C113" s="117"/>
      <c r="D113" s="2"/>
      <c r="E113" s="2"/>
      <c r="F113" s="2"/>
      <c r="G113" s="2"/>
      <c r="H113" s="2"/>
      <c r="I113" s="117"/>
      <c r="J113" s="2"/>
      <c r="K113" s="2"/>
      <c r="L113" s="2"/>
      <c r="M113" s="2"/>
      <c r="N113" s="2"/>
      <c r="O113" s="2"/>
      <c r="P113" s="2"/>
      <c r="Q113" s="2"/>
      <c r="R113" s="2"/>
      <c r="S113" s="2"/>
      <c r="T113" s="2"/>
      <c r="U113" s="2"/>
      <c r="V113" s="1"/>
      <c r="W113" s="1"/>
      <c r="X113" s="1"/>
      <c r="Y113" s="1"/>
      <c r="Z113" s="1"/>
      <c r="AA113" s="1"/>
      <c r="AB113" s="1"/>
      <c r="AC113" s="1"/>
      <c r="AD113" s="1"/>
      <c r="AE113" s="1"/>
      <c r="AF113" s="1"/>
    </row>
    <row r="114">
      <c r="A114" s="1"/>
      <c r="B114" s="2"/>
      <c r="C114" s="117"/>
      <c r="D114" s="2"/>
      <c r="E114" s="2"/>
      <c r="F114" s="2"/>
      <c r="G114" s="2"/>
      <c r="H114" s="2"/>
      <c r="I114" s="117"/>
      <c r="J114" s="2"/>
      <c r="K114" s="2"/>
      <c r="L114" s="2"/>
      <c r="M114" s="2"/>
      <c r="N114" s="2"/>
      <c r="O114" s="2"/>
      <c r="P114" s="2"/>
      <c r="Q114" s="2"/>
      <c r="R114" s="2"/>
      <c r="S114" s="2"/>
      <c r="T114" s="2"/>
      <c r="U114" s="2"/>
      <c r="V114" s="1"/>
      <c r="W114" s="1"/>
      <c r="X114" s="1"/>
      <c r="Y114" s="1"/>
      <c r="Z114" s="1"/>
      <c r="AA114" s="1"/>
      <c r="AB114" s="1"/>
      <c r="AC114" s="1"/>
      <c r="AD114" s="1"/>
      <c r="AE114" s="1"/>
      <c r="AF114" s="1"/>
    </row>
    <row r="115">
      <c r="A115" s="1"/>
      <c r="B115" s="2"/>
      <c r="C115" s="117"/>
      <c r="D115" s="2"/>
      <c r="E115" s="2"/>
      <c r="F115" s="2"/>
      <c r="G115" s="2"/>
      <c r="H115" s="2"/>
      <c r="I115" s="117"/>
      <c r="J115" s="2"/>
      <c r="K115" s="2"/>
      <c r="L115" s="2"/>
      <c r="M115" s="2"/>
      <c r="N115" s="2"/>
      <c r="O115" s="2"/>
      <c r="P115" s="2"/>
      <c r="Q115" s="2"/>
      <c r="R115" s="2"/>
      <c r="S115" s="2"/>
      <c r="T115" s="2"/>
      <c r="U115" s="2"/>
      <c r="V115" s="1"/>
      <c r="W115" s="1"/>
      <c r="X115" s="1"/>
      <c r="Y115" s="1"/>
      <c r="Z115" s="1"/>
      <c r="AA115" s="1"/>
      <c r="AB115" s="1"/>
      <c r="AC115" s="1"/>
      <c r="AD115" s="1"/>
      <c r="AE115" s="1"/>
      <c r="AF115" s="1"/>
    </row>
    <row r="116">
      <c r="A116" s="1"/>
      <c r="B116" s="2"/>
      <c r="C116" s="117"/>
      <c r="D116" s="2"/>
      <c r="E116" s="2"/>
      <c r="F116" s="2"/>
      <c r="G116" s="2"/>
      <c r="H116" s="2"/>
      <c r="I116" s="117"/>
      <c r="J116" s="2"/>
      <c r="K116" s="2"/>
      <c r="L116" s="2"/>
      <c r="M116" s="2"/>
      <c r="N116" s="2"/>
      <c r="O116" s="2"/>
      <c r="P116" s="2"/>
      <c r="Q116" s="2"/>
      <c r="R116" s="2"/>
      <c r="S116" s="2"/>
      <c r="T116" s="2"/>
      <c r="U116" s="2"/>
      <c r="V116" s="1"/>
      <c r="W116" s="1"/>
      <c r="X116" s="1"/>
      <c r="Y116" s="1"/>
      <c r="Z116" s="1"/>
      <c r="AA116" s="1"/>
      <c r="AB116" s="1"/>
      <c r="AC116" s="1"/>
      <c r="AD116" s="1"/>
      <c r="AE116" s="1"/>
      <c r="AF116" s="1"/>
    </row>
    <row r="117">
      <c r="A117" s="1"/>
      <c r="B117" s="2"/>
      <c r="C117" s="117"/>
      <c r="D117" s="2"/>
      <c r="E117" s="2"/>
      <c r="F117" s="2"/>
      <c r="G117" s="2"/>
      <c r="H117" s="2"/>
      <c r="I117" s="117"/>
      <c r="J117" s="2"/>
      <c r="K117" s="2"/>
      <c r="L117" s="2"/>
      <c r="M117" s="2"/>
      <c r="N117" s="2"/>
      <c r="O117" s="2"/>
      <c r="P117" s="2"/>
      <c r="Q117" s="2"/>
      <c r="R117" s="2"/>
      <c r="S117" s="2"/>
      <c r="T117" s="2"/>
      <c r="U117" s="2"/>
      <c r="V117" s="1"/>
      <c r="W117" s="1"/>
      <c r="X117" s="1"/>
      <c r="Y117" s="1"/>
      <c r="Z117" s="1"/>
      <c r="AA117" s="1"/>
      <c r="AB117" s="1"/>
      <c r="AC117" s="1"/>
      <c r="AD117" s="1"/>
      <c r="AE117" s="1"/>
      <c r="AF117" s="1"/>
    </row>
    <row r="118">
      <c r="A118" s="1"/>
      <c r="B118" s="2"/>
      <c r="C118" s="117"/>
      <c r="D118" s="2"/>
      <c r="E118" s="2"/>
      <c r="F118" s="2"/>
      <c r="G118" s="2"/>
      <c r="H118" s="2"/>
      <c r="I118" s="117"/>
      <c r="J118" s="2"/>
      <c r="K118" s="2"/>
      <c r="L118" s="2"/>
      <c r="M118" s="2"/>
      <c r="N118" s="2"/>
      <c r="O118" s="2"/>
      <c r="P118" s="2"/>
      <c r="Q118" s="2"/>
      <c r="R118" s="2"/>
      <c r="S118" s="2"/>
      <c r="T118" s="2"/>
      <c r="U118" s="2"/>
      <c r="V118" s="1"/>
      <c r="W118" s="1"/>
      <c r="X118" s="1"/>
      <c r="Y118" s="1"/>
      <c r="Z118" s="1"/>
      <c r="AA118" s="1"/>
      <c r="AB118" s="1"/>
      <c r="AC118" s="1"/>
      <c r="AD118" s="1"/>
      <c r="AE118" s="1"/>
      <c r="AF118" s="1"/>
    </row>
    <row r="119">
      <c r="A119" s="1"/>
      <c r="B119" s="2"/>
      <c r="C119" s="117"/>
      <c r="D119" s="2"/>
      <c r="E119" s="2"/>
      <c r="F119" s="2"/>
      <c r="G119" s="2"/>
      <c r="H119" s="2"/>
      <c r="I119" s="117"/>
      <c r="J119" s="2"/>
      <c r="K119" s="2"/>
      <c r="L119" s="2"/>
      <c r="M119" s="2"/>
      <c r="N119" s="2"/>
      <c r="O119" s="2"/>
      <c r="P119" s="2"/>
      <c r="Q119" s="2"/>
      <c r="R119" s="2"/>
      <c r="S119" s="2"/>
      <c r="T119" s="2"/>
      <c r="U119" s="2"/>
      <c r="V119" s="1"/>
      <c r="W119" s="1"/>
      <c r="X119" s="1"/>
      <c r="Y119" s="1"/>
      <c r="Z119" s="1"/>
      <c r="AA119" s="1"/>
      <c r="AB119" s="1"/>
      <c r="AC119" s="1"/>
      <c r="AD119" s="1"/>
      <c r="AE119" s="1"/>
      <c r="AF119" s="1"/>
    </row>
    <row r="120">
      <c r="A120" s="1"/>
      <c r="B120" s="2"/>
      <c r="C120" s="117"/>
      <c r="D120" s="2"/>
      <c r="E120" s="2"/>
      <c r="F120" s="2"/>
      <c r="G120" s="2"/>
      <c r="H120" s="2"/>
      <c r="I120" s="117"/>
      <c r="J120" s="2"/>
      <c r="K120" s="2"/>
      <c r="L120" s="2"/>
      <c r="M120" s="2"/>
      <c r="N120" s="2"/>
      <c r="O120" s="2"/>
      <c r="P120" s="2"/>
      <c r="Q120" s="2"/>
      <c r="R120" s="2"/>
      <c r="S120" s="2"/>
      <c r="T120" s="2"/>
      <c r="U120" s="2"/>
      <c r="V120" s="1"/>
      <c r="W120" s="1"/>
      <c r="X120" s="1"/>
      <c r="Y120" s="1"/>
      <c r="Z120" s="1"/>
      <c r="AA120" s="1"/>
      <c r="AB120" s="1"/>
      <c r="AC120" s="1"/>
      <c r="AD120" s="1"/>
      <c r="AE120" s="1"/>
      <c r="AF120" s="1"/>
    </row>
    <row r="121">
      <c r="A121" s="1"/>
      <c r="B121" s="2"/>
      <c r="C121" s="117"/>
      <c r="D121" s="2"/>
      <c r="E121" s="2"/>
      <c r="F121" s="2"/>
      <c r="G121" s="2"/>
      <c r="H121" s="2"/>
      <c r="I121" s="117"/>
      <c r="J121" s="2"/>
      <c r="K121" s="2"/>
      <c r="L121" s="2"/>
      <c r="M121" s="2"/>
      <c r="N121" s="2"/>
      <c r="O121" s="2"/>
      <c r="P121" s="2"/>
      <c r="Q121" s="2"/>
      <c r="R121" s="2"/>
      <c r="S121" s="2"/>
      <c r="T121" s="2"/>
      <c r="U121" s="2"/>
      <c r="V121" s="1"/>
      <c r="W121" s="1"/>
      <c r="X121" s="1"/>
      <c r="Y121" s="1"/>
      <c r="Z121" s="1"/>
      <c r="AA121" s="1"/>
      <c r="AB121" s="1"/>
      <c r="AC121" s="1"/>
      <c r="AD121" s="1"/>
      <c r="AE121" s="1"/>
      <c r="AF121" s="1"/>
    </row>
    <row r="122">
      <c r="A122" s="1"/>
      <c r="B122" s="2"/>
      <c r="C122" s="117"/>
      <c r="D122" s="2"/>
      <c r="E122" s="2"/>
      <c r="F122" s="2"/>
      <c r="G122" s="2"/>
      <c r="H122" s="2"/>
      <c r="I122" s="117"/>
      <c r="J122" s="2"/>
      <c r="K122" s="2"/>
      <c r="L122" s="2"/>
      <c r="M122" s="2"/>
      <c r="N122" s="2"/>
      <c r="O122" s="2"/>
      <c r="P122" s="2"/>
      <c r="Q122" s="2"/>
      <c r="R122" s="2"/>
      <c r="S122" s="2"/>
      <c r="T122" s="2"/>
      <c r="U122" s="2"/>
      <c r="V122" s="1"/>
      <c r="W122" s="1"/>
      <c r="X122" s="1"/>
      <c r="Y122" s="1"/>
      <c r="Z122" s="1"/>
      <c r="AA122" s="1"/>
      <c r="AB122" s="1"/>
      <c r="AC122" s="1"/>
      <c r="AD122" s="1"/>
      <c r="AE122" s="1"/>
      <c r="AF122" s="1"/>
    </row>
    <row r="123">
      <c r="A123" s="1"/>
      <c r="B123" s="2"/>
      <c r="C123" s="117"/>
      <c r="D123" s="2"/>
      <c r="E123" s="2"/>
      <c r="F123" s="2"/>
      <c r="G123" s="2"/>
      <c r="H123" s="2"/>
      <c r="I123" s="117"/>
      <c r="J123" s="2"/>
      <c r="K123" s="2"/>
      <c r="L123" s="2"/>
      <c r="M123" s="2"/>
      <c r="N123" s="2"/>
      <c r="O123" s="2"/>
      <c r="P123" s="2"/>
      <c r="Q123" s="2"/>
      <c r="R123" s="2"/>
      <c r="S123" s="2"/>
      <c r="T123" s="2"/>
      <c r="U123" s="2"/>
      <c r="V123" s="1"/>
      <c r="W123" s="1"/>
      <c r="X123" s="1"/>
      <c r="Y123" s="1"/>
      <c r="Z123" s="1"/>
      <c r="AA123" s="1"/>
      <c r="AB123" s="1"/>
      <c r="AC123" s="1"/>
      <c r="AD123" s="1"/>
      <c r="AE123" s="1"/>
      <c r="AF123" s="1"/>
    </row>
    <row r="124">
      <c r="A124" s="1"/>
      <c r="B124" s="2"/>
      <c r="C124" s="117"/>
      <c r="D124" s="2"/>
      <c r="E124" s="2"/>
      <c r="F124" s="2"/>
      <c r="G124" s="2"/>
      <c r="H124" s="2"/>
      <c r="I124" s="117"/>
      <c r="J124" s="2"/>
      <c r="K124" s="2"/>
      <c r="L124" s="2"/>
      <c r="M124" s="2"/>
      <c r="N124" s="2"/>
      <c r="O124" s="2"/>
      <c r="P124" s="2"/>
      <c r="Q124" s="2"/>
      <c r="R124" s="2"/>
      <c r="S124" s="2"/>
      <c r="T124" s="2"/>
      <c r="U124" s="2"/>
      <c r="V124" s="1"/>
      <c r="W124" s="1"/>
      <c r="X124" s="1"/>
      <c r="Y124" s="1"/>
      <c r="Z124" s="1"/>
      <c r="AA124" s="1"/>
      <c r="AB124" s="1"/>
      <c r="AC124" s="1"/>
      <c r="AD124" s="1"/>
      <c r="AE124" s="1"/>
      <c r="AF124" s="1"/>
    </row>
    <row r="125">
      <c r="A125" s="1"/>
      <c r="B125" s="2"/>
      <c r="C125" s="117"/>
      <c r="D125" s="2"/>
      <c r="E125" s="2"/>
      <c r="F125" s="2"/>
      <c r="G125" s="2"/>
      <c r="H125" s="2"/>
      <c r="I125" s="117"/>
      <c r="J125" s="2"/>
      <c r="K125" s="2"/>
      <c r="L125" s="2"/>
      <c r="M125" s="2"/>
      <c r="N125" s="2"/>
      <c r="O125" s="2"/>
      <c r="P125" s="2"/>
      <c r="Q125" s="2"/>
      <c r="R125" s="2"/>
      <c r="S125" s="2"/>
      <c r="T125" s="2"/>
      <c r="U125" s="2"/>
      <c r="V125" s="1"/>
      <c r="W125" s="1"/>
      <c r="X125" s="1"/>
      <c r="Y125" s="1"/>
      <c r="Z125" s="1"/>
      <c r="AA125" s="1"/>
      <c r="AB125" s="1"/>
      <c r="AC125" s="1"/>
      <c r="AD125" s="1"/>
      <c r="AE125" s="1"/>
      <c r="AF125" s="1"/>
    </row>
    <row r="126">
      <c r="A126" s="1"/>
      <c r="B126" s="2"/>
      <c r="C126" s="117"/>
      <c r="D126" s="2"/>
      <c r="E126" s="2"/>
      <c r="F126" s="2"/>
      <c r="G126" s="2"/>
      <c r="H126" s="2"/>
      <c r="I126" s="117"/>
      <c r="J126" s="2"/>
      <c r="K126" s="2"/>
      <c r="L126" s="2"/>
      <c r="M126" s="2"/>
      <c r="N126" s="2"/>
      <c r="O126" s="2"/>
      <c r="P126" s="2"/>
      <c r="Q126" s="2"/>
      <c r="R126" s="2"/>
      <c r="S126" s="2"/>
      <c r="T126" s="2"/>
      <c r="U126" s="2"/>
      <c r="V126" s="1"/>
      <c r="W126" s="1"/>
      <c r="X126" s="1"/>
      <c r="Y126" s="1"/>
      <c r="Z126" s="1"/>
      <c r="AA126" s="1"/>
      <c r="AB126" s="1"/>
      <c r="AC126" s="1"/>
      <c r="AD126" s="1"/>
      <c r="AE126" s="1"/>
      <c r="AF126" s="1"/>
    </row>
    <row r="127">
      <c r="A127" s="1"/>
      <c r="B127" s="2"/>
      <c r="C127" s="117"/>
      <c r="D127" s="2"/>
      <c r="E127" s="2"/>
      <c r="F127" s="2"/>
      <c r="G127" s="2"/>
      <c r="H127" s="2"/>
      <c r="I127" s="117"/>
      <c r="J127" s="2"/>
      <c r="K127" s="2"/>
      <c r="L127" s="2"/>
      <c r="M127" s="2"/>
      <c r="N127" s="2"/>
      <c r="O127" s="2"/>
      <c r="P127" s="2"/>
      <c r="Q127" s="2"/>
      <c r="R127" s="2"/>
      <c r="S127" s="2"/>
      <c r="T127" s="2"/>
      <c r="U127" s="2"/>
      <c r="V127" s="1"/>
      <c r="W127" s="1"/>
      <c r="X127" s="1"/>
      <c r="Y127" s="1"/>
      <c r="Z127" s="1"/>
      <c r="AA127" s="1"/>
      <c r="AB127" s="1"/>
      <c r="AC127" s="1"/>
      <c r="AD127" s="1"/>
      <c r="AE127" s="1"/>
      <c r="AF127" s="1"/>
    </row>
    <row r="128">
      <c r="A128" s="1"/>
      <c r="B128" s="2"/>
      <c r="C128" s="117"/>
      <c r="D128" s="2"/>
      <c r="E128" s="2"/>
      <c r="F128" s="2"/>
      <c r="G128" s="2"/>
      <c r="H128" s="2"/>
      <c r="I128" s="117"/>
      <c r="J128" s="2"/>
      <c r="K128" s="2"/>
      <c r="L128" s="2"/>
      <c r="M128" s="2"/>
      <c r="N128" s="2"/>
      <c r="O128" s="2"/>
      <c r="P128" s="2"/>
      <c r="Q128" s="2"/>
      <c r="R128" s="2"/>
      <c r="S128" s="2"/>
      <c r="T128" s="2"/>
      <c r="U128" s="2"/>
      <c r="V128" s="1"/>
      <c r="W128" s="1"/>
      <c r="X128" s="1"/>
      <c r="Y128" s="1"/>
      <c r="Z128" s="1"/>
      <c r="AA128" s="1"/>
      <c r="AB128" s="1"/>
      <c r="AC128" s="1"/>
      <c r="AD128" s="1"/>
      <c r="AE128" s="1"/>
      <c r="AF128" s="1"/>
    </row>
    <row r="129">
      <c r="A129" s="1"/>
      <c r="B129" s="2"/>
      <c r="C129" s="117"/>
      <c r="D129" s="2"/>
      <c r="E129" s="2"/>
      <c r="F129" s="2"/>
      <c r="G129" s="2"/>
      <c r="H129" s="2"/>
      <c r="I129" s="117"/>
      <c r="J129" s="2"/>
      <c r="K129" s="2"/>
      <c r="L129" s="2"/>
      <c r="M129" s="2"/>
      <c r="N129" s="2"/>
      <c r="O129" s="2"/>
      <c r="P129" s="2"/>
      <c r="Q129" s="2"/>
      <c r="R129" s="2"/>
      <c r="S129" s="2"/>
      <c r="T129" s="2"/>
      <c r="U129" s="2"/>
      <c r="V129" s="1"/>
      <c r="W129" s="1"/>
      <c r="X129" s="1"/>
      <c r="Y129" s="1"/>
      <c r="Z129" s="1"/>
      <c r="AA129" s="1"/>
      <c r="AB129" s="1"/>
      <c r="AC129" s="1"/>
      <c r="AD129" s="1"/>
      <c r="AE129" s="1"/>
      <c r="AF129" s="1"/>
    </row>
    <row r="130">
      <c r="A130" s="1"/>
      <c r="B130" s="2"/>
      <c r="C130" s="117"/>
      <c r="D130" s="2"/>
      <c r="E130" s="2"/>
      <c r="F130" s="2"/>
      <c r="G130" s="2"/>
      <c r="H130" s="2"/>
      <c r="I130" s="117"/>
      <c r="J130" s="2"/>
      <c r="K130" s="2"/>
      <c r="L130" s="2"/>
      <c r="M130" s="2"/>
      <c r="N130" s="2"/>
      <c r="O130" s="2"/>
      <c r="P130" s="2"/>
      <c r="Q130" s="2"/>
      <c r="R130" s="2"/>
      <c r="S130" s="2"/>
      <c r="T130" s="2"/>
      <c r="U130" s="2"/>
      <c r="V130" s="1"/>
      <c r="W130" s="1"/>
      <c r="X130" s="1"/>
      <c r="Y130" s="1"/>
      <c r="Z130" s="1"/>
      <c r="AA130" s="1"/>
      <c r="AB130" s="1"/>
      <c r="AC130" s="1"/>
      <c r="AD130" s="1"/>
      <c r="AE130" s="1"/>
      <c r="AF130" s="1"/>
    </row>
    <row r="131">
      <c r="A131" s="1"/>
      <c r="B131" s="2"/>
      <c r="C131" s="117"/>
      <c r="D131" s="2"/>
      <c r="E131" s="2"/>
      <c r="F131" s="2"/>
      <c r="G131" s="2"/>
      <c r="H131" s="2"/>
      <c r="I131" s="117"/>
      <c r="J131" s="2"/>
      <c r="K131" s="2"/>
      <c r="L131" s="2"/>
      <c r="M131" s="2"/>
      <c r="N131" s="2"/>
      <c r="O131" s="2"/>
      <c r="P131" s="2"/>
      <c r="Q131" s="2"/>
      <c r="R131" s="2"/>
      <c r="S131" s="2"/>
      <c r="T131" s="2"/>
      <c r="U131" s="2"/>
      <c r="V131" s="1"/>
      <c r="W131" s="1"/>
      <c r="X131" s="1"/>
      <c r="Y131" s="1"/>
      <c r="Z131" s="1"/>
      <c r="AA131" s="1"/>
      <c r="AB131" s="1"/>
      <c r="AC131" s="1"/>
      <c r="AD131" s="1"/>
      <c r="AE131" s="1"/>
      <c r="AF131" s="1"/>
    </row>
    <row r="132">
      <c r="A132" s="1"/>
      <c r="B132" s="2"/>
      <c r="C132" s="117"/>
      <c r="D132" s="2"/>
      <c r="E132" s="2"/>
      <c r="F132" s="2"/>
      <c r="G132" s="2"/>
      <c r="H132" s="2"/>
      <c r="I132" s="117"/>
      <c r="J132" s="2"/>
      <c r="K132" s="2"/>
      <c r="L132" s="2"/>
      <c r="M132" s="2"/>
      <c r="N132" s="2"/>
      <c r="O132" s="2"/>
      <c r="P132" s="2"/>
      <c r="Q132" s="2"/>
      <c r="R132" s="2"/>
      <c r="S132" s="2"/>
      <c r="T132" s="2"/>
      <c r="U132" s="2"/>
      <c r="V132" s="1"/>
      <c r="W132" s="1"/>
      <c r="X132" s="1"/>
      <c r="Y132" s="1"/>
      <c r="Z132" s="1"/>
      <c r="AA132" s="1"/>
      <c r="AB132" s="1"/>
      <c r="AC132" s="1"/>
      <c r="AD132" s="1"/>
      <c r="AE132" s="1"/>
      <c r="AF132" s="1"/>
    </row>
    <row r="133">
      <c r="A133" s="1"/>
      <c r="B133" s="2"/>
      <c r="C133" s="117"/>
      <c r="D133" s="2"/>
      <c r="E133" s="2"/>
      <c r="F133" s="2"/>
      <c r="G133" s="2"/>
      <c r="H133" s="2"/>
      <c r="I133" s="117"/>
      <c r="J133" s="2"/>
      <c r="K133" s="2"/>
      <c r="L133" s="2"/>
      <c r="M133" s="2"/>
      <c r="N133" s="2"/>
      <c r="O133" s="2"/>
      <c r="P133" s="2"/>
      <c r="Q133" s="2"/>
      <c r="R133" s="2"/>
      <c r="S133" s="2"/>
      <c r="T133" s="2"/>
      <c r="U133" s="2"/>
      <c r="V133" s="1"/>
      <c r="W133" s="1"/>
      <c r="X133" s="1"/>
      <c r="Y133" s="1"/>
      <c r="Z133" s="1"/>
      <c r="AA133" s="1"/>
      <c r="AB133" s="1"/>
      <c r="AC133" s="1"/>
      <c r="AD133" s="1"/>
      <c r="AE133" s="1"/>
      <c r="AF133" s="1"/>
    </row>
    <row r="134">
      <c r="A134" s="1"/>
      <c r="B134" s="2"/>
      <c r="C134" s="117"/>
      <c r="D134" s="2"/>
      <c r="E134" s="2"/>
      <c r="F134" s="2"/>
      <c r="G134" s="2"/>
      <c r="H134" s="2"/>
      <c r="I134" s="117"/>
      <c r="J134" s="2"/>
      <c r="K134" s="2"/>
      <c r="L134" s="2"/>
      <c r="M134" s="2"/>
      <c r="N134" s="2"/>
      <c r="O134" s="2"/>
      <c r="P134" s="2"/>
      <c r="Q134" s="2"/>
      <c r="R134" s="2"/>
      <c r="S134" s="2"/>
      <c r="T134" s="2"/>
      <c r="U134" s="2"/>
      <c r="V134" s="1"/>
      <c r="W134" s="1"/>
      <c r="X134" s="1"/>
      <c r="Y134" s="1"/>
      <c r="Z134" s="1"/>
      <c r="AA134" s="1"/>
      <c r="AB134" s="1"/>
      <c r="AC134" s="1"/>
      <c r="AD134" s="1"/>
      <c r="AE134" s="1"/>
      <c r="AF134" s="1"/>
    </row>
    <row r="135">
      <c r="A135" s="1"/>
      <c r="B135" s="2"/>
      <c r="C135" s="117"/>
      <c r="D135" s="2"/>
      <c r="E135" s="2"/>
      <c r="F135" s="2"/>
      <c r="G135" s="2"/>
      <c r="H135" s="2"/>
      <c r="I135" s="117"/>
      <c r="J135" s="2"/>
      <c r="K135" s="2"/>
      <c r="L135" s="2"/>
      <c r="M135" s="2"/>
      <c r="N135" s="2"/>
      <c r="O135" s="2"/>
      <c r="P135" s="2"/>
      <c r="Q135" s="2"/>
      <c r="R135" s="2"/>
      <c r="S135" s="2"/>
      <c r="T135" s="2"/>
      <c r="U135" s="2"/>
      <c r="V135" s="1"/>
      <c r="W135" s="1"/>
      <c r="X135" s="1"/>
      <c r="Y135" s="1"/>
      <c r="Z135" s="1"/>
      <c r="AA135" s="1"/>
      <c r="AB135" s="1"/>
      <c r="AC135" s="1"/>
      <c r="AD135" s="1"/>
      <c r="AE135" s="1"/>
      <c r="AF135" s="1"/>
    </row>
    <row r="136">
      <c r="A136" s="1"/>
      <c r="B136" s="2"/>
      <c r="C136" s="117"/>
      <c r="D136" s="2"/>
      <c r="E136" s="2"/>
      <c r="F136" s="2"/>
      <c r="G136" s="2"/>
      <c r="H136" s="2"/>
      <c r="I136" s="117"/>
      <c r="J136" s="2"/>
      <c r="K136" s="2"/>
      <c r="L136" s="2"/>
      <c r="M136" s="2"/>
      <c r="N136" s="2"/>
      <c r="O136" s="2"/>
      <c r="P136" s="2"/>
      <c r="Q136" s="2"/>
      <c r="R136" s="2"/>
      <c r="S136" s="2"/>
      <c r="T136" s="2"/>
      <c r="U136" s="2"/>
      <c r="V136" s="1"/>
      <c r="W136" s="1"/>
      <c r="X136" s="1"/>
      <c r="Y136" s="1"/>
      <c r="Z136" s="1"/>
      <c r="AA136" s="1"/>
      <c r="AB136" s="1"/>
      <c r="AC136" s="1"/>
      <c r="AD136" s="1"/>
      <c r="AE136" s="1"/>
      <c r="AF136" s="1"/>
    </row>
    <row r="137">
      <c r="A137" s="1"/>
      <c r="B137" s="2"/>
      <c r="C137" s="117"/>
      <c r="D137" s="2"/>
      <c r="E137" s="2"/>
      <c r="F137" s="2"/>
      <c r="G137" s="2"/>
      <c r="H137" s="2"/>
      <c r="I137" s="117"/>
      <c r="J137" s="2"/>
      <c r="K137" s="2"/>
      <c r="L137" s="2"/>
      <c r="M137" s="2"/>
      <c r="N137" s="2"/>
      <c r="O137" s="2"/>
      <c r="P137" s="2"/>
      <c r="Q137" s="2"/>
      <c r="R137" s="2"/>
      <c r="S137" s="2"/>
      <c r="T137" s="2"/>
      <c r="U137" s="2"/>
      <c r="V137" s="1"/>
      <c r="W137" s="1"/>
      <c r="X137" s="1"/>
      <c r="Y137" s="1"/>
      <c r="Z137" s="1"/>
      <c r="AA137" s="1"/>
      <c r="AB137" s="1"/>
      <c r="AC137" s="1"/>
      <c r="AD137" s="1"/>
      <c r="AE137" s="1"/>
      <c r="AF137" s="1"/>
    </row>
    <row r="138">
      <c r="A138" s="1"/>
      <c r="B138" s="2"/>
      <c r="C138" s="117"/>
      <c r="D138" s="2"/>
      <c r="E138" s="2"/>
      <c r="F138" s="2"/>
      <c r="G138" s="2"/>
      <c r="H138" s="2"/>
      <c r="I138" s="117"/>
      <c r="J138" s="2"/>
      <c r="K138" s="2"/>
      <c r="L138" s="2"/>
      <c r="M138" s="2"/>
      <c r="N138" s="2"/>
      <c r="O138" s="2"/>
      <c r="P138" s="2"/>
      <c r="Q138" s="2"/>
      <c r="R138" s="2"/>
      <c r="S138" s="2"/>
      <c r="T138" s="2"/>
      <c r="U138" s="2"/>
      <c r="V138" s="1"/>
      <c r="W138" s="1"/>
      <c r="X138" s="1"/>
      <c r="Y138" s="1"/>
      <c r="Z138" s="1"/>
      <c r="AA138" s="1"/>
      <c r="AB138" s="1"/>
      <c r="AC138" s="1"/>
      <c r="AD138" s="1"/>
      <c r="AE138" s="1"/>
      <c r="AF138" s="1"/>
    </row>
    <row r="139">
      <c r="A139" s="1"/>
      <c r="B139" s="2"/>
      <c r="C139" s="117"/>
      <c r="D139" s="2"/>
      <c r="E139" s="2"/>
      <c r="F139" s="2"/>
      <c r="G139" s="2"/>
      <c r="H139" s="2"/>
      <c r="I139" s="117"/>
      <c r="J139" s="2"/>
      <c r="K139" s="2"/>
      <c r="L139" s="2"/>
      <c r="M139" s="2"/>
      <c r="N139" s="2"/>
      <c r="O139" s="2"/>
      <c r="P139" s="2"/>
      <c r="Q139" s="2"/>
      <c r="R139" s="2"/>
      <c r="S139" s="2"/>
      <c r="T139" s="2"/>
      <c r="U139" s="2"/>
      <c r="V139" s="1"/>
      <c r="W139" s="1"/>
      <c r="X139" s="1"/>
      <c r="Y139" s="1"/>
      <c r="Z139" s="1"/>
      <c r="AA139" s="1"/>
      <c r="AB139" s="1"/>
      <c r="AC139" s="1"/>
      <c r="AD139" s="1"/>
      <c r="AE139" s="1"/>
      <c r="AF139" s="1"/>
    </row>
    <row r="140">
      <c r="A140" s="1"/>
      <c r="B140" s="2"/>
      <c r="C140" s="117"/>
      <c r="D140" s="2"/>
      <c r="E140" s="2"/>
      <c r="F140" s="2"/>
      <c r="G140" s="2"/>
      <c r="H140" s="2"/>
      <c r="I140" s="117"/>
      <c r="J140" s="2"/>
      <c r="K140" s="2"/>
      <c r="L140" s="2"/>
      <c r="M140" s="2"/>
      <c r="N140" s="2"/>
      <c r="O140" s="2"/>
      <c r="P140" s="2"/>
      <c r="Q140" s="2"/>
      <c r="R140" s="2"/>
      <c r="S140" s="2"/>
      <c r="T140" s="2"/>
      <c r="U140" s="2"/>
      <c r="V140" s="1"/>
      <c r="W140" s="1"/>
      <c r="X140" s="1"/>
      <c r="Y140" s="1"/>
      <c r="Z140" s="1"/>
      <c r="AA140" s="1"/>
      <c r="AB140" s="1"/>
      <c r="AC140" s="1"/>
      <c r="AD140" s="1"/>
      <c r="AE140" s="1"/>
      <c r="AF140" s="1"/>
    </row>
    <row r="141">
      <c r="A141" s="1"/>
      <c r="B141" s="2"/>
      <c r="C141" s="117"/>
      <c r="D141" s="2"/>
      <c r="E141" s="2"/>
      <c r="F141" s="2"/>
      <c r="G141" s="2"/>
      <c r="H141" s="2"/>
      <c r="I141" s="117"/>
      <c r="J141" s="2"/>
      <c r="K141" s="2"/>
      <c r="L141" s="2"/>
      <c r="M141" s="2"/>
      <c r="N141" s="2"/>
      <c r="O141" s="2"/>
      <c r="P141" s="2"/>
      <c r="Q141" s="2"/>
      <c r="R141" s="2"/>
      <c r="S141" s="2"/>
      <c r="T141" s="2"/>
      <c r="U141" s="2"/>
      <c r="V141" s="1"/>
      <c r="W141" s="1"/>
      <c r="X141" s="1"/>
      <c r="Y141" s="1"/>
      <c r="Z141" s="1"/>
      <c r="AA141" s="1"/>
      <c r="AB141" s="1"/>
      <c r="AC141" s="1"/>
      <c r="AD141" s="1"/>
      <c r="AE141" s="1"/>
      <c r="AF141" s="1"/>
    </row>
    <row r="142">
      <c r="A142" s="1"/>
      <c r="B142" s="2"/>
      <c r="C142" s="117"/>
      <c r="D142" s="2"/>
      <c r="E142" s="2"/>
      <c r="F142" s="2"/>
      <c r="G142" s="2"/>
      <c r="H142" s="2"/>
      <c r="I142" s="117"/>
      <c r="J142" s="2"/>
      <c r="K142" s="2"/>
      <c r="L142" s="2"/>
      <c r="M142" s="2"/>
      <c r="N142" s="2"/>
      <c r="O142" s="2"/>
      <c r="P142" s="2"/>
      <c r="Q142" s="2"/>
      <c r="R142" s="2"/>
      <c r="S142" s="2"/>
      <c r="T142" s="2"/>
      <c r="U142" s="2"/>
      <c r="V142" s="1"/>
      <c r="W142" s="1"/>
      <c r="X142" s="1"/>
      <c r="Y142" s="1"/>
      <c r="Z142" s="1"/>
      <c r="AA142" s="1"/>
      <c r="AB142" s="1"/>
      <c r="AC142" s="1"/>
      <c r="AD142" s="1"/>
      <c r="AE142" s="1"/>
      <c r="AF142" s="1"/>
    </row>
    <row r="143">
      <c r="A143" s="1"/>
      <c r="B143" s="2"/>
      <c r="C143" s="117"/>
      <c r="D143" s="2"/>
      <c r="E143" s="2"/>
      <c r="F143" s="2"/>
      <c r="G143" s="2"/>
      <c r="H143" s="2"/>
      <c r="I143" s="117"/>
      <c r="J143" s="2"/>
      <c r="K143" s="2"/>
      <c r="L143" s="2"/>
      <c r="M143" s="2"/>
      <c r="N143" s="2"/>
      <c r="O143" s="2"/>
      <c r="P143" s="2"/>
      <c r="Q143" s="2"/>
      <c r="R143" s="2"/>
      <c r="S143" s="2"/>
      <c r="T143" s="2"/>
      <c r="U143" s="2"/>
      <c r="V143" s="1"/>
      <c r="W143" s="1"/>
      <c r="X143" s="1"/>
      <c r="Y143" s="1"/>
      <c r="Z143" s="1"/>
      <c r="AA143" s="1"/>
      <c r="AB143" s="1"/>
      <c r="AC143" s="1"/>
      <c r="AD143" s="1"/>
      <c r="AE143" s="1"/>
      <c r="AF143" s="1"/>
    </row>
    <row r="144">
      <c r="A144" s="1"/>
      <c r="B144" s="2"/>
      <c r="C144" s="117"/>
      <c r="D144" s="2"/>
      <c r="E144" s="2"/>
      <c r="F144" s="2"/>
      <c r="G144" s="2"/>
      <c r="H144" s="2"/>
      <c r="I144" s="117"/>
      <c r="J144" s="2"/>
      <c r="K144" s="2"/>
      <c r="L144" s="2"/>
      <c r="M144" s="2"/>
      <c r="N144" s="2"/>
      <c r="O144" s="2"/>
      <c r="P144" s="2"/>
      <c r="Q144" s="2"/>
      <c r="R144" s="2"/>
      <c r="S144" s="2"/>
      <c r="T144" s="2"/>
      <c r="U144" s="2"/>
      <c r="V144" s="1"/>
      <c r="W144" s="1"/>
      <c r="X144" s="1"/>
      <c r="Y144" s="1"/>
      <c r="Z144" s="1"/>
      <c r="AA144" s="1"/>
      <c r="AB144" s="1"/>
      <c r="AC144" s="1"/>
      <c r="AD144" s="1"/>
      <c r="AE144" s="1"/>
      <c r="AF144" s="1"/>
    </row>
    <row r="145">
      <c r="A145" s="1"/>
      <c r="B145" s="2"/>
      <c r="C145" s="117"/>
      <c r="D145" s="2"/>
      <c r="E145" s="2"/>
      <c r="F145" s="2"/>
      <c r="G145" s="2"/>
      <c r="H145" s="2"/>
      <c r="I145" s="117"/>
      <c r="J145" s="2"/>
      <c r="K145" s="2"/>
      <c r="L145" s="2"/>
      <c r="M145" s="2"/>
      <c r="N145" s="2"/>
      <c r="O145" s="2"/>
      <c r="P145" s="2"/>
      <c r="Q145" s="2"/>
      <c r="R145" s="2"/>
      <c r="S145" s="2"/>
      <c r="T145" s="2"/>
      <c r="U145" s="2"/>
      <c r="V145" s="1"/>
      <c r="W145" s="1"/>
      <c r="X145" s="1"/>
      <c r="Y145" s="1"/>
      <c r="Z145" s="1"/>
      <c r="AA145" s="1"/>
      <c r="AB145" s="1"/>
      <c r="AC145" s="1"/>
      <c r="AD145" s="1"/>
      <c r="AE145" s="1"/>
      <c r="AF145" s="1"/>
    </row>
    <row r="146">
      <c r="A146" s="1"/>
      <c r="B146" s="2"/>
      <c r="C146" s="117"/>
      <c r="D146" s="2"/>
      <c r="E146" s="2"/>
      <c r="F146" s="2"/>
      <c r="G146" s="2"/>
      <c r="H146" s="2"/>
      <c r="I146" s="117"/>
      <c r="J146" s="2"/>
      <c r="K146" s="2"/>
      <c r="L146" s="2"/>
      <c r="M146" s="2"/>
      <c r="N146" s="2"/>
      <c r="O146" s="2"/>
      <c r="P146" s="2"/>
      <c r="Q146" s="2"/>
      <c r="R146" s="2"/>
      <c r="S146" s="2"/>
      <c r="T146" s="2"/>
      <c r="U146" s="2"/>
      <c r="V146" s="1"/>
      <c r="W146" s="1"/>
      <c r="X146" s="1"/>
      <c r="Y146" s="1"/>
      <c r="Z146" s="1"/>
      <c r="AA146" s="1"/>
      <c r="AB146" s="1"/>
      <c r="AC146" s="1"/>
      <c r="AD146" s="1"/>
      <c r="AE146" s="1"/>
      <c r="AF146" s="1"/>
    </row>
    <row r="147">
      <c r="A147" s="1"/>
      <c r="B147" s="2"/>
      <c r="C147" s="117"/>
      <c r="D147" s="2"/>
      <c r="E147" s="2"/>
      <c r="F147" s="2"/>
      <c r="G147" s="2"/>
      <c r="H147" s="2"/>
      <c r="I147" s="117"/>
      <c r="J147" s="2"/>
      <c r="K147" s="2"/>
      <c r="L147" s="2"/>
      <c r="M147" s="2"/>
      <c r="N147" s="2"/>
      <c r="O147" s="2"/>
      <c r="P147" s="2"/>
      <c r="Q147" s="2"/>
      <c r="R147" s="2"/>
      <c r="S147" s="2"/>
      <c r="T147" s="2"/>
      <c r="U147" s="2"/>
      <c r="V147" s="1"/>
      <c r="W147" s="1"/>
      <c r="X147" s="1"/>
      <c r="Y147" s="1"/>
      <c r="Z147" s="1"/>
      <c r="AA147" s="1"/>
      <c r="AB147" s="1"/>
      <c r="AC147" s="1"/>
      <c r="AD147" s="1"/>
      <c r="AE147" s="1"/>
      <c r="AF147" s="1"/>
    </row>
    <row r="148">
      <c r="A148" s="1"/>
      <c r="B148" s="2"/>
      <c r="C148" s="117"/>
      <c r="D148" s="2"/>
      <c r="E148" s="2"/>
      <c r="F148" s="2"/>
      <c r="G148" s="2"/>
      <c r="H148" s="2"/>
      <c r="I148" s="117"/>
      <c r="J148" s="2"/>
      <c r="K148" s="2"/>
      <c r="L148" s="2"/>
      <c r="M148" s="2"/>
      <c r="N148" s="2"/>
      <c r="O148" s="2"/>
      <c r="P148" s="2"/>
      <c r="Q148" s="2"/>
      <c r="R148" s="2"/>
      <c r="S148" s="2"/>
      <c r="T148" s="2"/>
      <c r="U148" s="2"/>
      <c r="V148" s="1"/>
      <c r="W148" s="1"/>
      <c r="X148" s="1"/>
      <c r="Y148" s="1"/>
      <c r="Z148" s="1"/>
      <c r="AA148" s="1"/>
      <c r="AB148" s="1"/>
      <c r="AC148" s="1"/>
      <c r="AD148" s="1"/>
      <c r="AE148" s="1"/>
      <c r="AF148" s="1"/>
    </row>
    <row r="149">
      <c r="A149" s="1"/>
      <c r="B149" s="2"/>
      <c r="C149" s="117"/>
      <c r="D149" s="2"/>
      <c r="E149" s="2"/>
      <c r="F149" s="2"/>
      <c r="G149" s="2"/>
      <c r="H149" s="2"/>
      <c r="I149" s="117"/>
      <c r="J149" s="2"/>
      <c r="K149" s="2"/>
      <c r="L149" s="2"/>
      <c r="M149" s="2"/>
      <c r="N149" s="2"/>
      <c r="O149" s="2"/>
      <c r="P149" s="2"/>
      <c r="Q149" s="2"/>
      <c r="R149" s="2"/>
      <c r="S149" s="2"/>
      <c r="T149" s="2"/>
      <c r="U149" s="2"/>
      <c r="V149" s="1"/>
      <c r="W149" s="1"/>
      <c r="X149" s="1"/>
      <c r="Y149" s="1"/>
      <c r="Z149" s="1"/>
      <c r="AA149" s="1"/>
      <c r="AB149" s="1"/>
      <c r="AC149" s="1"/>
      <c r="AD149" s="1"/>
      <c r="AE149" s="1"/>
      <c r="AF149" s="1"/>
    </row>
    <row r="150">
      <c r="A150" s="1"/>
      <c r="B150" s="2"/>
      <c r="C150" s="117"/>
      <c r="D150" s="2"/>
      <c r="E150" s="2"/>
      <c r="F150" s="2"/>
      <c r="G150" s="2"/>
      <c r="H150" s="2"/>
      <c r="I150" s="117"/>
      <c r="J150" s="2"/>
      <c r="K150" s="2"/>
      <c r="L150" s="2"/>
      <c r="M150" s="2"/>
      <c r="N150" s="2"/>
      <c r="O150" s="2"/>
      <c r="P150" s="2"/>
      <c r="Q150" s="2"/>
      <c r="R150" s="2"/>
      <c r="S150" s="2"/>
      <c r="T150" s="2"/>
      <c r="U150" s="2"/>
      <c r="V150" s="1"/>
      <c r="W150" s="1"/>
      <c r="X150" s="1"/>
      <c r="Y150" s="1"/>
      <c r="Z150" s="1"/>
      <c r="AA150" s="1"/>
      <c r="AB150" s="1"/>
      <c r="AC150" s="1"/>
      <c r="AD150" s="1"/>
      <c r="AE150" s="1"/>
      <c r="AF150" s="1"/>
    </row>
    <row r="151">
      <c r="A151" s="1"/>
      <c r="B151" s="2"/>
      <c r="C151" s="117"/>
      <c r="D151" s="2"/>
      <c r="E151" s="2"/>
      <c r="F151" s="2"/>
      <c r="G151" s="2"/>
      <c r="H151" s="2"/>
      <c r="I151" s="117"/>
      <c r="J151" s="2"/>
      <c r="K151" s="2"/>
      <c r="L151" s="2"/>
      <c r="M151" s="2"/>
      <c r="N151" s="2"/>
      <c r="O151" s="2"/>
      <c r="P151" s="2"/>
      <c r="Q151" s="2"/>
      <c r="R151" s="2"/>
      <c r="S151" s="2"/>
      <c r="T151" s="2"/>
      <c r="U151" s="2"/>
      <c r="V151" s="1"/>
      <c r="W151" s="1"/>
      <c r="X151" s="1"/>
      <c r="Y151" s="1"/>
      <c r="Z151" s="1"/>
      <c r="AA151" s="1"/>
      <c r="AB151" s="1"/>
      <c r="AC151" s="1"/>
      <c r="AD151" s="1"/>
      <c r="AE151" s="1"/>
      <c r="AF151" s="1"/>
    </row>
    <row r="152">
      <c r="A152" s="1"/>
      <c r="B152" s="2"/>
      <c r="C152" s="117"/>
      <c r="D152" s="2"/>
      <c r="E152" s="2"/>
      <c r="F152" s="2"/>
      <c r="G152" s="2"/>
      <c r="H152" s="2"/>
      <c r="I152" s="117"/>
      <c r="J152" s="2"/>
      <c r="K152" s="2"/>
      <c r="L152" s="2"/>
      <c r="M152" s="2"/>
      <c r="N152" s="2"/>
      <c r="O152" s="2"/>
      <c r="P152" s="2"/>
      <c r="Q152" s="2"/>
      <c r="R152" s="2"/>
      <c r="S152" s="2"/>
      <c r="T152" s="2"/>
      <c r="U152" s="2"/>
      <c r="V152" s="1"/>
      <c r="W152" s="1"/>
      <c r="X152" s="1"/>
      <c r="Y152" s="1"/>
      <c r="Z152" s="1"/>
      <c r="AA152" s="1"/>
      <c r="AB152" s="1"/>
      <c r="AC152" s="1"/>
      <c r="AD152" s="1"/>
      <c r="AE152" s="1"/>
      <c r="AF152" s="1"/>
    </row>
    <row r="153">
      <c r="A153" s="1"/>
      <c r="B153" s="2"/>
      <c r="C153" s="117"/>
      <c r="D153" s="2"/>
      <c r="E153" s="2"/>
      <c r="F153" s="2"/>
      <c r="G153" s="2"/>
      <c r="H153" s="2"/>
      <c r="I153" s="117"/>
      <c r="J153" s="2"/>
      <c r="K153" s="2"/>
      <c r="L153" s="2"/>
      <c r="M153" s="2"/>
      <c r="N153" s="2"/>
      <c r="O153" s="2"/>
      <c r="P153" s="2"/>
      <c r="Q153" s="2"/>
      <c r="R153" s="2"/>
      <c r="S153" s="2"/>
      <c r="T153" s="2"/>
      <c r="U153" s="2"/>
      <c r="V153" s="1"/>
      <c r="W153" s="1"/>
      <c r="X153" s="1"/>
      <c r="Y153" s="1"/>
      <c r="Z153" s="1"/>
      <c r="AA153" s="1"/>
      <c r="AB153" s="1"/>
      <c r="AC153" s="1"/>
      <c r="AD153" s="1"/>
      <c r="AE153" s="1"/>
      <c r="AF153" s="1"/>
    </row>
    <row r="154">
      <c r="A154" s="1"/>
      <c r="B154" s="2"/>
      <c r="C154" s="117"/>
      <c r="D154" s="2"/>
      <c r="E154" s="2"/>
      <c r="F154" s="2"/>
      <c r="G154" s="2"/>
      <c r="H154" s="2"/>
      <c r="I154" s="117"/>
      <c r="J154" s="2"/>
      <c r="K154" s="2"/>
      <c r="L154" s="2"/>
      <c r="M154" s="2"/>
      <c r="N154" s="2"/>
      <c r="O154" s="2"/>
      <c r="P154" s="2"/>
      <c r="Q154" s="2"/>
      <c r="R154" s="2"/>
      <c r="S154" s="2"/>
      <c r="T154" s="2"/>
      <c r="U154" s="2"/>
      <c r="V154" s="1"/>
      <c r="W154" s="1"/>
      <c r="X154" s="1"/>
      <c r="Y154" s="1"/>
      <c r="Z154" s="1"/>
      <c r="AA154" s="1"/>
      <c r="AB154" s="1"/>
      <c r="AC154" s="1"/>
      <c r="AD154" s="1"/>
      <c r="AE154" s="1"/>
      <c r="AF154" s="1"/>
    </row>
    <row r="155">
      <c r="A155" s="1"/>
      <c r="B155" s="2"/>
      <c r="C155" s="117"/>
      <c r="D155" s="2"/>
      <c r="E155" s="2"/>
      <c r="F155" s="2"/>
      <c r="G155" s="2"/>
      <c r="H155" s="2"/>
      <c r="I155" s="117"/>
      <c r="J155" s="2"/>
      <c r="K155" s="2"/>
      <c r="L155" s="2"/>
      <c r="M155" s="2"/>
      <c r="N155" s="2"/>
      <c r="O155" s="2"/>
      <c r="P155" s="2"/>
      <c r="Q155" s="2"/>
      <c r="R155" s="2"/>
      <c r="S155" s="2"/>
      <c r="T155" s="2"/>
      <c r="U155" s="2"/>
      <c r="V155" s="1"/>
      <c r="W155" s="1"/>
      <c r="X155" s="1"/>
      <c r="Y155" s="1"/>
      <c r="Z155" s="1"/>
      <c r="AA155" s="1"/>
      <c r="AB155" s="1"/>
      <c r="AC155" s="1"/>
      <c r="AD155" s="1"/>
      <c r="AE155" s="1"/>
      <c r="AF155" s="1"/>
    </row>
    <row r="156">
      <c r="A156" s="1"/>
      <c r="B156" s="2"/>
      <c r="C156" s="117"/>
      <c r="D156" s="2"/>
      <c r="E156" s="2"/>
      <c r="F156" s="2"/>
      <c r="G156" s="2"/>
      <c r="H156" s="2"/>
      <c r="I156" s="117"/>
      <c r="J156" s="2"/>
      <c r="K156" s="2"/>
      <c r="L156" s="2"/>
      <c r="M156" s="2"/>
      <c r="N156" s="2"/>
      <c r="O156" s="2"/>
      <c r="P156" s="2"/>
      <c r="Q156" s="2"/>
      <c r="R156" s="2"/>
      <c r="S156" s="2"/>
      <c r="T156" s="2"/>
      <c r="U156" s="2"/>
      <c r="V156" s="1"/>
      <c r="W156" s="1"/>
      <c r="X156" s="1"/>
      <c r="Y156" s="1"/>
      <c r="Z156" s="1"/>
      <c r="AA156" s="1"/>
      <c r="AB156" s="1"/>
      <c r="AC156" s="1"/>
      <c r="AD156" s="1"/>
      <c r="AE156" s="1"/>
      <c r="AF156" s="1"/>
    </row>
    <row r="157">
      <c r="A157" s="1"/>
      <c r="B157" s="2"/>
      <c r="C157" s="117"/>
      <c r="D157" s="2"/>
      <c r="E157" s="2"/>
      <c r="F157" s="2"/>
      <c r="G157" s="2"/>
      <c r="H157" s="2"/>
      <c r="I157" s="117"/>
      <c r="J157" s="2"/>
      <c r="K157" s="2"/>
      <c r="L157" s="2"/>
      <c r="M157" s="2"/>
      <c r="N157" s="2"/>
      <c r="O157" s="2"/>
      <c r="P157" s="2"/>
      <c r="Q157" s="2"/>
      <c r="R157" s="2"/>
      <c r="S157" s="2"/>
      <c r="T157" s="2"/>
      <c r="U157" s="2"/>
      <c r="V157" s="1"/>
      <c r="W157" s="1"/>
      <c r="X157" s="1"/>
      <c r="Y157" s="1"/>
      <c r="Z157" s="1"/>
      <c r="AA157" s="1"/>
      <c r="AB157" s="1"/>
      <c r="AC157" s="1"/>
      <c r="AD157" s="1"/>
      <c r="AE157" s="1"/>
      <c r="AF157" s="1"/>
    </row>
    <row r="158">
      <c r="A158" s="1"/>
      <c r="B158" s="2"/>
      <c r="C158" s="117"/>
      <c r="D158" s="2"/>
      <c r="E158" s="2"/>
      <c r="F158" s="2"/>
      <c r="G158" s="2"/>
      <c r="H158" s="2"/>
      <c r="I158" s="117"/>
      <c r="J158" s="2"/>
      <c r="K158" s="2"/>
      <c r="L158" s="2"/>
      <c r="M158" s="2"/>
      <c r="N158" s="2"/>
      <c r="O158" s="2"/>
      <c r="P158" s="2"/>
      <c r="Q158" s="2"/>
      <c r="R158" s="2"/>
      <c r="S158" s="2"/>
      <c r="T158" s="2"/>
      <c r="U158" s="2"/>
      <c r="V158" s="1"/>
      <c r="W158" s="1"/>
      <c r="X158" s="1"/>
      <c r="Y158" s="1"/>
      <c r="Z158" s="1"/>
      <c r="AA158" s="1"/>
      <c r="AB158" s="1"/>
      <c r="AC158" s="1"/>
      <c r="AD158" s="1"/>
      <c r="AE158" s="1"/>
      <c r="AF158" s="1"/>
    </row>
    <row r="159">
      <c r="A159" s="1"/>
      <c r="B159" s="2"/>
      <c r="C159" s="117"/>
      <c r="D159" s="2"/>
      <c r="E159" s="2"/>
      <c r="F159" s="2"/>
      <c r="G159" s="2"/>
      <c r="H159" s="2"/>
      <c r="I159" s="117"/>
      <c r="J159" s="2"/>
      <c r="K159" s="2"/>
      <c r="L159" s="2"/>
      <c r="M159" s="2"/>
      <c r="N159" s="2"/>
      <c r="O159" s="2"/>
      <c r="P159" s="2"/>
      <c r="Q159" s="2"/>
      <c r="R159" s="2"/>
      <c r="S159" s="2"/>
      <c r="T159" s="2"/>
      <c r="U159" s="2"/>
      <c r="V159" s="1"/>
      <c r="W159" s="1"/>
      <c r="X159" s="1"/>
      <c r="Y159" s="1"/>
      <c r="Z159" s="1"/>
      <c r="AA159" s="1"/>
      <c r="AB159" s="1"/>
      <c r="AC159" s="1"/>
      <c r="AD159" s="1"/>
      <c r="AE159" s="1"/>
      <c r="AF159" s="1"/>
    </row>
    <row r="160">
      <c r="A160" s="1"/>
      <c r="B160" s="2"/>
      <c r="C160" s="117"/>
      <c r="D160" s="2"/>
      <c r="E160" s="2"/>
      <c r="F160" s="2"/>
      <c r="G160" s="2"/>
      <c r="H160" s="2"/>
      <c r="I160" s="117"/>
      <c r="J160" s="2"/>
      <c r="K160" s="2"/>
      <c r="L160" s="2"/>
      <c r="M160" s="2"/>
      <c r="N160" s="2"/>
      <c r="O160" s="2"/>
      <c r="P160" s="2"/>
      <c r="Q160" s="2"/>
      <c r="R160" s="2"/>
      <c r="S160" s="2"/>
      <c r="T160" s="2"/>
      <c r="U160" s="2"/>
      <c r="V160" s="1"/>
      <c r="W160" s="1"/>
      <c r="X160" s="1"/>
      <c r="Y160" s="1"/>
      <c r="Z160" s="1"/>
      <c r="AA160" s="1"/>
      <c r="AB160" s="1"/>
      <c r="AC160" s="1"/>
      <c r="AD160" s="1"/>
      <c r="AE160" s="1"/>
      <c r="AF160" s="1"/>
    </row>
    <row r="161">
      <c r="A161" s="1"/>
      <c r="B161" s="2"/>
      <c r="C161" s="117"/>
      <c r="D161" s="2"/>
      <c r="E161" s="2"/>
      <c r="F161" s="2"/>
      <c r="G161" s="2"/>
      <c r="H161" s="2"/>
      <c r="I161" s="117"/>
      <c r="J161" s="2"/>
      <c r="K161" s="2"/>
      <c r="L161" s="2"/>
      <c r="M161" s="2"/>
      <c r="N161" s="2"/>
      <c r="O161" s="2"/>
      <c r="P161" s="2"/>
      <c r="Q161" s="2"/>
      <c r="R161" s="2"/>
      <c r="S161" s="2"/>
      <c r="T161" s="2"/>
      <c r="U161" s="2"/>
      <c r="V161" s="1"/>
      <c r="W161" s="1"/>
      <c r="X161" s="1"/>
      <c r="Y161" s="1"/>
      <c r="Z161" s="1"/>
      <c r="AA161" s="1"/>
      <c r="AB161" s="1"/>
      <c r="AC161" s="1"/>
      <c r="AD161" s="1"/>
      <c r="AE161" s="1"/>
      <c r="AF161" s="1"/>
    </row>
    <row r="162">
      <c r="A162" s="1"/>
      <c r="B162" s="2"/>
      <c r="C162" s="117"/>
      <c r="D162" s="2"/>
      <c r="E162" s="2"/>
      <c r="F162" s="2"/>
      <c r="G162" s="2"/>
      <c r="H162" s="2"/>
      <c r="I162" s="117"/>
      <c r="J162" s="2"/>
      <c r="K162" s="2"/>
      <c r="L162" s="2"/>
      <c r="M162" s="2"/>
      <c r="N162" s="2"/>
      <c r="O162" s="2"/>
      <c r="P162" s="2"/>
      <c r="Q162" s="2"/>
      <c r="R162" s="2"/>
      <c r="S162" s="2"/>
      <c r="T162" s="2"/>
      <c r="U162" s="2"/>
      <c r="V162" s="1"/>
      <c r="W162" s="1"/>
      <c r="X162" s="1"/>
      <c r="Y162" s="1"/>
      <c r="Z162" s="1"/>
      <c r="AA162" s="1"/>
      <c r="AB162" s="1"/>
      <c r="AC162" s="1"/>
      <c r="AD162" s="1"/>
      <c r="AE162" s="1"/>
      <c r="AF162" s="1"/>
    </row>
    <row r="163">
      <c r="A163" s="1"/>
      <c r="B163" s="2"/>
      <c r="C163" s="117"/>
      <c r="D163" s="2"/>
      <c r="E163" s="2"/>
      <c r="F163" s="2"/>
      <c r="G163" s="2"/>
      <c r="H163" s="2"/>
      <c r="I163" s="117"/>
      <c r="J163" s="2"/>
      <c r="K163" s="2"/>
      <c r="L163" s="2"/>
      <c r="M163" s="2"/>
      <c r="N163" s="2"/>
      <c r="O163" s="2"/>
      <c r="P163" s="2"/>
      <c r="Q163" s="2"/>
      <c r="R163" s="2"/>
      <c r="S163" s="2"/>
      <c r="T163" s="2"/>
      <c r="U163" s="2"/>
      <c r="V163" s="1"/>
      <c r="W163" s="1"/>
      <c r="X163" s="1"/>
      <c r="Y163" s="1"/>
      <c r="Z163" s="1"/>
      <c r="AA163" s="1"/>
      <c r="AB163" s="1"/>
      <c r="AC163" s="1"/>
      <c r="AD163" s="1"/>
      <c r="AE163" s="1"/>
      <c r="AF163" s="1"/>
    </row>
    <row r="164">
      <c r="A164" s="1"/>
      <c r="B164" s="2"/>
      <c r="C164" s="117"/>
      <c r="D164" s="2"/>
      <c r="E164" s="2"/>
      <c r="F164" s="2"/>
      <c r="G164" s="2"/>
      <c r="H164" s="2"/>
      <c r="I164" s="117"/>
      <c r="J164" s="2"/>
      <c r="K164" s="2"/>
      <c r="L164" s="2"/>
      <c r="M164" s="2"/>
      <c r="N164" s="2"/>
      <c r="O164" s="2"/>
      <c r="P164" s="2"/>
      <c r="Q164" s="2"/>
      <c r="R164" s="2"/>
      <c r="S164" s="2"/>
      <c r="T164" s="2"/>
      <c r="U164" s="2"/>
      <c r="V164" s="1"/>
      <c r="W164" s="1"/>
      <c r="X164" s="1"/>
      <c r="Y164" s="1"/>
      <c r="Z164" s="1"/>
      <c r="AA164" s="1"/>
      <c r="AB164" s="1"/>
      <c r="AC164" s="1"/>
      <c r="AD164" s="1"/>
      <c r="AE164" s="1"/>
      <c r="AF164" s="1"/>
    </row>
    <row r="165">
      <c r="A165" s="1"/>
      <c r="B165" s="2"/>
      <c r="C165" s="117"/>
      <c r="D165" s="2"/>
      <c r="E165" s="2"/>
      <c r="F165" s="2"/>
      <c r="G165" s="2"/>
      <c r="H165" s="2"/>
      <c r="I165" s="117"/>
      <c r="J165" s="2"/>
      <c r="K165" s="2"/>
      <c r="L165" s="2"/>
      <c r="M165" s="2"/>
      <c r="N165" s="2"/>
      <c r="O165" s="2"/>
      <c r="P165" s="2"/>
      <c r="Q165" s="2"/>
      <c r="R165" s="2"/>
      <c r="S165" s="2"/>
      <c r="T165" s="2"/>
      <c r="U165" s="2"/>
      <c r="V165" s="1"/>
      <c r="W165" s="1"/>
      <c r="X165" s="1"/>
      <c r="Y165" s="1"/>
      <c r="Z165" s="1"/>
      <c r="AA165" s="1"/>
      <c r="AB165" s="1"/>
      <c r="AC165" s="1"/>
      <c r="AD165" s="1"/>
      <c r="AE165" s="1"/>
      <c r="AF165" s="1"/>
    </row>
    <row r="166">
      <c r="A166" s="1"/>
      <c r="B166" s="2"/>
      <c r="C166" s="117"/>
      <c r="D166" s="2"/>
      <c r="E166" s="2"/>
      <c r="F166" s="2"/>
      <c r="G166" s="2"/>
      <c r="H166" s="2"/>
      <c r="I166" s="117"/>
      <c r="J166" s="2"/>
      <c r="K166" s="2"/>
      <c r="L166" s="2"/>
      <c r="M166" s="2"/>
      <c r="N166" s="2"/>
      <c r="O166" s="2"/>
      <c r="P166" s="2"/>
      <c r="Q166" s="2"/>
      <c r="R166" s="2"/>
      <c r="S166" s="2"/>
      <c r="T166" s="2"/>
      <c r="U166" s="2"/>
      <c r="V166" s="1"/>
      <c r="W166" s="1"/>
      <c r="X166" s="1"/>
      <c r="Y166" s="1"/>
      <c r="Z166" s="1"/>
      <c r="AA166" s="1"/>
      <c r="AB166" s="1"/>
      <c r="AC166" s="1"/>
      <c r="AD166" s="1"/>
      <c r="AE166" s="1"/>
      <c r="AF166" s="1"/>
    </row>
    <row r="167">
      <c r="A167" s="1"/>
      <c r="B167" s="2"/>
      <c r="C167" s="117"/>
      <c r="D167" s="2"/>
      <c r="E167" s="2"/>
      <c r="F167" s="2"/>
      <c r="G167" s="2"/>
      <c r="H167" s="2"/>
      <c r="I167" s="117"/>
      <c r="J167" s="2"/>
      <c r="K167" s="2"/>
      <c r="L167" s="2"/>
      <c r="M167" s="2"/>
      <c r="N167" s="2"/>
      <c r="O167" s="2"/>
      <c r="P167" s="2"/>
      <c r="Q167" s="2"/>
      <c r="R167" s="2"/>
      <c r="S167" s="2"/>
      <c r="T167" s="2"/>
      <c r="U167" s="2"/>
      <c r="V167" s="1"/>
      <c r="W167" s="1"/>
      <c r="X167" s="1"/>
      <c r="Y167" s="1"/>
      <c r="Z167" s="1"/>
      <c r="AA167" s="1"/>
      <c r="AB167" s="1"/>
      <c r="AC167" s="1"/>
      <c r="AD167" s="1"/>
      <c r="AE167" s="1"/>
      <c r="AF167" s="1"/>
    </row>
    <row r="168">
      <c r="A168" s="1"/>
      <c r="B168" s="2"/>
      <c r="C168" s="117"/>
      <c r="D168" s="2"/>
      <c r="E168" s="2"/>
      <c r="F168" s="2"/>
      <c r="G168" s="2"/>
      <c r="H168" s="2"/>
      <c r="I168" s="117"/>
      <c r="J168" s="2"/>
      <c r="K168" s="2"/>
      <c r="L168" s="2"/>
      <c r="M168" s="2"/>
      <c r="N168" s="2"/>
      <c r="O168" s="2"/>
      <c r="P168" s="2"/>
      <c r="Q168" s="2"/>
      <c r="R168" s="2"/>
      <c r="S168" s="2"/>
      <c r="T168" s="2"/>
      <c r="U168" s="2"/>
      <c r="V168" s="1"/>
      <c r="W168" s="1"/>
      <c r="X168" s="1"/>
      <c r="Y168" s="1"/>
      <c r="Z168" s="1"/>
      <c r="AA168" s="1"/>
      <c r="AB168" s="1"/>
      <c r="AC168" s="1"/>
      <c r="AD168" s="1"/>
      <c r="AE168" s="1"/>
      <c r="AF168" s="1"/>
    </row>
    <row r="169">
      <c r="A169" s="1"/>
      <c r="B169" s="2"/>
      <c r="C169" s="117"/>
      <c r="D169" s="2"/>
      <c r="E169" s="2"/>
      <c r="F169" s="2"/>
      <c r="G169" s="2"/>
      <c r="H169" s="2"/>
      <c r="I169" s="117"/>
      <c r="J169" s="2"/>
      <c r="K169" s="2"/>
      <c r="L169" s="2"/>
      <c r="M169" s="2"/>
      <c r="N169" s="2"/>
      <c r="O169" s="2"/>
      <c r="P169" s="2"/>
      <c r="Q169" s="2"/>
      <c r="R169" s="2"/>
      <c r="S169" s="2"/>
      <c r="T169" s="2"/>
      <c r="U169" s="2"/>
      <c r="V169" s="1"/>
      <c r="W169" s="1"/>
      <c r="X169" s="1"/>
      <c r="Y169" s="1"/>
      <c r="Z169" s="1"/>
      <c r="AA169" s="1"/>
      <c r="AB169" s="1"/>
      <c r="AC169" s="1"/>
      <c r="AD169" s="1"/>
      <c r="AE169" s="1"/>
      <c r="AF169" s="1"/>
    </row>
    <row r="170">
      <c r="A170" s="1"/>
      <c r="B170" s="2"/>
      <c r="C170" s="117"/>
      <c r="D170" s="2"/>
      <c r="E170" s="2"/>
      <c r="F170" s="2"/>
      <c r="G170" s="2"/>
      <c r="H170" s="2"/>
      <c r="I170" s="117"/>
      <c r="J170" s="2"/>
      <c r="K170" s="2"/>
      <c r="L170" s="2"/>
      <c r="M170" s="2"/>
      <c r="N170" s="2"/>
      <c r="O170" s="2"/>
      <c r="P170" s="2"/>
      <c r="Q170" s="2"/>
      <c r="R170" s="2"/>
      <c r="S170" s="2"/>
      <c r="T170" s="2"/>
      <c r="U170" s="2"/>
      <c r="V170" s="1"/>
      <c r="W170" s="1"/>
      <c r="X170" s="1"/>
      <c r="Y170" s="1"/>
      <c r="Z170" s="1"/>
      <c r="AA170" s="1"/>
      <c r="AB170" s="1"/>
      <c r="AC170" s="1"/>
      <c r="AD170" s="1"/>
      <c r="AE170" s="1"/>
      <c r="AF170" s="1"/>
    </row>
    <row r="171">
      <c r="A171" s="1"/>
      <c r="B171" s="2"/>
      <c r="C171" s="117"/>
      <c r="D171" s="2"/>
      <c r="E171" s="2"/>
      <c r="F171" s="2"/>
      <c r="G171" s="2"/>
      <c r="H171" s="2"/>
      <c r="I171" s="117"/>
      <c r="J171" s="2"/>
      <c r="K171" s="2"/>
      <c r="L171" s="2"/>
      <c r="M171" s="2"/>
      <c r="N171" s="2"/>
      <c r="O171" s="2"/>
      <c r="P171" s="2"/>
      <c r="Q171" s="2"/>
      <c r="R171" s="2"/>
      <c r="S171" s="2"/>
      <c r="T171" s="2"/>
      <c r="U171" s="2"/>
      <c r="V171" s="1"/>
      <c r="W171" s="1"/>
      <c r="X171" s="1"/>
      <c r="Y171" s="1"/>
      <c r="Z171" s="1"/>
      <c r="AA171" s="1"/>
      <c r="AB171" s="1"/>
      <c r="AC171" s="1"/>
      <c r="AD171" s="1"/>
      <c r="AE171" s="1"/>
      <c r="AF171" s="1"/>
    </row>
    <row r="172">
      <c r="A172" s="1"/>
      <c r="B172" s="2"/>
      <c r="C172" s="117"/>
      <c r="D172" s="2"/>
      <c r="E172" s="2"/>
      <c r="F172" s="2"/>
      <c r="G172" s="2"/>
      <c r="H172" s="2"/>
      <c r="I172" s="117"/>
      <c r="J172" s="2"/>
      <c r="K172" s="2"/>
      <c r="L172" s="2"/>
      <c r="M172" s="2"/>
      <c r="N172" s="2"/>
      <c r="O172" s="2"/>
      <c r="P172" s="2"/>
      <c r="Q172" s="2"/>
      <c r="R172" s="2"/>
      <c r="S172" s="2"/>
      <c r="T172" s="2"/>
      <c r="U172" s="2"/>
      <c r="V172" s="1"/>
      <c r="W172" s="1"/>
      <c r="X172" s="1"/>
      <c r="Y172" s="1"/>
      <c r="Z172" s="1"/>
      <c r="AA172" s="1"/>
      <c r="AB172" s="1"/>
      <c r="AC172" s="1"/>
      <c r="AD172" s="1"/>
      <c r="AE172" s="1"/>
      <c r="AF172" s="1"/>
    </row>
    <row r="173">
      <c r="A173" s="1"/>
      <c r="B173" s="2"/>
      <c r="C173" s="117"/>
      <c r="D173" s="2"/>
      <c r="E173" s="2"/>
      <c r="F173" s="2"/>
      <c r="G173" s="2"/>
      <c r="H173" s="2"/>
      <c r="I173" s="117"/>
      <c r="J173" s="2"/>
      <c r="K173" s="2"/>
      <c r="L173" s="2"/>
      <c r="M173" s="2"/>
      <c r="N173" s="2"/>
      <c r="O173" s="2"/>
      <c r="P173" s="2"/>
      <c r="Q173" s="2"/>
      <c r="R173" s="2"/>
      <c r="S173" s="2"/>
      <c r="T173" s="2"/>
      <c r="U173" s="2"/>
      <c r="V173" s="1"/>
      <c r="W173" s="1"/>
      <c r="X173" s="1"/>
      <c r="Y173" s="1"/>
      <c r="Z173" s="1"/>
      <c r="AA173" s="1"/>
      <c r="AB173" s="1"/>
      <c r="AC173" s="1"/>
      <c r="AD173" s="1"/>
      <c r="AE173" s="1"/>
      <c r="AF173" s="1"/>
    </row>
    <row r="174">
      <c r="A174" s="1"/>
      <c r="B174" s="2"/>
      <c r="C174" s="117"/>
      <c r="D174" s="2"/>
      <c r="E174" s="2"/>
      <c r="F174" s="2"/>
      <c r="G174" s="2"/>
      <c r="H174" s="2"/>
      <c r="I174" s="117"/>
      <c r="J174" s="2"/>
      <c r="K174" s="2"/>
      <c r="L174" s="2"/>
      <c r="M174" s="2"/>
      <c r="N174" s="2"/>
      <c r="O174" s="2"/>
      <c r="P174" s="2"/>
      <c r="Q174" s="2"/>
      <c r="R174" s="2"/>
      <c r="S174" s="2"/>
      <c r="T174" s="2"/>
      <c r="U174" s="2"/>
      <c r="V174" s="1"/>
      <c r="W174" s="1"/>
      <c r="X174" s="1"/>
      <c r="Y174" s="1"/>
      <c r="Z174" s="1"/>
      <c r="AA174" s="1"/>
      <c r="AB174" s="1"/>
      <c r="AC174" s="1"/>
      <c r="AD174" s="1"/>
      <c r="AE174" s="1"/>
      <c r="AF174" s="1"/>
    </row>
    <row r="175">
      <c r="A175" s="1"/>
      <c r="B175" s="2"/>
      <c r="C175" s="117"/>
      <c r="D175" s="2"/>
      <c r="E175" s="2"/>
      <c r="F175" s="2"/>
      <c r="G175" s="2"/>
      <c r="H175" s="2"/>
      <c r="I175" s="117"/>
      <c r="J175" s="2"/>
      <c r="K175" s="2"/>
      <c r="L175" s="2"/>
      <c r="M175" s="2"/>
      <c r="N175" s="2"/>
      <c r="O175" s="2"/>
      <c r="P175" s="2"/>
      <c r="Q175" s="2"/>
      <c r="R175" s="2"/>
      <c r="S175" s="2"/>
      <c r="T175" s="2"/>
      <c r="U175" s="2"/>
      <c r="V175" s="1"/>
      <c r="W175" s="1"/>
      <c r="X175" s="1"/>
      <c r="Y175" s="1"/>
      <c r="Z175" s="1"/>
      <c r="AA175" s="1"/>
      <c r="AB175" s="1"/>
      <c r="AC175" s="1"/>
      <c r="AD175" s="1"/>
      <c r="AE175" s="1"/>
      <c r="AF175" s="1"/>
    </row>
    <row r="176">
      <c r="A176" s="1"/>
      <c r="B176" s="2"/>
      <c r="C176" s="117"/>
      <c r="D176" s="2"/>
      <c r="E176" s="2"/>
      <c r="F176" s="2"/>
      <c r="G176" s="2"/>
      <c r="H176" s="2"/>
      <c r="I176" s="117"/>
      <c r="J176" s="2"/>
      <c r="K176" s="2"/>
      <c r="L176" s="2"/>
      <c r="M176" s="2"/>
      <c r="N176" s="2"/>
      <c r="O176" s="2"/>
      <c r="P176" s="2"/>
      <c r="Q176" s="2"/>
      <c r="R176" s="2"/>
      <c r="S176" s="2"/>
      <c r="T176" s="2"/>
      <c r="U176" s="2"/>
      <c r="V176" s="1"/>
      <c r="W176" s="1"/>
      <c r="X176" s="1"/>
      <c r="Y176" s="1"/>
      <c r="Z176" s="1"/>
      <c r="AA176" s="1"/>
      <c r="AB176" s="1"/>
      <c r="AC176" s="1"/>
      <c r="AD176" s="1"/>
      <c r="AE176" s="1"/>
      <c r="AF176" s="1"/>
    </row>
    <row r="177">
      <c r="A177" s="1"/>
      <c r="B177" s="2"/>
      <c r="C177" s="117"/>
      <c r="D177" s="2"/>
      <c r="E177" s="2"/>
      <c r="F177" s="2"/>
      <c r="G177" s="2"/>
      <c r="H177" s="2"/>
      <c r="I177" s="117"/>
      <c r="J177" s="2"/>
      <c r="K177" s="2"/>
      <c r="L177" s="2"/>
      <c r="M177" s="2"/>
      <c r="N177" s="2"/>
      <c r="O177" s="2"/>
      <c r="P177" s="2"/>
      <c r="Q177" s="2"/>
      <c r="R177" s="2"/>
      <c r="S177" s="2"/>
      <c r="T177" s="2"/>
      <c r="U177" s="2"/>
      <c r="V177" s="1"/>
      <c r="W177" s="1"/>
      <c r="X177" s="1"/>
      <c r="Y177" s="1"/>
      <c r="Z177" s="1"/>
      <c r="AA177" s="1"/>
      <c r="AB177" s="1"/>
      <c r="AC177" s="1"/>
      <c r="AD177" s="1"/>
      <c r="AE177" s="1"/>
      <c r="AF177" s="1"/>
    </row>
    <row r="178">
      <c r="A178" s="1"/>
      <c r="B178" s="2"/>
      <c r="C178" s="117"/>
      <c r="D178" s="2"/>
      <c r="E178" s="2"/>
      <c r="F178" s="2"/>
      <c r="G178" s="2"/>
      <c r="H178" s="2"/>
      <c r="I178" s="117"/>
      <c r="J178" s="2"/>
      <c r="K178" s="2"/>
      <c r="L178" s="2"/>
      <c r="M178" s="2"/>
      <c r="N178" s="2"/>
      <c r="O178" s="2"/>
      <c r="P178" s="2"/>
      <c r="Q178" s="2"/>
      <c r="R178" s="2"/>
      <c r="S178" s="2"/>
      <c r="T178" s="2"/>
      <c r="U178" s="2"/>
      <c r="V178" s="1"/>
      <c r="W178" s="1"/>
      <c r="X178" s="1"/>
      <c r="Y178" s="1"/>
      <c r="Z178" s="1"/>
      <c r="AA178" s="1"/>
      <c r="AB178" s="1"/>
      <c r="AC178" s="1"/>
      <c r="AD178" s="1"/>
      <c r="AE178" s="1"/>
      <c r="AF178" s="1"/>
    </row>
    <row r="179">
      <c r="A179" s="1"/>
      <c r="B179" s="2"/>
      <c r="C179" s="117"/>
      <c r="D179" s="2"/>
      <c r="E179" s="2"/>
      <c r="F179" s="2"/>
      <c r="G179" s="2"/>
      <c r="H179" s="2"/>
      <c r="I179" s="117"/>
      <c r="J179" s="2"/>
      <c r="K179" s="2"/>
      <c r="L179" s="2"/>
      <c r="M179" s="2"/>
      <c r="N179" s="2"/>
      <c r="O179" s="2"/>
      <c r="P179" s="2"/>
      <c r="Q179" s="2"/>
      <c r="R179" s="2"/>
      <c r="S179" s="2"/>
      <c r="T179" s="2"/>
      <c r="U179" s="2"/>
      <c r="V179" s="1"/>
      <c r="W179" s="1"/>
      <c r="X179" s="1"/>
      <c r="Y179" s="1"/>
      <c r="Z179" s="1"/>
      <c r="AA179" s="1"/>
      <c r="AB179" s="1"/>
      <c r="AC179" s="1"/>
      <c r="AD179" s="1"/>
      <c r="AE179" s="1"/>
      <c r="AF179" s="1"/>
    </row>
    <row r="180">
      <c r="A180" s="1"/>
      <c r="B180" s="2"/>
      <c r="C180" s="117"/>
      <c r="D180" s="2"/>
      <c r="E180" s="2"/>
      <c r="F180" s="2"/>
      <c r="G180" s="2"/>
      <c r="H180" s="2"/>
      <c r="I180" s="117"/>
      <c r="J180" s="2"/>
      <c r="K180" s="2"/>
      <c r="L180" s="2"/>
      <c r="M180" s="2"/>
      <c r="N180" s="2"/>
      <c r="O180" s="2"/>
      <c r="P180" s="2"/>
      <c r="Q180" s="2"/>
      <c r="R180" s="2"/>
      <c r="S180" s="2"/>
      <c r="T180" s="2"/>
      <c r="U180" s="2"/>
      <c r="V180" s="1"/>
      <c r="W180" s="1"/>
      <c r="X180" s="1"/>
      <c r="Y180" s="1"/>
      <c r="Z180" s="1"/>
      <c r="AA180" s="1"/>
      <c r="AB180" s="1"/>
      <c r="AC180" s="1"/>
      <c r="AD180" s="1"/>
      <c r="AE180" s="1"/>
      <c r="AF180" s="1"/>
    </row>
    <row r="181">
      <c r="A181" s="1"/>
      <c r="B181" s="2"/>
      <c r="C181" s="117"/>
      <c r="D181" s="2"/>
      <c r="E181" s="2"/>
      <c r="F181" s="2"/>
      <c r="G181" s="2"/>
      <c r="H181" s="2"/>
      <c r="I181" s="117"/>
      <c r="J181" s="2"/>
      <c r="K181" s="2"/>
      <c r="L181" s="2"/>
      <c r="M181" s="2"/>
      <c r="N181" s="2"/>
      <c r="O181" s="2"/>
      <c r="P181" s="2"/>
      <c r="Q181" s="2"/>
      <c r="R181" s="2"/>
      <c r="S181" s="2"/>
      <c r="T181" s="2"/>
      <c r="U181" s="2"/>
      <c r="V181" s="1"/>
      <c r="W181" s="1"/>
      <c r="X181" s="1"/>
      <c r="Y181" s="1"/>
      <c r="Z181" s="1"/>
      <c r="AA181" s="1"/>
      <c r="AB181" s="1"/>
      <c r="AC181" s="1"/>
      <c r="AD181" s="1"/>
      <c r="AE181" s="1"/>
      <c r="AF181" s="1"/>
    </row>
    <row r="182">
      <c r="A182" s="1"/>
      <c r="B182" s="2"/>
      <c r="C182" s="117"/>
      <c r="D182" s="2"/>
      <c r="E182" s="2"/>
      <c r="F182" s="2"/>
      <c r="G182" s="2"/>
      <c r="H182" s="2"/>
      <c r="I182" s="117"/>
      <c r="J182" s="2"/>
      <c r="K182" s="2"/>
      <c r="L182" s="2"/>
      <c r="M182" s="2"/>
      <c r="N182" s="2"/>
      <c r="O182" s="2"/>
      <c r="P182" s="2"/>
      <c r="Q182" s="2"/>
      <c r="R182" s="2"/>
      <c r="S182" s="2"/>
      <c r="T182" s="2"/>
      <c r="U182" s="2"/>
      <c r="V182" s="1"/>
      <c r="W182" s="1"/>
      <c r="X182" s="1"/>
      <c r="Y182" s="1"/>
      <c r="Z182" s="1"/>
      <c r="AA182" s="1"/>
      <c r="AB182" s="1"/>
      <c r="AC182" s="1"/>
      <c r="AD182" s="1"/>
      <c r="AE182" s="1"/>
      <c r="AF182" s="1"/>
    </row>
    <row r="183">
      <c r="A183" s="1"/>
      <c r="B183" s="2"/>
      <c r="C183" s="117"/>
      <c r="D183" s="2"/>
      <c r="E183" s="2"/>
      <c r="F183" s="2"/>
      <c r="G183" s="2"/>
      <c r="H183" s="2"/>
      <c r="I183" s="117"/>
      <c r="J183" s="2"/>
      <c r="K183" s="2"/>
      <c r="L183" s="2"/>
      <c r="M183" s="2"/>
      <c r="N183" s="2"/>
      <c r="O183" s="2"/>
      <c r="P183" s="2"/>
      <c r="Q183" s="2"/>
      <c r="R183" s="2"/>
      <c r="S183" s="2"/>
      <c r="T183" s="2"/>
      <c r="U183" s="2"/>
      <c r="V183" s="1"/>
      <c r="W183" s="1"/>
      <c r="X183" s="1"/>
      <c r="Y183" s="1"/>
      <c r="Z183" s="1"/>
      <c r="AA183" s="1"/>
      <c r="AB183" s="1"/>
      <c r="AC183" s="1"/>
      <c r="AD183" s="1"/>
      <c r="AE183" s="1"/>
      <c r="AF183" s="1"/>
    </row>
    <row r="184">
      <c r="A184" s="1"/>
      <c r="B184" s="2"/>
      <c r="C184" s="117"/>
      <c r="D184" s="2"/>
      <c r="E184" s="2"/>
      <c r="F184" s="2"/>
      <c r="G184" s="2"/>
      <c r="H184" s="2"/>
      <c r="I184" s="117"/>
      <c r="J184" s="2"/>
      <c r="K184" s="2"/>
      <c r="L184" s="2"/>
      <c r="M184" s="2"/>
      <c r="N184" s="2"/>
      <c r="O184" s="2"/>
      <c r="P184" s="2"/>
      <c r="Q184" s="2"/>
      <c r="R184" s="2"/>
      <c r="S184" s="2"/>
      <c r="T184" s="2"/>
      <c r="U184" s="2"/>
      <c r="V184" s="1"/>
      <c r="W184" s="1"/>
      <c r="X184" s="1"/>
      <c r="Y184" s="1"/>
      <c r="Z184" s="1"/>
      <c r="AA184" s="1"/>
      <c r="AB184" s="1"/>
      <c r="AC184" s="1"/>
      <c r="AD184" s="1"/>
      <c r="AE184" s="1"/>
      <c r="AF184" s="1"/>
    </row>
    <row r="185">
      <c r="A185" s="1"/>
      <c r="B185" s="2"/>
      <c r="C185" s="117"/>
      <c r="D185" s="2"/>
      <c r="E185" s="2"/>
      <c r="F185" s="2"/>
      <c r="G185" s="2"/>
      <c r="H185" s="2"/>
      <c r="I185" s="117"/>
      <c r="J185" s="2"/>
      <c r="K185" s="2"/>
      <c r="L185" s="2"/>
      <c r="M185" s="2"/>
      <c r="N185" s="2"/>
      <c r="O185" s="2"/>
      <c r="P185" s="2"/>
      <c r="Q185" s="2"/>
      <c r="R185" s="2"/>
      <c r="S185" s="2"/>
      <c r="T185" s="2"/>
      <c r="U185" s="2"/>
      <c r="V185" s="1"/>
      <c r="W185" s="1"/>
      <c r="X185" s="1"/>
      <c r="Y185" s="1"/>
      <c r="Z185" s="1"/>
      <c r="AA185" s="1"/>
      <c r="AB185" s="1"/>
      <c r="AC185" s="1"/>
      <c r="AD185" s="1"/>
      <c r="AE185" s="1"/>
      <c r="AF185" s="1"/>
    </row>
    <row r="186">
      <c r="A186" s="1"/>
      <c r="B186" s="2"/>
      <c r="C186" s="117"/>
      <c r="D186" s="2"/>
      <c r="E186" s="2"/>
      <c r="F186" s="2"/>
      <c r="G186" s="2"/>
      <c r="H186" s="2"/>
      <c r="I186" s="117"/>
      <c r="J186" s="2"/>
      <c r="K186" s="2"/>
      <c r="L186" s="2"/>
      <c r="M186" s="2"/>
      <c r="N186" s="2"/>
      <c r="O186" s="2"/>
      <c r="P186" s="2"/>
      <c r="Q186" s="2"/>
      <c r="R186" s="2"/>
      <c r="S186" s="2"/>
      <c r="T186" s="2"/>
      <c r="U186" s="2"/>
      <c r="V186" s="1"/>
      <c r="W186" s="1"/>
      <c r="X186" s="1"/>
      <c r="Y186" s="1"/>
      <c r="Z186" s="1"/>
      <c r="AA186" s="1"/>
      <c r="AB186" s="1"/>
      <c r="AC186" s="1"/>
      <c r="AD186" s="1"/>
      <c r="AE186" s="1"/>
      <c r="AF186" s="1"/>
    </row>
    <row r="187">
      <c r="A187" s="1"/>
      <c r="B187" s="2"/>
      <c r="C187" s="117"/>
      <c r="D187" s="2"/>
      <c r="E187" s="2"/>
      <c r="F187" s="2"/>
      <c r="G187" s="2"/>
      <c r="H187" s="2"/>
      <c r="I187" s="117"/>
      <c r="J187" s="2"/>
      <c r="K187" s="2"/>
      <c r="L187" s="2"/>
      <c r="M187" s="2"/>
      <c r="N187" s="2"/>
      <c r="O187" s="2"/>
      <c r="P187" s="2"/>
      <c r="Q187" s="2"/>
      <c r="R187" s="2"/>
      <c r="S187" s="2"/>
      <c r="T187" s="2"/>
      <c r="U187" s="2"/>
      <c r="V187" s="1"/>
      <c r="W187" s="1"/>
      <c r="X187" s="1"/>
      <c r="Y187" s="1"/>
      <c r="Z187" s="1"/>
      <c r="AA187" s="1"/>
      <c r="AB187" s="1"/>
      <c r="AC187" s="1"/>
      <c r="AD187" s="1"/>
      <c r="AE187" s="1"/>
      <c r="AF187" s="1"/>
    </row>
    <row r="188">
      <c r="A188" s="1"/>
      <c r="B188" s="2"/>
      <c r="C188" s="117"/>
      <c r="D188" s="2"/>
      <c r="E188" s="2"/>
      <c r="F188" s="2"/>
      <c r="G188" s="2"/>
      <c r="H188" s="2"/>
      <c r="I188" s="117"/>
      <c r="J188" s="2"/>
      <c r="K188" s="2"/>
      <c r="L188" s="2"/>
      <c r="M188" s="2"/>
      <c r="N188" s="2"/>
      <c r="O188" s="2"/>
      <c r="P188" s="2"/>
      <c r="Q188" s="2"/>
      <c r="R188" s="2"/>
      <c r="S188" s="2"/>
      <c r="T188" s="2"/>
      <c r="U188" s="2"/>
      <c r="V188" s="1"/>
      <c r="W188" s="1"/>
      <c r="X188" s="1"/>
      <c r="Y188" s="1"/>
      <c r="Z188" s="1"/>
      <c r="AA188" s="1"/>
      <c r="AB188" s="1"/>
      <c r="AC188" s="1"/>
      <c r="AD188" s="1"/>
      <c r="AE188" s="1"/>
      <c r="AF188" s="1"/>
    </row>
    <row r="189">
      <c r="A189" s="1"/>
      <c r="B189" s="2"/>
      <c r="C189" s="117"/>
      <c r="D189" s="2"/>
      <c r="E189" s="2"/>
      <c r="F189" s="2"/>
      <c r="G189" s="2"/>
      <c r="H189" s="2"/>
      <c r="I189" s="117"/>
      <c r="J189" s="2"/>
      <c r="K189" s="2"/>
      <c r="L189" s="2"/>
      <c r="M189" s="2"/>
      <c r="N189" s="2"/>
      <c r="O189" s="2"/>
      <c r="P189" s="2"/>
      <c r="Q189" s="2"/>
      <c r="R189" s="2"/>
      <c r="S189" s="2"/>
      <c r="T189" s="2"/>
      <c r="U189" s="2"/>
      <c r="V189" s="1"/>
      <c r="W189" s="1"/>
      <c r="X189" s="1"/>
      <c r="Y189" s="1"/>
      <c r="Z189" s="1"/>
      <c r="AA189" s="1"/>
      <c r="AB189" s="1"/>
      <c r="AC189" s="1"/>
      <c r="AD189" s="1"/>
      <c r="AE189" s="1"/>
      <c r="AF189" s="1"/>
    </row>
    <row r="190">
      <c r="A190" s="1"/>
      <c r="B190" s="2"/>
      <c r="C190" s="117"/>
      <c r="D190" s="2"/>
      <c r="E190" s="2"/>
      <c r="F190" s="2"/>
      <c r="G190" s="2"/>
      <c r="H190" s="2"/>
      <c r="I190" s="117"/>
      <c r="J190" s="2"/>
      <c r="K190" s="2"/>
      <c r="L190" s="2"/>
      <c r="M190" s="2"/>
      <c r="N190" s="2"/>
      <c r="O190" s="2"/>
      <c r="P190" s="2"/>
      <c r="Q190" s="2"/>
      <c r="R190" s="2"/>
      <c r="S190" s="2"/>
      <c r="T190" s="2"/>
      <c r="U190" s="2"/>
      <c r="V190" s="1"/>
      <c r="W190" s="1"/>
      <c r="X190" s="1"/>
      <c r="Y190" s="1"/>
      <c r="Z190" s="1"/>
      <c r="AA190" s="1"/>
      <c r="AB190" s="1"/>
      <c r="AC190" s="1"/>
      <c r="AD190" s="1"/>
      <c r="AE190" s="1"/>
      <c r="AF190" s="1"/>
    </row>
    <row r="191">
      <c r="A191" s="1"/>
      <c r="B191" s="2"/>
      <c r="C191" s="117"/>
      <c r="D191" s="2"/>
      <c r="E191" s="2"/>
      <c r="F191" s="2"/>
      <c r="G191" s="2"/>
      <c r="H191" s="2"/>
      <c r="I191" s="117"/>
      <c r="J191" s="2"/>
      <c r="K191" s="2"/>
      <c r="L191" s="2"/>
      <c r="M191" s="2"/>
      <c r="N191" s="2"/>
      <c r="O191" s="2"/>
      <c r="P191" s="2"/>
      <c r="Q191" s="2"/>
      <c r="R191" s="2"/>
      <c r="S191" s="2"/>
      <c r="T191" s="2"/>
      <c r="U191" s="2"/>
      <c r="V191" s="1"/>
      <c r="W191" s="1"/>
      <c r="X191" s="1"/>
      <c r="Y191" s="1"/>
      <c r="Z191" s="1"/>
      <c r="AA191" s="1"/>
      <c r="AB191" s="1"/>
      <c r="AC191" s="1"/>
      <c r="AD191" s="1"/>
      <c r="AE191" s="1"/>
      <c r="AF191" s="1"/>
    </row>
    <row r="192">
      <c r="A192" s="1"/>
      <c r="B192" s="2"/>
      <c r="C192" s="117"/>
      <c r="D192" s="2"/>
      <c r="E192" s="2"/>
      <c r="F192" s="2"/>
      <c r="G192" s="2"/>
      <c r="H192" s="2"/>
      <c r="I192" s="117"/>
      <c r="J192" s="2"/>
      <c r="K192" s="2"/>
      <c r="L192" s="2"/>
      <c r="M192" s="2"/>
      <c r="N192" s="2"/>
      <c r="O192" s="2"/>
      <c r="P192" s="2"/>
      <c r="Q192" s="2"/>
      <c r="R192" s="2"/>
      <c r="S192" s="2"/>
      <c r="T192" s="2"/>
      <c r="U192" s="2"/>
      <c r="V192" s="1"/>
      <c r="W192" s="1"/>
      <c r="X192" s="1"/>
      <c r="Y192" s="1"/>
      <c r="Z192" s="1"/>
      <c r="AA192" s="1"/>
      <c r="AB192" s="1"/>
      <c r="AC192" s="1"/>
      <c r="AD192" s="1"/>
      <c r="AE192" s="1"/>
      <c r="AF192" s="1"/>
    </row>
    <row r="193">
      <c r="A193" s="1"/>
      <c r="B193" s="2"/>
      <c r="C193" s="117"/>
      <c r="D193" s="2"/>
      <c r="E193" s="2"/>
      <c r="F193" s="2"/>
      <c r="G193" s="2"/>
      <c r="H193" s="2"/>
      <c r="I193" s="117"/>
      <c r="J193" s="2"/>
      <c r="K193" s="2"/>
      <c r="L193" s="2"/>
      <c r="M193" s="2"/>
      <c r="N193" s="2"/>
      <c r="O193" s="2"/>
      <c r="P193" s="2"/>
      <c r="Q193" s="2"/>
      <c r="R193" s="2"/>
      <c r="S193" s="2"/>
      <c r="T193" s="2"/>
      <c r="U193" s="2"/>
      <c r="V193" s="1"/>
      <c r="W193" s="1"/>
      <c r="X193" s="1"/>
      <c r="Y193" s="1"/>
      <c r="Z193" s="1"/>
      <c r="AA193" s="1"/>
      <c r="AB193" s="1"/>
      <c r="AC193" s="1"/>
      <c r="AD193" s="1"/>
      <c r="AE193" s="1"/>
      <c r="AF193" s="1"/>
    </row>
    <row r="194">
      <c r="A194" s="1"/>
      <c r="B194" s="2"/>
      <c r="C194" s="117"/>
      <c r="D194" s="2"/>
      <c r="E194" s="2"/>
      <c r="F194" s="2"/>
      <c r="G194" s="2"/>
      <c r="H194" s="2"/>
      <c r="I194" s="117"/>
      <c r="J194" s="2"/>
      <c r="K194" s="2"/>
      <c r="L194" s="2"/>
      <c r="M194" s="2"/>
      <c r="N194" s="2"/>
      <c r="O194" s="2"/>
      <c r="P194" s="2"/>
      <c r="Q194" s="2"/>
      <c r="R194" s="2"/>
      <c r="S194" s="2"/>
      <c r="T194" s="2"/>
      <c r="U194" s="2"/>
      <c r="V194" s="1"/>
      <c r="W194" s="1"/>
      <c r="X194" s="1"/>
      <c r="Y194" s="1"/>
      <c r="Z194" s="1"/>
      <c r="AA194" s="1"/>
      <c r="AB194" s="1"/>
      <c r="AC194" s="1"/>
      <c r="AD194" s="1"/>
      <c r="AE194" s="1"/>
      <c r="AF194" s="1"/>
    </row>
    <row r="195">
      <c r="A195" s="1"/>
      <c r="B195" s="2"/>
      <c r="C195" s="117"/>
      <c r="D195" s="2"/>
      <c r="E195" s="2"/>
      <c r="F195" s="2"/>
      <c r="G195" s="2"/>
      <c r="H195" s="2"/>
      <c r="I195" s="117"/>
      <c r="J195" s="2"/>
      <c r="K195" s="2"/>
      <c r="L195" s="2"/>
      <c r="M195" s="2"/>
      <c r="N195" s="2"/>
      <c r="O195" s="2"/>
      <c r="P195" s="2"/>
      <c r="Q195" s="2"/>
      <c r="R195" s="2"/>
      <c r="S195" s="2"/>
      <c r="T195" s="2"/>
      <c r="U195" s="2"/>
      <c r="V195" s="1"/>
      <c r="W195" s="1"/>
      <c r="X195" s="1"/>
      <c r="Y195" s="1"/>
      <c r="Z195" s="1"/>
      <c r="AA195" s="1"/>
      <c r="AB195" s="1"/>
      <c r="AC195" s="1"/>
      <c r="AD195" s="1"/>
      <c r="AE195" s="1"/>
      <c r="AF195" s="1"/>
    </row>
    <row r="196">
      <c r="A196" s="1"/>
      <c r="B196" s="2"/>
      <c r="C196" s="117"/>
      <c r="D196" s="2"/>
      <c r="E196" s="2"/>
      <c r="F196" s="2"/>
      <c r="G196" s="2"/>
      <c r="H196" s="2"/>
      <c r="I196" s="117"/>
      <c r="J196" s="2"/>
      <c r="K196" s="2"/>
      <c r="L196" s="2"/>
      <c r="M196" s="2"/>
      <c r="N196" s="2"/>
      <c r="O196" s="2"/>
      <c r="P196" s="2"/>
      <c r="Q196" s="2"/>
      <c r="R196" s="2"/>
      <c r="S196" s="2"/>
      <c r="T196" s="2"/>
      <c r="U196" s="2"/>
      <c r="V196" s="1"/>
      <c r="W196" s="1"/>
      <c r="X196" s="1"/>
      <c r="Y196" s="1"/>
      <c r="Z196" s="1"/>
      <c r="AA196" s="1"/>
      <c r="AB196" s="1"/>
      <c r="AC196" s="1"/>
      <c r="AD196" s="1"/>
      <c r="AE196" s="1"/>
      <c r="AF196" s="1"/>
    </row>
    <row r="197">
      <c r="A197" s="1"/>
      <c r="B197" s="2"/>
      <c r="C197" s="117"/>
      <c r="D197" s="2"/>
      <c r="E197" s="2"/>
      <c r="F197" s="2"/>
      <c r="G197" s="2"/>
      <c r="H197" s="2"/>
      <c r="I197" s="117"/>
      <c r="J197" s="2"/>
      <c r="K197" s="2"/>
      <c r="L197" s="2"/>
      <c r="M197" s="2"/>
      <c r="N197" s="2"/>
      <c r="O197" s="2"/>
      <c r="P197" s="2"/>
      <c r="Q197" s="2"/>
      <c r="R197" s="2"/>
      <c r="S197" s="2"/>
      <c r="T197" s="2"/>
      <c r="U197" s="2"/>
      <c r="V197" s="1"/>
      <c r="W197" s="1"/>
      <c r="X197" s="1"/>
      <c r="Y197" s="1"/>
      <c r="Z197" s="1"/>
      <c r="AA197" s="1"/>
      <c r="AB197" s="1"/>
      <c r="AC197" s="1"/>
      <c r="AD197" s="1"/>
      <c r="AE197" s="1"/>
      <c r="AF197" s="1"/>
    </row>
    <row r="198">
      <c r="A198" s="1"/>
      <c r="B198" s="2"/>
      <c r="C198" s="117"/>
      <c r="D198" s="2"/>
      <c r="E198" s="2"/>
      <c r="F198" s="2"/>
      <c r="G198" s="2"/>
      <c r="H198" s="2"/>
      <c r="I198" s="117"/>
      <c r="J198" s="2"/>
      <c r="K198" s="2"/>
      <c r="L198" s="2"/>
      <c r="M198" s="2"/>
      <c r="N198" s="2"/>
      <c r="O198" s="2"/>
      <c r="P198" s="2"/>
      <c r="Q198" s="2"/>
      <c r="R198" s="2"/>
      <c r="S198" s="2"/>
      <c r="T198" s="2"/>
      <c r="U198" s="2"/>
      <c r="V198" s="1"/>
      <c r="W198" s="1"/>
      <c r="X198" s="1"/>
      <c r="Y198" s="1"/>
      <c r="Z198" s="1"/>
      <c r="AA198" s="1"/>
      <c r="AB198" s="1"/>
      <c r="AC198" s="1"/>
      <c r="AD198" s="1"/>
      <c r="AE198" s="1"/>
      <c r="AF198" s="1"/>
    </row>
    <row r="199">
      <c r="A199" s="1"/>
      <c r="B199" s="2"/>
      <c r="C199" s="117"/>
      <c r="D199" s="2"/>
      <c r="E199" s="2"/>
      <c r="F199" s="2"/>
      <c r="G199" s="2"/>
      <c r="H199" s="2"/>
      <c r="I199" s="117"/>
      <c r="J199" s="2"/>
      <c r="K199" s="2"/>
      <c r="L199" s="2"/>
      <c r="M199" s="2"/>
      <c r="N199" s="2"/>
      <c r="O199" s="2"/>
      <c r="P199" s="2"/>
      <c r="Q199" s="2"/>
      <c r="R199" s="2"/>
      <c r="S199" s="2"/>
      <c r="T199" s="2"/>
      <c r="U199" s="2"/>
      <c r="V199" s="1"/>
      <c r="W199" s="1"/>
      <c r="X199" s="1"/>
      <c r="Y199" s="1"/>
      <c r="Z199" s="1"/>
      <c r="AA199" s="1"/>
      <c r="AB199" s="1"/>
      <c r="AC199" s="1"/>
      <c r="AD199" s="1"/>
      <c r="AE199" s="1"/>
      <c r="AF199" s="1"/>
    </row>
    <row r="200">
      <c r="A200" s="1"/>
      <c r="B200" s="2"/>
      <c r="C200" s="117"/>
      <c r="D200" s="2"/>
      <c r="E200" s="2"/>
      <c r="F200" s="2"/>
      <c r="G200" s="2"/>
      <c r="H200" s="2"/>
      <c r="I200" s="117"/>
      <c r="J200" s="2"/>
      <c r="K200" s="2"/>
      <c r="L200" s="2"/>
      <c r="M200" s="2"/>
      <c r="N200" s="2"/>
      <c r="O200" s="2"/>
      <c r="P200" s="2"/>
      <c r="Q200" s="2"/>
      <c r="R200" s="2"/>
      <c r="S200" s="2"/>
      <c r="T200" s="2"/>
      <c r="U200" s="2"/>
      <c r="V200" s="1"/>
      <c r="W200" s="1"/>
      <c r="X200" s="1"/>
      <c r="Y200" s="1"/>
      <c r="Z200" s="1"/>
      <c r="AA200" s="1"/>
      <c r="AB200" s="1"/>
      <c r="AC200" s="1"/>
      <c r="AD200" s="1"/>
      <c r="AE200" s="1"/>
      <c r="AF200" s="1"/>
    </row>
    <row r="201">
      <c r="A201" s="1"/>
      <c r="B201" s="2"/>
      <c r="C201" s="117"/>
      <c r="D201" s="2"/>
      <c r="E201" s="2"/>
      <c r="F201" s="2"/>
      <c r="G201" s="2"/>
      <c r="H201" s="2"/>
      <c r="I201" s="117"/>
      <c r="J201" s="2"/>
      <c r="K201" s="2"/>
      <c r="L201" s="2"/>
      <c r="M201" s="2"/>
      <c r="N201" s="2"/>
      <c r="O201" s="2"/>
      <c r="P201" s="2"/>
      <c r="Q201" s="2"/>
      <c r="R201" s="2"/>
      <c r="S201" s="2"/>
      <c r="T201" s="2"/>
      <c r="U201" s="2"/>
      <c r="V201" s="1"/>
      <c r="W201" s="1"/>
      <c r="X201" s="1"/>
      <c r="Y201" s="1"/>
      <c r="Z201" s="1"/>
      <c r="AA201" s="1"/>
      <c r="AB201" s="1"/>
      <c r="AC201" s="1"/>
      <c r="AD201" s="1"/>
      <c r="AE201" s="1"/>
      <c r="AF201" s="1"/>
    </row>
    <row r="202">
      <c r="A202" s="1"/>
      <c r="B202" s="2"/>
      <c r="C202" s="117"/>
      <c r="D202" s="2"/>
      <c r="E202" s="2"/>
      <c r="F202" s="2"/>
      <c r="G202" s="2"/>
      <c r="H202" s="2"/>
      <c r="I202" s="117"/>
      <c r="J202" s="2"/>
      <c r="K202" s="2"/>
      <c r="L202" s="2"/>
      <c r="M202" s="2"/>
      <c r="N202" s="2"/>
      <c r="O202" s="2"/>
      <c r="P202" s="2"/>
      <c r="Q202" s="2"/>
      <c r="R202" s="2"/>
      <c r="S202" s="2"/>
      <c r="T202" s="2"/>
      <c r="U202" s="2"/>
      <c r="V202" s="1"/>
      <c r="W202" s="1"/>
      <c r="X202" s="1"/>
      <c r="Y202" s="1"/>
      <c r="Z202" s="1"/>
      <c r="AA202" s="1"/>
      <c r="AB202" s="1"/>
      <c r="AC202" s="1"/>
      <c r="AD202" s="1"/>
      <c r="AE202" s="1"/>
      <c r="AF202" s="1"/>
    </row>
    <row r="203">
      <c r="A203" s="1"/>
      <c r="B203" s="2"/>
      <c r="C203" s="117"/>
      <c r="D203" s="2"/>
      <c r="E203" s="2"/>
      <c r="F203" s="2"/>
      <c r="G203" s="2"/>
      <c r="H203" s="2"/>
      <c r="I203" s="117"/>
      <c r="J203" s="2"/>
      <c r="K203" s="2"/>
      <c r="L203" s="2"/>
      <c r="M203" s="2"/>
      <c r="N203" s="2"/>
      <c r="O203" s="2"/>
      <c r="P203" s="2"/>
      <c r="Q203" s="2"/>
      <c r="R203" s="2"/>
      <c r="S203" s="2"/>
      <c r="T203" s="2"/>
      <c r="U203" s="2"/>
      <c r="V203" s="1"/>
      <c r="W203" s="1"/>
      <c r="X203" s="1"/>
      <c r="Y203" s="1"/>
      <c r="Z203" s="1"/>
      <c r="AA203" s="1"/>
      <c r="AB203" s="1"/>
      <c r="AC203" s="1"/>
      <c r="AD203" s="1"/>
      <c r="AE203" s="1"/>
      <c r="AF203" s="1"/>
    </row>
    <row r="204">
      <c r="A204" s="1"/>
      <c r="B204" s="2"/>
      <c r="C204" s="117"/>
      <c r="D204" s="2"/>
      <c r="E204" s="2"/>
      <c r="F204" s="2"/>
      <c r="G204" s="2"/>
      <c r="H204" s="2"/>
      <c r="I204" s="117"/>
      <c r="J204" s="2"/>
      <c r="K204" s="2"/>
      <c r="L204" s="2"/>
      <c r="M204" s="2"/>
      <c r="N204" s="2"/>
      <c r="O204" s="2"/>
      <c r="P204" s="2"/>
      <c r="Q204" s="2"/>
      <c r="R204" s="2"/>
      <c r="S204" s="2"/>
      <c r="T204" s="2"/>
      <c r="U204" s="2"/>
      <c r="V204" s="1"/>
      <c r="W204" s="1"/>
      <c r="X204" s="1"/>
      <c r="Y204" s="1"/>
      <c r="Z204" s="1"/>
      <c r="AA204" s="1"/>
      <c r="AB204" s="1"/>
      <c r="AC204" s="1"/>
      <c r="AD204" s="1"/>
      <c r="AE204" s="1"/>
      <c r="AF204" s="1"/>
    </row>
    <row r="205">
      <c r="A205" s="1"/>
      <c r="B205" s="2"/>
      <c r="C205" s="117"/>
      <c r="D205" s="2"/>
      <c r="E205" s="2"/>
      <c r="F205" s="2"/>
      <c r="G205" s="2"/>
      <c r="H205" s="2"/>
      <c r="I205" s="117"/>
      <c r="J205" s="2"/>
      <c r="K205" s="2"/>
      <c r="L205" s="2"/>
      <c r="M205" s="2"/>
      <c r="N205" s="2"/>
      <c r="O205" s="2"/>
      <c r="P205" s="2"/>
      <c r="Q205" s="2"/>
      <c r="R205" s="2"/>
      <c r="S205" s="2"/>
      <c r="T205" s="2"/>
      <c r="U205" s="2"/>
      <c r="V205" s="1"/>
      <c r="W205" s="1"/>
      <c r="X205" s="1"/>
      <c r="Y205" s="1"/>
      <c r="Z205" s="1"/>
      <c r="AA205" s="1"/>
      <c r="AB205" s="1"/>
      <c r="AC205" s="1"/>
      <c r="AD205" s="1"/>
      <c r="AE205" s="1"/>
      <c r="AF205" s="1"/>
    </row>
    <row r="206">
      <c r="A206" s="1"/>
      <c r="B206" s="2"/>
      <c r="C206" s="117"/>
      <c r="D206" s="2"/>
      <c r="E206" s="2"/>
      <c r="F206" s="2"/>
      <c r="G206" s="2"/>
      <c r="H206" s="2"/>
      <c r="I206" s="117"/>
      <c r="J206" s="2"/>
      <c r="K206" s="2"/>
      <c r="L206" s="2"/>
      <c r="M206" s="2"/>
      <c r="N206" s="2"/>
      <c r="O206" s="2"/>
      <c r="P206" s="2"/>
      <c r="Q206" s="2"/>
      <c r="R206" s="2"/>
      <c r="S206" s="2"/>
      <c r="T206" s="2"/>
      <c r="U206" s="2"/>
      <c r="V206" s="1"/>
      <c r="W206" s="1"/>
      <c r="X206" s="1"/>
      <c r="Y206" s="1"/>
      <c r="Z206" s="1"/>
      <c r="AA206" s="1"/>
      <c r="AB206" s="1"/>
      <c r="AC206" s="1"/>
      <c r="AD206" s="1"/>
      <c r="AE206" s="1"/>
      <c r="AF206" s="1"/>
    </row>
    <row r="207">
      <c r="A207" s="1"/>
      <c r="B207" s="2"/>
      <c r="C207" s="117"/>
      <c r="D207" s="2"/>
      <c r="E207" s="2"/>
      <c r="F207" s="2"/>
      <c r="G207" s="2"/>
      <c r="H207" s="2"/>
      <c r="I207" s="117"/>
      <c r="J207" s="2"/>
      <c r="K207" s="2"/>
      <c r="L207" s="2"/>
      <c r="M207" s="2"/>
      <c r="N207" s="2"/>
      <c r="O207" s="2"/>
      <c r="P207" s="2"/>
      <c r="Q207" s="2"/>
      <c r="R207" s="2"/>
      <c r="S207" s="2"/>
      <c r="T207" s="2"/>
      <c r="U207" s="2"/>
      <c r="V207" s="1"/>
      <c r="W207" s="1"/>
      <c r="X207" s="1"/>
      <c r="Y207" s="1"/>
      <c r="Z207" s="1"/>
      <c r="AA207" s="1"/>
      <c r="AB207" s="1"/>
      <c r="AC207" s="1"/>
      <c r="AD207" s="1"/>
      <c r="AE207" s="1"/>
      <c r="AF207" s="1"/>
    </row>
    <row r="208">
      <c r="A208" s="1"/>
      <c r="B208" s="2"/>
      <c r="C208" s="117"/>
      <c r="D208" s="2"/>
      <c r="E208" s="2"/>
      <c r="F208" s="2"/>
      <c r="G208" s="2"/>
      <c r="H208" s="2"/>
      <c r="I208" s="117"/>
      <c r="J208" s="2"/>
      <c r="K208" s="2"/>
      <c r="L208" s="2"/>
      <c r="M208" s="2"/>
      <c r="N208" s="2"/>
      <c r="O208" s="2"/>
      <c r="P208" s="2"/>
      <c r="Q208" s="2"/>
      <c r="R208" s="2"/>
      <c r="S208" s="2"/>
      <c r="T208" s="2"/>
      <c r="U208" s="2"/>
      <c r="V208" s="1"/>
      <c r="W208" s="1"/>
      <c r="X208" s="1"/>
      <c r="Y208" s="1"/>
      <c r="Z208" s="1"/>
      <c r="AA208" s="1"/>
      <c r="AB208" s="1"/>
      <c r="AC208" s="1"/>
      <c r="AD208" s="1"/>
      <c r="AE208" s="1"/>
      <c r="AF208" s="1"/>
    </row>
    <row r="209">
      <c r="A209" s="1"/>
      <c r="B209" s="2"/>
      <c r="C209" s="117"/>
      <c r="D209" s="2"/>
      <c r="E209" s="2"/>
      <c r="F209" s="2"/>
      <c r="G209" s="2"/>
      <c r="H209" s="2"/>
      <c r="I209" s="117"/>
      <c r="J209" s="2"/>
      <c r="K209" s="2"/>
      <c r="L209" s="2"/>
      <c r="M209" s="2"/>
      <c r="N209" s="2"/>
      <c r="O209" s="2"/>
      <c r="P209" s="2"/>
      <c r="Q209" s="2"/>
      <c r="R209" s="2"/>
      <c r="S209" s="2"/>
      <c r="T209" s="2"/>
      <c r="U209" s="2"/>
      <c r="V209" s="1"/>
      <c r="W209" s="1"/>
      <c r="X209" s="1"/>
      <c r="Y209" s="1"/>
      <c r="Z209" s="1"/>
      <c r="AA209" s="1"/>
      <c r="AB209" s="1"/>
      <c r="AC209" s="1"/>
      <c r="AD209" s="1"/>
      <c r="AE209" s="1"/>
      <c r="AF209" s="1"/>
    </row>
    <row r="210">
      <c r="A210" s="1"/>
      <c r="B210" s="2"/>
      <c r="C210" s="117"/>
      <c r="D210" s="2"/>
      <c r="E210" s="2"/>
      <c r="F210" s="2"/>
      <c r="G210" s="2"/>
      <c r="H210" s="2"/>
      <c r="I210" s="117"/>
      <c r="J210" s="2"/>
      <c r="K210" s="2"/>
      <c r="L210" s="2"/>
      <c r="M210" s="2"/>
      <c r="N210" s="2"/>
      <c r="O210" s="2"/>
      <c r="P210" s="2"/>
      <c r="Q210" s="2"/>
      <c r="R210" s="2"/>
      <c r="S210" s="2"/>
      <c r="T210" s="2"/>
      <c r="U210" s="2"/>
      <c r="V210" s="1"/>
      <c r="W210" s="1"/>
      <c r="X210" s="1"/>
      <c r="Y210" s="1"/>
      <c r="Z210" s="1"/>
      <c r="AA210" s="1"/>
      <c r="AB210" s="1"/>
      <c r="AC210" s="1"/>
      <c r="AD210" s="1"/>
      <c r="AE210" s="1"/>
      <c r="AF210" s="1"/>
    </row>
    <row r="211">
      <c r="A211" s="1"/>
      <c r="B211" s="2"/>
      <c r="C211" s="117"/>
      <c r="D211" s="2"/>
      <c r="E211" s="2"/>
      <c r="F211" s="2"/>
      <c r="G211" s="2"/>
      <c r="H211" s="2"/>
      <c r="I211" s="117"/>
      <c r="J211" s="2"/>
      <c r="K211" s="2"/>
      <c r="L211" s="2"/>
      <c r="M211" s="2"/>
      <c r="N211" s="2"/>
      <c r="O211" s="2"/>
      <c r="P211" s="2"/>
      <c r="Q211" s="2"/>
      <c r="R211" s="2"/>
      <c r="S211" s="2"/>
      <c r="T211" s="2"/>
      <c r="U211" s="2"/>
      <c r="V211" s="1"/>
      <c r="W211" s="1"/>
      <c r="X211" s="1"/>
      <c r="Y211" s="1"/>
      <c r="Z211" s="1"/>
      <c r="AA211" s="1"/>
      <c r="AB211" s="1"/>
      <c r="AC211" s="1"/>
      <c r="AD211" s="1"/>
      <c r="AE211" s="1"/>
      <c r="AF211" s="1"/>
    </row>
    <row r="212">
      <c r="A212" s="1"/>
      <c r="B212" s="2"/>
      <c r="C212" s="117"/>
      <c r="D212" s="2"/>
      <c r="E212" s="2"/>
      <c r="F212" s="2"/>
      <c r="G212" s="2"/>
      <c r="H212" s="2"/>
      <c r="I212" s="117"/>
      <c r="J212" s="2"/>
      <c r="K212" s="2"/>
      <c r="L212" s="2"/>
      <c r="M212" s="2"/>
      <c r="N212" s="2"/>
      <c r="O212" s="2"/>
      <c r="P212" s="2"/>
      <c r="Q212" s="2"/>
      <c r="R212" s="2"/>
      <c r="S212" s="2"/>
      <c r="T212" s="2"/>
      <c r="U212" s="2"/>
      <c r="V212" s="1"/>
      <c r="W212" s="1"/>
      <c r="X212" s="1"/>
      <c r="Y212" s="1"/>
      <c r="Z212" s="1"/>
      <c r="AA212" s="1"/>
      <c r="AB212" s="1"/>
      <c r="AC212" s="1"/>
      <c r="AD212" s="1"/>
      <c r="AE212" s="1"/>
      <c r="AF212" s="1"/>
    </row>
    <row r="213">
      <c r="A213" s="1"/>
      <c r="B213" s="2"/>
      <c r="C213" s="117"/>
      <c r="D213" s="2"/>
      <c r="E213" s="2"/>
      <c r="F213" s="2"/>
      <c r="G213" s="2"/>
      <c r="H213" s="2"/>
      <c r="I213" s="117"/>
      <c r="J213" s="2"/>
      <c r="K213" s="2"/>
      <c r="L213" s="2"/>
      <c r="M213" s="2"/>
      <c r="N213" s="2"/>
      <c r="O213" s="2"/>
      <c r="P213" s="2"/>
      <c r="Q213" s="2"/>
      <c r="R213" s="2"/>
      <c r="S213" s="2"/>
      <c r="T213" s="2"/>
      <c r="U213" s="2"/>
      <c r="V213" s="1"/>
      <c r="W213" s="1"/>
      <c r="X213" s="1"/>
      <c r="Y213" s="1"/>
      <c r="Z213" s="1"/>
      <c r="AA213" s="1"/>
      <c r="AB213" s="1"/>
      <c r="AC213" s="1"/>
      <c r="AD213" s="1"/>
      <c r="AE213" s="1"/>
      <c r="AF213" s="1"/>
    </row>
    <row r="214">
      <c r="A214" s="1"/>
      <c r="B214" s="2"/>
      <c r="C214" s="117"/>
      <c r="D214" s="2"/>
      <c r="E214" s="2"/>
      <c r="F214" s="2"/>
      <c r="G214" s="2"/>
      <c r="H214" s="2"/>
      <c r="I214" s="117"/>
      <c r="J214" s="2"/>
      <c r="K214" s="2"/>
      <c r="L214" s="2"/>
      <c r="M214" s="2"/>
      <c r="N214" s="2"/>
      <c r="O214" s="2"/>
      <c r="P214" s="2"/>
      <c r="Q214" s="2"/>
      <c r="R214" s="2"/>
      <c r="S214" s="2"/>
      <c r="T214" s="2"/>
      <c r="U214" s="2"/>
      <c r="V214" s="1"/>
      <c r="W214" s="1"/>
      <c r="X214" s="1"/>
      <c r="Y214" s="1"/>
      <c r="Z214" s="1"/>
      <c r="AA214" s="1"/>
      <c r="AB214" s="1"/>
      <c r="AC214" s="1"/>
      <c r="AD214" s="1"/>
      <c r="AE214" s="1"/>
      <c r="AF214" s="1"/>
    </row>
    <row r="215">
      <c r="A215" s="1"/>
      <c r="B215" s="2"/>
      <c r="C215" s="117"/>
      <c r="D215" s="2"/>
      <c r="E215" s="2"/>
      <c r="F215" s="2"/>
      <c r="G215" s="2"/>
      <c r="H215" s="2"/>
      <c r="I215" s="117"/>
      <c r="J215" s="2"/>
      <c r="K215" s="2"/>
      <c r="L215" s="2"/>
      <c r="M215" s="2"/>
      <c r="N215" s="2"/>
      <c r="O215" s="2"/>
      <c r="P215" s="2"/>
      <c r="Q215" s="2"/>
      <c r="R215" s="2"/>
      <c r="S215" s="2"/>
      <c r="T215" s="2"/>
      <c r="U215" s="2"/>
      <c r="V215" s="1"/>
      <c r="W215" s="1"/>
      <c r="X215" s="1"/>
      <c r="Y215" s="1"/>
      <c r="Z215" s="1"/>
      <c r="AA215" s="1"/>
      <c r="AB215" s="1"/>
      <c r="AC215" s="1"/>
      <c r="AD215" s="1"/>
      <c r="AE215" s="1"/>
      <c r="AF215" s="1"/>
    </row>
    <row r="216">
      <c r="A216" s="1"/>
      <c r="B216" s="2"/>
      <c r="C216" s="117"/>
      <c r="D216" s="2"/>
      <c r="E216" s="2"/>
      <c r="F216" s="2"/>
      <c r="G216" s="2"/>
      <c r="H216" s="2"/>
      <c r="I216" s="117"/>
      <c r="J216" s="2"/>
      <c r="K216" s="2"/>
      <c r="L216" s="2"/>
      <c r="M216" s="2"/>
      <c r="N216" s="2"/>
      <c r="O216" s="2"/>
      <c r="P216" s="2"/>
      <c r="Q216" s="2"/>
      <c r="R216" s="2"/>
      <c r="S216" s="2"/>
      <c r="T216" s="2"/>
      <c r="U216" s="2"/>
      <c r="V216" s="1"/>
      <c r="W216" s="1"/>
      <c r="X216" s="1"/>
      <c r="Y216" s="1"/>
      <c r="Z216" s="1"/>
      <c r="AA216" s="1"/>
      <c r="AB216" s="1"/>
      <c r="AC216" s="1"/>
      <c r="AD216" s="1"/>
      <c r="AE216" s="1"/>
      <c r="AF216" s="1"/>
    </row>
    <row r="217">
      <c r="A217" s="1"/>
      <c r="B217" s="2"/>
      <c r="C217" s="117"/>
      <c r="D217" s="2"/>
      <c r="E217" s="2"/>
      <c r="F217" s="2"/>
      <c r="G217" s="2"/>
      <c r="H217" s="2"/>
      <c r="I217" s="117"/>
      <c r="J217" s="2"/>
      <c r="K217" s="2"/>
      <c r="L217" s="2"/>
      <c r="M217" s="2"/>
      <c r="N217" s="2"/>
      <c r="O217" s="2"/>
      <c r="P217" s="2"/>
      <c r="Q217" s="2"/>
      <c r="R217" s="2"/>
      <c r="S217" s="2"/>
      <c r="T217" s="2"/>
      <c r="U217" s="2"/>
      <c r="V217" s="1"/>
      <c r="W217" s="1"/>
      <c r="X217" s="1"/>
      <c r="Y217" s="1"/>
      <c r="Z217" s="1"/>
      <c r="AA217" s="1"/>
      <c r="AB217" s="1"/>
      <c r="AC217" s="1"/>
      <c r="AD217" s="1"/>
      <c r="AE217" s="1"/>
      <c r="AF217" s="1"/>
    </row>
    <row r="218">
      <c r="A218" s="1"/>
      <c r="B218" s="2"/>
      <c r="C218" s="117"/>
      <c r="D218" s="2"/>
      <c r="E218" s="2"/>
      <c r="F218" s="2"/>
      <c r="G218" s="2"/>
      <c r="H218" s="2"/>
      <c r="I218" s="117"/>
      <c r="J218" s="2"/>
      <c r="K218" s="2"/>
      <c r="L218" s="2"/>
      <c r="M218" s="2"/>
      <c r="N218" s="2"/>
      <c r="O218" s="2"/>
      <c r="P218" s="2"/>
      <c r="Q218" s="2"/>
      <c r="R218" s="2"/>
      <c r="S218" s="2"/>
      <c r="T218" s="2"/>
      <c r="U218" s="2"/>
      <c r="V218" s="1"/>
      <c r="W218" s="1"/>
      <c r="X218" s="1"/>
      <c r="Y218" s="1"/>
      <c r="Z218" s="1"/>
      <c r="AA218" s="1"/>
      <c r="AB218" s="1"/>
      <c r="AC218" s="1"/>
      <c r="AD218" s="1"/>
      <c r="AE218" s="1"/>
      <c r="AF218" s="1"/>
    </row>
    <row r="219">
      <c r="A219" s="1"/>
      <c r="B219" s="2"/>
      <c r="C219" s="117"/>
      <c r="D219" s="2"/>
      <c r="E219" s="2"/>
      <c r="F219" s="2"/>
      <c r="G219" s="2"/>
      <c r="H219" s="2"/>
      <c r="I219" s="117"/>
      <c r="J219" s="2"/>
      <c r="K219" s="2"/>
      <c r="L219" s="2"/>
      <c r="M219" s="2"/>
      <c r="N219" s="2"/>
      <c r="O219" s="2"/>
      <c r="P219" s="2"/>
      <c r="Q219" s="2"/>
      <c r="R219" s="2"/>
      <c r="S219" s="2"/>
      <c r="T219" s="2"/>
      <c r="U219" s="2"/>
      <c r="V219" s="1"/>
      <c r="W219" s="1"/>
      <c r="X219" s="1"/>
      <c r="Y219" s="1"/>
      <c r="Z219" s="1"/>
      <c r="AA219" s="1"/>
      <c r="AB219" s="1"/>
      <c r="AC219" s="1"/>
      <c r="AD219" s="1"/>
      <c r="AE219" s="1"/>
      <c r="AF219" s="1"/>
    </row>
    <row r="220">
      <c r="A220" s="1"/>
      <c r="B220" s="2"/>
      <c r="C220" s="117"/>
      <c r="D220" s="2"/>
      <c r="E220" s="2"/>
      <c r="F220" s="2"/>
      <c r="G220" s="2"/>
      <c r="H220" s="2"/>
      <c r="I220" s="117"/>
      <c r="J220" s="2"/>
      <c r="K220" s="2"/>
      <c r="L220" s="2"/>
      <c r="M220" s="2"/>
      <c r="N220" s="2"/>
      <c r="O220" s="2"/>
      <c r="P220" s="2"/>
      <c r="Q220" s="2"/>
      <c r="R220" s="2"/>
      <c r="S220" s="2"/>
      <c r="T220" s="2"/>
      <c r="U220" s="2"/>
      <c r="V220" s="1"/>
      <c r="W220" s="1"/>
      <c r="X220" s="1"/>
      <c r="Y220" s="1"/>
      <c r="Z220" s="1"/>
      <c r="AA220" s="1"/>
      <c r="AB220" s="1"/>
      <c r="AC220" s="1"/>
      <c r="AD220" s="1"/>
      <c r="AE220" s="1"/>
      <c r="AF220" s="1"/>
    </row>
    <row r="221">
      <c r="A221" s="1"/>
      <c r="B221" s="2"/>
      <c r="C221" s="117"/>
      <c r="D221" s="2"/>
      <c r="E221" s="2"/>
      <c r="F221" s="2"/>
      <c r="G221" s="2"/>
      <c r="H221" s="2"/>
      <c r="I221" s="117"/>
      <c r="J221" s="2"/>
      <c r="K221" s="2"/>
      <c r="L221" s="2"/>
      <c r="M221" s="2"/>
      <c r="N221" s="2"/>
      <c r="O221" s="2"/>
      <c r="P221" s="2"/>
      <c r="Q221" s="2"/>
      <c r="R221" s="2"/>
      <c r="S221" s="2"/>
      <c r="T221" s="2"/>
      <c r="U221" s="2"/>
      <c r="V221" s="1"/>
      <c r="W221" s="1"/>
      <c r="X221" s="1"/>
      <c r="Y221" s="1"/>
      <c r="Z221" s="1"/>
      <c r="AA221" s="1"/>
      <c r="AB221" s="1"/>
      <c r="AC221" s="1"/>
      <c r="AD221" s="1"/>
      <c r="AE221" s="1"/>
      <c r="AF221" s="1"/>
    </row>
    <row r="222">
      <c r="A222" s="1"/>
      <c r="B222" s="2"/>
      <c r="C222" s="117"/>
      <c r="D222" s="2"/>
      <c r="E222" s="2"/>
      <c r="F222" s="2"/>
      <c r="G222" s="2"/>
      <c r="H222" s="2"/>
      <c r="I222" s="117"/>
      <c r="J222" s="2"/>
      <c r="K222" s="2"/>
      <c r="L222" s="2"/>
      <c r="M222" s="2"/>
      <c r="N222" s="2"/>
      <c r="O222" s="2"/>
      <c r="P222" s="2"/>
      <c r="Q222" s="2"/>
      <c r="R222" s="2"/>
      <c r="S222" s="2"/>
      <c r="T222" s="2"/>
      <c r="U222" s="2"/>
      <c r="V222" s="1"/>
      <c r="W222" s="1"/>
      <c r="X222" s="1"/>
      <c r="Y222" s="1"/>
      <c r="Z222" s="1"/>
      <c r="AA222" s="1"/>
      <c r="AB222" s="1"/>
      <c r="AC222" s="1"/>
      <c r="AD222" s="1"/>
      <c r="AE222" s="1"/>
      <c r="AF222" s="1"/>
    </row>
    <row r="223">
      <c r="A223" s="1"/>
      <c r="B223" s="2"/>
      <c r="C223" s="117"/>
      <c r="D223" s="2"/>
      <c r="E223" s="2"/>
      <c r="F223" s="2"/>
      <c r="G223" s="2"/>
      <c r="H223" s="2"/>
      <c r="I223" s="117"/>
      <c r="J223" s="2"/>
      <c r="K223" s="2"/>
      <c r="L223" s="2"/>
      <c r="M223" s="2"/>
      <c r="N223" s="2"/>
      <c r="O223" s="2"/>
      <c r="P223" s="2"/>
      <c r="Q223" s="2"/>
      <c r="R223" s="2"/>
      <c r="S223" s="2"/>
      <c r="T223" s="2"/>
      <c r="U223" s="2"/>
      <c r="V223" s="1"/>
      <c r="W223" s="1"/>
      <c r="X223" s="1"/>
      <c r="Y223" s="1"/>
      <c r="Z223" s="1"/>
      <c r="AA223" s="1"/>
      <c r="AB223" s="1"/>
      <c r="AC223" s="1"/>
      <c r="AD223" s="1"/>
      <c r="AE223" s="1"/>
      <c r="AF223" s="1"/>
    </row>
    <row r="224">
      <c r="A224" s="1"/>
      <c r="B224" s="2"/>
      <c r="C224" s="117"/>
      <c r="D224" s="2"/>
      <c r="E224" s="2"/>
      <c r="F224" s="2"/>
      <c r="G224" s="2"/>
      <c r="H224" s="2"/>
      <c r="I224" s="117"/>
      <c r="J224" s="2"/>
      <c r="K224" s="2"/>
      <c r="L224" s="2"/>
      <c r="M224" s="2"/>
      <c r="N224" s="2"/>
      <c r="O224" s="2"/>
      <c r="P224" s="2"/>
      <c r="Q224" s="2"/>
      <c r="R224" s="2"/>
      <c r="S224" s="2"/>
      <c r="T224" s="2"/>
      <c r="U224" s="2"/>
      <c r="V224" s="1"/>
      <c r="W224" s="1"/>
      <c r="X224" s="1"/>
      <c r="Y224" s="1"/>
      <c r="Z224" s="1"/>
      <c r="AA224" s="1"/>
      <c r="AB224" s="1"/>
      <c r="AC224" s="1"/>
      <c r="AD224" s="1"/>
      <c r="AE224" s="1"/>
      <c r="AF224" s="1"/>
    </row>
    <row r="225">
      <c r="A225" s="1"/>
      <c r="B225" s="2"/>
      <c r="C225" s="117"/>
      <c r="D225" s="2"/>
      <c r="E225" s="2"/>
      <c r="F225" s="2"/>
      <c r="G225" s="2"/>
      <c r="H225" s="2"/>
      <c r="I225" s="117"/>
      <c r="J225" s="2"/>
      <c r="K225" s="2"/>
      <c r="L225" s="2"/>
      <c r="M225" s="2"/>
      <c r="N225" s="2"/>
      <c r="O225" s="2"/>
      <c r="P225" s="2"/>
      <c r="Q225" s="2"/>
      <c r="R225" s="2"/>
      <c r="S225" s="2"/>
      <c r="T225" s="2"/>
      <c r="U225" s="2"/>
      <c r="V225" s="1"/>
      <c r="W225" s="1"/>
      <c r="X225" s="1"/>
      <c r="Y225" s="1"/>
      <c r="Z225" s="1"/>
      <c r="AA225" s="1"/>
      <c r="AB225" s="1"/>
      <c r="AC225" s="1"/>
      <c r="AD225" s="1"/>
      <c r="AE225" s="1"/>
      <c r="AF225" s="1"/>
    </row>
    <row r="226">
      <c r="A226" s="1"/>
      <c r="B226" s="2"/>
      <c r="C226" s="117"/>
      <c r="D226" s="2"/>
      <c r="E226" s="2"/>
      <c r="F226" s="2"/>
      <c r="G226" s="2"/>
      <c r="H226" s="2"/>
      <c r="I226" s="117"/>
      <c r="J226" s="2"/>
      <c r="K226" s="2"/>
      <c r="L226" s="2"/>
      <c r="M226" s="2"/>
      <c r="N226" s="2"/>
      <c r="O226" s="2"/>
      <c r="P226" s="2"/>
      <c r="Q226" s="2"/>
      <c r="R226" s="2"/>
      <c r="S226" s="2"/>
      <c r="T226" s="2"/>
      <c r="U226" s="2"/>
      <c r="V226" s="1"/>
      <c r="W226" s="1"/>
      <c r="X226" s="1"/>
      <c r="Y226" s="1"/>
      <c r="Z226" s="1"/>
      <c r="AA226" s="1"/>
      <c r="AB226" s="1"/>
      <c r="AC226" s="1"/>
      <c r="AD226" s="1"/>
      <c r="AE226" s="1"/>
      <c r="AF226" s="1"/>
    </row>
    <row r="227">
      <c r="A227" s="1"/>
      <c r="B227" s="2"/>
      <c r="C227" s="117"/>
      <c r="D227" s="2"/>
      <c r="E227" s="2"/>
      <c r="F227" s="2"/>
      <c r="G227" s="2"/>
      <c r="H227" s="2"/>
      <c r="I227" s="117"/>
      <c r="J227" s="2"/>
      <c r="K227" s="2"/>
      <c r="L227" s="2"/>
      <c r="M227" s="2"/>
      <c r="N227" s="2"/>
      <c r="O227" s="2"/>
      <c r="P227" s="2"/>
      <c r="Q227" s="2"/>
      <c r="R227" s="2"/>
      <c r="S227" s="2"/>
      <c r="T227" s="2"/>
      <c r="U227" s="2"/>
      <c r="V227" s="1"/>
      <c r="W227" s="1"/>
      <c r="X227" s="1"/>
      <c r="Y227" s="1"/>
      <c r="Z227" s="1"/>
      <c r="AA227" s="1"/>
      <c r="AB227" s="1"/>
      <c r="AC227" s="1"/>
      <c r="AD227" s="1"/>
      <c r="AE227" s="1"/>
      <c r="AF227" s="1"/>
    </row>
    <row r="228">
      <c r="A228" s="1"/>
      <c r="B228" s="2"/>
      <c r="C228" s="117"/>
      <c r="D228" s="2"/>
      <c r="E228" s="2"/>
      <c r="F228" s="2"/>
      <c r="G228" s="2"/>
      <c r="H228" s="2"/>
      <c r="I228" s="117"/>
      <c r="J228" s="2"/>
      <c r="K228" s="2"/>
      <c r="L228" s="2"/>
      <c r="M228" s="2"/>
      <c r="N228" s="2"/>
      <c r="O228" s="2"/>
      <c r="P228" s="2"/>
      <c r="Q228" s="2"/>
      <c r="R228" s="2"/>
      <c r="S228" s="2"/>
      <c r="T228" s="2"/>
      <c r="U228" s="2"/>
      <c r="V228" s="1"/>
      <c r="W228" s="1"/>
      <c r="X228" s="1"/>
      <c r="Y228" s="1"/>
      <c r="Z228" s="1"/>
      <c r="AA228" s="1"/>
      <c r="AB228" s="1"/>
      <c r="AC228" s="1"/>
      <c r="AD228" s="1"/>
      <c r="AE228" s="1"/>
      <c r="AF228" s="1"/>
    </row>
    <row r="229">
      <c r="A229" s="1"/>
      <c r="B229" s="2"/>
      <c r="C229" s="117"/>
      <c r="D229" s="2"/>
      <c r="E229" s="2"/>
      <c r="F229" s="2"/>
      <c r="G229" s="2"/>
      <c r="H229" s="2"/>
      <c r="I229" s="117"/>
      <c r="J229" s="2"/>
      <c r="K229" s="2"/>
      <c r="L229" s="2"/>
      <c r="M229" s="2"/>
      <c r="N229" s="2"/>
      <c r="O229" s="2"/>
      <c r="P229" s="2"/>
      <c r="Q229" s="2"/>
      <c r="R229" s="2"/>
      <c r="S229" s="2"/>
      <c r="T229" s="2"/>
      <c r="U229" s="2"/>
      <c r="V229" s="1"/>
      <c r="W229" s="1"/>
      <c r="X229" s="1"/>
      <c r="Y229" s="1"/>
      <c r="Z229" s="1"/>
      <c r="AA229" s="1"/>
      <c r="AB229" s="1"/>
      <c r="AC229" s="1"/>
      <c r="AD229" s="1"/>
      <c r="AE229" s="1"/>
      <c r="AF229" s="1"/>
    </row>
    <row r="230">
      <c r="A230" s="1"/>
      <c r="B230" s="2"/>
      <c r="C230" s="117"/>
      <c r="D230" s="2"/>
      <c r="E230" s="2"/>
      <c r="F230" s="2"/>
      <c r="G230" s="2"/>
      <c r="H230" s="2"/>
      <c r="I230" s="117"/>
      <c r="J230" s="2"/>
      <c r="K230" s="2"/>
      <c r="L230" s="2"/>
      <c r="M230" s="2"/>
      <c r="N230" s="2"/>
      <c r="O230" s="2"/>
      <c r="P230" s="2"/>
      <c r="Q230" s="2"/>
      <c r="R230" s="2"/>
      <c r="S230" s="2"/>
      <c r="T230" s="2"/>
      <c r="U230" s="2"/>
      <c r="V230" s="1"/>
      <c r="W230" s="1"/>
      <c r="X230" s="1"/>
      <c r="Y230" s="1"/>
      <c r="Z230" s="1"/>
      <c r="AA230" s="1"/>
      <c r="AB230" s="1"/>
      <c r="AC230" s="1"/>
      <c r="AD230" s="1"/>
      <c r="AE230" s="1"/>
      <c r="AF230" s="1"/>
    </row>
    <row r="231">
      <c r="A231" s="1"/>
      <c r="B231" s="2"/>
      <c r="C231" s="117"/>
      <c r="D231" s="2"/>
      <c r="E231" s="2"/>
      <c r="F231" s="2"/>
      <c r="G231" s="2"/>
      <c r="H231" s="2"/>
      <c r="I231" s="117"/>
      <c r="J231" s="2"/>
      <c r="K231" s="2"/>
      <c r="L231" s="2"/>
      <c r="M231" s="2"/>
      <c r="N231" s="2"/>
      <c r="O231" s="2"/>
      <c r="P231" s="2"/>
      <c r="Q231" s="2"/>
      <c r="R231" s="2"/>
      <c r="S231" s="2"/>
      <c r="T231" s="2"/>
      <c r="U231" s="2"/>
      <c r="V231" s="1"/>
      <c r="W231" s="1"/>
      <c r="X231" s="1"/>
      <c r="Y231" s="1"/>
      <c r="Z231" s="1"/>
      <c r="AA231" s="1"/>
      <c r="AB231" s="1"/>
      <c r="AC231" s="1"/>
      <c r="AD231" s="1"/>
      <c r="AE231" s="1"/>
      <c r="AF231" s="1"/>
    </row>
    <row r="232">
      <c r="A232" s="1"/>
      <c r="B232" s="2"/>
      <c r="C232" s="117"/>
      <c r="D232" s="2"/>
      <c r="E232" s="2"/>
      <c r="F232" s="2"/>
      <c r="G232" s="2"/>
      <c r="H232" s="2"/>
      <c r="I232" s="117"/>
      <c r="J232" s="2"/>
      <c r="K232" s="2"/>
      <c r="L232" s="2"/>
      <c r="M232" s="2"/>
      <c r="N232" s="2"/>
      <c r="O232" s="2"/>
      <c r="P232" s="2"/>
      <c r="Q232" s="2"/>
      <c r="R232" s="2"/>
      <c r="S232" s="2"/>
      <c r="T232" s="2"/>
      <c r="U232" s="2"/>
      <c r="V232" s="1"/>
      <c r="W232" s="1"/>
      <c r="X232" s="1"/>
      <c r="Y232" s="1"/>
      <c r="Z232" s="1"/>
      <c r="AA232" s="1"/>
      <c r="AB232" s="1"/>
      <c r="AC232" s="1"/>
      <c r="AD232" s="1"/>
      <c r="AE232" s="1"/>
      <c r="AF232" s="1"/>
    </row>
    <row r="233">
      <c r="A233" s="1"/>
      <c r="B233" s="2"/>
      <c r="C233" s="117"/>
      <c r="D233" s="2"/>
      <c r="E233" s="2"/>
      <c r="F233" s="2"/>
      <c r="G233" s="2"/>
      <c r="H233" s="2"/>
      <c r="I233" s="117"/>
      <c r="J233" s="2"/>
      <c r="K233" s="2"/>
      <c r="L233" s="2"/>
      <c r="M233" s="2"/>
      <c r="N233" s="2"/>
      <c r="O233" s="2"/>
      <c r="P233" s="2"/>
      <c r="Q233" s="2"/>
      <c r="R233" s="2"/>
      <c r="S233" s="2"/>
      <c r="T233" s="2"/>
      <c r="U233" s="2"/>
      <c r="V233" s="1"/>
      <c r="W233" s="1"/>
      <c r="X233" s="1"/>
      <c r="Y233" s="1"/>
      <c r="Z233" s="1"/>
      <c r="AA233" s="1"/>
      <c r="AB233" s="1"/>
      <c r="AC233" s="1"/>
      <c r="AD233" s="1"/>
      <c r="AE233" s="1"/>
      <c r="AF233" s="1"/>
    </row>
    <row r="234">
      <c r="A234" s="1"/>
      <c r="B234" s="2"/>
      <c r="C234" s="117"/>
      <c r="D234" s="2"/>
      <c r="E234" s="2"/>
      <c r="F234" s="2"/>
      <c r="G234" s="2"/>
      <c r="H234" s="2"/>
      <c r="I234" s="117"/>
      <c r="J234" s="2"/>
      <c r="K234" s="2"/>
      <c r="L234" s="2"/>
      <c r="M234" s="2"/>
      <c r="N234" s="2"/>
      <c r="O234" s="2"/>
      <c r="P234" s="2"/>
      <c r="Q234" s="2"/>
      <c r="R234" s="2"/>
      <c r="S234" s="2"/>
      <c r="T234" s="2"/>
      <c r="U234" s="2"/>
      <c r="V234" s="1"/>
      <c r="W234" s="1"/>
      <c r="X234" s="1"/>
      <c r="Y234" s="1"/>
      <c r="Z234" s="1"/>
      <c r="AA234" s="1"/>
      <c r="AB234" s="1"/>
      <c r="AC234" s="1"/>
      <c r="AD234" s="1"/>
      <c r="AE234" s="1"/>
      <c r="AF234" s="1"/>
    </row>
    <row r="235">
      <c r="A235" s="1"/>
      <c r="B235" s="2"/>
      <c r="C235" s="117"/>
      <c r="D235" s="2"/>
      <c r="E235" s="2"/>
      <c r="F235" s="2"/>
      <c r="G235" s="2"/>
      <c r="H235" s="2"/>
      <c r="I235" s="117"/>
      <c r="J235" s="2"/>
      <c r="K235" s="2"/>
      <c r="L235" s="2"/>
      <c r="M235" s="2"/>
      <c r="N235" s="2"/>
      <c r="O235" s="2"/>
      <c r="P235" s="2"/>
      <c r="Q235" s="2"/>
      <c r="R235" s="2"/>
      <c r="S235" s="2"/>
      <c r="T235" s="2"/>
      <c r="U235" s="2"/>
      <c r="V235" s="1"/>
      <c r="W235" s="1"/>
      <c r="X235" s="1"/>
      <c r="Y235" s="1"/>
      <c r="Z235" s="1"/>
      <c r="AA235" s="1"/>
      <c r="AB235" s="1"/>
      <c r="AC235" s="1"/>
      <c r="AD235" s="1"/>
      <c r="AE235" s="1"/>
      <c r="AF235" s="1"/>
    </row>
    <row r="236">
      <c r="A236" s="1"/>
      <c r="B236" s="2"/>
      <c r="C236" s="117"/>
      <c r="D236" s="2"/>
      <c r="E236" s="2"/>
      <c r="F236" s="2"/>
      <c r="G236" s="2"/>
      <c r="H236" s="2"/>
      <c r="I236" s="117"/>
      <c r="J236" s="2"/>
      <c r="K236" s="2"/>
      <c r="L236" s="2"/>
      <c r="M236" s="2"/>
      <c r="N236" s="2"/>
      <c r="O236" s="2"/>
      <c r="P236" s="2"/>
      <c r="Q236" s="2"/>
      <c r="R236" s="2"/>
      <c r="S236" s="2"/>
      <c r="T236" s="2"/>
      <c r="U236" s="2"/>
      <c r="V236" s="1"/>
      <c r="W236" s="1"/>
      <c r="X236" s="1"/>
      <c r="Y236" s="1"/>
      <c r="Z236" s="1"/>
      <c r="AA236" s="1"/>
      <c r="AB236" s="1"/>
      <c r="AC236" s="1"/>
      <c r="AD236" s="1"/>
      <c r="AE236" s="1"/>
      <c r="AF236" s="1"/>
    </row>
    <row r="237">
      <c r="A237" s="1"/>
      <c r="B237" s="2"/>
      <c r="C237" s="117"/>
      <c r="D237" s="2"/>
      <c r="E237" s="2"/>
      <c r="F237" s="2"/>
      <c r="G237" s="2"/>
      <c r="H237" s="2"/>
      <c r="I237" s="117"/>
      <c r="J237" s="2"/>
      <c r="K237" s="2"/>
      <c r="L237" s="2"/>
      <c r="M237" s="2"/>
      <c r="N237" s="2"/>
      <c r="O237" s="2"/>
      <c r="P237" s="2"/>
      <c r="Q237" s="2"/>
      <c r="R237" s="2"/>
      <c r="S237" s="2"/>
      <c r="T237" s="2"/>
      <c r="U237" s="2"/>
      <c r="V237" s="1"/>
      <c r="W237" s="1"/>
      <c r="X237" s="1"/>
      <c r="Y237" s="1"/>
      <c r="Z237" s="1"/>
      <c r="AA237" s="1"/>
      <c r="AB237" s="1"/>
      <c r="AC237" s="1"/>
      <c r="AD237" s="1"/>
      <c r="AE237" s="1"/>
      <c r="AF237" s="1"/>
    </row>
    <row r="238">
      <c r="A238" s="1"/>
      <c r="B238" s="2"/>
      <c r="C238" s="117"/>
      <c r="D238" s="2"/>
      <c r="E238" s="2"/>
      <c r="F238" s="2"/>
      <c r="G238" s="2"/>
      <c r="H238" s="2"/>
      <c r="I238" s="117"/>
      <c r="J238" s="2"/>
      <c r="K238" s="2"/>
      <c r="L238" s="2"/>
      <c r="M238" s="2"/>
      <c r="N238" s="2"/>
      <c r="O238" s="2"/>
      <c r="P238" s="2"/>
      <c r="Q238" s="2"/>
      <c r="R238" s="2"/>
      <c r="S238" s="2"/>
      <c r="T238" s="2"/>
      <c r="U238" s="2"/>
      <c r="V238" s="1"/>
      <c r="W238" s="1"/>
      <c r="X238" s="1"/>
      <c r="Y238" s="1"/>
      <c r="Z238" s="1"/>
      <c r="AA238" s="1"/>
      <c r="AB238" s="1"/>
      <c r="AC238" s="1"/>
      <c r="AD238" s="1"/>
      <c r="AE238" s="1"/>
      <c r="AF238" s="1"/>
    </row>
    <row r="239">
      <c r="A239" s="1"/>
      <c r="B239" s="2"/>
      <c r="C239" s="117"/>
      <c r="D239" s="2"/>
      <c r="E239" s="2"/>
      <c r="F239" s="2"/>
      <c r="G239" s="2"/>
      <c r="H239" s="2"/>
      <c r="I239" s="117"/>
      <c r="J239" s="2"/>
      <c r="K239" s="2"/>
      <c r="L239" s="2"/>
      <c r="M239" s="2"/>
      <c r="N239" s="2"/>
      <c r="O239" s="2"/>
      <c r="P239" s="2"/>
      <c r="Q239" s="2"/>
      <c r="R239" s="2"/>
      <c r="S239" s="2"/>
      <c r="T239" s="2"/>
      <c r="U239" s="2"/>
      <c r="V239" s="1"/>
      <c r="W239" s="1"/>
      <c r="X239" s="1"/>
      <c r="Y239" s="1"/>
      <c r="Z239" s="1"/>
      <c r="AA239" s="1"/>
      <c r="AB239" s="1"/>
      <c r="AC239" s="1"/>
      <c r="AD239" s="1"/>
      <c r="AE239" s="1"/>
      <c r="AF239" s="1"/>
    </row>
    <row r="240">
      <c r="A240" s="1"/>
      <c r="B240" s="2"/>
      <c r="C240" s="117"/>
      <c r="D240" s="2"/>
      <c r="E240" s="2"/>
      <c r="F240" s="2"/>
      <c r="G240" s="2"/>
      <c r="H240" s="2"/>
      <c r="I240" s="117"/>
      <c r="J240" s="2"/>
      <c r="K240" s="2"/>
      <c r="L240" s="2"/>
      <c r="M240" s="2"/>
      <c r="N240" s="2"/>
      <c r="O240" s="2"/>
      <c r="P240" s="2"/>
      <c r="Q240" s="2"/>
      <c r="R240" s="2"/>
      <c r="S240" s="2"/>
      <c r="T240" s="2"/>
      <c r="U240" s="2"/>
      <c r="V240" s="1"/>
      <c r="W240" s="1"/>
      <c r="X240" s="1"/>
      <c r="Y240" s="1"/>
      <c r="Z240" s="1"/>
      <c r="AA240" s="1"/>
      <c r="AB240" s="1"/>
      <c r="AC240" s="1"/>
      <c r="AD240" s="1"/>
      <c r="AE240" s="1"/>
      <c r="AF240" s="1"/>
    </row>
    <row r="241">
      <c r="A241" s="1"/>
      <c r="B241" s="2"/>
      <c r="C241" s="117"/>
      <c r="D241" s="2"/>
      <c r="E241" s="2"/>
      <c r="F241" s="2"/>
      <c r="G241" s="2"/>
      <c r="H241" s="2"/>
      <c r="I241" s="117"/>
      <c r="J241" s="2"/>
      <c r="K241" s="2"/>
      <c r="L241" s="2"/>
      <c r="M241" s="2"/>
      <c r="N241" s="2"/>
      <c r="O241" s="2"/>
      <c r="P241" s="2"/>
      <c r="Q241" s="2"/>
      <c r="R241" s="2"/>
      <c r="S241" s="2"/>
      <c r="T241" s="2"/>
      <c r="U241" s="2"/>
      <c r="V241" s="1"/>
      <c r="W241" s="1"/>
      <c r="X241" s="1"/>
      <c r="Y241" s="1"/>
      <c r="Z241" s="1"/>
      <c r="AA241" s="1"/>
      <c r="AB241" s="1"/>
      <c r="AC241" s="1"/>
      <c r="AD241" s="1"/>
      <c r="AE241" s="1"/>
      <c r="AF241" s="1"/>
    </row>
    <row r="242">
      <c r="A242" s="1"/>
      <c r="B242" s="2"/>
      <c r="C242" s="117"/>
      <c r="D242" s="2"/>
      <c r="E242" s="2"/>
      <c r="F242" s="2"/>
      <c r="G242" s="2"/>
      <c r="H242" s="2"/>
      <c r="I242" s="117"/>
      <c r="J242" s="2"/>
      <c r="K242" s="2"/>
      <c r="L242" s="2"/>
      <c r="M242" s="2"/>
      <c r="N242" s="2"/>
      <c r="O242" s="2"/>
      <c r="P242" s="2"/>
      <c r="Q242" s="2"/>
      <c r="R242" s="2"/>
      <c r="S242" s="2"/>
      <c r="T242" s="2"/>
      <c r="U242" s="2"/>
      <c r="V242" s="1"/>
      <c r="W242" s="1"/>
      <c r="X242" s="1"/>
      <c r="Y242" s="1"/>
      <c r="Z242" s="1"/>
      <c r="AA242" s="1"/>
      <c r="AB242" s="1"/>
      <c r="AC242" s="1"/>
      <c r="AD242" s="1"/>
      <c r="AE242" s="1"/>
      <c r="AF242" s="1"/>
    </row>
    <row r="243">
      <c r="A243" s="1"/>
      <c r="B243" s="2"/>
      <c r="C243" s="117"/>
      <c r="D243" s="2"/>
      <c r="E243" s="2"/>
      <c r="F243" s="2"/>
      <c r="G243" s="2"/>
      <c r="H243" s="2"/>
      <c r="I243" s="117"/>
      <c r="J243" s="2"/>
      <c r="K243" s="2"/>
      <c r="L243" s="2"/>
      <c r="M243" s="2"/>
      <c r="N243" s="2"/>
      <c r="O243" s="2"/>
      <c r="P243" s="2"/>
      <c r="Q243" s="2"/>
      <c r="R243" s="2"/>
      <c r="S243" s="2"/>
      <c r="T243" s="2"/>
      <c r="U243" s="2"/>
      <c r="V243" s="1"/>
      <c r="W243" s="1"/>
      <c r="X243" s="1"/>
      <c r="Y243" s="1"/>
      <c r="Z243" s="1"/>
      <c r="AA243" s="1"/>
      <c r="AB243" s="1"/>
      <c r="AC243" s="1"/>
      <c r="AD243" s="1"/>
      <c r="AE243" s="1"/>
      <c r="AF243" s="1"/>
    </row>
    <row r="244">
      <c r="A244" s="1"/>
      <c r="B244" s="2"/>
      <c r="C244" s="117"/>
      <c r="D244" s="2"/>
      <c r="E244" s="2"/>
      <c r="F244" s="2"/>
      <c r="G244" s="2"/>
      <c r="H244" s="2"/>
      <c r="I244" s="117"/>
      <c r="J244" s="2"/>
      <c r="K244" s="2"/>
      <c r="L244" s="2"/>
      <c r="M244" s="2"/>
      <c r="N244" s="2"/>
      <c r="O244" s="2"/>
      <c r="P244" s="2"/>
      <c r="Q244" s="2"/>
      <c r="R244" s="2"/>
      <c r="S244" s="2"/>
      <c r="T244" s="2"/>
      <c r="U244" s="2"/>
      <c r="V244" s="1"/>
      <c r="W244" s="1"/>
      <c r="X244" s="1"/>
      <c r="Y244" s="1"/>
      <c r="Z244" s="1"/>
      <c r="AA244" s="1"/>
      <c r="AB244" s="1"/>
      <c r="AC244" s="1"/>
      <c r="AD244" s="1"/>
      <c r="AE244" s="1"/>
      <c r="AF244" s="1"/>
    </row>
    <row r="245">
      <c r="A245" s="1"/>
      <c r="B245" s="2"/>
      <c r="C245" s="117"/>
      <c r="D245" s="2"/>
      <c r="E245" s="2"/>
      <c r="F245" s="2"/>
      <c r="G245" s="2"/>
      <c r="H245" s="2"/>
      <c r="I245" s="117"/>
      <c r="J245" s="2"/>
      <c r="K245" s="2"/>
      <c r="L245" s="2"/>
      <c r="M245" s="2"/>
      <c r="N245" s="2"/>
      <c r="O245" s="2"/>
      <c r="P245" s="2"/>
      <c r="Q245" s="2"/>
      <c r="R245" s="2"/>
      <c r="S245" s="2"/>
      <c r="T245" s="2"/>
      <c r="U245" s="2"/>
      <c r="V245" s="1"/>
      <c r="W245" s="1"/>
      <c r="X245" s="1"/>
      <c r="Y245" s="1"/>
      <c r="Z245" s="1"/>
      <c r="AA245" s="1"/>
      <c r="AB245" s="1"/>
      <c r="AC245" s="1"/>
      <c r="AD245" s="1"/>
      <c r="AE245" s="1"/>
      <c r="AF245" s="1"/>
    </row>
    <row r="246">
      <c r="A246" s="1"/>
      <c r="B246" s="2"/>
      <c r="C246" s="117"/>
      <c r="D246" s="2"/>
      <c r="E246" s="2"/>
      <c r="F246" s="2"/>
      <c r="G246" s="2"/>
      <c r="H246" s="2"/>
      <c r="I246" s="117"/>
      <c r="J246" s="2"/>
      <c r="K246" s="2"/>
      <c r="L246" s="2"/>
      <c r="M246" s="2"/>
      <c r="N246" s="2"/>
      <c r="O246" s="2"/>
      <c r="P246" s="2"/>
      <c r="Q246" s="2"/>
      <c r="R246" s="2"/>
      <c r="S246" s="2"/>
      <c r="T246" s="2"/>
      <c r="U246" s="2"/>
      <c r="V246" s="1"/>
      <c r="W246" s="1"/>
      <c r="X246" s="1"/>
      <c r="Y246" s="1"/>
      <c r="Z246" s="1"/>
      <c r="AA246" s="1"/>
      <c r="AB246" s="1"/>
      <c r="AC246" s="1"/>
      <c r="AD246" s="1"/>
      <c r="AE246" s="1"/>
      <c r="AF246" s="1"/>
    </row>
    <row r="247">
      <c r="A247" s="1"/>
      <c r="B247" s="2"/>
      <c r="C247" s="117"/>
      <c r="D247" s="2"/>
      <c r="E247" s="2"/>
      <c r="F247" s="2"/>
      <c r="G247" s="2"/>
      <c r="H247" s="2"/>
      <c r="I247" s="117"/>
      <c r="J247" s="2"/>
      <c r="K247" s="2"/>
      <c r="L247" s="2"/>
      <c r="M247" s="2"/>
      <c r="N247" s="2"/>
      <c r="O247" s="2"/>
      <c r="P247" s="2"/>
      <c r="Q247" s="2"/>
      <c r="R247" s="2"/>
      <c r="S247" s="2"/>
      <c r="T247" s="2"/>
      <c r="U247" s="2"/>
      <c r="V247" s="1"/>
      <c r="W247" s="1"/>
      <c r="X247" s="1"/>
      <c r="Y247" s="1"/>
      <c r="Z247" s="1"/>
      <c r="AA247" s="1"/>
      <c r="AB247" s="1"/>
      <c r="AC247" s="1"/>
      <c r="AD247" s="1"/>
      <c r="AE247" s="1"/>
      <c r="AF247" s="1"/>
    </row>
    <row r="248">
      <c r="A248" s="1"/>
      <c r="B248" s="2"/>
      <c r="C248" s="117"/>
      <c r="D248" s="2"/>
      <c r="E248" s="2"/>
      <c r="F248" s="2"/>
      <c r="G248" s="2"/>
      <c r="H248" s="2"/>
      <c r="I248" s="117"/>
      <c r="J248" s="2"/>
      <c r="K248" s="2"/>
      <c r="L248" s="2"/>
      <c r="M248" s="2"/>
      <c r="N248" s="2"/>
      <c r="O248" s="2"/>
      <c r="P248" s="2"/>
      <c r="Q248" s="2"/>
      <c r="R248" s="2"/>
      <c r="S248" s="2"/>
      <c r="T248" s="2"/>
      <c r="U248" s="2"/>
      <c r="V248" s="1"/>
      <c r="W248" s="1"/>
      <c r="X248" s="1"/>
      <c r="Y248" s="1"/>
      <c r="Z248" s="1"/>
      <c r="AA248" s="1"/>
      <c r="AB248" s="1"/>
      <c r="AC248" s="1"/>
      <c r="AD248" s="1"/>
      <c r="AE248" s="1"/>
      <c r="AF248" s="1"/>
    </row>
    <row r="249">
      <c r="A249" s="1"/>
      <c r="B249" s="2"/>
      <c r="C249" s="117"/>
      <c r="D249" s="2"/>
      <c r="E249" s="2"/>
      <c r="F249" s="2"/>
      <c r="G249" s="2"/>
      <c r="H249" s="2"/>
      <c r="I249" s="117"/>
      <c r="J249" s="2"/>
      <c r="K249" s="2"/>
      <c r="L249" s="2"/>
      <c r="M249" s="2"/>
      <c r="N249" s="2"/>
      <c r="O249" s="2"/>
      <c r="P249" s="2"/>
      <c r="Q249" s="2"/>
      <c r="R249" s="2"/>
      <c r="S249" s="2"/>
      <c r="T249" s="2"/>
      <c r="U249" s="2"/>
      <c r="V249" s="1"/>
      <c r="W249" s="1"/>
      <c r="X249" s="1"/>
      <c r="Y249" s="1"/>
      <c r="Z249" s="1"/>
      <c r="AA249" s="1"/>
      <c r="AB249" s="1"/>
      <c r="AC249" s="1"/>
      <c r="AD249" s="1"/>
      <c r="AE249" s="1"/>
      <c r="AF249" s="1"/>
    </row>
    <row r="250">
      <c r="A250" s="1"/>
      <c r="B250" s="2"/>
      <c r="C250" s="117"/>
      <c r="D250" s="2"/>
      <c r="E250" s="2"/>
      <c r="F250" s="2"/>
      <c r="G250" s="2"/>
      <c r="H250" s="2"/>
      <c r="I250" s="117"/>
      <c r="J250" s="2"/>
      <c r="K250" s="2"/>
      <c r="L250" s="2"/>
      <c r="M250" s="2"/>
      <c r="N250" s="2"/>
      <c r="O250" s="2"/>
      <c r="P250" s="2"/>
      <c r="Q250" s="2"/>
      <c r="R250" s="2"/>
      <c r="S250" s="2"/>
      <c r="T250" s="2"/>
      <c r="U250" s="2"/>
      <c r="V250" s="1"/>
      <c r="W250" s="1"/>
      <c r="X250" s="1"/>
      <c r="Y250" s="1"/>
      <c r="Z250" s="1"/>
      <c r="AA250" s="1"/>
      <c r="AB250" s="1"/>
      <c r="AC250" s="1"/>
      <c r="AD250" s="1"/>
      <c r="AE250" s="1"/>
      <c r="AF250" s="1"/>
    </row>
    <row r="251">
      <c r="A251" s="1"/>
      <c r="B251" s="2"/>
      <c r="C251" s="117"/>
      <c r="D251" s="2"/>
      <c r="E251" s="2"/>
      <c r="F251" s="2"/>
      <c r="G251" s="2"/>
      <c r="H251" s="2"/>
      <c r="I251" s="117"/>
      <c r="J251" s="2"/>
      <c r="K251" s="2"/>
      <c r="L251" s="2"/>
      <c r="M251" s="2"/>
      <c r="N251" s="2"/>
      <c r="O251" s="2"/>
      <c r="P251" s="2"/>
      <c r="Q251" s="2"/>
      <c r="R251" s="2"/>
      <c r="S251" s="2"/>
      <c r="T251" s="2"/>
      <c r="U251" s="2"/>
      <c r="V251" s="1"/>
      <c r="W251" s="1"/>
      <c r="X251" s="1"/>
      <c r="Y251" s="1"/>
      <c r="Z251" s="1"/>
      <c r="AA251" s="1"/>
      <c r="AB251" s="1"/>
      <c r="AC251" s="1"/>
      <c r="AD251" s="1"/>
      <c r="AE251" s="1"/>
      <c r="AF251" s="1"/>
    </row>
    <row r="252">
      <c r="A252" s="1"/>
      <c r="B252" s="2"/>
      <c r="C252" s="117"/>
      <c r="D252" s="2"/>
      <c r="E252" s="2"/>
      <c r="F252" s="2"/>
      <c r="G252" s="2"/>
      <c r="H252" s="2"/>
      <c r="I252" s="117"/>
      <c r="J252" s="2"/>
      <c r="K252" s="2"/>
      <c r="L252" s="2"/>
      <c r="M252" s="2"/>
      <c r="N252" s="2"/>
      <c r="O252" s="2"/>
      <c r="P252" s="2"/>
      <c r="Q252" s="2"/>
      <c r="R252" s="2"/>
      <c r="S252" s="2"/>
      <c r="T252" s="2"/>
      <c r="U252" s="2"/>
      <c r="V252" s="1"/>
      <c r="W252" s="1"/>
      <c r="X252" s="1"/>
      <c r="Y252" s="1"/>
      <c r="Z252" s="1"/>
      <c r="AA252" s="1"/>
      <c r="AB252" s="1"/>
      <c r="AC252" s="1"/>
      <c r="AD252" s="1"/>
      <c r="AE252" s="1"/>
      <c r="AF252" s="1"/>
    </row>
    <row r="253">
      <c r="A253" s="1"/>
      <c r="B253" s="2"/>
      <c r="C253" s="117"/>
      <c r="D253" s="2"/>
      <c r="E253" s="2"/>
      <c r="F253" s="2"/>
      <c r="G253" s="2"/>
      <c r="H253" s="2"/>
      <c r="I253" s="117"/>
      <c r="J253" s="2"/>
      <c r="K253" s="2"/>
      <c r="L253" s="2"/>
      <c r="M253" s="2"/>
      <c r="N253" s="2"/>
      <c r="O253" s="2"/>
      <c r="P253" s="2"/>
      <c r="Q253" s="2"/>
      <c r="R253" s="2"/>
      <c r="S253" s="2"/>
      <c r="T253" s="2"/>
      <c r="U253" s="2"/>
      <c r="V253" s="1"/>
      <c r="W253" s="1"/>
      <c r="X253" s="1"/>
      <c r="Y253" s="1"/>
      <c r="Z253" s="1"/>
      <c r="AA253" s="1"/>
      <c r="AB253" s="1"/>
      <c r="AC253" s="1"/>
      <c r="AD253" s="1"/>
      <c r="AE253" s="1"/>
      <c r="AF253" s="1"/>
    </row>
    <row r="254">
      <c r="A254" s="1"/>
      <c r="B254" s="2"/>
      <c r="C254" s="117"/>
      <c r="D254" s="2"/>
      <c r="E254" s="2"/>
      <c r="F254" s="2"/>
      <c r="G254" s="2"/>
      <c r="H254" s="2"/>
      <c r="I254" s="117"/>
      <c r="J254" s="2"/>
      <c r="K254" s="2"/>
      <c r="L254" s="2"/>
      <c r="M254" s="2"/>
      <c r="N254" s="2"/>
      <c r="O254" s="2"/>
      <c r="P254" s="2"/>
      <c r="Q254" s="2"/>
      <c r="R254" s="2"/>
      <c r="S254" s="2"/>
      <c r="T254" s="2"/>
      <c r="U254" s="2"/>
      <c r="V254" s="1"/>
      <c r="W254" s="1"/>
      <c r="X254" s="1"/>
      <c r="Y254" s="1"/>
      <c r="Z254" s="1"/>
      <c r="AA254" s="1"/>
      <c r="AB254" s="1"/>
      <c r="AC254" s="1"/>
      <c r="AD254" s="1"/>
      <c r="AE254" s="1"/>
      <c r="AF254" s="1"/>
    </row>
    <row r="255">
      <c r="A255" s="1"/>
      <c r="B255" s="2"/>
      <c r="C255" s="117"/>
      <c r="D255" s="2"/>
      <c r="E255" s="2"/>
      <c r="F255" s="2"/>
      <c r="G255" s="2"/>
      <c r="H255" s="2"/>
      <c r="I255" s="117"/>
      <c r="J255" s="2"/>
      <c r="K255" s="2"/>
      <c r="L255" s="2"/>
      <c r="M255" s="2"/>
      <c r="N255" s="2"/>
      <c r="O255" s="2"/>
      <c r="P255" s="2"/>
      <c r="Q255" s="2"/>
      <c r="R255" s="2"/>
      <c r="S255" s="2"/>
      <c r="T255" s="2"/>
      <c r="U255" s="2"/>
      <c r="V255" s="1"/>
      <c r="W255" s="1"/>
      <c r="X255" s="1"/>
      <c r="Y255" s="1"/>
      <c r="Z255" s="1"/>
      <c r="AA255" s="1"/>
      <c r="AB255" s="1"/>
      <c r="AC255" s="1"/>
      <c r="AD255" s="1"/>
      <c r="AE255" s="1"/>
      <c r="AF255" s="1"/>
    </row>
    <row r="256">
      <c r="A256" s="1"/>
      <c r="B256" s="2"/>
      <c r="C256" s="117"/>
      <c r="D256" s="2"/>
      <c r="E256" s="2"/>
      <c r="F256" s="2"/>
      <c r="G256" s="2"/>
      <c r="H256" s="2"/>
      <c r="I256" s="117"/>
      <c r="J256" s="2"/>
      <c r="K256" s="2"/>
      <c r="L256" s="2"/>
      <c r="M256" s="2"/>
      <c r="N256" s="2"/>
      <c r="O256" s="2"/>
      <c r="P256" s="2"/>
      <c r="Q256" s="2"/>
      <c r="R256" s="2"/>
      <c r="S256" s="2"/>
      <c r="T256" s="2"/>
      <c r="U256" s="2"/>
      <c r="V256" s="1"/>
      <c r="W256" s="1"/>
      <c r="X256" s="1"/>
      <c r="Y256" s="1"/>
      <c r="Z256" s="1"/>
      <c r="AA256" s="1"/>
      <c r="AB256" s="1"/>
      <c r="AC256" s="1"/>
      <c r="AD256" s="1"/>
      <c r="AE256" s="1"/>
      <c r="AF256" s="1"/>
    </row>
    <row r="257">
      <c r="A257" s="1"/>
      <c r="B257" s="2"/>
      <c r="C257" s="117"/>
      <c r="D257" s="2"/>
      <c r="E257" s="2"/>
      <c r="F257" s="2"/>
      <c r="G257" s="2"/>
      <c r="H257" s="2"/>
      <c r="I257" s="117"/>
      <c r="J257" s="2"/>
      <c r="K257" s="2"/>
      <c r="L257" s="2"/>
      <c r="M257" s="2"/>
      <c r="N257" s="2"/>
      <c r="O257" s="2"/>
      <c r="P257" s="2"/>
      <c r="Q257" s="2"/>
      <c r="R257" s="2"/>
      <c r="S257" s="2"/>
      <c r="T257" s="2"/>
      <c r="U257" s="2"/>
      <c r="V257" s="1"/>
      <c r="W257" s="1"/>
      <c r="X257" s="1"/>
      <c r="Y257" s="1"/>
      <c r="Z257" s="1"/>
      <c r="AA257" s="1"/>
      <c r="AB257" s="1"/>
      <c r="AC257" s="1"/>
      <c r="AD257" s="1"/>
      <c r="AE257" s="1"/>
      <c r="AF257" s="1"/>
    </row>
    <row r="258">
      <c r="A258" s="1"/>
      <c r="B258" s="2"/>
      <c r="C258" s="117"/>
      <c r="D258" s="2"/>
      <c r="E258" s="2"/>
      <c r="F258" s="2"/>
      <c r="G258" s="2"/>
      <c r="H258" s="2"/>
      <c r="I258" s="117"/>
      <c r="J258" s="2"/>
      <c r="K258" s="2"/>
      <c r="L258" s="2"/>
      <c r="M258" s="2"/>
      <c r="N258" s="2"/>
      <c r="O258" s="2"/>
      <c r="P258" s="2"/>
      <c r="Q258" s="2"/>
      <c r="R258" s="2"/>
      <c r="S258" s="2"/>
      <c r="T258" s="2"/>
      <c r="U258" s="2"/>
      <c r="V258" s="1"/>
      <c r="W258" s="1"/>
      <c r="X258" s="1"/>
      <c r="Y258" s="1"/>
      <c r="Z258" s="1"/>
      <c r="AA258" s="1"/>
      <c r="AB258" s="1"/>
      <c r="AC258" s="1"/>
      <c r="AD258" s="1"/>
      <c r="AE258" s="1"/>
      <c r="AF258" s="1"/>
    </row>
    <row r="259">
      <c r="A259" s="1"/>
      <c r="B259" s="2"/>
      <c r="C259" s="117"/>
      <c r="D259" s="2"/>
      <c r="E259" s="2"/>
      <c r="F259" s="2"/>
      <c r="G259" s="2"/>
      <c r="H259" s="2"/>
      <c r="I259" s="117"/>
      <c r="J259" s="2"/>
      <c r="K259" s="2"/>
      <c r="L259" s="2"/>
      <c r="M259" s="2"/>
      <c r="N259" s="2"/>
      <c r="O259" s="2"/>
      <c r="P259" s="2"/>
      <c r="Q259" s="2"/>
      <c r="R259" s="2"/>
      <c r="S259" s="2"/>
      <c r="T259" s="2"/>
      <c r="U259" s="2"/>
      <c r="V259" s="1"/>
      <c r="W259" s="1"/>
      <c r="X259" s="1"/>
      <c r="Y259" s="1"/>
      <c r="Z259" s="1"/>
      <c r="AA259" s="1"/>
      <c r="AB259" s="1"/>
      <c r="AC259" s="1"/>
      <c r="AD259" s="1"/>
      <c r="AE259" s="1"/>
      <c r="AF259" s="1"/>
    </row>
    <row r="260">
      <c r="A260" s="1"/>
      <c r="B260" s="2"/>
      <c r="C260" s="117"/>
      <c r="D260" s="2"/>
      <c r="E260" s="2"/>
      <c r="F260" s="2"/>
      <c r="G260" s="2"/>
      <c r="H260" s="2"/>
      <c r="I260" s="117"/>
      <c r="J260" s="2"/>
      <c r="K260" s="2"/>
      <c r="L260" s="2"/>
      <c r="M260" s="2"/>
      <c r="N260" s="2"/>
      <c r="O260" s="2"/>
      <c r="P260" s="2"/>
      <c r="Q260" s="2"/>
      <c r="R260" s="2"/>
      <c r="S260" s="2"/>
      <c r="T260" s="2"/>
      <c r="U260" s="2"/>
      <c r="V260" s="1"/>
      <c r="W260" s="1"/>
      <c r="X260" s="1"/>
      <c r="Y260" s="1"/>
      <c r="Z260" s="1"/>
      <c r="AA260" s="1"/>
      <c r="AB260" s="1"/>
      <c r="AC260" s="1"/>
      <c r="AD260" s="1"/>
      <c r="AE260" s="1"/>
      <c r="AF260" s="1"/>
    </row>
    <row r="261">
      <c r="A261" s="1"/>
      <c r="B261" s="2"/>
      <c r="C261" s="117"/>
      <c r="D261" s="2"/>
      <c r="E261" s="2"/>
      <c r="F261" s="2"/>
      <c r="G261" s="2"/>
      <c r="H261" s="2"/>
      <c r="I261" s="117"/>
      <c r="J261" s="2"/>
      <c r="K261" s="2"/>
      <c r="L261" s="2"/>
      <c r="M261" s="2"/>
      <c r="N261" s="2"/>
      <c r="O261" s="2"/>
      <c r="P261" s="2"/>
      <c r="Q261" s="2"/>
      <c r="R261" s="2"/>
      <c r="S261" s="2"/>
      <c r="T261" s="2"/>
      <c r="U261" s="2"/>
      <c r="V261" s="1"/>
      <c r="W261" s="1"/>
      <c r="X261" s="1"/>
      <c r="Y261" s="1"/>
      <c r="Z261" s="1"/>
      <c r="AA261" s="1"/>
      <c r="AB261" s="1"/>
      <c r="AC261" s="1"/>
      <c r="AD261" s="1"/>
      <c r="AE261" s="1"/>
      <c r="AF261" s="1"/>
    </row>
    <row r="262">
      <c r="A262" s="1"/>
      <c r="B262" s="2"/>
      <c r="C262" s="117"/>
      <c r="D262" s="2"/>
      <c r="E262" s="2"/>
      <c r="F262" s="2"/>
      <c r="G262" s="2"/>
      <c r="H262" s="2"/>
      <c r="I262" s="117"/>
      <c r="J262" s="2"/>
      <c r="K262" s="2"/>
      <c r="L262" s="2"/>
      <c r="M262" s="2"/>
      <c r="N262" s="2"/>
      <c r="O262" s="2"/>
      <c r="P262" s="2"/>
      <c r="Q262" s="2"/>
      <c r="R262" s="2"/>
      <c r="S262" s="2"/>
      <c r="T262" s="2"/>
      <c r="U262" s="2"/>
      <c r="V262" s="1"/>
      <c r="W262" s="1"/>
      <c r="X262" s="1"/>
      <c r="Y262" s="1"/>
      <c r="Z262" s="1"/>
      <c r="AA262" s="1"/>
      <c r="AB262" s="1"/>
      <c r="AC262" s="1"/>
      <c r="AD262" s="1"/>
      <c r="AE262" s="1"/>
      <c r="AF262" s="1"/>
    </row>
    <row r="263">
      <c r="A263" s="1"/>
      <c r="B263" s="2"/>
      <c r="C263" s="117"/>
      <c r="D263" s="2"/>
      <c r="E263" s="2"/>
      <c r="F263" s="2"/>
      <c r="G263" s="2"/>
      <c r="H263" s="2"/>
      <c r="I263" s="117"/>
      <c r="J263" s="2"/>
      <c r="K263" s="2"/>
      <c r="L263" s="2"/>
      <c r="M263" s="2"/>
      <c r="N263" s="2"/>
      <c r="O263" s="2"/>
      <c r="P263" s="2"/>
      <c r="Q263" s="2"/>
      <c r="R263" s="2"/>
      <c r="S263" s="2"/>
      <c r="T263" s="2"/>
      <c r="U263" s="2"/>
      <c r="V263" s="1"/>
      <c r="W263" s="1"/>
      <c r="X263" s="1"/>
      <c r="Y263" s="1"/>
      <c r="Z263" s="1"/>
      <c r="AA263" s="1"/>
      <c r="AB263" s="1"/>
      <c r="AC263" s="1"/>
      <c r="AD263" s="1"/>
      <c r="AE263" s="1"/>
      <c r="AF263" s="1"/>
    </row>
    <row r="264">
      <c r="A264" s="1"/>
      <c r="B264" s="2"/>
      <c r="C264" s="117"/>
      <c r="D264" s="2"/>
      <c r="E264" s="2"/>
      <c r="F264" s="2"/>
      <c r="G264" s="2"/>
      <c r="H264" s="2"/>
      <c r="I264" s="117"/>
      <c r="J264" s="2"/>
      <c r="K264" s="2"/>
      <c r="L264" s="2"/>
      <c r="M264" s="2"/>
      <c r="N264" s="2"/>
      <c r="O264" s="2"/>
      <c r="P264" s="2"/>
      <c r="Q264" s="2"/>
      <c r="R264" s="2"/>
      <c r="S264" s="2"/>
      <c r="T264" s="2"/>
      <c r="U264" s="2"/>
      <c r="V264" s="1"/>
      <c r="W264" s="1"/>
      <c r="X264" s="1"/>
      <c r="Y264" s="1"/>
      <c r="Z264" s="1"/>
      <c r="AA264" s="1"/>
      <c r="AB264" s="1"/>
      <c r="AC264" s="1"/>
      <c r="AD264" s="1"/>
      <c r="AE264" s="1"/>
      <c r="AF264" s="1"/>
    </row>
    <row r="265">
      <c r="A265" s="1"/>
      <c r="B265" s="2"/>
      <c r="C265" s="117"/>
      <c r="D265" s="2"/>
      <c r="E265" s="2"/>
      <c r="F265" s="2"/>
      <c r="G265" s="2"/>
      <c r="H265" s="2"/>
      <c r="I265" s="117"/>
      <c r="J265" s="2"/>
      <c r="K265" s="2"/>
      <c r="L265" s="2"/>
      <c r="M265" s="2"/>
      <c r="N265" s="2"/>
      <c r="O265" s="2"/>
      <c r="P265" s="2"/>
      <c r="Q265" s="2"/>
      <c r="R265" s="2"/>
      <c r="S265" s="2"/>
      <c r="T265" s="2"/>
      <c r="U265" s="2"/>
      <c r="V265" s="1"/>
      <c r="W265" s="1"/>
      <c r="X265" s="1"/>
      <c r="Y265" s="1"/>
      <c r="Z265" s="1"/>
      <c r="AA265" s="1"/>
      <c r="AB265" s="1"/>
      <c r="AC265" s="1"/>
      <c r="AD265" s="1"/>
      <c r="AE265" s="1"/>
      <c r="AF265" s="1"/>
    </row>
    <row r="266">
      <c r="A266" s="1"/>
      <c r="B266" s="2"/>
      <c r="C266" s="117"/>
      <c r="D266" s="2"/>
      <c r="E266" s="2"/>
      <c r="F266" s="2"/>
      <c r="G266" s="2"/>
      <c r="H266" s="2"/>
      <c r="I266" s="117"/>
      <c r="J266" s="2"/>
      <c r="K266" s="2"/>
      <c r="L266" s="2"/>
      <c r="M266" s="2"/>
      <c r="N266" s="2"/>
      <c r="O266" s="2"/>
      <c r="P266" s="2"/>
      <c r="Q266" s="2"/>
      <c r="R266" s="2"/>
      <c r="S266" s="2"/>
      <c r="T266" s="2"/>
      <c r="U266" s="2"/>
      <c r="V266" s="1"/>
      <c r="W266" s="1"/>
      <c r="X266" s="1"/>
      <c r="Y266" s="1"/>
      <c r="Z266" s="1"/>
      <c r="AA266" s="1"/>
      <c r="AB266" s="1"/>
      <c r="AC266" s="1"/>
      <c r="AD266" s="1"/>
      <c r="AE266" s="1"/>
      <c r="AF266" s="1"/>
    </row>
    <row r="267">
      <c r="A267" s="1"/>
      <c r="B267" s="2"/>
      <c r="C267" s="117"/>
      <c r="D267" s="2"/>
      <c r="E267" s="2"/>
      <c r="F267" s="2"/>
      <c r="G267" s="2"/>
      <c r="H267" s="2"/>
      <c r="I267" s="117"/>
      <c r="J267" s="2"/>
      <c r="K267" s="2"/>
      <c r="L267" s="2"/>
      <c r="M267" s="2"/>
      <c r="N267" s="2"/>
      <c r="O267" s="2"/>
      <c r="P267" s="2"/>
      <c r="Q267" s="2"/>
      <c r="R267" s="2"/>
      <c r="S267" s="2"/>
      <c r="T267" s="2"/>
      <c r="U267" s="2"/>
      <c r="V267" s="1"/>
      <c r="W267" s="1"/>
      <c r="X267" s="1"/>
      <c r="Y267" s="1"/>
      <c r="Z267" s="1"/>
      <c r="AA267" s="1"/>
      <c r="AB267" s="1"/>
      <c r="AC267" s="1"/>
      <c r="AD267" s="1"/>
      <c r="AE267" s="1"/>
      <c r="AF267" s="1"/>
    </row>
    <row r="268">
      <c r="A268" s="1"/>
      <c r="B268" s="2"/>
      <c r="C268" s="117"/>
      <c r="D268" s="2"/>
      <c r="E268" s="2"/>
      <c r="F268" s="2"/>
      <c r="G268" s="2"/>
      <c r="H268" s="2"/>
      <c r="I268" s="117"/>
      <c r="J268" s="2"/>
      <c r="K268" s="2"/>
      <c r="L268" s="2"/>
      <c r="M268" s="2"/>
      <c r="N268" s="2"/>
      <c r="O268" s="2"/>
      <c r="P268" s="2"/>
      <c r="Q268" s="2"/>
      <c r="R268" s="2"/>
      <c r="S268" s="2"/>
      <c r="T268" s="2"/>
      <c r="U268" s="2"/>
      <c r="V268" s="1"/>
      <c r="W268" s="1"/>
      <c r="X268" s="1"/>
      <c r="Y268" s="1"/>
      <c r="Z268" s="1"/>
      <c r="AA268" s="1"/>
      <c r="AB268" s="1"/>
      <c r="AC268" s="1"/>
      <c r="AD268" s="1"/>
      <c r="AE268" s="1"/>
      <c r="AF268" s="1"/>
    </row>
    <row r="269">
      <c r="A269" s="1"/>
      <c r="B269" s="2"/>
      <c r="C269" s="117"/>
      <c r="D269" s="2"/>
      <c r="E269" s="2"/>
      <c r="F269" s="2"/>
      <c r="G269" s="2"/>
      <c r="H269" s="2"/>
      <c r="I269" s="117"/>
      <c r="J269" s="2"/>
      <c r="K269" s="2"/>
      <c r="L269" s="2"/>
      <c r="M269" s="2"/>
      <c r="N269" s="2"/>
      <c r="O269" s="2"/>
      <c r="P269" s="2"/>
      <c r="Q269" s="2"/>
      <c r="R269" s="2"/>
      <c r="S269" s="2"/>
      <c r="T269" s="2"/>
      <c r="U269" s="2"/>
      <c r="V269" s="1"/>
      <c r="W269" s="1"/>
      <c r="X269" s="1"/>
      <c r="Y269" s="1"/>
      <c r="Z269" s="1"/>
      <c r="AA269" s="1"/>
      <c r="AB269" s="1"/>
      <c r="AC269" s="1"/>
      <c r="AD269" s="1"/>
      <c r="AE269" s="1"/>
      <c r="AF269" s="1"/>
    </row>
    <row r="270">
      <c r="A270" s="1"/>
      <c r="B270" s="2"/>
      <c r="C270" s="117"/>
      <c r="D270" s="2"/>
      <c r="E270" s="2"/>
      <c r="F270" s="2"/>
      <c r="G270" s="2"/>
      <c r="H270" s="2"/>
      <c r="I270" s="117"/>
      <c r="J270" s="2"/>
      <c r="K270" s="2"/>
      <c r="L270" s="2"/>
      <c r="M270" s="2"/>
      <c r="N270" s="2"/>
      <c r="O270" s="2"/>
      <c r="P270" s="2"/>
      <c r="Q270" s="2"/>
      <c r="R270" s="2"/>
      <c r="S270" s="2"/>
      <c r="T270" s="2"/>
      <c r="U270" s="2"/>
      <c r="V270" s="1"/>
      <c r="W270" s="1"/>
      <c r="X270" s="1"/>
      <c r="Y270" s="1"/>
      <c r="Z270" s="1"/>
      <c r="AA270" s="1"/>
      <c r="AB270" s="1"/>
      <c r="AC270" s="1"/>
      <c r="AD270" s="1"/>
      <c r="AE270" s="1"/>
      <c r="AF270" s="1"/>
    </row>
    <row r="271">
      <c r="A271" s="1"/>
      <c r="B271" s="2"/>
      <c r="C271" s="117"/>
      <c r="D271" s="2"/>
      <c r="E271" s="2"/>
      <c r="F271" s="2"/>
      <c r="G271" s="2"/>
      <c r="H271" s="2"/>
      <c r="I271" s="117"/>
      <c r="J271" s="2"/>
      <c r="K271" s="2"/>
      <c r="L271" s="2"/>
      <c r="M271" s="2"/>
      <c r="N271" s="2"/>
      <c r="O271" s="2"/>
      <c r="P271" s="2"/>
      <c r="Q271" s="2"/>
      <c r="R271" s="2"/>
      <c r="S271" s="2"/>
      <c r="T271" s="2"/>
      <c r="U271" s="2"/>
      <c r="V271" s="1"/>
      <c r="W271" s="1"/>
      <c r="X271" s="1"/>
      <c r="Y271" s="1"/>
      <c r="Z271" s="1"/>
      <c r="AA271" s="1"/>
      <c r="AB271" s="1"/>
      <c r="AC271" s="1"/>
      <c r="AD271" s="1"/>
      <c r="AE271" s="1"/>
      <c r="AF271" s="1"/>
    </row>
    <row r="272">
      <c r="A272" s="1"/>
      <c r="B272" s="2"/>
      <c r="C272" s="117"/>
      <c r="D272" s="2"/>
      <c r="E272" s="2"/>
      <c r="F272" s="2"/>
      <c r="G272" s="2"/>
      <c r="H272" s="2"/>
      <c r="I272" s="117"/>
      <c r="J272" s="2"/>
      <c r="K272" s="2"/>
      <c r="L272" s="2"/>
      <c r="M272" s="2"/>
      <c r="N272" s="2"/>
      <c r="O272" s="2"/>
      <c r="P272" s="2"/>
      <c r="Q272" s="2"/>
      <c r="R272" s="2"/>
      <c r="S272" s="2"/>
      <c r="T272" s="2"/>
      <c r="U272" s="2"/>
      <c r="V272" s="1"/>
      <c r="W272" s="1"/>
      <c r="X272" s="1"/>
      <c r="Y272" s="1"/>
      <c r="Z272" s="1"/>
      <c r="AA272" s="1"/>
      <c r="AB272" s="1"/>
      <c r="AC272" s="1"/>
      <c r="AD272" s="1"/>
      <c r="AE272" s="1"/>
      <c r="AF272" s="1"/>
    </row>
    <row r="273">
      <c r="A273" s="1"/>
      <c r="B273" s="2"/>
      <c r="C273" s="117"/>
      <c r="D273" s="2"/>
      <c r="E273" s="2"/>
      <c r="F273" s="2"/>
      <c r="G273" s="2"/>
      <c r="H273" s="2"/>
      <c r="I273" s="117"/>
      <c r="J273" s="2"/>
      <c r="K273" s="2"/>
      <c r="L273" s="2"/>
      <c r="M273" s="2"/>
      <c r="N273" s="2"/>
      <c r="O273" s="2"/>
      <c r="P273" s="2"/>
      <c r="Q273" s="2"/>
      <c r="R273" s="2"/>
      <c r="S273" s="2"/>
      <c r="T273" s="2"/>
      <c r="U273" s="2"/>
      <c r="V273" s="1"/>
      <c r="W273" s="1"/>
      <c r="X273" s="1"/>
      <c r="Y273" s="1"/>
      <c r="Z273" s="1"/>
      <c r="AA273" s="1"/>
      <c r="AB273" s="1"/>
      <c r="AC273" s="1"/>
      <c r="AD273" s="1"/>
      <c r="AE273" s="1"/>
      <c r="AF273" s="1"/>
    </row>
    <row r="274">
      <c r="A274" s="1"/>
      <c r="B274" s="2"/>
      <c r="C274" s="117"/>
      <c r="D274" s="2"/>
      <c r="E274" s="2"/>
      <c r="F274" s="2"/>
      <c r="G274" s="2"/>
      <c r="H274" s="2"/>
      <c r="I274" s="117"/>
      <c r="J274" s="2"/>
      <c r="K274" s="2"/>
      <c r="L274" s="2"/>
      <c r="M274" s="2"/>
      <c r="N274" s="2"/>
      <c r="O274" s="2"/>
      <c r="P274" s="2"/>
      <c r="Q274" s="2"/>
      <c r="R274" s="2"/>
      <c r="S274" s="2"/>
      <c r="T274" s="2"/>
      <c r="U274" s="2"/>
      <c r="V274" s="1"/>
      <c r="W274" s="1"/>
      <c r="X274" s="1"/>
      <c r="Y274" s="1"/>
      <c r="Z274" s="1"/>
      <c r="AA274" s="1"/>
      <c r="AB274" s="1"/>
      <c r="AC274" s="1"/>
      <c r="AD274" s="1"/>
      <c r="AE274" s="1"/>
      <c r="AF274" s="1"/>
    </row>
    <row r="275">
      <c r="A275" s="1"/>
      <c r="B275" s="2"/>
      <c r="C275" s="117"/>
      <c r="D275" s="2"/>
      <c r="E275" s="2"/>
      <c r="F275" s="2"/>
      <c r="G275" s="2"/>
      <c r="H275" s="2"/>
      <c r="I275" s="117"/>
      <c r="J275" s="2"/>
      <c r="K275" s="2"/>
      <c r="L275" s="2"/>
      <c r="M275" s="2"/>
      <c r="N275" s="2"/>
      <c r="O275" s="2"/>
      <c r="P275" s="2"/>
      <c r="Q275" s="2"/>
      <c r="R275" s="2"/>
      <c r="S275" s="2"/>
      <c r="T275" s="2"/>
      <c r="U275" s="2"/>
      <c r="V275" s="1"/>
      <c r="W275" s="1"/>
      <c r="X275" s="1"/>
      <c r="Y275" s="1"/>
      <c r="Z275" s="1"/>
      <c r="AA275" s="1"/>
      <c r="AB275" s="1"/>
      <c r="AC275" s="1"/>
      <c r="AD275" s="1"/>
      <c r="AE275" s="1"/>
      <c r="AF275" s="1"/>
    </row>
    <row r="276">
      <c r="A276" s="1"/>
      <c r="B276" s="2"/>
      <c r="C276" s="117"/>
      <c r="D276" s="2"/>
      <c r="E276" s="2"/>
      <c r="F276" s="2"/>
      <c r="G276" s="2"/>
      <c r="H276" s="2"/>
      <c r="I276" s="117"/>
      <c r="J276" s="2"/>
      <c r="K276" s="2"/>
      <c r="L276" s="2"/>
      <c r="M276" s="2"/>
      <c r="N276" s="2"/>
      <c r="O276" s="2"/>
      <c r="P276" s="2"/>
      <c r="Q276" s="2"/>
      <c r="R276" s="2"/>
      <c r="S276" s="2"/>
      <c r="T276" s="2"/>
      <c r="U276" s="2"/>
      <c r="V276" s="1"/>
      <c r="W276" s="1"/>
      <c r="X276" s="1"/>
      <c r="Y276" s="1"/>
      <c r="Z276" s="1"/>
      <c r="AA276" s="1"/>
      <c r="AB276" s="1"/>
      <c r="AC276" s="1"/>
      <c r="AD276" s="1"/>
      <c r="AE276" s="1"/>
      <c r="AF276" s="1"/>
    </row>
    <row r="277">
      <c r="A277" s="1"/>
      <c r="B277" s="2"/>
      <c r="C277" s="117"/>
      <c r="D277" s="2"/>
      <c r="E277" s="2"/>
      <c r="F277" s="2"/>
      <c r="G277" s="2"/>
      <c r="H277" s="2"/>
      <c r="I277" s="117"/>
      <c r="J277" s="2"/>
      <c r="K277" s="2"/>
      <c r="L277" s="2"/>
      <c r="M277" s="2"/>
      <c r="N277" s="2"/>
      <c r="O277" s="2"/>
      <c r="P277" s="2"/>
      <c r="Q277" s="2"/>
      <c r="R277" s="2"/>
      <c r="S277" s="2"/>
      <c r="T277" s="2"/>
      <c r="U277" s="2"/>
      <c r="V277" s="1"/>
      <c r="W277" s="1"/>
      <c r="X277" s="1"/>
      <c r="Y277" s="1"/>
      <c r="Z277" s="1"/>
      <c r="AA277" s="1"/>
      <c r="AB277" s="1"/>
      <c r="AC277" s="1"/>
      <c r="AD277" s="1"/>
      <c r="AE277" s="1"/>
      <c r="AF277" s="1"/>
    </row>
    <row r="278">
      <c r="A278" s="1"/>
      <c r="B278" s="2"/>
      <c r="C278" s="117"/>
      <c r="D278" s="2"/>
      <c r="E278" s="2"/>
      <c r="F278" s="2"/>
      <c r="G278" s="2"/>
      <c r="H278" s="2"/>
      <c r="I278" s="117"/>
      <c r="J278" s="2"/>
      <c r="K278" s="2"/>
      <c r="L278" s="2"/>
      <c r="M278" s="2"/>
      <c r="N278" s="2"/>
      <c r="O278" s="2"/>
      <c r="P278" s="2"/>
      <c r="Q278" s="2"/>
      <c r="R278" s="2"/>
      <c r="S278" s="2"/>
      <c r="T278" s="2"/>
      <c r="U278" s="2"/>
      <c r="V278" s="1"/>
      <c r="W278" s="1"/>
      <c r="X278" s="1"/>
      <c r="Y278" s="1"/>
      <c r="Z278" s="1"/>
      <c r="AA278" s="1"/>
      <c r="AB278" s="1"/>
      <c r="AC278" s="1"/>
      <c r="AD278" s="1"/>
      <c r="AE278" s="1"/>
      <c r="AF278" s="1"/>
    </row>
    <row r="279">
      <c r="A279" s="1"/>
      <c r="B279" s="2"/>
      <c r="C279" s="117"/>
      <c r="D279" s="2"/>
      <c r="E279" s="2"/>
      <c r="F279" s="2"/>
      <c r="G279" s="2"/>
      <c r="H279" s="2"/>
      <c r="I279" s="117"/>
      <c r="J279" s="2"/>
      <c r="K279" s="2"/>
      <c r="L279" s="2"/>
      <c r="M279" s="2"/>
      <c r="N279" s="2"/>
      <c r="O279" s="2"/>
      <c r="P279" s="2"/>
      <c r="Q279" s="2"/>
      <c r="R279" s="2"/>
      <c r="S279" s="2"/>
      <c r="T279" s="2"/>
      <c r="U279" s="2"/>
      <c r="V279" s="1"/>
      <c r="W279" s="1"/>
      <c r="X279" s="1"/>
      <c r="Y279" s="1"/>
      <c r="Z279" s="1"/>
      <c r="AA279" s="1"/>
      <c r="AB279" s="1"/>
      <c r="AC279" s="1"/>
      <c r="AD279" s="1"/>
      <c r="AE279" s="1"/>
      <c r="AF279" s="1"/>
    </row>
    <row r="280">
      <c r="A280" s="1"/>
      <c r="B280" s="2"/>
      <c r="C280" s="117"/>
      <c r="D280" s="2"/>
      <c r="E280" s="2"/>
      <c r="F280" s="2"/>
      <c r="G280" s="2"/>
      <c r="H280" s="2"/>
      <c r="I280" s="117"/>
      <c r="J280" s="2"/>
      <c r="K280" s="2"/>
      <c r="L280" s="2"/>
      <c r="M280" s="2"/>
      <c r="N280" s="2"/>
      <c r="O280" s="2"/>
      <c r="P280" s="2"/>
      <c r="Q280" s="2"/>
      <c r="R280" s="2"/>
      <c r="S280" s="2"/>
      <c r="T280" s="2"/>
      <c r="U280" s="2"/>
      <c r="V280" s="1"/>
      <c r="W280" s="1"/>
      <c r="X280" s="1"/>
      <c r="Y280" s="1"/>
      <c r="Z280" s="1"/>
      <c r="AA280" s="1"/>
      <c r="AB280" s="1"/>
      <c r="AC280" s="1"/>
      <c r="AD280" s="1"/>
      <c r="AE280" s="1"/>
      <c r="AF280" s="1"/>
    </row>
    <row r="281">
      <c r="A281" s="1"/>
      <c r="B281" s="2"/>
      <c r="C281" s="117"/>
      <c r="D281" s="2"/>
      <c r="E281" s="2"/>
      <c r="F281" s="2"/>
      <c r="G281" s="2"/>
      <c r="H281" s="2"/>
      <c r="I281" s="117"/>
      <c r="J281" s="2"/>
      <c r="K281" s="2"/>
      <c r="L281" s="2"/>
      <c r="M281" s="2"/>
      <c r="N281" s="2"/>
      <c r="O281" s="2"/>
      <c r="P281" s="2"/>
      <c r="Q281" s="2"/>
      <c r="R281" s="2"/>
      <c r="S281" s="2"/>
      <c r="T281" s="2"/>
      <c r="U281" s="2"/>
      <c r="V281" s="1"/>
      <c r="W281" s="1"/>
      <c r="X281" s="1"/>
      <c r="Y281" s="1"/>
      <c r="Z281" s="1"/>
      <c r="AA281" s="1"/>
      <c r="AB281" s="1"/>
      <c r="AC281" s="1"/>
      <c r="AD281" s="1"/>
      <c r="AE281" s="1"/>
      <c r="AF281" s="1"/>
    </row>
    <row r="282">
      <c r="A282" s="1"/>
      <c r="B282" s="2"/>
      <c r="C282" s="117"/>
      <c r="D282" s="2"/>
      <c r="E282" s="2"/>
      <c r="F282" s="2"/>
      <c r="G282" s="2"/>
      <c r="H282" s="2"/>
      <c r="I282" s="117"/>
      <c r="J282" s="2"/>
      <c r="K282" s="2"/>
      <c r="L282" s="2"/>
      <c r="M282" s="2"/>
      <c r="N282" s="2"/>
      <c r="O282" s="2"/>
      <c r="P282" s="2"/>
      <c r="Q282" s="2"/>
      <c r="R282" s="2"/>
      <c r="S282" s="2"/>
      <c r="T282" s="2"/>
      <c r="U282" s="2"/>
      <c r="V282" s="1"/>
      <c r="W282" s="1"/>
      <c r="X282" s="1"/>
      <c r="Y282" s="1"/>
      <c r="Z282" s="1"/>
      <c r="AA282" s="1"/>
      <c r="AB282" s="1"/>
      <c r="AC282" s="1"/>
      <c r="AD282" s="1"/>
      <c r="AE282" s="1"/>
      <c r="AF282" s="1"/>
    </row>
    <row r="283">
      <c r="A283" s="1"/>
      <c r="B283" s="2"/>
      <c r="C283" s="117"/>
      <c r="D283" s="2"/>
      <c r="E283" s="2"/>
      <c r="F283" s="2"/>
      <c r="G283" s="2"/>
      <c r="H283" s="2"/>
      <c r="I283" s="117"/>
      <c r="J283" s="2"/>
      <c r="K283" s="2"/>
      <c r="L283" s="2"/>
      <c r="M283" s="2"/>
      <c r="N283" s="2"/>
      <c r="O283" s="2"/>
      <c r="P283" s="2"/>
      <c r="Q283" s="2"/>
      <c r="R283" s="2"/>
      <c r="S283" s="2"/>
      <c r="T283" s="2"/>
      <c r="U283" s="2"/>
      <c r="V283" s="1"/>
      <c r="W283" s="1"/>
      <c r="X283" s="1"/>
      <c r="Y283" s="1"/>
      <c r="Z283" s="1"/>
      <c r="AA283" s="1"/>
      <c r="AB283" s="1"/>
      <c r="AC283" s="1"/>
      <c r="AD283" s="1"/>
      <c r="AE283" s="1"/>
      <c r="AF283" s="1"/>
    </row>
    <row r="284">
      <c r="A284" s="1"/>
      <c r="B284" s="2"/>
      <c r="C284" s="117"/>
      <c r="D284" s="2"/>
      <c r="E284" s="2"/>
      <c r="F284" s="2"/>
      <c r="G284" s="2"/>
      <c r="H284" s="2"/>
      <c r="I284" s="117"/>
      <c r="J284" s="2"/>
      <c r="K284" s="2"/>
      <c r="L284" s="2"/>
      <c r="M284" s="2"/>
      <c r="N284" s="2"/>
      <c r="O284" s="2"/>
      <c r="P284" s="2"/>
      <c r="Q284" s="2"/>
      <c r="R284" s="2"/>
      <c r="S284" s="2"/>
      <c r="T284" s="2"/>
      <c r="U284" s="2"/>
      <c r="V284" s="1"/>
      <c r="W284" s="1"/>
      <c r="X284" s="1"/>
      <c r="Y284" s="1"/>
      <c r="Z284" s="1"/>
      <c r="AA284" s="1"/>
      <c r="AB284" s="1"/>
      <c r="AC284" s="1"/>
      <c r="AD284" s="1"/>
      <c r="AE284" s="1"/>
      <c r="AF284" s="1"/>
    </row>
    <row r="285">
      <c r="A285" s="1"/>
      <c r="B285" s="2"/>
      <c r="C285" s="117"/>
      <c r="D285" s="2"/>
      <c r="E285" s="2"/>
      <c r="F285" s="2"/>
      <c r="G285" s="2"/>
      <c r="H285" s="2"/>
      <c r="I285" s="117"/>
      <c r="J285" s="2"/>
      <c r="K285" s="2"/>
      <c r="L285" s="2"/>
      <c r="M285" s="2"/>
      <c r="N285" s="2"/>
      <c r="O285" s="2"/>
      <c r="P285" s="2"/>
      <c r="Q285" s="2"/>
      <c r="R285" s="2"/>
      <c r="S285" s="2"/>
      <c r="T285" s="2"/>
      <c r="U285" s="2"/>
      <c r="V285" s="1"/>
      <c r="W285" s="1"/>
      <c r="X285" s="1"/>
      <c r="Y285" s="1"/>
      <c r="Z285" s="1"/>
      <c r="AA285" s="1"/>
      <c r="AB285" s="1"/>
      <c r="AC285" s="1"/>
      <c r="AD285" s="1"/>
      <c r="AE285" s="1"/>
      <c r="AF285" s="1"/>
    </row>
    <row r="286">
      <c r="A286" s="1"/>
      <c r="B286" s="2"/>
      <c r="C286" s="117"/>
      <c r="D286" s="2"/>
      <c r="E286" s="2"/>
      <c r="F286" s="2"/>
      <c r="G286" s="2"/>
      <c r="H286" s="2"/>
      <c r="I286" s="117"/>
      <c r="J286" s="2"/>
      <c r="K286" s="2"/>
      <c r="L286" s="2"/>
      <c r="M286" s="2"/>
      <c r="N286" s="2"/>
      <c r="O286" s="2"/>
      <c r="P286" s="2"/>
      <c r="Q286" s="2"/>
      <c r="R286" s="2"/>
      <c r="S286" s="2"/>
      <c r="T286" s="2"/>
      <c r="U286" s="2"/>
      <c r="V286" s="1"/>
      <c r="W286" s="1"/>
      <c r="X286" s="1"/>
      <c r="Y286" s="1"/>
      <c r="Z286" s="1"/>
      <c r="AA286" s="1"/>
      <c r="AB286" s="1"/>
      <c r="AC286" s="1"/>
      <c r="AD286" s="1"/>
      <c r="AE286" s="1"/>
      <c r="AF286" s="1"/>
    </row>
    <row r="287">
      <c r="A287" s="1"/>
      <c r="B287" s="2"/>
      <c r="C287" s="117"/>
      <c r="D287" s="2"/>
      <c r="E287" s="2"/>
      <c r="F287" s="2"/>
      <c r="G287" s="2"/>
      <c r="H287" s="2"/>
      <c r="I287" s="117"/>
      <c r="J287" s="2"/>
      <c r="K287" s="2"/>
      <c r="L287" s="2"/>
      <c r="M287" s="2"/>
      <c r="N287" s="2"/>
      <c r="O287" s="2"/>
      <c r="P287" s="2"/>
      <c r="Q287" s="2"/>
      <c r="R287" s="2"/>
      <c r="S287" s="2"/>
      <c r="T287" s="2"/>
      <c r="U287" s="2"/>
      <c r="V287" s="1"/>
      <c r="W287" s="1"/>
      <c r="X287" s="1"/>
      <c r="Y287" s="1"/>
      <c r="Z287" s="1"/>
      <c r="AA287" s="1"/>
      <c r="AB287" s="1"/>
      <c r="AC287" s="1"/>
      <c r="AD287" s="1"/>
      <c r="AE287" s="1"/>
      <c r="AF287" s="1"/>
    </row>
    <row r="288">
      <c r="A288" s="1"/>
      <c r="B288" s="2"/>
      <c r="C288" s="117"/>
      <c r="D288" s="2"/>
      <c r="E288" s="2"/>
      <c r="F288" s="2"/>
      <c r="G288" s="2"/>
      <c r="H288" s="2"/>
      <c r="I288" s="117"/>
      <c r="J288" s="2"/>
      <c r="K288" s="2"/>
      <c r="L288" s="2"/>
      <c r="M288" s="2"/>
      <c r="N288" s="2"/>
      <c r="O288" s="2"/>
      <c r="P288" s="2"/>
      <c r="Q288" s="2"/>
      <c r="R288" s="2"/>
      <c r="S288" s="2"/>
      <c r="T288" s="2"/>
      <c r="U288" s="2"/>
      <c r="V288" s="1"/>
      <c r="W288" s="1"/>
      <c r="X288" s="1"/>
      <c r="Y288" s="1"/>
      <c r="Z288" s="1"/>
      <c r="AA288" s="1"/>
      <c r="AB288" s="1"/>
      <c r="AC288" s="1"/>
      <c r="AD288" s="1"/>
      <c r="AE288" s="1"/>
      <c r="AF288" s="1"/>
    </row>
    <row r="289">
      <c r="A289" s="1"/>
      <c r="B289" s="2"/>
      <c r="C289" s="117"/>
      <c r="D289" s="2"/>
      <c r="E289" s="2"/>
      <c r="F289" s="2"/>
      <c r="G289" s="2"/>
      <c r="H289" s="2"/>
      <c r="I289" s="117"/>
      <c r="J289" s="2"/>
      <c r="K289" s="2"/>
      <c r="L289" s="2"/>
      <c r="M289" s="2"/>
      <c r="N289" s="2"/>
      <c r="O289" s="2"/>
      <c r="P289" s="2"/>
      <c r="Q289" s="2"/>
      <c r="R289" s="2"/>
      <c r="S289" s="2"/>
      <c r="T289" s="2"/>
      <c r="U289" s="2"/>
      <c r="V289" s="1"/>
      <c r="W289" s="1"/>
      <c r="X289" s="1"/>
      <c r="Y289" s="1"/>
      <c r="Z289" s="1"/>
      <c r="AA289" s="1"/>
      <c r="AB289" s="1"/>
      <c r="AC289" s="1"/>
      <c r="AD289" s="1"/>
      <c r="AE289" s="1"/>
      <c r="AF289" s="1"/>
    </row>
    <row r="290">
      <c r="A290" s="1"/>
      <c r="B290" s="2"/>
      <c r="C290" s="117"/>
      <c r="D290" s="2"/>
      <c r="E290" s="2"/>
      <c r="F290" s="2"/>
      <c r="G290" s="2"/>
      <c r="H290" s="2"/>
      <c r="I290" s="117"/>
      <c r="J290" s="2"/>
      <c r="K290" s="2"/>
      <c r="L290" s="2"/>
      <c r="M290" s="2"/>
      <c r="N290" s="2"/>
      <c r="O290" s="2"/>
      <c r="P290" s="2"/>
      <c r="Q290" s="2"/>
      <c r="R290" s="2"/>
      <c r="S290" s="2"/>
      <c r="T290" s="2"/>
      <c r="U290" s="2"/>
      <c r="V290" s="1"/>
      <c r="W290" s="1"/>
      <c r="X290" s="1"/>
      <c r="Y290" s="1"/>
      <c r="Z290" s="1"/>
      <c r="AA290" s="1"/>
      <c r="AB290" s="1"/>
      <c r="AC290" s="1"/>
      <c r="AD290" s="1"/>
      <c r="AE290" s="1"/>
      <c r="AF290" s="1"/>
    </row>
    <row r="291">
      <c r="A291" s="1"/>
      <c r="B291" s="2"/>
      <c r="C291" s="117"/>
      <c r="D291" s="2"/>
      <c r="E291" s="2"/>
      <c r="F291" s="2"/>
      <c r="G291" s="2"/>
      <c r="H291" s="2"/>
      <c r="I291" s="117"/>
      <c r="J291" s="2"/>
      <c r="K291" s="2"/>
      <c r="L291" s="2"/>
      <c r="M291" s="2"/>
      <c r="N291" s="2"/>
      <c r="O291" s="2"/>
      <c r="P291" s="2"/>
      <c r="Q291" s="2"/>
      <c r="R291" s="2"/>
      <c r="S291" s="2"/>
      <c r="T291" s="2"/>
      <c r="U291" s="2"/>
      <c r="V291" s="1"/>
      <c r="W291" s="1"/>
      <c r="X291" s="1"/>
      <c r="Y291" s="1"/>
      <c r="Z291" s="1"/>
      <c r="AA291" s="1"/>
      <c r="AB291" s="1"/>
      <c r="AC291" s="1"/>
      <c r="AD291" s="1"/>
      <c r="AE291" s="1"/>
      <c r="AF291" s="1"/>
    </row>
    <row r="292">
      <c r="A292" s="1"/>
      <c r="B292" s="2"/>
      <c r="C292" s="117"/>
      <c r="D292" s="2"/>
      <c r="E292" s="2"/>
      <c r="F292" s="2"/>
      <c r="G292" s="2"/>
      <c r="H292" s="2"/>
      <c r="I292" s="117"/>
      <c r="J292" s="2"/>
      <c r="K292" s="2"/>
      <c r="L292" s="2"/>
      <c r="M292" s="2"/>
      <c r="N292" s="2"/>
      <c r="O292" s="2"/>
      <c r="P292" s="2"/>
      <c r="Q292" s="2"/>
      <c r="R292" s="2"/>
      <c r="S292" s="2"/>
      <c r="T292" s="2"/>
      <c r="U292" s="2"/>
      <c r="V292" s="1"/>
      <c r="W292" s="1"/>
      <c r="X292" s="1"/>
      <c r="Y292" s="1"/>
      <c r="Z292" s="1"/>
      <c r="AA292" s="1"/>
      <c r="AB292" s="1"/>
      <c r="AC292" s="1"/>
      <c r="AD292" s="1"/>
      <c r="AE292" s="1"/>
      <c r="AF292" s="1"/>
    </row>
    <row r="293">
      <c r="A293" s="1"/>
      <c r="B293" s="2"/>
      <c r="C293" s="117"/>
      <c r="D293" s="2"/>
      <c r="E293" s="2"/>
      <c r="F293" s="2"/>
      <c r="G293" s="2"/>
      <c r="H293" s="2"/>
      <c r="I293" s="117"/>
      <c r="J293" s="2"/>
      <c r="K293" s="2"/>
      <c r="L293" s="2"/>
      <c r="M293" s="2"/>
      <c r="N293" s="2"/>
      <c r="O293" s="2"/>
      <c r="P293" s="2"/>
      <c r="Q293" s="2"/>
      <c r="R293" s="2"/>
      <c r="S293" s="2"/>
      <c r="T293" s="2"/>
      <c r="U293" s="2"/>
      <c r="V293" s="1"/>
      <c r="W293" s="1"/>
      <c r="X293" s="1"/>
      <c r="Y293" s="1"/>
      <c r="Z293" s="1"/>
      <c r="AA293" s="1"/>
      <c r="AB293" s="1"/>
      <c r="AC293" s="1"/>
      <c r="AD293" s="1"/>
      <c r="AE293" s="1"/>
      <c r="AF293" s="1"/>
    </row>
    <row r="294">
      <c r="A294" s="1"/>
      <c r="B294" s="2"/>
      <c r="C294" s="117"/>
      <c r="D294" s="2"/>
      <c r="E294" s="2"/>
      <c r="F294" s="2"/>
      <c r="G294" s="2"/>
      <c r="H294" s="2"/>
      <c r="I294" s="117"/>
      <c r="J294" s="2"/>
      <c r="K294" s="2"/>
      <c r="L294" s="2"/>
      <c r="M294" s="2"/>
      <c r="N294" s="2"/>
      <c r="O294" s="2"/>
      <c r="P294" s="2"/>
      <c r="Q294" s="2"/>
      <c r="R294" s="2"/>
      <c r="S294" s="2"/>
      <c r="T294" s="2"/>
      <c r="U294" s="2"/>
      <c r="V294" s="1"/>
      <c r="W294" s="1"/>
      <c r="X294" s="1"/>
      <c r="Y294" s="1"/>
      <c r="Z294" s="1"/>
      <c r="AA294" s="1"/>
      <c r="AB294" s="1"/>
      <c r="AC294" s="1"/>
      <c r="AD294" s="1"/>
      <c r="AE294" s="1"/>
      <c r="AF294" s="1"/>
    </row>
    <row r="295">
      <c r="A295" s="1"/>
      <c r="B295" s="2"/>
      <c r="C295" s="117"/>
      <c r="D295" s="2"/>
      <c r="E295" s="2"/>
      <c r="F295" s="2"/>
      <c r="G295" s="2"/>
      <c r="H295" s="2"/>
      <c r="I295" s="117"/>
      <c r="J295" s="2"/>
      <c r="K295" s="2"/>
      <c r="L295" s="2"/>
      <c r="M295" s="2"/>
      <c r="N295" s="2"/>
      <c r="O295" s="2"/>
      <c r="P295" s="2"/>
      <c r="Q295" s="2"/>
      <c r="R295" s="2"/>
      <c r="S295" s="2"/>
      <c r="T295" s="2"/>
      <c r="U295" s="2"/>
      <c r="V295" s="1"/>
      <c r="W295" s="1"/>
      <c r="X295" s="1"/>
      <c r="Y295" s="1"/>
      <c r="Z295" s="1"/>
      <c r="AA295" s="1"/>
      <c r="AB295" s="1"/>
      <c r="AC295" s="1"/>
      <c r="AD295" s="1"/>
      <c r="AE295" s="1"/>
      <c r="AF295" s="1"/>
    </row>
    <row r="296">
      <c r="A296" s="1"/>
      <c r="B296" s="2"/>
      <c r="C296" s="117"/>
      <c r="D296" s="2"/>
      <c r="E296" s="2"/>
      <c r="F296" s="2"/>
      <c r="G296" s="2"/>
      <c r="H296" s="2"/>
      <c r="I296" s="117"/>
      <c r="J296" s="2"/>
      <c r="K296" s="2"/>
      <c r="L296" s="2"/>
      <c r="M296" s="2"/>
      <c r="N296" s="2"/>
      <c r="O296" s="2"/>
      <c r="P296" s="2"/>
      <c r="Q296" s="2"/>
      <c r="R296" s="2"/>
      <c r="S296" s="2"/>
      <c r="T296" s="2"/>
      <c r="U296" s="2"/>
      <c r="V296" s="1"/>
      <c r="W296" s="1"/>
      <c r="X296" s="1"/>
      <c r="Y296" s="1"/>
      <c r="Z296" s="1"/>
      <c r="AA296" s="1"/>
      <c r="AB296" s="1"/>
      <c r="AC296" s="1"/>
      <c r="AD296" s="1"/>
      <c r="AE296" s="1"/>
      <c r="AF296" s="1"/>
    </row>
    <row r="297">
      <c r="A297" s="1"/>
      <c r="B297" s="2"/>
      <c r="C297" s="117"/>
      <c r="D297" s="2"/>
      <c r="E297" s="2"/>
      <c r="F297" s="2"/>
      <c r="G297" s="2"/>
      <c r="H297" s="2"/>
      <c r="I297" s="117"/>
      <c r="J297" s="2"/>
      <c r="K297" s="2"/>
      <c r="L297" s="2"/>
      <c r="M297" s="2"/>
      <c r="N297" s="2"/>
      <c r="O297" s="2"/>
      <c r="P297" s="2"/>
      <c r="Q297" s="2"/>
      <c r="R297" s="2"/>
      <c r="S297" s="2"/>
      <c r="T297" s="2"/>
      <c r="U297" s="2"/>
      <c r="V297" s="1"/>
      <c r="W297" s="1"/>
      <c r="X297" s="1"/>
      <c r="Y297" s="1"/>
      <c r="Z297" s="1"/>
      <c r="AA297" s="1"/>
      <c r="AB297" s="1"/>
      <c r="AC297" s="1"/>
      <c r="AD297" s="1"/>
      <c r="AE297" s="1"/>
      <c r="AF297" s="1"/>
    </row>
    <row r="298">
      <c r="A298" s="1"/>
      <c r="B298" s="2"/>
      <c r="C298" s="117"/>
      <c r="D298" s="2"/>
      <c r="E298" s="2"/>
      <c r="F298" s="2"/>
      <c r="G298" s="2"/>
      <c r="H298" s="2"/>
      <c r="I298" s="117"/>
      <c r="J298" s="2"/>
      <c r="K298" s="2"/>
      <c r="L298" s="2"/>
      <c r="M298" s="2"/>
      <c r="N298" s="2"/>
      <c r="O298" s="2"/>
      <c r="P298" s="2"/>
      <c r="Q298" s="2"/>
      <c r="R298" s="2"/>
      <c r="S298" s="2"/>
      <c r="T298" s="2"/>
      <c r="U298" s="2"/>
      <c r="V298" s="1"/>
      <c r="W298" s="1"/>
      <c r="X298" s="1"/>
      <c r="Y298" s="1"/>
      <c r="Z298" s="1"/>
      <c r="AA298" s="1"/>
      <c r="AB298" s="1"/>
      <c r="AC298" s="1"/>
      <c r="AD298" s="1"/>
      <c r="AE298" s="1"/>
      <c r="AF298" s="1"/>
    </row>
    <row r="299">
      <c r="A299" s="1"/>
      <c r="B299" s="2"/>
      <c r="C299" s="117"/>
      <c r="D299" s="2"/>
      <c r="E299" s="2"/>
      <c r="F299" s="2"/>
      <c r="G299" s="2"/>
      <c r="H299" s="2"/>
      <c r="I299" s="117"/>
      <c r="J299" s="2"/>
      <c r="K299" s="2"/>
      <c r="L299" s="2"/>
      <c r="M299" s="2"/>
      <c r="N299" s="2"/>
      <c r="O299" s="2"/>
      <c r="P299" s="2"/>
      <c r="Q299" s="2"/>
      <c r="R299" s="2"/>
      <c r="S299" s="2"/>
      <c r="T299" s="2"/>
      <c r="U299" s="2"/>
      <c r="V299" s="1"/>
      <c r="W299" s="1"/>
      <c r="X299" s="1"/>
      <c r="Y299" s="1"/>
      <c r="Z299" s="1"/>
      <c r="AA299" s="1"/>
      <c r="AB299" s="1"/>
      <c r="AC299" s="1"/>
      <c r="AD299" s="1"/>
      <c r="AE299" s="1"/>
      <c r="AF299" s="1"/>
    </row>
    <row r="300">
      <c r="A300" s="1"/>
      <c r="B300" s="2"/>
      <c r="C300" s="117"/>
      <c r="D300" s="2"/>
      <c r="E300" s="2"/>
      <c r="F300" s="2"/>
      <c r="G300" s="2"/>
      <c r="H300" s="2"/>
      <c r="I300" s="117"/>
      <c r="J300" s="2"/>
      <c r="K300" s="2"/>
      <c r="L300" s="2"/>
      <c r="M300" s="2"/>
      <c r="N300" s="2"/>
      <c r="O300" s="2"/>
      <c r="P300" s="2"/>
      <c r="Q300" s="2"/>
      <c r="R300" s="2"/>
      <c r="S300" s="2"/>
      <c r="T300" s="2"/>
      <c r="U300" s="2"/>
      <c r="V300" s="1"/>
      <c r="W300" s="1"/>
      <c r="X300" s="1"/>
      <c r="Y300" s="1"/>
      <c r="Z300" s="1"/>
      <c r="AA300" s="1"/>
      <c r="AB300" s="1"/>
      <c r="AC300" s="1"/>
      <c r="AD300" s="1"/>
      <c r="AE300" s="1"/>
      <c r="AF300" s="1"/>
    </row>
    <row r="301">
      <c r="A301" s="1"/>
      <c r="B301" s="2"/>
      <c r="C301" s="117"/>
      <c r="D301" s="2"/>
      <c r="E301" s="2"/>
      <c r="F301" s="2"/>
      <c r="G301" s="2"/>
      <c r="H301" s="2"/>
      <c r="I301" s="117"/>
      <c r="J301" s="2"/>
      <c r="K301" s="2"/>
      <c r="L301" s="2"/>
      <c r="M301" s="2"/>
      <c r="N301" s="2"/>
      <c r="O301" s="2"/>
      <c r="P301" s="2"/>
      <c r="Q301" s="2"/>
      <c r="R301" s="2"/>
      <c r="S301" s="2"/>
      <c r="T301" s="2"/>
      <c r="U301" s="2"/>
      <c r="V301" s="1"/>
      <c r="W301" s="1"/>
      <c r="X301" s="1"/>
      <c r="Y301" s="1"/>
      <c r="Z301" s="1"/>
      <c r="AA301" s="1"/>
      <c r="AB301" s="1"/>
      <c r="AC301" s="1"/>
      <c r="AD301" s="1"/>
      <c r="AE301" s="1"/>
      <c r="AF301" s="1"/>
    </row>
    <row r="302">
      <c r="A302" s="1"/>
      <c r="B302" s="2"/>
      <c r="C302" s="117"/>
      <c r="D302" s="2"/>
      <c r="E302" s="2"/>
      <c r="F302" s="2"/>
      <c r="G302" s="2"/>
      <c r="H302" s="2"/>
      <c r="I302" s="117"/>
      <c r="J302" s="2"/>
      <c r="K302" s="2"/>
      <c r="L302" s="2"/>
      <c r="M302" s="2"/>
      <c r="N302" s="2"/>
      <c r="O302" s="2"/>
      <c r="P302" s="2"/>
      <c r="Q302" s="2"/>
      <c r="R302" s="2"/>
      <c r="S302" s="2"/>
      <c r="T302" s="2"/>
      <c r="U302" s="2"/>
      <c r="V302" s="1"/>
      <c r="W302" s="1"/>
      <c r="X302" s="1"/>
      <c r="Y302" s="1"/>
      <c r="Z302" s="1"/>
      <c r="AA302" s="1"/>
      <c r="AB302" s="1"/>
      <c r="AC302" s="1"/>
      <c r="AD302" s="1"/>
      <c r="AE302" s="1"/>
      <c r="AF302" s="1"/>
    </row>
    <row r="303">
      <c r="A303" s="1"/>
      <c r="B303" s="2"/>
      <c r="C303" s="117"/>
      <c r="D303" s="2"/>
      <c r="E303" s="2"/>
      <c r="F303" s="2"/>
      <c r="G303" s="2"/>
      <c r="H303" s="2"/>
      <c r="I303" s="117"/>
      <c r="J303" s="2"/>
      <c r="K303" s="2"/>
      <c r="L303" s="2"/>
      <c r="M303" s="2"/>
      <c r="N303" s="2"/>
      <c r="O303" s="2"/>
      <c r="P303" s="2"/>
      <c r="Q303" s="2"/>
      <c r="R303" s="2"/>
      <c r="S303" s="2"/>
      <c r="T303" s="2"/>
      <c r="U303" s="2"/>
      <c r="V303" s="1"/>
      <c r="W303" s="1"/>
      <c r="X303" s="1"/>
      <c r="Y303" s="1"/>
      <c r="Z303" s="1"/>
      <c r="AA303" s="1"/>
      <c r="AB303" s="1"/>
      <c r="AC303" s="1"/>
      <c r="AD303" s="1"/>
      <c r="AE303" s="1"/>
      <c r="AF303" s="1"/>
    </row>
    <row r="304">
      <c r="A304" s="1"/>
      <c r="B304" s="2"/>
      <c r="C304" s="117"/>
      <c r="D304" s="2"/>
      <c r="E304" s="2"/>
      <c r="F304" s="2"/>
      <c r="G304" s="2"/>
      <c r="H304" s="2"/>
      <c r="I304" s="117"/>
      <c r="J304" s="2"/>
      <c r="K304" s="2"/>
      <c r="L304" s="2"/>
      <c r="M304" s="2"/>
      <c r="N304" s="2"/>
      <c r="O304" s="2"/>
      <c r="P304" s="2"/>
      <c r="Q304" s="2"/>
      <c r="R304" s="2"/>
      <c r="S304" s="2"/>
      <c r="T304" s="2"/>
      <c r="U304" s="2"/>
      <c r="V304" s="1"/>
      <c r="W304" s="1"/>
      <c r="X304" s="1"/>
      <c r="Y304" s="1"/>
      <c r="Z304" s="1"/>
      <c r="AA304" s="1"/>
      <c r="AB304" s="1"/>
      <c r="AC304" s="1"/>
      <c r="AD304" s="1"/>
      <c r="AE304" s="1"/>
      <c r="AF304" s="1"/>
    </row>
    <row r="305">
      <c r="A305" s="1"/>
      <c r="B305" s="2"/>
      <c r="C305" s="117"/>
      <c r="D305" s="2"/>
      <c r="E305" s="2"/>
      <c r="F305" s="2"/>
      <c r="G305" s="2"/>
      <c r="H305" s="2"/>
      <c r="I305" s="117"/>
      <c r="J305" s="2"/>
      <c r="K305" s="2"/>
      <c r="L305" s="2"/>
      <c r="M305" s="2"/>
      <c r="N305" s="2"/>
      <c r="O305" s="2"/>
      <c r="P305" s="2"/>
      <c r="Q305" s="2"/>
      <c r="R305" s="2"/>
      <c r="S305" s="2"/>
      <c r="T305" s="2"/>
      <c r="U305" s="2"/>
      <c r="V305" s="1"/>
      <c r="W305" s="1"/>
      <c r="X305" s="1"/>
      <c r="Y305" s="1"/>
      <c r="Z305" s="1"/>
      <c r="AA305" s="1"/>
      <c r="AB305" s="1"/>
      <c r="AC305" s="1"/>
      <c r="AD305" s="1"/>
      <c r="AE305" s="1"/>
      <c r="AF305" s="1"/>
    </row>
    <row r="306">
      <c r="A306" s="1"/>
      <c r="B306" s="2"/>
      <c r="C306" s="117"/>
      <c r="D306" s="2"/>
      <c r="E306" s="2"/>
      <c r="F306" s="2"/>
      <c r="G306" s="2"/>
      <c r="H306" s="2"/>
      <c r="I306" s="117"/>
      <c r="J306" s="2"/>
      <c r="K306" s="2"/>
      <c r="L306" s="2"/>
      <c r="M306" s="2"/>
      <c r="N306" s="2"/>
      <c r="O306" s="2"/>
      <c r="P306" s="2"/>
      <c r="Q306" s="2"/>
      <c r="R306" s="2"/>
      <c r="S306" s="2"/>
      <c r="T306" s="2"/>
      <c r="U306" s="2"/>
      <c r="V306" s="1"/>
      <c r="W306" s="1"/>
      <c r="X306" s="1"/>
      <c r="Y306" s="1"/>
      <c r="Z306" s="1"/>
      <c r="AA306" s="1"/>
      <c r="AB306" s="1"/>
      <c r="AC306" s="1"/>
      <c r="AD306" s="1"/>
      <c r="AE306" s="1"/>
      <c r="AF306" s="1"/>
    </row>
    <row r="307">
      <c r="A307" s="1"/>
      <c r="B307" s="2"/>
      <c r="C307" s="117"/>
      <c r="D307" s="2"/>
      <c r="E307" s="2"/>
      <c r="F307" s="2"/>
      <c r="G307" s="2"/>
      <c r="H307" s="2"/>
      <c r="I307" s="117"/>
      <c r="J307" s="2"/>
      <c r="K307" s="2"/>
      <c r="L307" s="2"/>
      <c r="M307" s="2"/>
      <c r="N307" s="2"/>
      <c r="O307" s="2"/>
      <c r="P307" s="2"/>
      <c r="Q307" s="2"/>
      <c r="R307" s="2"/>
      <c r="S307" s="2"/>
      <c r="T307" s="2"/>
      <c r="U307" s="2"/>
      <c r="V307" s="1"/>
      <c r="W307" s="1"/>
      <c r="X307" s="1"/>
      <c r="Y307" s="1"/>
      <c r="Z307" s="1"/>
      <c r="AA307" s="1"/>
      <c r="AB307" s="1"/>
      <c r="AC307" s="1"/>
      <c r="AD307" s="1"/>
      <c r="AE307" s="1"/>
      <c r="AF307" s="1"/>
    </row>
    <row r="308">
      <c r="A308" s="1"/>
      <c r="B308" s="2"/>
      <c r="C308" s="117"/>
      <c r="D308" s="2"/>
      <c r="E308" s="2"/>
      <c r="F308" s="2"/>
      <c r="G308" s="2"/>
      <c r="H308" s="2"/>
      <c r="I308" s="117"/>
      <c r="J308" s="2"/>
      <c r="K308" s="2"/>
      <c r="L308" s="2"/>
      <c r="M308" s="2"/>
      <c r="N308" s="2"/>
      <c r="O308" s="2"/>
      <c r="P308" s="2"/>
      <c r="Q308" s="2"/>
      <c r="R308" s="2"/>
      <c r="S308" s="2"/>
      <c r="T308" s="2"/>
      <c r="U308" s="2"/>
      <c r="V308" s="1"/>
      <c r="W308" s="1"/>
      <c r="X308" s="1"/>
      <c r="Y308" s="1"/>
      <c r="Z308" s="1"/>
      <c r="AA308" s="1"/>
      <c r="AB308" s="1"/>
      <c r="AC308" s="1"/>
      <c r="AD308" s="1"/>
      <c r="AE308" s="1"/>
      <c r="AF308" s="1"/>
    </row>
    <row r="309">
      <c r="A309" s="1"/>
      <c r="B309" s="2"/>
      <c r="C309" s="117"/>
      <c r="D309" s="2"/>
      <c r="E309" s="2"/>
      <c r="F309" s="2"/>
      <c r="G309" s="2"/>
      <c r="H309" s="2"/>
      <c r="I309" s="117"/>
      <c r="J309" s="2"/>
      <c r="K309" s="2"/>
      <c r="L309" s="2"/>
      <c r="M309" s="2"/>
      <c r="N309" s="2"/>
      <c r="O309" s="2"/>
      <c r="P309" s="2"/>
      <c r="Q309" s="2"/>
      <c r="R309" s="2"/>
      <c r="S309" s="2"/>
      <c r="T309" s="2"/>
      <c r="U309" s="2"/>
      <c r="V309" s="1"/>
      <c r="W309" s="1"/>
      <c r="X309" s="1"/>
      <c r="Y309" s="1"/>
      <c r="Z309" s="1"/>
      <c r="AA309" s="1"/>
      <c r="AB309" s="1"/>
      <c r="AC309" s="1"/>
      <c r="AD309" s="1"/>
      <c r="AE309" s="1"/>
      <c r="AF309" s="1"/>
    </row>
    <row r="310">
      <c r="A310" s="1"/>
      <c r="B310" s="2"/>
      <c r="C310" s="117"/>
      <c r="D310" s="2"/>
      <c r="E310" s="2"/>
      <c r="F310" s="2"/>
      <c r="G310" s="2"/>
      <c r="H310" s="2"/>
      <c r="I310" s="117"/>
      <c r="J310" s="2"/>
      <c r="K310" s="2"/>
      <c r="L310" s="2"/>
      <c r="M310" s="2"/>
      <c r="N310" s="2"/>
      <c r="O310" s="2"/>
      <c r="P310" s="2"/>
      <c r="Q310" s="2"/>
      <c r="R310" s="2"/>
      <c r="S310" s="2"/>
      <c r="T310" s="2"/>
      <c r="U310" s="2"/>
      <c r="V310" s="1"/>
      <c r="W310" s="1"/>
      <c r="X310" s="1"/>
      <c r="Y310" s="1"/>
      <c r="Z310" s="1"/>
      <c r="AA310" s="1"/>
      <c r="AB310" s="1"/>
      <c r="AC310" s="1"/>
      <c r="AD310" s="1"/>
      <c r="AE310" s="1"/>
      <c r="AF310" s="1"/>
    </row>
    <row r="311">
      <c r="A311" s="1"/>
      <c r="B311" s="2"/>
      <c r="C311" s="117"/>
      <c r="D311" s="2"/>
      <c r="E311" s="2"/>
      <c r="F311" s="2"/>
      <c r="G311" s="2"/>
      <c r="H311" s="2"/>
      <c r="I311" s="117"/>
      <c r="J311" s="2"/>
      <c r="K311" s="2"/>
      <c r="L311" s="2"/>
      <c r="M311" s="2"/>
      <c r="N311" s="2"/>
      <c r="O311" s="2"/>
      <c r="P311" s="2"/>
      <c r="Q311" s="2"/>
      <c r="R311" s="2"/>
      <c r="S311" s="2"/>
      <c r="T311" s="2"/>
      <c r="U311" s="2"/>
      <c r="V311" s="1"/>
      <c r="W311" s="1"/>
      <c r="X311" s="1"/>
      <c r="Y311" s="1"/>
      <c r="Z311" s="1"/>
      <c r="AA311" s="1"/>
      <c r="AB311" s="1"/>
      <c r="AC311" s="1"/>
      <c r="AD311" s="1"/>
      <c r="AE311" s="1"/>
      <c r="AF311" s="1"/>
    </row>
    <row r="312">
      <c r="A312" s="1"/>
      <c r="B312" s="2"/>
      <c r="C312" s="117"/>
      <c r="D312" s="2"/>
      <c r="E312" s="2"/>
      <c r="F312" s="2"/>
      <c r="G312" s="2"/>
      <c r="H312" s="2"/>
      <c r="I312" s="117"/>
      <c r="J312" s="2"/>
      <c r="K312" s="2"/>
      <c r="L312" s="2"/>
      <c r="M312" s="2"/>
      <c r="N312" s="2"/>
      <c r="O312" s="2"/>
      <c r="P312" s="2"/>
      <c r="Q312" s="2"/>
      <c r="R312" s="2"/>
      <c r="S312" s="2"/>
      <c r="T312" s="2"/>
      <c r="U312" s="2"/>
      <c r="V312" s="1"/>
      <c r="W312" s="1"/>
      <c r="X312" s="1"/>
      <c r="Y312" s="1"/>
      <c r="Z312" s="1"/>
      <c r="AA312" s="1"/>
      <c r="AB312" s="1"/>
      <c r="AC312" s="1"/>
      <c r="AD312" s="1"/>
      <c r="AE312" s="1"/>
      <c r="AF312" s="1"/>
    </row>
    <row r="313">
      <c r="A313" s="1"/>
      <c r="B313" s="2"/>
      <c r="C313" s="117"/>
      <c r="D313" s="2"/>
      <c r="E313" s="2"/>
      <c r="F313" s="2"/>
      <c r="G313" s="2"/>
      <c r="H313" s="2"/>
      <c r="I313" s="117"/>
      <c r="J313" s="2"/>
      <c r="K313" s="2"/>
      <c r="L313" s="2"/>
      <c r="M313" s="2"/>
      <c r="N313" s="2"/>
      <c r="O313" s="2"/>
      <c r="P313" s="2"/>
      <c r="Q313" s="2"/>
      <c r="R313" s="2"/>
      <c r="S313" s="2"/>
      <c r="T313" s="2"/>
      <c r="U313" s="2"/>
      <c r="V313" s="1"/>
      <c r="W313" s="1"/>
      <c r="X313" s="1"/>
      <c r="Y313" s="1"/>
      <c r="Z313" s="1"/>
      <c r="AA313" s="1"/>
      <c r="AB313" s="1"/>
      <c r="AC313" s="1"/>
      <c r="AD313" s="1"/>
      <c r="AE313" s="1"/>
      <c r="AF313" s="1"/>
    </row>
    <row r="314">
      <c r="A314" s="1"/>
      <c r="B314" s="2"/>
      <c r="C314" s="117"/>
      <c r="D314" s="2"/>
      <c r="E314" s="2"/>
      <c r="F314" s="2"/>
      <c r="G314" s="2"/>
      <c r="H314" s="2"/>
      <c r="I314" s="117"/>
      <c r="J314" s="2"/>
      <c r="K314" s="2"/>
      <c r="L314" s="2"/>
      <c r="M314" s="2"/>
      <c r="N314" s="2"/>
      <c r="O314" s="2"/>
      <c r="P314" s="2"/>
      <c r="Q314" s="2"/>
      <c r="R314" s="2"/>
      <c r="S314" s="2"/>
      <c r="T314" s="2"/>
      <c r="U314" s="2"/>
      <c r="V314" s="1"/>
      <c r="W314" s="1"/>
      <c r="X314" s="1"/>
      <c r="Y314" s="1"/>
      <c r="Z314" s="1"/>
      <c r="AA314" s="1"/>
      <c r="AB314" s="1"/>
      <c r="AC314" s="1"/>
      <c r="AD314" s="1"/>
      <c r="AE314" s="1"/>
      <c r="AF314" s="1"/>
    </row>
    <row r="315">
      <c r="A315" s="1"/>
      <c r="B315" s="2"/>
      <c r="C315" s="117"/>
      <c r="D315" s="2"/>
      <c r="E315" s="2"/>
      <c r="F315" s="2"/>
      <c r="G315" s="2"/>
      <c r="H315" s="2"/>
      <c r="I315" s="117"/>
      <c r="J315" s="2"/>
      <c r="K315" s="2"/>
      <c r="L315" s="2"/>
      <c r="M315" s="2"/>
      <c r="N315" s="2"/>
      <c r="O315" s="2"/>
      <c r="P315" s="2"/>
      <c r="Q315" s="2"/>
      <c r="R315" s="2"/>
      <c r="S315" s="2"/>
      <c r="T315" s="2"/>
      <c r="U315" s="2"/>
      <c r="V315" s="1"/>
      <c r="W315" s="1"/>
      <c r="X315" s="1"/>
      <c r="Y315" s="1"/>
      <c r="Z315" s="1"/>
      <c r="AA315" s="1"/>
      <c r="AB315" s="1"/>
      <c r="AC315" s="1"/>
      <c r="AD315" s="1"/>
      <c r="AE315" s="1"/>
      <c r="AF315" s="1"/>
    </row>
    <row r="316">
      <c r="A316" s="1"/>
      <c r="B316" s="2"/>
      <c r="C316" s="117"/>
      <c r="D316" s="2"/>
      <c r="E316" s="2"/>
      <c r="F316" s="2"/>
      <c r="G316" s="2"/>
      <c r="H316" s="2"/>
      <c r="I316" s="117"/>
      <c r="J316" s="2"/>
      <c r="K316" s="2"/>
      <c r="L316" s="2"/>
      <c r="M316" s="2"/>
      <c r="N316" s="2"/>
      <c r="O316" s="2"/>
      <c r="P316" s="2"/>
      <c r="Q316" s="2"/>
      <c r="R316" s="2"/>
      <c r="S316" s="2"/>
      <c r="T316" s="2"/>
      <c r="U316" s="2"/>
      <c r="V316" s="1"/>
      <c r="W316" s="1"/>
      <c r="X316" s="1"/>
      <c r="Y316" s="1"/>
      <c r="Z316" s="1"/>
      <c r="AA316" s="1"/>
      <c r="AB316" s="1"/>
      <c r="AC316" s="1"/>
      <c r="AD316" s="1"/>
      <c r="AE316" s="1"/>
      <c r="AF316" s="1"/>
    </row>
    <row r="317">
      <c r="A317" s="1"/>
      <c r="B317" s="2"/>
      <c r="C317" s="117"/>
      <c r="D317" s="2"/>
      <c r="E317" s="2"/>
      <c r="F317" s="2"/>
      <c r="G317" s="2"/>
      <c r="H317" s="2"/>
      <c r="I317" s="117"/>
      <c r="J317" s="2"/>
      <c r="K317" s="2"/>
      <c r="L317" s="2"/>
      <c r="M317" s="2"/>
      <c r="N317" s="2"/>
      <c r="O317" s="2"/>
      <c r="P317" s="2"/>
      <c r="Q317" s="2"/>
      <c r="R317" s="2"/>
      <c r="S317" s="2"/>
      <c r="T317" s="2"/>
      <c r="U317" s="2"/>
      <c r="V317" s="1"/>
      <c r="W317" s="1"/>
      <c r="X317" s="1"/>
      <c r="Y317" s="1"/>
      <c r="Z317" s="1"/>
      <c r="AA317" s="1"/>
      <c r="AB317" s="1"/>
      <c r="AC317" s="1"/>
      <c r="AD317" s="1"/>
      <c r="AE317" s="1"/>
      <c r="AF317" s="1"/>
    </row>
    <row r="318">
      <c r="A318" s="1"/>
      <c r="B318" s="2"/>
      <c r="C318" s="117"/>
      <c r="D318" s="2"/>
      <c r="E318" s="2"/>
      <c r="F318" s="2"/>
      <c r="G318" s="2"/>
      <c r="H318" s="2"/>
      <c r="I318" s="117"/>
      <c r="J318" s="2"/>
      <c r="K318" s="2"/>
      <c r="L318" s="2"/>
      <c r="M318" s="2"/>
      <c r="N318" s="2"/>
      <c r="O318" s="2"/>
      <c r="P318" s="2"/>
      <c r="Q318" s="2"/>
      <c r="R318" s="2"/>
      <c r="S318" s="2"/>
      <c r="T318" s="2"/>
      <c r="U318" s="2"/>
      <c r="V318" s="1"/>
      <c r="W318" s="1"/>
      <c r="X318" s="1"/>
      <c r="Y318" s="1"/>
      <c r="Z318" s="1"/>
      <c r="AA318" s="1"/>
      <c r="AB318" s="1"/>
      <c r="AC318" s="1"/>
      <c r="AD318" s="1"/>
      <c r="AE318" s="1"/>
      <c r="AF318" s="1"/>
    </row>
    <row r="319">
      <c r="A319" s="1"/>
      <c r="B319" s="2"/>
      <c r="C319" s="117"/>
      <c r="D319" s="2"/>
      <c r="E319" s="2"/>
      <c r="F319" s="2"/>
      <c r="G319" s="2"/>
      <c r="H319" s="2"/>
      <c r="I319" s="117"/>
      <c r="J319" s="2"/>
      <c r="K319" s="2"/>
      <c r="L319" s="2"/>
      <c r="M319" s="2"/>
      <c r="N319" s="2"/>
      <c r="O319" s="2"/>
      <c r="P319" s="2"/>
      <c r="Q319" s="2"/>
      <c r="R319" s="2"/>
      <c r="S319" s="2"/>
      <c r="T319" s="2"/>
      <c r="U319" s="2"/>
      <c r="V319" s="1"/>
      <c r="W319" s="1"/>
      <c r="X319" s="1"/>
      <c r="Y319" s="1"/>
      <c r="Z319" s="1"/>
      <c r="AA319" s="1"/>
      <c r="AB319" s="1"/>
      <c r="AC319" s="1"/>
      <c r="AD319" s="1"/>
      <c r="AE319" s="1"/>
      <c r="AF319" s="1"/>
    </row>
    <row r="320">
      <c r="A320" s="1"/>
      <c r="B320" s="2"/>
      <c r="C320" s="117"/>
      <c r="D320" s="2"/>
      <c r="E320" s="2"/>
      <c r="F320" s="2"/>
      <c r="G320" s="2"/>
      <c r="H320" s="2"/>
      <c r="I320" s="117"/>
      <c r="J320" s="2"/>
      <c r="K320" s="2"/>
      <c r="L320" s="2"/>
      <c r="M320" s="2"/>
      <c r="N320" s="2"/>
      <c r="O320" s="2"/>
      <c r="P320" s="2"/>
      <c r="Q320" s="2"/>
      <c r="R320" s="2"/>
      <c r="S320" s="2"/>
      <c r="T320" s="2"/>
      <c r="U320" s="2"/>
      <c r="V320" s="1"/>
      <c r="W320" s="1"/>
      <c r="X320" s="1"/>
      <c r="Y320" s="1"/>
      <c r="Z320" s="1"/>
      <c r="AA320" s="1"/>
      <c r="AB320" s="1"/>
      <c r="AC320" s="1"/>
      <c r="AD320" s="1"/>
      <c r="AE320" s="1"/>
      <c r="AF320" s="1"/>
    </row>
    <row r="321">
      <c r="A321" s="1"/>
      <c r="B321" s="2"/>
      <c r="C321" s="117"/>
      <c r="D321" s="2"/>
      <c r="E321" s="2"/>
      <c r="F321" s="2"/>
      <c r="G321" s="2"/>
      <c r="H321" s="2"/>
      <c r="I321" s="117"/>
      <c r="J321" s="2"/>
      <c r="K321" s="2"/>
      <c r="L321" s="2"/>
      <c r="M321" s="2"/>
      <c r="N321" s="2"/>
      <c r="O321" s="2"/>
      <c r="P321" s="2"/>
      <c r="Q321" s="2"/>
      <c r="R321" s="2"/>
      <c r="S321" s="2"/>
      <c r="T321" s="2"/>
      <c r="U321" s="2"/>
      <c r="V321" s="1"/>
      <c r="W321" s="1"/>
      <c r="X321" s="1"/>
      <c r="Y321" s="1"/>
      <c r="Z321" s="1"/>
      <c r="AA321" s="1"/>
      <c r="AB321" s="1"/>
      <c r="AC321" s="1"/>
      <c r="AD321" s="1"/>
      <c r="AE321" s="1"/>
      <c r="AF321" s="1"/>
    </row>
    <row r="322">
      <c r="A322" s="1"/>
      <c r="B322" s="2"/>
      <c r="C322" s="117"/>
      <c r="D322" s="2"/>
      <c r="E322" s="2"/>
      <c r="F322" s="2"/>
      <c r="G322" s="2"/>
      <c r="H322" s="2"/>
      <c r="I322" s="117"/>
      <c r="J322" s="2"/>
      <c r="K322" s="2"/>
      <c r="L322" s="2"/>
      <c r="M322" s="2"/>
      <c r="N322" s="2"/>
      <c r="O322" s="2"/>
      <c r="P322" s="2"/>
      <c r="Q322" s="2"/>
      <c r="R322" s="2"/>
      <c r="S322" s="2"/>
      <c r="T322" s="2"/>
      <c r="U322" s="2"/>
      <c r="V322" s="1"/>
      <c r="W322" s="1"/>
      <c r="X322" s="1"/>
      <c r="Y322" s="1"/>
      <c r="Z322" s="1"/>
      <c r="AA322" s="1"/>
      <c r="AB322" s="1"/>
      <c r="AC322" s="1"/>
      <c r="AD322" s="1"/>
      <c r="AE322" s="1"/>
      <c r="AF322" s="1"/>
    </row>
    <row r="323">
      <c r="A323" s="1"/>
      <c r="B323" s="2"/>
      <c r="C323" s="117"/>
      <c r="D323" s="2"/>
      <c r="E323" s="2"/>
      <c r="F323" s="2"/>
      <c r="G323" s="2"/>
      <c r="H323" s="2"/>
      <c r="I323" s="117"/>
      <c r="J323" s="2"/>
      <c r="K323" s="2"/>
      <c r="L323" s="2"/>
      <c r="M323" s="2"/>
      <c r="N323" s="2"/>
      <c r="O323" s="2"/>
      <c r="P323" s="2"/>
      <c r="Q323" s="2"/>
      <c r="R323" s="2"/>
      <c r="S323" s="2"/>
      <c r="T323" s="2"/>
      <c r="U323" s="2"/>
      <c r="V323" s="1"/>
      <c r="W323" s="1"/>
      <c r="X323" s="1"/>
      <c r="Y323" s="1"/>
      <c r="Z323" s="1"/>
      <c r="AA323" s="1"/>
      <c r="AB323" s="1"/>
      <c r="AC323" s="1"/>
      <c r="AD323" s="1"/>
      <c r="AE323" s="1"/>
      <c r="AF323" s="1"/>
    </row>
    <row r="324">
      <c r="A324" s="1"/>
      <c r="B324" s="2"/>
      <c r="C324" s="117"/>
      <c r="D324" s="2"/>
      <c r="E324" s="2"/>
      <c r="F324" s="2"/>
      <c r="G324" s="2"/>
      <c r="H324" s="2"/>
      <c r="I324" s="117"/>
      <c r="J324" s="2"/>
      <c r="K324" s="2"/>
      <c r="L324" s="2"/>
      <c r="M324" s="2"/>
      <c r="N324" s="2"/>
      <c r="O324" s="2"/>
      <c r="P324" s="2"/>
      <c r="Q324" s="2"/>
      <c r="R324" s="2"/>
      <c r="S324" s="2"/>
      <c r="T324" s="2"/>
      <c r="U324" s="2"/>
      <c r="V324" s="1"/>
      <c r="W324" s="1"/>
      <c r="X324" s="1"/>
      <c r="Y324" s="1"/>
      <c r="Z324" s="1"/>
      <c r="AA324" s="1"/>
      <c r="AB324" s="1"/>
      <c r="AC324" s="1"/>
      <c r="AD324" s="1"/>
      <c r="AE324" s="1"/>
      <c r="AF324" s="1"/>
    </row>
    <row r="325">
      <c r="A325" s="1"/>
      <c r="B325" s="2"/>
      <c r="C325" s="117"/>
      <c r="D325" s="2"/>
      <c r="E325" s="2"/>
      <c r="F325" s="2"/>
      <c r="G325" s="2"/>
      <c r="H325" s="2"/>
      <c r="I325" s="117"/>
      <c r="J325" s="2"/>
      <c r="K325" s="2"/>
      <c r="L325" s="2"/>
      <c r="M325" s="2"/>
      <c r="N325" s="2"/>
      <c r="O325" s="2"/>
      <c r="P325" s="2"/>
      <c r="Q325" s="2"/>
      <c r="R325" s="2"/>
      <c r="S325" s="2"/>
      <c r="T325" s="2"/>
      <c r="U325" s="2"/>
      <c r="V325" s="1"/>
      <c r="W325" s="1"/>
      <c r="X325" s="1"/>
      <c r="Y325" s="1"/>
      <c r="Z325" s="1"/>
      <c r="AA325" s="1"/>
      <c r="AB325" s="1"/>
      <c r="AC325" s="1"/>
      <c r="AD325" s="1"/>
      <c r="AE325" s="1"/>
      <c r="AF325" s="1"/>
    </row>
    <row r="326">
      <c r="A326" s="1"/>
      <c r="B326" s="2"/>
      <c r="C326" s="117"/>
      <c r="D326" s="2"/>
      <c r="E326" s="2"/>
      <c r="F326" s="2"/>
      <c r="G326" s="2"/>
      <c r="H326" s="2"/>
      <c r="I326" s="117"/>
      <c r="J326" s="2"/>
      <c r="K326" s="2"/>
      <c r="L326" s="2"/>
      <c r="M326" s="2"/>
      <c r="N326" s="2"/>
      <c r="O326" s="2"/>
      <c r="P326" s="2"/>
      <c r="Q326" s="2"/>
      <c r="R326" s="2"/>
      <c r="S326" s="2"/>
      <c r="T326" s="2"/>
      <c r="U326" s="2"/>
      <c r="V326" s="1"/>
      <c r="W326" s="1"/>
      <c r="X326" s="1"/>
      <c r="Y326" s="1"/>
      <c r="Z326" s="1"/>
      <c r="AA326" s="1"/>
      <c r="AB326" s="1"/>
      <c r="AC326" s="1"/>
      <c r="AD326" s="1"/>
      <c r="AE326" s="1"/>
      <c r="AF326" s="1"/>
    </row>
    <row r="327">
      <c r="A327" s="1"/>
      <c r="B327" s="2"/>
      <c r="C327" s="117"/>
      <c r="D327" s="2"/>
      <c r="E327" s="2"/>
      <c r="F327" s="2"/>
      <c r="G327" s="2"/>
      <c r="H327" s="2"/>
      <c r="I327" s="117"/>
      <c r="J327" s="2"/>
      <c r="K327" s="2"/>
      <c r="L327" s="2"/>
      <c r="M327" s="2"/>
      <c r="N327" s="2"/>
      <c r="O327" s="2"/>
      <c r="P327" s="2"/>
      <c r="Q327" s="2"/>
      <c r="R327" s="2"/>
      <c r="S327" s="2"/>
      <c r="T327" s="2"/>
      <c r="U327" s="2"/>
      <c r="V327" s="1"/>
      <c r="W327" s="1"/>
      <c r="X327" s="1"/>
      <c r="Y327" s="1"/>
      <c r="Z327" s="1"/>
      <c r="AA327" s="1"/>
      <c r="AB327" s="1"/>
      <c r="AC327" s="1"/>
      <c r="AD327" s="1"/>
      <c r="AE327" s="1"/>
      <c r="AF327" s="1"/>
    </row>
    <row r="328">
      <c r="A328" s="1"/>
      <c r="B328" s="2"/>
      <c r="C328" s="117"/>
      <c r="D328" s="2"/>
      <c r="E328" s="2"/>
      <c r="F328" s="2"/>
      <c r="G328" s="2"/>
      <c r="H328" s="2"/>
      <c r="I328" s="117"/>
      <c r="J328" s="2"/>
      <c r="K328" s="2"/>
      <c r="L328" s="2"/>
      <c r="M328" s="2"/>
      <c r="N328" s="2"/>
      <c r="O328" s="2"/>
      <c r="P328" s="2"/>
      <c r="Q328" s="2"/>
      <c r="R328" s="2"/>
      <c r="S328" s="2"/>
      <c r="T328" s="2"/>
      <c r="U328" s="2"/>
      <c r="V328" s="1"/>
      <c r="W328" s="1"/>
      <c r="X328" s="1"/>
      <c r="Y328" s="1"/>
      <c r="Z328" s="1"/>
      <c r="AA328" s="1"/>
      <c r="AB328" s="1"/>
      <c r="AC328" s="1"/>
      <c r="AD328" s="1"/>
      <c r="AE328" s="1"/>
      <c r="AF328" s="1"/>
    </row>
    <row r="329">
      <c r="A329" s="1"/>
      <c r="B329" s="2"/>
      <c r="C329" s="117"/>
      <c r="D329" s="2"/>
      <c r="E329" s="2"/>
      <c r="F329" s="2"/>
      <c r="G329" s="2"/>
      <c r="H329" s="2"/>
      <c r="I329" s="117"/>
      <c r="J329" s="2"/>
      <c r="K329" s="2"/>
      <c r="L329" s="2"/>
      <c r="M329" s="2"/>
      <c r="N329" s="2"/>
      <c r="O329" s="2"/>
      <c r="P329" s="2"/>
      <c r="Q329" s="2"/>
      <c r="R329" s="2"/>
      <c r="S329" s="2"/>
      <c r="T329" s="2"/>
      <c r="U329" s="2"/>
      <c r="V329" s="1"/>
      <c r="W329" s="1"/>
      <c r="X329" s="1"/>
      <c r="Y329" s="1"/>
      <c r="Z329" s="1"/>
      <c r="AA329" s="1"/>
      <c r="AB329" s="1"/>
      <c r="AC329" s="1"/>
      <c r="AD329" s="1"/>
      <c r="AE329" s="1"/>
      <c r="AF329" s="1"/>
    </row>
    <row r="330">
      <c r="A330" s="1"/>
      <c r="B330" s="2"/>
      <c r="C330" s="117"/>
      <c r="D330" s="2"/>
      <c r="E330" s="2"/>
      <c r="F330" s="2"/>
      <c r="G330" s="2"/>
      <c r="H330" s="2"/>
      <c r="I330" s="117"/>
      <c r="J330" s="2"/>
      <c r="K330" s="2"/>
      <c r="L330" s="2"/>
      <c r="M330" s="2"/>
      <c r="N330" s="2"/>
      <c r="O330" s="2"/>
      <c r="P330" s="2"/>
      <c r="Q330" s="2"/>
      <c r="R330" s="2"/>
      <c r="S330" s="2"/>
      <c r="T330" s="2"/>
      <c r="U330" s="2"/>
      <c r="V330" s="1"/>
      <c r="W330" s="1"/>
      <c r="X330" s="1"/>
      <c r="Y330" s="1"/>
      <c r="Z330" s="1"/>
      <c r="AA330" s="1"/>
      <c r="AB330" s="1"/>
      <c r="AC330" s="1"/>
      <c r="AD330" s="1"/>
      <c r="AE330" s="1"/>
      <c r="AF330" s="1"/>
    </row>
    <row r="331">
      <c r="A331" s="1"/>
      <c r="B331" s="2"/>
      <c r="C331" s="117"/>
      <c r="D331" s="2"/>
      <c r="E331" s="2"/>
      <c r="F331" s="2"/>
      <c r="G331" s="2"/>
      <c r="H331" s="2"/>
      <c r="I331" s="117"/>
      <c r="J331" s="2"/>
      <c r="K331" s="2"/>
      <c r="L331" s="2"/>
      <c r="M331" s="2"/>
      <c r="N331" s="2"/>
      <c r="O331" s="2"/>
      <c r="P331" s="2"/>
      <c r="Q331" s="2"/>
      <c r="R331" s="2"/>
      <c r="S331" s="2"/>
      <c r="T331" s="2"/>
      <c r="U331" s="2"/>
      <c r="V331" s="1"/>
      <c r="W331" s="1"/>
      <c r="X331" s="1"/>
      <c r="Y331" s="1"/>
      <c r="Z331" s="1"/>
      <c r="AA331" s="1"/>
      <c r="AB331" s="1"/>
      <c r="AC331" s="1"/>
      <c r="AD331" s="1"/>
      <c r="AE331" s="1"/>
      <c r="AF331" s="1"/>
    </row>
    <row r="332">
      <c r="A332" s="1"/>
      <c r="B332" s="2"/>
      <c r="C332" s="117"/>
      <c r="D332" s="2"/>
      <c r="E332" s="2"/>
      <c r="F332" s="2"/>
      <c r="G332" s="2"/>
      <c r="H332" s="2"/>
      <c r="I332" s="117"/>
      <c r="J332" s="2"/>
      <c r="K332" s="2"/>
      <c r="L332" s="2"/>
      <c r="M332" s="2"/>
      <c r="N332" s="2"/>
      <c r="O332" s="2"/>
      <c r="P332" s="2"/>
      <c r="Q332" s="2"/>
      <c r="R332" s="2"/>
      <c r="S332" s="2"/>
      <c r="T332" s="2"/>
      <c r="U332" s="2"/>
      <c r="V332" s="1"/>
      <c r="W332" s="1"/>
      <c r="X332" s="1"/>
      <c r="Y332" s="1"/>
      <c r="Z332" s="1"/>
      <c r="AA332" s="1"/>
      <c r="AB332" s="1"/>
      <c r="AC332" s="1"/>
      <c r="AD332" s="1"/>
      <c r="AE332" s="1"/>
      <c r="AF332" s="1"/>
    </row>
    <row r="333">
      <c r="A333" s="1"/>
      <c r="B333" s="2"/>
      <c r="C333" s="117"/>
      <c r="D333" s="2"/>
      <c r="E333" s="2"/>
      <c r="F333" s="2"/>
      <c r="G333" s="2"/>
      <c r="H333" s="2"/>
      <c r="I333" s="117"/>
      <c r="J333" s="2"/>
      <c r="K333" s="2"/>
      <c r="L333" s="2"/>
      <c r="M333" s="2"/>
      <c r="N333" s="2"/>
      <c r="O333" s="2"/>
      <c r="P333" s="2"/>
      <c r="Q333" s="2"/>
      <c r="R333" s="2"/>
      <c r="S333" s="2"/>
      <c r="T333" s="2"/>
      <c r="U333" s="2"/>
      <c r="V333" s="1"/>
      <c r="W333" s="1"/>
      <c r="X333" s="1"/>
      <c r="Y333" s="1"/>
      <c r="Z333" s="1"/>
      <c r="AA333" s="1"/>
      <c r="AB333" s="1"/>
      <c r="AC333" s="1"/>
      <c r="AD333" s="1"/>
      <c r="AE333" s="1"/>
      <c r="AF333" s="1"/>
    </row>
    <row r="334">
      <c r="A334" s="1"/>
      <c r="B334" s="2"/>
      <c r="C334" s="117"/>
      <c r="D334" s="2"/>
      <c r="E334" s="2"/>
      <c r="F334" s="2"/>
      <c r="G334" s="2"/>
      <c r="H334" s="2"/>
      <c r="I334" s="117"/>
      <c r="J334" s="2"/>
      <c r="K334" s="2"/>
      <c r="L334" s="2"/>
      <c r="M334" s="2"/>
      <c r="N334" s="2"/>
      <c r="O334" s="2"/>
      <c r="P334" s="2"/>
      <c r="Q334" s="2"/>
      <c r="R334" s="2"/>
      <c r="S334" s="2"/>
      <c r="T334" s="2"/>
      <c r="U334" s="2"/>
      <c r="V334" s="1"/>
      <c r="W334" s="1"/>
      <c r="X334" s="1"/>
      <c r="Y334" s="1"/>
      <c r="Z334" s="1"/>
      <c r="AA334" s="1"/>
      <c r="AB334" s="1"/>
      <c r="AC334" s="1"/>
      <c r="AD334" s="1"/>
      <c r="AE334" s="1"/>
      <c r="AF334" s="1"/>
    </row>
    <row r="335">
      <c r="A335" s="1"/>
      <c r="B335" s="2"/>
      <c r="C335" s="117"/>
      <c r="D335" s="2"/>
      <c r="E335" s="2"/>
      <c r="F335" s="2"/>
      <c r="G335" s="2"/>
      <c r="H335" s="2"/>
      <c r="I335" s="117"/>
      <c r="J335" s="2"/>
      <c r="K335" s="2"/>
      <c r="L335" s="2"/>
      <c r="M335" s="2"/>
      <c r="N335" s="2"/>
      <c r="O335" s="2"/>
      <c r="P335" s="2"/>
      <c r="Q335" s="2"/>
      <c r="R335" s="2"/>
      <c r="S335" s="2"/>
      <c r="T335" s="2"/>
      <c r="U335" s="2"/>
      <c r="V335" s="1"/>
      <c r="W335" s="1"/>
      <c r="X335" s="1"/>
      <c r="Y335" s="1"/>
      <c r="Z335" s="1"/>
      <c r="AA335" s="1"/>
      <c r="AB335" s="1"/>
      <c r="AC335" s="1"/>
      <c r="AD335" s="1"/>
      <c r="AE335" s="1"/>
      <c r="AF335" s="1"/>
    </row>
    <row r="336">
      <c r="A336" s="1"/>
      <c r="B336" s="2"/>
      <c r="C336" s="117"/>
      <c r="D336" s="2"/>
      <c r="E336" s="2"/>
      <c r="F336" s="2"/>
      <c r="G336" s="2"/>
      <c r="H336" s="2"/>
      <c r="I336" s="117"/>
      <c r="J336" s="2"/>
      <c r="K336" s="2"/>
      <c r="L336" s="2"/>
      <c r="M336" s="2"/>
      <c r="N336" s="2"/>
      <c r="O336" s="2"/>
      <c r="P336" s="2"/>
      <c r="Q336" s="2"/>
      <c r="R336" s="2"/>
      <c r="S336" s="2"/>
      <c r="T336" s="2"/>
      <c r="U336" s="2"/>
      <c r="V336" s="1"/>
      <c r="W336" s="1"/>
      <c r="X336" s="1"/>
      <c r="Y336" s="1"/>
      <c r="Z336" s="1"/>
      <c r="AA336" s="1"/>
      <c r="AB336" s="1"/>
      <c r="AC336" s="1"/>
      <c r="AD336" s="1"/>
      <c r="AE336" s="1"/>
      <c r="AF336" s="1"/>
    </row>
    <row r="337">
      <c r="A337" s="1"/>
      <c r="B337" s="2"/>
      <c r="C337" s="117"/>
      <c r="D337" s="2"/>
      <c r="E337" s="2"/>
      <c r="F337" s="2"/>
      <c r="G337" s="2"/>
      <c r="H337" s="2"/>
      <c r="I337" s="117"/>
      <c r="J337" s="2"/>
      <c r="K337" s="2"/>
      <c r="L337" s="2"/>
      <c r="M337" s="2"/>
      <c r="N337" s="2"/>
      <c r="O337" s="2"/>
      <c r="P337" s="2"/>
      <c r="Q337" s="2"/>
      <c r="R337" s="2"/>
      <c r="S337" s="2"/>
      <c r="T337" s="2"/>
      <c r="U337" s="2"/>
      <c r="V337" s="1"/>
      <c r="W337" s="1"/>
      <c r="X337" s="1"/>
      <c r="Y337" s="1"/>
      <c r="Z337" s="1"/>
      <c r="AA337" s="1"/>
      <c r="AB337" s="1"/>
      <c r="AC337" s="1"/>
      <c r="AD337" s="1"/>
      <c r="AE337" s="1"/>
      <c r="AF337" s="1"/>
    </row>
    <row r="338">
      <c r="A338" s="1"/>
      <c r="B338" s="2"/>
      <c r="C338" s="117"/>
      <c r="D338" s="2"/>
      <c r="E338" s="2"/>
      <c r="F338" s="2"/>
      <c r="G338" s="2"/>
      <c r="H338" s="2"/>
      <c r="I338" s="117"/>
      <c r="J338" s="2"/>
      <c r="K338" s="2"/>
      <c r="L338" s="2"/>
      <c r="M338" s="2"/>
      <c r="N338" s="2"/>
      <c r="O338" s="2"/>
      <c r="P338" s="2"/>
      <c r="Q338" s="2"/>
      <c r="R338" s="2"/>
      <c r="S338" s="2"/>
      <c r="T338" s="2"/>
      <c r="U338" s="2"/>
      <c r="V338" s="1"/>
      <c r="W338" s="1"/>
      <c r="X338" s="1"/>
      <c r="Y338" s="1"/>
      <c r="Z338" s="1"/>
      <c r="AA338" s="1"/>
      <c r="AB338" s="1"/>
      <c r="AC338" s="1"/>
      <c r="AD338" s="1"/>
      <c r="AE338" s="1"/>
      <c r="AF338" s="1"/>
    </row>
    <row r="339">
      <c r="A339" s="1"/>
      <c r="B339" s="2"/>
      <c r="C339" s="117"/>
      <c r="D339" s="2"/>
      <c r="E339" s="2"/>
      <c r="F339" s="2"/>
      <c r="G339" s="2"/>
      <c r="H339" s="2"/>
      <c r="I339" s="117"/>
      <c r="J339" s="2"/>
      <c r="K339" s="2"/>
      <c r="L339" s="2"/>
      <c r="M339" s="2"/>
      <c r="N339" s="2"/>
      <c r="O339" s="2"/>
      <c r="P339" s="2"/>
      <c r="Q339" s="2"/>
      <c r="R339" s="2"/>
      <c r="S339" s="2"/>
      <c r="T339" s="2"/>
      <c r="U339" s="2"/>
      <c r="V339" s="1"/>
      <c r="W339" s="1"/>
      <c r="X339" s="1"/>
      <c r="Y339" s="1"/>
      <c r="Z339" s="1"/>
      <c r="AA339" s="1"/>
      <c r="AB339" s="1"/>
      <c r="AC339" s="1"/>
      <c r="AD339" s="1"/>
      <c r="AE339" s="1"/>
      <c r="AF339" s="1"/>
    </row>
    <row r="340">
      <c r="A340" s="1"/>
      <c r="B340" s="2"/>
      <c r="C340" s="117"/>
      <c r="D340" s="2"/>
      <c r="E340" s="2"/>
      <c r="F340" s="2"/>
      <c r="G340" s="2"/>
      <c r="H340" s="2"/>
      <c r="I340" s="117"/>
      <c r="J340" s="2"/>
      <c r="K340" s="2"/>
      <c r="L340" s="2"/>
      <c r="M340" s="2"/>
      <c r="N340" s="2"/>
      <c r="O340" s="2"/>
      <c r="P340" s="2"/>
      <c r="Q340" s="2"/>
      <c r="R340" s="2"/>
      <c r="S340" s="2"/>
      <c r="T340" s="2"/>
      <c r="U340" s="2"/>
      <c r="V340" s="1"/>
      <c r="W340" s="1"/>
      <c r="X340" s="1"/>
      <c r="Y340" s="1"/>
      <c r="Z340" s="1"/>
      <c r="AA340" s="1"/>
      <c r="AB340" s="1"/>
      <c r="AC340" s="1"/>
      <c r="AD340" s="1"/>
      <c r="AE340" s="1"/>
      <c r="AF340" s="1"/>
    </row>
    <row r="341">
      <c r="A341" s="1"/>
      <c r="B341" s="2"/>
      <c r="C341" s="117"/>
      <c r="D341" s="2"/>
      <c r="E341" s="2"/>
      <c r="F341" s="2"/>
      <c r="G341" s="2"/>
      <c r="H341" s="2"/>
      <c r="I341" s="117"/>
      <c r="J341" s="2"/>
      <c r="K341" s="2"/>
      <c r="L341" s="2"/>
      <c r="M341" s="2"/>
      <c r="N341" s="2"/>
      <c r="O341" s="2"/>
      <c r="P341" s="2"/>
      <c r="Q341" s="2"/>
      <c r="R341" s="2"/>
      <c r="S341" s="2"/>
      <c r="T341" s="2"/>
      <c r="U341" s="2"/>
      <c r="V341" s="1"/>
      <c r="W341" s="1"/>
      <c r="X341" s="1"/>
      <c r="Y341" s="1"/>
      <c r="Z341" s="1"/>
      <c r="AA341" s="1"/>
      <c r="AB341" s="1"/>
      <c r="AC341" s="1"/>
      <c r="AD341" s="1"/>
      <c r="AE341" s="1"/>
      <c r="AF341" s="1"/>
    </row>
    <row r="342">
      <c r="A342" s="1"/>
      <c r="B342" s="2"/>
      <c r="C342" s="117"/>
      <c r="D342" s="2"/>
      <c r="E342" s="2"/>
      <c r="F342" s="2"/>
      <c r="G342" s="2"/>
      <c r="H342" s="2"/>
      <c r="I342" s="117"/>
      <c r="J342" s="2"/>
      <c r="K342" s="2"/>
      <c r="L342" s="2"/>
      <c r="M342" s="2"/>
      <c r="N342" s="2"/>
      <c r="O342" s="2"/>
      <c r="P342" s="2"/>
      <c r="Q342" s="2"/>
      <c r="R342" s="2"/>
      <c r="S342" s="2"/>
      <c r="T342" s="2"/>
      <c r="U342" s="2"/>
      <c r="V342" s="1"/>
      <c r="W342" s="1"/>
      <c r="X342" s="1"/>
      <c r="Y342" s="1"/>
      <c r="Z342" s="1"/>
      <c r="AA342" s="1"/>
      <c r="AB342" s="1"/>
      <c r="AC342" s="1"/>
      <c r="AD342" s="1"/>
      <c r="AE342" s="1"/>
      <c r="AF342" s="1"/>
    </row>
    <row r="343">
      <c r="A343" s="1"/>
      <c r="B343" s="2"/>
      <c r="C343" s="117"/>
      <c r="D343" s="2"/>
      <c r="E343" s="2"/>
      <c r="F343" s="2"/>
      <c r="G343" s="2"/>
      <c r="H343" s="2"/>
      <c r="I343" s="117"/>
      <c r="J343" s="2"/>
      <c r="K343" s="2"/>
      <c r="L343" s="2"/>
      <c r="M343" s="2"/>
      <c r="N343" s="2"/>
      <c r="O343" s="2"/>
      <c r="P343" s="2"/>
      <c r="Q343" s="2"/>
      <c r="R343" s="2"/>
      <c r="S343" s="2"/>
      <c r="T343" s="2"/>
      <c r="U343" s="2"/>
      <c r="V343" s="1"/>
      <c r="W343" s="1"/>
      <c r="X343" s="1"/>
      <c r="Y343" s="1"/>
      <c r="Z343" s="1"/>
      <c r="AA343" s="1"/>
      <c r="AB343" s="1"/>
      <c r="AC343" s="1"/>
      <c r="AD343" s="1"/>
      <c r="AE343" s="1"/>
      <c r="AF343" s="1"/>
    </row>
    <row r="344">
      <c r="A344" s="1"/>
      <c r="B344" s="2"/>
      <c r="C344" s="117"/>
      <c r="D344" s="2"/>
      <c r="E344" s="2"/>
      <c r="F344" s="2"/>
      <c r="G344" s="2"/>
      <c r="H344" s="2"/>
      <c r="I344" s="117"/>
      <c r="J344" s="2"/>
      <c r="K344" s="2"/>
      <c r="L344" s="2"/>
      <c r="M344" s="2"/>
      <c r="N344" s="2"/>
      <c r="O344" s="2"/>
      <c r="P344" s="2"/>
      <c r="Q344" s="2"/>
      <c r="R344" s="2"/>
      <c r="S344" s="2"/>
      <c r="T344" s="2"/>
      <c r="U344" s="2"/>
      <c r="V344" s="1"/>
      <c r="W344" s="1"/>
      <c r="X344" s="1"/>
      <c r="Y344" s="1"/>
      <c r="Z344" s="1"/>
      <c r="AA344" s="1"/>
      <c r="AB344" s="1"/>
      <c r="AC344" s="1"/>
      <c r="AD344" s="1"/>
      <c r="AE344" s="1"/>
      <c r="AF344" s="1"/>
    </row>
    <row r="345">
      <c r="A345" s="1"/>
      <c r="B345" s="2"/>
      <c r="C345" s="117"/>
      <c r="D345" s="2"/>
      <c r="E345" s="2"/>
      <c r="F345" s="2"/>
      <c r="G345" s="2"/>
      <c r="H345" s="2"/>
      <c r="I345" s="117"/>
      <c r="J345" s="2"/>
      <c r="K345" s="2"/>
      <c r="L345" s="2"/>
      <c r="M345" s="2"/>
      <c r="N345" s="2"/>
      <c r="O345" s="2"/>
      <c r="P345" s="2"/>
      <c r="Q345" s="2"/>
      <c r="R345" s="2"/>
      <c r="S345" s="2"/>
      <c r="T345" s="2"/>
      <c r="U345" s="2"/>
      <c r="V345" s="1"/>
      <c r="W345" s="1"/>
      <c r="X345" s="1"/>
      <c r="Y345" s="1"/>
      <c r="Z345" s="1"/>
      <c r="AA345" s="1"/>
      <c r="AB345" s="1"/>
      <c r="AC345" s="1"/>
      <c r="AD345" s="1"/>
      <c r="AE345" s="1"/>
      <c r="AF345" s="1"/>
    </row>
    <row r="346">
      <c r="A346" s="1"/>
      <c r="B346" s="2"/>
      <c r="C346" s="117"/>
      <c r="D346" s="2"/>
      <c r="E346" s="2"/>
      <c r="F346" s="2"/>
      <c r="G346" s="2"/>
      <c r="H346" s="2"/>
      <c r="I346" s="117"/>
      <c r="J346" s="2"/>
      <c r="K346" s="2"/>
      <c r="L346" s="2"/>
      <c r="M346" s="2"/>
      <c r="N346" s="2"/>
      <c r="O346" s="2"/>
      <c r="P346" s="2"/>
      <c r="Q346" s="2"/>
      <c r="R346" s="2"/>
      <c r="S346" s="2"/>
      <c r="T346" s="2"/>
      <c r="U346" s="2"/>
      <c r="V346" s="1"/>
      <c r="W346" s="1"/>
      <c r="X346" s="1"/>
      <c r="Y346" s="1"/>
      <c r="Z346" s="1"/>
      <c r="AA346" s="1"/>
      <c r="AB346" s="1"/>
      <c r="AC346" s="1"/>
      <c r="AD346" s="1"/>
      <c r="AE346" s="1"/>
      <c r="AF346" s="1"/>
    </row>
    <row r="347">
      <c r="A347" s="1"/>
      <c r="B347" s="2"/>
      <c r="C347" s="117"/>
      <c r="D347" s="2"/>
      <c r="E347" s="2"/>
      <c r="F347" s="2"/>
      <c r="G347" s="2"/>
      <c r="H347" s="2"/>
      <c r="I347" s="117"/>
      <c r="J347" s="2"/>
      <c r="K347" s="2"/>
      <c r="L347" s="2"/>
      <c r="M347" s="2"/>
      <c r="N347" s="2"/>
      <c r="O347" s="2"/>
      <c r="P347" s="2"/>
      <c r="Q347" s="2"/>
      <c r="R347" s="2"/>
      <c r="S347" s="2"/>
      <c r="T347" s="2"/>
      <c r="U347" s="2"/>
      <c r="V347" s="1"/>
      <c r="W347" s="1"/>
      <c r="X347" s="1"/>
      <c r="Y347" s="1"/>
      <c r="Z347" s="1"/>
      <c r="AA347" s="1"/>
      <c r="AB347" s="1"/>
      <c r="AC347" s="1"/>
      <c r="AD347" s="1"/>
      <c r="AE347" s="1"/>
      <c r="AF347" s="1"/>
    </row>
    <row r="348">
      <c r="A348" s="1"/>
      <c r="B348" s="2"/>
      <c r="C348" s="117"/>
      <c r="D348" s="2"/>
      <c r="E348" s="2"/>
      <c r="F348" s="2"/>
      <c r="G348" s="2"/>
      <c r="H348" s="2"/>
      <c r="I348" s="117"/>
      <c r="J348" s="2"/>
      <c r="K348" s="2"/>
      <c r="L348" s="2"/>
      <c r="M348" s="2"/>
      <c r="N348" s="2"/>
      <c r="O348" s="2"/>
      <c r="P348" s="2"/>
      <c r="Q348" s="2"/>
      <c r="R348" s="2"/>
      <c r="S348" s="2"/>
      <c r="T348" s="2"/>
      <c r="U348" s="2"/>
      <c r="V348" s="1"/>
      <c r="W348" s="1"/>
      <c r="X348" s="1"/>
      <c r="Y348" s="1"/>
      <c r="Z348" s="1"/>
      <c r="AA348" s="1"/>
      <c r="AB348" s="1"/>
      <c r="AC348" s="1"/>
      <c r="AD348" s="1"/>
      <c r="AE348" s="1"/>
      <c r="AF348" s="1"/>
    </row>
    <row r="349">
      <c r="A349" s="1"/>
      <c r="B349" s="2"/>
      <c r="C349" s="117"/>
      <c r="D349" s="2"/>
      <c r="E349" s="2"/>
      <c r="F349" s="2"/>
      <c r="G349" s="2"/>
      <c r="H349" s="2"/>
      <c r="I349" s="117"/>
      <c r="J349" s="2"/>
      <c r="K349" s="2"/>
      <c r="L349" s="2"/>
      <c r="M349" s="2"/>
      <c r="N349" s="2"/>
      <c r="O349" s="2"/>
      <c r="P349" s="2"/>
      <c r="Q349" s="2"/>
      <c r="R349" s="2"/>
      <c r="S349" s="2"/>
      <c r="T349" s="2"/>
      <c r="U349" s="2"/>
      <c r="V349" s="1"/>
      <c r="W349" s="1"/>
      <c r="X349" s="1"/>
      <c r="Y349" s="1"/>
      <c r="Z349" s="1"/>
      <c r="AA349" s="1"/>
      <c r="AB349" s="1"/>
      <c r="AC349" s="1"/>
      <c r="AD349" s="1"/>
      <c r="AE349" s="1"/>
      <c r="AF349" s="1"/>
    </row>
    <row r="350">
      <c r="A350" s="1"/>
      <c r="B350" s="2"/>
      <c r="C350" s="117"/>
      <c r="D350" s="2"/>
      <c r="E350" s="2"/>
      <c r="F350" s="2"/>
      <c r="G350" s="2"/>
      <c r="H350" s="2"/>
      <c r="I350" s="117"/>
      <c r="J350" s="2"/>
      <c r="K350" s="2"/>
      <c r="L350" s="2"/>
      <c r="M350" s="2"/>
      <c r="N350" s="2"/>
      <c r="O350" s="2"/>
      <c r="P350" s="2"/>
      <c r="Q350" s="2"/>
      <c r="R350" s="2"/>
      <c r="S350" s="2"/>
      <c r="T350" s="2"/>
      <c r="U350" s="2"/>
      <c r="V350" s="1"/>
      <c r="W350" s="1"/>
      <c r="X350" s="1"/>
      <c r="Y350" s="1"/>
      <c r="Z350" s="1"/>
      <c r="AA350" s="1"/>
      <c r="AB350" s="1"/>
      <c r="AC350" s="1"/>
      <c r="AD350" s="1"/>
      <c r="AE350" s="1"/>
      <c r="AF350" s="1"/>
    </row>
    <row r="351">
      <c r="A351" s="1"/>
      <c r="B351" s="2"/>
      <c r="C351" s="117"/>
      <c r="D351" s="2"/>
      <c r="E351" s="2"/>
      <c r="F351" s="2"/>
      <c r="G351" s="2"/>
      <c r="H351" s="2"/>
      <c r="I351" s="117"/>
      <c r="J351" s="2"/>
      <c r="K351" s="2"/>
      <c r="L351" s="2"/>
      <c r="M351" s="2"/>
      <c r="N351" s="2"/>
      <c r="O351" s="2"/>
      <c r="P351" s="2"/>
      <c r="Q351" s="2"/>
      <c r="R351" s="2"/>
      <c r="S351" s="2"/>
      <c r="T351" s="2"/>
      <c r="U351" s="2"/>
      <c r="V351" s="1"/>
      <c r="W351" s="1"/>
      <c r="X351" s="1"/>
      <c r="Y351" s="1"/>
      <c r="Z351" s="1"/>
      <c r="AA351" s="1"/>
      <c r="AB351" s="1"/>
      <c r="AC351" s="1"/>
      <c r="AD351" s="1"/>
      <c r="AE351" s="1"/>
      <c r="AF351" s="1"/>
    </row>
    <row r="352">
      <c r="A352" s="1"/>
      <c r="B352" s="2"/>
      <c r="C352" s="117"/>
      <c r="D352" s="2"/>
      <c r="E352" s="2"/>
      <c r="F352" s="2"/>
      <c r="G352" s="2"/>
      <c r="H352" s="2"/>
      <c r="I352" s="117"/>
      <c r="J352" s="2"/>
      <c r="K352" s="2"/>
      <c r="L352" s="2"/>
      <c r="M352" s="2"/>
      <c r="N352" s="2"/>
      <c r="O352" s="2"/>
      <c r="P352" s="2"/>
      <c r="Q352" s="2"/>
      <c r="R352" s="2"/>
      <c r="S352" s="2"/>
      <c r="T352" s="2"/>
      <c r="U352" s="2"/>
      <c r="V352" s="1"/>
      <c r="W352" s="1"/>
      <c r="X352" s="1"/>
      <c r="Y352" s="1"/>
      <c r="Z352" s="1"/>
      <c r="AA352" s="1"/>
      <c r="AB352" s="1"/>
      <c r="AC352" s="1"/>
      <c r="AD352" s="1"/>
      <c r="AE352" s="1"/>
      <c r="AF352" s="1"/>
    </row>
    <row r="353">
      <c r="A353" s="1"/>
      <c r="B353" s="2"/>
      <c r="C353" s="117"/>
      <c r="D353" s="2"/>
      <c r="E353" s="2"/>
      <c r="F353" s="2"/>
      <c r="G353" s="2"/>
      <c r="H353" s="2"/>
      <c r="I353" s="117"/>
      <c r="J353" s="2"/>
      <c r="K353" s="2"/>
      <c r="L353" s="2"/>
      <c r="M353" s="2"/>
      <c r="N353" s="2"/>
      <c r="O353" s="2"/>
      <c r="P353" s="2"/>
      <c r="Q353" s="2"/>
      <c r="R353" s="2"/>
      <c r="S353" s="2"/>
      <c r="T353" s="2"/>
      <c r="U353" s="2"/>
      <c r="V353" s="1"/>
      <c r="W353" s="1"/>
      <c r="X353" s="1"/>
      <c r="Y353" s="1"/>
      <c r="Z353" s="1"/>
      <c r="AA353" s="1"/>
      <c r="AB353" s="1"/>
      <c r="AC353" s="1"/>
      <c r="AD353" s="1"/>
      <c r="AE353" s="1"/>
      <c r="AF353" s="1"/>
    </row>
    <row r="354">
      <c r="A354" s="1"/>
      <c r="B354" s="2"/>
      <c r="C354" s="117"/>
      <c r="D354" s="2"/>
      <c r="E354" s="2"/>
      <c r="F354" s="2"/>
      <c r="G354" s="2"/>
      <c r="H354" s="2"/>
      <c r="I354" s="117"/>
      <c r="J354" s="2"/>
      <c r="K354" s="2"/>
      <c r="L354" s="2"/>
      <c r="M354" s="2"/>
      <c r="N354" s="2"/>
      <c r="O354" s="2"/>
      <c r="P354" s="2"/>
      <c r="Q354" s="2"/>
      <c r="R354" s="2"/>
      <c r="S354" s="2"/>
      <c r="T354" s="2"/>
      <c r="U354" s="2"/>
      <c r="V354" s="1"/>
      <c r="W354" s="1"/>
      <c r="X354" s="1"/>
      <c r="Y354" s="1"/>
      <c r="Z354" s="1"/>
      <c r="AA354" s="1"/>
      <c r="AB354" s="1"/>
      <c r="AC354" s="1"/>
      <c r="AD354" s="1"/>
      <c r="AE354" s="1"/>
      <c r="AF354" s="1"/>
    </row>
    <row r="355">
      <c r="A355" s="1"/>
      <c r="B355" s="2"/>
      <c r="C355" s="117"/>
      <c r="D355" s="2"/>
      <c r="E355" s="2"/>
      <c r="F355" s="2"/>
      <c r="G355" s="2"/>
      <c r="H355" s="2"/>
      <c r="I355" s="117"/>
      <c r="J355" s="2"/>
      <c r="K355" s="2"/>
      <c r="L355" s="2"/>
      <c r="M355" s="2"/>
      <c r="N355" s="2"/>
      <c r="O355" s="2"/>
      <c r="P355" s="2"/>
      <c r="Q355" s="2"/>
      <c r="R355" s="2"/>
      <c r="S355" s="2"/>
      <c r="T355" s="2"/>
      <c r="U355" s="2"/>
      <c r="V355" s="1"/>
      <c r="W355" s="1"/>
      <c r="X355" s="1"/>
      <c r="Y355" s="1"/>
      <c r="Z355" s="1"/>
      <c r="AA355" s="1"/>
      <c r="AB355" s="1"/>
      <c r="AC355" s="1"/>
      <c r="AD355" s="1"/>
      <c r="AE355" s="1"/>
      <c r="AF355" s="1"/>
    </row>
    <row r="356">
      <c r="A356" s="1"/>
      <c r="B356" s="2"/>
      <c r="C356" s="117"/>
      <c r="D356" s="2"/>
      <c r="E356" s="2"/>
      <c r="F356" s="2"/>
      <c r="G356" s="2"/>
      <c r="H356" s="2"/>
      <c r="I356" s="117"/>
      <c r="J356" s="2"/>
      <c r="K356" s="2"/>
      <c r="L356" s="2"/>
      <c r="M356" s="2"/>
      <c r="N356" s="2"/>
      <c r="O356" s="2"/>
      <c r="P356" s="2"/>
      <c r="Q356" s="2"/>
      <c r="R356" s="2"/>
      <c r="S356" s="2"/>
      <c r="T356" s="2"/>
      <c r="U356" s="2"/>
      <c r="V356" s="1"/>
      <c r="W356" s="1"/>
      <c r="X356" s="1"/>
      <c r="Y356" s="1"/>
      <c r="Z356" s="1"/>
      <c r="AA356" s="1"/>
      <c r="AB356" s="1"/>
      <c r="AC356" s="1"/>
      <c r="AD356" s="1"/>
      <c r="AE356" s="1"/>
      <c r="AF356" s="1"/>
    </row>
    <row r="357">
      <c r="A357" s="1"/>
      <c r="B357" s="2"/>
      <c r="C357" s="117"/>
      <c r="D357" s="2"/>
      <c r="E357" s="2"/>
      <c r="F357" s="2"/>
      <c r="G357" s="2"/>
      <c r="H357" s="2"/>
      <c r="I357" s="117"/>
      <c r="J357" s="2"/>
      <c r="K357" s="2"/>
      <c r="L357" s="2"/>
      <c r="M357" s="2"/>
      <c r="N357" s="2"/>
      <c r="O357" s="2"/>
      <c r="P357" s="2"/>
      <c r="Q357" s="2"/>
      <c r="R357" s="2"/>
      <c r="S357" s="2"/>
      <c r="T357" s="2"/>
      <c r="U357" s="2"/>
      <c r="V357" s="1"/>
      <c r="W357" s="1"/>
      <c r="X357" s="1"/>
      <c r="Y357" s="1"/>
      <c r="Z357" s="1"/>
      <c r="AA357" s="1"/>
      <c r="AB357" s="1"/>
      <c r="AC357" s="1"/>
      <c r="AD357" s="1"/>
      <c r="AE357" s="1"/>
      <c r="AF357" s="1"/>
    </row>
    <row r="358">
      <c r="A358" s="1"/>
      <c r="B358" s="2"/>
      <c r="C358" s="117"/>
      <c r="D358" s="2"/>
      <c r="E358" s="2"/>
      <c r="F358" s="2"/>
      <c r="G358" s="2"/>
      <c r="H358" s="2"/>
      <c r="I358" s="117"/>
      <c r="J358" s="2"/>
      <c r="K358" s="2"/>
      <c r="L358" s="2"/>
      <c r="M358" s="2"/>
      <c r="N358" s="2"/>
      <c r="O358" s="2"/>
      <c r="P358" s="2"/>
      <c r="Q358" s="2"/>
      <c r="R358" s="2"/>
      <c r="S358" s="2"/>
      <c r="T358" s="2"/>
      <c r="U358" s="2"/>
      <c r="V358" s="1"/>
      <c r="W358" s="1"/>
      <c r="X358" s="1"/>
      <c r="Y358" s="1"/>
      <c r="Z358" s="1"/>
      <c r="AA358" s="1"/>
      <c r="AB358" s="1"/>
      <c r="AC358" s="1"/>
      <c r="AD358" s="1"/>
      <c r="AE358" s="1"/>
      <c r="AF358" s="1"/>
    </row>
    <row r="359">
      <c r="A359" s="1"/>
      <c r="B359" s="2"/>
      <c r="C359" s="117"/>
      <c r="D359" s="2"/>
      <c r="E359" s="2"/>
      <c r="F359" s="2"/>
      <c r="G359" s="2"/>
      <c r="H359" s="2"/>
      <c r="I359" s="117"/>
      <c r="J359" s="2"/>
      <c r="K359" s="2"/>
      <c r="L359" s="2"/>
      <c r="M359" s="2"/>
      <c r="N359" s="2"/>
      <c r="O359" s="2"/>
      <c r="P359" s="2"/>
      <c r="Q359" s="2"/>
      <c r="R359" s="2"/>
      <c r="S359" s="2"/>
      <c r="T359" s="2"/>
      <c r="U359" s="2"/>
      <c r="V359" s="1"/>
      <c r="W359" s="1"/>
      <c r="X359" s="1"/>
      <c r="Y359" s="1"/>
      <c r="Z359" s="1"/>
      <c r="AA359" s="1"/>
      <c r="AB359" s="1"/>
      <c r="AC359" s="1"/>
      <c r="AD359" s="1"/>
      <c r="AE359" s="1"/>
      <c r="AF359" s="1"/>
    </row>
    <row r="360">
      <c r="A360" s="1"/>
      <c r="B360" s="2"/>
      <c r="C360" s="117"/>
      <c r="D360" s="2"/>
      <c r="E360" s="2"/>
      <c r="F360" s="2"/>
      <c r="G360" s="2"/>
      <c r="H360" s="2"/>
      <c r="I360" s="117"/>
      <c r="J360" s="2"/>
      <c r="K360" s="2"/>
      <c r="L360" s="2"/>
      <c r="M360" s="2"/>
      <c r="N360" s="2"/>
      <c r="O360" s="2"/>
      <c r="P360" s="2"/>
      <c r="Q360" s="2"/>
      <c r="R360" s="2"/>
      <c r="S360" s="2"/>
      <c r="T360" s="2"/>
      <c r="U360" s="2"/>
      <c r="V360" s="1"/>
      <c r="W360" s="1"/>
      <c r="X360" s="1"/>
      <c r="Y360" s="1"/>
      <c r="Z360" s="1"/>
      <c r="AA360" s="1"/>
      <c r="AB360" s="1"/>
      <c r="AC360" s="1"/>
      <c r="AD360" s="1"/>
      <c r="AE360" s="1"/>
      <c r="AF360" s="1"/>
    </row>
    <row r="361">
      <c r="A361" s="1"/>
      <c r="B361" s="2"/>
      <c r="C361" s="117"/>
      <c r="D361" s="2"/>
      <c r="E361" s="2"/>
      <c r="F361" s="2"/>
      <c r="G361" s="2"/>
      <c r="H361" s="2"/>
      <c r="I361" s="117"/>
      <c r="J361" s="2"/>
      <c r="K361" s="2"/>
      <c r="L361" s="2"/>
      <c r="M361" s="2"/>
      <c r="N361" s="2"/>
      <c r="O361" s="2"/>
      <c r="P361" s="2"/>
      <c r="Q361" s="2"/>
      <c r="R361" s="2"/>
      <c r="S361" s="2"/>
      <c r="T361" s="2"/>
      <c r="U361" s="2"/>
      <c r="V361" s="1"/>
      <c r="W361" s="1"/>
      <c r="X361" s="1"/>
      <c r="Y361" s="1"/>
      <c r="Z361" s="1"/>
      <c r="AA361" s="1"/>
      <c r="AB361" s="1"/>
      <c r="AC361" s="1"/>
      <c r="AD361" s="1"/>
      <c r="AE361" s="1"/>
      <c r="AF361" s="1"/>
    </row>
    <row r="362">
      <c r="A362" s="1"/>
      <c r="B362" s="2"/>
      <c r="C362" s="117"/>
      <c r="D362" s="2"/>
      <c r="E362" s="2"/>
      <c r="F362" s="2"/>
      <c r="G362" s="2"/>
      <c r="H362" s="2"/>
      <c r="I362" s="117"/>
      <c r="J362" s="2"/>
      <c r="K362" s="2"/>
      <c r="L362" s="2"/>
      <c r="M362" s="2"/>
      <c r="N362" s="2"/>
      <c r="O362" s="2"/>
      <c r="P362" s="2"/>
      <c r="Q362" s="2"/>
      <c r="R362" s="2"/>
      <c r="S362" s="2"/>
      <c r="T362" s="2"/>
      <c r="U362" s="2"/>
      <c r="V362" s="1"/>
      <c r="W362" s="1"/>
      <c r="X362" s="1"/>
      <c r="Y362" s="1"/>
      <c r="Z362" s="1"/>
      <c r="AA362" s="1"/>
      <c r="AB362" s="1"/>
      <c r="AC362" s="1"/>
      <c r="AD362" s="1"/>
      <c r="AE362" s="1"/>
      <c r="AF362" s="1"/>
    </row>
    <row r="363">
      <c r="A363" s="1"/>
      <c r="B363" s="2"/>
      <c r="C363" s="117"/>
      <c r="D363" s="2"/>
      <c r="E363" s="2"/>
      <c r="F363" s="2"/>
      <c r="G363" s="2"/>
      <c r="H363" s="2"/>
      <c r="I363" s="117"/>
      <c r="J363" s="2"/>
      <c r="K363" s="2"/>
      <c r="L363" s="2"/>
      <c r="M363" s="2"/>
      <c r="N363" s="2"/>
      <c r="O363" s="2"/>
      <c r="P363" s="2"/>
      <c r="Q363" s="2"/>
      <c r="R363" s="2"/>
      <c r="S363" s="2"/>
      <c r="T363" s="2"/>
      <c r="U363" s="2"/>
      <c r="V363" s="1"/>
      <c r="W363" s="1"/>
      <c r="X363" s="1"/>
      <c r="Y363" s="1"/>
      <c r="Z363" s="1"/>
      <c r="AA363" s="1"/>
      <c r="AB363" s="1"/>
      <c r="AC363" s="1"/>
      <c r="AD363" s="1"/>
      <c r="AE363" s="1"/>
      <c r="AF363" s="1"/>
    </row>
    <row r="364">
      <c r="A364" s="1"/>
      <c r="B364" s="2"/>
      <c r="C364" s="117"/>
      <c r="D364" s="2"/>
      <c r="E364" s="2"/>
      <c r="F364" s="2"/>
      <c r="G364" s="2"/>
      <c r="H364" s="2"/>
      <c r="I364" s="117"/>
      <c r="J364" s="2"/>
      <c r="K364" s="2"/>
      <c r="L364" s="2"/>
      <c r="M364" s="2"/>
      <c r="N364" s="2"/>
      <c r="O364" s="2"/>
      <c r="P364" s="2"/>
      <c r="Q364" s="2"/>
      <c r="R364" s="2"/>
      <c r="S364" s="2"/>
      <c r="T364" s="2"/>
      <c r="U364" s="2"/>
      <c r="V364" s="1"/>
      <c r="W364" s="1"/>
      <c r="X364" s="1"/>
      <c r="Y364" s="1"/>
      <c r="Z364" s="1"/>
      <c r="AA364" s="1"/>
      <c r="AB364" s="1"/>
      <c r="AC364" s="1"/>
      <c r="AD364" s="1"/>
      <c r="AE364" s="1"/>
      <c r="AF364" s="1"/>
    </row>
    <row r="365">
      <c r="A365" s="1"/>
      <c r="B365" s="2"/>
      <c r="C365" s="117"/>
      <c r="D365" s="2"/>
      <c r="E365" s="2"/>
      <c r="F365" s="2"/>
      <c r="G365" s="2"/>
      <c r="H365" s="2"/>
      <c r="I365" s="117"/>
      <c r="J365" s="2"/>
      <c r="K365" s="2"/>
      <c r="L365" s="2"/>
      <c r="M365" s="2"/>
      <c r="N365" s="2"/>
      <c r="O365" s="2"/>
      <c r="P365" s="2"/>
      <c r="Q365" s="2"/>
      <c r="R365" s="2"/>
      <c r="S365" s="2"/>
      <c r="T365" s="2"/>
      <c r="U365" s="2"/>
      <c r="V365" s="1"/>
      <c r="W365" s="1"/>
      <c r="X365" s="1"/>
      <c r="Y365" s="1"/>
      <c r="Z365" s="1"/>
      <c r="AA365" s="1"/>
      <c r="AB365" s="1"/>
      <c r="AC365" s="1"/>
      <c r="AD365" s="1"/>
      <c r="AE365" s="1"/>
      <c r="AF365" s="1"/>
    </row>
    <row r="366">
      <c r="A366" s="1"/>
      <c r="B366" s="2"/>
      <c r="C366" s="117"/>
      <c r="D366" s="2"/>
      <c r="E366" s="2"/>
      <c r="F366" s="2"/>
      <c r="G366" s="2"/>
      <c r="H366" s="2"/>
      <c r="I366" s="117"/>
      <c r="J366" s="2"/>
      <c r="K366" s="2"/>
      <c r="L366" s="2"/>
      <c r="M366" s="2"/>
      <c r="N366" s="2"/>
      <c r="O366" s="2"/>
      <c r="P366" s="2"/>
      <c r="Q366" s="2"/>
      <c r="R366" s="2"/>
      <c r="S366" s="2"/>
      <c r="T366" s="2"/>
      <c r="U366" s="2"/>
      <c r="V366" s="1"/>
      <c r="W366" s="1"/>
      <c r="X366" s="1"/>
      <c r="Y366" s="1"/>
      <c r="Z366" s="1"/>
      <c r="AA366" s="1"/>
      <c r="AB366" s="1"/>
      <c r="AC366" s="1"/>
      <c r="AD366" s="1"/>
      <c r="AE366" s="1"/>
      <c r="AF366" s="1"/>
    </row>
    <row r="367">
      <c r="A367" s="1"/>
      <c r="B367" s="2"/>
      <c r="C367" s="117"/>
      <c r="D367" s="2"/>
      <c r="E367" s="2"/>
      <c r="F367" s="2"/>
      <c r="G367" s="2"/>
      <c r="H367" s="2"/>
      <c r="I367" s="117"/>
      <c r="J367" s="2"/>
      <c r="K367" s="2"/>
      <c r="L367" s="2"/>
      <c r="M367" s="2"/>
      <c r="N367" s="2"/>
      <c r="O367" s="2"/>
      <c r="P367" s="2"/>
      <c r="Q367" s="2"/>
      <c r="R367" s="2"/>
      <c r="S367" s="2"/>
      <c r="T367" s="2"/>
      <c r="U367" s="2"/>
      <c r="V367" s="1"/>
      <c r="W367" s="1"/>
      <c r="X367" s="1"/>
      <c r="Y367" s="1"/>
      <c r="Z367" s="1"/>
      <c r="AA367" s="1"/>
      <c r="AB367" s="1"/>
      <c r="AC367" s="1"/>
      <c r="AD367" s="1"/>
      <c r="AE367" s="1"/>
      <c r="AF367" s="1"/>
    </row>
    <row r="368">
      <c r="A368" s="1"/>
      <c r="B368" s="2"/>
      <c r="C368" s="117"/>
      <c r="D368" s="2"/>
      <c r="E368" s="2"/>
      <c r="F368" s="2"/>
      <c r="G368" s="2"/>
      <c r="H368" s="2"/>
      <c r="I368" s="117"/>
      <c r="J368" s="2"/>
      <c r="K368" s="2"/>
      <c r="L368" s="2"/>
      <c r="M368" s="2"/>
      <c r="N368" s="2"/>
      <c r="O368" s="2"/>
      <c r="P368" s="2"/>
      <c r="Q368" s="2"/>
      <c r="R368" s="2"/>
      <c r="S368" s="2"/>
      <c r="T368" s="2"/>
      <c r="U368" s="2"/>
      <c r="V368" s="1"/>
      <c r="W368" s="1"/>
      <c r="X368" s="1"/>
      <c r="Y368" s="1"/>
      <c r="Z368" s="1"/>
      <c r="AA368" s="1"/>
      <c r="AB368" s="1"/>
      <c r="AC368" s="1"/>
      <c r="AD368" s="1"/>
      <c r="AE368" s="1"/>
      <c r="AF368" s="1"/>
    </row>
    <row r="369">
      <c r="A369" s="1"/>
      <c r="B369" s="2"/>
      <c r="C369" s="117"/>
      <c r="D369" s="2"/>
      <c r="E369" s="2"/>
      <c r="F369" s="2"/>
      <c r="G369" s="2"/>
      <c r="H369" s="2"/>
      <c r="I369" s="117"/>
      <c r="J369" s="2"/>
      <c r="K369" s="2"/>
      <c r="L369" s="2"/>
      <c r="M369" s="2"/>
      <c r="N369" s="2"/>
      <c r="O369" s="2"/>
      <c r="P369" s="2"/>
      <c r="Q369" s="2"/>
      <c r="R369" s="2"/>
      <c r="S369" s="2"/>
      <c r="T369" s="2"/>
      <c r="U369" s="2"/>
      <c r="V369" s="1"/>
      <c r="W369" s="1"/>
      <c r="X369" s="1"/>
      <c r="Y369" s="1"/>
      <c r="Z369" s="1"/>
      <c r="AA369" s="1"/>
      <c r="AB369" s="1"/>
      <c r="AC369" s="1"/>
      <c r="AD369" s="1"/>
      <c r="AE369" s="1"/>
      <c r="AF369" s="1"/>
    </row>
    <row r="370">
      <c r="A370" s="1"/>
      <c r="B370" s="2"/>
      <c r="C370" s="117"/>
      <c r="D370" s="2"/>
      <c r="E370" s="2"/>
      <c r="F370" s="2"/>
      <c r="G370" s="2"/>
      <c r="H370" s="2"/>
      <c r="I370" s="117"/>
      <c r="J370" s="2"/>
      <c r="K370" s="2"/>
      <c r="L370" s="2"/>
      <c r="M370" s="2"/>
      <c r="N370" s="2"/>
      <c r="O370" s="2"/>
      <c r="P370" s="2"/>
      <c r="Q370" s="2"/>
      <c r="R370" s="2"/>
      <c r="S370" s="2"/>
      <c r="T370" s="2"/>
      <c r="U370" s="2"/>
      <c r="V370" s="1"/>
      <c r="W370" s="1"/>
      <c r="X370" s="1"/>
      <c r="Y370" s="1"/>
      <c r="Z370" s="1"/>
      <c r="AA370" s="1"/>
      <c r="AB370" s="1"/>
      <c r="AC370" s="1"/>
      <c r="AD370" s="1"/>
      <c r="AE370" s="1"/>
      <c r="AF370" s="1"/>
    </row>
    <row r="371">
      <c r="A371" s="1"/>
      <c r="B371" s="2"/>
      <c r="C371" s="117"/>
      <c r="D371" s="2"/>
      <c r="E371" s="2"/>
      <c r="F371" s="2"/>
      <c r="G371" s="2"/>
      <c r="H371" s="2"/>
      <c r="I371" s="117"/>
      <c r="J371" s="2"/>
      <c r="K371" s="2"/>
      <c r="L371" s="2"/>
      <c r="M371" s="2"/>
      <c r="N371" s="2"/>
      <c r="O371" s="2"/>
      <c r="P371" s="2"/>
      <c r="Q371" s="2"/>
      <c r="R371" s="2"/>
      <c r="S371" s="2"/>
      <c r="T371" s="2"/>
      <c r="U371" s="2"/>
      <c r="V371" s="1"/>
      <c r="W371" s="1"/>
      <c r="X371" s="1"/>
      <c r="Y371" s="1"/>
      <c r="Z371" s="1"/>
      <c r="AA371" s="1"/>
      <c r="AB371" s="1"/>
      <c r="AC371" s="1"/>
      <c r="AD371" s="1"/>
      <c r="AE371" s="1"/>
      <c r="AF371" s="1"/>
    </row>
    <row r="372">
      <c r="A372" s="1"/>
      <c r="B372" s="2"/>
      <c r="C372" s="117"/>
      <c r="D372" s="2"/>
      <c r="E372" s="2"/>
      <c r="F372" s="2"/>
      <c r="G372" s="2"/>
      <c r="H372" s="2"/>
      <c r="I372" s="117"/>
      <c r="J372" s="2"/>
      <c r="K372" s="2"/>
      <c r="L372" s="2"/>
      <c r="M372" s="2"/>
      <c r="N372" s="2"/>
      <c r="O372" s="2"/>
      <c r="P372" s="2"/>
      <c r="Q372" s="2"/>
      <c r="R372" s="2"/>
      <c r="S372" s="2"/>
      <c r="T372" s="2"/>
      <c r="U372" s="2"/>
      <c r="V372" s="1"/>
      <c r="W372" s="1"/>
      <c r="X372" s="1"/>
      <c r="Y372" s="1"/>
      <c r="Z372" s="1"/>
      <c r="AA372" s="1"/>
      <c r="AB372" s="1"/>
      <c r="AC372" s="1"/>
      <c r="AD372" s="1"/>
      <c r="AE372" s="1"/>
      <c r="AF372" s="1"/>
    </row>
    <row r="373">
      <c r="A373" s="1"/>
      <c r="B373" s="2"/>
      <c r="C373" s="117"/>
      <c r="D373" s="2"/>
      <c r="E373" s="2"/>
      <c r="F373" s="2"/>
      <c r="G373" s="2"/>
      <c r="H373" s="2"/>
      <c r="I373" s="117"/>
      <c r="J373" s="2"/>
      <c r="K373" s="2"/>
      <c r="L373" s="2"/>
      <c r="M373" s="2"/>
      <c r="N373" s="2"/>
      <c r="O373" s="2"/>
      <c r="P373" s="2"/>
      <c r="Q373" s="2"/>
      <c r="R373" s="2"/>
      <c r="S373" s="2"/>
      <c r="T373" s="2"/>
      <c r="U373" s="2"/>
      <c r="V373" s="1"/>
      <c r="W373" s="1"/>
      <c r="X373" s="1"/>
      <c r="Y373" s="1"/>
      <c r="Z373" s="1"/>
      <c r="AA373" s="1"/>
      <c r="AB373" s="1"/>
      <c r="AC373" s="1"/>
      <c r="AD373" s="1"/>
      <c r="AE373" s="1"/>
      <c r="AF373" s="1"/>
    </row>
    <row r="374">
      <c r="A374" s="1"/>
      <c r="B374" s="2"/>
      <c r="C374" s="117"/>
      <c r="D374" s="2"/>
      <c r="E374" s="2"/>
      <c r="F374" s="2"/>
      <c r="G374" s="2"/>
      <c r="H374" s="2"/>
      <c r="I374" s="117"/>
      <c r="J374" s="2"/>
      <c r="K374" s="2"/>
      <c r="L374" s="2"/>
      <c r="M374" s="2"/>
      <c r="N374" s="2"/>
      <c r="O374" s="2"/>
      <c r="P374" s="2"/>
      <c r="Q374" s="2"/>
      <c r="R374" s="2"/>
      <c r="S374" s="2"/>
      <c r="T374" s="2"/>
      <c r="U374" s="2"/>
      <c r="V374" s="1"/>
      <c r="W374" s="1"/>
      <c r="X374" s="1"/>
      <c r="Y374" s="1"/>
      <c r="Z374" s="1"/>
      <c r="AA374" s="1"/>
      <c r="AB374" s="1"/>
      <c r="AC374" s="1"/>
      <c r="AD374" s="1"/>
      <c r="AE374" s="1"/>
      <c r="AF374" s="1"/>
    </row>
    <row r="375">
      <c r="A375" s="1"/>
      <c r="B375" s="2"/>
      <c r="C375" s="117"/>
      <c r="D375" s="2"/>
      <c r="E375" s="2"/>
      <c r="F375" s="2"/>
      <c r="G375" s="2"/>
      <c r="H375" s="2"/>
      <c r="I375" s="117"/>
      <c r="J375" s="2"/>
      <c r="K375" s="2"/>
      <c r="L375" s="2"/>
      <c r="M375" s="2"/>
      <c r="N375" s="2"/>
      <c r="O375" s="2"/>
      <c r="P375" s="2"/>
      <c r="Q375" s="2"/>
      <c r="R375" s="2"/>
      <c r="S375" s="2"/>
      <c r="T375" s="2"/>
      <c r="U375" s="2"/>
      <c r="V375" s="1"/>
      <c r="W375" s="1"/>
      <c r="X375" s="1"/>
      <c r="Y375" s="1"/>
      <c r="Z375" s="1"/>
      <c r="AA375" s="1"/>
      <c r="AB375" s="1"/>
      <c r="AC375" s="1"/>
      <c r="AD375" s="1"/>
      <c r="AE375" s="1"/>
      <c r="AF375" s="1"/>
    </row>
    <row r="376">
      <c r="A376" s="1"/>
      <c r="B376" s="2"/>
      <c r="C376" s="117"/>
      <c r="D376" s="2"/>
      <c r="E376" s="2"/>
      <c r="F376" s="2"/>
      <c r="G376" s="2"/>
      <c r="H376" s="2"/>
      <c r="I376" s="117"/>
      <c r="J376" s="2"/>
      <c r="K376" s="2"/>
      <c r="L376" s="2"/>
      <c r="M376" s="2"/>
      <c r="N376" s="2"/>
      <c r="O376" s="2"/>
      <c r="P376" s="2"/>
      <c r="Q376" s="2"/>
      <c r="R376" s="2"/>
      <c r="S376" s="2"/>
      <c r="T376" s="2"/>
      <c r="U376" s="2"/>
      <c r="V376" s="1"/>
      <c r="W376" s="1"/>
      <c r="X376" s="1"/>
      <c r="Y376" s="1"/>
      <c r="Z376" s="1"/>
      <c r="AA376" s="1"/>
      <c r="AB376" s="1"/>
      <c r="AC376" s="1"/>
      <c r="AD376" s="1"/>
      <c r="AE376" s="1"/>
      <c r="AF376" s="1"/>
    </row>
    <row r="377">
      <c r="A377" s="1"/>
      <c r="B377" s="2"/>
      <c r="C377" s="117"/>
      <c r="D377" s="2"/>
      <c r="E377" s="2"/>
      <c r="F377" s="2"/>
      <c r="G377" s="2"/>
      <c r="H377" s="2"/>
      <c r="I377" s="117"/>
      <c r="J377" s="2"/>
      <c r="K377" s="2"/>
      <c r="L377" s="2"/>
      <c r="M377" s="2"/>
      <c r="N377" s="2"/>
      <c r="O377" s="2"/>
      <c r="P377" s="2"/>
      <c r="Q377" s="2"/>
      <c r="R377" s="2"/>
      <c r="S377" s="2"/>
      <c r="T377" s="2"/>
      <c r="U377" s="2"/>
      <c r="V377" s="1"/>
      <c r="W377" s="1"/>
      <c r="X377" s="1"/>
      <c r="Y377" s="1"/>
      <c r="Z377" s="1"/>
      <c r="AA377" s="1"/>
      <c r="AB377" s="1"/>
      <c r="AC377" s="1"/>
      <c r="AD377" s="1"/>
      <c r="AE377" s="1"/>
      <c r="AF377" s="1"/>
    </row>
    <row r="378">
      <c r="A378" s="1"/>
      <c r="B378" s="2"/>
      <c r="C378" s="117"/>
      <c r="D378" s="2"/>
      <c r="E378" s="2"/>
      <c r="F378" s="2"/>
      <c r="G378" s="2"/>
      <c r="H378" s="2"/>
      <c r="I378" s="117"/>
      <c r="J378" s="2"/>
      <c r="K378" s="2"/>
      <c r="L378" s="2"/>
      <c r="M378" s="2"/>
      <c r="N378" s="2"/>
      <c r="O378" s="2"/>
      <c r="P378" s="2"/>
      <c r="Q378" s="2"/>
      <c r="R378" s="2"/>
      <c r="S378" s="2"/>
      <c r="T378" s="2"/>
      <c r="U378" s="2"/>
      <c r="V378" s="1"/>
      <c r="W378" s="1"/>
      <c r="X378" s="1"/>
      <c r="Y378" s="1"/>
      <c r="Z378" s="1"/>
      <c r="AA378" s="1"/>
      <c r="AB378" s="1"/>
      <c r="AC378" s="1"/>
      <c r="AD378" s="1"/>
      <c r="AE378" s="1"/>
      <c r="AF378" s="1"/>
    </row>
    <row r="379">
      <c r="A379" s="1"/>
      <c r="B379" s="2"/>
      <c r="C379" s="117"/>
      <c r="D379" s="2"/>
      <c r="E379" s="2"/>
      <c r="F379" s="2"/>
      <c r="G379" s="2"/>
      <c r="H379" s="2"/>
      <c r="I379" s="117"/>
      <c r="J379" s="2"/>
      <c r="K379" s="2"/>
      <c r="L379" s="2"/>
      <c r="M379" s="2"/>
      <c r="N379" s="2"/>
      <c r="O379" s="2"/>
      <c r="P379" s="2"/>
      <c r="Q379" s="2"/>
      <c r="R379" s="2"/>
      <c r="S379" s="2"/>
      <c r="T379" s="2"/>
      <c r="U379" s="2"/>
      <c r="V379" s="1"/>
      <c r="W379" s="1"/>
      <c r="X379" s="1"/>
      <c r="Y379" s="1"/>
      <c r="Z379" s="1"/>
      <c r="AA379" s="1"/>
      <c r="AB379" s="1"/>
      <c r="AC379" s="1"/>
      <c r="AD379" s="1"/>
      <c r="AE379" s="1"/>
      <c r="AF379" s="1"/>
    </row>
    <row r="380">
      <c r="A380" s="1"/>
      <c r="B380" s="2"/>
      <c r="C380" s="117"/>
      <c r="D380" s="2"/>
      <c r="E380" s="2"/>
      <c r="F380" s="2"/>
      <c r="G380" s="2"/>
      <c r="H380" s="2"/>
      <c r="I380" s="117"/>
      <c r="J380" s="2"/>
      <c r="K380" s="2"/>
      <c r="L380" s="2"/>
      <c r="M380" s="2"/>
      <c r="N380" s="2"/>
      <c r="O380" s="2"/>
      <c r="P380" s="2"/>
      <c r="Q380" s="2"/>
      <c r="R380" s="2"/>
      <c r="S380" s="2"/>
      <c r="T380" s="2"/>
      <c r="U380" s="2"/>
      <c r="V380" s="1"/>
      <c r="W380" s="1"/>
      <c r="X380" s="1"/>
      <c r="Y380" s="1"/>
      <c r="Z380" s="1"/>
      <c r="AA380" s="1"/>
      <c r="AB380" s="1"/>
      <c r="AC380" s="1"/>
      <c r="AD380" s="1"/>
      <c r="AE380" s="1"/>
      <c r="AF380" s="1"/>
    </row>
    <row r="381">
      <c r="A381" s="1"/>
      <c r="B381" s="2"/>
      <c r="C381" s="117"/>
      <c r="D381" s="2"/>
      <c r="E381" s="2"/>
      <c r="F381" s="2"/>
      <c r="G381" s="2"/>
      <c r="H381" s="2"/>
      <c r="I381" s="117"/>
      <c r="J381" s="2"/>
      <c r="K381" s="2"/>
      <c r="L381" s="2"/>
      <c r="M381" s="2"/>
      <c r="N381" s="2"/>
      <c r="O381" s="2"/>
      <c r="P381" s="2"/>
      <c r="Q381" s="2"/>
      <c r="R381" s="2"/>
      <c r="S381" s="2"/>
      <c r="T381" s="2"/>
      <c r="U381" s="2"/>
      <c r="V381" s="1"/>
      <c r="W381" s="1"/>
      <c r="X381" s="1"/>
      <c r="Y381" s="1"/>
      <c r="Z381" s="1"/>
      <c r="AA381" s="1"/>
      <c r="AB381" s="1"/>
      <c r="AC381" s="1"/>
      <c r="AD381" s="1"/>
      <c r="AE381" s="1"/>
      <c r="AF381" s="1"/>
    </row>
    <row r="382">
      <c r="A382" s="1"/>
      <c r="B382" s="2"/>
      <c r="C382" s="117"/>
      <c r="D382" s="2"/>
      <c r="E382" s="2"/>
      <c r="F382" s="2"/>
      <c r="G382" s="2"/>
      <c r="H382" s="2"/>
      <c r="I382" s="117"/>
      <c r="J382" s="2"/>
      <c r="K382" s="2"/>
      <c r="L382" s="2"/>
      <c r="M382" s="2"/>
      <c r="N382" s="2"/>
      <c r="O382" s="2"/>
      <c r="P382" s="2"/>
      <c r="Q382" s="2"/>
      <c r="R382" s="2"/>
      <c r="S382" s="2"/>
      <c r="T382" s="2"/>
      <c r="U382" s="2"/>
      <c r="V382" s="1"/>
      <c r="W382" s="1"/>
      <c r="X382" s="1"/>
      <c r="Y382" s="1"/>
      <c r="Z382" s="1"/>
      <c r="AA382" s="1"/>
      <c r="AB382" s="1"/>
      <c r="AC382" s="1"/>
      <c r="AD382" s="1"/>
      <c r="AE382" s="1"/>
      <c r="AF382" s="1"/>
    </row>
    <row r="383">
      <c r="A383" s="1"/>
      <c r="B383" s="2"/>
      <c r="C383" s="117"/>
      <c r="D383" s="2"/>
      <c r="E383" s="2"/>
      <c r="F383" s="2"/>
      <c r="G383" s="2"/>
      <c r="H383" s="2"/>
      <c r="I383" s="117"/>
      <c r="J383" s="2"/>
      <c r="K383" s="2"/>
      <c r="L383" s="2"/>
      <c r="M383" s="2"/>
      <c r="N383" s="2"/>
      <c r="O383" s="2"/>
      <c r="P383" s="2"/>
      <c r="Q383" s="2"/>
      <c r="R383" s="2"/>
      <c r="S383" s="2"/>
      <c r="T383" s="2"/>
      <c r="U383" s="2"/>
      <c r="V383" s="1"/>
      <c r="W383" s="1"/>
      <c r="X383" s="1"/>
      <c r="Y383" s="1"/>
      <c r="Z383" s="1"/>
      <c r="AA383" s="1"/>
      <c r="AB383" s="1"/>
      <c r="AC383" s="1"/>
      <c r="AD383" s="1"/>
      <c r="AE383" s="1"/>
      <c r="AF383" s="1"/>
    </row>
    <row r="384">
      <c r="A384" s="1"/>
      <c r="B384" s="2"/>
      <c r="C384" s="117"/>
      <c r="D384" s="2"/>
      <c r="E384" s="2"/>
      <c r="F384" s="2"/>
      <c r="G384" s="2"/>
      <c r="H384" s="2"/>
      <c r="I384" s="117"/>
      <c r="J384" s="2"/>
      <c r="K384" s="2"/>
      <c r="L384" s="2"/>
      <c r="M384" s="2"/>
      <c r="N384" s="2"/>
      <c r="O384" s="2"/>
      <c r="P384" s="2"/>
      <c r="Q384" s="2"/>
      <c r="R384" s="2"/>
      <c r="S384" s="2"/>
      <c r="T384" s="2"/>
      <c r="U384" s="2"/>
      <c r="V384" s="1"/>
      <c r="W384" s="1"/>
      <c r="X384" s="1"/>
      <c r="Y384" s="1"/>
      <c r="Z384" s="1"/>
      <c r="AA384" s="1"/>
      <c r="AB384" s="1"/>
      <c r="AC384" s="1"/>
      <c r="AD384" s="1"/>
      <c r="AE384" s="1"/>
      <c r="AF384" s="1"/>
    </row>
    <row r="385">
      <c r="A385" s="1"/>
      <c r="B385" s="2"/>
      <c r="C385" s="117"/>
      <c r="D385" s="2"/>
      <c r="E385" s="2"/>
      <c r="F385" s="2"/>
      <c r="G385" s="2"/>
      <c r="H385" s="2"/>
      <c r="I385" s="117"/>
      <c r="J385" s="2"/>
      <c r="K385" s="2"/>
      <c r="L385" s="2"/>
      <c r="M385" s="2"/>
      <c r="N385" s="2"/>
      <c r="O385" s="2"/>
      <c r="P385" s="2"/>
      <c r="Q385" s="2"/>
      <c r="R385" s="2"/>
      <c r="S385" s="2"/>
      <c r="T385" s="2"/>
      <c r="U385" s="2"/>
      <c r="V385" s="1"/>
      <c r="W385" s="1"/>
      <c r="X385" s="1"/>
      <c r="Y385" s="1"/>
      <c r="Z385" s="1"/>
      <c r="AA385" s="1"/>
      <c r="AB385" s="1"/>
      <c r="AC385" s="1"/>
      <c r="AD385" s="1"/>
      <c r="AE385" s="1"/>
      <c r="AF385" s="1"/>
    </row>
    <row r="386">
      <c r="A386" s="1"/>
      <c r="B386" s="2"/>
      <c r="C386" s="117"/>
      <c r="D386" s="2"/>
      <c r="E386" s="2"/>
      <c r="F386" s="2"/>
      <c r="G386" s="2"/>
      <c r="H386" s="2"/>
      <c r="I386" s="117"/>
      <c r="J386" s="2"/>
      <c r="K386" s="2"/>
      <c r="L386" s="2"/>
      <c r="M386" s="2"/>
      <c r="N386" s="2"/>
      <c r="O386" s="2"/>
      <c r="P386" s="2"/>
      <c r="Q386" s="2"/>
      <c r="R386" s="2"/>
      <c r="S386" s="2"/>
      <c r="T386" s="2"/>
      <c r="U386" s="2"/>
      <c r="V386" s="1"/>
      <c r="W386" s="1"/>
      <c r="X386" s="1"/>
      <c r="Y386" s="1"/>
      <c r="Z386" s="1"/>
      <c r="AA386" s="1"/>
      <c r="AB386" s="1"/>
      <c r="AC386" s="1"/>
      <c r="AD386" s="1"/>
      <c r="AE386" s="1"/>
      <c r="AF386" s="1"/>
    </row>
    <row r="387">
      <c r="A387" s="1"/>
      <c r="B387" s="2"/>
      <c r="C387" s="117"/>
      <c r="D387" s="2"/>
      <c r="E387" s="2"/>
      <c r="F387" s="2"/>
      <c r="G387" s="2"/>
      <c r="H387" s="2"/>
      <c r="I387" s="117"/>
      <c r="J387" s="2"/>
      <c r="K387" s="2"/>
      <c r="L387" s="2"/>
      <c r="M387" s="2"/>
      <c r="N387" s="2"/>
      <c r="O387" s="2"/>
      <c r="P387" s="2"/>
      <c r="Q387" s="2"/>
      <c r="R387" s="2"/>
      <c r="S387" s="2"/>
      <c r="T387" s="2"/>
      <c r="U387" s="2"/>
      <c r="V387" s="1"/>
      <c r="W387" s="1"/>
      <c r="X387" s="1"/>
      <c r="Y387" s="1"/>
      <c r="Z387" s="1"/>
      <c r="AA387" s="1"/>
      <c r="AB387" s="1"/>
      <c r="AC387" s="1"/>
      <c r="AD387" s="1"/>
      <c r="AE387" s="1"/>
      <c r="AF387" s="1"/>
    </row>
    <row r="388">
      <c r="A388" s="1"/>
      <c r="B388" s="2"/>
      <c r="C388" s="117"/>
      <c r="D388" s="2"/>
      <c r="E388" s="2"/>
      <c r="F388" s="2"/>
      <c r="G388" s="2"/>
      <c r="H388" s="2"/>
      <c r="I388" s="117"/>
      <c r="J388" s="2"/>
      <c r="K388" s="2"/>
      <c r="L388" s="2"/>
      <c r="M388" s="2"/>
      <c r="N388" s="2"/>
      <c r="O388" s="2"/>
      <c r="P388" s="2"/>
      <c r="Q388" s="2"/>
      <c r="R388" s="2"/>
      <c r="S388" s="2"/>
      <c r="T388" s="2"/>
      <c r="U388" s="2"/>
      <c r="V388" s="1"/>
      <c r="W388" s="1"/>
      <c r="X388" s="1"/>
      <c r="Y388" s="1"/>
      <c r="Z388" s="1"/>
      <c r="AA388" s="1"/>
      <c r="AB388" s="1"/>
      <c r="AC388" s="1"/>
      <c r="AD388" s="1"/>
      <c r="AE388" s="1"/>
      <c r="AF388" s="1"/>
    </row>
    <row r="389">
      <c r="A389" s="1"/>
      <c r="B389" s="2"/>
      <c r="C389" s="117"/>
      <c r="D389" s="2"/>
      <c r="E389" s="2"/>
      <c r="F389" s="2"/>
      <c r="G389" s="2"/>
      <c r="H389" s="2"/>
      <c r="I389" s="117"/>
      <c r="J389" s="2"/>
      <c r="K389" s="2"/>
      <c r="L389" s="2"/>
      <c r="M389" s="2"/>
      <c r="N389" s="2"/>
      <c r="O389" s="2"/>
      <c r="P389" s="2"/>
      <c r="Q389" s="2"/>
      <c r="R389" s="2"/>
      <c r="S389" s="2"/>
      <c r="T389" s="2"/>
      <c r="U389" s="2"/>
      <c r="V389" s="1"/>
      <c r="W389" s="1"/>
      <c r="X389" s="1"/>
      <c r="Y389" s="1"/>
      <c r="Z389" s="1"/>
      <c r="AA389" s="1"/>
      <c r="AB389" s="1"/>
      <c r="AC389" s="1"/>
      <c r="AD389" s="1"/>
      <c r="AE389" s="1"/>
      <c r="AF389" s="1"/>
    </row>
    <row r="390">
      <c r="A390" s="1"/>
      <c r="B390" s="2"/>
      <c r="C390" s="117"/>
      <c r="D390" s="2"/>
      <c r="E390" s="2"/>
      <c r="F390" s="2"/>
      <c r="G390" s="2"/>
      <c r="H390" s="2"/>
      <c r="I390" s="117"/>
      <c r="J390" s="2"/>
      <c r="K390" s="2"/>
      <c r="L390" s="2"/>
      <c r="M390" s="2"/>
      <c r="N390" s="2"/>
      <c r="O390" s="2"/>
      <c r="P390" s="2"/>
      <c r="Q390" s="2"/>
      <c r="R390" s="2"/>
      <c r="S390" s="2"/>
      <c r="T390" s="2"/>
      <c r="U390" s="2"/>
      <c r="V390" s="1"/>
      <c r="W390" s="1"/>
      <c r="X390" s="1"/>
      <c r="Y390" s="1"/>
      <c r="Z390" s="1"/>
      <c r="AA390" s="1"/>
      <c r="AB390" s="1"/>
      <c r="AC390" s="1"/>
      <c r="AD390" s="1"/>
      <c r="AE390" s="1"/>
      <c r="AF390" s="1"/>
    </row>
    <row r="391">
      <c r="A391" s="1"/>
      <c r="B391" s="2"/>
      <c r="C391" s="117"/>
      <c r="D391" s="2"/>
      <c r="E391" s="2"/>
      <c r="F391" s="2"/>
      <c r="G391" s="2"/>
      <c r="H391" s="2"/>
      <c r="I391" s="117"/>
      <c r="J391" s="2"/>
      <c r="K391" s="2"/>
      <c r="L391" s="2"/>
      <c r="M391" s="2"/>
      <c r="N391" s="2"/>
      <c r="O391" s="2"/>
      <c r="P391" s="2"/>
      <c r="Q391" s="2"/>
      <c r="R391" s="2"/>
      <c r="S391" s="2"/>
      <c r="T391" s="2"/>
      <c r="U391" s="2"/>
      <c r="V391" s="1"/>
      <c r="W391" s="1"/>
      <c r="X391" s="1"/>
      <c r="Y391" s="1"/>
      <c r="Z391" s="1"/>
      <c r="AA391" s="1"/>
      <c r="AB391" s="1"/>
      <c r="AC391" s="1"/>
      <c r="AD391" s="1"/>
      <c r="AE391" s="1"/>
      <c r="AF391" s="1"/>
    </row>
    <row r="392">
      <c r="A392" s="1"/>
      <c r="B392" s="2"/>
      <c r="C392" s="117"/>
      <c r="D392" s="2"/>
      <c r="E392" s="2"/>
      <c r="F392" s="2"/>
      <c r="G392" s="2"/>
      <c r="H392" s="2"/>
      <c r="I392" s="117"/>
      <c r="J392" s="2"/>
      <c r="K392" s="2"/>
      <c r="L392" s="2"/>
      <c r="M392" s="2"/>
      <c r="N392" s="2"/>
      <c r="O392" s="2"/>
      <c r="P392" s="2"/>
      <c r="Q392" s="2"/>
      <c r="R392" s="2"/>
      <c r="S392" s="2"/>
      <c r="T392" s="2"/>
      <c r="U392" s="2"/>
      <c r="V392" s="1"/>
      <c r="W392" s="1"/>
      <c r="X392" s="1"/>
      <c r="Y392" s="1"/>
      <c r="Z392" s="1"/>
      <c r="AA392" s="1"/>
      <c r="AB392" s="1"/>
      <c r="AC392" s="1"/>
      <c r="AD392" s="1"/>
      <c r="AE392" s="1"/>
      <c r="AF392" s="1"/>
    </row>
    <row r="393">
      <c r="A393" s="1"/>
      <c r="B393" s="2"/>
      <c r="C393" s="117"/>
      <c r="D393" s="2"/>
      <c r="E393" s="2"/>
      <c r="F393" s="2"/>
      <c r="G393" s="2"/>
      <c r="H393" s="2"/>
      <c r="I393" s="117"/>
      <c r="J393" s="2"/>
      <c r="K393" s="2"/>
      <c r="L393" s="2"/>
      <c r="M393" s="2"/>
      <c r="N393" s="2"/>
      <c r="O393" s="2"/>
      <c r="P393" s="2"/>
      <c r="Q393" s="2"/>
      <c r="R393" s="2"/>
      <c r="S393" s="2"/>
      <c r="T393" s="2"/>
      <c r="U393" s="2"/>
      <c r="V393" s="1"/>
      <c r="W393" s="1"/>
      <c r="X393" s="1"/>
      <c r="Y393" s="1"/>
      <c r="Z393" s="1"/>
      <c r="AA393" s="1"/>
      <c r="AB393" s="1"/>
      <c r="AC393" s="1"/>
      <c r="AD393" s="1"/>
      <c r="AE393" s="1"/>
      <c r="AF393" s="1"/>
    </row>
    <row r="394">
      <c r="A394" s="1"/>
      <c r="B394" s="2"/>
      <c r="C394" s="117"/>
      <c r="D394" s="2"/>
      <c r="E394" s="2"/>
      <c r="F394" s="2"/>
      <c r="G394" s="2"/>
      <c r="H394" s="2"/>
      <c r="I394" s="117"/>
      <c r="J394" s="2"/>
      <c r="K394" s="2"/>
      <c r="L394" s="2"/>
      <c r="M394" s="2"/>
      <c r="N394" s="2"/>
      <c r="O394" s="2"/>
      <c r="P394" s="2"/>
      <c r="Q394" s="2"/>
      <c r="R394" s="2"/>
      <c r="S394" s="2"/>
      <c r="T394" s="2"/>
      <c r="U394" s="2"/>
      <c r="V394" s="1"/>
      <c r="W394" s="1"/>
      <c r="X394" s="1"/>
      <c r="Y394" s="1"/>
      <c r="Z394" s="1"/>
      <c r="AA394" s="1"/>
      <c r="AB394" s="1"/>
      <c r="AC394" s="1"/>
      <c r="AD394" s="1"/>
      <c r="AE394" s="1"/>
      <c r="AF394" s="1"/>
    </row>
    <row r="395">
      <c r="A395" s="1"/>
      <c r="B395" s="2"/>
      <c r="C395" s="117"/>
      <c r="D395" s="2"/>
      <c r="E395" s="2"/>
      <c r="F395" s="2"/>
      <c r="G395" s="2"/>
      <c r="H395" s="2"/>
      <c r="I395" s="117"/>
      <c r="J395" s="2"/>
      <c r="K395" s="2"/>
      <c r="L395" s="2"/>
      <c r="M395" s="2"/>
      <c r="N395" s="2"/>
      <c r="O395" s="2"/>
      <c r="P395" s="2"/>
      <c r="Q395" s="2"/>
      <c r="R395" s="2"/>
      <c r="S395" s="2"/>
      <c r="T395" s="2"/>
      <c r="U395" s="2"/>
      <c r="V395" s="1"/>
      <c r="W395" s="1"/>
      <c r="X395" s="1"/>
      <c r="Y395" s="1"/>
      <c r="Z395" s="1"/>
      <c r="AA395" s="1"/>
      <c r="AB395" s="1"/>
      <c r="AC395" s="1"/>
      <c r="AD395" s="1"/>
      <c r="AE395" s="1"/>
      <c r="AF395" s="1"/>
    </row>
    <row r="396">
      <c r="A396" s="1"/>
      <c r="B396" s="2"/>
      <c r="C396" s="117"/>
      <c r="D396" s="2"/>
      <c r="E396" s="2"/>
      <c r="F396" s="2"/>
      <c r="G396" s="2"/>
      <c r="H396" s="2"/>
      <c r="I396" s="117"/>
      <c r="J396" s="2"/>
      <c r="K396" s="2"/>
      <c r="L396" s="2"/>
      <c r="M396" s="2"/>
      <c r="N396" s="2"/>
      <c r="O396" s="2"/>
      <c r="P396" s="2"/>
      <c r="Q396" s="2"/>
      <c r="R396" s="2"/>
      <c r="S396" s="2"/>
      <c r="T396" s="2"/>
      <c r="U396" s="2"/>
      <c r="V396" s="1"/>
      <c r="W396" s="1"/>
      <c r="X396" s="1"/>
      <c r="Y396" s="1"/>
      <c r="Z396" s="1"/>
      <c r="AA396" s="1"/>
      <c r="AB396" s="1"/>
      <c r="AC396" s="1"/>
      <c r="AD396" s="1"/>
      <c r="AE396" s="1"/>
      <c r="AF396" s="1"/>
    </row>
    <row r="397">
      <c r="A397" s="1"/>
      <c r="B397" s="2"/>
      <c r="C397" s="117"/>
      <c r="D397" s="2"/>
      <c r="E397" s="2"/>
      <c r="F397" s="2"/>
      <c r="G397" s="2"/>
      <c r="H397" s="2"/>
      <c r="I397" s="117"/>
      <c r="J397" s="2"/>
      <c r="K397" s="2"/>
      <c r="L397" s="2"/>
      <c r="M397" s="2"/>
      <c r="N397" s="2"/>
      <c r="O397" s="2"/>
      <c r="P397" s="2"/>
      <c r="Q397" s="2"/>
      <c r="R397" s="2"/>
      <c r="S397" s="2"/>
      <c r="T397" s="2"/>
      <c r="U397" s="2"/>
      <c r="V397" s="1"/>
      <c r="W397" s="1"/>
      <c r="X397" s="1"/>
      <c r="Y397" s="1"/>
      <c r="Z397" s="1"/>
      <c r="AA397" s="1"/>
      <c r="AB397" s="1"/>
      <c r="AC397" s="1"/>
      <c r="AD397" s="1"/>
      <c r="AE397" s="1"/>
      <c r="AF397" s="1"/>
    </row>
    <row r="398">
      <c r="A398" s="1"/>
      <c r="B398" s="2"/>
      <c r="C398" s="117"/>
      <c r="D398" s="2"/>
      <c r="E398" s="2"/>
      <c r="F398" s="2"/>
      <c r="G398" s="2"/>
      <c r="H398" s="2"/>
      <c r="I398" s="117"/>
      <c r="J398" s="2"/>
      <c r="K398" s="2"/>
      <c r="L398" s="2"/>
      <c r="M398" s="2"/>
      <c r="N398" s="2"/>
      <c r="O398" s="2"/>
      <c r="P398" s="2"/>
      <c r="Q398" s="2"/>
      <c r="R398" s="2"/>
      <c r="S398" s="2"/>
      <c r="T398" s="2"/>
      <c r="U398" s="2"/>
      <c r="V398" s="1"/>
      <c r="W398" s="1"/>
      <c r="X398" s="1"/>
      <c r="Y398" s="1"/>
      <c r="Z398" s="1"/>
      <c r="AA398" s="1"/>
      <c r="AB398" s="1"/>
      <c r="AC398" s="1"/>
      <c r="AD398" s="1"/>
      <c r="AE398" s="1"/>
      <c r="AF398" s="1"/>
    </row>
    <row r="399">
      <c r="A399" s="1"/>
      <c r="B399" s="2"/>
      <c r="C399" s="117"/>
      <c r="D399" s="2"/>
      <c r="E399" s="2"/>
      <c r="F399" s="2"/>
      <c r="G399" s="2"/>
      <c r="H399" s="2"/>
      <c r="I399" s="117"/>
      <c r="J399" s="2"/>
      <c r="K399" s="2"/>
      <c r="L399" s="2"/>
      <c r="M399" s="2"/>
      <c r="N399" s="2"/>
      <c r="O399" s="2"/>
      <c r="P399" s="2"/>
      <c r="Q399" s="2"/>
      <c r="R399" s="2"/>
      <c r="S399" s="2"/>
      <c r="T399" s="2"/>
      <c r="U399" s="2"/>
      <c r="V399" s="1"/>
      <c r="W399" s="1"/>
      <c r="X399" s="1"/>
      <c r="Y399" s="1"/>
      <c r="Z399" s="1"/>
      <c r="AA399" s="1"/>
      <c r="AB399" s="1"/>
      <c r="AC399" s="1"/>
      <c r="AD399" s="1"/>
      <c r="AE399" s="1"/>
      <c r="AF399" s="1"/>
    </row>
    <row r="400">
      <c r="A400" s="1"/>
      <c r="B400" s="2"/>
      <c r="C400" s="117"/>
      <c r="D400" s="2"/>
      <c r="E400" s="2"/>
      <c r="F400" s="2"/>
      <c r="G400" s="2"/>
      <c r="H400" s="2"/>
      <c r="I400" s="117"/>
      <c r="J400" s="2"/>
      <c r="K400" s="2"/>
      <c r="L400" s="2"/>
      <c r="M400" s="2"/>
      <c r="N400" s="2"/>
      <c r="O400" s="2"/>
      <c r="P400" s="2"/>
      <c r="Q400" s="2"/>
      <c r="R400" s="2"/>
      <c r="S400" s="2"/>
      <c r="T400" s="2"/>
      <c r="U400" s="2"/>
      <c r="V400" s="1"/>
      <c r="W400" s="1"/>
      <c r="X400" s="1"/>
      <c r="Y400" s="1"/>
      <c r="Z400" s="1"/>
      <c r="AA400" s="1"/>
      <c r="AB400" s="1"/>
      <c r="AC400" s="1"/>
      <c r="AD400" s="1"/>
      <c r="AE400" s="1"/>
      <c r="AF400" s="1"/>
    </row>
    <row r="401">
      <c r="A401" s="1"/>
      <c r="B401" s="2"/>
      <c r="C401" s="117"/>
      <c r="D401" s="2"/>
      <c r="E401" s="2"/>
      <c r="F401" s="2"/>
      <c r="G401" s="2"/>
      <c r="H401" s="2"/>
      <c r="I401" s="117"/>
      <c r="J401" s="2"/>
      <c r="K401" s="2"/>
      <c r="L401" s="2"/>
      <c r="M401" s="2"/>
      <c r="N401" s="2"/>
      <c r="O401" s="2"/>
      <c r="P401" s="2"/>
      <c r="Q401" s="2"/>
      <c r="R401" s="2"/>
      <c r="S401" s="2"/>
      <c r="T401" s="2"/>
      <c r="U401" s="2"/>
      <c r="V401" s="1"/>
      <c r="W401" s="1"/>
      <c r="X401" s="1"/>
      <c r="Y401" s="1"/>
      <c r="Z401" s="1"/>
      <c r="AA401" s="1"/>
      <c r="AB401" s="1"/>
      <c r="AC401" s="1"/>
      <c r="AD401" s="1"/>
      <c r="AE401" s="1"/>
      <c r="AF401" s="1"/>
    </row>
    <row r="402">
      <c r="A402" s="1"/>
      <c r="B402" s="2"/>
      <c r="C402" s="117"/>
      <c r="D402" s="2"/>
      <c r="E402" s="2"/>
      <c r="F402" s="2"/>
      <c r="G402" s="2"/>
      <c r="H402" s="2"/>
      <c r="I402" s="117"/>
      <c r="J402" s="2"/>
      <c r="K402" s="2"/>
      <c r="L402" s="2"/>
      <c r="M402" s="2"/>
      <c r="N402" s="2"/>
      <c r="O402" s="2"/>
      <c r="P402" s="2"/>
      <c r="Q402" s="2"/>
      <c r="R402" s="2"/>
      <c r="S402" s="2"/>
      <c r="T402" s="2"/>
      <c r="U402" s="2"/>
      <c r="V402" s="1"/>
      <c r="W402" s="1"/>
      <c r="X402" s="1"/>
      <c r="Y402" s="1"/>
      <c r="Z402" s="1"/>
      <c r="AA402" s="1"/>
      <c r="AB402" s="1"/>
      <c r="AC402" s="1"/>
      <c r="AD402" s="1"/>
      <c r="AE402" s="1"/>
      <c r="AF402" s="1"/>
    </row>
    <row r="403">
      <c r="A403" s="1"/>
      <c r="B403" s="2"/>
      <c r="C403" s="117"/>
      <c r="D403" s="2"/>
      <c r="E403" s="2"/>
      <c r="F403" s="2"/>
      <c r="G403" s="2"/>
      <c r="H403" s="2"/>
      <c r="I403" s="117"/>
      <c r="J403" s="2"/>
      <c r="K403" s="2"/>
      <c r="L403" s="2"/>
      <c r="M403" s="2"/>
      <c r="N403" s="2"/>
      <c r="O403" s="2"/>
      <c r="P403" s="2"/>
      <c r="Q403" s="2"/>
      <c r="R403" s="2"/>
      <c r="S403" s="2"/>
      <c r="T403" s="2"/>
      <c r="U403" s="2"/>
      <c r="V403" s="1"/>
      <c r="W403" s="1"/>
      <c r="X403" s="1"/>
      <c r="Y403" s="1"/>
      <c r="Z403" s="1"/>
      <c r="AA403" s="1"/>
      <c r="AB403" s="1"/>
      <c r="AC403" s="1"/>
      <c r="AD403" s="1"/>
      <c r="AE403" s="1"/>
      <c r="AF403" s="1"/>
    </row>
    <row r="404">
      <c r="A404" s="1"/>
      <c r="B404" s="2"/>
      <c r="C404" s="117"/>
      <c r="D404" s="2"/>
      <c r="E404" s="2"/>
      <c r="F404" s="2"/>
      <c r="G404" s="2"/>
      <c r="H404" s="2"/>
      <c r="I404" s="117"/>
      <c r="J404" s="2"/>
      <c r="K404" s="2"/>
      <c r="L404" s="2"/>
      <c r="M404" s="2"/>
      <c r="N404" s="2"/>
      <c r="O404" s="2"/>
      <c r="P404" s="2"/>
      <c r="Q404" s="2"/>
      <c r="R404" s="2"/>
      <c r="S404" s="2"/>
      <c r="T404" s="2"/>
      <c r="U404" s="2"/>
      <c r="V404" s="1"/>
      <c r="W404" s="1"/>
      <c r="X404" s="1"/>
      <c r="Y404" s="1"/>
      <c r="Z404" s="1"/>
      <c r="AA404" s="1"/>
      <c r="AB404" s="1"/>
      <c r="AC404" s="1"/>
      <c r="AD404" s="1"/>
      <c r="AE404" s="1"/>
      <c r="AF404" s="1"/>
    </row>
    <row r="405">
      <c r="A405" s="1"/>
      <c r="B405" s="2"/>
      <c r="C405" s="117"/>
      <c r="D405" s="2"/>
      <c r="E405" s="2"/>
      <c r="F405" s="2"/>
      <c r="G405" s="2"/>
      <c r="H405" s="2"/>
      <c r="I405" s="117"/>
      <c r="J405" s="2"/>
      <c r="K405" s="2"/>
      <c r="L405" s="2"/>
      <c r="M405" s="2"/>
      <c r="N405" s="2"/>
      <c r="O405" s="2"/>
      <c r="P405" s="2"/>
      <c r="Q405" s="2"/>
      <c r="R405" s="2"/>
      <c r="S405" s="2"/>
      <c r="T405" s="2"/>
      <c r="U405" s="2"/>
      <c r="V405" s="1"/>
      <c r="W405" s="1"/>
      <c r="X405" s="1"/>
      <c r="Y405" s="1"/>
      <c r="Z405" s="1"/>
      <c r="AA405" s="1"/>
      <c r="AB405" s="1"/>
      <c r="AC405" s="1"/>
      <c r="AD405" s="1"/>
      <c r="AE405" s="1"/>
      <c r="AF405" s="1"/>
    </row>
    <row r="406">
      <c r="A406" s="1"/>
      <c r="B406" s="2"/>
      <c r="C406" s="117"/>
      <c r="D406" s="2"/>
      <c r="E406" s="2"/>
      <c r="F406" s="2"/>
      <c r="G406" s="2"/>
      <c r="H406" s="2"/>
      <c r="I406" s="117"/>
      <c r="J406" s="2"/>
      <c r="K406" s="2"/>
      <c r="L406" s="2"/>
      <c r="M406" s="2"/>
      <c r="N406" s="2"/>
      <c r="O406" s="2"/>
      <c r="P406" s="2"/>
      <c r="Q406" s="2"/>
      <c r="R406" s="2"/>
      <c r="S406" s="2"/>
      <c r="T406" s="2"/>
      <c r="U406" s="2"/>
      <c r="V406" s="1"/>
      <c r="W406" s="1"/>
      <c r="X406" s="1"/>
      <c r="Y406" s="1"/>
      <c r="Z406" s="1"/>
      <c r="AA406" s="1"/>
      <c r="AB406" s="1"/>
      <c r="AC406" s="1"/>
      <c r="AD406" s="1"/>
      <c r="AE406" s="1"/>
      <c r="AF406" s="1"/>
    </row>
    <row r="407">
      <c r="A407" s="1"/>
      <c r="B407" s="2"/>
      <c r="C407" s="117"/>
      <c r="D407" s="2"/>
      <c r="E407" s="2"/>
      <c r="F407" s="2"/>
      <c r="G407" s="2"/>
      <c r="H407" s="2"/>
      <c r="I407" s="117"/>
      <c r="J407" s="2"/>
      <c r="K407" s="2"/>
      <c r="L407" s="2"/>
      <c r="M407" s="2"/>
      <c r="N407" s="2"/>
      <c r="O407" s="2"/>
      <c r="P407" s="2"/>
      <c r="Q407" s="2"/>
      <c r="R407" s="2"/>
      <c r="S407" s="2"/>
      <c r="T407" s="2"/>
      <c r="U407" s="2"/>
      <c r="V407" s="1"/>
      <c r="W407" s="1"/>
      <c r="X407" s="1"/>
      <c r="Y407" s="1"/>
      <c r="Z407" s="1"/>
      <c r="AA407" s="1"/>
      <c r="AB407" s="1"/>
      <c r="AC407" s="1"/>
      <c r="AD407" s="1"/>
      <c r="AE407" s="1"/>
      <c r="AF407" s="1"/>
    </row>
    <row r="408">
      <c r="A408" s="1"/>
      <c r="B408" s="2"/>
      <c r="C408" s="117"/>
      <c r="D408" s="2"/>
      <c r="E408" s="2"/>
      <c r="F408" s="2"/>
      <c r="G408" s="2"/>
      <c r="H408" s="2"/>
      <c r="I408" s="117"/>
      <c r="J408" s="2"/>
      <c r="K408" s="2"/>
      <c r="L408" s="2"/>
      <c r="M408" s="2"/>
      <c r="N408" s="2"/>
      <c r="O408" s="2"/>
      <c r="P408" s="2"/>
      <c r="Q408" s="2"/>
      <c r="R408" s="2"/>
      <c r="S408" s="2"/>
      <c r="T408" s="2"/>
      <c r="U408" s="2"/>
      <c r="V408" s="1"/>
      <c r="W408" s="1"/>
      <c r="X408" s="1"/>
      <c r="Y408" s="1"/>
      <c r="Z408" s="1"/>
      <c r="AA408" s="1"/>
      <c r="AB408" s="1"/>
      <c r="AC408" s="1"/>
      <c r="AD408" s="1"/>
      <c r="AE408" s="1"/>
      <c r="AF408" s="1"/>
    </row>
    <row r="409">
      <c r="A409" s="1"/>
      <c r="B409" s="2"/>
      <c r="C409" s="117"/>
      <c r="D409" s="2"/>
      <c r="E409" s="2"/>
      <c r="F409" s="2"/>
      <c r="G409" s="2"/>
      <c r="H409" s="2"/>
      <c r="I409" s="117"/>
      <c r="J409" s="2"/>
      <c r="K409" s="2"/>
      <c r="L409" s="2"/>
      <c r="M409" s="2"/>
      <c r="N409" s="2"/>
      <c r="O409" s="2"/>
      <c r="P409" s="2"/>
      <c r="Q409" s="2"/>
      <c r="R409" s="2"/>
      <c r="S409" s="2"/>
      <c r="T409" s="2"/>
      <c r="U409" s="2"/>
      <c r="V409" s="1"/>
      <c r="W409" s="1"/>
      <c r="X409" s="1"/>
      <c r="Y409" s="1"/>
      <c r="Z409" s="1"/>
      <c r="AA409" s="1"/>
      <c r="AB409" s="1"/>
      <c r="AC409" s="1"/>
      <c r="AD409" s="1"/>
      <c r="AE409" s="1"/>
      <c r="AF409" s="1"/>
    </row>
    <row r="410">
      <c r="A410" s="1"/>
      <c r="B410" s="2"/>
      <c r="C410" s="117"/>
      <c r="D410" s="2"/>
      <c r="E410" s="2"/>
      <c r="F410" s="2"/>
      <c r="G410" s="2"/>
      <c r="H410" s="2"/>
      <c r="I410" s="117"/>
      <c r="J410" s="2"/>
      <c r="K410" s="2"/>
      <c r="L410" s="2"/>
      <c r="M410" s="2"/>
      <c r="N410" s="2"/>
      <c r="O410" s="2"/>
      <c r="P410" s="2"/>
      <c r="Q410" s="2"/>
      <c r="R410" s="2"/>
      <c r="S410" s="2"/>
      <c r="T410" s="2"/>
      <c r="U410" s="2"/>
      <c r="V410" s="1"/>
      <c r="W410" s="1"/>
      <c r="X410" s="1"/>
      <c r="Y410" s="1"/>
      <c r="Z410" s="1"/>
      <c r="AA410" s="1"/>
      <c r="AB410" s="1"/>
      <c r="AC410" s="1"/>
      <c r="AD410" s="1"/>
      <c r="AE410" s="1"/>
      <c r="AF410" s="1"/>
    </row>
    <row r="411">
      <c r="A411" s="1"/>
      <c r="B411" s="2"/>
      <c r="C411" s="117"/>
      <c r="D411" s="2"/>
      <c r="E411" s="2"/>
      <c r="F411" s="2"/>
      <c r="G411" s="2"/>
      <c r="H411" s="2"/>
      <c r="I411" s="117"/>
      <c r="J411" s="2"/>
      <c r="K411" s="2"/>
      <c r="L411" s="2"/>
      <c r="M411" s="2"/>
      <c r="N411" s="2"/>
      <c r="O411" s="2"/>
      <c r="P411" s="2"/>
      <c r="Q411" s="2"/>
      <c r="R411" s="2"/>
      <c r="S411" s="2"/>
      <c r="T411" s="2"/>
      <c r="U411" s="2"/>
      <c r="V411" s="1"/>
      <c r="W411" s="1"/>
      <c r="X411" s="1"/>
      <c r="Y411" s="1"/>
      <c r="Z411" s="1"/>
      <c r="AA411" s="1"/>
      <c r="AB411" s="1"/>
      <c r="AC411" s="1"/>
      <c r="AD411" s="1"/>
      <c r="AE411" s="1"/>
      <c r="AF411" s="1"/>
    </row>
    <row r="412">
      <c r="A412" s="1"/>
      <c r="B412" s="2"/>
      <c r="C412" s="117"/>
      <c r="D412" s="2"/>
      <c r="E412" s="2"/>
      <c r="F412" s="2"/>
      <c r="G412" s="2"/>
      <c r="H412" s="2"/>
      <c r="I412" s="117"/>
      <c r="J412" s="2"/>
      <c r="K412" s="2"/>
      <c r="L412" s="2"/>
      <c r="M412" s="2"/>
      <c r="N412" s="2"/>
      <c r="O412" s="2"/>
      <c r="P412" s="2"/>
      <c r="Q412" s="2"/>
      <c r="R412" s="2"/>
      <c r="S412" s="2"/>
      <c r="T412" s="2"/>
      <c r="U412" s="2"/>
      <c r="V412" s="1"/>
      <c r="W412" s="1"/>
      <c r="X412" s="1"/>
      <c r="Y412" s="1"/>
      <c r="Z412" s="1"/>
      <c r="AA412" s="1"/>
      <c r="AB412" s="1"/>
      <c r="AC412" s="1"/>
      <c r="AD412" s="1"/>
      <c r="AE412" s="1"/>
      <c r="AF412" s="1"/>
    </row>
    <row r="413">
      <c r="A413" s="1"/>
      <c r="B413" s="2"/>
      <c r="C413" s="117"/>
      <c r="D413" s="2"/>
      <c r="E413" s="2"/>
      <c r="F413" s="2"/>
      <c r="G413" s="2"/>
      <c r="H413" s="2"/>
      <c r="I413" s="117"/>
      <c r="J413" s="2"/>
      <c r="K413" s="2"/>
      <c r="L413" s="2"/>
      <c r="M413" s="2"/>
      <c r="N413" s="2"/>
      <c r="O413" s="2"/>
      <c r="P413" s="2"/>
      <c r="Q413" s="2"/>
      <c r="R413" s="2"/>
      <c r="S413" s="2"/>
      <c r="T413" s="2"/>
      <c r="U413" s="2"/>
      <c r="V413" s="1"/>
      <c r="W413" s="1"/>
      <c r="X413" s="1"/>
      <c r="Y413" s="1"/>
      <c r="Z413" s="1"/>
      <c r="AA413" s="1"/>
      <c r="AB413" s="1"/>
      <c r="AC413" s="1"/>
      <c r="AD413" s="1"/>
      <c r="AE413" s="1"/>
      <c r="AF413" s="1"/>
    </row>
    <row r="414">
      <c r="A414" s="1"/>
      <c r="B414" s="2"/>
      <c r="C414" s="117"/>
      <c r="D414" s="2"/>
      <c r="E414" s="2"/>
      <c r="F414" s="2"/>
      <c r="G414" s="2"/>
      <c r="H414" s="2"/>
      <c r="I414" s="117"/>
      <c r="J414" s="2"/>
      <c r="K414" s="2"/>
      <c r="L414" s="2"/>
      <c r="M414" s="2"/>
      <c r="N414" s="2"/>
      <c r="O414" s="2"/>
      <c r="P414" s="2"/>
      <c r="Q414" s="2"/>
      <c r="R414" s="2"/>
      <c r="S414" s="2"/>
      <c r="T414" s="2"/>
      <c r="U414" s="2"/>
      <c r="V414" s="1"/>
      <c r="W414" s="1"/>
      <c r="X414" s="1"/>
      <c r="Y414" s="1"/>
      <c r="Z414" s="1"/>
      <c r="AA414" s="1"/>
      <c r="AB414" s="1"/>
      <c r="AC414" s="1"/>
      <c r="AD414" s="1"/>
      <c r="AE414" s="1"/>
      <c r="AF414" s="1"/>
    </row>
    <row r="415">
      <c r="A415" s="1"/>
      <c r="B415" s="2"/>
      <c r="C415" s="117"/>
      <c r="D415" s="2"/>
      <c r="E415" s="2"/>
      <c r="F415" s="2"/>
      <c r="G415" s="2"/>
      <c r="H415" s="2"/>
      <c r="I415" s="117"/>
      <c r="J415" s="2"/>
      <c r="K415" s="2"/>
      <c r="L415" s="2"/>
      <c r="M415" s="2"/>
      <c r="N415" s="2"/>
      <c r="O415" s="2"/>
      <c r="P415" s="2"/>
      <c r="Q415" s="2"/>
      <c r="R415" s="2"/>
      <c r="S415" s="2"/>
      <c r="T415" s="2"/>
      <c r="U415" s="2"/>
      <c r="V415" s="1"/>
      <c r="W415" s="1"/>
      <c r="X415" s="1"/>
      <c r="Y415" s="1"/>
      <c r="Z415" s="1"/>
      <c r="AA415" s="1"/>
      <c r="AB415" s="1"/>
      <c r="AC415" s="1"/>
      <c r="AD415" s="1"/>
      <c r="AE415" s="1"/>
      <c r="AF415" s="1"/>
    </row>
    <row r="416">
      <c r="A416" s="1"/>
      <c r="B416" s="2"/>
      <c r="C416" s="117"/>
      <c r="D416" s="2"/>
      <c r="E416" s="2"/>
      <c r="F416" s="2"/>
      <c r="G416" s="2"/>
      <c r="H416" s="2"/>
      <c r="I416" s="117"/>
      <c r="J416" s="2"/>
      <c r="K416" s="2"/>
      <c r="L416" s="2"/>
      <c r="M416" s="2"/>
      <c r="N416" s="2"/>
      <c r="O416" s="2"/>
      <c r="P416" s="2"/>
      <c r="Q416" s="2"/>
      <c r="R416" s="2"/>
      <c r="S416" s="2"/>
      <c r="T416" s="2"/>
      <c r="U416" s="2"/>
      <c r="V416" s="1"/>
      <c r="W416" s="1"/>
      <c r="X416" s="1"/>
      <c r="Y416" s="1"/>
      <c r="Z416" s="1"/>
      <c r="AA416" s="1"/>
      <c r="AB416" s="1"/>
      <c r="AC416" s="1"/>
      <c r="AD416" s="1"/>
      <c r="AE416" s="1"/>
      <c r="AF416" s="1"/>
    </row>
    <row r="417">
      <c r="A417" s="1"/>
      <c r="B417" s="2"/>
      <c r="C417" s="117"/>
      <c r="D417" s="2"/>
      <c r="E417" s="2"/>
      <c r="F417" s="2"/>
      <c r="G417" s="2"/>
      <c r="H417" s="2"/>
      <c r="I417" s="117"/>
      <c r="J417" s="2"/>
      <c r="K417" s="2"/>
      <c r="L417" s="2"/>
      <c r="M417" s="2"/>
      <c r="N417" s="2"/>
      <c r="O417" s="2"/>
      <c r="P417" s="2"/>
      <c r="Q417" s="2"/>
      <c r="R417" s="2"/>
      <c r="S417" s="2"/>
      <c r="T417" s="2"/>
      <c r="U417" s="2"/>
      <c r="V417" s="1"/>
      <c r="W417" s="1"/>
      <c r="X417" s="1"/>
      <c r="Y417" s="1"/>
      <c r="Z417" s="1"/>
      <c r="AA417" s="1"/>
      <c r="AB417" s="1"/>
      <c r="AC417" s="1"/>
      <c r="AD417" s="1"/>
      <c r="AE417" s="1"/>
      <c r="AF417" s="1"/>
    </row>
    <row r="418">
      <c r="A418" s="1"/>
      <c r="B418" s="2"/>
      <c r="C418" s="117"/>
      <c r="D418" s="2"/>
      <c r="E418" s="2"/>
      <c r="F418" s="2"/>
      <c r="G418" s="2"/>
      <c r="H418" s="2"/>
      <c r="I418" s="117"/>
      <c r="J418" s="2"/>
      <c r="K418" s="2"/>
      <c r="L418" s="2"/>
      <c r="M418" s="2"/>
      <c r="N418" s="2"/>
      <c r="O418" s="2"/>
      <c r="P418" s="2"/>
      <c r="Q418" s="2"/>
      <c r="R418" s="2"/>
      <c r="S418" s="2"/>
      <c r="T418" s="2"/>
      <c r="U418" s="2"/>
      <c r="V418" s="1"/>
      <c r="W418" s="1"/>
      <c r="X418" s="1"/>
      <c r="Y418" s="1"/>
      <c r="Z418" s="1"/>
      <c r="AA418" s="1"/>
      <c r="AB418" s="1"/>
      <c r="AC418" s="1"/>
      <c r="AD418" s="1"/>
      <c r="AE418" s="1"/>
      <c r="AF418" s="1"/>
    </row>
    <row r="419">
      <c r="A419" s="1"/>
      <c r="B419" s="2"/>
      <c r="C419" s="117"/>
      <c r="D419" s="2"/>
      <c r="E419" s="2"/>
      <c r="F419" s="2"/>
      <c r="G419" s="2"/>
      <c r="H419" s="2"/>
      <c r="I419" s="117"/>
      <c r="J419" s="2"/>
      <c r="K419" s="2"/>
      <c r="L419" s="2"/>
      <c r="M419" s="2"/>
      <c r="N419" s="2"/>
      <c r="O419" s="2"/>
      <c r="P419" s="2"/>
      <c r="Q419" s="2"/>
      <c r="R419" s="2"/>
      <c r="S419" s="2"/>
      <c r="T419" s="2"/>
      <c r="U419" s="2"/>
      <c r="V419" s="1"/>
      <c r="W419" s="1"/>
      <c r="X419" s="1"/>
      <c r="Y419" s="1"/>
      <c r="Z419" s="1"/>
      <c r="AA419" s="1"/>
      <c r="AB419" s="1"/>
      <c r="AC419" s="1"/>
      <c r="AD419" s="1"/>
      <c r="AE419" s="1"/>
      <c r="AF419" s="1"/>
    </row>
    <row r="420">
      <c r="A420" s="1"/>
      <c r="B420" s="2"/>
      <c r="C420" s="117"/>
      <c r="D420" s="2"/>
      <c r="E420" s="2"/>
      <c r="F420" s="2"/>
      <c r="G420" s="2"/>
      <c r="H420" s="2"/>
      <c r="I420" s="117"/>
      <c r="J420" s="2"/>
      <c r="K420" s="2"/>
      <c r="L420" s="2"/>
      <c r="M420" s="2"/>
      <c r="N420" s="2"/>
      <c r="O420" s="2"/>
      <c r="P420" s="2"/>
      <c r="Q420" s="2"/>
      <c r="R420" s="2"/>
      <c r="S420" s="2"/>
      <c r="T420" s="2"/>
      <c r="U420" s="2"/>
      <c r="V420" s="1"/>
      <c r="W420" s="1"/>
      <c r="X420" s="1"/>
      <c r="Y420" s="1"/>
      <c r="Z420" s="1"/>
      <c r="AA420" s="1"/>
      <c r="AB420" s="1"/>
      <c r="AC420" s="1"/>
      <c r="AD420" s="1"/>
      <c r="AE420" s="1"/>
      <c r="AF420" s="1"/>
    </row>
    <row r="421">
      <c r="A421" s="1"/>
      <c r="B421" s="2"/>
      <c r="C421" s="117"/>
      <c r="D421" s="2"/>
      <c r="E421" s="2"/>
      <c r="F421" s="2"/>
      <c r="G421" s="2"/>
      <c r="H421" s="2"/>
      <c r="I421" s="117"/>
      <c r="J421" s="2"/>
      <c r="K421" s="2"/>
      <c r="L421" s="2"/>
      <c r="M421" s="2"/>
      <c r="N421" s="2"/>
      <c r="O421" s="2"/>
      <c r="P421" s="2"/>
      <c r="Q421" s="2"/>
      <c r="R421" s="2"/>
      <c r="S421" s="2"/>
      <c r="T421" s="2"/>
      <c r="U421" s="2"/>
      <c r="V421" s="1"/>
      <c r="W421" s="1"/>
      <c r="X421" s="1"/>
      <c r="Y421" s="1"/>
      <c r="Z421" s="1"/>
      <c r="AA421" s="1"/>
      <c r="AB421" s="1"/>
      <c r="AC421" s="1"/>
      <c r="AD421" s="1"/>
      <c r="AE421" s="1"/>
      <c r="AF421" s="1"/>
    </row>
    <row r="422">
      <c r="A422" s="1"/>
      <c r="B422" s="2"/>
      <c r="C422" s="117"/>
      <c r="D422" s="2"/>
      <c r="E422" s="2"/>
      <c r="F422" s="2"/>
      <c r="G422" s="2"/>
      <c r="H422" s="2"/>
      <c r="I422" s="117"/>
      <c r="J422" s="2"/>
      <c r="K422" s="2"/>
      <c r="L422" s="2"/>
      <c r="M422" s="2"/>
      <c r="N422" s="2"/>
      <c r="O422" s="2"/>
      <c r="P422" s="2"/>
      <c r="Q422" s="2"/>
      <c r="R422" s="2"/>
      <c r="S422" s="2"/>
      <c r="T422" s="2"/>
      <c r="U422" s="2"/>
      <c r="V422" s="1"/>
      <c r="W422" s="1"/>
      <c r="X422" s="1"/>
      <c r="Y422" s="1"/>
      <c r="Z422" s="1"/>
      <c r="AA422" s="1"/>
      <c r="AB422" s="1"/>
      <c r="AC422" s="1"/>
      <c r="AD422" s="1"/>
      <c r="AE422" s="1"/>
      <c r="AF422" s="1"/>
    </row>
    <row r="423">
      <c r="A423" s="1"/>
      <c r="B423" s="2"/>
      <c r="C423" s="117"/>
      <c r="D423" s="2"/>
      <c r="E423" s="2"/>
      <c r="F423" s="2"/>
      <c r="G423" s="2"/>
      <c r="H423" s="2"/>
      <c r="I423" s="117"/>
      <c r="J423" s="2"/>
      <c r="K423" s="2"/>
      <c r="L423" s="2"/>
      <c r="M423" s="2"/>
      <c r="N423" s="2"/>
      <c r="O423" s="2"/>
      <c r="P423" s="2"/>
      <c r="Q423" s="2"/>
      <c r="R423" s="2"/>
      <c r="S423" s="2"/>
      <c r="T423" s="2"/>
      <c r="U423" s="2"/>
      <c r="V423" s="1"/>
      <c r="W423" s="1"/>
      <c r="X423" s="1"/>
      <c r="Y423" s="1"/>
      <c r="Z423" s="1"/>
      <c r="AA423" s="1"/>
      <c r="AB423" s="1"/>
      <c r="AC423" s="1"/>
      <c r="AD423" s="1"/>
      <c r="AE423" s="1"/>
      <c r="AF423" s="1"/>
    </row>
    <row r="424">
      <c r="A424" s="1"/>
      <c r="B424" s="2"/>
      <c r="C424" s="117"/>
      <c r="D424" s="2"/>
      <c r="E424" s="2"/>
      <c r="F424" s="2"/>
      <c r="G424" s="2"/>
      <c r="H424" s="2"/>
      <c r="I424" s="117"/>
      <c r="J424" s="2"/>
      <c r="K424" s="2"/>
      <c r="L424" s="2"/>
      <c r="M424" s="2"/>
      <c r="N424" s="2"/>
      <c r="O424" s="2"/>
      <c r="P424" s="2"/>
      <c r="Q424" s="2"/>
      <c r="R424" s="2"/>
      <c r="S424" s="2"/>
      <c r="T424" s="2"/>
      <c r="U424" s="2"/>
      <c r="V424" s="1"/>
      <c r="W424" s="1"/>
      <c r="X424" s="1"/>
      <c r="Y424" s="1"/>
      <c r="Z424" s="1"/>
      <c r="AA424" s="1"/>
      <c r="AB424" s="1"/>
      <c r="AC424" s="1"/>
      <c r="AD424" s="1"/>
      <c r="AE424" s="1"/>
      <c r="AF424" s="1"/>
    </row>
    <row r="425">
      <c r="A425" s="1"/>
      <c r="B425" s="2"/>
      <c r="C425" s="117"/>
      <c r="D425" s="2"/>
      <c r="E425" s="2"/>
      <c r="F425" s="2"/>
      <c r="G425" s="2"/>
      <c r="H425" s="2"/>
      <c r="I425" s="117"/>
      <c r="J425" s="2"/>
      <c r="K425" s="2"/>
      <c r="L425" s="2"/>
      <c r="M425" s="2"/>
      <c r="N425" s="2"/>
      <c r="O425" s="2"/>
      <c r="P425" s="2"/>
      <c r="Q425" s="2"/>
      <c r="R425" s="2"/>
      <c r="S425" s="2"/>
      <c r="T425" s="2"/>
      <c r="U425" s="2"/>
      <c r="V425" s="1"/>
      <c r="W425" s="1"/>
      <c r="X425" s="1"/>
      <c r="Y425" s="1"/>
      <c r="Z425" s="1"/>
      <c r="AA425" s="1"/>
      <c r="AB425" s="1"/>
      <c r="AC425" s="1"/>
      <c r="AD425" s="1"/>
      <c r="AE425" s="1"/>
      <c r="AF425" s="1"/>
    </row>
    <row r="426">
      <c r="A426" s="1"/>
      <c r="B426" s="2"/>
      <c r="C426" s="117"/>
      <c r="D426" s="2"/>
      <c r="E426" s="2"/>
      <c r="F426" s="2"/>
      <c r="G426" s="2"/>
      <c r="H426" s="2"/>
      <c r="I426" s="117"/>
      <c r="J426" s="2"/>
      <c r="K426" s="2"/>
      <c r="L426" s="2"/>
      <c r="M426" s="2"/>
      <c r="N426" s="2"/>
      <c r="O426" s="2"/>
      <c r="P426" s="2"/>
      <c r="Q426" s="2"/>
      <c r="R426" s="2"/>
      <c r="S426" s="2"/>
      <c r="T426" s="2"/>
      <c r="U426" s="2"/>
      <c r="V426" s="1"/>
      <c r="W426" s="1"/>
      <c r="X426" s="1"/>
      <c r="Y426" s="1"/>
      <c r="Z426" s="1"/>
      <c r="AA426" s="1"/>
      <c r="AB426" s="1"/>
      <c r="AC426" s="1"/>
      <c r="AD426" s="1"/>
      <c r="AE426" s="1"/>
      <c r="AF426" s="1"/>
    </row>
    <row r="427">
      <c r="A427" s="1"/>
      <c r="B427" s="2"/>
      <c r="C427" s="117"/>
      <c r="D427" s="2"/>
      <c r="E427" s="2"/>
      <c r="F427" s="2"/>
      <c r="G427" s="2"/>
      <c r="H427" s="2"/>
      <c r="I427" s="117"/>
      <c r="J427" s="2"/>
      <c r="K427" s="2"/>
      <c r="L427" s="2"/>
      <c r="M427" s="2"/>
      <c r="N427" s="2"/>
      <c r="O427" s="2"/>
      <c r="P427" s="2"/>
      <c r="Q427" s="2"/>
      <c r="R427" s="2"/>
      <c r="S427" s="2"/>
      <c r="T427" s="2"/>
      <c r="U427" s="2"/>
      <c r="V427" s="1"/>
      <c r="W427" s="1"/>
      <c r="X427" s="1"/>
      <c r="Y427" s="1"/>
      <c r="Z427" s="1"/>
      <c r="AA427" s="1"/>
      <c r="AB427" s="1"/>
      <c r="AC427" s="1"/>
      <c r="AD427" s="1"/>
      <c r="AE427" s="1"/>
      <c r="AF427" s="1"/>
    </row>
    <row r="428">
      <c r="A428" s="1"/>
      <c r="B428" s="2"/>
      <c r="C428" s="117"/>
      <c r="D428" s="2"/>
      <c r="E428" s="2"/>
      <c r="F428" s="2"/>
      <c r="G428" s="2"/>
      <c r="H428" s="2"/>
      <c r="I428" s="117"/>
      <c r="J428" s="2"/>
      <c r="K428" s="2"/>
      <c r="L428" s="2"/>
      <c r="M428" s="2"/>
      <c r="N428" s="2"/>
      <c r="O428" s="2"/>
      <c r="P428" s="2"/>
      <c r="Q428" s="2"/>
      <c r="R428" s="2"/>
      <c r="S428" s="2"/>
      <c r="T428" s="2"/>
      <c r="U428" s="2"/>
      <c r="V428" s="1"/>
      <c r="W428" s="1"/>
      <c r="X428" s="1"/>
      <c r="Y428" s="1"/>
      <c r="Z428" s="1"/>
      <c r="AA428" s="1"/>
      <c r="AB428" s="1"/>
      <c r="AC428" s="1"/>
      <c r="AD428" s="1"/>
      <c r="AE428" s="1"/>
      <c r="AF428" s="1"/>
    </row>
    <row r="429">
      <c r="A429" s="1"/>
      <c r="B429" s="2"/>
      <c r="C429" s="117"/>
      <c r="D429" s="2"/>
      <c r="E429" s="2"/>
      <c r="F429" s="2"/>
      <c r="G429" s="2"/>
      <c r="H429" s="2"/>
      <c r="I429" s="117"/>
      <c r="J429" s="2"/>
      <c r="K429" s="2"/>
      <c r="L429" s="2"/>
      <c r="M429" s="2"/>
      <c r="N429" s="2"/>
      <c r="O429" s="2"/>
      <c r="P429" s="2"/>
      <c r="Q429" s="2"/>
      <c r="R429" s="2"/>
      <c r="S429" s="2"/>
      <c r="T429" s="2"/>
      <c r="U429" s="2"/>
      <c r="V429" s="1"/>
      <c r="W429" s="1"/>
      <c r="X429" s="1"/>
      <c r="Y429" s="1"/>
      <c r="Z429" s="1"/>
      <c r="AA429" s="1"/>
      <c r="AB429" s="1"/>
      <c r="AC429" s="1"/>
      <c r="AD429" s="1"/>
      <c r="AE429" s="1"/>
      <c r="AF429" s="1"/>
    </row>
    <row r="430">
      <c r="A430" s="1"/>
      <c r="B430" s="2"/>
      <c r="C430" s="117"/>
      <c r="D430" s="2"/>
      <c r="E430" s="2"/>
      <c r="F430" s="2"/>
      <c r="G430" s="2"/>
      <c r="H430" s="2"/>
      <c r="I430" s="117"/>
      <c r="J430" s="2"/>
      <c r="K430" s="2"/>
      <c r="L430" s="2"/>
      <c r="M430" s="2"/>
      <c r="N430" s="2"/>
      <c r="O430" s="2"/>
      <c r="P430" s="2"/>
      <c r="Q430" s="2"/>
      <c r="R430" s="2"/>
      <c r="S430" s="2"/>
      <c r="T430" s="2"/>
      <c r="U430" s="2"/>
      <c r="V430" s="1"/>
      <c r="W430" s="1"/>
      <c r="X430" s="1"/>
      <c r="Y430" s="1"/>
      <c r="Z430" s="1"/>
      <c r="AA430" s="1"/>
      <c r="AB430" s="1"/>
      <c r="AC430" s="1"/>
      <c r="AD430" s="1"/>
      <c r="AE430" s="1"/>
      <c r="AF430" s="1"/>
    </row>
    <row r="431">
      <c r="A431" s="1"/>
      <c r="B431" s="2"/>
      <c r="C431" s="117"/>
      <c r="D431" s="2"/>
      <c r="E431" s="2"/>
      <c r="F431" s="2"/>
      <c r="G431" s="2"/>
      <c r="H431" s="2"/>
      <c r="I431" s="117"/>
      <c r="J431" s="2"/>
      <c r="K431" s="2"/>
      <c r="L431" s="2"/>
      <c r="M431" s="2"/>
      <c r="N431" s="2"/>
      <c r="O431" s="2"/>
      <c r="P431" s="2"/>
      <c r="Q431" s="2"/>
      <c r="R431" s="2"/>
      <c r="S431" s="2"/>
      <c r="T431" s="2"/>
      <c r="U431" s="2"/>
      <c r="V431" s="1"/>
      <c r="W431" s="1"/>
      <c r="X431" s="1"/>
      <c r="Y431" s="1"/>
      <c r="Z431" s="1"/>
      <c r="AA431" s="1"/>
      <c r="AB431" s="1"/>
      <c r="AC431" s="1"/>
      <c r="AD431" s="1"/>
      <c r="AE431" s="1"/>
      <c r="AF431" s="1"/>
    </row>
    <row r="432">
      <c r="A432" s="1"/>
      <c r="B432" s="2"/>
      <c r="C432" s="117"/>
      <c r="D432" s="2"/>
      <c r="E432" s="2"/>
      <c r="F432" s="2"/>
      <c r="G432" s="2"/>
      <c r="H432" s="2"/>
      <c r="I432" s="117"/>
      <c r="J432" s="2"/>
      <c r="K432" s="2"/>
      <c r="L432" s="2"/>
      <c r="M432" s="2"/>
      <c r="N432" s="2"/>
      <c r="O432" s="2"/>
      <c r="P432" s="2"/>
      <c r="Q432" s="2"/>
      <c r="R432" s="2"/>
      <c r="S432" s="2"/>
      <c r="T432" s="2"/>
      <c r="U432" s="2"/>
      <c r="V432" s="1"/>
      <c r="W432" s="1"/>
      <c r="X432" s="1"/>
      <c r="Y432" s="1"/>
      <c r="Z432" s="1"/>
      <c r="AA432" s="1"/>
      <c r="AB432" s="1"/>
      <c r="AC432" s="1"/>
      <c r="AD432" s="1"/>
      <c r="AE432" s="1"/>
      <c r="AF432" s="1"/>
    </row>
    <row r="433">
      <c r="A433" s="1"/>
      <c r="B433" s="2"/>
      <c r="C433" s="117"/>
      <c r="D433" s="2"/>
      <c r="E433" s="2"/>
      <c r="F433" s="2"/>
      <c r="G433" s="2"/>
      <c r="H433" s="2"/>
      <c r="I433" s="117"/>
      <c r="J433" s="2"/>
      <c r="K433" s="2"/>
      <c r="L433" s="2"/>
      <c r="M433" s="2"/>
      <c r="N433" s="2"/>
      <c r="O433" s="2"/>
      <c r="P433" s="2"/>
      <c r="Q433" s="2"/>
      <c r="R433" s="2"/>
      <c r="S433" s="2"/>
      <c r="T433" s="2"/>
      <c r="U433" s="2"/>
      <c r="V433" s="1"/>
      <c r="W433" s="1"/>
      <c r="X433" s="1"/>
      <c r="Y433" s="1"/>
      <c r="Z433" s="1"/>
      <c r="AA433" s="1"/>
      <c r="AB433" s="1"/>
      <c r="AC433" s="1"/>
      <c r="AD433" s="1"/>
      <c r="AE433" s="1"/>
      <c r="AF433" s="1"/>
    </row>
    <row r="434">
      <c r="A434" s="1"/>
      <c r="B434" s="2"/>
      <c r="C434" s="117"/>
      <c r="D434" s="2"/>
      <c r="E434" s="2"/>
      <c r="F434" s="2"/>
      <c r="G434" s="2"/>
      <c r="H434" s="2"/>
      <c r="I434" s="117"/>
      <c r="J434" s="2"/>
      <c r="K434" s="2"/>
      <c r="L434" s="2"/>
      <c r="M434" s="2"/>
      <c r="N434" s="2"/>
      <c r="O434" s="2"/>
      <c r="P434" s="2"/>
      <c r="Q434" s="2"/>
      <c r="R434" s="2"/>
      <c r="S434" s="2"/>
      <c r="T434" s="2"/>
      <c r="U434" s="2"/>
      <c r="V434" s="1"/>
      <c r="W434" s="1"/>
      <c r="X434" s="1"/>
      <c r="Y434" s="1"/>
      <c r="Z434" s="1"/>
      <c r="AA434" s="1"/>
      <c r="AB434" s="1"/>
      <c r="AC434" s="1"/>
      <c r="AD434" s="1"/>
      <c r="AE434" s="1"/>
      <c r="AF434" s="1"/>
    </row>
    <row r="435">
      <c r="A435" s="1"/>
      <c r="B435" s="2"/>
      <c r="C435" s="117"/>
      <c r="D435" s="2"/>
      <c r="E435" s="2"/>
      <c r="F435" s="2"/>
      <c r="G435" s="2"/>
      <c r="H435" s="2"/>
      <c r="I435" s="117"/>
      <c r="J435" s="2"/>
      <c r="K435" s="2"/>
      <c r="L435" s="2"/>
      <c r="M435" s="2"/>
      <c r="N435" s="2"/>
      <c r="O435" s="2"/>
      <c r="P435" s="2"/>
      <c r="Q435" s="2"/>
      <c r="R435" s="2"/>
      <c r="S435" s="2"/>
      <c r="T435" s="2"/>
      <c r="U435" s="2"/>
      <c r="V435" s="1"/>
      <c r="W435" s="1"/>
      <c r="X435" s="1"/>
      <c r="Y435" s="1"/>
      <c r="Z435" s="1"/>
      <c r="AA435" s="1"/>
      <c r="AB435" s="1"/>
      <c r="AC435" s="1"/>
      <c r="AD435" s="1"/>
      <c r="AE435" s="1"/>
      <c r="AF435" s="1"/>
    </row>
    <row r="436">
      <c r="A436" s="1"/>
      <c r="B436" s="2"/>
      <c r="C436" s="117"/>
      <c r="D436" s="2"/>
      <c r="E436" s="2"/>
      <c r="F436" s="2"/>
      <c r="G436" s="2"/>
      <c r="H436" s="2"/>
      <c r="I436" s="117"/>
      <c r="J436" s="2"/>
      <c r="K436" s="2"/>
      <c r="L436" s="2"/>
      <c r="M436" s="2"/>
      <c r="N436" s="2"/>
      <c r="O436" s="2"/>
      <c r="P436" s="2"/>
      <c r="Q436" s="2"/>
      <c r="R436" s="2"/>
      <c r="S436" s="2"/>
      <c r="T436" s="2"/>
      <c r="U436" s="2"/>
      <c r="V436" s="1"/>
      <c r="W436" s="1"/>
      <c r="X436" s="1"/>
      <c r="Y436" s="1"/>
      <c r="Z436" s="1"/>
      <c r="AA436" s="1"/>
      <c r="AB436" s="1"/>
      <c r="AC436" s="1"/>
      <c r="AD436" s="1"/>
      <c r="AE436" s="1"/>
      <c r="AF436" s="1"/>
    </row>
    <row r="437">
      <c r="A437" s="1"/>
      <c r="B437" s="2"/>
      <c r="C437" s="117"/>
      <c r="D437" s="2"/>
      <c r="E437" s="2"/>
      <c r="F437" s="2"/>
      <c r="G437" s="2"/>
      <c r="H437" s="2"/>
      <c r="I437" s="117"/>
      <c r="J437" s="2"/>
      <c r="K437" s="2"/>
      <c r="L437" s="2"/>
      <c r="M437" s="2"/>
      <c r="N437" s="2"/>
      <c r="O437" s="2"/>
      <c r="P437" s="2"/>
      <c r="Q437" s="2"/>
      <c r="R437" s="2"/>
      <c r="S437" s="2"/>
      <c r="T437" s="2"/>
      <c r="U437" s="2"/>
      <c r="V437" s="1"/>
      <c r="W437" s="1"/>
      <c r="X437" s="1"/>
      <c r="Y437" s="1"/>
      <c r="Z437" s="1"/>
      <c r="AA437" s="1"/>
      <c r="AB437" s="1"/>
      <c r="AC437" s="1"/>
      <c r="AD437" s="1"/>
      <c r="AE437" s="1"/>
      <c r="AF437" s="1"/>
    </row>
    <row r="438">
      <c r="A438" s="1"/>
      <c r="B438" s="2"/>
      <c r="C438" s="117"/>
      <c r="D438" s="2"/>
      <c r="E438" s="2"/>
      <c r="F438" s="2"/>
      <c r="G438" s="2"/>
      <c r="H438" s="2"/>
      <c r="I438" s="117"/>
      <c r="J438" s="2"/>
      <c r="K438" s="2"/>
      <c r="L438" s="2"/>
      <c r="M438" s="2"/>
      <c r="N438" s="2"/>
      <c r="O438" s="2"/>
      <c r="P438" s="2"/>
      <c r="Q438" s="2"/>
      <c r="R438" s="2"/>
      <c r="S438" s="2"/>
      <c r="T438" s="2"/>
      <c r="U438" s="2"/>
      <c r="V438" s="1"/>
      <c r="W438" s="1"/>
      <c r="X438" s="1"/>
      <c r="Y438" s="1"/>
      <c r="Z438" s="1"/>
      <c r="AA438" s="1"/>
      <c r="AB438" s="1"/>
      <c r="AC438" s="1"/>
      <c r="AD438" s="1"/>
      <c r="AE438" s="1"/>
      <c r="AF438" s="1"/>
    </row>
    <row r="439">
      <c r="A439" s="1"/>
      <c r="B439" s="2"/>
      <c r="C439" s="117"/>
      <c r="D439" s="2"/>
      <c r="E439" s="2"/>
      <c r="F439" s="2"/>
      <c r="G439" s="2"/>
      <c r="H439" s="2"/>
      <c r="I439" s="117"/>
      <c r="J439" s="2"/>
      <c r="K439" s="2"/>
      <c r="L439" s="2"/>
      <c r="M439" s="2"/>
      <c r="N439" s="2"/>
      <c r="O439" s="2"/>
      <c r="P439" s="2"/>
      <c r="Q439" s="2"/>
      <c r="R439" s="2"/>
      <c r="S439" s="2"/>
      <c r="T439" s="2"/>
      <c r="U439" s="2"/>
      <c r="V439" s="1"/>
      <c r="W439" s="1"/>
      <c r="X439" s="1"/>
      <c r="Y439" s="1"/>
      <c r="Z439" s="1"/>
      <c r="AA439" s="1"/>
      <c r="AB439" s="1"/>
      <c r="AC439" s="1"/>
      <c r="AD439" s="1"/>
      <c r="AE439" s="1"/>
      <c r="AF439" s="1"/>
    </row>
    <row r="440">
      <c r="A440" s="1"/>
      <c r="B440" s="2"/>
      <c r="C440" s="117"/>
      <c r="D440" s="2"/>
      <c r="E440" s="2"/>
      <c r="F440" s="2"/>
      <c r="G440" s="2"/>
      <c r="H440" s="2"/>
      <c r="I440" s="117"/>
      <c r="J440" s="2"/>
      <c r="K440" s="2"/>
      <c r="L440" s="2"/>
      <c r="M440" s="2"/>
      <c r="N440" s="2"/>
      <c r="O440" s="2"/>
      <c r="P440" s="2"/>
      <c r="Q440" s="2"/>
      <c r="R440" s="2"/>
      <c r="S440" s="2"/>
      <c r="T440" s="2"/>
      <c r="U440" s="2"/>
      <c r="V440" s="1"/>
      <c r="W440" s="1"/>
      <c r="X440" s="1"/>
      <c r="Y440" s="1"/>
      <c r="Z440" s="1"/>
      <c r="AA440" s="1"/>
      <c r="AB440" s="1"/>
      <c r="AC440" s="1"/>
      <c r="AD440" s="1"/>
      <c r="AE440" s="1"/>
      <c r="AF440" s="1"/>
    </row>
    <row r="441">
      <c r="A441" s="1"/>
      <c r="B441" s="2"/>
      <c r="C441" s="117"/>
      <c r="D441" s="2"/>
      <c r="E441" s="2"/>
      <c r="F441" s="2"/>
      <c r="G441" s="2"/>
      <c r="H441" s="2"/>
      <c r="I441" s="117"/>
      <c r="J441" s="2"/>
      <c r="K441" s="2"/>
      <c r="L441" s="2"/>
      <c r="M441" s="2"/>
      <c r="N441" s="2"/>
      <c r="O441" s="2"/>
      <c r="P441" s="2"/>
      <c r="Q441" s="2"/>
      <c r="R441" s="2"/>
      <c r="S441" s="2"/>
      <c r="T441" s="2"/>
      <c r="U441" s="2"/>
      <c r="V441" s="1"/>
      <c r="W441" s="1"/>
      <c r="X441" s="1"/>
      <c r="Y441" s="1"/>
      <c r="Z441" s="1"/>
      <c r="AA441" s="1"/>
      <c r="AB441" s="1"/>
      <c r="AC441" s="1"/>
      <c r="AD441" s="1"/>
      <c r="AE441" s="1"/>
      <c r="AF441" s="1"/>
    </row>
    <row r="442">
      <c r="A442" s="1"/>
      <c r="B442" s="2"/>
      <c r="C442" s="117"/>
      <c r="D442" s="2"/>
      <c r="E442" s="2"/>
      <c r="F442" s="2"/>
      <c r="G442" s="2"/>
      <c r="H442" s="2"/>
      <c r="I442" s="117"/>
      <c r="J442" s="2"/>
      <c r="K442" s="2"/>
      <c r="L442" s="2"/>
      <c r="M442" s="2"/>
      <c r="N442" s="2"/>
      <c r="O442" s="2"/>
      <c r="P442" s="2"/>
      <c r="Q442" s="2"/>
      <c r="R442" s="2"/>
      <c r="S442" s="2"/>
      <c r="T442" s="2"/>
      <c r="U442" s="2"/>
      <c r="V442" s="1"/>
      <c r="W442" s="1"/>
      <c r="X442" s="1"/>
      <c r="Y442" s="1"/>
      <c r="Z442" s="1"/>
      <c r="AA442" s="1"/>
      <c r="AB442" s="1"/>
      <c r="AC442" s="1"/>
      <c r="AD442" s="1"/>
      <c r="AE442" s="1"/>
      <c r="AF442" s="1"/>
    </row>
    <row r="443">
      <c r="A443" s="1"/>
      <c r="B443" s="2"/>
      <c r="C443" s="117"/>
      <c r="D443" s="2"/>
      <c r="E443" s="2"/>
      <c r="F443" s="2"/>
      <c r="G443" s="2"/>
      <c r="H443" s="2"/>
      <c r="I443" s="117"/>
      <c r="J443" s="2"/>
      <c r="K443" s="2"/>
      <c r="L443" s="2"/>
      <c r="M443" s="2"/>
      <c r="N443" s="2"/>
      <c r="O443" s="2"/>
      <c r="P443" s="2"/>
      <c r="Q443" s="2"/>
      <c r="R443" s="2"/>
      <c r="S443" s="2"/>
      <c r="T443" s="2"/>
      <c r="U443" s="2"/>
      <c r="V443" s="1"/>
      <c r="W443" s="1"/>
      <c r="X443" s="1"/>
      <c r="Y443" s="1"/>
      <c r="Z443" s="1"/>
      <c r="AA443" s="1"/>
      <c r="AB443" s="1"/>
      <c r="AC443" s="1"/>
      <c r="AD443" s="1"/>
      <c r="AE443" s="1"/>
      <c r="AF443" s="1"/>
    </row>
    <row r="444">
      <c r="A444" s="1"/>
      <c r="B444" s="2"/>
      <c r="C444" s="117"/>
      <c r="D444" s="2"/>
      <c r="E444" s="2"/>
      <c r="F444" s="2"/>
      <c r="G444" s="2"/>
      <c r="H444" s="2"/>
      <c r="I444" s="117"/>
      <c r="J444" s="2"/>
      <c r="K444" s="2"/>
      <c r="L444" s="2"/>
      <c r="M444" s="2"/>
      <c r="N444" s="2"/>
      <c r="O444" s="2"/>
      <c r="P444" s="2"/>
      <c r="Q444" s="2"/>
      <c r="R444" s="2"/>
      <c r="S444" s="2"/>
      <c r="T444" s="2"/>
      <c r="U444" s="2"/>
      <c r="V444" s="1"/>
      <c r="W444" s="1"/>
      <c r="X444" s="1"/>
      <c r="Y444" s="1"/>
      <c r="Z444" s="1"/>
      <c r="AA444" s="1"/>
      <c r="AB444" s="1"/>
      <c r="AC444" s="1"/>
      <c r="AD444" s="1"/>
      <c r="AE444" s="1"/>
      <c r="AF444" s="1"/>
    </row>
    <row r="445">
      <c r="A445" s="1"/>
      <c r="B445" s="2"/>
      <c r="C445" s="117"/>
      <c r="D445" s="2"/>
      <c r="E445" s="2"/>
      <c r="F445" s="2"/>
      <c r="G445" s="2"/>
      <c r="H445" s="2"/>
      <c r="I445" s="117"/>
      <c r="J445" s="2"/>
      <c r="K445" s="2"/>
      <c r="L445" s="2"/>
      <c r="M445" s="2"/>
      <c r="N445" s="2"/>
      <c r="O445" s="2"/>
      <c r="P445" s="2"/>
      <c r="Q445" s="2"/>
      <c r="R445" s="2"/>
      <c r="S445" s="2"/>
      <c r="T445" s="2"/>
      <c r="U445" s="2"/>
      <c r="V445" s="1"/>
      <c r="W445" s="1"/>
      <c r="X445" s="1"/>
      <c r="Y445" s="1"/>
      <c r="Z445" s="1"/>
      <c r="AA445" s="1"/>
      <c r="AB445" s="1"/>
      <c r="AC445" s="1"/>
      <c r="AD445" s="1"/>
      <c r="AE445" s="1"/>
      <c r="AF445" s="1"/>
    </row>
    <row r="446">
      <c r="A446" s="1"/>
      <c r="B446" s="2"/>
      <c r="C446" s="117"/>
      <c r="D446" s="2"/>
      <c r="E446" s="2"/>
      <c r="F446" s="2"/>
      <c r="G446" s="2"/>
      <c r="H446" s="2"/>
      <c r="I446" s="117"/>
      <c r="J446" s="2"/>
      <c r="K446" s="2"/>
      <c r="L446" s="2"/>
      <c r="M446" s="2"/>
      <c r="N446" s="2"/>
      <c r="O446" s="2"/>
      <c r="P446" s="2"/>
      <c r="Q446" s="2"/>
      <c r="R446" s="2"/>
      <c r="S446" s="2"/>
      <c r="T446" s="2"/>
      <c r="U446" s="2"/>
      <c r="V446" s="1"/>
      <c r="W446" s="1"/>
      <c r="X446" s="1"/>
      <c r="Y446" s="1"/>
      <c r="Z446" s="1"/>
      <c r="AA446" s="1"/>
      <c r="AB446" s="1"/>
      <c r="AC446" s="1"/>
      <c r="AD446" s="1"/>
      <c r="AE446" s="1"/>
      <c r="AF446" s="1"/>
    </row>
    <row r="447">
      <c r="A447" s="1"/>
      <c r="B447" s="2"/>
      <c r="C447" s="117"/>
      <c r="D447" s="2"/>
      <c r="E447" s="2"/>
      <c r="F447" s="2"/>
      <c r="G447" s="2"/>
      <c r="H447" s="2"/>
      <c r="I447" s="117"/>
      <c r="J447" s="2"/>
      <c r="K447" s="2"/>
      <c r="L447" s="2"/>
      <c r="M447" s="2"/>
      <c r="N447" s="2"/>
      <c r="O447" s="2"/>
      <c r="P447" s="2"/>
      <c r="Q447" s="2"/>
      <c r="R447" s="2"/>
      <c r="S447" s="2"/>
      <c r="T447" s="2"/>
      <c r="U447" s="2"/>
      <c r="V447" s="1"/>
      <c r="W447" s="1"/>
      <c r="X447" s="1"/>
      <c r="Y447" s="1"/>
      <c r="Z447" s="1"/>
      <c r="AA447" s="1"/>
      <c r="AB447" s="1"/>
      <c r="AC447" s="1"/>
      <c r="AD447" s="1"/>
      <c r="AE447" s="1"/>
      <c r="AF447" s="1"/>
    </row>
    <row r="448">
      <c r="A448" s="1"/>
      <c r="B448" s="2"/>
      <c r="C448" s="117"/>
      <c r="D448" s="2"/>
      <c r="E448" s="2"/>
      <c r="F448" s="2"/>
      <c r="G448" s="2"/>
      <c r="H448" s="2"/>
      <c r="I448" s="117"/>
      <c r="J448" s="2"/>
      <c r="K448" s="2"/>
      <c r="L448" s="2"/>
      <c r="M448" s="2"/>
      <c r="N448" s="2"/>
      <c r="O448" s="2"/>
      <c r="P448" s="2"/>
      <c r="Q448" s="2"/>
      <c r="R448" s="2"/>
      <c r="S448" s="2"/>
      <c r="T448" s="2"/>
      <c r="U448" s="2"/>
      <c r="V448" s="1"/>
      <c r="W448" s="1"/>
      <c r="X448" s="1"/>
      <c r="Y448" s="1"/>
      <c r="Z448" s="1"/>
      <c r="AA448" s="1"/>
      <c r="AB448" s="1"/>
      <c r="AC448" s="1"/>
      <c r="AD448" s="1"/>
      <c r="AE448" s="1"/>
      <c r="AF448" s="1"/>
    </row>
    <row r="449">
      <c r="A449" s="1"/>
      <c r="B449" s="2"/>
      <c r="C449" s="117"/>
      <c r="D449" s="2"/>
      <c r="E449" s="2"/>
      <c r="F449" s="2"/>
      <c r="G449" s="2"/>
      <c r="H449" s="2"/>
      <c r="I449" s="117"/>
      <c r="J449" s="2"/>
      <c r="K449" s="2"/>
      <c r="L449" s="2"/>
      <c r="M449" s="2"/>
      <c r="N449" s="2"/>
      <c r="O449" s="2"/>
      <c r="P449" s="2"/>
      <c r="Q449" s="2"/>
      <c r="R449" s="2"/>
      <c r="S449" s="2"/>
      <c r="T449" s="2"/>
      <c r="U449" s="2"/>
      <c r="V449" s="1"/>
      <c r="W449" s="1"/>
      <c r="X449" s="1"/>
      <c r="Y449" s="1"/>
      <c r="Z449" s="1"/>
      <c r="AA449" s="1"/>
      <c r="AB449" s="1"/>
      <c r="AC449" s="1"/>
      <c r="AD449" s="1"/>
      <c r="AE449" s="1"/>
      <c r="AF449" s="1"/>
    </row>
    <row r="450">
      <c r="A450" s="1"/>
      <c r="B450" s="2"/>
      <c r="C450" s="117"/>
      <c r="D450" s="2"/>
      <c r="E450" s="2"/>
      <c r="F450" s="2"/>
      <c r="G450" s="2"/>
      <c r="H450" s="2"/>
      <c r="I450" s="117"/>
      <c r="J450" s="2"/>
      <c r="K450" s="2"/>
      <c r="L450" s="2"/>
      <c r="M450" s="2"/>
      <c r="N450" s="2"/>
      <c r="O450" s="2"/>
      <c r="P450" s="2"/>
      <c r="Q450" s="2"/>
      <c r="R450" s="2"/>
      <c r="S450" s="2"/>
      <c r="T450" s="2"/>
      <c r="U450" s="2"/>
      <c r="V450" s="1"/>
      <c r="W450" s="1"/>
      <c r="X450" s="1"/>
      <c r="Y450" s="1"/>
      <c r="Z450" s="1"/>
      <c r="AA450" s="1"/>
      <c r="AB450" s="1"/>
      <c r="AC450" s="1"/>
      <c r="AD450" s="1"/>
      <c r="AE450" s="1"/>
      <c r="AF450" s="1"/>
    </row>
    <row r="451">
      <c r="A451" s="1"/>
      <c r="B451" s="2"/>
      <c r="C451" s="117"/>
      <c r="D451" s="2"/>
      <c r="E451" s="2"/>
      <c r="F451" s="2"/>
      <c r="G451" s="2"/>
      <c r="H451" s="2"/>
      <c r="I451" s="117"/>
      <c r="J451" s="2"/>
      <c r="K451" s="2"/>
      <c r="L451" s="2"/>
      <c r="M451" s="2"/>
      <c r="N451" s="2"/>
      <c r="O451" s="2"/>
      <c r="P451" s="2"/>
      <c r="Q451" s="2"/>
      <c r="R451" s="2"/>
      <c r="S451" s="2"/>
      <c r="T451" s="2"/>
      <c r="U451" s="2"/>
      <c r="V451" s="1"/>
      <c r="W451" s="1"/>
      <c r="X451" s="1"/>
      <c r="Y451" s="1"/>
      <c r="Z451" s="1"/>
      <c r="AA451" s="1"/>
      <c r="AB451" s="1"/>
      <c r="AC451" s="1"/>
      <c r="AD451" s="1"/>
      <c r="AE451" s="1"/>
      <c r="AF451" s="1"/>
    </row>
    <row r="452">
      <c r="A452" s="1"/>
      <c r="B452" s="2"/>
      <c r="C452" s="117"/>
      <c r="D452" s="2"/>
      <c r="E452" s="2"/>
      <c r="F452" s="2"/>
      <c r="G452" s="2"/>
      <c r="H452" s="2"/>
      <c r="I452" s="117"/>
      <c r="J452" s="2"/>
      <c r="K452" s="2"/>
      <c r="L452" s="2"/>
      <c r="M452" s="2"/>
      <c r="N452" s="2"/>
      <c r="O452" s="2"/>
      <c r="P452" s="2"/>
      <c r="Q452" s="2"/>
      <c r="R452" s="2"/>
      <c r="S452" s="2"/>
      <c r="T452" s="2"/>
      <c r="U452" s="2"/>
      <c r="V452" s="1"/>
      <c r="W452" s="1"/>
      <c r="X452" s="1"/>
      <c r="Y452" s="1"/>
      <c r="Z452" s="1"/>
      <c r="AA452" s="1"/>
      <c r="AB452" s="1"/>
      <c r="AC452" s="1"/>
      <c r="AD452" s="1"/>
      <c r="AE452" s="1"/>
      <c r="AF452" s="1"/>
    </row>
    <row r="453">
      <c r="A453" s="1"/>
      <c r="B453" s="2"/>
      <c r="C453" s="117"/>
      <c r="D453" s="2"/>
      <c r="E453" s="2"/>
      <c r="F453" s="2"/>
      <c r="G453" s="2"/>
      <c r="H453" s="2"/>
      <c r="I453" s="117"/>
      <c r="J453" s="2"/>
      <c r="K453" s="2"/>
      <c r="L453" s="2"/>
      <c r="M453" s="2"/>
      <c r="N453" s="2"/>
      <c r="O453" s="2"/>
      <c r="P453" s="2"/>
      <c r="Q453" s="2"/>
      <c r="R453" s="2"/>
      <c r="S453" s="2"/>
      <c r="T453" s="2"/>
      <c r="U453" s="2"/>
      <c r="V453" s="1"/>
      <c r="W453" s="1"/>
      <c r="X453" s="1"/>
      <c r="Y453" s="1"/>
      <c r="Z453" s="1"/>
      <c r="AA453" s="1"/>
      <c r="AB453" s="1"/>
      <c r="AC453" s="1"/>
      <c r="AD453" s="1"/>
      <c r="AE453" s="1"/>
      <c r="AF453" s="1"/>
    </row>
    <row r="454">
      <c r="A454" s="1"/>
      <c r="B454" s="2"/>
      <c r="C454" s="117"/>
      <c r="D454" s="2"/>
      <c r="E454" s="2"/>
      <c r="F454" s="2"/>
      <c r="G454" s="2"/>
      <c r="H454" s="2"/>
      <c r="I454" s="117"/>
      <c r="J454" s="2"/>
      <c r="K454" s="2"/>
      <c r="L454" s="2"/>
      <c r="M454" s="2"/>
      <c r="N454" s="2"/>
      <c r="O454" s="2"/>
      <c r="P454" s="2"/>
      <c r="Q454" s="2"/>
      <c r="R454" s="2"/>
      <c r="S454" s="2"/>
      <c r="T454" s="2"/>
      <c r="U454" s="2"/>
      <c r="V454" s="1"/>
      <c r="W454" s="1"/>
      <c r="X454" s="1"/>
      <c r="Y454" s="1"/>
      <c r="Z454" s="1"/>
      <c r="AA454" s="1"/>
      <c r="AB454" s="1"/>
      <c r="AC454" s="1"/>
      <c r="AD454" s="1"/>
      <c r="AE454" s="1"/>
      <c r="AF454" s="1"/>
    </row>
    <row r="455">
      <c r="A455" s="1"/>
      <c r="B455" s="2"/>
      <c r="C455" s="117"/>
      <c r="D455" s="2"/>
      <c r="E455" s="2"/>
      <c r="F455" s="2"/>
      <c r="G455" s="2"/>
      <c r="H455" s="2"/>
      <c r="I455" s="117"/>
      <c r="J455" s="2"/>
      <c r="K455" s="2"/>
      <c r="L455" s="2"/>
      <c r="M455" s="2"/>
      <c r="N455" s="2"/>
      <c r="O455" s="2"/>
      <c r="P455" s="2"/>
      <c r="Q455" s="2"/>
      <c r="R455" s="2"/>
      <c r="S455" s="2"/>
      <c r="T455" s="2"/>
      <c r="U455" s="2"/>
      <c r="V455" s="1"/>
      <c r="W455" s="1"/>
      <c r="X455" s="1"/>
      <c r="Y455" s="1"/>
      <c r="Z455" s="1"/>
      <c r="AA455" s="1"/>
      <c r="AB455" s="1"/>
      <c r="AC455" s="1"/>
      <c r="AD455" s="1"/>
      <c r="AE455" s="1"/>
      <c r="AF455" s="1"/>
    </row>
    <row r="456">
      <c r="A456" s="1"/>
      <c r="B456" s="2"/>
      <c r="C456" s="117"/>
      <c r="D456" s="2"/>
      <c r="E456" s="2"/>
      <c r="F456" s="2"/>
      <c r="G456" s="2"/>
      <c r="H456" s="2"/>
      <c r="I456" s="117"/>
      <c r="J456" s="2"/>
      <c r="K456" s="2"/>
      <c r="L456" s="2"/>
      <c r="M456" s="2"/>
      <c r="N456" s="2"/>
      <c r="O456" s="2"/>
      <c r="P456" s="2"/>
      <c r="Q456" s="2"/>
      <c r="R456" s="2"/>
      <c r="S456" s="2"/>
      <c r="T456" s="2"/>
      <c r="U456" s="2"/>
      <c r="V456" s="1"/>
      <c r="W456" s="1"/>
      <c r="X456" s="1"/>
      <c r="Y456" s="1"/>
      <c r="Z456" s="1"/>
      <c r="AA456" s="1"/>
      <c r="AB456" s="1"/>
      <c r="AC456" s="1"/>
      <c r="AD456" s="1"/>
      <c r="AE456" s="1"/>
      <c r="AF456" s="1"/>
    </row>
    <row r="457">
      <c r="A457" s="1"/>
      <c r="B457" s="2"/>
      <c r="C457" s="117"/>
      <c r="D457" s="2"/>
      <c r="E457" s="2"/>
      <c r="F457" s="2"/>
      <c r="G457" s="2"/>
      <c r="H457" s="2"/>
      <c r="I457" s="117"/>
      <c r="J457" s="2"/>
      <c r="K457" s="2"/>
      <c r="L457" s="2"/>
      <c r="M457" s="2"/>
      <c r="N457" s="2"/>
      <c r="O457" s="2"/>
      <c r="P457" s="2"/>
      <c r="Q457" s="2"/>
      <c r="R457" s="2"/>
      <c r="S457" s="2"/>
      <c r="T457" s="2"/>
      <c r="U457" s="2"/>
      <c r="V457" s="1"/>
      <c r="W457" s="1"/>
      <c r="X457" s="1"/>
      <c r="Y457" s="1"/>
      <c r="Z457" s="1"/>
      <c r="AA457" s="1"/>
      <c r="AB457" s="1"/>
      <c r="AC457" s="1"/>
      <c r="AD457" s="1"/>
      <c r="AE457" s="1"/>
      <c r="AF457" s="1"/>
    </row>
    <row r="458">
      <c r="A458" s="1"/>
      <c r="B458" s="2"/>
      <c r="C458" s="117"/>
      <c r="D458" s="2"/>
      <c r="E458" s="2"/>
      <c r="F458" s="2"/>
      <c r="G458" s="2"/>
      <c r="H458" s="2"/>
      <c r="I458" s="117"/>
      <c r="J458" s="2"/>
      <c r="K458" s="2"/>
      <c r="L458" s="2"/>
      <c r="M458" s="2"/>
      <c r="N458" s="2"/>
      <c r="O458" s="2"/>
      <c r="P458" s="2"/>
      <c r="Q458" s="2"/>
      <c r="R458" s="2"/>
      <c r="S458" s="2"/>
      <c r="T458" s="2"/>
      <c r="U458" s="2"/>
      <c r="V458" s="1"/>
      <c r="W458" s="1"/>
      <c r="X458" s="1"/>
      <c r="Y458" s="1"/>
      <c r="Z458" s="1"/>
      <c r="AA458" s="1"/>
      <c r="AB458" s="1"/>
      <c r="AC458" s="1"/>
      <c r="AD458" s="1"/>
      <c r="AE458" s="1"/>
      <c r="AF458" s="1"/>
    </row>
    <row r="459">
      <c r="A459" s="1"/>
      <c r="B459" s="2"/>
      <c r="C459" s="117"/>
      <c r="D459" s="2"/>
      <c r="E459" s="2"/>
      <c r="F459" s="2"/>
      <c r="G459" s="2"/>
      <c r="H459" s="2"/>
      <c r="I459" s="117"/>
      <c r="J459" s="2"/>
      <c r="K459" s="2"/>
      <c r="L459" s="2"/>
      <c r="M459" s="2"/>
      <c r="N459" s="2"/>
      <c r="O459" s="2"/>
      <c r="P459" s="2"/>
      <c r="Q459" s="2"/>
      <c r="R459" s="2"/>
      <c r="S459" s="2"/>
      <c r="T459" s="2"/>
      <c r="U459" s="2"/>
      <c r="V459" s="1"/>
      <c r="W459" s="1"/>
      <c r="X459" s="1"/>
      <c r="Y459" s="1"/>
      <c r="Z459" s="1"/>
      <c r="AA459" s="1"/>
      <c r="AB459" s="1"/>
      <c r="AC459" s="1"/>
      <c r="AD459" s="1"/>
      <c r="AE459" s="1"/>
      <c r="AF459" s="1"/>
    </row>
    <row r="460">
      <c r="A460" s="1"/>
      <c r="B460" s="2"/>
      <c r="C460" s="117"/>
      <c r="D460" s="2"/>
      <c r="E460" s="2"/>
      <c r="F460" s="2"/>
      <c r="G460" s="2"/>
      <c r="H460" s="2"/>
      <c r="I460" s="117"/>
      <c r="J460" s="2"/>
      <c r="K460" s="2"/>
      <c r="L460" s="2"/>
      <c r="M460" s="2"/>
      <c r="N460" s="2"/>
      <c r="O460" s="2"/>
      <c r="P460" s="2"/>
      <c r="Q460" s="2"/>
      <c r="R460" s="2"/>
      <c r="S460" s="2"/>
      <c r="T460" s="2"/>
      <c r="U460" s="2"/>
      <c r="V460" s="1"/>
      <c r="W460" s="1"/>
      <c r="X460" s="1"/>
      <c r="Y460" s="1"/>
      <c r="Z460" s="1"/>
      <c r="AA460" s="1"/>
      <c r="AB460" s="1"/>
      <c r="AC460" s="1"/>
      <c r="AD460" s="1"/>
      <c r="AE460" s="1"/>
      <c r="AF460" s="1"/>
    </row>
    <row r="461">
      <c r="A461" s="1"/>
      <c r="B461" s="2"/>
      <c r="C461" s="117"/>
      <c r="D461" s="2"/>
      <c r="E461" s="2"/>
      <c r="F461" s="2"/>
      <c r="G461" s="2"/>
      <c r="H461" s="2"/>
      <c r="I461" s="117"/>
      <c r="J461" s="2"/>
      <c r="K461" s="2"/>
      <c r="L461" s="2"/>
      <c r="M461" s="2"/>
      <c r="N461" s="2"/>
      <c r="O461" s="2"/>
      <c r="P461" s="2"/>
      <c r="Q461" s="2"/>
      <c r="R461" s="2"/>
      <c r="S461" s="2"/>
      <c r="T461" s="2"/>
      <c r="U461" s="2"/>
      <c r="V461" s="1"/>
      <c r="W461" s="1"/>
      <c r="X461" s="1"/>
      <c r="Y461" s="1"/>
      <c r="Z461" s="1"/>
      <c r="AA461" s="1"/>
      <c r="AB461" s="1"/>
      <c r="AC461" s="1"/>
      <c r="AD461" s="1"/>
      <c r="AE461" s="1"/>
      <c r="AF461" s="1"/>
    </row>
    <row r="462">
      <c r="A462" s="1"/>
      <c r="B462" s="2"/>
      <c r="C462" s="117"/>
      <c r="D462" s="2"/>
      <c r="E462" s="2"/>
      <c r="F462" s="2"/>
      <c r="G462" s="2"/>
      <c r="H462" s="2"/>
      <c r="I462" s="117"/>
      <c r="J462" s="2"/>
      <c r="K462" s="2"/>
      <c r="L462" s="2"/>
      <c r="M462" s="2"/>
      <c r="N462" s="2"/>
      <c r="O462" s="2"/>
      <c r="P462" s="2"/>
      <c r="Q462" s="2"/>
      <c r="R462" s="2"/>
      <c r="S462" s="2"/>
      <c r="T462" s="2"/>
      <c r="U462" s="2"/>
      <c r="V462" s="1"/>
      <c r="W462" s="1"/>
      <c r="X462" s="1"/>
      <c r="Y462" s="1"/>
      <c r="Z462" s="1"/>
      <c r="AA462" s="1"/>
      <c r="AB462" s="1"/>
      <c r="AC462" s="1"/>
      <c r="AD462" s="1"/>
      <c r="AE462" s="1"/>
      <c r="AF462" s="1"/>
    </row>
    <row r="463">
      <c r="A463" s="1"/>
      <c r="B463" s="2"/>
      <c r="C463" s="117"/>
      <c r="D463" s="2"/>
      <c r="E463" s="2"/>
      <c r="F463" s="2"/>
      <c r="G463" s="2"/>
      <c r="H463" s="2"/>
      <c r="I463" s="117"/>
      <c r="J463" s="2"/>
      <c r="K463" s="2"/>
      <c r="L463" s="2"/>
      <c r="M463" s="2"/>
      <c r="N463" s="2"/>
      <c r="O463" s="2"/>
      <c r="P463" s="2"/>
      <c r="Q463" s="2"/>
      <c r="R463" s="2"/>
      <c r="S463" s="2"/>
      <c r="T463" s="2"/>
      <c r="U463" s="2"/>
      <c r="V463" s="1"/>
      <c r="W463" s="1"/>
      <c r="X463" s="1"/>
      <c r="Y463" s="1"/>
      <c r="Z463" s="1"/>
      <c r="AA463" s="1"/>
      <c r="AB463" s="1"/>
      <c r="AC463" s="1"/>
      <c r="AD463" s="1"/>
      <c r="AE463" s="1"/>
      <c r="AF463" s="1"/>
    </row>
    <row r="464">
      <c r="A464" s="1"/>
      <c r="B464" s="2"/>
      <c r="C464" s="117"/>
      <c r="D464" s="2"/>
      <c r="E464" s="2"/>
      <c r="F464" s="2"/>
      <c r="G464" s="2"/>
      <c r="H464" s="2"/>
      <c r="I464" s="117"/>
      <c r="J464" s="2"/>
      <c r="K464" s="2"/>
      <c r="L464" s="2"/>
      <c r="M464" s="2"/>
      <c r="N464" s="2"/>
      <c r="O464" s="2"/>
      <c r="P464" s="2"/>
      <c r="Q464" s="2"/>
      <c r="R464" s="2"/>
      <c r="S464" s="2"/>
      <c r="T464" s="2"/>
      <c r="U464" s="2"/>
      <c r="V464" s="1"/>
      <c r="W464" s="1"/>
      <c r="X464" s="1"/>
      <c r="Y464" s="1"/>
      <c r="Z464" s="1"/>
      <c r="AA464" s="1"/>
      <c r="AB464" s="1"/>
      <c r="AC464" s="1"/>
      <c r="AD464" s="1"/>
      <c r="AE464" s="1"/>
      <c r="AF464" s="1"/>
    </row>
    <row r="465">
      <c r="A465" s="1"/>
      <c r="B465" s="2"/>
      <c r="C465" s="117"/>
      <c r="D465" s="2"/>
      <c r="E465" s="2"/>
      <c r="F465" s="2"/>
      <c r="G465" s="2"/>
      <c r="H465" s="2"/>
      <c r="I465" s="117"/>
      <c r="J465" s="2"/>
      <c r="K465" s="2"/>
      <c r="L465" s="2"/>
      <c r="M465" s="2"/>
      <c r="N465" s="2"/>
      <c r="O465" s="2"/>
      <c r="P465" s="2"/>
      <c r="Q465" s="2"/>
      <c r="R465" s="2"/>
      <c r="S465" s="2"/>
      <c r="T465" s="2"/>
      <c r="U465" s="2"/>
      <c r="V465" s="1"/>
      <c r="W465" s="1"/>
      <c r="X465" s="1"/>
      <c r="Y465" s="1"/>
      <c r="Z465" s="1"/>
      <c r="AA465" s="1"/>
      <c r="AB465" s="1"/>
      <c r="AC465" s="1"/>
      <c r="AD465" s="1"/>
      <c r="AE465" s="1"/>
      <c r="AF465" s="1"/>
    </row>
    <row r="466">
      <c r="A466" s="1"/>
      <c r="B466" s="2"/>
      <c r="C466" s="117"/>
      <c r="D466" s="2"/>
      <c r="E466" s="2"/>
      <c r="F466" s="2"/>
      <c r="G466" s="2"/>
      <c r="H466" s="2"/>
      <c r="I466" s="117"/>
      <c r="J466" s="2"/>
      <c r="K466" s="2"/>
      <c r="L466" s="2"/>
      <c r="M466" s="2"/>
      <c r="N466" s="2"/>
      <c r="O466" s="2"/>
      <c r="P466" s="2"/>
      <c r="Q466" s="2"/>
      <c r="R466" s="2"/>
      <c r="S466" s="2"/>
      <c r="T466" s="2"/>
      <c r="U466" s="2"/>
      <c r="V466" s="1"/>
      <c r="W466" s="1"/>
      <c r="X466" s="1"/>
      <c r="Y466" s="1"/>
      <c r="Z466" s="1"/>
      <c r="AA466" s="1"/>
      <c r="AB466" s="1"/>
      <c r="AC466" s="1"/>
      <c r="AD466" s="1"/>
      <c r="AE466" s="1"/>
      <c r="AF466" s="1"/>
    </row>
    <row r="467">
      <c r="A467" s="1"/>
      <c r="B467" s="2"/>
      <c r="C467" s="117"/>
      <c r="D467" s="2"/>
      <c r="E467" s="2"/>
      <c r="F467" s="2"/>
      <c r="G467" s="2"/>
      <c r="H467" s="2"/>
      <c r="I467" s="117"/>
      <c r="J467" s="2"/>
      <c r="K467" s="2"/>
      <c r="L467" s="2"/>
      <c r="M467" s="2"/>
      <c r="N467" s="2"/>
      <c r="O467" s="2"/>
      <c r="P467" s="2"/>
      <c r="Q467" s="2"/>
      <c r="R467" s="2"/>
      <c r="S467" s="2"/>
      <c r="T467" s="2"/>
      <c r="U467" s="2"/>
      <c r="V467" s="1"/>
      <c r="W467" s="1"/>
      <c r="X467" s="1"/>
      <c r="Y467" s="1"/>
      <c r="Z467" s="1"/>
      <c r="AA467" s="1"/>
      <c r="AB467" s="1"/>
      <c r="AC467" s="1"/>
      <c r="AD467" s="1"/>
      <c r="AE467" s="1"/>
      <c r="AF467" s="1"/>
    </row>
    <row r="468">
      <c r="A468" s="1"/>
      <c r="B468" s="2"/>
      <c r="C468" s="117"/>
      <c r="D468" s="2"/>
      <c r="E468" s="2"/>
      <c r="F468" s="2"/>
      <c r="G468" s="2"/>
      <c r="H468" s="2"/>
      <c r="I468" s="117"/>
      <c r="J468" s="2"/>
      <c r="K468" s="2"/>
      <c r="L468" s="2"/>
      <c r="M468" s="2"/>
      <c r="N468" s="2"/>
      <c r="O468" s="2"/>
      <c r="P468" s="2"/>
      <c r="Q468" s="2"/>
      <c r="R468" s="2"/>
      <c r="S468" s="2"/>
      <c r="T468" s="2"/>
      <c r="U468" s="2"/>
      <c r="V468" s="1"/>
      <c r="W468" s="1"/>
      <c r="X468" s="1"/>
      <c r="Y468" s="1"/>
      <c r="Z468" s="1"/>
      <c r="AA468" s="1"/>
      <c r="AB468" s="1"/>
      <c r="AC468" s="1"/>
      <c r="AD468" s="1"/>
      <c r="AE468" s="1"/>
      <c r="AF468" s="1"/>
    </row>
    <row r="469">
      <c r="A469" s="1"/>
      <c r="B469" s="2"/>
      <c r="C469" s="117"/>
      <c r="D469" s="2"/>
      <c r="E469" s="2"/>
      <c r="F469" s="2"/>
      <c r="G469" s="2"/>
      <c r="H469" s="2"/>
      <c r="I469" s="117"/>
      <c r="J469" s="2"/>
      <c r="K469" s="2"/>
      <c r="L469" s="2"/>
      <c r="M469" s="2"/>
      <c r="N469" s="2"/>
      <c r="O469" s="2"/>
      <c r="P469" s="2"/>
      <c r="Q469" s="2"/>
      <c r="R469" s="2"/>
      <c r="S469" s="2"/>
      <c r="T469" s="2"/>
      <c r="U469" s="2"/>
      <c r="V469" s="1"/>
      <c r="W469" s="1"/>
      <c r="X469" s="1"/>
      <c r="Y469" s="1"/>
      <c r="Z469" s="1"/>
      <c r="AA469" s="1"/>
      <c r="AB469" s="1"/>
      <c r="AC469" s="1"/>
      <c r="AD469" s="1"/>
      <c r="AE469" s="1"/>
      <c r="AF469" s="1"/>
    </row>
    <row r="470">
      <c r="A470" s="1"/>
      <c r="B470" s="2"/>
      <c r="C470" s="117"/>
      <c r="D470" s="2"/>
      <c r="E470" s="2"/>
      <c r="F470" s="2"/>
      <c r="G470" s="2"/>
      <c r="H470" s="2"/>
      <c r="I470" s="117"/>
      <c r="J470" s="2"/>
      <c r="K470" s="2"/>
      <c r="L470" s="2"/>
      <c r="M470" s="2"/>
      <c r="N470" s="2"/>
      <c r="O470" s="2"/>
      <c r="P470" s="2"/>
      <c r="Q470" s="2"/>
      <c r="R470" s="2"/>
      <c r="S470" s="2"/>
      <c r="T470" s="2"/>
      <c r="U470" s="2"/>
      <c r="V470" s="1"/>
      <c r="W470" s="1"/>
      <c r="X470" s="1"/>
      <c r="Y470" s="1"/>
      <c r="Z470" s="1"/>
      <c r="AA470" s="1"/>
      <c r="AB470" s="1"/>
      <c r="AC470" s="1"/>
      <c r="AD470" s="1"/>
      <c r="AE470" s="1"/>
      <c r="AF470" s="1"/>
    </row>
    <row r="471">
      <c r="A471" s="1"/>
      <c r="B471" s="2"/>
      <c r="C471" s="117"/>
      <c r="D471" s="2"/>
      <c r="E471" s="2"/>
      <c r="F471" s="2"/>
      <c r="G471" s="2"/>
      <c r="H471" s="2"/>
      <c r="I471" s="117"/>
      <c r="J471" s="2"/>
      <c r="K471" s="2"/>
      <c r="L471" s="2"/>
      <c r="M471" s="2"/>
      <c r="N471" s="2"/>
      <c r="O471" s="2"/>
      <c r="P471" s="2"/>
      <c r="Q471" s="2"/>
      <c r="R471" s="2"/>
      <c r="S471" s="2"/>
      <c r="T471" s="2"/>
      <c r="U471" s="2"/>
      <c r="V471" s="1"/>
      <c r="W471" s="1"/>
      <c r="X471" s="1"/>
      <c r="Y471" s="1"/>
      <c r="Z471" s="1"/>
      <c r="AA471" s="1"/>
      <c r="AB471" s="1"/>
      <c r="AC471" s="1"/>
      <c r="AD471" s="1"/>
      <c r="AE471" s="1"/>
      <c r="AF471" s="1"/>
    </row>
    <row r="472">
      <c r="A472" s="1"/>
      <c r="B472" s="2"/>
      <c r="C472" s="117"/>
      <c r="D472" s="2"/>
      <c r="E472" s="2"/>
      <c r="F472" s="2"/>
      <c r="G472" s="2"/>
      <c r="H472" s="2"/>
      <c r="I472" s="117"/>
      <c r="J472" s="2"/>
      <c r="K472" s="2"/>
      <c r="L472" s="2"/>
      <c r="M472" s="2"/>
      <c r="N472" s="2"/>
      <c r="O472" s="2"/>
      <c r="P472" s="2"/>
      <c r="Q472" s="2"/>
      <c r="R472" s="2"/>
      <c r="S472" s="2"/>
      <c r="T472" s="2"/>
      <c r="U472" s="2"/>
      <c r="V472" s="1"/>
      <c r="W472" s="1"/>
      <c r="X472" s="1"/>
      <c r="Y472" s="1"/>
      <c r="Z472" s="1"/>
      <c r="AA472" s="1"/>
      <c r="AB472" s="1"/>
      <c r="AC472" s="1"/>
      <c r="AD472" s="1"/>
      <c r="AE472" s="1"/>
      <c r="AF472" s="1"/>
    </row>
    <row r="473">
      <c r="A473" s="1"/>
      <c r="B473" s="2"/>
      <c r="C473" s="117"/>
      <c r="D473" s="2"/>
      <c r="E473" s="2"/>
      <c r="F473" s="2"/>
      <c r="G473" s="2"/>
      <c r="H473" s="2"/>
      <c r="I473" s="117"/>
      <c r="J473" s="2"/>
      <c r="K473" s="2"/>
      <c r="L473" s="2"/>
      <c r="M473" s="2"/>
      <c r="N473" s="2"/>
      <c r="O473" s="2"/>
      <c r="P473" s="2"/>
      <c r="Q473" s="2"/>
      <c r="R473" s="2"/>
      <c r="S473" s="2"/>
      <c r="T473" s="2"/>
      <c r="U473" s="2"/>
      <c r="V473" s="1"/>
      <c r="W473" s="1"/>
      <c r="X473" s="1"/>
      <c r="Y473" s="1"/>
      <c r="Z473" s="1"/>
      <c r="AA473" s="1"/>
      <c r="AB473" s="1"/>
      <c r="AC473" s="1"/>
      <c r="AD473" s="1"/>
      <c r="AE473" s="1"/>
      <c r="AF473" s="1"/>
    </row>
    <row r="474">
      <c r="A474" s="1"/>
      <c r="B474" s="2"/>
      <c r="C474" s="117"/>
      <c r="D474" s="2"/>
      <c r="E474" s="2"/>
      <c r="F474" s="2"/>
      <c r="G474" s="2"/>
      <c r="H474" s="2"/>
      <c r="I474" s="117"/>
      <c r="J474" s="2"/>
      <c r="K474" s="2"/>
      <c r="L474" s="2"/>
      <c r="M474" s="2"/>
      <c r="N474" s="2"/>
      <c r="O474" s="2"/>
      <c r="P474" s="2"/>
      <c r="Q474" s="2"/>
      <c r="R474" s="2"/>
      <c r="S474" s="2"/>
      <c r="T474" s="2"/>
      <c r="U474" s="2"/>
      <c r="V474" s="1"/>
      <c r="W474" s="1"/>
      <c r="X474" s="1"/>
      <c r="Y474" s="1"/>
      <c r="Z474" s="1"/>
      <c r="AA474" s="1"/>
      <c r="AB474" s="1"/>
      <c r="AC474" s="1"/>
      <c r="AD474" s="1"/>
      <c r="AE474" s="1"/>
      <c r="AF474" s="1"/>
    </row>
    <row r="475">
      <c r="A475" s="1"/>
      <c r="B475" s="2"/>
      <c r="C475" s="117"/>
      <c r="D475" s="2"/>
      <c r="E475" s="2"/>
      <c r="F475" s="2"/>
      <c r="G475" s="2"/>
      <c r="H475" s="2"/>
      <c r="I475" s="117"/>
      <c r="J475" s="2"/>
      <c r="K475" s="2"/>
      <c r="L475" s="2"/>
      <c r="M475" s="2"/>
      <c r="N475" s="2"/>
      <c r="O475" s="2"/>
      <c r="P475" s="2"/>
      <c r="Q475" s="2"/>
      <c r="R475" s="2"/>
      <c r="S475" s="2"/>
      <c r="T475" s="2"/>
      <c r="U475" s="2"/>
      <c r="V475" s="1"/>
      <c r="W475" s="1"/>
      <c r="X475" s="1"/>
      <c r="Y475" s="1"/>
      <c r="Z475" s="1"/>
      <c r="AA475" s="1"/>
      <c r="AB475" s="1"/>
      <c r="AC475" s="1"/>
      <c r="AD475" s="1"/>
      <c r="AE475" s="1"/>
      <c r="AF475" s="1"/>
    </row>
    <row r="476">
      <c r="A476" s="1"/>
      <c r="B476" s="2"/>
      <c r="C476" s="117"/>
      <c r="D476" s="2"/>
      <c r="E476" s="2"/>
      <c r="F476" s="2"/>
      <c r="G476" s="2"/>
      <c r="H476" s="2"/>
      <c r="I476" s="117"/>
      <c r="J476" s="2"/>
      <c r="K476" s="2"/>
      <c r="L476" s="2"/>
      <c r="M476" s="2"/>
      <c r="N476" s="2"/>
      <c r="O476" s="2"/>
      <c r="P476" s="2"/>
      <c r="Q476" s="2"/>
      <c r="R476" s="2"/>
      <c r="S476" s="2"/>
      <c r="T476" s="2"/>
      <c r="U476" s="2"/>
      <c r="V476" s="1"/>
      <c r="W476" s="1"/>
      <c r="X476" s="1"/>
      <c r="Y476" s="1"/>
      <c r="Z476" s="1"/>
      <c r="AA476" s="1"/>
      <c r="AB476" s="1"/>
      <c r="AC476" s="1"/>
      <c r="AD476" s="1"/>
      <c r="AE476" s="1"/>
      <c r="AF476" s="1"/>
    </row>
    <row r="477">
      <c r="A477" s="1"/>
      <c r="B477" s="2"/>
      <c r="C477" s="117"/>
      <c r="D477" s="2"/>
      <c r="E477" s="2"/>
      <c r="F477" s="2"/>
      <c r="G477" s="2"/>
      <c r="H477" s="2"/>
      <c r="I477" s="117"/>
      <c r="J477" s="2"/>
      <c r="K477" s="2"/>
      <c r="L477" s="2"/>
      <c r="M477" s="2"/>
      <c r="N477" s="2"/>
      <c r="O477" s="2"/>
      <c r="P477" s="2"/>
      <c r="Q477" s="2"/>
      <c r="R477" s="2"/>
      <c r="S477" s="2"/>
      <c r="T477" s="2"/>
      <c r="U477" s="2"/>
      <c r="V477" s="1"/>
      <c r="W477" s="1"/>
      <c r="X477" s="1"/>
      <c r="Y477" s="1"/>
      <c r="Z477" s="1"/>
      <c r="AA477" s="1"/>
      <c r="AB477" s="1"/>
      <c r="AC477" s="1"/>
      <c r="AD477" s="1"/>
      <c r="AE477" s="1"/>
      <c r="AF477" s="1"/>
    </row>
    <row r="478">
      <c r="A478" s="1"/>
      <c r="B478" s="2"/>
      <c r="C478" s="117"/>
      <c r="D478" s="2"/>
      <c r="E478" s="2"/>
      <c r="F478" s="2"/>
      <c r="G478" s="2"/>
      <c r="H478" s="2"/>
      <c r="I478" s="117"/>
      <c r="J478" s="2"/>
      <c r="K478" s="2"/>
      <c r="L478" s="2"/>
      <c r="M478" s="2"/>
      <c r="N478" s="2"/>
      <c r="O478" s="2"/>
      <c r="P478" s="2"/>
      <c r="Q478" s="2"/>
      <c r="R478" s="2"/>
      <c r="S478" s="2"/>
      <c r="T478" s="2"/>
      <c r="U478" s="2"/>
      <c r="V478" s="1"/>
      <c r="W478" s="1"/>
      <c r="X478" s="1"/>
      <c r="Y478" s="1"/>
      <c r="Z478" s="1"/>
      <c r="AA478" s="1"/>
      <c r="AB478" s="1"/>
      <c r="AC478" s="1"/>
      <c r="AD478" s="1"/>
      <c r="AE478" s="1"/>
      <c r="AF478" s="1"/>
    </row>
    <row r="479">
      <c r="A479" s="1"/>
      <c r="B479" s="2"/>
      <c r="C479" s="117"/>
      <c r="D479" s="2"/>
      <c r="E479" s="2"/>
      <c r="F479" s="2"/>
      <c r="G479" s="2"/>
      <c r="H479" s="2"/>
      <c r="I479" s="117"/>
      <c r="J479" s="2"/>
      <c r="K479" s="2"/>
      <c r="L479" s="2"/>
      <c r="M479" s="2"/>
      <c r="N479" s="2"/>
      <c r="O479" s="2"/>
      <c r="P479" s="2"/>
      <c r="Q479" s="2"/>
      <c r="R479" s="2"/>
      <c r="S479" s="2"/>
      <c r="T479" s="2"/>
      <c r="U479" s="2"/>
      <c r="V479" s="1"/>
      <c r="W479" s="1"/>
      <c r="X479" s="1"/>
      <c r="Y479" s="1"/>
      <c r="Z479" s="1"/>
      <c r="AA479" s="1"/>
      <c r="AB479" s="1"/>
      <c r="AC479" s="1"/>
      <c r="AD479" s="1"/>
      <c r="AE479" s="1"/>
      <c r="AF479" s="1"/>
    </row>
    <row r="480">
      <c r="A480" s="1"/>
      <c r="B480" s="2"/>
      <c r="C480" s="117"/>
      <c r="D480" s="2"/>
      <c r="E480" s="2"/>
      <c r="F480" s="2"/>
      <c r="G480" s="2"/>
      <c r="H480" s="2"/>
      <c r="I480" s="117"/>
      <c r="J480" s="2"/>
      <c r="K480" s="2"/>
      <c r="L480" s="2"/>
      <c r="M480" s="2"/>
      <c r="N480" s="2"/>
      <c r="O480" s="2"/>
      <c r="P480" s="2"/>
      <c r="Q480" s="2"/>
      <c r="R480" s="2"/>
      <c r="S480" s="2"/>
      <c r="T480" s="2"/>
      <c r="U480" s="2"/>
      <c r="V480" s="1"/>
      <c r="W480" s="1"/>
      <c r="X480" s="1"/>
      <c r="Y480" s="1"/>
      <c r="Z480" s="1"/>
      <c r="AA480" s="1"/>
      <c r="AB480" s="1"/>
      <c r="AC480" s="1"/>
      <c r="AD480" s="1"/>
      <c r="AE480" s="1"/>
      <c r="AF480" s="1"/>
    </row>
    <row r="481">
      <c r="A481" s="1"/>
      <c r="B481" s="2"/>
      <c r="C481" s="117"/>
      <c r="D481" s="2"/>
      <c r="E481" s="2"/>
      <c r="F481" s="2"/>
      <c r="G481" s="2"/>
      <c r="H481" s="2"/>
      <c r="I481" s="117"/>
      <c r="J481" s="2"/>
      <c r="K481" s="2"/>
      <c r="L481" s="2"/>
      <c r="M481" s="2"/>
      <c r="N481" s="2"/>
      <c r="O481" s="2"/>
      <c r="P481" s="2"/>
      <c r="Q481" s="2"/>
      <c r="R481" s="2"/>
      <c r="S481" s="2"/>
      <c r="T481" s="2"/>
      <c r="U481" s="2"/>
      <c r="V481" s="1"/>
      <c r="W481" s="1"/>
      <c r="X481" s="1"/>
      <c r="Y481" s="1"/>
      <c r="Z481" s="1"/>
      <c r="AA481" s="1"/>
      <c r="AB481" s="1"/>
      <c r="AC481" s="1"/>
      <c r="AD481" s="1"/>
      <c r="AE481" s="1"/>
      <c r="AF481" s="1"/>
    </row>
    <row r="482">
      <c r="A482" s="1"/>
      <c r="B482" s="2"/>
      <c r="C482" s="117"/>
      <c r="D482" s="2"/>
      <c r="E482" s="2"/>
      <c r="F482" s="2"/>
      <c r="G482" s="2"/>
      <c r="H482" s="2"/>
      <c r="I482" s="117"/>
      <c r="J482" s="2"/>
      <c r="K482" s="2"/>
      <c r="L482" s="2"/>
      <c r="M482" s="2"/>
      <c r="N482" s="2"/>
      <c r="O482" s="2"/>
      <c r="P482" s="2"/>
      <c r="Q482" s="2"/>
      <c r="R482" s="2"/>
      <c r="S482" s="2"/>
      <c r="T482" s="2"/>
      <c r="U482" s="2"/>
      <c r="V482" s="1"/>
      <c r="W482" s="1"/>
      <c r="X482" s="1"/>
      <c r="Y482" s="1"/>
      <c r="Z482" s="1"/>
      <c r="AA482" s="1"/>
      <c r="AB482" s="1"/>
      <c r="AC482" s="1"/>
      <c r="AD482" s="1"/>
      <c r="AE482" s="1"/>
      <c r="AF482" s="1"/>
    </row>
    <row r="483">
      <c r="A483" s="1"/>
      <c r="B483" s="2"/>
      <c r="C483" s="117"/>
      <c r="D483" s="2"/>
      <c r="E483" s="2"/>
      <c r="F483" s="2"/>
      <c r="G483" s="2"/>
      <c r="H483" s="2"/>
      <c r="I483" s="117"/>
      <c r="J483" s="2"/>
      <c r="K483" s="2"/>
      <c r="L483" s="2"/>
      <c r="M483" s="2"/>
      <c r="N483" s="2"/>
      <c r="O483" s="2"/>
      <c r="P483" s="2"/>
      <c r="Q483" s="2"/>
      <c r="R483" s="2"/>
      <c r="S483" s="2"/>
      <c r="T483" s="2"/>
      <c r="U483" s="2"/>
      <c r="V483" s="1"/>
      <c r="W483" s="1"/>
      <c r="X483" s="1"/>
      <c r="Y483" s="1"/>
      <c r="Z483" s="1"/>
      <c r="AA483" s="1"/>
      <c r="AB483" s="1"/>
      <c r="AC483" s="1"/>
      <c r="AD483" s="1"/>
      <c r="AE483" s="1"/>
      <c r="AF483" s="1"/>
    </row>
    <row r="484">
      <c r="A484" s="1"/>
      <c r="B484" s="2"/>
      <c r="C484" s="117"/>
      <c r="D484" s="2"/>
      <c r="E484" s="2"/>
      <c r="F484" s="2"/>
      <c r="G484" s="2"/>
      <c r="H484" s="2"/>
      <c r="I484" s="117"/>
      <c r="J484" s="2"/>
      <c r="K484" s="2"/>
      <c r="L484" s="2"/>
      <c r="M484" s="2"/>
      <c r="N484" s="2"/>
      <c r="O484" s="2"/>
      <c r="P484" s="2"/>
      <c r="Q484" s="2"/>
      <c r="R484" s="2"/>
      <c r="S484" s="2"/>
      <c r="T484" s="2"/>
      <c r="U484" s="2"/>
      <c r="V484" s="1"/>
      <c r="W484" s="1"/>
      <c r="X484" s="1"/>
      <c r="Y484" s="1"/>
      <c r="Z484" s="1"/>
      <c r="AA484" s="1"/>
      <c r="AB484" s="1"/>
      <c r="AC484" s="1"/>
      <c r="AD484" s="1"/>
      <c r="AE484" s="1"/>
      <c r="AF484" s="1"/>
    </row>
    <row r="485">
      <c r="A485" s="1"/>
      <c r="B485" s="2"/>
      <c r="C485" s="117"/>
      <c r="D485" s="2"/>
      <c r="E485" s="2"/>
      <c r="F485" s="2"/>
      <c r="G485" s="2"/>
      <c r="H485" s="2"/>
      <c r="I485" s="117"/>
      <c r="J485" s="2"/>
      <c r="K485" s="2"/>
      <c r="L485" s="2"/>
      <c r="M485" s="2"/>
      <c r="N485" s="2"/>
      <c r="O485" s="2"/>
      <c r="P485" s="2"/>
      <c r="Q485" s="2"/>
      <c r="R485" s="2"/>
      <c r="S485" s="2"/>
      <c r="T485" s="2"/>
      <c r="U485" s="2"/>
      <c r="V485" s="1"/>
      <c r="W485" s="1"/>
      <c r="X485" s="1"/>
      <c r="Y485" s="1"/>
      <c r="Z485" s="1"/>
      <c r="AA485" s="1"/>
      <c r="AB485" s="1"/>
      <c r="AC485" s="1"/>
      <c r="AD485" s="1"/>
      <c r="AE485" s="1"/>
      <c r="AF485" s="1"/>
    </row>
    <row r="486">
      <c r="A486" s="1"/>
      <c r="B486" s="2"/>
      <c r="C486" s="117"/>
      <c r="D486" s="2"/>
      <c r="E486" s="2"/>
      <c r="F486" s="2"/>
      <c r="G486" s="2"/>
      <c r="H486" s="2"/>
      <c r="I486" s="117"/>
      <c r="J486" s="2"/>
      <c r="K486" s="2"/>
      <c r="L486" s="2"/>
      <c r="M486" s="2"/>
      <c r="N486" s="2"/>
      <c r="O486" s="2"/>
      <c r="P486" s="2"/>
      <c r="Q486" s="2"/>
      <c r="R486" s="2"/>
      <c r="S486" s="2"/>
      <c r="T486" s="2"/>
      <c r="U486" s="2"/>
      <c r="V486" s="1"/>
      <c r="W486" s="1"/>
      <c r="X486" s="1"/>
      <c r="Y486" s="1"/>
      <c r="Z486" s="1"/>
      <c r="AA486" s="1"/>
      <c r="AB486" s="1"/>
      <c r="AC486" s="1"/>
      <c r="AD486" s="1"/>
      <c r="AE486" s="1"/>
      <c r="AF486" s="1"/>
    </row>
    <row r="487">
      <c r="A487" s="1"/>
      <c r="B487" s="2"/>
      <c r="C487" s="117"/>
      <c r="D487" s="2"/>
      <c r="E487" s="2"/>
      <c r="F487" s="2"/>
      <c r="G487" s="2"/>
      <c r="H487" s="2"/>
      <c r="I487" s="117"/>
      <c r="J487" s="2"/>
      <c r="K487" s="2"/>
      <c r="L487" s="2"/>
      <c r="M487" s="2"/>
      <c r="N487" s="2"/>
      <c r="O487" s="2"/>
      <c r="P487" s="2"/>
      <c r="Q487" s="2"/>
      <c r="R487" s="2"/>
      <c r="S487" s="2"/>
      <c r="T487" s="2"/>
      <c r="U487" s="2"/>
      <c r="V487" s="1"/>
      <c r="W487" s="1"/>
      <c r="X487" s="1"/>
      <c r="Y487" s="1"/>
      <c r="Z487" s="1"/>
      <c r="AA487" s="1"/>
      <c r="AB487" s="1"/>
      <c r="AC487" s="1"/>
      <c r="AD487" s="1"/>
      <c r="AE487" s="1"/>
      <c r="AF487" s="1"/>
    </row>
    <row r="488">
      <c r="A488" s="1"/>
      <c r="B488" s="2"/>
      <c r="C488" s="117"/>
      <c r="D488" s="2"/>
      <c r="E488" s="2"/>
      <c r="F488" s="2"/>
      <c r="G488" s="2"/>
      <c r="H488" s="2"/>
      <c r="I488" s="117"/>
      <c r="J488" s="2"/>
      <c r="K488" s="2"/>
      <c r="L488" s="2"/>
      <c r="M488" s="2"/>
      <c r="N488" s="2"/>
      <c r="O488" s="2"/>
      <c r="P488" s="2"/>
      <c r="Q488" s="2"/>
      <c r="R488" s="2"/>
      <c r="S488" s="2"/>
      <c r="T488" s="2"/>
      <c r="U488" s="2"/>
      <c r="V488" s="1"/>
      <c r="W488" s="1"/>
      <c r="X488" s="1"/>
      <c r="Y488" s="1"/>
      <c r="Z488" s="1"/>
      <c r="AA488" s="1"/>
      <c r="AB488" s="1"/>
      <c r="AC488" s="1"/>
      <c r="AD488" s="1"/>
      <c r="AE488" s="1"/>
      <c r="AF488" s="1"/>
    </row>
    <row r="489">
      <c r="A489" s="1"/>
      <c r="B489" s="2"/>
      <c r="C489" s="117"/>
      <c r="D489" s="2"/>
      <c r="E489" s="2"/>
      <c r="F489" s="2"/>
      <c r="G489" s="2"/>
      <c r="H489" s="2"/>
      <c r="I489" s="117"/>
      <c r="J489" s="2"/>
      <c r="K489" s="2"/>
      <c r="L489" s="2"/>
      <c r="M489" s="2"/>
      <c r="N489" s="2"/>
      <c r="O489" s="2"/>
      <c r="P489" s="2"/>
      <c r="Q489" s="2"/>
      <c r="R489" s="2"/>
      <c r="S489" s="2"/>
      <c r="T489" s="2"/>
      <c r="U489" s="2"/>
      <c r="V489" s="1"/>
      <c r="W489" s="1"/>
      <c r="X489" s="1"/>
      <c r="Y489" s="1"/>
      <c r="Z489" s="1"/>
      <c r="AA489" s="1"/>
      <c r="AB489" s="1"/>
      <c r="AC489" s="1"/>
      <c r="AD489" s="1"/>
      <c r="AE489" s="1"/>
      <c r="AF489" s="1"/>
    </row>
    <row r="490">
      <c r="A490" s="1"/>
      <c r="B490" s="2"/>
      <c r="C490" s="117"/>
      <c r="D490" s="2"/>
      <c r="E490" s="2"/>
      <c r="F490" s="2"/>
      <c r="G490" s="2"/>
      <c r="H490" s="2"/>
      <c r="I490" s="117"/>
      <c r="J490" s="2"/>
      <c r="K490" s="2"/>
      <c r="L490" s="2"/>
      <c r="M490" s="2"/>
      <c r="N490" s="2"/>
      <c r="O490" s="2"/>
      <c r="P490" s="2"/>
      <c r="Q490" s="2"/>
      <c r="R490" s="2"/>
      <c r="S490" s="2"/>
      <c r="T490" s="2"/>
      <c r="U490" s="2"/>
      <c r="V490" s="1"/>
      <c r="W490" s="1"/>
      <c r="X490" s="1"/>
      <c r="Y490" s="1"/>
      <c r="Z490" s="1"/>
      <c r="AA490" s="1"/>
      <c r="AB490" s="1"/>
      <c r="AC490" s="1"/>
      <c r="AD490" s="1"/>
      <c r="AE490" s="1"/>
      <c r="AF490" s="1"/>
    </row>
    <row r="491">
      <c r="A491" s="1"/>
      <c r="B491" s="2"/>
      <c r="C491" s="117"/>
      <c r="D491" s="2"/>
      <c r="E491" s="2"/>
      <c r="F491" s="2"/>
      <c r="G491" s="2"/>
      <c r="H491" s="2"/>
      <c r="I491" s="117"/>
      <c r="J491" s="2"/>
      <c r="K491" s="2"/>
      <c r="L491" s="2"/>
      <c r="M491" s="2"/>
      <c r="N491" s="2"/>
      <c r="O491" s="2"/>
      <c r="P491" s="2"/>
      <c r="Q491" s="2"/>
      <c r="R491" s="2"/>
      <c r="S491" s="2"/>
      <c r="T491" s="2"/>
      <c r="U491" s="2"/>
      <c r="V491" s="1"/>
      <c r="W491" s="1"/>
      <c r="X491" s="1"/>
      <c r="Y491" s="1"/>
      <c r="Z491" s="1"/>
      <c r="AA491" s="1"/>
      <c r="AB491" s="1"/>
      <c r="AC491" s="1"/>
      <c r="AD491" s="1"/>
      <c r="AE491" s="1"/>
      <c r="AF491" s="1"/>
    </row>
    <row r="492">
      <c r="A492" s="1"/>
      <c r="B492" s="2"/>
      <c r="C492" s="117"/>
      <c r="D492" s="2"/>
      <c r="E492" s="2"/>
      <c r="F492" s="2"/>
      <c r="G492" s="2"/>
      <c r="H492" s="2"/>
      <c r="I492" s="117"/>
      <c r="J492" s="2"/>
      <c r="K492" s="2"/>
      <c r="L492" s="2"/>
      <c r="M492" s="2"/>
      <c r="N492" s="2"/>
      <c r="O492" s="2"/>
      <c r="P492" s="2"/>
      <c r="Q492" s="2"/>
      <c r="R492" s="2"/>
      <c r="S492" s="2"/>
      <c r="T492" s="2"/>
      <c r="U492" s="2"/>
      <c r="V492" s="1"/>
      <c r="W492" s="1"/>
      <c r="X492" s="1"/>
      <c r="Y492" s="1"/>
      <c r="Z492" s="1"/>
      <c r="AA492" s="1"/>
      <c r="AB492" s="1"/>
      <c r="AC492" s="1"/>
      <c r="AD492" s="1"/>
      <c r="AE492" s="1"/>
      <c r="AF492" s="1"/>
    </row>
    <row r="493">
      <c r="A493" s="1"/>
      <c r="B493" s="2"/>
      <c r="C493" s="117"/>
      <c r="D493" s="2"/>
      <c r="E493" s="2"/>
      <c r="F493" s="2"/>
      <c r="G493" s="2"/>
      <c r="H493" s="2"/>
      <c r="I493" s="117"/>
      <c r="J493" s="2"/>
      <c r="K493" s="2"/>
      <c r="L493" s="2"/>
      <c r="M493" s="2"/>
      <c r="N493" s="2"/>
      <c r="O493" s="2"/>
      <c r="P493" s="2"/>
      <c r="Q493" s="2"/>
      <c r="R493" s="2"/>
      <c r="S493" s="2"/>
      <c r="T493" s="2"/>
      <c r="U493" s="2"/>
      <c r="V493" s="1"/>
      <c r="W493" s="1"/>
      <c r="X493" s="1"/>
      <c r="Y493" s="1"/>
      <c r="Z493" s="1"/>
      <c r="AA493" s="1"/>
      <c r="AB493" s="1"/>
      <c r="AC493" s="1"/>
      <c r="AD493" s="1"/>
      <c r="AE493" s="1"/>
      <c r="AF493" s="1"/>
    </row>
    <row r="494">
      <c r="A494" s="1"/>
      <c r="B494" s="2"/>
      <c r="C494" s="117"/>
      <c r="D494" s="2"/>
      <c r="E494" s="2"/>
      <c r="F494" s="2"/>
      <c r="G494" s="2"/>
      <c r="H494" s="2"/>
      <c r="I494" s="117"/>
      <c r="J494" s="2"/>
      <c r="K494" s="2"/>
      <c r="L494" s="2"/>
      <c r="M494" s="2"/>
      <c r="N494" s="2"/>
      <c r="O494" s="2"/>
      <c r="P494" s="2"/>
      <c r="Q494" s="2"/>
      <c r="R494" s="2"/>
      <c r="S494" s="2"/>
      <c r="T494" s="2"/>
      <c r="U494" s="2"/>
      <c r="V494" s="1"/>
      <c r="W494" s="1"/>
      <c r="X494" s="1"/>
      <c r="Y494" s="1"/>
      <c r="Z494" s="1"/>
      <c r="AA494" s="1"/>
      <c r="AB494" s="1"/>
      <c r="AC494" s="1"/>
      <c r="AD494" s="1"/>
      <c r="AE494" s="1"/>
      <c r="AF494" s="1"/>
    </row>
    <row r="495">
      <c r="A495" s="1"/>
      <c r="B495" s="2"/>
      <c r="C495" s="117"/>
      <c r="D495" s="2"/>
      <c r="E495" s="2"/>
      <c r="F495" s="2"/>
      <c r="G495" s="2"/>
      <c r="H495" s="2"/>
      <c r="I495" s="117"/>
      <c r="J495" s="2"/>
      <c r="K495" s="2"/>
      <c r="L495" s="2"/>
      <c r="M495" s="2"/>
      <c r="N495" s="2"/>
      <c r="O495" s="2"/>
      <c r="P495" s="2"/>
      <c r="Q495" s="2"/>
      <c r="R495" s="2"/>
      <c r="S495" s="2"/>
      <c r="T495" s="2"/>
      <c r="U495" s="2"/>
      <c r="V495" s="1"/>
      <c r="W495" s="1"/>
      <c r="X495" s="1"/>
      <c r="Y495" s="1"/>
      <c r="Z495" s="1"/>
      <c r="AA495" s="1"/>
      <c r="AB495" s="1"/>
      <c r="AC495" s="1"/>
      <c r="AD495" s="1"/>
      <c r="AE495" s="1"/>
      <c r="AF495" s="1"/>
    </row>
    <row r="496">
      <c r="A496" s="1"/>
      <c r="B496" s="2"/>
      <c r="C496" s="117"/>
      <c r="D496" s="2"/>
      <c r="E496" s="2"/>
      <c r="F496" s="2"/>
      <c r="G496" s="2"/>
      <c r="H496" s="2"/>
      <c r="I496" s="117"/>
      <c r="J496" s="2"/>
      <c r="K496" s="2"/>
      <c r="L496" s="2"/>
      <c r="M496" s="2"/>
      <c r="N496" s="2"/>
      <c r="O496" s="2"/>
      <c r="P496" s="2"/>
      <c r="Q496" s="2"/>
      <c r="R496" s="2"/>
      <c r="S496" s="2"/>
      <c r="T496" s="2"/>
      <c r="U496" s="2"/>
      <c r="V496" s="1"/>
      <c r="W496" s="1"/>
      <c r="X496" s="1"/>
      <c r="Y496" s="1"/>
      <c r="Z496" s="1"/>
      <c r="AA496" s="1"/>
      <c r="AB496" s="1"/>
      <c r="AC496" s="1"/>
      <c r="AD496" s="1"/>
      <c r="AE496" s="1"/>
      <c r="AF496" s="1"/>
    </row>
    <row r="497">
      <c r="A497" s="1"/>
      <c r="B497" s="2"/>
      <c r="C497" s="117"/>
      <c r="D497" s="2"/>
      <c r="E497" s="2"/>
      <c r="F497" s="2"/>
      <c r="G497" s="2"/>
      <c r="H497" s="2"/>
      <c r="I497" s="117"/>
      <c r="J497" s="2"/>
      <c r="K497" s="2"/>
      <c r="L497" s="2"/>
      <c r="M497" s="2"/>
      <c r="N497" s="2"/>
      <c r="O497" s="2"/>
      <c r="P497" s="2"/>
      <c r="Q497" s="2"/>
      <c r="R497" s="2"/>
      <c r="S497" s="2"/>
      <c r="T497" s="2"/>
      <c r="U497" s="2"/>
      <c r="V497" s="1"/>
      <c r="W497" s="1"/>
      <c r="X497" s="1"/>
      <c r="Y497" s="1"/>
      <c r="Z497" s="1"/>
      <c r="AA497" s="1"/>
      <c r="AB497" s="1"/>
      <c r="AC497" s="1"/>
      <c r="AD497" s="1"/>
      <c r="AE497" s="1"/>
      <c r="AF497" s="1"/>
    </row>
    <row r="498">
      <c r="A498" s="1"/>
      <c r="B498" s="2"/>
      <c r="C498" s="117"/>
      <c r="D498" s="2"/>
      <c r="E498" s="2"/>
      <c r="F498" s="2"/>
      <c r="G498" s="2"/>
      <c r="H498" s="2"/>
      <c r="I498" s="117"/>
      <c r="J498" s="2"/>
      <c r="K498" s="2"/>
      <c r="L498" s="2"/>
      <c r="M498" s="2"/>
      <c r="N498" s="2"/>
      <c r="O498" s="2"/>
      <c r="P498" s="2"/>
      <c r="Q498" s="2"/>
      <c r="R498" s="2"/>
      <c r="S498" s="2"/>
      <c r="T498" s="2"/>
      <c r="U498" s="2"/>
      <c r="V498" s="1"/>
      <c r="W498" s="1"/>
      <c r="X498" s="1"/>
      <c r="Y498" s="1"/>
      <c r="Z498" s="1"/>
      <c r="AA498" s="1"/>
      <c r="AB498" s="1"/>
      <c r="AC498" s="1"/>
      <c r="AD498" s="1"/>
      <c r="AE498" s="1"/>
      <c r="AF498" s="1"/>
    </row>
    <row r="499">
      <c r="A499" s="1"/>
      <c r="B499" s="2"/>
      <c r="C499" s="117"/>
      <c r="D499" s="2"/>
      <c r="E499" s="2"/>
      <c r="F499" s="2"/>
      <c r="G499" s="2"/>
      <c r="H499" s="2"/>
      <c r="I499" s="117"/>
      <c r="J499" s="2"/>
      <c r="K499" s="2"/>
      <c r="L499" s="2"/>
      <c r="M499" s="2"/>
      <c r="N499" s="2"/>
      <c r="O499" s="2"/>
      <c r="P499" s="2"/>
      <c r="Q499" s="2"/>
      <c r="R499" s="2"/>
      <c r="S499" s="2"/>
      <c r="T499" s="2"/>
      <c r="U499" s="2"/>
      <c r="V499" s="1"/>
      <c r="W499" s="1"/>
      <c r="X499" s="1"/>
      <c r="Y499" s="1"/>
      <c r="Z499" s="1"/>
      <c r="AA499" s="1"/>
      <c r="AB499" s="1"/>
      <c r="AC499" s="1"/>
      <c r="AD499" s="1"/>
      <c r="AE499" s="1"/>
      <c r="AF499" s="1"/>
    </row>
    <row r="500">
      <c r="A500" s="1"/>
      <c r="B500" s="2"/>
      <c r="C500" s="117"/>
      <c r="D500" s="2"/>
      <c r="E500" s="2"/>
      <c r="F500" s="2"/>
      <c r="G500" s="2"/>
      <c r="H500" s="2"/>
      <c r="I500" s="117"/>
      <c r="J500" s="2"/>
      <c r="K500" s="2"/>
      <c r="L500" s="2"/>
      <c r="M500" s="2"/>
      <c r="N500" s="2"/>
      <c r="O500" s="2"/>
      <c r="P500" s="2"/>
      <c r="Q500" s="2"/>
      <c r="R500" s="2"/>
      <c r="S500" s="2"/>
      <c r="T500" s="2"/>
      <c r="U500" s="2"/>
      <c r="V500" s="1"/>
      <c r="W500" s="1"/>
      <c r="X500" s="1"/>
      <c r="Y500" s="1"/>
      <c r="Z500" s="1"/>
      <c r="AA500" s="1"/>
      <c r="AB500" s="1"/>
      <c r="AC500" s="1"/>
      <c r="AD500" s="1"/>
      <c r="AE500" s="1"/>
      <c r="AF500" s="1"/>
    </row>
    <row r="501">
      <c r="A501" s="1"/>
      <c r="B501" s="2"/>
      <c r="C501" s="117"/>
      <c r="D501" s="2"/>
      <c r="E501" s="2"/>
      <c r="F501" s="2"/>
      <c r="G501" s="2"/>
      <c r="H501" s="2"/>
      <c r="I501" s="117"/>
      <c r="J501" s="2"/>
      <c r="K501" s="2"/>
      <c r="L501" s="2"/>
      <c r="M501" s="2"/>
      <c r="N501" s="2"/>
      <c r="O501" s="2"/>
      <c r="P501" s="2"/>
      <c r="Q501" s="2"/>
      <c r="R501" s="2"/>
      <c r="S501" s="2"/>
      <c r="T501" s="2"/>
      <c r="U501" s="2"/>
      <c r="V501" s="1"/>
      <c r="W501" s="1"/>
      <c r="X501" s="1"/>
      <c r="Y501" s="1"/>
      <c r="Z501" s="1"/>
      <c r="AA501" s="1"/>
      <c r="AB501" s="1"/>
      <c r="AC501" s="1"/>
      <c r="AD501" s="1"/>
      <c r="AE501" s="1"/>
      <c r="AF501" s="1"/>
    </row>
    <row r="502">
      <c r="A502" s="1"/>
      <c r="B502" s="2"/>
      <c r="C502" s="117"/>
      <c r="D502" s="2"/>
      <c r="E502" s="2"/>
      <c r="F502" s="2"/>
      <c r="G502" s="2"/>
      <c r="H502" s="2"/>
      <c r="I502" s="117"/>
      <c r="J502" s="2"/>
      <c r="K502" s="2"/>
      <c r="L502" s="2"/>
      <c r="M502" s="2"/>
      <c r="N502" s="2"/>
      <c r="O502" s="2"/>
      <c r="P502" s="2"/>
      <c r="Q502" s="2"/>
      <c r="R502" s="2"/>
      <c r="S502" s="2"/>
      <c r="T502" s="2"/>
      <c r="U502" s="2"/>
      <c r="V502" s="1"/>
      <c r="W502" s="1"/>
      <c r="X502" s="1"/>
      <c r="Y502" s="1"/>
      <c r="Z502" s="1"/>
      <c r="AA502" s="1"/>
      <c r="AB502" s="1"/>
      <c r="AC502" s="1"/>
      <c r="AD502" s="1"/>
      <c r="AE502" s="1"/>
      <c r="AF502" s="1"/>
    </row>
    <row r="503">
      <c r="A503" s="1"/>
      <c r="B503" s="2"/>
      <c r="C503" s="117"/>
      <c r="D503" s="2"/>
      <c r="E503" s="2"/>
      <c r="F503" s="2"/>
      <c r="G503" s="2"/>
      <c r="H503" s="2"/>
      <c r="I503" s="117"/>
      <c r="J503" s="2"/>
      <c r="K503" s="2"/>
      <c r="L503" s="2"/>
      <c r="M503" s="2"/>
      <c r="N503" s="2"/>
      <c r="O503" s="2"/>
      <c r="P503" s="2"/>
      <c r="Q503" s="2"/>
      <c r="R503" s="2"/>
      <c r="S503" s="2"/>
      <c r="T503" s="2"/>
      <c r="U503" s="2"/>
      <c r="V503" s="1"/>
      <c r="W503" s="1"/>
      <c r="X503" s="1"/>
      <c r="Y503" s="1"/>
      <c r="Z503" s="1"/>
      <c r="AA503" s="1"/>
      <c r="AB503" s="1"/>
      <c r="AC503" s="1"/>
      <c r="AD503" s="1"/>
      <c r="AE503" s="1"/>
      <c r="AF503" s="1"/>
    </row>
    <row r="504">
      <c r="A504" s="1"/>
      <c r="B504" s="2"/>
      <c r="C504" s="117"/>
      <c r="D504" s="2"/>
      <c r="E504" s="2"/>
      <c r="F504" s="2"/>
      <c r="G504" s="2"/>
      <c r="H504" s="2"/>
      <c r="I504" s="117"/>
      <c r="J504" s="2"/>
      <c r="K504" s="2"/>
      <c r="L504" s="2"/>
      <c r="M504" s="2"/>
      <c r="N504" s="2"/>
      <c r="O504" s="2"/>
      <c r="P504" s="2"/>
      <c r="Q504" s="2"/>
      <c r="R504" s="2"/>
      <c r="S504" s="2"/>
      <c r="T504" s="2"/>
      <c r="U504" s="2"/>
      <c r="V504" s="1"/>
      <c r="W504" s="1"/>
      <c r="X504" s="1"/>
      <c r="Y504" s="1"/>
      <c r="Z504" s="1"/>
      <c r="AA504" s="1"/>
      <c r="AB504" s="1"/>
      <c r="AC504" s="1"/>
      <c r="AD504" s="1"/>
      <c r="AE504" s="1"/>
      <c r="AF504" s="1"/>
    </row>
    <row r="505">
      <c r="A505" s="1"/>
      <c r="B505" s="2"/>
      <c r="C505" s="117"/>
      <c r="D505" s="2"/>
      <c r="E505" s="2"/>
      <c r="F505" s="2"/>
      <c r="G505" s="2"/>
      <c r="H505" s="2"/>
      <c r="I505" s="117"/>
      <c r="J505" s="2"/>
      <c r="K505" s="2"/>
      <c r="L505" s="2"/>
      <c r="M505" s="2"/>
      <c r="N505" s="2"/>
      <c r="O505" s="2"/>
      <c r="P505" s="2"/>
      <c r="Q505" s="2"/>
      <c r="R505" s="2"/>
      <c r="S505" s="2"/>
      <c r="T505" s="2"/>
      <c r="U505" s="2"/>
      <c r="V505" s="1"/>
      <c r="W505" s="1"/>
      <c r="X505" s="1"/>
      <c r="Y505" s="1"/>
      <c r="Z505" s="1"/>
      <c r="AA505" s="1"/>
      <c r="AB505" s="1"/>
      <c r="AC505" s="1"/>
      <c r="AD505" s="1"/>
      <c r="AE505" s="1"/>
      <c r="AF505" s="1"/>
    </row>
    <row r="506">
      <c r="A506" s="1"/>
      <c r="B506" s="2"/>
      <c r="C506" s="117"/>
      <c r="D506" s="2"/>
      <c r="E506" s="2"/>
      <c r="F506" s="2"/>
      <c r="G506" s="2"/>
      <c r="H506" s="2"/>
      <c r="I506" s="117"/>
      <c r="J506" s="2"/>
      <c r="K506" s="2"/>
      <c r="L506" s="2"/>
      <c r="M506" s="2"/>
      <c r="N506" s="2"/>
      <c r="O506" s="2"/>
      <c r="P506" s="2"/>
      <c r="Q506" s="2"/>
      <c r="R506" s="2"/>
      <c r="S506" s="2"/>
      <c r="T506" s="2"/>
      <c r="U506" s="2"/>
      <c r="V506" s="1"/>
      <c r="W506" s="1"/>
      <c r="X506" s="1"/>
      <c r="Y506" s="1"/>
      <c r="Z506" s="1"/>
      <c r="AA506" s="1"/>
      <c r="AB506" s="1"/>
      <c r="AC506" s="1"/>
      <c r="AD506" s="1"/>
      <c r="AE506" s="1"/>
      <c r="AF506" s="1"/>
    </row>
    <row r="507">
      <c r="A507" s="1"/>
      <c r="B507" s="2"/>
      <c r="C507" s="117"/>
      <c r="D507" s="2"/>
      <c r="E507" s="2"/>
      <c r="F507" s="2"/>
      <c r="G507" s="2"/>
      <c r="H507" s="2"/>
      <c r="I507" s="117"/>
      <c r="J507" s="2"/>
      <c r="K507" s="2"/>
      <c r="L507" s="2"/>
      <c r="M507" s="2"/>
      <c r="N507" s="2"/>
      <c r="O507" s="2"/>
      <c r="P507" s="2"/>
      <c r="Q507" s="2"/>
      <c r="R507" s="2"/>
      <c r="S507" s="2"/>
      <c r="T507" s="2"/>
      <c r="U507" s="2"/>
      <c r="V507" s="1"/>
      <c r="W507" s="1"/>
      <c r="X507" s="1"/>
      <c r="Y507" s="1"/>
      <c r="Z507" s="1"/>
      <c r="AA507" s="1"/>
      <c r="AB507" s="1"/>
      <c r="AC507" s="1"/>
      <c r="AD507" s="1"/>
      <c r="AE507" s="1"/>
      <c r="AF507" s="1"/>
    </row>
    <row r="508">
      <c r="A508" s="1"/>
      <c r="B508" s="2"/>
      <c r="C508" s="117"/>
      <c r="D508" s="2"/>
      <c r="E508" s="2"/>
      <c r="F508" s="2"/>
      <c r="G508" s="2"/>
      <c r="H508" s="2"/>
      <c r="I508" s="117"/>
      <c r="J508" s="2"/>
      <c r="K508" s="2"/>
      <c r="L508" s="2"/>
      <c r="M508" s="2"/>
      <c r="N508" s="2"/>
      <c r="O508" s="2"/>
      <c r="P508" s="2"/>
      <c r="Q508" s="2"/>
      <c r="R508" s="2"/>
      <c r="S508" s="2"/>
      <c r="T508" s="2"/>
      <c r="U508" s="2"/>
      <c r="V508" s="1"/>
      <c r="W508" s="1"/>
      <c r="X508" s="1"/>
      <c r="Y508" s="1"/>
      <c r="Z508" s="1"/>
      <c r="AA508" s="1"/>
      <c r="AB508" s="1"/>
      <c r="AC508" s="1"/>
      <c r="AD508" s="1"/>
      <c r="AE508" s="1"/>
      <c r="AF508" s="1"/>
    </row>
    <row r="509">
      <c r="A509" s="1"/>
      <c r="B509" s="2"/>
      <c r="C509" s="117"/>
      <c r="D509" s="2"/>
      <c r="E509" s="2"/>
      <c r="F509" s="2"/>
      <c r="G509" s="2"/>
      <c r="H509" s="2"/>
      <c r="I509" s="117"/>
      <c r="J509" s="2"/>
      <c r="K509" s="2"/>
      <c r="L509" s="2"/>
      <c r="M509" s="2"/>
      <c r="N509" s="2"/>
      <c r="O509" s="2"/>
      <c r="P509" s="2"/>
      <c r="Q509" s="2"/>
      <c r="R509" s="2"/>
      <c r="S509" s="2"/>
      <c r="T509" s="2"/>
      <c r="U509" s="2"/>
      <c r="V509" s="1"/>
      <c r="W509" s="1"/>
      <c r="X509" s="1"/>
      <c r="Y509" s="1"/>
      <c r="Z509" s="1"/>
      <c r="AA509" s="1"/>
      <c r="AB509" s="1"/>
      <c r="AC509" s="1"/>
      <c r="AD509" s="1"/>
      <c r="AE509" s="1"/>
      <c r="AF509" s="1"/>
    </row>
    <row r="510">
      <c r="A510" s="1"/>
      <c r="B510" s="2"/>
      <c r="C510" s="117"/>
      <c r="D510" s="2"/>
      <c r="E510" s="2"/>
      <c r="F510" s="2"/>
      <c r="G510" s="2"/>
      <c r="H510" s="2"/>
      <c r="I510" s="117"/>
      <c r="J510" s="2"/>
      <c r="K510" s="2"/>
      <c r="L510" s="2"/>
      <c r="M510" s="2"/>
      <c r="N510" s="2"/>
      <c r="O510" s="2"/>
      <c r="P510" s="2"/>
      <c r="Q510" s="2"/>
      <c r="R510" s="2"/>
      <c r="S510" s="2"/>
      <c r="T510" s="2"/>
      <c r="U510" s="2"/>
      <c r="V510" s="1"/>
      <c r="W510" s="1"/>
      <c r="X510" s="1"/>
      <c r="Y510" s="1"/>
      <c r="Z510" s="1"/>
      <c r="AA510" s="1"/>
      <c r="AB510" s="1"/>
      <c r="AC510" s="1"/>
      <c r="AD510" s="1"/>
      <c r="AE510" s="1"/>
      <c r="AF510" s="1"/>
    </row>
    <row r="511">
      <c r="A511" s="1"/>
      <c r="B511" s="2"/>
      <c r="C511" s="117"/>
      <c r="D511" s="2"/>
      <c r="E511" s="2"/>
      <c r="F511" s="2"/>
      <c r="G511" s="2"/>
      <c r="H511" s="2"/>
      <c r="I511" s="117"/>
      <c r="J511" s="2"/>
      <c r="K511" s="2"/>
      <c r="L511" s="2"/>
      <c r="M511" s="2"/>
      <c r="N511" s="2"/>
      <c r="O511" s="2"/>
      <c r="P511" s="2"/>
      <c r="Q511" s="2"/>
      <c r="R511" s="2"/>
      <c r="S511" s="2"/>
      <c r="T511" s="2"/>
      <c r="U511" s="2"/>
      <c r="V511" s="1"/>
      <c r="W511" s="1"/>
      <c r="X511" s="1"/>
      <c r="Y511" s="1"/>
      <c r="Z511" s="1"/>
      <c r="AA511" s="1"/>
      <c r="AB511" s="1"/>
      <c r="AC511" s="1"/>
      <c r="AD511" s="1"/>
      <c r="AE511" s="1"/>
      <c r="AF511" s="1"/>
    </row>
    <row r="512">
      <c r="A512" s="1"/>
      <c r="B512" s="2"/>
      <c r="C512" s="117"/>
      <c r="D512" s="2"/>
      <c r="E512" s="2"/>
      <c r="F512" s="2"/>
      <c r="G512" s="2"/>
      <c r="H512" s="2"/>
      <c r="I512" s="117"/>
      <c r="J512" s="2"/>
      <c r="K512" s="2"/>
      <c r="L512" s="2"/>
      <c r="M512" s="2"/>
      <c r="N512" s="2"/>
      <c r="O512" s="2"/>
      <c r="P512" s="2"/>
      <c r="Q512" s="2"/>
      <c r="R512" s="2"/>
      <c r="S512" s="2"/>
      <c r="T512" s="2"/>
      <c r="U512" s="2"/>
      <c r="V512" s="1"/>
      <c r="W512" s="1"/>
      <c r="X512" s="1"/>
      <c r="Y512" s="1"/>
      <c r="Z512" s="1"/>
      <c r="AA512" s="1"/>
      <c r="AB512" s="1"/>
      <c r="AC512" s="1"/>
      <c r="AD512" s="1"/>
      <c r="AE512" s="1"/>
      <c r="AF512" s="1"/>
    </row>
    <row r="513">
      <c r="A513" s="1"/>
      <c r="B513" s="2"/>
      <c r="C513" s="117"/>
      <c r="D513" s="2"/>
      <c r="E513" s="2"/>
      <c r="F513" s="2"/>
      <c r="G513" s="2"/>
      <c r="H513" s="2"/>
      <c r="I513" s="117"/>
      <c r="J513" s="2"/>
      <c r="K513" s="2"/>
      <c r="L513" s="2"/>
      <c r="M513" s="2"/>
      <c r="N513" s="2"/>
      <c r="O513" s="2"/>
      <c r="P513" s="2"/>
      <c r="Q513" s="2"/>
      <c r="R513" s="2"/>
      <c r="S513" s="2"/>
      <c r="T513" s="2"/>
      <c r="U513" s="2"/>
      <c r="V513" s="1"/>
      <c r="W513" s="1"/>
      <c r="X513" s="1"/>
      <c r="Y513" s="1"/>
      <c r="Z513" s="1"/>
      <c r="AA513" s="1"/>
      <c r="AB513" s="1"/>
      <c r="AC513" s="1"/>
      <c r="AD513" s="1"/>
      <c r="AE513" s="1"/>
      <c r="AF513" s="1"/>
    </row>
    <row r="514">
      <c r="A514" s="1"/>
      <c r="B514" s="2"/>
      <c r="C514" s="117"/>
      <c r="D514" s="2"/>
      <c r="E514" s="2"/>
      <c r="F514" s="2"/>
      <c r="G514" s="2"/>
      <c r="H514" s="2"/>
      <c r="I514" s="117"/>
      <c r="J514" s="2"/>
      <c r="K514" s="2"/>
      <c r="L514" s="2"/>
      <c r="M514" s="2"/>
      <c r="N514" s="2"/>
      <c r="O514" s="2"/>
      <c r="P514" s="2"/>
      <c r="Q514" s="2"/>
      <c r="R514" s="2"/>
      <c r="S514" s="2"/>
      <c r="T514" s="2"/>
      <c r="U514" s="2"/>
      <c r="V514" s="1"/>
      <c r="W514" s="1"/>
      <c r="X514" s="1"/>
      <c r="Y514" s="1"/>
      <c r="Z514" s="1"/>
      <c r="AA514" s="1"/>
      <c r="AB514" s="1"/>
      <c r="AC514" s="1"/>
      <c r="AD514" s="1"/>
      <c r="AE514" s="1"/>
      <c r="AF514" s="1"/>
    </row>
    <row r="515">
      <c r="A515" s="1"/>
      <c r="B515" s="2"/>
      <c r="C515" s="117"/>
      <c r="D515" s="2"/>
      <c r="E515" s="2"/>
      <c r="F515" s="2"/>
      <c r="G515" s="2"/>
      <c r="H515" s="2"/>
      <c r="I515" s="117"/>
      <c r="J515" s="2"/>
      <c r="K515" s="2"/>
      <c r="L515" s="2"/>
      <c r="M515" s="2"/>
      <c r="N515" s="2"/>
      <c r="O515" s="2"/>
      <c r="P515" s="2"/>
      <c r="Q515" s="2"/>
      <c r="R515" s="2"/>
      <c r="S515" s="2"/>
      <c r="T515" s="2"/>
      <c r="U515" s="2"/>
      <c r="V515" s="1"/>
      <c r="W515" s="1"/>
      <c r="X515" s="1"/>
      <c r="Y515" s="1"/>
      <c r="Z515" s="1"/>
      <c r="AA515" s="1"/>
      <c r="AB515" s="1"/>
      <c r="AC515" s="1"/>
      <c r="AD515" s="1"/>
      <c r="AE515" s="1"/>
      <c r="AF515" s="1"/>
    </row>
    <row r="516">
      <c r="A516" s="1"/>
      <c r="B516" s="2"/>
      <c r="C516" s="117"/>
      <c r="D516" s="2"/>
      <c r="E516" s="2"/>
      <c r="F516" s="2"/>
      <c r="G516" s="2"/>
      <c r="H516" s="2"/>
      <c r="I516" s="117"/>
      <c r="J516" s="2"/>
      <c r="K516" s="2"/>
      <c r="L516" s="2"/>
      <c r="M516" s="2"/>
      <c r="N516" s="2"/>
      <c r="O516" s="2"/>
      <c r="P516" s="2"/>
      <c r="Q516" s="2"/>
      <c r="R516" s="2"/>
      <c r="S516" s="2"/>
      <c r="T516" s="2"/>
      <c r="U516" s="2"/>
      <c r="V516" s="1"/>
      <c r="W516" s="1"/>
      <c r="X516" s="1"/>
      <c r="Y516" s="1"/>
      <c r="Z516" s="1"/>
      <c r="AA516" s="1"/>
      <c r="AB516" s="1"/>
      <c r="AC516" s="1"/>
      <c r="AD516" s="1"/>
      <c r="AE516" s="1"/>
      <c r="AF516" s="1"/>
    </row>
    <row r="517">
      <c r="A517" s="1"/>
      <c r="B517" s="2"/>
      <c r="C517" s="117"/>
      <c r="D517" s="2"/>
      <c r="E517" s="2"/>
      <c r="F517" s="2"/>
      <c r="G517" s="2"/>
      <c r="H517" s="2"/>
      <c r="I517" s="117"/>
      <c r="J517" s="2"/>
      <c r="K517" s="2"/>
      <c r="L517" s="2"/>
      <c r="M517" s="2"/>
      <c r="N517" s="2"/>
      <c r="O517" s="2"/>
      <c r="P517" s="2"/>
      <c r="Q517" s="2"/>
      <c r="R517" s="2"/>
      <c r="S517" s="2"/>
      <c r="T517" s="2"/>
      <c r="U517" s="2"/>
      <c r="V517" s="1"/>
      <c r="W517" s="1"/>
      <c r="X517" s="1"/>
      <c r="Y517" s="1"/>
      <c r="Z517" s="1"/>
      <c r="AA517" s="1"/>
      <c r="AB517" s="1"/>
      <c r="AC517" s="1"/>
      <c r="AD517" s="1"/>
      <c r="AE517" s="1"/>
      <c r="AF517" s="1"/>
    </row>
    <row r="518">
      <c r="A518" s="1"/>
      <c r="B518" s="2"/>
      <c r="C518" s="117"/>
      <c r="D518" s="2"/>
      <c r="E518" s="2"/>
      <c r="F518" s="2"/>
      <c r="G518" s="2"/>
      <c r="H518" s="2"/>
      <c r="I518" s="117"/>
      <c r="J518" s="2"/>
      <c r="K518" s="2"/>
      <c r="L518" s="2"/>
      <c r="M518" s="2"/>
      <c r="N518" s="2"/>
      <c r="O518" s="2"/>
      <c r="P518" s="2"/>
      <c r="Q518" s="2"/>
      <c r="R518" s="2"/>
      <c r="S518" s="2"/>
      <c r="T518" s="2"/>
      <c r="U518" s="2"/>
      <c r="V518" s="1"/>
      <c r="W518" s="1"/>
      <c r="X518" s="1"/>
      <c r="Y518" s="1"/>
      <c r="Z518" s="1"/>
      <c r="AA518" s="1"/>
      <c r="AB518" s="1"/>
      <c r="AC518" s="1"/>
      <c r="AD518" s="1"/>
      <c r="AE518" s="1"/>
      <c r="AF518" s="1"/>
    </row>
    <row r="519">
      <c r="A519" s="1"/>
      <c r="B519" s="2"/>
      <c r="C519" s="117"/>
      <c r="D519" s="2"/>
      <c r="E519" s="2"/>
      <c r="F519" s="2"/>
      <c r="G519" s="2"/>
      <c r="H519" s="2"/>
      <c r="I519" s="117"/>
      <c r="J519" s="2"/>
      <c r="K519" s="2"/>
      <c r="L519" s="2"/>
      <c r="M519" s="2"/>
      <c r="N519" s="2"/>
      <c r="O519" s="2"/>
      <c r="P519" s="2"/>
      <c r="Q519" s="2"/>
      <c r="R519" s="2"/>
      <c r="S519" s="2"/>
      <c r="T519" s="2"/>
      <c r="U519" s="2"/>
      <c r="V519" s="1"/>
      <c r="W519" s="1"/>
      <c r="X519" s="1"/>
      <c r="Y519" s="1"/>
      <c r="Z519" s="1"/>
      <c r="AA519" s="1"/>
      <c r="AB519" s="1"/>
      <c r="AC519" s="1"/>
      <c r="AD519" s="1"/>
      <c r="AE519" s="1"/>
      <c r="AF519" s="1"/>
    </row>
    <row r="520">
      <c r="A520" s="1"/>
      <c r="B520" s="2"/>
      <c r="C520" s="117"/>
      <c r="D520" s="2"/>
      <c r="E520" s="2"/>
      <c r="F520" s="2"/>
      <c r="G520" s="2"/>
      <c r="H520" s="2"/>
      <c r="I520" s="117"/>
      <c r="J520" s="2"/>
      <c r="K520" s="2"/>
      <c r="L520" s="2"/>
      <c r="M520" s="2"/>
      <c r="N520" s="2"/>
      <c r="O520" s="2"/>
      <c r="P520" s="2"/>
      <c r="Q520" s="2"/>
      <c r="R520" s="2"/>
      <c r="S520" s="2"/>
      <c r="T520" s="2"/>
      <c r="U520" s="2"/>
      <c r="V520" s="1"/>
      <c r="W520" s="1"/>
      <c r="X520" s="1"/>
      <c r="Y520" s="1"/>
      <c r="Z520" s="1"/>
      <c r="AA520" s="1"/>
      <c r="AB520" s="1"/>
      <c r="AC520" s="1"/>
      <c r="AD520" s="1"/>
      <c r="AE520" s="1"/>
      <c r="AF520" s="1"/>
    </row>
    <row r="521">
      <c r="A521" s="1"/>
      <c r="B521" s="2"/>
      <c r="C521" s="117"/>
      <c r="D521" s="2"/>
      <c r="E521" s="2"/>
      <c r="F521" s="2"/>
      <c r="G521" s="2"/>
      <c r="H521" s="2"/>
      <c r="I521" s="117"/>
      <c r="J521" s="2"/>
      <c r="K521" s="2"/>
      <c r="L521" s="2"/>
      <c r="M521" s="2"/>
      <c r="N521" s="2"/>
      <c r="O521" s="2"/>
      <c r="P521" s="2"/>
      <c r="Q521" s="2"/>
      <c r="R521" s="2"/>
      <c r="S521" s="2"/>
      <c r="T521" s="2"/>
      <c r="U521" s="2"/>
      <c r="V521" s="1"/>
      <c r="W521" s="1"/>
      <c r="X521" s="1"/>
      <c r="Y521" s="1"/>
      <c r="Z521" s="1"/>
      <c r="AA521" s="1"/>
      <c r="AB521" s="1"/>
      <c r="AC521" s="1"/>
      <c r="AD521" s="1"/>
      <c r="AE521" s="1"/>
      <c r="AF521" s="1"/>
    </row>
    <row r="522">
      <c r="A522" s="1"/>
      <c r="B522" s="2"/>
      <c r="C522" s="117"/>
      <c r="D522" s="2"/>
      <c r="E522" s="2"/>
      <c r="F522" s="2"/>
      <c r="G522" s="2"/>
      <c r="H522" s="2"/>
      <c r="I522" s="117"/>
      <c r="J522" s="2"/>
      <c r="K522" s="2"/>
      <c r="L522" s="2"/>
      <c r="M522" s="2"/>
      <c r="N522" s="2"/>
      <c r="O522" s="2"/>
      <c r="P522" s="2"/>
      <c r="Q522" s="2"/>
      <c r="R522" s="2"/>
      <c r="S522" s="2"/>
      <c r="T522" s="2"/>
      <c r="U522" s="2"/>
      <c r="V522" s="1"/>
      <c r="W522" s="1"/>
      <c r="X522" s="1"/>
      <c r="Y522" s="1"/>
      <c r="Z522" s="1"/>
      <c r="AA522" s="1"/>
      <c r="AB522" s="1"/>
      <c r="AC522" s="1"/>
      <c r="AD522" s="1"/>
      <c r="AE522" s="1"/>
      <c r="AF522" s="1"/>
    </row>
    <row r="523">
      <c r="A523" s="1"/>
      <c r="B523" s="2"/>
      <c r="C523" s="117"/>
      <c r="D523" s="2"/>
      <c r="E523" s="2"/>
      <c r="F523" s="2"/>
      <c r="G523" s="2"/>
      <c r="H523" s="2"/>
      <c r="I523" s="117"/>
      <c r="J523" s="2"/>
      <c r="K523" s="2"/>
      <c r="L523" s="2"/>
      <c r="M523" s="2"/>
      <c r="N523" s="2"/>
      <c r="O523" s="2"/>
      <c r="P523" s="2"/>
      <c r="Q523" s="2"/>
      <c r="R523" s="2"/>
      <c r="S523" s="2"/>
      <c r="T523" s="2"/>
      <c r="U523" s="2"/>
      <c r="V523" s="1"/>
      <c r="W523" s="1"/>
      <c r="X523" s="1"/>
      <c r="Y523" s="1"/>
      <c r="Z523" s="1"/>
      <c r="AA523" s="1"/>
      <c r="AB523" s="1"/>
      <c r="AC523" s="1"/>
      <c r="AD523" s="1"/>
      <c r="AE523" s="1"/>
      <c r="AF523" s="1"/>
    </row>
    <row r="524">
      <c r="A524" s="1"/>
      <c r="B524" s="2"/>
      <c r="C524" s="117"/>
      <c r="D524" s="2"/>
      <c r="E524" s="2"/>
      <c r="F524" s="2"/>
      <c r="G524" s="2"/>
      <c r="H524" s="2"/>
      <c r="I524" s="117"/>
      <c r="J524" s="2"/>
      <c r="K524" s="2"/>
      <c r="L524" s="2"/>
      <c r="M524" s="2"/>
      <c r="N524" s="2"/>
      <c r="O524" s="2"/>
      <c r="P524" s="2"/>
      <c r="Q524" s="2"/>
      <c r="R524" s="2"/>
      <c r="S524" s="2"/>
      <c r="T524" s="2"/>
      <c r="U524" s="2"/>
      <c r="V524" s="1"/>
      <c r="W524" s="1"/>
      <c r="X524" s="1"/>
      <c r="Y524" s="1"/>
      <c r="Z524" s="1"/>
      <c r="AA524" s="1"/>
      <c r="AB524" s="1"/>
      <c r="AC524" s="1"/>
      <c r="AD524" s="1"/>
      <c r="AE524" s="1"/>
      <c r="AF524" s="1"/>
    </row>
    <row r="525">
      <c r="A525" s="1"/>
      <c r="B525" s="2"/>
      <c r="C525" s="117"/>
      <c r="D525" s="2"/>
      <c r="E525" s="2"/>
      <c r="F525" s="2"/>
      <c r="G525" s="2"/>
      <c r="H525" s="2"/>
      <c r="I525" s="117"/>
      <c r="J525" s="2"/>
      <c r="K525" s="2"/>
      <c r="L525" s="2"/>
      <c r="M525" s="2"/>
      <c r="N525" s="2"/>
      <c r="O525" s="2"/>
      <c r="P525" s="2"/>
      <c r="Q525" s="2"/>
      <c r="R525" s="2"/>
      <c r="S525" s="2"/>
      <c r="T525" s="2"/>
      <c r="U525" s="2"/>
      <c r="V525" s="1"/>
      <c r="W525" s="1"/>
      <c r="X525" s="1"/>
      <c r="Y525" s="1"/>
      <c r="Z525" s="1"/>
      <c r="AA525" s="1"/>
      <c r="AB525" s="1"/>
      <c r="AC525" s="1"/>
      <c r="AD525" s="1"/>
      <c r="AE525" s="1"/>
      <c r="AF525" s="1"/>
    </row>
    <row r="526">
      <c r="A526" s="1"/>
      <c r="B526" s="2"/>
      <c r="C526" s="117"/>
      <c r="D526" s="2"/>
      <c r="E526" s="2"/>
      <c r="F526" s="2"/>
      <c r="G526" s="2"/>
      <c r="H526" s="2"/>
      <c r="I526" s="117"/>
      <c r="J526" s="2"/>
      <c r="K526" s="2"/>
      <c r="L526" s="2"/>
      <c r="M526" s="2"/>
      <c r="N526" s="2"/>
      <c r="O526" s="2"/>
      <c r="P526" s="2"/>
      <c r="Q526" s="2"/>
      <c r="R526" s="2"/>
      <c r="S526" s="2"/>
      <c r="T526" s="2"/>
      <c r="U526" s="2"/>
      <c r="V526" s="1"/>
      <c r="W526" s="1"/>
      <c r="X526" s="1"/>
      <c r="Y526" s="1"/>
      <c r="Z526" s="1"/>
      <c r="AA526" s="1"/>
      <c r="AB526" s="1"/>
      <c r="AC526" s="1"/>
      <c r="AD526" s="1"/>
      <c r="AE526" s="1"/>
      <c r="AF526" s="1"/>
    </row>
    <row r="527">
      <c r="A527" s="1"/>
      <c r="B527" s="2"/>
      <c r="C527" s="117"/>
      <c r="D527" s="2"/>
      <c r="E527" s="2"/>
      <c r="F527" s="2"/>
      <c r="G527" s="2"/>
      <c r="H527" s="2"/>
      <c r="I527" s="117"/>
      <c r="J527" s="2"/>
      <c r="K527" s="2"/>
      <c r="L527" s="2"/>
      <c r="M527" s="2"/>
      <c r="N527" s="2"/>
      <c r="O527" s="2"/>
      <c r="P527" s="2"/>
      <c r="Q527" s="2"/>
      <c r="R527" s="2"/>
      <c r="S527" s="2"/>
      <c r="T527" s="2"/>
      <c r="U527" s="2"/>
      <c r="V527" s="1"/>
      <c r="W527" s="1"/>
      <c r="X527" s="1"/>
      <c r="Y527" s="1"/>
      <c r="Z527" s="1"/>
      <c r="AA527" s="1"/>
      <c r="AB527" s="1"/>
      <c r="AC527" s="1"/>
      <c r="AD527" s="1"/>
      <c r="AE527" s="1"/>
      <c r="AF527" s="1"/>
    </row>
    <row r="528">
      <c r="A528" s="1"/>
      <c r="B528" s="2"/>
      <c r="C528" s="117"/>
      <c r="D528" s="2"/>
      <c r="E528" s="2"/>
      <c r="F528" s="2"/>
      <c r="G528" s="2"/>
      <c r="H528" s="2"/>
      <c r="I528" s="117"/>
      <c r="J528" s="2"/>
      <c r="K528" s="2"/>
      <c r="L528" s="2"/>
      <c r="M528" s="2"/>
      <c r="N528" s="2"/>
      <c r="O528" s="2"/>
      <c r="P528" s="2"/>
      <c r="Q528" s="2"/>
      <c r="R528" s="2"/>
      <c r="S528" s="2"/>
      <c r="T528" s="2"/>
      <c r="U528" s="2"/>
      <c r="V528" s="1"/>
      <c r="W528" s="1"/>
      <c r="X528" s="1"/>
      <c r="Y528" s="1"/>
      <c r="Z528" s="1"/>
      <c r="AA528" s="1"/>
      <c r="AB528" s="1"/>
      <c r="AC528" s="1"/>
      <c r="AD528" s="1"/>
      <c r="AE528" s="1"/>
      <c r="AF528" s="1"/>
    </row>
    <row r="529">
      <c r="A529" s="1"/>
      <c r="B529" s="2"/>
      <c r="C529" s="117"/>
      <c r="D529" s="2"/>
      <c r="E529" s="2"/>
      <c r="F529" s="2"/>
      <c r="G529" s="2"/>
      <c r="H529" s="2"/>
      <c r="I529" s="117"/>
      <c r="J529" s="2"/>
      <c r="K529" s="2"/>
      <c r="L529" s="2"/>
      <c r="M529" s="2"/>
      <c r="N529" s="2"/>
      <c r="O529" s="2"/>
      <c r="P529" s="2"/>
      <c r="Q529" s="2"/>
      <c r="R529" s="2"/>
      <c r="S529" s="2"/>
      <c r="T529" s="2"/>
      <c r="U529" s="2"/>
      <c r="V529" s="1"/>
      <c r="W529" s="1"/>
      <c r="X529" s="1"/>
      <c r="Y529" s="1"/>
      <c r="Z529" s="1"/>
      <c r="AA529" s="1"/>
      <c r="AB529" s="1"/>
      <c r="AC529" s="1"/>
      <c r="AD529" s="1"/>
      <c r="AE529" s="1"/>
      <c r="AF529" s="1"/>
    </row>
    <row r="530">
      <c r="A530" s="1"/>
      <c r="B530" s="2"/>
      <c r="C530" s="117"/>
      <c r="D530" s="2"/>
      <c r="E530" s="2"/>
      <c r="F530" s="2"/>
      <c r="G530" s="2"/>
      <c r="H530" s="2"/>
      <c r="I530" s="117"/>
      <c r="J530" s="2"/>
      <c r="K530" s="2"/>
      <c r="L530" s="2"/>
      <c r="M530" s="2"/>
      <c r="N530" s="2"/>
      <c r="O530" s="2"/>
      <c r="P530" s="2"/>
      <c r="Q530" s="2"/>
      <c r="R530" s="2"/>
      <c r="S530" s="2"/>
      <c r="T530" s="2"/>
      <c r="U530" s="2"/>
      <c r="V530" s="1"/>
      <c r="W530" s="1"/>
      <c r="X530" s="1"/>
      <c r="Y530" s="1"/>
      <c r="Z530" s="1"/>
      <c r="AA530" s="1"/>
      <c r="AB530" s="1"/>
      <c r="AC530" s="1"/>
      <c r="AD530" s="1"/>
      <c r="AE530" s="1"/>
      <c r="AF530" s="1"/>
    </row>
    <row r="531">
      <c r="A531" s="1"/>
      <c r="B531" s="2"/>
      <c r="C531" s="117"/>
      <c r="D531" s="2"/>
      <c r="E531" s="2"/>
      <c r="F531" s="2"/>
      <c r="G531" s="2"/>
      <c r="H531" s="2"/>
      <c r="I531" s="117"/>
      <c r="J531" s="2"/>
      <c r="K531" s="2"/>
      <c r="L531" s="2"/>
      <c r="M531" s="2"/>
      <c r="N531" s="2"/>
      <c r="O531" s="2"/>
      <c r="P531" s="2"/>
      <c r="Q531" s="2"/>
      <c r="R531" s="2"/>
      <c r="S531" s="2"/>
      <c r="T531" s="2"/>
      <c r="U531" s="2"/>
      <c r="V531" s="1"/>
      <c r="W531" s="1"/>
      <c r="X531" s="1"/>
      <c r="Y531" s="1"/>
      <c r="Z531" s="1"/>
      <c r="AA531" s="1"/>
      <c r="AB531" s="1"/>
      <c r="AC531" s="1"/>
      <c r="AD531" s="1"/>
      <c r="AE531" s="1"/>
      <c r="AF531" s="1"/>
    </row>
    <row r="532">
      <c r="A532" s="1"/>
      <c r="B532" s="2"/>
      <c r="C532" s="117"/>
      <c r="D532" s="2"/>
      <c r="E532" s="2"/>
      <c r="F532" s="2"/>
      <c r="G532" s="2"/>
      <c r="H532" s="2"/>
      <c r="I532" s="117"/>
      <c r="J532" s="2"/>
      <c r="K532" s="2"/>
      <c r="L532" s="2"/>
      <c r="M532" s="2"/>
      <c r="N532" s="2"/>
      <c r="O532" s="2"/>
      <c r="P532" s="2"/>
      <c r="Q532" s="2"/>
      <c r="R532" s="2"/>
      <c r="S532" s="2"/>
      <c r="T532" s="2"/>
      <c r="U532" s="2"/>
      <c r="V532" s="1"/>
      <c r="W532" s="1"/>
      <c r="X532" s="1"/>
      <c r="Y532" s="1"/>
      <c r="Z532" s="1"/>
      <c r="AA532" s="1"/>
      <c r="AB532" s="1"/>
      <c r="AC532" s="1"/>
      <c r="AD532" s="1"/>
      <c r="AE532" s="1"/>
      <c r="AF532" s="1"/>
    </row>
    <row r="533">
      <c r="A533" s="1"/>
      <c r="B533" s="2"/>
      <c r="C533" s="117"/>
      <c r="D533" s="2"/>
      <c r="E533" s="2"/>
      <c r="F533" s="2"/>
      <c r="G533" s="2"/>
      <c r="H533" s="2"/>
      <c r="I533" s="117"/>
      <c r="J533" s="2"/>
      <c r="K533" s="2"/>
      <c r="L533" s="2"/>
      <c r="M533" s="2"/>
      <c r="N533" s="2"/>
      <c r="O533" s="2"/>
      <c r="P533" s="2"/>
      <c r="Q533" s="2"/>
      <c r="R533" s="2"/>
      <c r="S533" s="2"/>
      <c r="T533" s="2"/>
      <c r="U533" s="2"/>
      <c r="V533" s="1"/>
      <c r="W533" s="1"/>
      <c r="X533" s="1"/>
      <c r="Y533" s="1"/>
      <c r="Z533" s="1"/>
      <c r="AA533" s="1"/>
      <c r="AB533" s="1"/>
      <c r="AC533" s="1"/>
      <c r="AD533" s="1"/>
      <c r="AE533" s="1"/>
      <c r="AF533" s="1"/>
    </row>
    <row r="534">
      <c r="A534" s="1"/>
      <c r="B534" s="2"/>
      <c r="C534" s="117"/>
      <c r="D534" s="2"/>
      <c r="E534" s="2"/>
      <c r="F534" s="2"/>
      <c r="G534" s="2"/>
      <c r="H534" s="2"/>
      <c r="I534" s="117"/>
      <c r="J534" s="2"/>
      <c r="K534" s="2"/>
      <c r="L534" s="2"/>
      <c r="M534" s="2"/>
      <c r="N534" s="2"/>
      <c r="O534" s="2"/>
      <c r="P534" s="2"/>
      <c r="Q534" s="2"/>
      <c r="R534" s="2"/>
      <c r="S534" s="2"/>
      <c r="T534" s="2"/>
      <c r="U534" s="2"/>
      <c r="V534" s="1"/>
      <c r="W534" s="1"/>
      <c r="X534" s="1"/>
      <c r="Y534" s="1"/>
      <c r="Z534" s="1"/>
      <c r="AA534" s="1"/>
      <c r="AB534" s="1"/>
      <c r="AC534" s="1"/>
      <c r="AD534" s="1"/>
      <c r="AE534" s="1"/>
      <c r="AF534" s="1"/>
    </row>
    <row r="535">
      <c r="A535" s="1"/>
      <c r="B535" s="2"/>
      <c r="C535" s="117"/>
      <c r="D535" s="2"/>
      <c r="E535" s="2"/>
      <c r="F535" s="2"/>
      <c r="G535" s="2"/>
      <c r="H535" s="2"/>
      <c r="I535" s="117"/>
      <c r="J535" s="2"/>
      <c r="K535" s="2"/>
      <c r="L535" s="2"/>
      <c r="M535" s="2"/>
      <c r="N535" s="2"/>
      <c r="O535" s="2"/>
      <c r="P535" s="2"/>
      <c r="Q535" s="2"/>
      <c r="R535" s="2"/>
      <c r="S535" s="2"/>
      <c r="T535" s="2"/>
      <c r="U535" s="2"/>
      <c r="V535" s="1"/>
      <c r="W535" s="1"/>
      <c r="X535" s="1"/>
      <c r="Y535" s="1"/>
      <c r="Z535" s="1"/>
      <c r="AA535" s="1"/>
      <c r="AB535" s="1"/>
      <c r="AC535" s="1"/>
      <c r="AD535" s="1"/>
      <c r="AE535" s="1"/>
      <c r="AF535" s="1"/>
    </row>
    <row r="536">
      <c r="A536" s="1"/>
      <c r="B536" s="2"/>
      <c r="C536" s="117"/>
      <c r="D536" s="2"/>
      <c r="E536" s="2"/>
      <c r="F536" s="2"/>
      <c r="G536" s="2"/>
      <c r="H536" s="2"/>
      <c r="I536" s="117"/>
      <c r="J536" s="2"/>
      <c r="K536" s="2"/>
      <c r="L536" s="2"/>
      <c r="M536" s="2"/>
      <c r="N536" s="2"/>
      <c r="O536" s="2"/>
      <c r="P536" s="2"/>
      <c r="Q536" s="2"/>
      <c r="R536" s="2"/>
      <c r="S536" s="2"/>
      <c r="T536" s="2"/>
      <c r="U536" s="2"/>
      <c r="V536" s="1"/>
      <c r="W536" s="1"/>
      <c r="X536" s="1"/>
      <c r="Y536" s="1"/>
      <c r="Z536" s="1"/>
      <c r="AA536" s="1"/>
      <c r="AB536" s="1"/>
      <c r="AC536" s="1"/>
      <c r="AD536" s="1"/>
      <c r="AE536" s="1"/>
      <c r="AF536" s="1"/>
    </row>
    <row r="537">
      <c r="A537" s="1"/>
      <c r="B537" s="2"/>
      <c r="C537" s="117"/>
      <c r="D537" s="2"/>
      <c r="E537" s="2"/>
      <c r="F537" s="2"/>
      <c r="G537" s="2"/>
      <c r="H537" s="2"/>
      <c r="I537" s="117"/>
      <c r="J537" s="2"/>
      <c r="K537" s="2"/>
      <c r="L537" s="2"/>
      <c r="M537" s="2"/>
      <c r="N537" s="2"/>
      <c r="O537" s="2"/>
      <c r="P537" s="2"/>
      <c r="Q537" s="2"/>
      <c r="R537" s="2"/>
      <c r="S537" s="2"/>
      <c r="T537" s="2"/>
      <c r="U537" s="2"/>
      <c r="V537" s="1"/>
      <c r="W537" s="1"/>
      <c r="X537" s="1"/>
      <c r="Y537" s="1"/>
      <c r="Z537" s="1"/>
      <c r="AA537" s="1"/>
      <c r="AB537" s="1"/>
      <c r="AC537" s="1"/>
      <c r="AD537" s="1"/>
      <c r="AE537" s="1"/>
      <c r="AF537" s="1"/>
    </row>
    <row r="538">
      <c r="A538" s="1"/>
      <c r="B538" s="2"/>
      <c r="C538" s="117"/>
      <c r="D538" s="2"/>
      <c r="E538" s="2"/>
      <c r="F538" s="2"/>
      <c r="G538" s="2"/>
      <c r="H538" s="2"/>
      <c r="I538" s="117"/>
      <c r="J538" s="2"/>
      <c r="K538" s="2"/>
      <c r="L538" s="2"/>
      <c r="M538" s="2"/>
      <c r="N538" s="2"/>
      <c r="O538" s="2"/>
      <c r="P538" s="2"/>
      <c r="Q538" s="2"/>
      <c r="R538" s="2"/>
      <c r="S538" s="2"/>
      <c r="T538" s="2"/>
      <c r="U538" s="2"/>
      <c r="V538" s="1"/>
      <c r="W538" s="1"/>
      <c r="X538" s="1"/>
      <c r="Y538" s="1"/>
      <c r="Z538" s="1"/>
      <c r="AA538" s="1"/>
      <c r="AB538" s="1"/>
      <c r="AC538" s="1"/>
      <c r="AD538" s="1"/>
      <c r="AE538" s="1"/>
      <c r="AF538" s="1"/>
    </row>
    <row r="539">
      <c r="A539" s="1"/>
      <c r="B539" s="2"/>
      <c r="C539" s="117"/>
      <c r="D539" s="2"/>
      <c r="E539" s="2"/>
      <c r="F539" s="2"/>
      <c r="G539" s="2"/>
      <c r="H539" s="2"/>
      <c r="I539" s="117"/>
      <c r="J539" s="2"/>
      <c r="K539" s="2"/>
      <c r="L539" s="2"/>
      <c r="M539" s="2"/>
      <c r="N539" s="2"/>
      <c r="O539" s="2"/>
      <c r="P539" s="2"/>
      <c r="Q539" s="2"/>
      <c r="R539" s="2"/>
      <c r="S539" s="2"/>
      <c r="T539" s="2"/>
      <c r="U539" s="2"/>
      <c r="V539" s="1"/>
      <c r="W539" s="1"/>
      <c r="X539" s="1"/>
      <c r="Y539" s="1"/>
      <c r="Z539" s="1"/>
      <c r="AA539" s="1"/>
      <c r="AB539" s="1"/>
      <c r="AC539" s="1"/>
      <c r="AD539" s="1"/>
      <c r="AE539" s="1"/>
      <c r="AF539" s="1"/>
    </row>
    <row r="540">
      <c r="A540" s="1"/>
      <c r="B540" s="2"/>
      <c r="C540" s="117"/>
      <c r="D540" s="2"/>
      <c r="E540" s="2"/>
      <c r="F540" s="2"/>
      <c r="G540" s="2"/>
      <c r="H540" s="2"/>
      <c r="I540" s="117"/>
      <c r="J540" s="2"/>
      <c r="K540" s="2"/>
      <c r="L540" s="2"/>
      <c r="M540" s="2"/>
      <c r="N540" s="2"/>
      <c r="O540" s="2"/>
      <c r="P540" s="2"/>
      <c r="Q540" s="2"/>
      <c r="R540" s="2"/>
      <c r="S540" s="2"/>
      <c r="T540" s="2"/>
      <c r="U540" s="2"/>
      <c r="V540" s="1"/>
      <c r="W540" s="1"/>
      <c r="X540" s="1"/>
      <c r="Y540" s="1"/>
      <c r="Z540" s="1"/>
      <c r="AA540" s="1"/>
      <c r="AB540" s="1"/>
      <c r="AC540" s="1"/>
      <c r="AD540" s="1"/>
      <c r="AE540" s="1"/>
      <c r="AF540" s="1"/>
    </row>
    <row r="541">
      <c r="A541" s="1"/>
      <c r="B541" s="2"/>
      <c r="C541" s="117"/>
      <c r="D541" s="2"/>
      <c r="E541" s="2"/>
      <c r="F541" s="2"/>
      <c r="G541" s="2"/>
      <c r="H541" s="2"/>
      <c r="I541" s="117"/>
      <c r="J541" s="2"/>
      <c r="K541" s="2"/>
      <c r="L541" s="2"/>
      <c r="M541" s="2"/>
      <c r="N541" s="2"/>
      <c r="O541" s="2"/>
      <c r="P541" s="2"/>
      <c r="Q541" s="2"/>
      <c r="R541" s="2"/>
      <c r="S541" s="2"/>
      <c r="T541" s="2"/>
      <c r="U541" s="2"/>
      <c r="V541" s="1"/>
      <c r="W541" s="1"/>
      <c r="X541" s="1"/>
      <c r="Y541" s="1"/>
      <c r="Z541" s="1"/>
      <c r="AA541" s="1"/>
      <c r="AB541" s="1"/>
      <c r="AC541" s="1"/>
      <c r="AD541" s="1"/>
      <c r="AE541" s="1"/>
      <c r="AF541" s="1"/>
    </row>
    <row r="542">
      <c r="A542" s="1"/>
      <c r="B542" s="2"/>
      <c r="C542" s="117"/>
      <c r="D542" s="2"/>
      <c r="E542" s="2"/>
      <c r="F542" s="2"/>
      <c r="G542" s="2"/>
      <c r="H542" s="2"/>
      <c r="I542" s="117"/>
      <c r="J542" s="2"/>
      <c r="K542" s="2"/>
      <c r="L542" s="2"/>
      <c r="M542" s="2"/>
      <c r="N542" s="2"/>
      <c r="O542" s="2"/>
      <c r="P542" s="2"/>
      <c r="Q542" s="2"/>
      <c r="R542" s="2"/>
      <c r="S542" s="2"/>
      <c r="T542" s="2"/>
      <c r="U542" s="2"/>
      <c r="V542" s="1"/>
      <c r="W542" s="1"/>
      <c r="X542" s="1"/>
      <c r="Y542" s="1"/>
      <c r="Z542" s="1"/>
      <c r="AA542" s="1"/>
      <c r="AB542" s="1"/>
      <c r="AC542" s="1"/>
      <c r="AD542" s="1"/>
      <c r="AE542" s="1"/>
      <c r="AF542" s="1"/>
    </row>
    <row r="543">
      <c r="A543" s="1"/>
      <c r="B543" s="2"/>
      <c r="C543" s="117"/>
      <c r="D543" s="2"/>
      <c r="E543" s="2"/>
      <c r="F543" s="2"/>
      <c r="G543" s="2"/>
      <c r="H543" s="2"/>
      <c r="I543" s="117"/>
      <c r="J543" s="2"/>
      <c r="K543" s="2"/>
      <c r="L543" s="2"/>
      <c r="M543" s="2"/>
      <c r="N543" s="2"/>
      <c r="O543" s="2"/>
      <c r="P543" s="2"/>
      <c r="Q543" s="2"/>
      <c r="R543" s="2"/>
      <c r="S543" s="2"/>
      <c r="T543" s="2"/>
      <c r="U543" s="2"/>
      <c r="V543" s="1"/>
      <c r="W543" s="1"/>
      <c r="X543" s="1"/>
      <c r="Y543" s="1"/>
      <c r="Z543" s="1"/>
      <c r="AA543" s="1"/>
      <c r="AB543" s="1"/>
      <c r="AC543" s="1"/>
      <c r="AD543" s="1"/>
      <c r="AE543" s="1"/>
      <c r="AF543" s="1"/>
    </row>
    <row r="544">
      <c r="A544" s="1"/>
      <c r="B544" s="2"/>
      <c r="C544" s="117"/>
      <c r="D544" s="2"/>
      <c r="E544" s="2"/>
      <c r="F544" s="2"/>
      <c r="G544" s="2"/>
      <c r="H544" s="2"/>
      <c r="I544" s="117"/>
      <c r="J544" s="2"/>
      <c r="K544" s="2"/>
      <c r="L544" s="2"/>
      <c r="M544" s="2"/>
      <c r="N544" s="2"/>
      <c r="O544" s="2"/>
      <c r="P544" s="2"/>
      <c r="Q544" s="2"/>
      <c r="R544" s="2"/>
      <c r="S544" s="2"/>
      <c r="T544" s="2"/>
      <c r="U544" s="2"/>
      <c r="V544" s="1"/>
      <c r="W544" s="1"/>
      <c r="X544" s="1"/>
      <c r="Y544" s="1"/>
      <c r="Z544" s="1"/>
      <c r="AA544" s="1"/>
      <c r="AB544" s="1"/>
      <c r="AC544" s="1"/>
      <c r="AD544" s="1"/>
      <c r="AE544" s="1"/>
      <c r="AF544" s="1"/>
    </row>
    <row r="545">
      <c r="A545" s="1"/>
      <c r="B545" s="2"/>
      <c r="C545" s="117"/>
      <c r="D545" s="2"/>
      <c r="E545" s="2"/>
      <c r="F545" s="2"/>
      <c r="G545" s="2"/>
      <c r="H545" s="2"/>
      <c r="I545" s="117"/>
      <c r="J545" s="2"/>
      <c r="K545" s="2"/>
      <c r="L545" s="2"/>
      <c r="M545" s="2"/>
      <c r="N545" s="2"/>
      <c r="O545" s="2"/>
      <c r="P545" s="2"/>
      <c r="Q545" s="2"/>
      <c r="R545" s="2"/>
      <c r="S545" s="2"/>
      <c r="T545" s="2"/>
      <c r="U545" s="2"/>
      <c r="V545" s="1"/>
      <c r="W545" s="1"/>
      <c r="X545" s="1"/>
      <c r="Y545" s="1"/>
      <c r="Z545" s="1"/>
      <c r="AA545" s="1"/>
      <c r="AB545" s="1"/>
      <c r="AC545" s="1"/>
      <c r="AD545" s="1"/>
      <c r="AE545" s="1"/>
      <c r="AF545" s="1"/>
    </row>
    <row r="546">
      <c r="A546" s="1"/>
      <c r="B546" s="2"/>
      <c r="C546" s="117"/>
      <c r="D546" s="2"/>
      <c r="E546" s="2"/>
      <c r="F546" s="2"/>
      <c r="G546" s="2"/>
      <c r="H546" s="2"/>
      <c r="I546" s="117"/>
      <c r="J546" s="2"/>
      <c r="K546" s="2"/>
      <c r="L546" s="2"/>
      <c r="M546" s="2"/>
      <c r="N546" s="2"/>
      <c r="O546" s="2"/>
      <c r="P546" s="2"/>
      <c r="Q546" s="2"/>
      <c r="R546" s="2"/>
      <c r="S546" s="2"/>
      <c r="T546" s="2"/>
      <c r="U546" s="2"/>
      <c r="V546" s="1"/>
      <c r="W546" s="1"/>
      <c r="X546" s="1"/>
      <c r="Y546" s="1"/>
      <c r="Z546" s="1"/>
      <c r="AA546" s="1"/>
      <c r="AB546" s="1"/>
      <c r="AC546" s="1"/>
      <c r="AD546" s="1"/>
      <c r="AE546" s="1"/>
      <c r="AF546" s="1"/>
    </row>
    <row r="547">
      <c r="A547" s="1"/>
      <c r="B547" s="2"/>
      <c r="C547" s="117"/>
      <c r="D547" s="2"/>
      <c r="E547" s="2"/>
      <c r="F547" s="2"/>
      <c r="G547" s="2"/>
      <c r="H547" s="2"/>
      <c r="I547" s="117"/>
      <c r="J547" s="2"/>
      <c r="K547" s="2"/>
      <c r="L547" s="2"/>
      <c r="M547" s="2"/>
      <c r="N547" s="2"/>
      <c r="O547" s="2"/>
      <c r="P547" s="2"/>
      <c r="Q547" s="2"/>
      <c r="R547" s="2"/>
      <c r="S547" s="2"/>
      <c r="T547" s="2"/>
      <c r="U547" s="2"/>
      <c r="V547" s="1"/>
      <c r="W547" s="1"/>
      <c r="X547" s="1"/>
      <c r="Y547" s="1"/>
      <c r="Z547" s="1"/>
      <c r="AA547" s="1"/>
      <c r="AB547" s="1"/>
      <c r="AC547" s="1"/>
      <c r="AD547" s="1"/>
      <c r="AE547" s="1"/>
      <c r="AF547" s="1"/>
    </row>
    <row r="548">
      <c r="A548" s="1"/>
      <c r="B548" s="2"/>
      <c r="C548" s="117"/>
      <c r="D548" s="2"/>
      <c r="E548" s="2"/>
      <c r="F548" s="2"/>
      <c r="G548" s="2"/>
      <c r="H548" s="2"/>
      <c r="I548" s="117"/>
      <c r="J548" s="2"/>
      <c r="K548" s="2"/>
      <c r="L548" s="2"/>
      <c r="M548" s="2"/>
      <c r="N548" s="2"/>
      <c r="O548" s="2"/>
      <c r="P548" s="2"/>
      <c r="Q548" s="2"/>
      <c r="R548" s="2"/>
      <c r="S548" s="2"/>
      <c r="T548" s="2"/>
      <c r="U548" s="2"/>
      <c r="V548" s="1"/>
      <c r="W548" s="1"/>
      <c r="X548" s="1"/>
      <c r="Y548" s="1"/>
      <c r="Z548" s="1"/>
      <c r="AA548" s="1"/>
      <c r="AB548" s="1"/>
      <c r="AC548" s="1"/>
      <c r="AD548" s="1"/>
      <c r="AE548" s="1"/>
      <c r="AF548" s="1"/>
    </row>
    <row r="549">
      <c r="A549" s="1"/>
      <c r="B549" s="2"/>
      <c r="C549" s="117"/>
      <c r="D549" s="2"/>
      <c r="E549" s="2"/>
      <c r="F549" s="2"/>
      <c r="G549" s="2"/>
      <c r="H549" s="2"/>
      <c r="I549" s="117"/>
      <c r="J549" s="2"/>
      <c r="K549" s="2"/>
      <c r="L549" s="2"/>
      <c r="M549" s="2"/>
      <c r="N549" s="2"/>
      <c r="O549" s="2"/>
      <c r="P549" s="2"/>
      <c r="Q549" s="2"/>
      <c r="R549" s="2"/>
      <c r="S549" s="2"/>
      <c r="T549" s="2"/>
      <c r="U549" s="2"/>
      <c r="V549" s="1"/>
      <c r="W549" s="1"/>
      <c r="X549" s="1"/>
      <c r="Y549" s="1"/>
      <c r="Z549" s="1"/>
      <c r="AA549" s="1"/>
      <c r="AB549" s="1"/>
      <c r="AC549" s="1"/>
      <c r="AD549" s="1"/>
      <c r="AE549" s="1"/>
      <c r="AF549" s="1"/>
    </row>
    <row r="550">
      <c r="A550" s="1"/>
      <c r="B550" s="2"/>
      <c r="C550" s="117"/>
      <c r="D550" s="2"/>
      <c r="E550" s="2"/>
      <c r="F550" s="2"/>
      <c r="G550" s="2"/>
      <c r="H550" s="2"/>
      <c r="I550" s="117"/>
      <c r="J550" s="2"/>
      <c r="K550" s="2"/>
      <c r="L550" s="2"/>
      <c r="M550" s="2"/>
      <c r="N550" s="2"/>
      <c r="O550" s="2"/>
      <c r="P550" s="2"/>
      <c r="Q550" s="2"/>
      <c r="R550" s="2"/>
      <c r="S550" s="2"/>
      <c r="T550" s="2"/>
      <c r="U550" s="2"/>
      <c r="V550" s="1"/>
      <c r="W550" s="1"/>
      <c r="X550" s="1"/>
      <c r="Y550" s="1"/>
      <c r="Z550" s="1"/>
      <c r="AA550" s="1"/>
      <c r="AB550" s="1"/>
      <c r="AC550" s="1"/>
      <c r="AD550" s="1"/>
      <c r="AE550" s="1"/>
      <c r="AF550" s="1"/>
    </row>
    <row r="551">
      <c r="A551" s="1"/>
      <c r="B551" s="2"/>
      <c r="C551" s="117"/>
      <c r="D551" s="2"/>
      <c r="E551" s="2"/>
      <c r="F551" s="2"/>
      <c r="G551" s="2"/>
      <c r="H551" s="2"/>
      <c r="I551" s="117"/>
      <c r="J551" s="2"/>
      <c r="K551" s="2"/>
      <c r="L551" s="2"/>
      <c r="M551" s="2"/>
      <c r="N551" s="2"/>
      <c r="O551" s="2"/>
      <c r="P551" s="2"/>
      <c r="Q551" s="2"/>
      <c r="R551" s="2"/>
      <c r="S551" s="2"/>
      <c r="T551" s="2"/>
      <c r="U551" s="2"/>
      <c r="V551" s="1"/>
      <c r="W551" s="1"/>
      <c r="X551" s="1"/>
      <c r="Y551" s="1"/>
      <c r="Z551" s="1"/>
      <c r="AA551" s="1"/>
      <c r="AB551" s="1"/>
      <c r="AC551" s="1"/>
      <c r="AD551" s="1"/>
      <c r="AE551" s="1"/>
      <c r="AF551" s="1"/>
    </row>
    <row r="552">
      <c r="A552" s="1"/>
      <c r="B552" s="2"/>
      <c r="C552" s="117"/>
      <c r="D552" s="2"/>
      <c r="E552" s="2"/>
      <c r="F552" s="2"/>
      <c r="G552" s="2"/>
      <c r="H552" s="2"/>
      <c r="I552" s="117"/>
      <c r="J552" s="2"/>
      <c r="K552" s="2"/>
      <c r="L552" s="2"/>
      <c r="M552" s="2"/>
      <c r="N552" s="2"/>
      <c r="O552" s="2"/>
      <c r="P552" s="2"/>
      <c r="Q552" s="2"/>
      <c r="R552" s="2"/>
      <c r="S552" s="2"/>
      <c r="T552" s="2"/>
      <c r="U552" s="2"/>
      <c r="V552" s="1"/>
      <c r="W552" s="1"/>
      <c r="X552" s="1"/>
      <c r="Y552" s="1"/>
      <c r="Z552" s="1"/>
      <c r="AA552" s="1"/>
      <c r="AB552" s="1"/>
      <c r="AC552" s="1"/>
      <c r="AD552" s="1"/>
      <c r="AE552" s="1"/>
      <c r="AF552" s="1"/>
    </row>
    <row r="553">
      <c r="A553" s="1"/>
      <c r="B553" s="2"/>
      <c r="C553" s="117"/>
      <c r="D553" s="2"/>
      <c r="E553" s="2"/>
      <c r="F553" s="2"/>
      <c r="G553" s="2"/>
      <c r="H553" s="2"/>
      <c r="I553" s="117"/>
      <c r="J553" s="2"/>
      <c r="K553" s="2"/>
      <c r="L553" s="2"/>
      <c r="M553" s="2"/>
      <c r="N553" s="2"/>
      <c r="O553" s="2"/>
      <c r="P553" s="2"/>
      <c r="Q553" s="2"/>
      <c r="R553" s="2"/>
      <c r="S553" s="2"/>
      <c r="T553" s="2"/>
      <c r="U553" s="2"/>
      <c r="V553" s="1"/>
      <c r="W553" s="1"/>
      <c r="X553" s="1"/>
      <c r="Y553" s="1"/>
      <c r="Z553" s="1"/>
      <c r="AA553" s="1"/>
      <c r="AB553" s="1"/>
      <c r="AC553" s="1"/>
      <c r="AD553" s="1"/>
      <c r="AE553" s="1"/>
      <c r="AF553" s="1"/>
    </row>
    <row r="554">
      <c r="A554" s="1"/>
      <c r="B554" s="2"/>
      <c r="C554" s="117"/>
      <c r="D554" s="2"/>
      <c r="E554" s="2"/>
      <c r="F554" s="2"/>
      <c r="G554" s="2"/>
      <c r="H554" s="2"/>
      <c r="I554" s="117"/>
      <c r="J554" s="2"/>
      <c r="K554" s="2"/>
      <c r="L554" s="2"/>
      <c r="M554" s="2"/>
      <c r="N554" s="2"/>
      <c r="O554" s="2"/>
      <c r="P554" s="2"/>
      <c r="Q554" s="2"/>
      <c r="R554" s="2"/>
      <c r="S554" s="2"/>
      <c r="T554" s="2"/>
      <c r="U554" s="2"/>
      <c r="V554" s="1"/>
      <c r="W554" s="1"/>
      <c r="X554" s="1"/>
      <c r="Y554" s="1"/>
      <c r="Z554" s="1"/>
      <c r="AA554" s="1"/>
      <c r="AB554" s="1"/>
      <c r="AC554" s="1"/>
      <c r="AD554" s="1"/>
      <c r="AE554" s="1"/>
      <c r="AF554" s="1"/>
    </row>
    <row r="555">
      <c r="A555" s="1"/>
      <c r="B555" s="2"/>
      <c r="C555" s="117"/>
      <c r="D555" s="2"/>
      <c r="E555" s="2"/>
      <c r="F555" s="2"/>
      <c r="G555" s="2"/>
      <c r="H555" s="2"/>
      <c r="I555" s="117"/>
      <c r="J555" s="2"/>
      <c r="K555" s="2"/>
      <c r="L555" s="2"/>
      <c r="M555" s="2"/>
      <c r="N555" s="2"/>
      <c r="O555" s="2"/>
      <c r="P555" s="2"/>
      <c r="Q555" s="2"/>
      <c r="R555" s="2"/>
      <c r="S555" s="2"/>
      <c r="T555" s="2"/>
      <c r="U555" s="2"/>
      <c r="V555" s="1"/>
      <c r="W555" s="1"/>
      <c r="X555" s="1"/>
      <c r="Y555" s="1"/>
      <c r="Z555" s="1"/>
      <c r="AA555" s="1"/>
      <c r="AB555" s="1"/>
      <c r="AC555" s="1"/>
      <c r="AD555" s="1"/>
      <c r="AE555" s="1"/>
      <c r="AF555" s="1"/>
    </row>
    <row r="556">
      <c r="A556" s="1"/>
      <c r="B556" s="2"/>
      <c r="C556" s="117"/>
      <c r="D556" s="2"/>
      <c r="E556" s="2"/>
      <c r="F556" s="2"/>
      <c r="G556" s="2"/>
      <c r="H556" s="2"/>
      <c r="I556" s="117"/>
      <c r="J556" s="2"/>
      <c r="K556" s="2"/>
      <c r="L556" s="2"/>
      <c r="M556" s="2"/>
      <c r="N556" s="2"/>
      <c r="O556" s="2"/>
      <c r="P556" s="2"/>
      <c r="Q556" s="2"/>
      <c r="R556" s="2"/>
      <c r="S556" s="2"/>
      <c r="T556" s="2"/>
      <c r="U556" s="2"/>
      <c r="V556" s="1"/>
      <c r="W556" s="1"/>
      <c r="X556" s="1"/>
      <c r="Y556" s="1"/>
      <c r="Z556" s="1"/>
      <c r="AA556" s="1"/>
      <c r="AB556" s="1"/>
      <c r="AC556" s="1"/>
      <c r="AD556" s="1"/>
      <c r="AE556" s="1"/>
      <c r="AF556" s="1"/>
    </row>
    <row r="557">
      <c r="A557" s="1"/>
      <c r="B557" s="2"/>
      <c r="C557" s="117"/>
      <c r="D557" s="2"/>
      <c r="E557" s="2"/>
      <c r="F557" s="2"/>
      <c r="G557" s="2"/>
      <c r="H557" s="2"/>
      <c r="I557" s="117"/>
      <c r="J557" s="2"/>
      <c r="K557" s="2"/>
      <c r="L557" s="2"/>
      <c r="M557" s="2"/>
      <c r="N557" s="2"/>
      <c r="O557" s="2"/>
      <c r="P557" s="2"/>
      <c r="Q557" s="2"/>
      <c r="R557" s="2"/>
      <c r="S557" s="2"/>
      <c r="T557" s="2"/>
      <c r="U557" s="2"/>
      <c r="V557" s="1"/>
      <c r="W557" s="1"/>
      <c r="X557" s="1"/>
      <c r="Y557" s="1"/>
      <c r="Z557" s="1"/>
      <c r="AA557" s="1"/>
      <c r="AB557" s="1"/>
      <c r="AC557" s="1"/>
      <c r="AD557" s="1"/>
      <c r="AE557" s="1"/>
      <c r="AF557" s="1"/>
    </row>
    <row r="558">
      <c r="A558" s="1"/>
      <c r="B558" s="2"/>
      <c r="C558" s="117"/>
      <c r="D558" s="2"/>
      <c r="E558" s="2"/>
      <c r="F558" s="2"/>
      <c r="G558" s="2"/>
      <c r="H558" s="2"/>
      <c r="I558" s="117"/>
      <c r="J558" s="2"/>
      <c r="K558" s="2"/>
      <c r="L558" s="2"/>
      <c r="M558" s="2"/>
      <c r="N558" s="2"/>
      <c r="O558" s="2"/>
      <c r="P558" s="2"/>
      <c r="Q558" s="2"/>
      <c r="R558" s="2"/>
      <c r="S558" s="2"/>
      <c r="T558" s="2"/>
      <c r="U558" s="2"/>
      <c r="V558" s="1"/>
      <c r="W558" s="1"/>
      <c r="X558" s="1"/>
      <c r="Y558" s="1"/>
      <c r="Z558" s="1"/>
      <c r="AA558" s="1"/>
      <c r="AB558" s="1"/>
      <c r="AC558" s="1"/>
      <c r="AD558" s="1"/>
      <c r="AE558" s="1"/>
      <c r="AF558" s="1"/>
    </row>
    <row r="559">
      <c r="A559" s="1"/>
      <c r="B559" s="2"/>
      <c r="C559" s="117"/>
      <c r="D559" s="2"/>
      <c r="E559" s="2"/>
      <c r="F559" s="2"/>
      <c r="G559" s="2"/>
      <c r="H559" s="2"/>
      <c r="I559" s="117"/>
      <c r="J559" s="2"/>
      <c r="K559" s="2"/>
      <c r="L559" s="2"/>
      <c r="M559" s="2"/>
      <c r="N559" s="2"/>
      <c r="O559" s="2"/>
      <c r="P559" s="2"/>
      <c r="Q559" s="2"/>
      <c r="R559" s="2"/>
      <c r="S559" s="2"/>
      <c r="T559" s="2"/>
      <c r="U559" s="2"/>
      <c r="V559" s="1"/>
      <c r="W559" s="1"/>
      <c r="X559" s="1"/>
      <c r="Y559" s="1"/>
      <c r="Z559" s="1"/>
      <c r="AA559" s="1"/>
      <c r="AB559" s="1"/>
      <c r="AC559" s="1"/>
      <c r="AD559" s="1"/>
      <c r="AE559" s="1"/>
      <c r="AF559" s="1"/>
    </row>
    <row r="560">
      <c r="A560" s="1"/>
      <c r="B560" s="2"/>
      <c r="C560" s="117"/>
      <c r="D560" s="2"/>
      <c r="E560" s="2"/>
      <c r="F560" s="2"/>
      <c r="G560" s="2"/>
      <c r="H560" s="2"/>
      <c r="I560" s="117"/>
      <c r="J560" s="2"/>
      <c r="K560" s="2"/>
      <c r="L560" s="2"/>
      <c r="M560" s="2"/>
      <c r="N560" s="2"/>
      <c r="O560" s="2"/>
      <c r="P560" s="2"/>
      <c r="Q560" s="2"/>
      <c r="R560" s="2"/>
      <c r="S560" s="2"/>
      <c r="T560" s="2"/>
      <c r="U560" s="2"/>
      <c r="V560" s="1"/>
      <c r="W560" s="1"/>
      <c r="X560" s="1"/>
      <c r="Y560" s="1"/>
      <c r="Z560" s="1"/>
      <c r="AA560" s="1"/>
      <c r="AB560" s="1"/>
      <c r="AC560" s="1"/>
      <c r="AD560" s="1"/>
      <c r="AE560" s="1"/>
      <c r="AF560" s="1"/>
    </row>
    <row r="561">
      <c r="A561" s="1"/>
      <c r="B561" s="2"/>
      <c r="C561" s="117"/>
      <c r="D561" s="2"/>
      <c r="E561" s="2"/>
      <c r="F561" s="2"/>
      <c r="G561" s="2"/>
      <c r="H561" s="2"/>
      <c r="I561" s="117"/>
      <c r="J561" s="2"/>
      <c r="K561" s="2"/>
      <c r="L561" s="2"/>
      <c r="M561" s="2"/>
      <c r="N561" s="2"/>
      <c r="O561" s="2"/>
      <c r="P561" s="2"/>
      <c r="Q561" s="2"/>
      <c r="R561" s="2"/>
      <c r="S561" s="2"/>
      <c r="T561" s="2"/>
      <c r="U561" s="2"/>
      <c r="V561" s="1"/>
      <c r="W561" s="1"/>
      <c r="X561" s="1"/>
      <c r="Y561" s="1"/>
      <c r="Z561" s="1"/>
      <c r="AA561" s="1"/>
      <c r="AB561" s="1"/>
      <c r="AC561" s="1"/>
      <c r="AD561" s="1"/>
      <c r="AE561" s="1"/>
      <c r="AF561" s="1"/>
    </row>
    <row r="562">
      <c r="A562" s="1"/>
      <c r="B562" s="2"/>
      <c r="C562" s="117"/>
      <c r="D562" s="2"/>
      <c r="E562" s="2"/>
      <c r="F562" s="2"/>
      <c r="G562" s="2"/>
      <c r="H562" s="2"/>
      <c r="I562" s="117"/>
      <c r="J562" s="2"/>
      <c r="K562" s="2"/>
      <c r="L562" s="2"/>
      <c r="M562" s="2"/>
      <c r="N562" s="2"/>
      <c r="O562" s="2"/>
      <c r="P562" s="2"/>
      <c r="Q562" s="2"/>
      <c r="R562" s="2"/>
      <c r="S562" s="2"/>
      <c r="T562" s="2"/>
      <c r="U562" s="2"/>
      <c r="V562" s="1"/>
      <c r="W562" s="1"/>
      <c r="X562" s="1"/>
      <c r="Y562" s="1"/>
      <c r="Z562" s="1"/>
      <c r="AA562" s="1"/>
      <c r="AB562" s="1"/>
      <c r="AC562" s="1"/>
      <c r="AD562" s="1"/>
      <c r="AE562" s="1"/>
      <c r="AF562" s="1"/>
    </row>
    <row r="563">
      <c r="A563" s="1"/>
      <c r="B563" s="2"/>
      <c r="C563" s="117"/>
      <c r="D563" s="2"/>
      <c r="E563" s="2"/>
      <c r="F563" s="2"/>
      <c r="G563" s="2"/>
      <c r="H563" s="2"/>
      <c r="I563" s="117"/>
      <c r="J563" s="2"/>
      <c r="K563" s="2"/>
      <c r="L563" s="2"/>
      <c r="M563" s="2"/>
      <c r="N563" s="2"/>
      <c r="O563" s="2"/>
      <c r="P563" s="2"/>
      <c r="Q563" s="2"/>
      <c r="R563" s="2"/>
      <c r="S563" s="2"/>
      <c r="T563" s="2"/>
      <c r="U563" s="2"/>
      <c r="V563" s="1"/>
      <c r="W563" s="1"/>
      <c r="X563" s="1"/>
      <c r="Y563" s="1"/>
      <c r="Z563" s="1"/>
      <c r="AA563" s="1"/>
      <c r="AB563" s="1"/>
      <c r="AC563" s="1"/>
      <c r="AD563" s="1"/>
      <c r="AE563" s="1"/>
      <c r="AF563" s="1"/>
    </row>
    <row r="564">
      <c r="A564" s="1"/>
      <c r="B564" s="2"/>
      <c r="C564" s="117"/>
      <c r="D564" s="2"/>
      <c r="E564" s="2"/>
      <c r="F564" s="2"/>
      <c r="G564" s="2"/>
      <c r="H564" s="2"/>
      <c r="I564" s="117"/>
      <c r="J564" s="2"/>
      <c r="K564" s="2"/>
      <c r="L564" s="2"/>
      <c r="M564" s="2"/>
      <c r="N564" s="2"/>
      <c r="O564" s="2"/>
      <c r="P564" s="2"/>
      <c r="Q564" s="2"/>
      <c r="R564" s="2"/>
      <c r="S564" s="2"/>
      <c r="T564" s="2"/>
      <c r="U564" s="2"/>
      <c r="V564" s="1"/>
      <c r="W564" s="1"/>
      <c r="X564" s="1"/>
      <c r="Y564" s="1"/>
      <c r="Z564" s="1"/>
      <c r="AA564" s="1"/>
      <c r="AB564" s="1"/>
      <c r="AC564" s="1"/>
      <c r="AD564" s="1"/>
      <c r="AE564" s="1"/>
      <c r="AF564" s="1"/>
    </row>
    <row r="565">
      <c r="A565" s="1"/>
      <c r="B565" s="2"/>
      <c r="C565" s="117"/>
      <c r="D565" s="2"/>
      <c r="E565" s="2"/>
      <c r="F565" s="2"/>
      <c r="G565" s="2"/>
      <c r="H565" s="2"/>
      <c r="I565" s="117"/>
      <c r="J565" s="2"/>
      <c r="K565" s="2"/>
      <c r="L565" s="2"/>
      <c r="M565" s="2"/>
      <c r="N565" s="2"/>
      <c r="O565" s="2"/>
      <c r="P565" s="2"/>
      <c r="Q565" s="2"/>
      <c r="R565" s="2"/>
      <c r="S565" s="2"/>
      <c r="T565" s="2"/>
      <c r="U565" s="2"/>
      <c r="V565" s="1"/>
      <c r="W565" s="1"/>
      <c r="X565" s="1"/>
      <c r="Y565" s="1"/>
      <c r="Z565" s="1"/>
      <c r="AA565" s="1"/>
      <c r="AB565" s="1"/>
      <c r="AC565" s="1"/>
      <c r="AD565" s="1"/>
      <c r="AE565" s="1"/>
      <c r="AF565" s="1"/>
    </row>
    <row r="566">
      <c r="A566" s="1"/>
      <c r="B566" s="2"/>
      <c r="C566" s="117"/>
      <c r="D566" s="2"/>
      <c r="E566" s="2"/>
      <c r="F566" s="2"/>
      <c r="G566" s="2"/>
      <c r="H566" s="2"/>
      <c r="I566" s="117"/>
      <c r="J566" s="2"/>
      <c r="K566" s="2"/>
      <c r="L566" s="2"/>
      <c r="M566" s="2"/>
      <c r="N566" s="2"/>
      <c r="O566" s="2"/>
      <c r="P566" s="2"/>
      <c r="Q566" s="2"/>
      <c r="R566" s="2"/>
      <c r="S566" s="2"/>
      <c r="T566" s="2"/>
      <c r="U566" s="2"/>
      <c r="V566" s="1"/>
      <c r="W566" s="1"/>
      <c r="X566" s="1"/>
      <c r="Y566" s="1"/>
      <c r="Z566" s="1"/>
      <c r="AA566" s="1"/>
      <c r="AB566" s="1"/>
      <c r="AC566" s="1"/>
      <c r="AD566" s="1"/>
      <c r="AE566" s="1"/>
      <c r="AF566" s="1"/>
    </row>
    <row r="567">
      <c r="A567" s="1"/>
      <c r="B567" s="2"/>
      <c r="C567" s="117"/>
      <c r="D567" s="2"/>
      <c r="E567" s="2"/>
      <c r="F567" s="2"/>
      <c r="G567" s="2"/>
      <c r="H567" s="2"/>
      <c r="I567" s="117"/>
      <c r="J567" s="2"/>
      <c r="K567" s="2"/>
      <c r="L567" s="2"/>
      <c r="M567" s="2"/>
      <c r="N567" s="2"/>
      <c r="O567" s="2"/>
      <c r="P567" s="2"/>
      <c r="Q567" s="2"/>
      <c r="R567" s="2"/>
      <c r="S567" s="2"/>
      <c r="T567" s="2"/>
      <c r="U567" s="2"/>
      <c r="V567" s="1"/>
      <c r="W567" s="1"/>
      <c r="X567" s="1"/>
      <c r="Y567" s="1"/>
      <c r="Z567" s="1"/>
      <c r="AA567" s="1"/>
      <c r="AB567" s="1"/>
      <c r="AC567" s="1"/>
      <c r="AD567" s="1"/>
      <c r="AE567" s="1"/>
      <c r="AF567" s="1"/>
    </row>
    <row r="568">
      <c r="A568" s="1"/>
      <c r="B568" s="2"/>
      <c r="C568" s="117"/>
      <c r="D568" s="2"/>
      <c r="E568" s="2"/>
      <c r="F568" s="2"/>
      <c r="G568" s="2"/>
      <c r="H568" s="2"/>
      <c r="I568" s="117"/>
      <c r="J568" s="2"/>
      <c r="K568" s="2"/>
      <c r="L568" s="2"/>
      <c r="M568" s="2"/>
      <c r="N568" s="2"/>
      <c r="O568" s="2"/>
      <c r="P568" s="2"/>
      <c r="Q568" s="2"/>
      <c r="R568" s="2"/>
      <c r="S568" s="2"/>
      <c r="T568" s="2"/>
      <c r="U568" s="2"/>
      <c r="V568" s="1"/>
      <c r="W568" s="1"/>
      <c r="X568" s="1"/>
      <c r="Y568" s="1"/>
      <c r="Z568" s="1"/>
      <c r="AA568" s="1"/>
      <c r="AB568" s="1"/>
      <c r="AC568" s="1"/>
      <c r="AD568" s="1"/>
      <c r="AE568" s="1"/>
      <c r="AF568" s="1"/>
    </row>
    <row r="569">
      <c r="A569" s="1"/>
      <c r="B569" s="2"/>
      <c r="C569" s="117"/>
      <c r="D569" s="2"/>
      <c r="E569" s="2"/>
      <c r="F569" s="2"/>
      <c r="G569" s="2"/>
      <c r="H569" s="2"/>
      <c r="I569" s="117"/>
      <c r="J569" s="2"/>
      <c r="K569" s="2"/>
      <c r="L569" s="2"/>
      <c r="M569" s="2"/>
      <c r="N569" s="2"/>
      <c r="O569" s="2"/>
      <c r="P569" s="2"/>
      <c r="Q569" s="2"/>
      <c r="R569" s="2"/>
      <c r="S569" s="2"/>
      <c r="T569" s="2"/>
      <c r="U569" s="2"/>
      <c r="V569" s="1"/>
      <c r="W569" s="1"/>
      <c r="X569" s="1"/>
      <c r="Y569" s="1"/>
      <c r="Z569" s="1"/>
      <c r="AA569" s="1"/>
      <c r="AB569" s="1"/>
      <c r="AC569" s="1"/>
      <c r="AD569" s="1"/>
      <c r="AE569" s="1"/>
      <c r="AF569" s="1"/>
    </row>
    <row r="570">
      <c r="A570" s="1"/>
      <c r="B570" s="2"/>
      <c r="C570" s="117"/>
      <c r="D570" s="2"/>
      <c r="E570" s="2"/>
      <c r="F570" s="2"/>
      <c r="G570" s="2"/>
      <c r="H570" s="2"/>
      <c r="I570" s="117"/>
      <c r="J570" s="2"/>
      <c r="K570" s="2"/>
      <c r="L570" s="2"/>
      <c r="M570" s="2"/>
      <c r="N570" s="2"/>
      <c r="O570" s="2"/>
      <c r="P570" s="2"/>
      <c r="Q570" s="2"/>
      <c r="R570" s="2"/>
      <c r="S570" s="2"/>
      <c r="T570" s="2"/>
      <c r="U570" s="2"/>
      <c r="V570" s="1"/>
      <c r="W570" s="1"/>
      <c r="X570" s="1"/>
      <c r="Y570" s="1"/>
      <c r="Z570" s="1"/>
      <c r="AA570" s="1"/>
      <c r="AB570" s="1"/>
      <c r="AC570" s="1"/>
      <c r="AD570" s="1"/>
      <c r="AE570" s="1"/>
      <c r="AF570" s="1"/>
    </row>
    <row r="571">
      <c r="A571" s="1"/>
      <c r="B571" s="2"/>
      <c r="C571" s="117"/>
      <c r="D571" s="2"/>
      <c r="E571" s="2"/>
      <c r="F571" s="2"/>
      <c r="G571" s="2"/>
      <c r="H571" s="2"/>
      <c r="I571" s="117"/>
      <c r="J571" s="2"/>
      <c r="K571" s="2"/>
      <c r="L571" s="2"/>
      <c r="M571" s="2"/>
      <c r="N571" s="2"/>
      <c r="O571" s="2"/>
      <c r="P571" s="2"/>
      <c r="Q571" s="2"/>
      <c r="R571" s="2"/>
      <c r="S571" s="2"/>
      <c r="T571" s="2"/>
      <c r="U571" s="2"/>
      <c r="V571" s="1"/>
      <c r="W571" s="1"/>
      <c r="X571" s="1"/>
      <c r="Y571" s="1"/>
      <c r="Z571" s="1"/>
      <c r="AA571" s="1"/>
      <c r="AB571" s="1"/>
      <c r="AC571" s="1"/>
      <c r="AD571" s="1"/>
      <c r="AE571" s="1"/>
      <c r="AF571" s="1"/>
    </row>
    <row r="572">
      <c r="A572" s="1"/>
      <c r="B572" s="2"/>
      <c r="C572" s="117"/>
      <c r="D572" s="2"/>
      <c r="E572" s="2"/>
      <c r="F572" s="2"/>
      <c r="G572" s="2"/>
      <c r="H572" s="2"/>
      <c r="I572" s="117"/>
      <c r="J572" s="2"/>
      <c r="K572" s="2"/>
      <c r="L572" s="2"/>
      <c r="M572" s="2"/>
      <c r="N572" s="2"/>
      <c r="O572" s="2"/>
      <c r="P572" s="2"/>
      <c r="Q572" s="2"/>
      <c r="R572" s="2"/>
      <c r="S572" s="2"/>
      <c r="T572" s="2"/>
      <c r="U572" s="2"/>
      <c r="V572" s="1"/>
      <c r="W572" s="1"/>
      <c r="X572" s="1"/>
      <c r="Y572" s="1"/>
      <c r="Z572" s="1"/>
      <c r="AA572" s="1"/>
      <c r="AB572" s="1"/>
      <c r="AC572" s="1"/>
      <c r="AD572" s="1"/>
      <c r="AE572" s="1"/>
      <c r="AF572" s="1"/>
    </row>
    <row r="573">
      <c r="A573" s="1"/>
      <c r="B573" s="2"/>
      <c r="C573" s="117"/>
      <c r="D573" s="2"/>
      <c r="E573" s="2"/>
      <c r="F573" s="2"/>
      <c r="G573" s="2"/>
      <c r="H573" s="2"/>
      <c r="I573" s="117"/>
      <c r="J573" s="2"/>
      <c r="K573" s="2"/>
      <c r="L573" s="2"/>
      <c r="M573" s="2"/>
      <c r="N573" s="2"/>
      <c r="O573" s="2"/>
      <c r="P573" s="2"/>
      <c r="Q573" s="2"/>
      <c r="R573" s="2"/>
      <c r="S573" s="2"/>
      <c r="T573" s="2"/>
      <c r="U573" s="2"/>
      <c r="V573" s="1"/>
      <c r="W573" s="1"/>
      <c r="X573" s="1"/>
      <c r="Y573" s="1"/>
      <c r="Z573" s="1"/>
      <c r="AA573" s="1"/>
      <c r="AB573" s="1"/>
      <c r="AC573" s="1"/>
      <c r="AD573" s="1"/>
      <c r="AE573" s="1"/>
      <c r="AF573" s="1"/>
    </row>
    <row r="574">
      <c r="A574" s="1"/>
      <c r="B574" s="2"/>
      <c r="C574" s="117"/>
      <c r="D574" s="2"/>
      <c r="E574" s="2"/>
      <c r="F574" s="2"/>
      <c r="G574" s="2"/>
      <c r="H574" s="2"/>
      <c r="I574" s="117"/>
      <c r="J574" s="2"/>
      <c r="K574" s="2"/>
      <c r="L574" s="2"/>
      <c r="M574" s="2"/>
      <c r="N574" s="2"/>
      <c r="O574" s="2"/>
      <c r="P574" s="2"/>
      <c r="Q574" s="2"/>
      <c r="R574" s="2"/>
      <c r="S574" s="2"/>
      <c r="T574" s="2"/>
      <c r="U574" s="2"/>
      <c r="V574" s="1"/>
      <c r="W574" s="1"/>
      <c r="X574" s="1"/>
      <c r="Y574" s="1"/>
      <c r="Z574" s="1"/>
      <c r="AA574" s="1"/>
      <c r="AB574" s="1"/>
      <c r="AC574" s="1"/>
      <c r="AD574" s="1"/>
      <c r="AE574" s="1"/>
      <c r="AF574" s="1"/>
    </row>
    <row r="575">
      <c r="A575" s="1"/>
      <c r="B575" s="2"/>
      <c r="C575" s="117"/>
      <c r="D575" s="2"/>
      <c r="E575" s="2"/>
      <c r="F575" s="2"/>
      <c r="G575" s="2"/>
      <c r="H575" s="2"/>
      <c r="I575" s="117"/>
      <c r="J575" s="2"/>
      <c r="K575" s="2"/>
      <c r="L575" s="2"/>
      <c r="M575" s="2"/>
      <c r="N575" s="2"/>
      <c r="O575" s="2"/>
      <c r="P575" s="2"/>
      <c r="Q575" s="2"/>
      <c r="R575" s="2"/>
      <c r="S575" s="2"/>
      <c r="T575" s="2"/>
      <c r="U575" s="2"/>
      <c r="V575" s="1"/>
      <c r="W575" s="1"/>
      <c r="X575" s="1"/>
      <c r="Y575" s="1"/>
      <c r="Z575" s="1"/>
      <c r="AA575" s="1"/>
      <c r="AB575" s="1"/>
      <c r="AC575" s="1"/>
      <c r="AD575" s="1"/>
      <c r="AE575" s="1"/>
      <c r="AF575" s="1"/>
    </row>
    <row r="576">
      <c r="A576" s="1"/>
      <c r="B576" s="2"/>
      <c r="C576" s="117"/>
      <c r="D576" s="2"/>
      <c r="E576" s="2"/>
      <c r="F576" s="2"/>
      <c r="G576" s="2"/>
      <c r="H576" s="2"/>
      <c r="I576" s="117"/>
      <c r="J576" s="2"/>
      <c r="K576" s="2"/>
      <c r="L576" s="2"/>
      <c r="M576" s="2"/>
      <c r="N576" s="2"/>
      <c r="O576" s="2"/>
      <c r="P576" s="2"/>
      <c r="Q576" s="2"/>
      <c r="R576" s="2"/>
      <c r="S576" s="2"/>
      <c r="T576" s="2"/>
      <c r="U576" s="2"/>
      <c r="V576" s="1"/>
      <c r="W576" s="1"/>
      <c r="X576" s="1"/>
      <c r="Y576" s="1"/>
      <c r="Z576" s="1"/>
      <c r="AA576" s="1"/>
      <c r="AB576" s="1"/>
      <c r="AC576" s="1"/>
      <c r="AD576" s="1"/>
      <c r="AE576" s="1"/>
      <c r="AF576" s="1"/>
    </row>
    <row r="577">
      <c r="A577" s="1"/>
      <c r="B577" s="2"/>
      <c r="C577" s="117"/>
      <c r="D577" s="2"/>
      <c r="E577" s="2"/>
      <c r="F577" s="2"/>
      <c r="G577" s="2"/>
      <c r="H577" s="2"/>
      <c r="I577" s="117"/>
      <c r="J577" s="2"/>
      <c r="K577" s="2"/>
      <c r="L577" s="2"/>
      <c r="M577" s="2"/>
      <c r="N577" s="2"/>
      <c r="O577" s="2"/>
      <c r="P577" s="2"/>
      <c r="Q577" s="2"/>
      <c r="R577" s="2"/>
      <c r="S577" s="2"/>
      <c r="T577" s="2"/>
      <c r="U577" s="2"/>
      <c r="V577" s="1"/>
      <c r="W577" s="1"/>
      <c r="X577" s="1"/>
      <c r="Y577" s="1"/>
      <c r="Z577" s="1"/>
      <c r="AA577" s="1"/>
      <c r="AB577" s="1"/>
      <c r="AC577" s="1"/>
      <c r="AD577" s="1"/>
      <c r="AE577" s="1"/>
      <c r="AF577" s="1"/>
    </row>
    <row r="578">
      <c r="A578" s="1"/>
      <c r="B578" s="2"/>
      <c r="C578" s="117"/>
      <c r="D578" s="2"/>
      <c r="E578" s="2"/>
      <c r="F578" s="2"/>
      <c r="G578" s="2"/>
      <c r="H578" s="2"/>
      <c r="I578" s="117"/>
      <c r="J578" s="2"/>
      <c r="K578" s="2"/>
      <c r="L578" s="2"/>
      <c r="M578" s="2"/>
      <c r="N578" s="2"/>
      <c r="O578" s="2"/>
      <c r="P578" s="2"/>
      <c r="Q578" s="2"/>
      <c r="R578" s="2"/>
      <c r="S578" s="2"/>
      <c r="T578" s="2"/>
      <c r="U578" s="2"/>
      <c r="V578" s="1"/>
      <c r="W578" s="1"/>
      <c r="X578" s="1"/>
      <c r="Y578" s="1"/>
      <c r="Z578" s="1"/>
      <c r="AA578" s="1"/>
      <c r="AB578" s="1"/>
      <c r="AC578" s="1"/>
      <c r="AD578" s="1"/>
      <c r="AE578" s="1"/>
      <c r="AF578" s="1"/>
    </row>
    <row r="579">
      <c r="A579" s="1"/>
      <c r="B579" s="2"/>
      <c r="C579" s="117"/>
      <c r="D579" s="2"/>
      <c r="E579" s="2"/>
      <c r="F579" s="2"/>
      <c r="G579" s="2"/>
      <c r="H579" s="2"/>
      <c r="I579" s="117"/>
      <c r="J579" s="2"/>
      <c r="K579" s="2"/>
      <c r="L579" s="2"/>
      <c r="M579" s="2"/>
      <c r="N579" s="2"/>
      <c r="O579" s="2"/>
      <c r="P579" s="2"/>
      <c r="Q579" s="2"/>
      <c r="R579" s="2"/>
      <c r="S579" s="2"/>
      <c r="T579" s="2"/>
      <c r="U579" s="2"/>
      <c r="V579" s="1"/>
      <c r="W579" s="1"/>
      <c r="X579" s="1"/>
      <c r="Y579" s="1"/>
      <c r="Z579" s="1"/>
      <c r="AA579" s="1"/>
      <c r="AB579" s="1"/>
      <c r="AC579" s="1"/>
      <c r="AD579" s="1"/>
      <c r="AE579" s="1"/>
      <c r="AF579" s="1"/>
    </row>
    <row r="580">
      <c r="A580" s="1"/>
      <c r="B580" s="2"/>
      <c r="C580" s="117"/>
      <c r="D580" s="2"/>
      <c r="E580" s="2"/>
      <c r="F580" s="2"/>
      <c r="G580" s="2"/>
      <c r="H580" s="2"/>
      <c r="I580" s="117"/>
      <c r="J580" s="2"/>
      <c r="K580" s="2"/>
      <c r="L580" s="2"/>
      <c r="M580" s="2"/>
      <c r="N580" s="2"/>
      <c r="O580" s="2"/>
      <c r="P580" s="2"/>
      <c r="Q580" s="2"/>
      <c r="R580" s="2"/>
      <c r="S580" s="2"/>
      <c r="T580" s="2"/>
      <c r="U580" s="2"/>
      <c r="V580" s="1"/>
      <c r="W580" s="1"/>
      <c r="X580" s="1"/>
      <c r="Y580" s="1"/>
      <c r="Z580" s="1"/>
      <c r="AA580" s="1"/>
      <c r="AB580" s="1"/>
      <c r="AC580" s="1"/>
      <c r="AD580" s="1"/>
      <c r="AE580" s="1"/>
      <c r="AF580" s="1"/>
    </row>
    <row r="581">
      <c r="A581" s="1"/>
      <c r="B581" s="2"/>
      <c r="C581" s="117"/>
      <c r="D581" s="2"/>
      <c r="E581" s="2"/>
      <c r="F581" s="2"/>
      <c r="G581" s="2"/>
      <c r="H581" s="2"/>
      <c r="I581" s="117"/>
      <c r="J581" s="2"/>
      <c r="K581" s="2"/>
      <c r="L581" s="2"/>
      <c r="M581" s="2"/>
      <c r="N581" s="2"/>
      <c r="O581" s="2"/>
      <c r="P581" s="2"/>
      <c r="Q581" s="2"/>
      <c r="R581" s="2"/>
      <c r="S581" s="2"/>
      <c r="T581" s="2"/>
      <c r="U581" s="2"/>
      <c r="V581" s="1"/>
      <c r="W581" s="1"/>
      <c r="X581" s="1"/>
      <c r="Y581" s="1"/>
      <c r="Z581" s="1"/>
      <c r="AA581" s="1"/>
      <c r="AB581" s="1"/>
      <c r="AC581" s="1"/>
      <c r="AD581" s="1"/>
      <c r="AE581" s="1"/>
      <c r="AF581" s="1"/>
    </row>
    <row r="582">
      <c r="A582" s="1"/>
      <c r="B582" s="2"/>
      <c r="C582" s="117"/>
      <c r="D582" s="2"/>
      <c r="E582" s="2"/>
      <c r="F582" s="2"/>
      <c r="G582" s="2"/>
      <c r="H582" s="2"/>
      <c r="I582" s="117"/>
      <c r="J582" s="2"/>
      <c r="K582" s="2"/>
      <c r="L582" s="2"/>
      <c r="M582" s="2"/>
      <c r="N582" s="2"/>
      <c r="O582" s="2"/>
      <c r="P582" s="2"/>
      <c r="Q582" s="2"/>
      <c r="R582" s="2"/>
      <c r="S582" s="2"/>
      <c r="T582" s="2"/>
      <c r="U582" s="2"/>
      <c r="V582" s="1"/>
      <c r="W582" s="1"/>
      <c r="X582" s="1"/>
      <c r="Y582" s="1"/>
      <c r="Z582" s="1"/>
      <c r="AA582" s="1"/>
      <c r="AB582" s="1"/>
      <c r="AC582" s="1"/>
      <c r="AD582" s="1"/>
      <c r="AE582" s="1"/>
      <c r="AF582" s="1"/>
    </row>
    <row r="583">
      <c r="A583" s="1"/>
      <c r="B583" s="2"/>
      <c r="C583" s="117"/>
      <c r="D583" s="2"/>
      <c r="E583" s="2"/>
      <c r="F583" s="2"/>
      <c r="G583" s="2"/>
      <c r="H583" s="2"/>
      <c r="I583" s="117"/>
      <c r="J583" s="2"/>
      <c r="K583" s="2"/>
      <c r="L583" s="2"/>
      <c r="M583" s="2"/>
      <c r="N583" s="2"/>
      <c r="O583" s="2"/>
      <c r="P583" s="2"/>
      <c r="Q583" s="2"/>
      <c r="R583" s="2"/>
      <c r="S583" s="2"/>
      <c r="T583" s="2"/>
      <c r="U583" s="2"/>
      <c r="V583" s="1"/>
      <c r="W583" s="1"/>
      <c r="X583" s="1"/>
      <c r="Y583" s="1"/>
      <c r="Z583" s="1"/>
      <c r="AA583" s="1"/>
      <c r="AB583" s="1"/>
      <c r="AC583" s="1"/>
      <c r="AD583" s="1"/>
      <c r="AE583" s="1"/>
      <c r="AF583" s="1"/>
    </row>
    <row r="584">
      <c r="A584" s="1"/>
      <c r="B584" s="2"/>
      <c r="C584" s="117"/>
      <c r="D584" s="2"/>
      <c r="E584" s="2"/>
      <c r="F584" s="2"/>
      <c r="G584" s="2"/>
      <c r="H584" s="2"/>
      <c r="I584" s="117"/>
      <c r="J584" s="2"/>
      <c r="K584" s="2"/>
      <c r="L584" s="2"/>
      <c r="M584" s="2"/>
      <c r="N584" s="2"/>
      <c r="O584" s="2"/>
      <c r="P584" s="2"/>
      <c r="Q584" s="2"/>
      <c r="R584" s="2"/>
      <c r="S584" s="2"/>
      <c r="T584" s="2"/>
      <c r="U584" s="2"/>
      <c r="V584" s="1"/>
      <c r="W584" s="1"/>
      <c r="X584" s="1"/>
      <c r="Y584" s="1"/>
      <c r="Z584" s="1"/>
      <c r="AA584" s="1"/>
      <c r="AB584" s="1"/>
      <c r="AC584" s="1"/>
      <c r="AD584" s="1"/>
      <c r="AE584" s="1"/>
      <c r="AF584" s="1"/>
    </row>
    <row r="585">
      <c r="A585" s="1"/>
      <c r="B585" s="2"/>
      <c r="C585" s="117"/>
      <c r="D585" s="2"/>
      <c r="E585" s="2"/>
      <c r="F585" s="2"/>
      <c r="G585" s="2"/>
      <c r="H585" s="2"/>
      <c r="I585" s="117"/>
      <c r="J585" s="2"/>
      <c r="K585" s="2"/>
      <c r="L585" s="2"/>
      <c r="M585" s="2"/>
      <c r="N585" s="2"/>
      <c r="O585" s="2"/>
      <c r="P585" s="2"/>
      <c r="Q585" s="2"/>
      <c r="R585" s="2"/>
      <c r="S585" s="2"/>
      <c r="T585" s="2"/>
      <c r="U585" s="2"/>
      <c r="V585" s="1"/>
      <c r="W585" s="1"/>
      <c r="X585" s="1"/>
      <c r="Y585" s="1"/>
      <c r="Z585" s="1"/>
      <c r="AA585" s="1"/>
      <c r="AB585" s="1"/>
      <c r="AC585" s="1"/>
      <c r="AD585" s="1"/>
      <c r="AE585" s="1"/>
      <c r="AF585" s="1"/>
    </row>
    <row r="586">
      <c r="A586" s="1"/>
      <c r="B586" s="2"/>
      <c r="C586" s="117"/>
      <c r="D586" s="2"/>
      <c r="E586" s="2"/>
      <c r="F586" s="2"/>
      <c r="G586" s="2"/>
      <c r="H586" s="2"/>
      <c r="I586" s="117"/>
      <c r="J586" s="2"/>
      <c r="K586" s="2"/>
      <c r="L586" s="2"/>
      <c r="M586" s="2"/>
      <c r="N586" s="2"/>
      <c r="O586" s="2"/>
      <c r="P586" s="2"/>
      <c r="Q586" s="2"/>
      <c r="R586" s="2"/>
      <c r="S586" s="2"/>
      <c r="T586" s="2"/>
      <c r="U586" s="2"/>
      <c r="V586" s="1"/>
      <c r="W586" s="1"/>
      <c r="X586" s="1"/>
      <c r="Y586" s="1"/>
      <c r="Z586" s="1"/>
      <c r="AA586" s="1"/>
      <c r="AB586" s="1"/>
      <c r="AC586" s="1"/>
      <c r="AD586" s="1"/>
      <c r="AE586" s="1"/>
      <c r="AF586" s="1"/>
    </row>
    <row r="587">
      <c r="A587" s="1"/>
      <c r="B587" s="2"/>
      <c r="C587" s="117"/>
      <c r="D587" s="2"/>
      <c r="E587" s="2"/>
      <c r="F587" s="2"/>
      <c r="G587" s="2"/>
      <c r="H587" s="2"/>
      <c r="I587" s="117"/>
      <c r="J587" s="2"/>
      <c r="K587" s="2"/>
      <c r="L587" s="2"/>
      <c r="M587" s="2"/>
      <c r="N587" s="2"/>
      <c r="O587" s="2"/>
      <c r="P587" s="2"/>
      <c r="Q587" s="2"/>
      <c r="R587" s="2"/>
      <c r="S587" s="2"/>
      <c r="T587" s="2"/>
      <c r="U587" s="2"/>
      <c r="V587" s="1"/>
      <c r="W587" s="1"/>
      <c r="X587" s="1"/>
      <c r="Y587" s="1"/>
      <c r="Z587" s="1"/>
      <c r="AA587" s="1"/>
      <c r="AB587" s="1"/>
      <c r="AC587" s="1"/>
      <c r="AD587" s="1"/>
      <c r="AE587" s="1"/>
      <c r="AF587" s="1"/>
    </row>
    <row r="588">
      <c r="A588" s="1"/>
      <c r="B588" s="2"/>
      <c r="C588" s="117"/>
      <c r="D588" s="2"/>
      <c r="E588" s="2"/>
      <c r="F588" s="2"/>
      <c r="G588" s="2"/>
      <c r="H588" s="2"/>
      <c r="I588" s="117"/>
      <c r="J588" s="2"/>
      <c r="K588" s="2"/>
      <c r="L588" s="2"/>
      <c r="M588" s="2"/>
      <c r="N588" s="2"/>
      <c r="O588" s="2"/>
      <c r="P588" s="2"/>
      <c r="Q588" s="2"/>
      <c r="R588" s="2"/>
      <c r="S588" s="2"/>
      <c r="T588" s="2"/>
      <c r="U588" s="2"/>
      <c r="V588" s="1"/>
      <c r="W588" s="1"/>
      <c r="X588" s="1"/>
      <c r="Y588" s="1"/>
      <c r="Z588" s="1"/>
      <c r="AA588" s="1"/>
      <c r="AB588" s="1"/>
      <c r="AC588" s="1"/>
      <c r="AD588" s="1"/>
      <c r="AE588" s="1"/>
      <c r="AF588" s="1"/>
    </row>
    <row r="589">
      <c r="A589" s="1"/>
      <c r="B589" s="2"/>
      <c r="C589" s="117"/>
      <c r="D589" s="2"/>
      <c r="E589" s="2"/>
      <c r="F589" s="2"/>
      <c r="G589" s="2"/>
      <c r="H589" s="2"/>
      <c r="I589" s="117"/>
      <c r="J589" s="2"/>
      <c r="K589" s="2"/>
      <c r="L589" s="2"/>
      <c r="M589" s="2"/>
      <c r="N589" s="2"/>
      <c r="O589" s="2"/>
      <c r="P589" s="2"/>
      <c r="Q589" s="2"/>
      <c r="R589" s="2"/>
      <c r="S589" s="2"/>
      <c r="T589" s="2"/>
      <c r="U589" s="2"/>
      <c r="V589" s="1"/>
      <c r="W589" s="1"/>
      <c r="X589" s="1"/>
      <c r="Y589" s="1"/>
      <c r="Z589" s="1"/>
      <c r="AA589" s="1"/>
      <c r="AB589" s="1"/>
      <c r="AC589" s="1"/>
      <c r="AD589" s="1"/>
      <c r="AE589" s="1"/>
      <c r="AF589" s="1"/>
    </row>
    <row r="590">
      <c r="A590" s="1"/>
      <c r="B590" s="2"/>
      <c r="C590" s="117"/>
      <c r="D590" s="2"/>
      <c r="E590" s="2"/>
      <c r="F590" s="2"/>
      <c r="G590" s="2"/>
      <c r="H590" s="2"/>
      <c r="I590" s="117"/>
      <c r="J590" s="2"/>
      <c r="K590" s="2"/>
      <c r="L590" s="2"/>
      <c r="M590" s="2"/>
      <c r="N590" s="2"/>
      <c r="O590" s="2"/>
      <c r="P590" s="2"/>
      <c r="Q590" s="2"/>
      <c r="R590" s="2"/>
      <c r="S590" s="2"/>
      <c r="T590" s="2"/>
      <c r="U590" s="2"/>
      <c r="V590" s="1"/>
      <c r="W590" s="1"/>
      <c r="X590" s="1"/>
      <c r="Y590" s="1"/>
      <c r="Z590" s="1"/>
      <c r="AA590" s="1"/>
      <c r="AB590" s="1"/>
      <c r="AC590" s="1"/>
      <c r="AD590" s="1"/>
      <c r="AE590" s="1"/>
      <c r="AF590" s="1"/>
    </row>
    <row r="591">
      <c r="A591" s="1"/>
      <c r="B591" s="2"/>
      <c r="C591" s="117"/>
      <c r="D591" s="2"/>
      <c r="E591" s="2"/>
      <c r="F591" s="2"/>
      <c r="G591" s="2"/>
      <c r="H591" s="2"/>
      <c r="I591" s="117"/>
      <c r="J591" s="2"/>
      <c r="K591" s="2"/>
      <c r="L591" s="2"/>
      <c r="M591" s="2"/>
      <c r="N591" s="2"/>
      <c r="O591" s="2"/>
      <c r="P591" s="2"/>
      <c r="Q591" s="2"/>
      <c r="R591" s="2"/>
      <c r="S591" s="2"/>
      <c r="T591" s="2"/>
      <c r="U591" s="2"/>
      <c r="V591" s="1"/>
      <c r="W591" s="1"/>
      <c r="X591" s="1"/>
      <c r="Y591" s="1"/>
      <c r="Z591" s="1"/>
      <c r="AA591" s="1"/>
      <c r="AB591" s="1"/>
      <c r="AC591" s="1"/>
      <c r="AD591" s="1"/>
      <c r="AE591" s="1"/>
      <c r="AF591" s="1"/>
    </row>
    <row r="592">
      <c r="A592" s="1"/>
      <c r="B592" s="2"/>
      <c r="C592" s="117"/>
      <c r="D592" s="2"/>
      <c r="E592" s="2"/>
      <c r="F592" s="2"/>
      <c r="G592" s="2"/>
      <c r="H592" s="2"/>
      <c r="I592" s="117"/>
      <c r="J592" s="2"/>
      <c r="K592" s="2"/>
      <c r="L592" s="2"/>
      <c r="M592" s="2"/>
      <c r="N592" s="2"/>
      <c r="O592" s="2"/>
      <c r="P592" s="2"/>
      <c r="Q592" s="2"/>
      <c r="R592" s="2"/>
      <c r="S592" s="2"/>
      <c r="T592" s="2"/>
      <c r="U592" s="2"/>
      <c r="V592" s="1"/>
      <c r="W592" s="1"/>
      <c r="X592" s="1"/>
      <c r="Y592" s="1"/>
      <c r="Z592" s="1"/>
      <c r="AA592" s="1"/>
      <c r="AB592" s="1"/>
      <c r="AC592" s="1"/>
      <c r="AD592" s="1"/>
      <c r="AE592" s="1"/>
      <c r="AF592" s="1"/>
    </row>
    <row r="593">
      <c r="A593" s="1"/>
      <c r="B593" s="2"/>
      <c r="C593" s="117"/>
      <c r="D593" s="2"/>
      <c r="E593" s="2"/>
      <c r="F593" s="2"/>
      <c r="G593" s="2"/>
      <c r="H593" s="2"/>
      <c r="I593" s="117"/>
      <c r="J593" s="2"/>
      <c r="K593" s="2"/>
      <c r="L593" s="2"/>
      <c r="M593" s="2"/>
      <c r="N593" s="2"/>
      <c r="O593" s="2"/>
      <c r="P593" s="2"/>
      <c r="Q593" s="2"/>
      <c r="R593" s="2"/>
      <c r="S593" s="2"/>
      <c r="T593" s="2"/>
      <c r="U593" s="2"/>
      <c r="V593" s="1"/>
      <c r="W593" s="1"/>
      <c r="X593" s="1"/>
      <c r="Y593" s="1"/>
      <c r="Z593" s="1"/>
      <c r="AA593" s="1"/>
      <c r="AB593" s="1"/>
      <c r="AC593" s="1"/>
      <c r="AD593" s="1"/>
      <c r="AE593" s="1"/>
      <c r="AF593" s="1"/>
    </row>
    <row r="594">
      <c r="A594" s="1"/>
      <c r="B594" s="2"/>
      <c r="C594" s="117"/>
      <c r="D594" s="2"/>
      <c r="E594" s="2"/>
      <c r="F594" s="2"/>
      <c r="G594" s="2"/>
      <c r="H594" s="2"/>
      <c r="I594" s="117"/>
      <c r="J594" s="2"/>
      <c r="K594" s="2"/>
      <c r="L594" s="2"/>
      <c r="M594" s="2"/>
      <c r="N594" s="2"/>
      <c r="O594" s="2"/>
      <c r="P594" s="2"/>
      <c r="Q594" s="2"/>
      <c r="R594" s="2"/>
      <c r="S594" s="2"/>
      <c r="T594" s="2"/>
      <c r="U594" s="2"/>
      <c r="V594" s="1"/>
      <c r="W594" s="1"/>
      <c r="X594" s="1"/>
      <c r="Y594" s="1"/>
      <c r="Z594" s="1"/>
      <c r="AA594" s="1"/>
      <c r="AB594" s="1"/>
      <c r="AC594" s="1"/>
      <c r="AD594" s="1"/>
      <c r="AE594" s="1"/>
      <c r="AF594" s="1"/>
    </row>
    <row r="595">
      <c r="A595" s="1"/>
      <c r="B595" s="2"/>
      <c r="C595" s="117"/>
      <c r="D595" s="2"/>
      <c r="E595" s="2"/>
      <c r="F595" s="2"/>
      <c r="G595" s="2"/>
      <c r="H595" s="2"/>
      <c r="I595" s="117"/>
      <c r="J595" s="2"/>
      <c r="K595" s="2"/>
      <c r="L595" s="2"/>
      <c r="M595" s="2"/>
      <c r="N595" s="2"/>
      <c r="O595" s="2"/>
      <c r="P595" s="2"/>
      <c r="Q595" s="2"/>
      <c r="R595" s="2"/>
      <c r="S595" s="2"/>
      <c r="T595" s="2"/>
      <c r="U595" s="2"/>
      <c r="V595" s="1"/>
      <c r="W595" s="1"/>
      <c r="X595" s="1"/>
      <c r="Y595" s="1"/>
      <c r="Z595" s="1"/>
      <c r="AA595" s="1"/>
      <c r="AB595" s="1"/>
      <c r="AC595" s="1"/>
      <c r="AD595" s="1"/>
      <c r="AE595" s="1"/>
      <c r="AF595" s="1"/>
    </row>
    <row r="596">
      <c r="A596" s="1"/>
      <c r="B596" s="2"/>
      <c r="C596" s="117"/>
      <c r="D596" s="2"/>
      <c r="E596" s="2"/>
      <c r="F596" s="2"/>
      <c r="G596" s="2"/>
      <c r="H596" s="2"/>
      <c r="I596" s="117"/>
      <c r="J596" s="2"/>
      <c r="K596" s="2"/>
      <c r="L596" s="2"/>
      <c r="M596" s="2"/>
      <c r="N596" s="2"/>
      <c r="O596" s="2"/>
      <c r="P596" s="2"/>
      <c r="Q596" s="2"/>
      <c r="R596" s="2"/>
      <c r="S596" s="2"/>
      <c r="T596" s="2"/>
      <c r="U596" s="2"/>
      <c r="V596" s="1"/>
      <c r="W596" s="1"/>
      <c r="X596" s="1"/>
      <c r="Y596" s="1"/>
      <c r="Z596" s="1"/>
      <c r="AA596" s="1"/>
      <c r="AB596" s="1"/>
      <c r="AC596" s="1"/>
      <c r="AD596" s="1"/>
      <c r="AE596" s="1"/>
      <c r="AF596" s="1"/>
    </row>
    <row r="597">
      <c r="A597" s="1"/>
      <c r="B597" s="2"/>
      <c r="C597" s="117"/>
      <c r="D597" s="2"/>
      <c r="E597" s="2"/>
      <c r="F597" s="2"/>
      <c r="G597" s="2"/>
      <c r="H597" s="2"/>
      <c r="I597" s="117"/>
      <c r="J597" s="2"/>
      <c r="K597" s="2"/>
      <c r="L597" s="2"/>
      <c r="M597" s="2"/>
      <c r="N597" s="2"/>
      <c r="O597" s="2"/>
      <c r="P597" s="2"/>
      <c r="Q597" s="2"/>
      <c r="R597" s="2"/>
      <c r="S597" s="2"/>
      <c r="T597" s="2"/>
      <c r="U597" s="2"/>
      <c r="V597" s="1"/>
      <c r="W597" s="1"/>
      <c r="X597" s="1"/>
      <c r="Y597" s="1"/>
      <c r="Z597" s="1"/>
      <c r="AA597" s="1"/>
      <c r="AB597" s="1"/>
      <c r="AC597" s="1"/>
      <c r="AD597" s="1"/>
      <c r="AE597" s="1"/>
      <c r="AF597" s="1"/>
    </row>
    <row r="598">
      <c r="A598" s="1"/>
      <c r="B598" s="2"/>
      <c r="C598" s="117"/>
      <c r="D598" s="2"/>
      <c r="E598" s="2"/>
      <c r="F598" s="2"/>
      <c r="G598" s="2"/>
      <c r="H598" s="2"/>
      <c r="I598" s="117"/>
      <c r="J598" s="2"/>
      <c r="K598" s="2"/>
      <c r="L598" s="2"/>
      <c r="M598" s="2"/>
      <c r="N598" s="2"/>
      <c r="O598" s="2"/>
      <c r="P598" s="2"/>
      <c r="Q598" s="2"/>
      <c r="R598" s="2"/>
      <c r="S598" s="2"/>
      <c r="T598" s="2"/>
      <c r="U598" s="2"/>
      <c r="V598" s="1"/>
      <c r="W598" s="1"/>
      <c r="X598" s="1"/>
      <c r="Y598" s="1"/>
      <c r="Z598" s="1"/>
      <c r="AA598" s="1"/>
      <c r="AB598" s="1"/>
      <c r="AC598" s="1"/>
      <c r="AD598" s="1"/>
      <c r="AE598" s="1"/>
      <c r="AF598" s="1"/>
    </row>
    <row r="599">
      <c r="A599" s="1"/>
      <c r="B599" s="2"/>
      <c r="C599" s="117"/>
      <c r="D599" s="2"/>
      <c r="E599" s="2"/>
      <c r="F599" s="2"/>
      <c r="G599" s="2"/>
      <c r="H599" s="2"/>
      <c r="I599" s="117"/>
      <c r="J599" s="2"/>
      <c r="K599" s="2"/>
      <c r="L599" s="2"/>
      <c r="M599" s="2"/>
      <c r="N599" s="2"/>
      <c r="O599" s="2"/>
      <c r="P599" s="2"/>
      <c r="Q599" s="2"/>
      <c r="R599" s="2"/>
      <c r="S599" s="2"/>
      <c r="T599" s="2"/>
      <c r="U599" s="2"/>
      <c r="V599" s="1"/>
      <c r="W599" s="1"/>
      <c r="X599" s="1"/>
      <c r="Y599" s="1"/>
      <c r="Z599" s="1"/>
      <c r="AA599" s="1"/>
      <c r="AB599" s="1"/>
      <c r="AC599" s="1"/>
      <c r="AD599" s="1"/>
      <c r="AE599" s="1"/>
      <c r="AF599" s="1"/>
    </row>
    <row r="600">
      <c r="A600" s="1"/>
      <c r="B600" s="2"/>
      <c r="C600" s="117"/>
      <c r="D600" s="2"/>
      <c r="E600" s="2"/>
      <c r="F600" s="2"/>
      <c r="G600" s="2"/>
      <c r="H600" s="2"/>
      <c r="I600" s="117"/>
      <c r="J600" s="2"/>
      <c r="K600" s="2"/>
      <c r="L600" s="2"/>
      <c r="M600" s="2"/>
      <c r="N600" s="2"/>
      <c r="O600" s="2"/>
      <c r="P600" s="2"/>
      <c r="Q600" s="2"/>
      <c r="R600" s="2"/>
      <c r="S600" s="2"/>
      <c r="T600" s="2"/>
      <c r="U600" s="2"/>
      <c r="V600" s="1"/>
      <c r="W600" s="1"/>
      <c r="X600" s="1"/>
      <c r="Y600" s="1"/>
      <c r="Z600" s="1"/>
      <c r="AA600" s="1"/>
      <c r="AB600" s="1"/>
      <c r="AC600" s="1"/>
      <c r="AD600" s="1"/>
      <c r="AE600" s="1"/>
      <c r="AF600" s="1"/>
    </row>
    <row r="601">
      <c r="A601" s="1"/>
      <c r="B601" s="2"/>
      <c r="C601" s="117"/>
      <c r="D601" s="2"/>
      <c r="E601" s="2"/>
      <c r="F601" s="2"/>
      <c r="G601" s="2"/>
      <c r="H601" s="2"/>
      <c r="I601" s="117"/>
      <c r="J601" s="2"/>
      <c r="K601" s="2"/>
      <c r="L601" s="2"/>
      <c r="M601" s="2"/>
      <c r="N601" s="2"/>
      <c r="O601" s="2"/>
      <c r="P601" s="2"/>
      <c r="Q601" s="2"/>
      <c r="R601" s="2"/>
      <c r="S601" s="2"/>
      <c r="T601" s="2"/>
      <c r="U601" s="2"/>
      <c r="V601" s="1"/>
      <c r="W601" s="1"/>
      <c r="X601" s="1"/>
      <c r="Y601" s="1"/>
      <c r="Z601" s="1"/>
      <c r="AA601" s="1"/>
      <c r="AB601" s="1"/>
      <c r="AC601" s="1"/>
      <c r="AD601" s="1"/>
      <c r="AE601" s="1"/>
      <c r="AF601" s="1"/>
    </row>
    <row r="602">
      <c r="A602" s="1"/>
      <c r="B602" s="2"/>
      <c r="C602" s="117"/>
      <c r="D602" s="2"/>
      <c r="E602" s="2"/>
      <c r="F602" s="2"/>
      <c r="G602" s="2"/>
      <c r="H602" s="2"/>
      <c r="I602" s="117"/>
      <c r="J602" s="2"/>
      <c r="K602" s="2"/>
      <c r="L602" s="2"/>
      <c r="M602" s="2"/>
      <c r="N602" s="2"/>
      <c r="O602" s="2"/>
      <c r="P602" s="2"/>
      <c r="Q602" s="2"/>
      <c r="R602" s="2"/>
      <c r="S602" s="2"/>
      <c r="T602" s="2"/>
      <c r="U602" s="2"/>
      <c r="V602" s="1"/>
      <c r="W602" s="1"/>
      <c r="X602" s="1"/>
      <c r="Y602" s="1"/>
      <c r="Z602" s="1"/>
      <c r="AA602" s="1"/>
      <c r="AB602" s="1"/>
      <c r="AC602" s="1"/>
      <c r="AD602" s="1"/>
      <c r="AE602" s="1"/>
      <c r="AF602" s="1"/>
    </row>
    <row r="603">
      <c r="A603" s="1"/>
      <c r="B603" s="2"/>
      <c r="C603" s="117"/>
      <c r="D603" s="2"/>
      <c r="E603" s="2"/>
      <c r="F603" s="2"/>
      <c r="G603" s="2"/>
      <c r="H603" s="2"/>
      <c r="I603" s="117"/>
      <c r="J603" s="2"/>
      <c r="K603" s="2"/>
      <c r="L603" s="2"/>
      <c r="M603" s="2"/>
      <c r="N603" s="2"/>
      <c r="O603" s="2"/>
      <c r="P603" s="2"/>
      <c r="Q603" s="2"/>
      <c r="R603" s="2"/>
      <c r="S603" s="2"/>
      <c r="T603" s="2"/>
      <c r="U603" s="2"/>
      <c r="V603" s="1"/>
      <c r="W603" s="1"/>
      <c r="X603" s="1"/>
      <c r="Y603" s="1"/>
      <c r="Z603" s="1"/>
      <c r="AA603" s="1"/>
      <c r="AB603" s="1"/>
      <c r="AC603" s="1"/>
      <c r="AD603" s="1"/>
      <c r="AE603" s="1"/>
      <c r="AF603" s="1"/>
    </row>
    <row r="604">
      <c r="A604" s="1"/>
      <c r="B604" s="2"/>
      <c r="C604" s="117"/>
      <c r="D604" s="2"/>
      <c r="E604" s="2"/>
      <c r="F604" s="2"/>
      <c r="G604" s="2"/>
      <c r="H604" s="2"/>
      <c r="I604" s="117"/>
      <c r="J604" s="2"/>
      <c r="K604" s="2"/>
      <c r="L604" s="2"/>
      <c r="M604" s="2"/>
      <c r="N604" s="2"/>
      <c r="O604" s="2"/>
      <c r="P604" s="2"/>
      <c r="Q604" s="2"/>
      <c r="R604" s="2"/>
      <c r="S604" s="2"/>
      <c r="T604" s="2"/>
      <c r="U604" s="2"/>
      <c r="V604" s="1"/>
      <c r="W604" s="1"/>
      <c r="X604" s="1"/>
      <c r="Y604" s="1"/>
      <c r="Z604" s="1"/>
      <c r="AA604" s="1"/>
      <c r="AB604" s="1"/>
      <c r="AC604" s="1"/>
      <c r="AD604" s="1"/>
      <c r="AE604" s="1"/>
      <c r="AF604" s="1"/>
    </row>
    <row r="605">
      <c r="A605" s="1"/>
      <c r="B605" s="2"/>
      <c r="C605" s="117"/>
      <c r="D605" s="2"/>
      <c r="E605" s="2"/>
      <c r="F605" s="2"/>
      <c r="G605" s="2"/>
      <c r="H605" s="2"/>
      <c r="I605" s="117"/>
      <c r="J605" s="2"/>
      <c r="K605" s="2"/>
      <c r="L605" s="2"/>
      <c r="M605" s="2"/>
      <c r="N605" s="2"/>
      <c r="O605" s="2"/>
      <c r="P605" s="2"/>
      <c r="Q605" s="2"/>
      <c r="R605" s="2"/>
      <c r="S605" s="2"/>
      <c r="T605" s="2"/>
      <c r="U605" s="2"/>
      <c r="V605" s="1"/>
      <c r="W605" s="1"/>
      <c r="X605" s="1"/>
      <c r="Y605" s="1"/>
      <c r="Z605" s="1"/>
      <c r="AA605" s="1"/>
      <c r="AB605" s="1"/>
      <c r="AC605" s="1"/>
      <c r="AD605" s="1"/>
      <c r="AE605" s="1"/>
      <c r="AF605" s="1"/>
    </row>
    <row r="606">
      <c r="A606" s="1"/>
      <c r="B606" s="2"/>
      <c r="C606" s="117"/>
      <c r="D606" s="2"/>
      <c r="E606" s="2"/>
      <c r="F606" s="2"/>
      <c r="G606" s="2"/>
      <c r="H606" s="2"/>
      <c r="I606" s="117"/>
      <c r="J606" s="2"/>
      <c r="K606" s="2"/>
      <c r="L606" s="2"/>
      <c r="M606" s="2"/>
      <c r="N606" s="2"/>
      <c r="O606" s="2"/>
      <c r="P606" s="2"/>
      <c r="Q606" s="2"/>
      <c r="R606" s="2"/>
      <c r="S606" s="2"/>
      <c r="T606" s="2"/>
      <c r="U606" s="2"/>
      <c r="V606" s="1"/>
      <c r="W606" s="1"/>
      <c r="X606" s="1"/>
      <c r="Y606" s="1"/>
      <c r="Z606" s="1"/>
      <c r="AA606" s="1"/>
      <c r="AB606" s="1"/>
      <c r="AC606" s="1"/>
      <c r="AD606" s="1"/>
      <c r="AE606" s="1"/>
      <c r="AF606" s="1"/>
    </row>
    <row r="607">
      <c r="A607" s="1"/>
      <c r="B607" s="2"/>
      <c r="C607" s="117"/>
      <c r="D607" s="2"/>
      <c r="E607" s="2"/>
      <c r="F607" s="2"/>
      <c r="G607" s="2"/>
      <c r="H607" s="2"/>
      <c r="I607" s="117"/>
      <c r="J607" s="2"/>
      <c r="K607" s="2"/>
      <c r="L607" s="2"/>
      <c r="M607" s="2"/>
      <c r="N607" s="2"/>
      <c r="O607" s="2"/>
      <c r="P607" s="2"/>
      <c r="Q607" s="2"/>
      <c r="R607" s="2"/>
      <c r="S607" s="2"/>
      <c r="T607" s="2"/>
      <c r="U607" s="2"/>
      <c r="V607" s="1"/>
      <c r="W607" s="1"/>
      <c r="X607" s="1"/>
      <c r="Y607" s="1"/>
      <c r="Z607" s="1"/>
      <c r="AA607" s="1"/>
      <c r="AB607" s="1"/>
      <c r="AC607" s="1"/>
      <c r="AD607" s="1"/>
      <c r="AE607" s="1"/>
      <c r="AF607" s="1"/>
    </row>
    <row r="608">
      <c r="A608" s="1"/>
      <c r="B608" s="2"/>
      <c r="C608" s="117"/>
      <c r="D608" s="2"/>
      <c r="E608" s="2"/>
      <c r="F608" s="2"/>
      <c r="G608" s="2"/>
      <c r="H608" s="2"/>
      <c r="I608" s="117"/>
      <c r="J608" s="2"/>
      <c r="K608" s="2"/>
      <c r="L608" s="2"/>
      <c r="M608" s="2"/>
      <c r="N608" s="2"/>
      <c r="O608" s="2"/>
      <c r="P608" s="2"/>
      <c r="Q608" s="2"/>
      <c r="R608" s="2"/>
      <c r="S608" s="2"/>
      <c r="T608" s="2"/>
      <c r="U608" s="2"/>
      <c r="V608" s="1"/>
      <c r="W608" s="1"/>
      <c r="X608" s="1"/>
      <c r="Y608" s="1"/>
      <c r="Z608" s="1"/>
      <c r="AA608" s="1"/>
      <c r="AB608" s="1"/>
      <c r="AC608" s="1"/>
      <c r="AD608" s="1"/>
      <c r="AE608" s="1"/>
      <c r="AF608" s="1"/>
    </row>
    <row r="609">
      <c r="A609" s="1"/>
      <c r="B609" s="2"/>
      <c r="C609" s="117"/>
      <c r="D609" s="2"/>
      <c r="E609" s="2"/>
      <c r="F609" s="2"/>
      <c r="G609" s="2"/>
      <c r="H609" s="2"/>
      <c r="I609" s="117"/>
      <c r="J609" s="2"/>
      <c r="K609" s="2"/>
      <c r="L609" s="2"/>
      <c r="M609" s="2"/>
      <c r="N609" s="2"/>
      <c r="O609" s="2"/>
      <c r="P609" s="2"/>
      <c r="Q609" s="2"/>
      <c r="R609" s="2"/>
      <c r="S609" s="2"/>
      <c r="T609" s="2"/>
      <c r="U609" s="2"/>
      <c r="V609" s="1"/>
      <c r="W609" s="1"/>
      <c r="X609" s="1"/>
      <c r="Y609" s="1"/>
      <c r="Z609" s="1"/>
      <c r="AA609" s="1"/>
      <c r="AB609" s="1"/>
      <c r="AC609" s="1"/>
      <c r="AD609" s="1"/>
      <c r="AE609" s="1"/>
      <c r="AF609" s="1"/>
    </row>
    <row r="610">
      <c r="A610" s="1"/>
      <c r="B610" s="2"/>
      <c r="C610" s="117"/>
      <c r="D610" s="2"/>
      <c r="E610" s="2"/>
      <c r="F610" s="2"/>
      <c r="G610" s="2"/>
      <c r="H610" s="2"/>
      <c r="I610" s="117"/>
      <c r="J610" s="2"/>
      <c r="K610" s="2"/>
      <c r="L610" s="2"/>
      <c r="M610" s="2"/>
      <c r="N610" s="2"/>
      <c r="O610" s="2"/>
      <c r="P610" s="2"/>
      <c r="Q610" s="2"/>
      <c r="R610" s="2"/>
      <c r="S610" s="2"/>
      <c r="T610" s="2"/>
      <c r="U610" s="2"/>
      <c r="V610" s="1"/>
      <c r="W610" s="1"/>
      <c r="X610" s="1"/>
      <c r="Y610" s="1"/>
      <c r="Z610" s="1"/>
      <c r="AA610" s="1"/>
      <c r="AB610" s="1"/>
      <c r="AC610" s="1"/>
      <c r="AD610" s="1"/>
      <c r="AE610" s="1"/>
      <c r="AF610" s="1"/>
    </row>
    <row r="611">
      <c r="A611" s="1"/>
      <c r="B611" s="2"/>
      <c r="C611" s="117"/>
      <c r="D611" s="2"/>
      <c r="E611" s="2"/>
      <c r="F611" s="2"/>
      <c r="G611" s="2"/>
      <c r="H611" s="2"/>
      <c r="I611" s="117"/>
      <c r="J611" s="2"/>
      <c r="K611" s="2"/>
      <c r="L611" s="2"/>
      <c r="M611" s="2"/>
      <c r="N611" s="2"/>
      <c r="O611" s="2"/>
      <c r="P611" s="2"/>
      <c r="Q611" s="2"/>
      <c r="R611" s="2"/>
      <c r="S611" s="2"/>
      <c r="T611" s="2"/>
      <c r="U611" s="2"/>
      <c r="V611" s="1"/>
      <c r="W611" s="1"/>
      <c r="X611" s="1"/>
      <c r="Y611" s="1"/>
      <c r="Z611" s="1"/>
      <c r="AA611" s="1"/>
      <c r="AB611" s="1"/>
      <c r="AC611" s="1"/>
      <c r="AD611" s="1"/>
      <c r="AE611" s="1"/>
      <c r="AF611" s="1"/>
    </row>
    <row r="612">
      <c r="A612" s="1"/>
      <c r="B612" s="2"/>
      <c r="C612" s="117"/>
      <c r="D612" s="2"/>
      <c r="E612" s="2"/>
      <c r="F612" s="2"/>
      <c r="G612" s="2"/>
      <c r="H612" s="2"/>
      <c r="I612" s="117"/>
      <c r="J612" s="2"/>
      <c r="K612" s="2"/>
      <c r="L612" s="2"/>
      <c r="M612" s="2"/>
      <c r="N612" s="2"/>
      <c r="O612" s="2"/>
      <c r="P612" s="2"/>
      <c r="Q612" s="2"/>
      <c r="R612" s="2"/>
      <c r="S612" s="2"/>
      <c r="T612" s="2"/>
      <c r="U612" s="2"/>
      <c r="V612" s="1"/>
      <c r="W612" s="1"/>
      <c r="X612" s="1"/>
      <c r="Y612" s="1"/>
      <c r="Z612" s="1"/>
      <c r="AA612" s="1"/>
      <c r="AB612" s="1"/>
      <c r="AC612" s="1"/>
      <c r="AD612" s="1"/>
      <c r="AE612" s="1"/>
      <c r="AF612" s="1"/>
    </row>
    <row r="613">
      <c r="A613" s="1"/>
      <c r="B613" s="2"/>
      <c r="C613" s="117"/>
      <c r="D613" s="2"/>
      <c r="E613" s="2"/>
      <c r="F613" s="2"/>
      <c r="G613" s="2"/>
      <c r="H613" s="2"/>
      <c r="I613" s="117"/>
      <c r="J613" s="2"/>
      <c r="K613" s="2"/>
      <c r="L613" s="2"/>
      <c r="M613" s="2"/>
      <c r="N613" s="2"/>
      <c r="O613" s="2"/>
      <c r="P613" s="2"/>
      <c r="Q613" s="2"/>
      <c r="R613" s="2"/>
      <c r="S613" s="2"/>
      <c r="T613" s="2"/>
      <c r="U613" s="2"/>
      <c r="V613" s="1"/>
      <c r="W613" s="1"/>
      <c r="X613" s="1"/>
      <c r="Y613" s="1"/>
      <c r="Z613" s="1"/>
      <c r="AA613" s="1"/>
      <c r="AB613" s="1"/>
      <c r="AC613" s="1"/>
      <c r="AD613" s="1"/>
      <c r="AE613" s="1"/>
      <c r="AF613" s="1"/>
    </row>
    <row r="614">
      <c r="A614" s="1"/>
      <c r="B614" s="2"/>
      <c r="C614" s="117"/>
      <c r="D614" s="2"/>
      <c r="E614" s="2"/>
      <c r="F614" s="2"/>
      <c r="G614" s="2"/>
      <c r="H614" s="2"/>
      <c r="I614" s="117"/>
      <c r="J614" s="2"/>
      <c r="K614" s="2"/>
      <c r="L614" s="2"/>
      <c r="M614" s="2"/>
      <c r="N614" s="2"/>
      <c r="O614" s="2"/>
      <c r="P614" s="2"/>
      <c r="Q614" s="2"/>
      <c r="R614" s="2"/>
      <c r="S614" s="2"/>
      <c r="T614" s="2"/>
      <c r="U614" s="2"/>
      <c r="V614" s="1"/>
      <c r="W614" s="1"/>
      <c r="X614" s="1"/>
      <c r="Y614" s="1"/>
      <c r="Z614" s="1"/>
      <c r="AA614" s="1"/>
      <c r="AB614" s="1"/>
      <c r="AC614" s="1"/>
      <c r="AD614" s="1"/>
      <c r="AE614" s="1"/>
      <c r="AF614" s="1"/>
    </row>
    <row r="615">
      <c r="A615" s="1"/>
      <c r="B615" s="2"/>
      <c r="C615" s="117"/>
      <c r="D615" s="2"/>
      <c r="E615" s="2"/>
      <c r="F615" s="2"/>
      <c r="G615" s="2"/>
      <c r="H615" s="2"/>
      <c r="I615" s="117"/>
      <c r="J615" s="2"/>
      <c r="K615" s="2"/>
      <c r="L615" s="2"/>
      <c r="M615" s="2"/>
      <c r="N615" s="2"/>
      <c r="O615" s="2"/>
      <c r="P615" s="2"/>
      <c r="Q615" s="2"/>
      <c r="R615" s="2"/>
      <c r="S615" s="2"/>
      <c r="T615" s="2"/>
      <c r="U615" s="2"/>
      <c r="V615" s="1"/>
      <c r="W615" s="1"/>
      <c r="X615" s="1"/>
      <c r="Y615" s="1"/>
      <c r="Z615" s="1"/>
      <c r="AA615" s="1"/>
      <c r="AB615" s="1"/>
      <c r="AC615" s="1"/>
      <c r="AD615" s="1"/>
      <c r="AE615" s="1"/>
      <c r="AF615" s="1"/>
    </row>
    <row r="616">
      <c r="A616" s="1"/>
      <c r="B616" s="2"/>
      <c r="C616" s="117"/>
      <c r="D616" s="2"/>
      <c r="E616" s="2"/>
      <c r="F616" s="2"/>
      <c r="G616" s="2"/>
      <c r="H616" s="2"/>
      <c r="I616" s="117"/>
      <c r="J616" s="2"/>
      <c r="K616" s="2"/>
      <c r="L616" s="2"/>
      <c r="M616" s="2"/>
      <c r="N616" s="2"/>
      <c r="O616" s="2"/>
      <c r="P616" s="2"/>
      <c r="Q616" s="2"/>
      <c r="R616" s="2"/>
      <c r="S616" s="2"/>
      <c r="T616" s="2"/>
      <c r="U616" s="2"/>
      <c r="V616" s="1"/>
      <c r="W616" s="1"/>
      <c r="X616" s="1"/>
      <c r="Y616" s="1"/>
      <c r="Z616" s="1"/>
      <c r="AA616" s="1"/>
      <c r="AB616" s="1"/>
      <c r="AC616" s="1"/>
      <c r="AD616" s="1"/>
      <c r="AE616" s="1"/>
      <c r="AF616" s="1"/>
    </row>
    <row r="617">
      <c r="A617" s="1"/>
      <c r="B617" s="2"/>
      <c r="C617" s="117"/>
      <c r="D617" s="2"/>
      <c r="E617" s="2"/>
      <c r="F617" s="2"/>
      <c r="G617" s="2"/>
      <c r="H617" s="2"/>
      <c r="I617" s="117"/>
      <c r="J617" s="2"/>
      <c r="K617" s="2"/>
      <c r="L617" s="2"/>
      <c r="M617" s="2"/>
      <c r="N617" s="2"/>
      <c r="O617" s="2"/>
      <c r="P617" s="2"/>
      <c r="Q617" s="2"/>
      <c r="R617" s="2"/>
      <c r="S617" s="2"/>
      <c r="T617" s="2"/>
      <c r="U617" s="2"/>
      <c r="V617" s="1"/>
      <c r="W617" s="1"/>
      <c r="X617" s="1"/>
      <c r="Y617" s="1"/>
      <c r="Z617" s="1"/>
      <c r="AA617" s="1"/>
      <c r="AB617" s="1"/>
      <c r="AC617" s="1"/>
      <c r="AD617" s="1"/>
      <c r="AE617" s="1"/>
      <c r="AF617" s="1"/>
    </row>
    <row r="618">
      <c r="A618" s="1"/>
      <c r="B618" s="2"/>
      <c r="C618" s="117"/>
      <c r="D618" s="2"/>
      <c r="E618" s="2"/>
      <c r="F618" s="2"/>
      <c r="G618" s="2"/>
      <c r="H618" s="2"/>
      <c r="I618" s="117"/>
      <c r="J618" s="2"/>
      <c r="K618" s="2"/>
      <c r="L618" s="2"/>
      <c r="M618" s="2"/>
      <c r="N618" s="2"/>
      <c r="O618" s="2"/>
      <c r="P618" s="2"/>
      <c r="Q618" s="2"/>
      <c r="R618" s="2"/>
      <c r="S618" s="2"/>
      <c r="T618" s="2"/>
      <c r="U618" s="2"/>
      <c r="V618" s="1"/>
      <c r="W618" s="1"/>
      <c r="X618" s="1"/>
      <c r="Y618" s="1"/>
      <c r="Z618" s="1"/>
      <c r="AA618" s="1"/>
      <c r="AB618" s="1"/>
      <c r="AC618" s="1"/>
      <c r="AD618" s="1"/>
      <c r="AE618" s="1"/>
      <c r="AF618" s="1"/>
    </row>
    <row r="619">
      <c r="A619" s="1"/>
      <c r="B619" s="2"/>
      <c r="C619" s="117"/>
      <c r="D619" s="2"/>
      <c r="E619" s="2"/>
      <c r="F619" s="2"/>
      <c r="G619" s="2"/>
      <c r="H619" s="2"/>
      <c r="I619" s="117"/>
      <c r="J619" s="2"/>
      <c r="K619" s="2"/>
      <c r="L619" s="2"/>
      <c r="M619" s="2"/>
      <c r="N619" s="2"/>
      <c r="O619" s="2"/>
      <c r="P619" s="2"/>
      <c r="Q619" s="2"/>
      <c r="R619" s="2"/>
      <c r="S619" s="2"/>
      <c r="T619" s="2"/>
      <c r="U619" s="2"/>
      <c r="V619" s="1"/>
      <c r="W619" s="1"/>
      <c r="X619" s="1"/>
      <c r="Y619" s="1"/>
      <c r="Z619" s="1"/>
      <c r="AA619" s="1"/>
      <c r="AB619" s="1"/>
      <c r="AC619" s="1"/>
      <c r="AD619" s="1"/>
      <c r="AE619" s="1"/>
      <c r="AF619" s="1"/>
    </row>
    <row r="620">
      <c r="A620" s="1"/>
      <c r="B620" s="2"/>
      <c r="C620" s="117"/>
      <c r="D620" s="2"/>
      <c r="E620" s="2"/>
      <c r="F620" s="2"/>
      <c r="G620" s="2"/>
      <c r="H620" s="2"/>
      <c r="I620" s="117"/>
      <c r="J620" s="2"/>
      <c r="K620" s="2"/>
      <c r="L620" s="2"/>
      <c r="M620" s="2"/>
      <c r="N620" s="2"/>
      <c r="O620" s="2"/>
      <c r="P620" s="2"/>
      <c r="Q620" s="2"/>
      <c r="R620" s="2"/>
      <c r="S620" s="2"/>
      <c r="T620" s="2"/>
      <c r="U620" s="2"/>
      <c r="V620" s="1"/>
      <c r="W620" s="1"/>
      <c r="X620" s="1"/>
      <c r="Y620" s="1"/>
      <c r="Z620" s="1"/>
      <c r="AA620" s="1"/>
      <c r="AB620" s="1"/>
      <c r="AC620" s="1"/>
      <c r="AD620" s="1"/>
      <c r="AE620" s="1"/>
      <c r="AF620" s="1"/>
    </row>
    <row r="621">
      <c r="A621" s="1"/>
      <c r="B621" s="2"/>
      <c r="C621" s="117"/>
      <c r="D621" s="2"/>
      <c r="E621" s="2"/>
      <c r="F621" s="2"/>
      <c r="G621" s="2"/>
      <c r="H621" s="2"/>
      <c r="I621" s="117"/>
      <c r="J621" s="2"/>
      <c r="K621" s="2"/>
      <c r="L621" s="2"/>
      <c r="M621" s="2"/>
      <c r="N621" s="2"/>
      <c r="O621" s="2"/>
      <c r="P621" s="2"/>
      <c r="Q621" s="2"/>
      <c r="R621" s="2"/>
      <c r="S621" s="2"/>
      <c r="T621" s="2"/>
      <c r="U621" s="2"/>
      <c r="V621" s="1"/>
      <c r="W621" s="1"/>
      <c r="X621" s="1"/>
      <c r="Y621" s="1"/>
      <c r="Z621" s="1"/>
      <c r="AA621" s="1"/>
      <c r="AB621" s="1"/>
      <c r="AC621" s="1"/>
      <c r="AD621" s="1"/>
      <c r="AE621" s="1"/>
      <c r="AF621" s="1"/>
    </row>
    <row r="622">
      <c r="A622" s="1"/>
      <c r="B622" s="2"/>
      <c r="C622" s="117"/>
      <c r="D622" s="2"/>
      <c r="E622" s="2"/>
      <c r="F622" s="2"/>
      <c r="G622" s="2"/>
      <c r="H622" s="2"/>
      <c r="I622" s="117"/>
      <c r="J622" s="2"/>
      <c r="K622" s="2"/>
      <c r="L622" s="2"/>
      <c r="M622" s="2"/>
      <c r="N622" s="2"/>
      <c r="O622" s="2"/>
      <c r="P622" s="2"/>
      <c r="Q622" s="2"/>
      <c r="R622" s="2"/>
      <c r="S622" s="2"/>
      <c r="T622" s="2"/>
      <c r="U622" s="2"/>
      <c r="V622" s="1"/>
      <c r="W622" s="1"/>
      <c r="X622" s="1"/>
      <c r="Y622" s="1"/>
      <c r="Z622" s="1"/>
      <c r="AA622" s="1"/>
      <c r="AB622" s="1"/>
      <c r="AC622" s="1"/>
      <c r="AD622" s="1"/>
      <c r="AE622" s="1"/>
      <c r="AF622" s="1"/>
    </row>
    <row r="623">
      <c r="A623" s="1"/>
      <c r="B623" s="2"/>
      <c r="C623" s="117"/>
      <c r="D623" s="2"/>
      <c r="E623" s="2"/>
      <c r="F623" s="2"/>
      <c r="G623" s="2"/>
      <c r="H623" s="2"/>
      <c r="I623" s="117"/>
      <c r="J623" s="2"/>
      <c r="K623" s="2"/>
      <c r="L623" s="2"/>
      <c r="M623" s="2"/>
      <c r="N623" s="2"/>
      <c r="O623" s="2"/>
      <c r="P623" s="2"/>
      <c r="Q623" s="2"/>
      <c r="R623" s="2"/>
      <c r="S623" s="2"/>
      <c r="T623" s="2"/>
      <c r="U623" s="2"/>
      <c r="V623" s="1"/>
      <c r="W623" s="1"/>
      <c r="X623" s="1"/>
      <c r="Y623" s="1"/>
      <c r="Z623" s="1"/>
      <c r="AA623" s="1"/>
      <c r="AB623" s="1"/>
      <c r="AC623" s="1"/>
      <c r="AD623" s="1"/>
      <c r="AE623" s="1"/>
      <c r="AF623" s="1"/>
    </row>
    <row r="624">
      <c r="A624" s="1"/>
      <c r="B624" s="2"/>
      <c r="C624" s="117"/>
      <c r="D624" s="2"/>
      <c r="E624" s="2"/>
      <c r="F624" s="2"/>
      <c r="G624" s="2"/>
      <c r="H624" s="2"/>
      <c r="I624" s="117"/>
      <c r="J624" s="2"/>
      <c r="K624" s="2"/>
      <c r="L624" s="2"/>
      <c r="M624" s="2"/>
      <c r="N624" s="2"/>
      <c r="O624" s="2"/>
      <c r="P624" s="2"/>
      <c r="Q624" s="2"/>
      <c r="R624" s="2"/>
      <c r="S624" s="2"/>
      <c r="T624" s="2"/>
      <c r="U624" s="2"/>
      <c r="V624" s="1"/>
      <c r="W624" s="1"/>
      <c r="X624" s="1"/>
      <c r="Y624" s="1"/>
      <c r="Z624" s="1"/>
      <c r="AA624" s="1"/>
      <c r="AB624" s="1"/>
      <c r="AC624" s="1"/>
      <c r="AD624" s="1"/>
      <c r="AE624" s="1"/>
      <c r="AF624" s="1"/>
    </row>
    <row r="625">
      <c r="A625" s="1"/>
      <c r="B625" s="2"/>
      <c r="C625" s="117"/>
      <c r="D625" s="2"/>
      <c r="E625" s="2"/>
      <c r="F625" s="2"/>
      <c r="G625" s="2"/>
      <c r="H625" s="2"/>
      <c r="I625" s="117"/>
      <c r="J625" s="2"/>
      <c r="K625" s="2"/>
      <c r="L625" s="2"/>
      <c r="M625" s="2"/>
      <c r="N625" s="2"/>
      <c r="O625" s="2"/>
      <c r="P625" s="2"/>
      <c r="Q625" s="2"/>
      <c r="R625" s="2"/>
      <c r="S625" s="2"/>
      <c r="T625" s="2"/>
      <c r="U625" s="2"/>
      <c r="V625" s="1"/>
      <c r="W625" s="1"/>
      <c r="X625" s="1"/>
      <c r="Y625" s="1"/>
      <c r="Z625" s="1"/>
      <c r="AA625" s="1"/>
      <c r="AB625" s="1"/>
      <c r="AC625" s="1"/>
      <c r="AD625" s="1"/>
      <c r="AE625" s="1"/>
      <c r="AF625" s="1"/>
    </row>
    <row r="626">
      <c r="A626" s="1"/>
      <c r="B626" s="2"/>
      <c r="C626" s="117"/>
      <c r="D626" s="2"/>
      <c r="E626" s="2"/>
      <c r="F626" s="2"/>
      <c r="G626" s="2"/>
      <c r="H626" s="2"/>
      <c r="I626" s="117"/>
      <c r="J626" s="2"/>
      <c r="K626" s="2"/>
      <c r="L626" s="2"/>
      <c r="M626" s="2"/>
      <c r="N626" s="2"/>
      <c r="O626" s="2"/>
      <c r="P626" s="2"/>
      <c r="Q626" s="2"/>
      <c r="R626" s="2"/>
      <c r="S626" s="2"/>
      <c r="T626" s="2"/>
      <c r="U626" s="2"/>
      <c r="V626" s="1"/>
      <c r="W626" s="1"/>
      <c r="X626" s="1"/>
      <c r="Y626" s="1"/>
      <c r="Z626" s="1"/>
      <c r="AA626" s="1"/>
      <c r="AB626" s="1"/>
      <c r="AC626" s="1"/>
      <c r="AD626" s="1"/>
      <c r="AE626" s="1"/>
      <c r="AF626" s="1"/>
    </row>
    <row r="627">
      <c r="A627" s="1"/>
      <c r="B627" s="2"/>
      <c r="C627" s="117"/>
      <c r="D627" s="2"/>
      <c r="E627" s="2"/>
      <c r="F627" s="2"/>
      <c r="G627" s="2"/>
      <c r="H627" s="2"/>
      <c r="I627" s="117"/>
      <c r="J627" s="2"/>
      <c r="K627" s="2"/>
      <c r="L627" s="2"/>
      <c r="M627" s="2"/>
      <c r="N627" s="2"/>
      <c r="O627" s="2"/>
      <c r="P627" s="2"/>
      <c r="Q627" s="2"/>
      <c r="R627" s="2"/>
      <c r="S627" s="2"/>
      <c r="T627" s="2"/>
      <c r="U627" s="2"/>
      <c r="V627" s="1"/>
      <c r="W627" s="1"/>
      <c r="X627" s="1"/>
      <c r="Y627" s="1"/>
      <c r="Z627" s="1"/>
      <c r="AA627" s="1"/>
      <c r="AB627" s="1"/>
      <c r="AC627" s="1"/>
      <c r="AD627" s="1"/>
      <c r="AE627" s="1"/>
      <c r="AF627" s="1"/>
    </row>
    <row r="628">
      <c r="A628" s="1"/>
      <c r="B628" s="2"/>
      <c r="C628" s="117"/>
      <c r="D628" s="2"/>
      <c r="E628" s="2"/>
      <c r="F628" s="2"/>
      <c r="G628" s="2"/>
      <c r="H628" s="2"/>
      <c r="I628" s="117"/>
      <c r="J628" s="2"/>
      <c r="K628" s="2"/>
      <c r="L628" s="2"/>
      <c r="M628" s="2"/>
      <c r="N628" s="2"/>
      <c r="O628" s="2"/>
      <c r="P628" s="2"/>
      <c r="Q628" s="2"/>
      <c r="R628" s="2"/>
      <c r="S628" s="2"/>
      <c r="T628" s="2"/>
      <c r="U628" s="2"/>
      <c r="V628" s="1"/>
      <c r="W628" s="1"/>
      <c r="X628" s="1"/>
      <c r="Y628" s="1"/>
      <c r="Z628" s="1"/>
      <c r="AA628" s="1"/>
      <c r="AB628" s="1"/>
      <c r="AC628" s="1"/>
      <c r="AD628" s="1"/>
      <c r="AE628" s="1"/>
      <c r="AF628" s="1"/>
    </row>
    <row r="629">
      <c r="A629" s="1"/>
      <c r="B629" s="2"/>
      <c r="C629" s="117"/>
      <c r="D629" s="2"/>
      <c r="E629" s="2"/>
      <c r="F629" s="2"/>
      <c r="G629" s="2"/>
      <c r="H629" s="2"/>
      <c r="I629" s="117"/>
      <c r="J629" s="2"/>
      <c r="K629" s="2"/>
      <c r="L629" s="2"/>
      <c r="M629" s="2"/>
      <c r="N629" s="2"/>
      <c r="O629" s="2"/>
      <c r="P629" s="2"/>
      <c r="Q629" s="2"/>
      <c r="R629" s="2"/>
      <c r="S629" s="2"/>
      <c r="T629" s="2"/>
      <c r="U629" s="2"/>
      <c r="V629" s="1"/>
      <c r="W629" s="1"/>
      <c r="X629" s="1"/>
      <c r="Y629" s="1"/>
      <c r="Z629" s="1"/>
      <c r="AA629" s="1"/>
      <c r="AB629" s="1"/>
      <c r="AC629" s="1"/>
      <c r="AD629" s="1"/>
      <c r="AE629" s="1"/>
      <c r="AF629" s="1"/>
    </row>
    <row r="630">
      <c r="A630" s="1"/>
      <c r="B630" s="2"/>
      <c r="C630" s="117"/>
      <c r="D630" s="2"/>
      <c r="E630" s="2"/>
      <c r="F630" s="2"/>
      <c r="G630" s="2"/>
      <c r="H630" s="2"/>
      <c r="I630" s="117"/>
      <c r="J630" s="2"/>
      <c r="K630" s="2"/>
      <c r="L630" s="2"/>
      <c r="M630" s="2"/>
      <c r="N630" s="2"/>
      <c r="O630" s="2"/>
      <c r="P630" s="2"/>
      <c r="Q630" s="2"/>
      <c r="R630" s="2"/>
      <c r="S630" s="2"/>
      <c r="T630" s="2"/>
      <c r="U630" s="2"/>
      <c r="V630" s="1"/>
      <c r="W630" s="1"/>
      <c r="X630" s="1"/>
      <c r="Y630" s="1"/>
      <c r="Z630" s="1"/>
      <c r="AA630" s="1"/>
      <c r="AB630" s="1"/>
      <c r="AC630" s="1"/>
      <c r="AD630" s="1"/>
      <c r="AE630" s="1"/>
      <c r="AF630" s="1"/>
    </row>
    <row r="631">
      <c r="A631" s="1"/>
      <c r="B631" s="2"/>
      <c r="C631" s="117"/>
      <c r="D631" s="2"/>
      <c r="E631" s="2"/>
      <c r="F631" s="2"/>
      <c r="G631" s="2"/>
      <c r="H631" s="2"/>
      <c r="I631" s="117"/>
      <c r="J631" s="2"/>
      <c r="K631" s="2"/>
      <c r="L631" s="2"/>
      <c r="M631" s="2"/>
      <c r="N631" s="2"/>
      <c r="O631" s="2"/>
      <c r="P631" s="2"/>
      <c r="Q631" s="2"/>
      <c r="R631" s="2"/>
      <c r="S631" s="2"/>
      <c r="T631" s="2"/>
      <c r="U631" s="2"/>
      <c r="V631" s="1"/>
      <c r="W631" s="1"/>
      <c r="X631" s="1"/>
      <c r="Y631" s="1"/>
      <c r="Z631" s="1"/>
      <c r="AA631" s="1"/>
      <c r="AB631" s="1"/>
      <c r="AC631" s="1"/>
      <c r="AD631" s="1"/>
      <c r="AE631" s="1"/>
      <c r="AF631" s="1"/>
    </row>
    <row r="632">
      <c r="A632" s="1"/>
      <c r="B632" s="2"/>
      <c r="C632" s="117"/>
      <c r="D632" s="2"/>
      <c r="E632" s="2"/>
      <c r="F632" s="2"/>
      <c r="G632" s="2"/>
      <c r="H632" s="2"/>
      <c r="I632" s="117"/>
      <c r="J632" s="2"/>
      <c r="K632" s="2"/>
      <c r="L632" s="2"/>
      <c r="M632" s="2"/>
      <c r="N632" s="2"/>
      <c r="O632" s="2"/>
      <c r="P632" s="2"/>
      <c r="Q632" s="2"/>
      <c r="R632" s="2"/>
      <c r="S632" s="2"/>
      <c r="T632" s="2"/>
      <c r="U632" s="2"/>
      <c r="V632" s="1"/>
      <c r="W632" s="1"/>
      <c r="X632" s="1"/>
      <c r="Y632" s="1"/>
      <c r="Z632" s="1"/>
      <c r="AA632" s="1"/>
      <c r="AB632" s="1"/>
      <c r="AC632" s="1"/>
      <c r="AD632" s="1"/>
      <c r="AE632" s="1"/>
      <c r="AF632" s="1"/>
    </row>
    <row r="633">
      <c r="A633" s="1"/>
      <c r="B633" s="2"/>
      <c r="C633" s="117"/>
      <c r="D633" s="2"/>
      <c r="E633" s="2"/>
      <c r="F633" s="2"/>
      <c r="G633" s="2"/>
      <c r="H633" s="2"/>
      <c r="I633" s="117"/>
      <c r="J633" s="2"/>
      <c r="K633" s="2"/>
      <c r="L633" s="2"/>
      <c r="M633" s="2"/>
      <c r="N633" s="2"/>
      <c r="O633" s="2"/>
      <c r="P633" s="2"/>
      <c r="Q633" s="2"/>
      <c r="R633" s="2"/>
      <c r="S633" s="2"/>
      <c r="T633" s="2"/>
      <c r="U633" s="2"/>
      <c r="V633" s="1"/>
      <c r="W633" s="1"/>
      <c r="X633" s="1"/>
      <c r="Y633" s="1"/>
      <c r="Z633" s="1"/>
      <c r="AA633" s="1"/>
      <c r="AB633" s="1"/>
      <c r="AC633" s="1"/>
      <c r="AD633" s="1"/>
      <c r="AE633" s="1"/>
      <c r="AF633" s="1"/>
    </row>
    <row r="634">
      <c r="A634" s="1"/>
      <c r="B634" s="2"/>
      <c r="C634" s="117"/>
      <c r="D634" s="2"/>
      <c r="E634" s="2"/>
      <c r="F634" s="2"/>
      <c r="G634" s="2"/>
      <c r="H634" s="2"/>
      <c r="I634" s="117"/>
      <c r="J634" s="2"/>
      <c r="K634" s="2"/>
      <c r="L634" s="2"/>
      <c r="M634" s="2"/>
      <c r="N634" s="2"/>
      <c r="O634" s="2"/>
      <c r="P634" s="2"/>
      <c r="Q634" s="2"/>
      <c r="R634" s="2"/>
      <c r="S634" s="2"/>
      <c r="T634" s="2"/>
      <c r="U634" s="2"/>
      <c r="V634" s="1"/>
      <c r="W634" s="1"/>
      <c r="X634" s="1"/>
      <c r="Y634" s="1"/>
      <c r="Z634" s="1"/>
      <c r="AA634" s="1"/>
      <c r="AB634" s="1"/>
      <c r="AC634" s="1"/>
      <c r="AD634" s="1"/>
      <c r="AE634" s="1"/>
      <c r="AF634" s="1"/>
    </row>
    <row r="635">
      <c r="A635" s="1"/>
      <c r="B635" s="2"/>
      <c r="C635" s="117"/>
      <c r="D635" s="2"/>
      <c r="E635" s="2"/>
      <c r="F635" s="2"/>
      <c r="G635" s="2"/>
      <c r="H635" s="2"/>
      <c r="I635" s="117"/>
      <c r="J635" s="2"/>
      <c r="K635" s="2"/>
      <c r="L635" s="2"/>
      <c r="M635" s="2"/>
      <c r="N635" s="2"/>
      <c r="O635" s="2"/>
      <c r="P635" s="2"/>
      <c r="Q635" s="2"/>
      <c r="R635" s="2"/>
      <c r="S635" s="2"/>
      <c r="T635" s="2"/>
      <c r="U635" s="2"/>
      <c r="V635" s="1"/>
      <c r="W635" s="1"/>
      <c r="X635" s="1"/>
      <c r="Y635" s="1"/>
      <c r="Z635" s="1"/>
      <c r="AA635" s="1"/>
      <c r="AB635" s="1"/>
      <c r="AC635" s="1"/>
      <c r="AD635" s="1"/>
      <c r="AE635" s="1"/>
      <c r="AF635" s="1"/>
    </row>
    <row r="636">
      <c r="A636" s="1"/>
      <c r="B636" s="2"/>
      <c r="C636" s="117"/>
      <c r="D636" s="2"/>
      <c r="E636" s="2"/>
      <c r="F636" s="2"/>
      <c r="G636" s="2"/>
      <c r="H636" s="2"/>
      <c r="I636" s="117"/>
      <c r="J636" s="2"/>
      <c r="K636" s="2"/>
      <c r="L636" s="2"/>
      <c r="M636" s="2"/>
      <c r="N636" s="2"/>
      <c r="O636" s="2"/>
      <c r="P636" s="2"/>
      <c r="Q636" s="2"/>
      <c r="R636" s="2"/>
      <c r="S636" s="2"/>
      <c r="T636" s="2"/>
      <c r="U636" s="2"/>
      <c r="V636" s="1"/>
      <c r="W636" s="1"/>
      <c r="X636" s="1"/>
      <c r="Y636" s="1"/>
      <c r="Z636" s="1"/>
      <c r="AA636" s="1"/>
      <c r="AB636" s="1"/>
      <c r="AC636" s="1"/>
      <c r="AD636" s="1"/>
      <c r="AE636" s="1"/>
      <c r="AF636" s="1"/>
    </row>
    <row r="637">
      <c r="A637" s="1"/>
      <c r="B637" s="2"/>
      <c r="C637" s="117"/>
      <c r="D637" s="2"/>
      <c r="E637" s="2"/>
      <c r="F637" s="2"/>
      <c r="G637" s="2"/>
      <c r="H637" s="2"/>
      <c r="I637" s="117"/>
      <c r="J637" s="2"/>
      <c r="K637" s="2"/>
      <c r="L637" s="2"/>
      <c r="M637" s="2"/>
      <c r="N637" s="2"/>
      <c r="O637" s="2"/>
      <c r="P637" s="2"/>
      <c r="Q637" s="2"/>
      <c r="R637" s="2"/>
      <c r="S637" s="2"/>
      <c r="T637" s="2"/>
      <c r="U637" s="2"/>
      <c r="V637" s="1"/>
      <c r="W637" s="1"/>
      <c r="X637" s="1"/>
      <c r="Y637" s="1"/>
      <c r="Z637" s="1"/>
      <c r="AA637" s="1"/>
      <c r="AB637" s="1"/>
      <c r="AC637" s="1"/>
      <c r="AD637" s="1"/>
      <c r="AE637" s="1"/>
      <c r="AF637" s="1"/>
    </row>
    <row r="638">
      <c r="A638" s="1"/>
      <c r="B638" s="2"/>
      <c r="C638" s="117"/>
      <c r="D638" s="2"/>
      <c r="E638" s="2"/>
      <c r="F638" s="2"/>
      <c r="G638" s="2"/>
      <c r="H638" s="2"/>
      <c r="I638" s="117"/>
      <c r="J638" s="2"/>
      <c r="K638" s="2"/>
      <c r="L638" s="2"/>
      <c r="M638" s="2"/>
      <c r="N638" s="2"/>
      <c r="O638" s="2"/>
      <c r="P638" s="2"/>
      <c r="Q638" s="2"/>
      <c r="R638" s="2"/>
      <c r="S638" s="2"/>
      <c r="T638" s="2"/>
      <c r="U638" s="2"/>
      <c r="V638" s="1"/>
      <c r="W638" s="1"/>
      <c r="X638" s="1"/>
      <c r="Y638" s="1"/>
      <c r="Z638" s="1"/>
      <c r="AA638" s="1"/>
      <c r="AB638" s="1"/>
      <c r="AC638" s="1"/>
      <c r="AD638" s="1"/>
      <c r="AE638" s="1"/>
      <c r="AF638" s="1"/>
    </row>
    <row r="639">
      <c r="A639" s="1"/>
      <c r="B639" s="2"/>
      <c r="C639" s="117"/>
      <c r="D639" s="2"/>
      <c r="E639" s="2"/>
      <c r="F639" s="2"/>
      <c r="G639" s="2"/>
      <c r="H639" s="2"/>
      <c r="I639" s="117"/>
      <c r="J639" s="2"/>
      <c r="K639" s="2"/>
      <c r="L639" s="2"/>
      <c r="M639" s="2"/>
      <c r="N639" s="2"/>
      <c r="O639" s="2"/>
      <c r="P639" s="2"/>
      <c r="Q639" s="2"/>
      <c r="R639" s="2"/>
      <c r="S639" s="2"/>
      <c r="T639" s="2"/>
      <c r="U639" s="2"/>
      <c r="V639" s="1"/>
      <c r="W639" s="1"/>
      <c r="X639" s="1"/>
      <c r="Y639" s="1"/>
      <c r="Z639" s="1"/>
      <c r="AA639" s="1"/>
      <c r="AB639" s="1"/>
      <c r="AC639" s="1"/>
      <c r="AD639" s="1"/>
      <c r="AE639" s="1"/>
      <c r="AF639" s="1"/>
    </row>
    <row r="640">
      <c r="A640" s="1"/>
      <c r="B640" s="2"/>
      <c r="C640" s="117"/>
      <c r="D640" s="2"/>
      <c r="E640" s="2"/>
      <c r="F640" s="2"/>
      <c r="G640" s="2"/>
      <c r="H640" s="2"/>
      <c r="I640" s="117"/>
      <c r="J640" s="2"/>
      <c r="K640" s="2"/>
      <c r="L640" s="2"/>
      <c r="M640" s="2"/>
      <c r="N640" s="2"/>
      <c r="O640" s="2"/>
      <c r="P640" s="2"/>
      <c r="Q640" s="2"/>
      <c r="R640" s="2"/>
      <c r="S640" s="2"/>
      <c r="T640" s="2"/>
      <c r="U640" s="2"/>
      <c r="V640" s="1"/>
      <c r="W640" s="1"/>
      <c r="X640" s="1"/>
      <c r="Y640" s="1"/>
      <c r="Z640" s="1"/>
      <c r="AA640" s="1"/>
      <c r="AB640" s="1"/>
      <c r="AC640" s="1"/>
      <c r="AD640" s="1"/>
      <c r="AE640" s="1"/>
      <c r="AF640" s="1"/>
    </row>
    <row r="641">
      <c r="A641" s="1"/>
      <c r="B641" s="2"/>
      <c r="C641" s="117"/>
      <c r="D641" s="2"/>
      <c r="E641" s="2"/>
      <c r="F641" s="2"/>
      <c r="G641" s="2"/>
      <c r="H641" s="2"/>
      <c r="I641" s="117"/>
      <c r="J641" s="2"/>
      <c r="K641" s="2"/>
      <c r="L641" s="2"/>
      <c r="M641" s="2"/>
      <c r="N641" s="2"/>
      <c r="O641" s="2"/>
      <c r="P641" s="2"/>
      <c r="Q641" s="2"/>
      <c r="R641" s="2"/>
      <c r="S641" s="2"/>
      <c r="T641" s="2"/>
      <c r="U641" s="2"/>
      <c r="V641" s="1"/>
      <c r="W641" s="1"/>
      <c r="X641" s="1"/>
      <c r="Y641" s="1"/>
      <c r="Z641" s="1"/>
      <c r="AA641" s="1"/>
      <c r="AB641" s="1"/>
      <c r="AC641" s="1"/>
      <c r="AD641" s="1"/>
      <c r="AE641" s="1"/>
      <c r="AF641" s="1"/>
    </row>
    <row r="642">
      <c r="A642" s="1"/>
      <c r="B642" s="2"/>
      <c r="C642" s="117"/>
      <c r="D642" s="2"/>
      <c r="E642" s="2"/>
      <c r="F642" s="2"/>
      <c r="G642" s="2"/>
      <c r="H642" s="2"/>
      <c r="I642" s="117"/>
      <c r="J642" s="2"/>
      <c r="K642" s="2"/>
      <c r="L642" s="2"/>
      <c r="M642" s="2"/>
      <c r="N642" s="2"/>
      <c r="O642" s="2"/>
      <c r="P642" s="2"/>
      <c r="Q642" s="2"/>
      <c r="R642" s="2"/>
      <c r="S642" s="2"/>
      <c r="T642" s="2"/>
      <c r="U642" s="2"/>
      <c r="V642" s="1"/>
      <c r="W642" s="1"/>
      <c r="X642" s="1"/>
      <c r="Y642" s="1"/>
      <c r="Z642" s="1"/>
      <c r="AA642" s="1"/>
      <c r="AB642" s="1"/>
      <c r="AC642" s="1"/>
      <c r="AD642" s="1"/>
      <c r="AE642" s="1"/>
      <c r="AF642" s="1"/>
    </row>
    <row r="643">
      <c r="A643" s="1"/>
      <c r="B643" s="2"/>
      <c r="C643" s="117"/>
      <c r="D643" s="2"/>
      <c r="E643" s="2"/>
      <c r="F643" s="2"/>
      <c r="G643" s="2"/>
      <c r="H643" s="2"/>
      <c r="I643" s="117"/>
      <c r="J643" s="2"/>
      <c r="K643" s="2"/>
      <c r="L643" s="2"/>
      <c r="M643" s="2"/>
      <c r="N643" s="2"/>
      <c r="O643" s="2"/>
      <c r="P643" s="2"/>
      <c r="Q643" s="2"/>
      <c r="R643" s="2"/>
      <c r="S643" s="2"/>
      <c r="T643" s="2"/>
      <c r="U643" s="2"/>
      <c r="V643" s="1"/>
      <c r="W643" s="1"/>
      <c r="X643" s="1"/>
      <c r="Y643" s="1"/>
      <c r="Z643" s="1"/>
      <c r="AA643" s="1"/>
      <c r="AB643" s="1"/>
      <c r="AC643" s="1"/>
      <c r="AD643" s="1"/>
      <c r="AE643" s="1"/>
      <c r="AF643" s="1"/>
    </row>
    <row r="644">
      <c r="A644" s="1"/>
      <c r="B644" s="2"/>
      <c r="C644" s="117"/>
      <c r="D644" s="2"/>
      <c r="E644" s="2"/>
      <c r="F644" s="2"/>
      <c r="G644" s="2"/>
      <c r="H644" s="2"/>
      <c r="I644" s="117"/>
      <c r="J644" s="2"/>
      <c r="K644" s="2"/>
      <c r="L644" s="2"/>
      <c r="M644" s="2"/>
      <c r="N644" s="2"/>
      <c r="O644" s="2"/>
      <c r="P644" s="2"/>
      <c r="Q644" s="2"/>
      <c r="R644" s="2"/>
      <c r="S644" s="2"/>
      <c r="T644" s="2"/>
      <c r="U644" s="2"/>
      <c r="V644" s="1"/>
      <c r="W644" s="1"/>
      <c r="X644" s="1"/>
      <c r="Y644" s="1"/>
      <c r="Z644" s="1"/>
      <c r="AA644" s="1"/>
      <c r="AB644" s="1"/>
      <c r="AC644" s="1"/>
      <c r="AD644" s="1"/>
      <c r="AE644" s="1"/>
      <c r="AF644" s="1"/>
    </row>
    <row r="645">
      <c r="A645" s="1"/>
      <c r="B645" s="2"/>
      <c r="C645" s="117"/>
      <c r="D645" s="2"/>
      <c r="E645" s="2"/>
      <c r="F645" s="2"/>
      <c r="G645" s="2"/>
      <c r="H645" s="2"/>
      <c r="I645" s="117"/>
      <c r="J645" s="2"/>
      <c r="K645" s="2"/>
      <c r="L645" s="2"/>
      <c r="M645" s="2"/>
      <c r="N645" s="2"/>
      <c r="O645" s="2"/>
      <c r="P645" s="2"/>
      <c r="Q645" s="2"/>
      <c r="R645" s="2"/>
      <c r="S645" s="2"/>
      <c r="T645" s="2"/>
      <c r="U645" s="2"/>
      <c r="V645" s="1"/>
      <c r="W645" s="1"/>
      <c r="X645" s="1"/>
      <c r="Y645" s="1"/>
      <c r="Z645" s="1"/>
      <c r="AA645" s="1"/>
      <c r="AB645" s="1"/>
      <c r="AC645" s="1"/>
      <c r="AD645" s="1"/>
      <c r="AE645" s="1"/>
      <c r="AF645" s="1"/>
    </row>
    <row r="646">
      <c r="A646" s="1"/>
      <c r="B646" s="2"/>
      <c r="C646" s="117"/>
      <c r="D646" s="2"/>
      <c r="E646" s="2"/>
      <c r="F646" s="2"/>
      <c r="G646" s="2"/>
      <c r="H646" s="2"/>
      <c r="I646" s="117"/>
      <c r="J646" s="2"/>
      <c r="K646" s="2"/>
      <c r="L646" s="2"/>
      <c r="M646" s="2"/>
      <c r="N646" s="2"/>
      <c r="O646" s="2"/>
      <c r="P646" s="2"/>
      <c r="Q646" s="2"/>
      <c r="R646" s="2"/>
      <c r="S646" s="2"/>
      <c r="T646" s="2"/>
      <c r="U646" s="2"/>
      <c r="V646" s="1"/>
      <c r="W646" s="1"/>
      <c r="X646" s="1"/>
      <c r="Y646" s="1"/>
      <c r="Z646" s="1"/>
      <c r="AA646" s="1"/>
      <c r="AB646" s="1"/>
      <c r="AC646" s="1"/>
      <c r="AD646" s="1"/>
      <c r="AE646" s="1"/>
      <c r="AF646" s="1"/>
    </row>
    <row r="647">
      <c r="A647" s="1"/>
      <c r="B647" s="2"/>
      <c r="C647" s="117"/>
      <c r="D647" s="2"/>
      <c r="E647" s="2"/>
      <c r="F647" s="2"/>
      <c r="G647" s="2"/>
      <c r="H647" s="2"/>
      <c r="I647" s="117"/>
      <c r="J647" s="2"/>
      <c r="K647" s="2"/>
      <c r="L647" s="2"/>
      <c r="M647" s="2"/>
      <c r="N647" s="2"/>
      <c r="O647" s="2"/>
      <c r="P647" s="2"/>
      <c r="Q647" s="2"/>
      <c r="R647" s="2"/>
      <c r="S647" s="2"/>
      <c r="T647" s="2"/>
      <c r="U647" s="2"/>
      <c r="V647" s="1"/>
      <c r="W647" s="1"/>
      <c r="X647" s="1"/>
      <c r="Y647" s="1"/>
      <c r="Z647" s="1"/>
      <c r="AA647" s="1"/>
      <c r="AB647" s="1"/>
      <c r="AC647" s="1"/>
      <c r="AD647" s="1"/>
      <c r="AE647" s="1"/>
      <c r="AF647" s="1"/>
    </row>
    <row r="648">
      <c r="A648" s="1"/>
      <c r="B648" s="2"/>
      <c r="C648" s="117"/>
      <c r="D648" s="2"/>
      <c r="E648" s="2"/>
      <c r="F648" s="2"/>
      <c r="G648" s="2"/>
      <c r="H648" s="2"/>
      <c r="I648" s="117"/>
      <c r="J648" s="2"/>
      <c r="K648" s="2"/>
      <c r="L648" s="2"/>
      <c r="M648" s="2"/>
      <c r="N648" s="2"/>
      <c r="O648" s="2"/>
      <c r="P648" s="2"/>
      <c r="Q648" s="2"/>
      <c r="R648" s="2"/>
      <c r="S648" s="2"/>
      <c r="T648" s="2"/>
      <c r="U648" s="2"/>
      <c r="V648" s="1"/>
      <c r="W648" s="1"/>
      <c r="X648" s="1"/>
      <c r="Y648" s="1"/>
      <c r="Z648" s="1"/>
      <c r="AA648" s="1"/>
      <c r="AB648" s="1"/>
      <c r="AC648" s="1"/>
      <c r="AD648" s="1"/>
      <c r="AE648" s="1"/>
      <c r="AF648" s="1"/>
    </row>
    <row r="649">
      <c r="A649" s="1"/>
      <c r="B649" s="2"/>
      <c r="C649" s="117"/>
      <c r="D649" s="2"/>
      <c r="E649" s="2"/>
      <c r="F649" s="2"/>
      <c r="G649" s="2"/>
      <c r="H649" s="2"/>
      <c r="I649" s="117"/>
      <c r="J649" s="2"/>
      <c r="K649" s="2"/>
      <c r="L649" s="2"/>
      <c r="M649" s="2"/>
      <c r="N649" s="2"/>
      <c r="O649" s="2"/>
      <c r="P649" s="2"/>
      <c r="Q649" s="2"/>
      <c r="R649" s="2"/>
      <c r="S649" s="2"/>
      <c r="T649" s="2"/>
      <c r="U649" s="2"/>
      <c r="V649" s="1"/>
      <c r="W649" s="1"/>
      <c r="X649" s="1"/>
      <c r="Y649" s="1"/>
      <c r="Z649" s="1"/>
      <c r="AA649" s="1"/>
      <c r="AB649" s="1"/>
      <c r="AC649" s="1"/>
      <c r="AD649" s="1"/>
      <c r="AE649" s="1"/>
      <c r="AF649" s="1"/>
    </row>
    <row r="650">
      <c r="A650" s="1"/>
      <c r="B650" s="2"/>
      <c r="C650" s="117"/>
      <c r="D650" s="2"/>
      <c r="E650" s="2"/>
      <c r="F650" s="2"/>
      <c r="G650" s="2"/>
      <c r="H650" s="2"/>
      <c r="I650" s="117"/>
      <c r="J650" s="2"/>
      <c r="K650" s="2"/>
      <c r="L650" s="2"/>
      <c r="M650" s="2"/>
      <c r="N650" s="2"/>
      <c r="O650" s="2"/>
      <c r="P650" s="2"/>
      <c r="Q650" s="2"/>
      <c r="R650" s="2"/>
      <c r="S650" s="2"/>
      <c r="T650" s="2"/>
      <c r="U650" s="2"/>
      <c r="V650" s="1"/>
      <c r="W650" s="1"/>
      <c r="X650" s="1"/>
      <c r="Y650" s="1"/>
      <c r="Z650" s="1"/>
      <c r="AA650" s="1"/>
      <c r="AB650" s="1"/>
      <c r="AC650" s="1"/>
      <c r="AD650" s="1"/>
      <c r="AE650" s="1"/>
      <c r="AF650" s="1"/>
    </row>
    <row r="651">
      <c r="A651" s="1"/>
      <c r="B651" s="2"/>
      <c r="C651" s="117"/>
      <c r="D651" s="2"/>
      <c r="E651" s="2"/>
      <c r="F651" s="2"/>
      <c r="G651" s="2"/>
      <c r="H651" s="2"/>
      <c r="I651" s="117"/>
      <c r="J651" s="2"/>
      <c r="K651" s="2"/>
      <c r="L651" s="2"/>
      <c r="M651" s="2"/>
      <c r="N651" s="2"/>
      <c r="O651" s="2"/>
      <c r="P651" s="2"/>
      <c r="Q651" s="2"/>
      <c r="R651" s="2"/>
      <c r="S651" s="2"/>
      <c r="T651" s="2"/>
      <c r="U651" s="2"/>
      <c r="V651" s="1"/>
      <c r="W651" s="1"/>
      <c r="X651" s="1"/>
      <c r="Y651" s="1"/>
      <c r="Z651" s="1"/>
      <c r="AA651" s="1"/>
      <c r="AB651" s="1"/>
      <c r="AC651" s="1"/>
      <c r="AD651" s="1"/>
      <c r="AE651" s="1"/>
      <c r="AF651" s="1"/>
    </row>
    <row r="652">
      <c r="A652" s="1"/>
      <c r="B652" s="2"/>
      <c r="C652" s="117"/>
      <c r="D652" s="2"/>
      <c r="E652" s="2"/>
      <c r="F652" s="2"/>
      <c r="G652" s="2"/>
      <c r="H652" s="2"/>
      <c r="I652" s="117"/>
      <c r="J652" s="2"/>
      <c r="K652" s="2"/>
      <c r="L652" s="2"/>
      <c r="M652" s="2"/>
      <c r="N652" s="2"/>
      <c r="O652" s="2"/>
      <c r="P652" s="2"/>
      <c r="Q652" s="2"/>
      <c r="R652" s="2"/>
      <c r="S652" s="2"/>
      <c r="T652" s="2"/>
      <c r="U652" s="2"/>
      <c r="V652" s="1"/>
      <c r="W652" s="1"/>
      <c r="X652" s="1"/>
      <c r="Y652" s="1"/>
      <c r="Z652" s="1"/>
      <c r="AA652" s="1"/>
      <c r="AB652" s="1"/>
      <c r="AC652" s="1"/>
      <c r="AD652" s="1"/>
      <c r="AE652" s="1"/>
      <c r="AF652" s="1"/>
    </row>
    <row r="653">
      <c r="A653" s="1"/>
      <c r="B653" s="2"/>
      <c r="C653" s="117"/>
      <c r="D653" s="2"/>
      <c r="E653" s="2"/>
      <c r="F653" s="2"/>
      <c r="G653" s="2"/>
      <c r="H653" s="2"/>
      <c r="I653" s="117"/>
      <c r="J653" s="2"/>
      <c r="K653" s="2"/>
      <c r="L653" s="2"/>
      <c r="M653" s="2"/>
      <c r="N653" s="2"/>
      <c r="O653" s="2"/>
      <c r="P653" s="2"/>
      <c r="Q653" s="2"/>
      <c r="R653" s="2"/>
      <c r="S653" s="2"/>
      <c r="T653" s="2"/>
      <c r="U653" s="2"/>
      <c r="V653" s="1"/>
      <c r="W653" s="1"/>
      <c r="X653" s="1"/>
      <c r="Y653" s="1"/>
      <c r="Z653" s="1"/>
      <c r="AA653" s="1"/>
      <c r="AB653" s="1"/>
      <c r="AC653" s="1"/>
      <c r="AD653" s="1"/>
      <c r="AE653" s="1"/>
      <c r="AF653" s="1"/>
    </row>
    <row r="654">
      <c r="A654" s="1"/>
      <c r="B654" s="2"/>
      <c r="C654" s="117"/>
      <c r="D654" s="2"/>
      <c r="E654" s="2"/>
      <c r="F654" s="2"/>
      <c r="G654" s="2"/>
      <c r="H654" s="2"/>
      <c r="I654" s="117"/>
      <c r="J654" s="2"/>
      <c r="K654" s="2"/>
      <c r="L654" s="2"/>
      <c r="M654" s="2"/>
      <c r="N654" s="2"/>
      <c r="O654" s="2"/>
      <c r="P654" s="2"/>
      <c r="Q654" s="2"/>
      <c r="R654" s="2"/>
      <c r="S654" s="2"/>
      <c r="T654" s="2"/>
      <c r="U654" s="2"/>
      <c r="V654" s="1"/>
      <c r="W654" s="1"/>
      <c r="X654" s="1"/>
      <c r="Y654" s="1"/>
      <c r="Z654" s="1"/>
      <c r="AA654" s="1"/>
      <c r="AB654" s="1"/>
      <c r="AC654" s="1"/>
      <c r="AD654" s="1"/>
      <c r="AE654" s="1"/>
      <c r="AF654" s="1"/>
    </row>
    <row r="655">
      <c r="A655" s="1"/>
      <c r="B655" s="2"/>
      <c r="C655" s="117"/>
      <c r="D655" s="2"/>
      <c r="E655" s="2"/>
      <c r="F655" s="2"/>
      <c r="G655" s="2"/>
      <c r="H655" s="2"/>
      <c r="I655" s="117"/>
      <c r="J655" s="2"/>
      <c r="K655" s="2"/>
      <c r="L655" s="2"/>
      <c r="M655" s="2"/>
      <c r="N655" s="2"/>
      <c r="O655" s="2"/>
      <c r="P655" s="2"/>
      <c r="Q655" s="2"/>
      <c r="R655" s="2"/>
      <c r="S655" s="2"/>
      <c r="T655" s="2"/>
      <c r="U655" s="2"/>
      <c r="V655" s="1"/>
      <c r="W655" s="1"/>
      <c r="X655" s="1"/>
      <c r="Y655" s="1"/>
      <c r="Z655" s="1"/>
      <c r="AA655" s="1"/>
      <c r="AB655" s="1"/>
      <c r="AC655" s="1"/>
      <c r="AD655" s="1"/>
      <c r="AE655" s="1"/>
      <c r="AF655" s="1"/>
    </row>
    <row r="656">
      <c r="A656" s="1"/>
      <c r="B656" s="2"/>
      <c r="C656" s="117"/>
      <c r="D656" s="2"/>
      <c r="E656" s="2"/>
      <c r="F656" s="2"/>
      <c r="G656" s="2"/>
      <c r="H656" s="2"/>
      <c r="I656" s="117"/>
      <c r="J656" s="2"/>
      <c r="K656" s="2"/>
      <c r="L656" s="2"/>
      <c r="M656" s="2"/>
      <c r="N656" s="2"/>
      <c r="O656" s="2"/>
      <c r="P656" s="2"/>
      <c r="Q656" s="2"/>
      <c r="R656" s="2"/>
      <c r="S656" s="2"/>
      <c r="T656" s="2"/>
      <c r="U656" s="2"/>
      <c r="V656" s="1"/>
      <c r="W656" s="1"/>
      <c r="X656" s="1"/>
      <c r="Y656" s="1"/>
      <c r="Z656" s="1"/>
      <c r="AA656" s="1"/>
      <c r="AB656" s="1"/>
      <c r="AC656" s="1"/>
      <c r="AD656" s="1"/>
      <c r="AE656" s="1"/>
      <c r="AF656" s="1"/>
    </row>
    <row r="657">
      <c r="A657" s="1"/>
      <c r="B657" s="2"/>
      <c r="C657" s="117"/>
      <c r="D657" s="2"/>
      <c r="E657" s="2"/>
      <c r="F657" s="2"/>
      <c r="G657" s="2"/>
      <c r="H657" s="2"/>
      <c r="I657" s="117"/>
      <c r="J657" s="2"/>
      <c r="K657" s="2"/>
      <c r="L657" s="2"/>
      <c r="M657" s="2"/>
      <c r="N657" s="2"/>
      <c r="O657" s="2"/>
      <c r="P657" s="2"/>
      <c r="Q657" s="2"/>
      <c r="R657" s="2"/>
      <c r="S657" s="2"/>
      <c r="T657" s="2"/>
      <c r="U657" s="2"/>
      <c r="V657" s="1"/>
      <c r="W657" s="1"/>
      <c r="X657" s="1"/>
      <c r="Y657" s="1"/>
      <c r="Z657" s="1"/>
      <c r="AA657" s="1"/>
      <c r="AB657" s="1"/>
      <c r="AC657" s="1"/>
      <c r="AD657" s="1"/>
      <c r="AE657" s="1"/>
      <c r="AF657" s="1"/>
    </row>
    <row r="658">
      <c r="A658" s="1"/>
      <c r="B658" s="2"/>
      <c r="C658" s="117"/>
      <c r="D658" s="2"/>
      <c r="E658" s="2"/>
      <c r="F658" s="2"/>
      <c r="G658" s="2"/>
      <c r="H658" s="2"/>
      <c r="I658" s="117"/>
      <c r="J658" s="2"/>
      <c r="K658" s="2"/>
      <c r="L658" s="2"/>
      <c r="M658" s="2"/>
      <c r="N658" s="2"/>
      <c r="O658" s="2"/>
      <c r="P658" s="2"/>
      <c r="Q658" s="2"/>
      <c r="R658" s="2"/>
      <c r="S658" s="2"/>
      <c r="T658" s="2"/>
      <c r="U658" s="2"/>
      <c r="V658" s="1"/>
      <c r="W658" s="1"/>
      <c r="X658" s="1"/>
      <c r="Y658" s="1"/>
      <c r="Z658" s="1"/>
      <c r="AA658" s="1"/>
      <c r="AB658" s="1"/>
      <c r="AC658" s="1"/>
      <c r="AD658" s="1"/>
      <c r="AE658" s="1"/>
      <c r="AF658" s="1"/>
    </row>
    <row r="659">
      <c r="A659" s="1"/>
      <c r="B659" s="2"/>
      <c r="C659" s="117"/>
      <c r="D659" s="2"/>
      <c r="E659" s="2"/>
      <c r="F659" s="2"/>
      <c r="G659" s="2"/>
      <c r="H659" s="2"/>
      <c r="I659" s="117"/>
      <c r="J659" s="2"/>
      <c r="K659" s="2"/>
      <c r="L659" s="2"/>
      <c r="M659" s="2"/>
      <c r="N659" s="2"/>
      <c r="O659" s="2"/>
      <c r="P659" s="2"/>
      <c r="Q659" s="2"/>
      <c r="R659" s="2"/>
      <c r="S659" s="2"/>
      <c r="T659" s="2"/>
      <c r="U659" s="2"/>
      <c r="V659" s="1"/>
      <c r="W659" s="1"/>
      <c r="X659" s="1"/>
      <c r="Y659" s="1"/>
      <c r="Z659" s="1"/>
      <c r="AA659" s="1"/>
      <c r="AB659" s="1"/>
      <c r="AC659" s="1"/>
      <c r="AD659" s="1"/>
      <c r="AE659" s="1"/>
      <c r="AF659" s="1"/>
    </row>
    <row r="660">
      <c r="A660" s="1"/>
      <c r="B660" s="2"/>
      <c r="C660" s="117"/>
      <c r="D660" s="2"/>
      <c r="E660" s="2"/>
      <c r="F660" s="2"/>
      <c r="G660" s="2"/>
      <c r="H660" s="2"/>
      <c r="I660" s="117"/>
      <c r="J660" s="2"/>
      <c r="K660" s="2"/>
      <c r="L660" s="2"/>
      <c r="M660" s="2"/>
      <c r="N660" s="2"/>
      <c r="O660" s="2"/>
      <c r="P660" s="2"/>
      <c r="Q660" s="2"/>
      <c r="R660" s="2"/>
      <c r="S660" s="2"/>
      <c r="T660" s="2"/>
      <c r="U660" s="2"/>
      <c r="V660" s="1"/>
      <c r="W660" s="1"/>
      <c r="X660" s="1"/>
      <c r="Y660" s="1"/>
      <c r="Z660" s="1"/>
      <c r="AA660" s="1"/>
      <c r="AB660" s="1"/>
      <c r="AC660" s="1"/>
      <c r="AD660" s="1"/>
      <c r="AE660" s="1"/>
      <c r="AF660" s="1"/>
    </row>
    <row r="661">
      <c r="A661" s="1"/>
      <c r="B661" s="2"/>
      <c r="C661" s="117"/>
      <c r="D661" s="2"/>
      <c r="E661" s="2"/>
      <c r="F661" s="2"/>
      <c r="G661" s="2"/>
      <c r="H661" s="2"/>
      <c r="I661" s="117"/>
      <c r="J661" s="2"/>
      <c r="K661" s="2"/>
      <c r="L661" s="2"/>
      <c r="M661" s="2"/>
      <c r="N661" s="2"/>
      <c r="O661" s="2"/>
      <c r="P661" s="2"/>
      <c r="Q661" s="2"/>
      <c r="R661" s="2"/>
      <c r="S661" s="2"/>
      <c r="T661" s="2"/>
      <c r="U661" s="2"/>
      <c r="V661" s="1"/>
      <c r="W661" s="1"/>
      <c r="X661" s="1"/>
      <c r="Y661" s="1"/>
      <c r="Z661" s="1"/>
      <c r="AA661" s="1"/>
      <c r="AB661" s="1"/>
      <c r="AC661" s="1"/>
      <c r="AD661" s="1"/>
      <c r="AE661" s="1"/>
      <c r="AF661" s="1"/>
    </row>
    <row r="662">
      <c r="A662" s="1"/>
      <c r="B662" s="2"/>
      <c r="C662" s="117"/>
      <c r="D662" s="2"/>
      <c r="E662" s="2"/>
      <c r="F662" s="2"/>
      <c r="G662" s="2"/>
      <c r="H662" s="2"/>
      <c r="I662" s="117"/>
      <c r="J662" s="2"/>
      <c r="K662" s="2"/>
      <c r="L662" s="2"/>
      <c r="M662" s="2"/>
      <c r="N662" s="2"/>
      <c r="O662" s="2"/>
      <c r="P662" s="2"/>
      <c r="Q662" s="2"/>
      <c r="R662" s="2"/>
      <c r="S662" s="2"/>
      <c r="T662" s="2"/>
      <c r="U662" s="2"/>
      <c r="V662" s="1"/>
      <c r="W662" s="1"/>
      <c r="X662" s="1"/>
      <c r="Y662" s="1"/>
      <c r="Z662" s="1"/>
      <c r="AA662" s="1"/>
      <c r="AB662" s="1"/>
      <c r="AC662" s="1"/>
      <c r="AD662" s="1"/>
      <c r="AE662" s="1"/>
      <c r="AF662" s="1"/>
    </row>
    <row r="663">
      <c r="A663" s="1"/>
      <c r="B663" s="2"/>
      <c r="C663" s="117"/>
      <c r="D663" s="2"/>
      <c r="E663" s="2"/>
      <c r="F663" s="2"/>
      <c r="G663" s="2"/>
      <c r="H663" s="2"/>
      <c r="I663" s="117"/>
      <c r="J663" s="2"/>
      <c r="K663" s="2"/>
      <c r="L663" s="2"/>
      <c r="M663" s="2"/>
      <c r="N663" s="2"/>
      <c r="O663" s="2"/>
      <c r="P663" s="2"/>
      <c r="Q663" s="2"/>
      <c r="R663" s="2"/>
      <c r="S663" s="2"/>
      <c r="T663" s="2"/>
      <c r="U663" s="2"/>
      <c r="V663" s="1"/>
      <c r="W663" s="1"/>
      <c r="X663" s="1"/>
      <c r="Y663" s="1"/>
      <c r="Z663" s="1"/>
      <c r="AA663" s="1"/>
      <c r="AB663" s="1"/>
      <c r="AC663" s="1"/>
      <c r="AD663" s="1"/>
      <c r="AE663" s="1"/>
      <c r="AF663" s="1"/>
    </row>
    <row r="664">
      <c r="A664" s="1"/>
      <c r="B664" s="2"/>
      <c r="C664" s="117"/>
      <c r="D664" s="2"/>
      <c r="E664" s="2"/>
      <c r="F664" s="2"/>
      <c r="G664" s="2"/>
      <c r="H664" s="2"/>
      <c r="I664" s="117"/>
      <c r="J664" s="2"/>
      <c r="K664" s="2"/>
      <c r="L664" s="2"/>
      <c r="M664" s="2"/>
      <c r="N664" s="2"/>
      <c r="O664" s="2"/>
      <c r="P664" s="2"/>
      <c r="Q664" s="2"/>
      <c r="R664" s="2"/>
      <c r="S664" s="2"/>
      <c r="T664" s="2"/>
      <c r="U664" s="2"/>
      <c r="V664" s="1"/>
      <c r="W664" s="1"/>
      <c r="X664" s="1"/>
      <c r="Y664" s="1"/>
      <c r="Z664" s="1"/>
      <c r="AA664" s="1"/>
      <c r="AB664" s="1"/>
      <c r="AC664" s="1"/>
      <c r="AD664" s="1"/>
      <c r="AE664" s="1"/>
      <c r="AF664" s="1"/>
    </row>
    <row r="665">
      <c r="A665" s="1"/>
      <c r="B665" s="2"/>
      <c r="C665" s="117"/>
      <c r="D665" s="2"/>
      <c r="E665" s="2"/>
      <c r="F665" s="2"/>
      <c r="G665" s="2"/>
      <c r="H665" s="2"/>
      <c r="I665" s="117"/>
      <c r="J665" s="2"/>
      <c r="K665" s="2"/>
      <c r="L665" s="2"/>
      <c r="M665" s="2"/>
      <c r="N665" s="2"/>
      <c r="O665" s="2"/>
      <c r="P665" s="2"/>
      <c r="Q665" s="2"/>
      <c r="R665" s="2"/>
      <c r="S665" s="2"/>
      <c r="T665" s="2"/>
      <c r="U665" s="2"/>
      <c r="V665" s="1"/>
      <c r="W665" s="1"/>
      <c r="X665" s="1"/>
      <c r="Y665" s="1"/>
      <c r="Z665" s="1"/>
      <c r="AA665" s="1"/>
      <c r="AB665" s="1"/>
      <c r="AC665" s="1"/>
      <c r="AD665" s="1"/>
      <c r="AE665" s="1"/>
      <c r="AF665" s="1"/>
    </row>
    <row r="666">
      <c r="A666" s="1"/>
      <c r="B666" s="2"/>
      <c r="C666" s="117"/>
      <c r="D666" s="2"/>
      <c r="E666" s="2"/>
      <c r="F666" s="2"/>
      <c r="G666" s="2"/>
      <c r="H666" s="2"/>
      <c r="I666" s="117"/>
      <c r="J666" s="2"/>
      <c r="K666" s="2"/>
      <c r="L666" s="2"/>
      <c r="M666" s="2"/>
      <c r="N666" s="2"/>
      <c r="O666" s="2"/>
      <c r="P666" s="2"/>
      <c r="Q666" s="2"/>
      <c r="R666" s="2"/>
      <c r="S666" s="2"/>
      <c r="T666" s="2"/>
      <c r="U666" s="2"/>
      <c r="V666" s="1"/>
      <c r="W666" s="1"/>
      <c r="X666" s="1"/>
      <c r="Y666" s="1"/>
      <c r="Z666" s="1"/>
      <c r="AA666" s="1"/>
      <c r="AB666" s="1"/>
      <c r="AC666" s="1"/>
      <c r="AD666" s="1"/>
      <c r="AE666" s="1"/>
      <c r="AF666" s="1"/>
    </row>
    <row r="667">
      <c r="A667" s="1"/>
      <c r="B667" s="2"/>
      <c r="C667" s="117"/>
      <c r="D667" s="2"/>
      <c r="E667" s="2"/>
      <c r="F667" s="2"/>
      <c r="G667" s="2"/>
      <c r="H667" s="2"/>
      <c r="I667" s="117"/>
      <c r="J667" s="2"/>
      <c r="K667" s="2"/>
      <c r="L667" s="2"/>
      <c r="M667" s="2"/>
      <c r="N667" s="2"/>
      <c r="O667" s="2"/>
      <c r="P667" s="2"/>
      <c r="Q667" s="2"/>
      <c r="R667" s="2"/>
      <c r="S667" s="2"/>
      <c r="T667" s="2"/>
      <c r="U667" s="2"/>
      <c r="V667" s="1"/>
      <c r="W667" s="1"/>
      <c r="X667" s="1"/>
      <c r="Y667" s="1"/>
      <c r="Z667" s="1"/>
      <c r="AA667" s="1"/>
      <c r="AB667" s="1"/>
      <c r="AC667" s="1"/>
      <c r="AD667" s="1"/>
      <c r="AE667" s="1"/>
      <c r="AF667" s="1"/>
    </row>
    <row r="668">
      <c r="A668" s="1"/>
      <c r="B668" s="2"/>
      <c r="C668" s="117"/>
      <c r="D668" s="2"/>
      <c r="E668" s="2"/>
      <c r="F668" s="2"/>
      <c r="G668" s="2"/>
      <c r="H668" s="2"/>
      <c r="I668" s="117"/>
      <c r="J668" s="2"/>
      <c r="K668" s="2"/>
      <c r="L668" s="2"/>
      <c r="M668" s="2"/>
      <c r="N668" s="2"/>
      <c r="O668" s="2"/>
      <c r="P668" s="2"/>
      <c r="Q668" s="2"/>
      <c r="R668" s="2"/>
      <c r="S668" s="2"/>
      <c r="T668" s="2"/>
      <c r="U668" s="2"/>
      <c r="V668" s="1"/>
      <c r="W668" s="1"/>
      <c r="X668" s="1"/>
      <c r="Y668" s="1"/>
      <c r="Z668" s="1"/>
      <c r="AA668" s="1"/>
      <c r="AB668" s="1"/>
      <c r="AC668" s="1"/>
      <c r="AD668" s="1"/>
      <c r="AE668" s="1"/>
      <c r="AF668" s="1"/>
    </row>
    <row r="669">
      <c r="A669" s="1"/>
      <c r="B669" s="2"/>
      <c r="C669" s="117"/>
      <c r="D669" s="2"/>
      <c r="E669" s="2"/>
      <c r="F669" s="2"/>
      <c r="G669" s="2"/>
      <c r="H669" s="2"/>
      <c r="I669" s="117"/>
      <c r="J669" s="2"/>
      <c r="K669" s="2"/>
      <c r="L669" s="2"/>
      <c r="M669" s="2"/>
      <c r="N669" s="2"/>
      <c r="O669" s="2"/>
      <c r="P669" s="2"/>
      <c r="Q669" s="2"/>
      <c r="R669" s="2"/>
      <c r="S669" s="2"/>
      <c r="T669" s="2"/>
      <c r="U669" s="2"/>
      <c r="V669" s="1"/>
      <c r="W669" s="1"/>
      <c r="X669" s="1"/>
      <c r="Y669" s="1"/>
      <c r="Z669" s="1"/>
      <c r="AA669" s="1"/>
      <c r="AB669" s="1"/>
      <c r="AC669" s="1"/>
      <c r="AD669" s="1"/>
      <c r="AE669" s="1"/>
      <c r="AF669" s="1"/>
    </row>
    <row r="670">
      <c r="A670" s="1"/>
      <c r="B670" s="2"/>
      <c r="C670" s="117"/>
      <c r="D670" s="2"/>
      <c r="E670" s="2"/>
      <c r="F670" s="2"/>
      <c r="G670" s="2"/>
      <c r="H670" s="2"/>
      <c r="I670" s="117"/>
      <c r="J670" s="2"/>
      <c r="K670" s="2"/>
      <c r="L670" s="2"/>
      <c r="M670" s="2"/>
      <c r="N670" s="2"/>
      <c r="O670" s="2"/>
      <c r="P670" s="2"/>
      <c r="Q670" s="2"/>
      <c r="R670" s="2"/>
      <c r="S670" s="2"/>
      <c r="T670" s="2"/>
      <c r="U670" s="2"/>
      <c r="V670" s="1"/>
      <c r="W670" s="1"/>
      <c r="X670" s="1"/>
      <c r="Y670" s="1"/>
      <c r="Z670" s="1"/>
      <c r="AA670" s="1"/>
      <c r="AB670" s="1"/>
      <c r="AC670" s="1"/>
      <c r="AD670" s="1"/>
      <c r="AE670" s="1"/>
      <c r="AF670" s="1"/>
    </row>
    <row r="671">
      <c r="A671" s="1"/>
      <c r="B671" s="2"/>
      <c r="C671" s="117"/>
      <c r="D671" s="2"/>
      <c r="E671" s="2"/>
      <c r="F671" s="2"/>
      <c r="G671" s="2"/>
      <c r="H671" s="2"/>
      <c r="I671" s="117"/>
      <c r="J671" s="2"/>
      <c r="K671" s="2"/>
      <c r="L671" s="2"/>
      <c r="M671" s="2"/>
      <c r="N671" s="2"/>
      <c r="O671" s="2"/>
      <c r="P671" s="2"/>
      <c r="Q671" s="2"/>
      <c r="R671" s="2"/>
      <c r="S671" s="2"/>
      <c r="T671" s="2"/>
      <c r="U671" s="2"/>
      <c r="V671" s="1"/>
      <c r="W671" s="1"/>
      <c r="X671" s="1"/>
      <c r="Y671" s="1"/>
      <c r="Z671" s="1"/>
      <c r="AA671" s="1"/>
      <c r="AB671" s="1"/>
      <c r="AC671" s="1"/>
      <c r="AD671" s="1"/>
      <c r="AE671" s="1"/>
      <c r="AF671" s="1"/>
    </row>
    <row r="672">
      <c r="A672" s="1"/>
      <c r="B672" s="2"/>
      <c r="C672" s="117"/>
      <c r="D672" s="2"/>
      <c r="E672" s="2"/>
      <c r="F672" s="2"/>
      <c r="G672" s="2"/>
      <c r="H672" s="2"/>
      <c r="I672" s="117"/>
      <c r="J672" s="2"/>
      <c r="K672" s="2"/>
      <c r="L672" s="2"/>
      <c r="M672" s="2"/>
      <c r="N672" s="2"/>
      <c r="O672" s="2"/>
      <c r="P672" s="2"/>
      <c r="Q672" s="2"/>
      <c r="R672" s="2"/>
      <c r="S672" s="2"/>
      <c r="T672" s="2"/>
      <c r="U672" s="2"/>
      <c r="V672" s="1"/>
      <c r="W672" s="1"/>
      <c r="X672" s="1"/>
      <c r="Y672" s="1"/>
      <c r="Z672" s="1"/>
      <c r="AA672" s="1"/>
      <c r="AB672" s="1"/>
      <c r="AC672" s="1"/>
      <c r="AD672" s="1"/>
      <c r="AE672" s="1"/>
      <c r="AF672" s="1"/>
    </row>
    <row r="673">
      <c r="A673" s="1"/>
      <c r="B673" s="2"/>
      <c r="C673" s="117"/>
      <c r="D673" s="2"/>
      <c r="E673" s="2"/>
      <c r="F673" s="2"/>
      <c r="G673" s="2"/>
      <c r="H673" s="2"/>
      <c r="I673" s="117"/>
      <c r="J673" s="2"/>
      <c r="K673" s="2"/>
      <c r="L673" s="2"/>
      <c r="M673" s="2"/>
      <c r="N673" s="2"/>
      <c r="O673" s="2"/>
      <c r="P673" s="2"/>
      <c r="Q673" s="2"/>
      <c r="R673" s="2"/>
      <c r="S673" s="2"/>
      <c r="T673" s="2"/>
      <c r="U673" s="2"/>
      <c r="V673" s="1"/>
      <c r="W673" s="1"/>
      <c r="X673" s="1"/>
      <c r="Y673" s="1"/>
      <c r="Z673" s="1"/>
      <c r="AA673" s="1"/>
      <c r="AB673" s="1"/>
      <c r="AC673" s="1"/>
      <c r="AD673" s="1"/>
      <c r="AE673" s="1"/>
      <c r="AF673" s="1"/>
    </row>
    <row r="674">
      <c r="A674" s="1"/>
      <c r="B674" s="2"/>
      <c r="C674" s="117"/>
      <c r="D674" s="2"/>
      <c r="E674" s="2"/>
      <c r="F674" s="2"/>
      <c r="G674" s="2"/>
      <c r="H674" s="2"/>
      <c r="I674" s="117"/>
      <c r="J674" s="2"/>
      <c r="K674" s="2"/>
      <c r="L674" s="2"/>
      <c r="M674" s="2"/>
      <c r="N674" s="2"/>
      <c r="O674" s="2"/>
      <c r="P674" s="2"/>
      <c r="Q674" s="2"/>
      <c r="R674" s="2"/>
      <c r="S674" s="2"/>
      <c r="T674" s="2"/>
      <c r="U674" s="2"/>
      <c r="V674" s="1"/>
      <c r="W674" s="1"/>
      <c r="X674" s="1"/>
      <c r="Y674" s="1"/>
      <c r="Z674" s="1"/>
      <c r="AA674" s="1"/>
      <c r="AB674" s="1"/>
      <c r="AC674" s="1"/>
      <c r="AD674" s="1"/>
      <c r="AE674" s="1"/>
      <c r="AF674" s="1"/>
    </row>
    <row r="675">
      <c r="A675" s="1"/>
      <c r="B675" s="2"/>
      <c r="C675" s="117"/>
      <c r="D675" s="2"/>
      <c r="E675" s="2"/>
      <c r="F675" s="2"/>
      <c r="G675" s="2"/>
      <c r="H675" s="2"/>
      <c r="I675" s="117"/>
      <c r="J675" s="2"/>
      <c r="K675" s="2"/>
      <c r="L675" s="2"/>
      <c r="M675" s="2"/>
      <c r="N675" s="2"/>
      <c r="O675" s="2"/>
      <c r="P675" s="2"/>
      <c r="Q675" s="2"/>
      <c r="R675" s="2"/>
      <c r="S675" s="2"/>
      <c r="T675" s="2"/>
      <c r="U675" s="2"/>
      <c r="V675" s="1"/>
      <c r="W675" s="1"/>
      <c r="X675" s="1"/>
      <c r="Y675" s="1"/>
      <c r="Z675" s="1"/>
      <c r="AA675" s="1"/>
      <c r="AB675" s="1"/>
      <c r="AC675" s="1"/>
      <c r="AD675" s="1"/>
      <c r="AE675" s="1"/>
      <c r="AF675" s="1"/>
    </row>
    <row r="676">
      <c r="A676" s="1"/>
      <c r="B676" s="2"/>
      <c r="C676" s="117"/>
      <c r="D676" s="2"/>
      <c r="E676" s="2"/>
      <c r="F676" s="2"/>
      <c r="G676" s="2"/>
      <c r="H676" s="2"/>
      <c r="I676" s="117"/>
      <c r="J676" s="2"/>
      <c r="K676" s="2"/>
      <c r="L676" s="2"/>
      <c r="M676" s="2"/>
      <c r="N676" s="2"/>
      <c r="O676" s="2"/>
      <c r="P676" s="2"/>
      <c r="Q676" s="2"/>
      <c r="R676" s="2"/>
      <c r="S676" s="2"/>
      <c r="T676" s="2"/>
      <c r="U676" s="2"/>
      <c r="V676" s="1"/>
      <c r="W676" s="1"/>
      <c r="X676" s="1"/>
      <c r="Y676" s="1"/>
      <c r="Z676" s="1"/>
      <c r="AA676" s="1"/>
      <c r="AB676" s="1"/>
      <c r="AC676" s="1"/>
      <c r="AD676" s="1"/>
      <c r="AE676" s="1"/>
      <c r="AF676" s="1"/>
    </row>
    <row r="677">
      <c r="A677" s="1"/>
      <c r="B677" s="2"/>
      <c r="C677" s="117"/>
      <c r="D677" s="2"/>
      <c r="E677" s="2"/>
      <c r="F677" s="2"/>
      <c r="G677" s="2"/>
      <c r="H677" s="2"/>
      <c r="I677" s="117"/>
      <c r="J677" s="2"/>
      <c r="K677" s="2"/>
      <c r="L677" s="2"/>
      <c r="M677" s="2"/>
      <c r="N677" s="2"/>
      <c r="O677" s="2"/>
      <c r="P677" s="2"/>
      <c r="Q677" s="2"/>
      <c r="R677" s="2"/>
      <c r="S677" s="2"/>
      <c r="T677" s="2"/>
      <c r="U677" s="2"/>
      <c r="V677" s="1"/>
      <c r="W677" s="1"/>
      <c r="X677" s="1"/>
      <c r="Y677" s="1"/>
      <c r="Z677" s="1"/>
      <c r="AA677" s="1"/>
      <c r="AB677" s="1"/>
      <c r="AC677" s="1"/>
      <c r="AD677" s="1"/>
      <c r="AE677" s="1"/>
      <c r="AF677" s="1"/>
    </row>
    <row r="678">
      <c r="A678" s="1"/>
      <c r="B678" s="2"/>
      <c r="C678" s="117"/>
      <c r="D678" s="2"/>
      <c r="E678" s="2"/>
      <c r="F678" s="2"/>
      <c r="G678" s="2"/>
      <c r="H678" s="2"/>
      <c r="I678" s="117"/>
      <c r="J678" s="2"/>
      <c r="K678" s="2"/>
      <c r="L678" s="2"/>
      <c r="M678" s="2"/>
      <c r="N678" s="2"/>
      <c r="O678" s="2"/>
      <c r="P678" s="2"/>
      <c r="Q678" s="2"/>
      <c r="R678" s="2"/>
      <c r="S678" s="2"/>
      <c r="T678" s="2"/>
      <c r="U678" s="2"/>
      <c r="V678" s="1"/>
      <c r="W678" s="1"/>
      <c r="X678" s="1"/>
      <c r="Y678" s="1"/>
      <c r="Z678" s="1"/>
      <c r="AA678" s="1"/>
      <c r="AB678" s="1"/>
      <c r="AC678" s="1"/>
      <c r="AD678" s="1"/>
      <c r="AE678" s="1"/>
      <c r="AF678" s="1"/>
    </row>
    <row r="679">
      <c r="A679" s="1"/>
      <c r="B679" s="2"/>
      <c r="C679" s="117"/>
      <c r="D679" s="2"/>
      <c r="E679" s="2"/>
      <c r="F679" s="2"/>
      <c r="G679" s="2"/>
      <c r="H679" s="2"/>
      <c r="I679" s="117"/>
      <c r="J679" s="2"/>
      <c r="K679" s="2"/>
      <c r="L679" s="2"/>
      <c r="M679" s="2"/>
      <c r="N679" s="2"/>
      <c r="O679" s="2"/>
      <c r="P679" s="2"/>
      <c r="Q679" s="2"/>
      <c r="R679" s="2"/>
      <c r="S679" s="2"/>
      <c r="T679" s="2"/>
      <c r="U679" s="2"/>
      <c r="V679" s="1"/>
      <c r="W679" s="1"/>
      <c r="X679" s="1"/>
      <c r="Y679" s="1"/>
      <c r="Z679" s="1"/>
      <c r="AA679" s="1"/>
      <c r="AB679" s="1"/>
      <c r="AC679" s="1"/>
      <c r="AD679" s="1"/>
      <c r="AE679" s="1"/>
      <c r="AF679" s="1"/>
    </row>
    <row r="680">
      <c r="A680" s="1"/>
      <c r="B680" s="2"/>
      <c r="C680" s="117"/>
      <c r="D680" s="2"/>
      <c r="E680" s="2"/>
      <c r="F680" s="2"/>
      <c r="G680" s="2"/>
      <c r="H680" s="2"/>
      <c r="I680" s="117"/>
      <c r="J680" s="2"/>
      <c r="K680" s="2"/>
      <c r="L680" s="2"/>
      <c r="M680" s="2"/>
      <c r="N680" s="2"/>
      <c r="O680" s="2"/>
      <c r="P680" s="2"/>
      <c r="Q680" s="2"/>
      <c r="R680" s="2"/>
      <c r="S680" s="2"/>
      <c r="T680" s="2"/>
      <c r="U680" s="2"/>
      <c r="V680" s="1"/>
      <c r="W680" s="1"/>
      <c r="X680" s="1"/>
      <c r="Y680" s="1"/>
      <c r="Z680" s="1"/>
      <c r="AA680" s="1"/>
      <c r="AB680" s="1"/>
      <c r="AC680" s="1"/>
      <c r="AD680" s="1"/>
      <c r="AE680" s="1"/>
      <c r="AF680" s="1"/>
    </row>
    <row r="681">
      <c r="A681" s="1"/>
      <c r="B681" s="2"/>
      <c r="C681" s="117"/>
      <c r="D681" s="2"/>
      <c r="E681" s="2"/>
      <c r="F681" s="2"/>
      <c r="G681" s="2"/>
      <c r="H681" s="2"/>
      <c r="I681" s="117"/>
      <c r="J681" s="2"/>
      <c r="K681" s="2"/>
      <c r="L681" s="2"/>
      <c r="M681" s="2"/>
      <c r="N681" s="2"/>
      <c r="O681" s="2"/>
      <c r="P681" s="2"/>
      <c r="Q681" s="2"/>
      <c r="R681" s="2"/>
      <c r="S681" s="2"/>
      <c r="T681" s="2"/>
      <c r="U681" s="2"/>
      <c r="V681" s="1"/>
      <c r="W681" s="1"/>
      <c r="X681" s="1"/>
      <c r="Y681" s="1"/>
      <c r="Z681" s="1"/>
      <c r="AA681" s="1"/>
      <c r="AB681" s="1"/>
      <c r="AC681" s="1"/>
      <c r="AD681" s="1"/>
      <c r="AE681" s="1"/>
      <c r="AF681" s="1"/>
    </row>
    <row r="682">
      <c r="A682" s="1"/>
      <c r="B682" s="2"/>
      <c r="C682" s="117"/>
      <c r="D682" s="2"/>
      <c r="E682" s="2"/>
      <c r="F682" s="2"/>
      <c r="G682" s="2"/>
      <c r="H682" s="2"/>
      <c r="I682" s="117"/>
      <c r="J682" s="2"/>
      <c r="K682" s="2"/>
      <c r="L682" s="2"/>
      <c r="M682" s="2"/>
      <c r="N682" s="2"/>
      <c r="O682" s="2"/>
      <c r="P682" s="2"/>
      <c r="Q682" s="2"/>
      <c r="R682" s="2"/>
      <c r="S682" s="2"/>
      <c r="T682" s="2"/>
      <c r="U682" s="2"/>
      <c r="V682" s="1"/>
      <c r="W682" s="1"/>
      <c r="X682" s="1"/>
      <c r="Y682" s="1"/>
      <c r="Z682" s="1"/>
      <c r="AA682" s="1"/>
      <c r="AB682" s="1"/>
      <c r="AC682" s="1"/>
      <c r="AD682" s="1"/>
      <c r="AE682" s="1"/>
      <c r="AF682" s="1"/>
    </row>
    <row r="683">
      <c r="A683" s="1"/>
      <c r="B683" s="2"/>
      <c r="C683" s="117"/>
      <c r="D683" s="2"/>
      <c r="E683" s="2"/>
      <c r="F683" s="2"/>
      <c r="G683" s="2"/>
      <c r="H683" s="2"/>
      <c r="I683" s="117"/>
      <c r="J683" s="2"/>
      <c r="K683" s="2"/>
      <c r="L683" s="2"/>
      <c r="M683" s="2"/>
      <c r="N683" s="2"/>
      <c r="O683" s="2"/>
      <c r="P683" s="2"/>
      <c r="Q683" s="2"/>
      <c r="R683" s="2"/>
      <c r="S683" s="2"/>
      <c r="T683" s="2"/>
      <c r="U683" s="2"/>
      <c r="V683" s="1"/>
      <c r="W683" s="1"/>
      <c r="X683" s="1"/>
      <c r="Y683" s="1"/>
      <c r="Z683" s="1"/>
      <c r="AA683" s="1"/>
      <c r="AB683" s="1"/>
      <c r="AC683" s="1"/>
      <c r="AD683" s="1"/>
      <c r="AE683" s="1"/>
      <c r="AF683" s="1"/>
    </row>
    <row r="684">
      <c r="A684" s="1"/>
      <c r="B684" s="2"/>
      <c r="C684" s="117"/>
      <c r="D684" s="2"/>
      <c r="E684" s="2"/>
      <c r="F684" s="2"/>
      <c r="G684" s="2"/>
      <c r="H684" s="2"/>
      <c r="I684" s="117"/>
      <c r="J684" s="2"/>
      <c r="K684" s="2"/>
      <c r="L684" s="2"/>
      <c r="M684" s="2"/>
      <c r="N684" s="2"/>
      <c r="O684" s="2"/>
      <c r="P684" s="2"/>
      <c r="Q684" s="2"/>
      <c r="R684" s="2"/>
      <c r="S684" s="2"/>
      <c r="T684" s="2"/>
      <c r="U684" s="2"/>
      <c r="V684" s="1"/>
      <c r="W684" s="1"/>
      <c r="X684" s="1"/>
      <c r="Y684" s="1"/>
      <c r="Z684" s="1"/>
      <c r="AA684" s="1"/>
      <c r="AB684" s="1"/>
      <c r="AC684" s="1"/>
      <c r="AD684" s="1"/>
      <c r="AE684" s="1"/>
      <c r="AF684" s="1"/>
    </row>
    <row r="685">
      <c r="A685" s="1"/>
      <c r="B685" s="2"/>
      <c r="C685" s="117"/>
      <c r="D685" s="2"/>
      <c r="E685" s="2"/>
      <c r="F685" s="2"/>
      <c r="G685" s="2"/>
      <c r="H685" s="2"/>
      <c r="I685" s="117"/>
      <c r="J685" s="2"/>
      <c r="K685" s="2"/>
      <c r="L685" s="2"/>
      <c r="M685" s="2"/>
      <c r="N685" s="2"/>
      <c r="O685" s="2"/>
      <c r="P685" s="2"/>
      <c r="Q685" s="2"/>
      <c r="R685" s="2"/>
      <c r="S685" s="2"/>
      <c r="T685" s="2"/>
      <c r="U685" s="2"/>
      <c r="V685" s="1"/>
      <c r="W685" s="1"/>
      <c r="X685" s="1"/>
      <c r="Y685" s="1"/>
      <c r="Z685" s="1"/>
      <c r="AA685" s="1"/>
      <c r="AB685" s="1"/>
      <c r="AC685" s="1"/>
      <c r="AD685" s="1"/>
      <c r="AE685" s="1"/>
      <c r="AF685" s="1"/>
    </row>
    <row r="686">
      <c r="A686" s="1"/>
      <c r="B686" s="2"/>
      <c r="C686" s="117"/>
      <c r="D686" s="2"/>
      <c r="E686" s="2"/>
      <c r="F686" s="2"/>
      <c r="G686" s="2"/>
      <c r="H686" s="2"/>
      <c r="I686" s="117"/>
      <c r="J686" s="2"/>
      <c r="K686" s="2"/>
      <c r="L686" s="2"/>
      <c r="M686" s="2"/>
      <c r="N686" s="2"/>
      <c r="O686" s="2"/>
      <c r="P686" s="2"/>
      <c r="Q686" s="2"/>
      <c r="R686" s="2"/>
      <c r="S686" s="2"/>
      <c r="T686" s="2"/>
      <c r="U686" s="2"/>
      <c r="V686" s="1"/>
      <c r="W686" s="1"/>
      <c r="X686" s="1"/>
      <c r="Y686" s="1"/>
      <c r="Z686" s="1"/>
      <c r="AA686" s="1"/>
      <c r="AB686" s="1"/>
      <c r="AC686" s="1"/>
      <c r="AD686" s="1"/>
      <c r="AE686" s="1"/>
      <c r="AF686" s="1"/>
    </row>
    <row r="687">
      <c r="A687" s="1"/>
      <c r="B687" s="2"/>
      <c r="C687" s="117"/>
      <c r="D687" s="2"/>
      <c r="E687" s="2"/>
      <c r="F687" s="2"/>
      <c r="G687" s="2"/>
      <c r="H687" s="2"/>
      <c r="I687" s="117"/>
      <c r="J687" s="2"/>
      <c r="K687" s="2"/>
      <c r="L687" s="2"/>
      <c r="M687" s="2"/>
      <c r="N687" s="2"/>
      <c r="O687" s="2"/>
      <c r="P687" s="2"/>
      <c r="Q687" s="2"/>
      <c r="R687" s="2"/>
      <c r="S687" s="2"/>
      <c r="T687" s="2"/>
      <c r="U687" s="2"/>
      <c r="V687" s="1"/>
      <c r="W687" s="1"/>
      <c r="X687" s="1"/>
      <c r="Y687" s="1"/>
      <c r="Z687" s="1"/>
      <c r="AA687" s="1"/>
      <c r="AB687" s="1"/>
      <c r="AC687" s="1"/>
      <c r="AD687" s="1"/>
      <c r="AE687" s="1"/>
      <c r="AF687" s="1"/>
    </row>
    <row r="688">
      <c r="A688" s="1"/>
      <c r="B688" s="2"/>
      <c r="C688" s="117"/>
      <c r="D688" s="2"/>
      <c r="E688" s="2"/>
      <c r="F688" s="2"/>
      <c r="G688" s="2"/>
      <c r="H688" s="2"/>
      <c r="I688" s="117"/>
      <c r="J688" s="2"/>
      <c r="K688" s="2"/>
      <c r="L688" s="2"/>
      <c r="M688" s="2"/>
      <c r="N688" s="2"/>
      <c r="O688" s="2"/>
      <c r="P688" s="2"/>
      <c r="Q688" s="2"/>
      <c r="R688" s="2"/>
      <c r="S688" s="2"/>
      <c r="T688" s="2"/>
      <c r="U688" s="2"/>
      <c r="V688" s="1"/>
      <c r="W688" s="1"/>
      <c r="X688" s="1"/>
      <c r="Y688" s="1"/>
      <c r="Z688" s="1"/>
      <c r="AA688" s="1"/>
      <c r="AB688" s="1"/>
      <c r="AC688" s="1"/>
      <c r="AD688" s="1"/>
      <c r="AE688" s="1"/>
      <c r="AF688" s="1"/>
    </row>
    <row r="689">
      <c r="A689" s="1"/>
      <c r="B689" s="2"/>
      <c r="C689" s="117"/>
      <c r="D689" s="2"/>
      <c r="E689" s="2"/>
      <c r="F689" s="2"/>
      <c r="G689" s="2"/>
      <c r="H689" s="2"/>
      <c r="I689" s="117"/>
      <c r="J689" s="2"/>
      <c r="K689" s="2"/>
      <c r="L689" s="2"/>
      <c r="M689" s="2"/>
      <c r="N689" s="2"/>
      <c r="O689" s="2"/>
      <c r="P689" s="2"/>
      <c r="Q689" s="2"/>
      <c r="R689" s="2"/>
      <c r="S689" s="2"/>
      <c r="T689" s="2"/>
      <c r="U689" s="2"/>
      <c r="V689" s="1"/>
      <c r="W689" s="1"/>
      <c r="X689" s="1"/>
      <c r="Y689" s="1"/>
      <c r="Z689" s="1"/>
      <c r="AA689" s="1"/>
      <c r="AB689" s="1"/>
      <c r="AC689" s="1"/>
      <c r="AD689" s="1"/>
      <c r="AE689" s="1"/>
      <c r="AF689" s="1"/>
    </row>
    <row r="690">
      <c r="A690" s="1"/>
      <c r="B690" s="2"/>
      <c r="C690" s="117"/>
      <c r="D690" s="2"/>
      <c r="E690" s="2"/>
      <c r="F690" s="2"/>
      <c r="G690" s="2"/>
      <c r="H690" s="2"/>
      <c r="I690" s="117"/>
      <c r="J690" s="2"/>
      <c r="K690" s="2"/>
      <c r="L690" s="2"/>
      <c r="M690" s="2"/>
      <c r="N690" s="2"/>
      <c r="O690" s="2"/>
      <c r="P690" s="2"/>
      <c r="Q690" s="2"/>
      <c r="R690" s="2"/>
      <c r="S690" s="2"/>
      <c r="T690" s="2"/>
      <c r="U690" s="2"/>
      <c r="V690" s="1"/>
      <c r="W690" s="1"/>
      <c r="X690" s="1"/>
      <c r="Y690" s="1"/>
      <c r="Z690" s="1"/>
      <c r="AA690" s="1"/>
      <c r="AB690" s="1"/>
      <c r="AC690" s="1"/>
      <c r="AD690" s="1"/>
      <c r="AE690" s="1"/>
      <c r="AF690" s="1"/>
    </row>
    <row r="691">
      <c r="A691" s="1"/>
      <c r="B691" s="2"/>
      <c r="C691" s="117"/>
      <c r="D691" s="2"/>
      <c r="E691" s="2"/>
      <c r="F691" s="2"/>
      <c r="G691" s="2"/>
      <c r="H691" s="2"/>
      <c r="I691" s="117"/>
      <c r="J691" s="2"/>
      <c r="K691" s="2"/>
      <c r="L691" s="2"/>
      <c r="M691" s="2"/>
      <c r="N691" s="2"/>
      <c r="O691" s="2"/>
      <c r="P691" s="2"/>
      <c r="Q691" s="2"/>
      <c r="R691" s="2"/>
      <c r="S691" s="2"/>
      <c r="T691" s="2"/>
      <c r="U691" s="2"/>
      <c r="V691" s="1"/>
      <c r="W691" s="1"/>
      <c r="X691" s="1"/>
      <c r="Y691" s="1"/>
      <c r="Z691" s="1"/>
      <c r="AA691" s="1"/>
      <c r="AB691" s="1"/>
      <c r="AC691" s="1"/>
      <c r="AD691" s="1"/>
      <c r="AE691" s="1"/>
      <c r="AF691" s="1"/>
    </row>
    <row r="692">
      <c r="A692" s="1"/>
      <c r="B692" s="2"/>
      <c r="C692" s="117"/>
      <c r="D692" s="2"/>
      <c r="E692" s="2"/>
      <c r="F692" s="2"/>
      <c r="G692" s="2"/>
      <c r="H692" s="2"/>
      <c r="I692" s="117"/>
      <c r="J692" s="2"/>
      <c r="K692" s="2"/>
      <c r="L692" s="2"/>
      <c r="M692" s="2"/>
      <c r="N692" s="2"/>
      <c r="O692" s="2"/>
      <c r="P692" s="2"/>
      <c r="Q692" s="2"/>
      <c r="R692" s="2"/>
      <c r="S692" s="2"/>
      <c r="T692" s="2"/>
      <c r="U692" s="2"/>
      <c r="V692" s="1"/>
      <c r="W692" s="1"/>
      <c r="X692" s="1"/>
      <c r="Y692" s="1"/>
      <c r="Z692" s="1"/>
      <c r="AA692" s="1"/>
      <c r="AB692" s="1"/>
      <c r="AC692" s="1"/>
      <c r="AD692" s="1"/>
      <c r="AE692" s="1"/>
      <c r="AF692" s="1"/>
    </row>
    <row r="693">
      <c r="A693" s="1"/>
      <c r="B693" s="2"/>
      <c r="C693" s="117"/>
      <c r="D693" s="2"/>
      <c r="E693" s="2"/>
      <c r="F693" s="2"/>
      <c r="G693" s="2"/>
      <c r="H693" s="2"/>
      <c r="I693" s="117"/>
      <c r="J693" s="2"/>
      <c r="K693" s="2"/>
      <c r="L693" s="2"/>
      <c r="M693" s="2"/>
      <c r="N693" s="2"/>
      <c r="O693" s="2"/>
      <c r="P693" s="2"/>
      <c r="Q693" s="2"/>
      <c r="R693" s="2"/>
      <c r="S693" s="2"/>
      <c r="T693" s="2"/>
      <c r="U693" s="2"/>
      <c r="V693" s="1"/>
      <c r="W693" s="1"/>
      <c r="X693" s="1"/>
      <c r="Y693" s="1"/>
      <c r="Z693" s="1"/>
      <c r="AA693" s="1"/>
      <c r="AB693" s="1"/>
      <c r="AC693" s="1"/>
      <c r="AD693" s="1"/>
      <c r="AE693" s="1"/>
      <c r="AF693" s="1"/>
    </row>
    <row r="694">
      <c r="A694" s="1"/>
      <c r="B694" s="2"/>
      <c r="C694" s="117"/>
      <c r="D694" s="2"/>
      <c r="E694" s="2"/>
      <c r="F694" s="2"/>
      <c r="G694" s="2"/>
      <c r="H694" s="2"/>
      <c r="I694" s="117"/>
      <c r="J694" s="2"/>
      <c r="K694" s="2"/>
      <c r="L694" s="2"/>
      <c r="M694" s="2"/>
      <c r="N694" s="2"/>
      <c r="O694" s="2"/>
      <c r="P694" s="2"/>
      <c r="Q694" s="2"/>
      <c r="R694" s="2"/>
      <c r="S694" s="2"/>
      <c r="T694" s="2"/>
      <c r="U694" s="2"/>
      <c r="V694" s="1"/>
      <c r="W694" s="1"/>
      <c r="X694" s="1"/>
      <c r="Y694" s="1"/>
      <c r="Z694" s="1"/>
      <c r="AA694" s="1"/>
      <c r="AB694" s="1"/>
      <c r="AC694" s="1"/>
      <c r="AD694" s="1"/>
      <c r="AE694" s="1"/>
      <c r="AF694" s="1"/>
    </row>
    <row r="695">
      <c r="A695" s="1"/>
      <c r="B695" s="2"/>
      <c r="C695" s="117"/>
      <c r="D695" s="2"/>
      <c r="E695" s="2"/>
      <c r="F695" s="2"/>
      <c r="G695" s="2"/>
      <c r="H695" s="2"/>
      <c r="I695" s="117"/>
      <c r="J695" s="2"/>
      <c r="K695" s="2"/>
      <c r="L695" s="2"/>
      <c r="M695" s="2"/>
      <c r="N695" s="2"/>
      <c r="O695" s="2"/>
      <c r="P695" s="2"/>
      <c r="Q695" s="2"/>
      <c r="R695" s="2"/>
      <c r="S695" s="2"/>
      <c r="T695" s="2"/>
      <c r="U695" s="2"/>
      <c r="V695" s="1"/>
      <c r="W695" s="1"/>
      <c r="X695" s="1"/>
      <c r="Y695" s="1"/>
      <c r="Z695" s="1"/>
      <c r="AA695" s="1"/>
      <c r="AB695" s="1"/>
      <c r="AC695" s="1"/>
      <c r="AD695" s="1"/>
      <c r="AE695" s="1"/>
      <c r="AF695" s="1"/>
    </row>
    <row r="696">
      <c r="A696" s="1"/>
      <c r="B696" s="2"/>
      <c r="C696" s="117"/>
      <c r="D696" s="2"/>
      <c r="E696" s="2"/>
      <c r="F696" s="2"/>
      <c r="G696" s="2"/>
      <c r="H696" s="2"/>
      <c r="I696" s="117"/>
      <c r="J696" s="2"/>
      <c r="K696" s="2"/>
      <c r="L696" s="2"/>
      <c r="M696" s="2"/>
      <c r="N696" s="2"/>
      <c r="O696" s="2"/>
      <c r="P696" s="2"/>
      <c r="Q696" s="2"/>
      <c r="R696" s="2"/>
      <c r="S696" s="2"/>
      <c r="T696" s="2"/>
      <c r="U696" s="2"/>
      <c r="V696" s="1"/>
      <c r="W696" s="1"/>
      <c r="X696" s="1"/>
      <c r="Y696" s="1"/>
      <c r="Z696" s="1"/>
      <c r="AA696" s="1"/>
      <c r="AB696" s="1"/>
      <c r="AC696" s="1"/>
      <c r="AD696" s="1"/>
      <c r="AE696" s="1"/>
      <c r="AF696" s="1"/>
    </row>
    <row r="697">
      <c r="A697" s="1"/>
      <c r="B697" s="2"/>
      <c r="C697" s="117"/>
      <c r="D697" s="2"/>
      <c r="E697" s="2"/>
      <c r="F697" s="2"/>
      <c r="G697" s="2"/>
      <c r="H697" s="2"/>
      <c r="I697" s="117"/>
      <c r="J697" s="2"/>
      <c r="K697" s="2"/>
      <c r="L697" s="2"/>
      <c r="M697" s="2"/>
      <c r="N697" s="2"/>
      <c r="O697" s="2"/>
      <c r="P697" s="2"/>
      <c r="Q697" s="2"/>
      <c r="R697" s="2"/>
      <c r="S697" s="2"/>
      <c r="T697" s="2"/>
      <c r="U697" s="2"/>
      <c r="V697" s="1"/>
      <c r="W697" s="1"/>
      <c r="X697" s="1"/>
      <c r="Y697" s="1"/>
      <c r="Z697" s="1"/>
      <c r="AA697" s="1"/>
      <c r="AB697" s="1"/>
      <c r="AC697" s="1"/>
      <c r="AD697" s="1"/>
      <c r="AE697" s="1"/>
      <c r="AF697" s="1"/>
    </row>
    <row r="698">
      <c r="A698" s="1"/>
      <c r="B698" s="2"/>
      <c r="C698" s="117"/>
      <c r="D698" s="2"/>
      <c r="E698" s="2"/>
      <c r="F698" s="2"/>
      <c r="G698" s="2"/>
      <c r="H698" s="2"/>
      <c r="I698" s="117"/>
      <c r="J698" s="2"/>
      <c r="K698" s="2"/>
      <c r="L698" s="2"/>
      <c r="M698" s="2"/>
      <c r="N698" s="2"/>
      <c r="O698" s="2"/>
      <c r="P698" s="2"/>
      <c r="Q698" s="2"/>
      <c r="R698" s="2"/>
      <c r="S698" s="2"/>
      <c r="T698" s="2"/>
      <c r="U698" s="2"/>
      <c r="V698" s="1"/>
      <c r="W698" s="1"/>
      <c r="X698" s="1"/>
      <c r="Y698" s="1"/>
      <c r="Z698" s="1"/>
      <c r="AA698" s="1"/>
      <c r="AB698" s="1"/>
      <c r="AC698" s="1"/>
      <c r="AD698" s="1"/>
      <c r="AE698" s="1"/>
      <c r="AF698" s="1"/>
    </row>
    <row r="699">
      <c r="A699" s="1"/>
      <c r="B699" s="2"/>
      <c r="C699" s="117"/>
      <c r="D699" s="2"/>
      <c r="E699" s="2"/>
      <c r="F699" s="2"/>
      <c r="G699" s="2"/>
      <c r="H699" s="2"/>
      <c r="I699" s="117"/>
      <c r="J699" s="2"/>
      <c r="K699" s="2"/>
      <c r="L699" s="2"/>
      <c r="M699" s="2"/>
      <c r="N699" s="2"/>
      <c r="O699" s="2"/>
      <c r="P699" s="2"/>
      <c r="Q699" s="2"/>
      <c r="R699" s="2"/>
      <c r="S699" s="2"/>
      <c r="T699" s="2"/>
      <c r="U699" s="2"/>
      <c r="V699" s="1"/>
      <c r="W699" s="1"/>
      <c r="X699" s="1"/>
      <c r="Y699" s="1"/>
      <c r="Z699" s="1"/>
      <c r="AA699" s="1"/>
      <c r="AB699" s="1"/>
      <c r="AC699" s="1"/>
      <c r="AD699" s="1"/>
      <c r="AE699" s="1"/>
      <c r="AF699" s="1"/>
    </row>
    <row r="700">
      <c r="A700" s="1"/>
      <c r="B700" s="2"/>
      <c r="C700" s="117"/>
      <c r="D700" s="2"/>
      <c r="E700" s="2"/>
      <c r="F700" s="2"/>
      <c r="G700" s="2"/>
      <c r="H700" s="2"/>
      <c r="I700" s="117"/>
      <c r="J700" s="2"/>
      <c r="K700" s="2"/>
      <c r="L700" s="2"/>
      <c r="M700" s="2"/>
      <c r="N700" s="2"/>
      <c r="O700" s="2"/>
      <c r="P700" s="2"/>
      <c r="Q700" s="2"/>
      <c r="R700" s="2"/>
      <c r="S700" s="2"/>
      <c r="T700" s="2"/>
      <c r="U700" s="2"/>
      <c r="V700" s="1"/>
      <c r="W700" s="1"/>
      <c r="X700" s="1"/>
      <c r="Y700" s="1"/>
      <c r="Z700" s="1"/>
      <c r="AA700" s="1"/>
      <c r="AB700" s="1"/>
      <c r="AC700" s="1"/>
      <c r="AD700" s="1"/>
      <c r="AE700" s="1"/>
      <c r="AF700" s="1"/>
    </row>
    <row r="701">
      <c r="A701" s="1"/>
      <c r="B701" s="2"/>
      <c r="C701" s="117"/>
      <c r="D701" s="2"/>
      <c r="E701" s="2"/>
      <c r="F701" s="2"/>
      <c r="G701" s="2"/>
      <c r="H701" s="2"/>
      <c r="I701" s="117"/>
      <c r="J701" s="2"/>
      <c r="K701" s="2"/>
      <c r="L701" s="2"/>
      <c r="M701" s="2"/>
      <c r="N701" s="2"/>
      <c r="O701" s="2"/>
      <c r="P701" s="2"/>
      <c r="Q701" s="2"/>
      <c r="R701" s="2"/>
      <c r="S701" s="2"/>
      <c r="T701" s="2"/>
      <c r="U701" s="2"/>
      <c r="V701" s="1"/>
      <c r="W701" s="1"/>
      <c r="X701" s="1"/>
      <c r="Y701" s="1"/>
      <c r="Z701" s="1"/>
      <c r="AA701" s="1"/>
      <c r="AB701" s="1"/>
      <c r="AC701" s="1"/>
      <c r="AD701" s="1"/>
      <c r="AE701" s="1"/>
      <c r="AF701" s="1"/>
    </row>
    <row r="702">
      <c r="A702" s="1"/>
      <c r="B702" s="2"/>
      <c r="C702" s="117"/>
      <c r="D702" s="2"/>
      <c r="E702" s="2"/>
      <c r="F702" s="2"/>
      <c r="G702" s="2"/>
      <c r="H702" s="2"/>
      <c r="I702" s="117"/>
      <c r="J702" s="2"/>
      <c r="K702" s="2"/>
      <c r="L702" s="2"/>
      <c r="M702" s="2"/>
      <c r="N702" s="2"/>
      <c r="O702" s="2"/>
      <c r="P702" s="2"/>
      <c r="Q702" s="2"/>
      <c r="R702" s="2"/>
      <c r="S702" s="2"/>
      <c r="T702" s="2"/>
      <c r="U702" s="2"/>
      <c r="V702" s="1"/>
      <c r="W702" s="1"/>
      <c r="X702" s="1"/>
      <c r="Y702" s="1"/>
      <c r="Z702" s="1"/>
      <c r="AA702" s="1"/>
      <c r="AB702" s="1"/>
      <c r="AC702" s="1"/>
      <c r="AD702" s="1"/>
      <c r="AE702" s="1"/>
      <c r="AF702" s="1"/>
    </row>
    <row r="703">
      <c r="A703" s="1"/>
      <c r="B703" s="2"/>
      <c r="C703" s="117"/>
      <c r="D703" s="2"/>
      <c r="E703" s="2"/>
      <c r="F703" s="2"/>
      <c r="G703" s="2"/>
      <c r="H703" s="2"/>
      <c r="I703" s="117"/>
      <c r="J703" s="2"/>
      <c r="K703" s="2"/>
      <c r="L703" s="2"/>
      <c r="M703" s="2"/>
      <c r="N703" s="2"/>
      <c r="O703" s="2"/>
      <c r="P703" s="2"/>
      <c r="Q703" s="2"/>
      <c r="R703" s="2"/>
      <c r="S703" s="2"/>
      <c r="T703" s="2"/>
      <c r="U703" s="2"/>
      <c r="V703" s="1"/>
      <c r="W703" s="1"/>
      <c r="X703" s="1"/>
      <c r="Y703" s="1"/>
      <c r="Z703" s="1"/>
      <c r="AA703" s="1"/>
      <c r="AB703" s="1"/>
      <c r="AC703" s="1"/>
      <c r="AD703" s="1"/>
      <c r="AE703" s="1"/>
      <c r="AF703" s="1"/>
    </row>
    <row r="704">
      <c r="A704" s="1"/>
      <c r="B704" s="2"/>
      <c r="C704" s="117"/>
      <c r="D704" s="2"/>
      <c r="E704" s="2"/>
      <c r="F704" s="2"/>
      <c r="G704" s="2"/>
      <c r="H704" s="2"/>
      <c r="I704" s="117"/>
      <c r="J704" s="2"/>
      <c r="K704" s="2"/>
      <c r="L704" s="2"/>
      <c r="M704" s="2"/>
      <c r="N704" s="2"/>
      <c r="O704" s="2"/>
      <c r="P704" s="2"/>
      <c r="Q704" s="2"/>
      <c r="R704" s="2"/>
      <c r="S704" s="2"/>
      <c r="T704" s="2"/>
      <c r="U704" s="2"/>
      <c r="V704" s="1"/>
      <c r="W704" s="1"/>
      <c r="X704" s="1"/>
      <c r="Y704" s="1"/>
      <c r="Z704" s="1"/>
      <c r="AA704" s="1"/>
      <c r="AB704" s="1"/>
      <c r="AC704" s="1"/>
      <c r="AD704" s="1"/>
      <c r="AE704" s="1"/>
      <c r="AF704" s="1"/>
    </row>
    <row r="705">
      <c r="A705" s="1"/>
      <c r="B705" s="2"/>
      <c r="C705" s="117"/>
      <c r="D705" s="2"/>
      <c r="E705" s="2"/>
      <c r="F705" s="2"/>
      <c r="G705" s="2"/>
      <c r="H705" s="2"/>
      <c r="I705" s="117"/>
      <c r="J705" s="2"/>
      <c r="K705" s="2"/>
      <c r="L705" s="2"/>
      <c r="M705" s="2"/>
      <c r="N705" s="2"/>
      <c r="O705" s="2"/>
      <c r="P705" s="2"/>
      <c r="Q705" s="2"/>
      <c r="R705" s="2"/>
      <c r="S705" s="2"/>
      <c r="T705" s="2"/>
      <c r="U705" s="2"/>
      <c r="V705" s="1"/>
      <c r="W705" s="1"/>
      <c r="X705" s="1"/>
      <c r="Y705" s="1"/>
      <c r="Z705" s="1"/>
      <c r="AA705" s="1"/>
      <c r="AB705" s="1"/>
      <c r="AC705" s="1"/>
      <c r="AD705" s="1"/>
      <c r="AE705" s="1"/>
      <c r="AF705" s="1"/>
    </row>
    <row r="706">
      <c r="A706" s="1"/>
      <c r="B706" s="2"/>
      <c r="C706" s="117"/>
      <c r="D706" s="2"/>
      <c r="E706" s="2"/>
      <c r="F706" s="2"/>
      <c r="G706" s="2"/>
      <c r="H706" s="2"/>
      <c r="I706" s="117"/>
      <c r="J706" s="2"/>
      <c r="K706" s="2"/>
      <c r="L706" s="2"/>
      <c r="M706" s="2"/>
      <c r="N706" s="2"/>
      <c r="O706" s="2"/>
      <c r="P706" s="2"/>
      <c r="Q706" s="2"/>
      <c r="R706" s="2"/>
      <c r="S706" s="2"/>
      <c r="T706" s="2"/>
      <c r="U706" s="2"/>
      <c r="V706" s="1"/>
      <c r="W706" s="1"/>
      <c r="X706" s="1"/>
      <c r="Y706" s="1"/>
      <c r="Z706" s="1"/>
      <c r="AA706" s="1"/>
      <c r="AB706" s="1"/>
      <c r="AC706" s="1"/>
      <c r="AD706" s="1"/>
      <c r="AE706" s="1"/>
      <c r="AF706" s="1"/>
    </row>
    <row r="707">
      <c r="A707" s="1"/>
      <c r="B707" s="2"/>
      <c r="C707" s="117"/>
      <c r="D707" s="2"/>
      <c r="E707" s="2"/>
      <c r="F707" s="2"/>
      <c r="G707" s="2"/>
      <c r="H707" s="2"/>
      <c r="I707" s="117"/>
      <c r="J707" s="2"/>
      <c r="K707" s="2"/>
      <c r="L707" s="2"/>
      <c r="M707" s="2"/>
      <c r="N707" s="2"/>
      <c r="O707" s="2"/>
      <c r="P707" s="2"/>
      <c r="Q707" s="2"/>
      <c r="R707" s="2"/>
      <c r="S707" s="2"/>
      <c r="T707" s="2"/>
      <c r="U707" s="2"/>
      <c r="V707" s="1"/>
      <c r="W707" s="1"/>
      <c r="X707" s="1"/>
      <c r="Y707" s="1"/>
      <c r="Z707" s="1"/>
      <c r="AA707" s="1"/>
      <c r="AB707" s="1"/>
      <c r="AC707" s="1"/>
      <c r="AD707" s="1"/>
      <c r="AE707" s="1"/>
      <c r="AF707" s="1"/>
    </row>
    <row r="708">
      <c r="A708" s="1"/>
      <c r="B708" s="2"/>
      <c r="C708" s="117"/>
      <c r="D708" s="2"/>
      <c r="E708" s="2"/>
      <c r="F708" s="2"/>
      <c r="G708" s="2"/>
      <c r="H708" s="2"/>
      <c r="I708" s="117"/>
      <c r="J708" s="2"/>
      <c r="K708" s="2"/>
      <c r="L708" s="2"/>
      <c r="M708" s="2"/>
      <c r="N708" s="2"/>
      <c r="O708" s="2"/>
      <c r="P708" s="2"/>
      <c r="Q708" s="2"/>
      <c r="R708" s="2"/>
      <c r="S708" s="2"/>
      <c r="T708" s="2"/>
      <c r="U708" s="2"/>
      <c r="V708" s="1"/>
      <c r="W708" s="1"/>
      <c r="X708" s="1"/>
      <c r="Y708" s="1"/>
      <c r="Z708" s="1"/>
      <c r="AA708" s="1"/>
      <c r="AB708" s="1"/>
      <c r="AC708" s="1"/>
      <c r="AD708" s="1"/>
      <c r="AE708" s="1"/>
      <c r="AF708" s="1"/>
    </row>
    <row r="709">
      <c r="A709" s="1"/>
      <c r="B709" s="2"/>
      <c r="C709" s="117"/>
      <c r="D709" s="2"/>
      <c r="E709" s="2"/>
      <c r="F709" s="2"/>
      <c r="G709" s="2"/>
      <c r="H709" s="2"/>
      <c r="I709" s="117"/>
      <c r="J709" s="2"/>
      <c r="K709" s="2"/>
      <c r="L709" s="2"/>
      <c r="M709" s="2"/>
      <c r="N709" s="2"/>
      <c r="O709" s="2"/>
      <c r="P709" s="2"/>
      <c r="Q709" s="2"/>
      <c r="R709" s="2"/>
      <c r="S709" s="2"/>
      <c r="T709" s="2"/>
      <c r="U709" s="2"/>
      <c r="V709" s="1"/>
      <c r="W709" s="1"/>
      <c r="X709" s="1"/>
      <c r="Y709" s="1"/>
      <c r="Z709" s="1"/>
      <c r="AA709" s="1"/>
      <c r="AB709" s="1"/>
      <c r="AC709" s="1"/>
      <c r="AD709" s="1"/>
      <c r="AE709" s="1"/>
      <c r="AF709" s="1"/>
    </row>
    <row r="710">
      <c r="A710" s="1"/>
      <c r="B710" s="2"/>
      <c r="C710" s="117"/>
      <c r="D710" s="2"/>
      <c r="E710" s="2"/>
      <c r="F710" s="2"/>
      <c r="G710" s="2"/>
      <c r="H710" s="2"/>
      <c r="I710" s="117"/>
      <c r="J710" s="2"/>
      <c r="K710" s="2"/>
      <c r="L710" s="2"/>
      <c r="M710" s="2"/>
      <c r="N710" s="2"/>
      <c r="O710" s="2"/>
      <c r="P710" s="2"/>
      <c r="Q710" s="2"/>
      <c r="R710" s="2"/>
      <c r="S710" s="2"/>
      <c r="T710" s="2"/>
      <c r="U710" s="2"/>
      <c r="V710" s="1"/>
      <c r="W710" s="1"/>
      <c r="X710" s="1"/>
      <c r="Y710" s="1"/>
      <c r="Z710" s="1"/>
      <c r="AA710" s="1"/>
      <c r="AB710" s="1"/>
      <c r="AC710" s="1"/>
      <c r="AD710" s="1"/>
      <c r="AE710" s="1"/>
      <c r="AF710" s="1"/>
    </row>
    <row r="711">
      <c r="A711" s="1"/>
      <c r="B711" s="2"/>
      <c r="C711" s="117"/>
      <c r="D711" s="2"/>
      <c r="E711" s="2"/>
      <c r="F711" s="2"/>
      <c r="G711" s="2"/>
      <c r="H711" s="2"/>
      <c r="I711" s="117"/>
      <c r="J711" s="2"/>
      <c r="K711" s="2"/>
      <c r="L711" s="2"/>
      <c r="M711" s="2"/>
      <c r="N711" s="2"/>
      <c r="O711" s="2"/>
      <c r="P711" s="2"/>
      <c r="Q711" s="2"/>
      <c r="R711" s="2"/>
      <c r="S711" s="2"/>
      <c r="T711" s="2"/>
      <c r="U711" s="2"/>
      <c r="V711" s="1"/>
      <c r="W711" s="1"/>
      <c r="X711" s="1"/>
      <c r="Y711" s="1"/>
      <c r="Z711" s="1"/>
      <c r="AA711" s="1"/>
      <c r="AB711" s="1"/>
      <c r="AC711" s="1"/>
      <c r="AD711" s="1"/>
      <c r="AE711" s="1"/>
      <c r="AF711" s="1"/>
    </row>
    <row r="712">
      <c r="A712" s="1"/>
      <c r="B712" s="2"/>
      <c r="C712" s="117"/>
      <c r="D712" s="2"/>
      <c r="E712" s="2"/>
      <c r="F712" s="2"/>
      <c r="G712" s="2"/>
      <c r="H712" s="2"/>
      <c r="I712" s="117"/>
      <c r="J712" s="2"/>
      <c r="K712" s="2"/>
      <c r="L712" s="2"/>
      <c r="M712" s="2"/>
      <c r="N712" s="2"/>
      <c r="O712" s="2"/>
      <c r="P712" s="2"/>
      <c r="Q712" s="2"/>
      <c r="R712" s="2"/>
      <c r="S712" s="2"/>
      <c r="T712" s="2"/>
      <c r="U712" s="2"/>
      <c r="V712" s="1"/>
      <c r="W712" s="1"/>
      <c r="X712" s="1"/>
      <c r="Y712" s="1"/>
      <c r="Z712" s="1"/>
      <c r="AA712" s="1"/>
      <c r="AB712" s="1"/>
      <c r="AC712" s="1"/>
      <c r="AD712" s="1"/>
      <c r="AE712" s="1"/>
      <c r="AF712" s="1"/>
    </row>
    <row r="713">
      <c r="A713" s="1"/>
      <c r="B713" s="2"/>
      <c r="C713" s="117"/>
      <c r="D713" s="2"/>
      <c r="E713" s="2"/>
      <c r="F713" s="2"/>
      <c r="G713" s="2"/>
      <c r="H713" s="2"/>
      <c r="I713" s="117"/>
      <c r="J713" s="2"/>
      <c r="K713" s="2"/>
      <c r="L713" s="2"/>
      <c r="M713" s="2"/>
      <c r="N713" s="2"/>
      <c r="O713" s="2"/>
      <c r="P713" s="2"/>
      <c r="Q713" s="2"/>
      <c r="R713" s="2"/>
      <c r="S713" s="2"/>
      <c r="T713" s="2"/>
      <c r="U713" s="2"/>
      <c r="V713" s="1"/>
      <c r="W713" s="1"/>
      <c r="X713" s="1"/>
      <c r="Y713" s="1"/>
      <c r="Z713" s="1"/>
      <c r="AA713" s="1"/>
      <c r="AB713" s="1"/>
      <c r="AC713" s="1"/>
      <c r="AD713" s="1"/>
      <c r="AE713" s="1"/>
      <c r="AF713" s="1"/>
    </row>
    <row r="714">
      <c r="A714" s="1"/>
      <c r="B714" s="2"/>
      <c r="C714" s="117"/>
      <c r="D714" s="2"/>
      <c r="E714" s="2"/>
      <c r="F714" s="2"/>
      <c r="G714" s="2"/>
      <c r="H714" s="2"/>
      <c r="I714" s="117"/>
      <c r="J714" s="2"/>
      <c r="K714" s="2"/>
      <c r="L714" s="2"/>
      <c r="M714" s="2"/>
      <c r="N714" s="2"/>
      <c r="O714" s="2"/>
      <c r="P714" s="2"/>
      <c r="Q714" s="2"/>
      <c r="R714" s="2"/>
      <c r="S714" s="2"/>
      <c r="T714" s="2"/>
      <c r="U714" s="2"/>
      <c r="V714" s="1"/>
      <c r="W714" s="1"/>
      <c r="X714" s="1"/>
      <c r="Y714" s="1"/>
      <c r="Z714" s="1"/>
      <c r="AA714" s="1"/>
      <c r="AB714" s="1"/>
      <c r="AC714" s="1"/>
      <c r="AD714" s="1"/>
      <c r="AE714" s="1"/>
      <c r="AF714" s="1"/>
    </row>
    <row r="715">
      <c r="A715" s="1"/>
      <c r="B715" s="2"/>
      <c r="C715" s="117"/>
      <c r="D715" s="2"/>
      <c r="E715" s="2"/>
      <c r="F715" s="2"/>
      <c r="G715" s="2"/>
      <c r="H715" s="2"/>
      <c r="I715" s="117"/>
      <c r="J715" s="2"/>
      <c r="K715" s="2"/>
      <c r="L715" s="2"/>
      <c r="M715" s="2"/>
      <c r="N715" s="2"/>
      <c r="O715" s="2"/>
      <c r="P715" s="2"/>
      <c r="Q715" s="2"/>
      <c r="R715" s="2"/>
      <c r="S715" s="2"/>
      <c r="T715" s="2"/>
      <c r="U715" s="2"/>
      <c r="V715" s="1"/>
      <c r="W715" s="1"/>
      <c r="X715" s="1"/>
      <c r="Y715" s="1"/>
      <c r="Z715" s="1"/>
      <c r="AA715" s="1"/>
      <c r="AB715" s="1"/>
      <c r="AC715" s="1"/>
      <c r="AD715" s="1"/>
      <c r="AE715" s="1"/>
      <c r="AF715" s="1"/>
    </row>
    <row r="716">
      <c r="A716" s="1"/>
      <c r="B716" s="2"/>
      <c r="C716" s="117"/>
      <c r="D716" s="2"/>
      <c r="E716" s="2"/>
      <c r="F716" s="2"/>
      <c r="G716" s="2"/>
      <c r="H716" s="2"/>
      <c r="I716" s="117"/>
      <c r="J716" s="2"/>
      <c r="K716" s="2"/>
      <c r="L716" s="2"/>
      <c r="M716" s="2"/>
      <c r="N716" s="2"/>
      <c r="O716" s="2"/>
      <c r="P716" s="2"/>
      <c r="Q716" s="2"/>
      <c r="R716" s="2"/>
      <c r="S716" s="2"/>
      <c r="T716" s="2"/>
      <c r="U716" s="2"/>
      <c r="V716" s="1"/>
      <c r="W716" s="1"/>
      <c r="X716" s="1"/>
      <c r="Y716" s="1"/>
      <c r="Z716" s="1"/>
      <c r="AA716" s="1"/>
      <c r="AB716" s="1"/>
      <c r="AC716" s="1"/>
      <c r="AD716" s="1"/>
      <c r="AE716" s="1"/>
      <c r="AF716" s="1"/>
    </row>
    <row r="717">
      <c r="A717" s="1"/>
      <c r="B717" s="2"/>
      <c r="C717" s="117"/>
      <c r="D717" s="2"/>
      <c r="E717" s="2"/>
      <c r="F717" s="2"/>
      <c r="G717" s="2"/>
      <c r="H717" s="2"/>
      <c r="I717" s="117"/>
      <c r="J717" s="2"/>
      <c r="K717" s="2"/>
      <c r="L717" s="2"/>
      <c r="M717" s="2"/>
      <c r="N717" s="2"/>
      <c r="O717" s="2"/>
      <c r="P717" s="2"/>
      <c r="Q717" s="2"/>
      <c r="R717" s="2"/>
      <c r="S717" s="2"/>
      <c r="T717" s="2"/>
      <c r="U717" s="2"/>
      <c r="V717" s="1"/>
      <c r="W717" s="1"/>
      <c r="X717" s="1"/>
      <c r="Y717" s="1"/>
      <c r="Z717" s="1"/>
      <c r="AA717" s="1"/>
      <c r="AB717" s="1"/>
      <c r="AC717" s="1"/>
      <c r="AD717" s="1"/>
      <c r="AE717" s="1"/>
      <c r="AF717" s="1"/>
    </row>
    <row r="718">
      <c r="A718" s="1"/>
      <c r="B718" s="2"/>
      <c r="C718" s="117"/>
      <c r="D718" s="2"/>
      <c r="E718" s="2"/>
      <c r="F718" s="2"/>
      <c r="G718" s="2"/>
      <c r="H718" s="2"/>
      <c r="I718" s="117"/>
      <c r="J718" s="2"/>
      <c r="K718" s="2"/>
      <c r="L718" s="2"/>
      <c r="M718" s="2"/>
      <c r="N718" s="2"/>
      <c r="O718" s="2"/>
      <c r="P718" s="2"/>
      <c r="Q718" s="2"/>
      <c r="R718" s="2"/>
      <c r="S718" s="2"/>
      <c r="T718" s="2"/>
      <c r="U718" s="2"/>
      <c r="V718" s="1"/>
      <c r="W718" s="1"/>
      <c r="X718" s="1"/>
      <c r="Y718" s="1"/>
      <c r="Z718" s="1"/>
      <c r="AA718" s="1"/>
      <c r="AB718" s="1"/>
      <c r="AC718" s="1"/>
      <c r="AD718" s="1"/>
      <c r="AE718" s="1"/>
      <c r="AF718" s="1"/>
    </row>
    <row r="719">
      <c r="A719" s="1"/>
      <c r="B719" s="2"/>
      <c r="C719" s="117"/>
      <c r="D719" s="2"/>
      <c r="E719" s="2"/>
      <c r="F719" s="2"/>
      <c r="G719" s="2"/>
      <c r="H719" s="2"/>
      <c r="I719" s="117"/>
      <c r="J719" s="2"/>
      <c r="K719" s="2"/>
      <c r="L719" s="2"/>
      <c r="M719" s="2"/>
      <c r="N719" s="2"/>
      <c r="O719" s="2"/>
      <c r="P719" s="2"/>
      <c r="Q719" s="2"/>
      <c r="R719" s="2"/>
      <c r="S719" s="2"/>
      <c r="T719" s="2"/>
      <c r="U719" s="2"/>
      <c r="V719" s="1"/>
      <c r="W719" s="1"/>
      <c r="X719" s="1"/>
      <c r="Y719" s="1"/>
      <c r="Z719" s="1"/>
      <c r="AA719" s="1"/>
      <c r="AB719" s="1"/>
      <c r="AC719" s="1"/>
      <c r="AD719" s="1"/>
      <c r="AE719" s="1"/>
      <c r="AF719" s="1"/>
    </row>
    <row r="720">
      <c r="A720" s="1"/>
      <c r="B720" s="2"/>
      <c r="C720" s="117"/>
      <c r="D720" s="2"/>
      <c r="E720" s="2"/>
      <c r="F720" s="2"/>
      <c r="G720" s="2"/>
      <c r="H720" s="2"/>
      <c r="I720" s="117"/>
      <c r="J720" s="2"/>
      <c r="K720" s="2"/>
      <c r="L720" s="2"/>
      <c r="M720" s="2"/>
      <c r="N720" s="2"/>
      <c r="O720" s="2"/>
      <c r="P720" s="2"/>
      <c r="Q720" s="2"/>
      <c r="R720" s="2"/>
      <c r="S720" s="2"/>
      <c r="T720" s="2"/>
      <c r="U720" s="2"/>
      <c r="V720" s="1"/>
      <c r="W720" s="1"/>
      <c r="X720" s="1"/>
      <c r="Y720" s="1"/>
      <c r="Z720" s="1"/>
      <c r="AA720" s="1"/>
      <c r="AB720" s="1"/>
      <c r="AC720" s="1"/>
      <c r="AD720" s="1"/>
      <c r="AE720" s="1"/>
      <c r="AF720" s="1"/>
    </row>
    <row r="721">
      <c r="A721" s="1"/>
      <c r="B721" s="2"/>
      <c r="C721" s="117"/>
      <c r="D721" s="2"/>
      <c r="E721" s="2"/>
      <c r="F721" s="2"/>
      <c r="G721" s="2"/>
      <c r="H721" s="2"/>
      <c r="I721" s="117"/>
      <c r="J721" s="2"/>
      <c r="K721" s="2"/>
      <c r="L721" s="2"/>
      <c r="M721" s="2"/>
      <c r="N721" s="2"/>
      <c r="O721" s="2"/>
      <c r="P721" s="2"/>
      <c r="Q721" s="2"/>
      <c r="R721" s="2"/>
      <c r="S721" s="2"/>
      <c r="T721" s="2"/>
      <c r="U721" s="2"/>
      <c r="V721" s="1"/>
      <c r="W721" s="1"/>
      <c r="X721" s="1"/>
      <c r="Y721" s="1"/>
      <c r="Z721" s="1"/>
      <c r="AA721" s="1"/>
      <c r="AB721" s="1"/>
      <c r="AC721" s="1"/>
      <c r="AD721" s="1"/>
      <c r="AE721" s="1"/>
      <c r="AF721" s="1"/>
    </row>
    <row r="722">
      <c r="A722" s="1"/>
      <c r="B722" s="2"/>
      <c r="C722" s="117"/>
      <c r="D722" s="2"/>
      <c r="E722" s="2"/>
      <c r="F722" s="2"/>
      <c r="G722" s="2"/>
      <c r="H722" s="2"/>
      <c r="I722" s="117"/>
      <c r="J722" s="2"/>
      <c r="K722" s="2"/>
      <c r="L722" s="2"/>
      <c r="M722" s="2"/>
      <c r="N722" s="2"/>
      <c r="O722" s="2"/>
      <c r="P722" s="2"/>
      <c r="Q722" s="2"/>
      <c r="R722" s="2"/>
      <c r="S722" s="2"/>
      <c r="T722" s="2"/>
      <c r="U722" s="2"/>
      <c r="V722" s="1"/>
      <c r="W722" s="1"/>
      <c r="X722" s="1"/>
      <c r="Y722" s="1"/>
      <c r="Z722" s="1"/>
      <c r="AA722" s="1"/>
      <c r="AB722" s="1"/>
      <c r="AC722" s="1"/>
      <c r="AD722" s="1"/>
      <c r="AE722" s="1"/>
      <c r="AF722" s="1"/>
    </row>
    <row r="723">
      <c r="A723" s="1"/>
      <c r="B723" s="2"/>
      <c r="C723" s="117"/>
      <c r="D723" s="2"/>
      <c r="E723" s="2"/>
      <c r="F723" s="2"/>
      <c r="G723" s="2"/>
      <c r="H723" s="2"/>
      <c r="I723" s="117"/>
      <c r="J723" s="2"/>
      <c r="K723" s="2"/>
      <c r="L723" s="2"/>
      <c r="M723" s="2"/>
      <c r="N723" s="2"/>
      <c r="O723" s="2"/>
      <c r="P723" s="2"/>
      <c r="Q723" s="2"/>
      <c r="R723" s="2"/>
      <c r="S723" s="2"/>
      <c r="T723" s="2"/>
      <c r="U723" s="2"/>
      <c r="V723" s="1"/>
      <c r="W723" s="1"/>
      <c r="X723" s="1"/>
      <c r="Y723" s="1"/>
      <c r="Z723" s="1"/>
      <c r="AA723" s="1"/>
      <c r="AB723" s="1"/>
      <c r="AC723" s="1"/>
      <c r="AD723" s="1"/>
      <c r="AE723" s="1"/>
      <c r="AF723" s="1"/>
    </row>
    <row r="724">
      <c r="A724" s="1"/>
      <c r="B724" s="2"/>
      <c r="C724" s="117"/>
      <c r="D724" s="2"/>
      <c r="E724" s="2"/>
      <c r="F724" s="2"/>
      <c r="G724" s="2"/>
      <c r="H724" s="2"/>
      <c r="I724" s="117"/>
      <c r="J724" s="2"/>
      <c r="K724" s="2"/>
      <c r="L724" s="2"/>
      <c r="M724" s="2"/>
      <c r="N724" s="2"/>
      <c r="O724" s="2"/>
      <c r="P724" s="2"/>
      <c r="Q724" s="2"/>
      <c r="R724" s="2"/>
      <c r="S724" s="2"/>
      <c r="T724" s="2"/>
      <c r="U724" s="2"/>
      <c r="V724" s="1"/>
      <c r="W724" s="1"/>
      <c r="X724" s="1"/>
      <c r="Y724" s="1"/>
      <c r="Z724" s="1"/>
      <c r="AA724" s="1"/>
      <c r="AB724" s="1"/>
      <c r="AC724" s="1"/>
      <c r="AD724" s="1"/>
      <c r="AE724" s="1"/>
      <c r="AF724" s="1"/>
    </row>
    <row r="725">
      <c r="A725" s="1"/>
      <c r="B725" s="2"/>
      <c r="C725" s="117"/>
      <c r="D725" s="2"/>
      <c r="E725" s="2"/>
      <c r="F725" s="2"/>
      <c r="G725" s="2"/>
      <c r="H725" s="2"/>
      <c r="I725" s="117"/>
      <c r="J725" s="2"/>
      <c r="K725" s="2"/>
      <c r="L725" s="2"/>
      <c r="M725" s="2"/>
      <c r="N725" s="2"/>
      <c r="O725" s="2"/>
      <c r="P725" s="2"/>
      <c r="Q725" s="2"/>
      <c r="R725" s="2"/>
      <c r="S725" s="2"/>
      <c r="T725" s="2"/>
      <c r="U725" s="2"/>
      <c r="V725" s="1"/>
      <c r="W725" s="1"/>
      <c r="X725" s="1"/>
      <c r="Y725" s="1"/>
      <c r="Z725" s="1"/>
      <c r="AA725" s="1"/>
      <c r="AB725" s="1"/>
      <c r="AC725" s="1"/>
      <c r="AD725" s="1"/>
      <c r="AE725" s="1"/>
      <c r="AF725" s="1"/>
    </row>
    <row r="726">
      <c r="A726" s="1"/>
      <c r="B726" s="2"/>
      <c r="C726" s="117"/>
      <c r="D726" s="2"/>
      <c r="E726" s="2"/>
      <c r="F726" s="2"/>
      <c r="G726" s="2"/>
      <c r="H726" s="2"/>
      <c r="I726" s="117"/>
      <c r="J726" s="2"/>
      <c r="K726" s="2"/>
      <c r="L726" s="2"/>
      <c r="M726" s="2"/>
      <c r="N726" s="2"/>
      <c r="O726" s="2"/>
      <c r="P726" s="2"/>
      <c r="Q726" s="2"/>
      <c r="R726" s="2"/>
      <c r="S726" s="2"/>
      <c r="T726" s="2"/>
      <c r="U726" s="2"/>
      <c r="V726" s="1"/>
      <c r="W726" s="1"/>
      <c r="X726" s="1"/>
      <c r="Y726" s="1"/>
      <c r="Z726" s="1"/>
      <c r="AA726" s="1"/>
      <c r="AB726" s="1"/>
      <c r="AC726" s="1"/>
      <c r="AD726" s="1"/>
      <c r="AE726" s="1"/>
      <c r="AF726" s="1"/>
    </row>
    <row r="727">
      <c r="A727" s="1"/>
      <c r="B727" s="2"/>
      <c r="C727" s="117"/>
      <c r="D727" s="2"/>
      <c r="E727" s="2"/>
      <c r="F727" s="2"/>
      <c r="G727" s="2"/>
      <c r="H727" s="2"/>
      <c r="I727" s="117"/>
      <c r="J727" s="2"/>
      <c r="K727" s="2"/>
      <c r="L727" s="2"/>
      <c r="M727" s="2"/>
      <c r="N727" s="2"/>
      <c r="O727" s="2"/>
      <c r="P727" s="2"/>
      <c r="Q727" s="2"/>
      <c r="R727" s="2"/>
      <c r="S727" s="2"/>
      <c r="T727" s="2"/>
      <c r="U727" s="2"/>
      <c r="V727" s="1"/>
      <c r="W727" s="1"/>
      <c r="X727" s="1"/>
      <c r="Y727" s="1"/>
      <c r="Z727" s="1"/>
      <c r="AA727" s="1"/>
      <c r="AB727" s="1"/>
      <c r="AC727" s="1"/>
      <c r="AD727" s="1"/>
      <c r="AE727" s="1"/>
      <c r="AF727" s="1"/>
    </row>
    <row r="728">
      <c r="A728" s="1"/>
      <c r="B728" s="2"/>
      <c r="C728" s="117"/>
      <c r="D728" s="2"/>
      <c r="E728" s="2"/>
      <c r="F728" s="2"/>
      <c r="G728" s="2"/>
      <c r="H728" s="2"/>
      <c r="I728" s="117"/>
      <c r="J728" s="2"/>
      <c r="K728" s="2"/>
      <c r="L728" s="2"/>
      <c r="M728" s="2"/>
      <c r="N728" s="2"/>
      <c r="O728" s="2"/>
      <c r="P728" s="2"/>
      <c r="Q728" s="2"/>
      <c r="R728" s="2"/>
      <c r="S728" s="2"/>
      <c r="T728" s="2"/>
      <c r="U728" s="2"/>
      <c r="V728" s="1"/>
      <c r="W728" s="1"/>
      <c r="X728" s="1"/>
      <c r="Y728" s="1"/>
      <c r="Z728" s="1"/>
      <c r="AA728" s="1"/>
      <c r="AB728" s="1"/>
      <c r="AC728" s="1"/>
      <c r="AD728" s="1"/>
      <c r="AE728" s="1"/>
      <c r="AF728" s="1"/>
    </row>
    <row r="729">
      <c r="A729" s="1"/>
      <c r="B729" s="2"/>
      <c r="C729" s="117"/>
      <c r="D729" s="2"/>
      <c r="E729" s="2"/>
      <c r="F729" s="2"/>
      <c r="G729" s="2"/>
      <c r="H729" s="2"/>
      <c r="I729" s="117"/>
      <c r="J729" s="2"/>
      <c r="K729" s="2"/>
      <c r="L729" s="2"/>
      <c r="M729" s="2"/>
      <c r="N729" s="2"/>
      <c r="O729" s="2"/>
      <c r="P729" s="2"/>
      <c r="Q729" s="2"/>
      <c r="R729" s="2"/>
      <c r="S729" s="2"/>
      <c r="T729" s="2"/>
      <c r="U729" s="2"/>
      <c r="V729" s="1"/>
      <c r="W729" s="1"/>
      <c r="X729" s="1"/>
      <c r="Y729" s="1"/>
      <c r="Z729" s="1"/>
      <c r="AA729" s="1"/>
      <c r="AB729" s="1"/>
      <c r="AC729" s="1"/>
      <c r="AD729" s="1"/>
      <c r="AE729" s="1"/>
      <c r="AF729" s="1"/>
    </row>
    <row r="730">
      <c r="A730" s="1"/>
      <c r="B730" s="2"/>
      <c r="C730" s="117"/>
      <c r="D730" s="2"/>
      <c r="E730" s="2"/>
      <c r="F730" s="2"/>
      <c r="G730" s="2"/>
      <c r="H730" s="2"/>
      <c r="I730" s="117"/>
      <c r="J730" s="2"/>
      <c r="K730" s="2"/>
      <c r="L730" s="2"/>
      <c r="M730" s="2"/>
      <c r="N730" s="2"/>
      <c r="O730" s="2"/>
      <c r="P730" s="2"/>
      <c r="Q730" s="2"/>
      <c r="R730" s="2"/>
      <c r="S730" s="2"/>
      <c r="T730" s="2"/>
      <c r="U730" s="2"/>
      <c r="V730" s="1"/>
      <c r="W730" s="1"/>
      <c r="X730" s="1"/>
      <c r="Y730" s="1"/>
      <c r="Z730" s="1"/>
      <c r="AA730" s="1"/>
      <c r="AB730" s="1"/>
      <c r="AC730" s="1"/>
      <c r="AD730" s="1"/>
      <c r="AE730" s="1"/>
      <c r="AF730" s="1"/>
    </row>
    <row r="731">
      <c r="A731" s="1"/>
      <c r="B731" s="2"/>
      <c r="C731" s="117"/>
      <c r="D731" s="2"/>
      <c r="E731" s="2"/>
      <c r="F731" s="2"/>
      <c r="G731" s="2"/>
      <c r="H731" s="2"/>
      <c r="I731" s="117"/>
      <c r="J731" s="2"/>
      <c r="K731" s="2"/>
      <c r="L731" s="2"/>
      <c r="M731" s="2"/>
      <c r="N731" s="2"/>
      <c r="O731" s="2"/>
      <c r="P731" s="2"/>
      <c r="Q731" s="2"/>
      <c r="R731" s="2"/>
      <c r="S731" s="2"/>
      <c r="T731" s="2"/>
      <c r="U731" s="2"/>
      <c r="V731" s="1"/>
      <c r="W731" s="1"/>
      <c r="X731" s="1"/>
      <c r="Y731" s="1"/>
      <c r="Z731" s="1"/>
      <c r="AA731" s="1"/>
      <c r="AB731" s="1"/>
      <c r="AC731" s="1"/>
      <c r="AD731" s="1"/>
      <c r="AE731" s="1"/>
      <c r="AF731" s="1"/>
    </row>
    <row r="732">
      <c r="A732" s="1"/>
      <c r="B732" s="2"/>
      <c r="C732" s="117"/>
      <c r="D732" s="2"/>
      <c r="E732" s="2"/>
      <c r="F732" s="2"/>
      <c r="G732" s="2"/>
      <c r="H732" s="2"/>
      <c r="I732" s="117"/>
      <c r="J732" s="2"/>
      <c r="K732" s="2"/>
      <c r="L732" s="2"/>
      <c r="M732" s="2"/>
      <c r="N732" s="2"/>
      <c r="O732" s="2"/>
      <c r="P732" s="2"/>
      <c r="Q732" s="2"/>
      <c r="R732" s="2"/>
      <c r="S732" s="2"/>
      <c r="T732" s="2"/>
      <c r="U732" s="2"/>
      <c r="V732" s="1"/>
      <c r="W732" s="1"/>
      <c r="X732" s="1"/>
      <c r="Y732" s="1"/>
      <c r="Z732" s="1"/>
      <c r="AA732" s="1"/>
      <c r="AB732" s="1"/>
      <c r="AC732" s="1"/>
      <c r="AD732" s="1"/>
      <c r="AE732" s="1"/>
      <c r="AF732" s="1"/>
    </row>
    <row r="733">
      <c r="A733" s="1"/>
      <c r="B733" s="2"/>
      <c r="C733" s="117"/>
      <c r="D733" s="2"/>
      <c r="E733" s="2"/>
      <c r="F733" s="2"/>
      <c r="G733" s="2"/>
      <c r="H733" s="2"/>
      <c r="I733" s="117"/>
      <c r="J733" s="2"/>
      <c r="K733" s="2"/>
      <c r="L733" s="2"/>
      <c r="M733" s="2"/>
      <c r="N733" s="2"/>
      <c r="O733" s="2"/>
      <c r="P733" s="2"/>
      <c r="Q733" s="2"/>
      <c r="R733" s="2"/>
      <c r="S733" s="2"/>
      <c r="T733" s="2"/>
      <c r="U733" s="2"/>
      <c r="V733" s="1"/>
      <c r="W733" s="1"/>
      <c r="X733" s="1"/>
      <c r="Y733" s="1"/>
      <c r="Z733" s="1"/>
      <c r="AA733" s="1"/>
      <c r="AB733" s="1"/>
      <c r="AC733" s="1"/>
      <c r="AD733" s="1"/>
      <c r="AE733" s="1"/>
      <c r="AF733" s="1"/>
    </row>
    <row r="734">
      <c r="A734" s="1"/>
      <c r="B734" s="2"/>
      <c r="C734" s="117"/>
      <c r="D734" s="2"/>
      <c r="E734" s="2"/>
      <c r="F734" s="2"/>
      <c r="G734" s="2"/>
      <c r="H734" s="2"/>
      <c r="I734" s="117"/>
      <c r="J734" s="2"/>
      <c r="K734" s="2"/>
      <c r="L734" s="2"/>
      <c r="M734" s="2"/>
      <c r="N734" s="2"/>
      <c r="O734" s="2"/>
      <c r="P734" s="2"/>
      <c r="Q734" s="2"/>
      <c r="R734" s="2"/>
      <c r="S734" s="2"/>
      <c r="T734" s="2"/>
      <c r="U734" s="2"/>
      <c r="V734" s="1"/>
      <c r="W734" s="1"/>
      <c r="X734" s="1"/>
      <c r="Y734" s="1"/>
      <c r="Z734" s="1"/>
      <c r="AA734" s="1"/>
      <c r="AB734" s="1"/>
      <c r="AC734" s="1"/>
      <c r="AD734" s="1"/>
      <c r="AE734" s="1"/>
      <c r="AF734" s="1"/>
    </row>
    <row r="735">
      <c r="A735" s="1"/>
      <c r="B735" s="2"/>
      <c r="C735" s="117"/>
      <c r="D735" s="2"/>
      <c r="E735" s="2"/>
      <c r="F735" s="2"/>
      <c r="G735" s="2"/>
      <c r="H735" s="2"/>
      <c r="I735" s="117"/>
      <c r="J735" s="2"/>
      <c r="K735" s="2"/>
      <c r="L735" s="2"/>
      <c r="M735" s="2"/>
      <c r="N735" s="2"/>
      <c r="O735" s="2"/>
      <c r="P735" s="2"/>
      <c r="Q735" s="2"/>
      <c r="R735" s="2"/>
      <c r="S735" s="2"/>
      <c r="T735" s="2"/>
      <c r="U735" s="2"/>
      <c r="V735" s="1"/>
      <c r="W735" s="1"/>
      <c r="X735" s="1"/>
      <c r="Y735" s="1"/>
      <c r="Z735" s="1"/>
      <c r="AA735" s="1"/>
      <c r="AB735" s="1"/>
      <c r="AC735" s="1"/>
      <c r="AD735" s="1"/>
      <c r="AE735" s="1"/>
      <c r="AF735" s="1"/>
    </row>
    <row r="736">
      <c r="A736" s="1"/>
      <c r="B736" s="2"/>
      <c r="C736" s="117"/>
      <c r="D736" s="2"/>
      <c r="E736" s="2"/>
      <c r="F736" s="2"/>
      <c r="G736" s="2"/>
      <c r="H736" s="2"/>
      <c r="I736" s="117"/>
      <c r="J736" s="2"/>
      <c r="K736" s="2"/>
      <c r="L736" s="2"/>
      <c r="M736" s="2"/>
      <c r="N736" s="2"/>
      <c r="O736" s="2"/>
      <c r="P736" s="2"/>
      <c r="Q736" s="2"/>
      <c r="R736" s="2"/>
      <c r="S736" s="2"/>
      <c r="T736" s="2"/>
      <c r="U736" s="2"/>
      <c r="V736" s="1"/>
      <c r="W736" s="1"/>
      <c r="X736" s="1"/>
      <c r="Y736" s="1"/>
      <c r="Z736" s="1"/>
      <c r="AA736" s="1"/>
      <c r="AB736" s="1"/>
      <c r="AC736" s="1"/>
      <c r="AD736" s="1"/>
      <c r="AE736" s="1"/>
      <c r="AF736" s="1"/>
    </row>
    <row r="737">
      <c r="A737" s="1"/>
      <c r="B737" s="2"/>
      <c r="C737" s="117"/>
      <c r="D737" s="2"/>
      <c r="E737" s="2"/>
      <c r="F737" s="2"/>
      <c r="G737" s="2"/>
      <c r="H737" s="2"/>
      <c r="I737" s="117"/>
      <c r="J737" s="2"/>
      <c r="K737" s="2"/>
      <c r="L737" s="2"/>
      <c r="M737" s="2"/>
      <c r="N737" s="2"/>
      <c r="O737" s="2"/>
      <c r="P737" s="2"/>
      <c r="Q737" s="2"/>
      <c r="R737" s="2"/>
      <c r="S737" s="2"/>
      <c r="T737" s="2"/>
      <c r="U737" s="2"/>
      <c r="V737" s="1"/>
      <c r="W737" s="1"/>
      <c r="X737" s="1"/>
      <c r="Y737" s="1"/>
      <c r="Z737" s="1"/>
      <c r="AA737" s="1"/>
      <c r="AB737" s="1"/>
      <c r="AC737" s="1"/>
      <c r="AD737" s="1"/>
      <c r="AE737" s="1"/>
      <c r="AF737" s="1"/>
    </row>
    <row r="738">
      <c r="A738" s="1"/>
      <c r="B738" s="2"/>
      <c r="C738" s="117"/>
      <c r="D738" s="2"/>
      <c r="E738" s="2"/>
      <c r="F738" s="2"/>
      <c r="G738" s="2"/>
      <c r="H738" s="2"/>
      <c r="I738" s="117"/>
      <c r="J738" s="2"/>
      <c r="K738" s="2"/>
      <c r="L738" s="2"/>
      <c r="M738" s="2"/>
      <c r="N738" s="2"/>
      <c r="O738" s="2"/>
      <c r="P738" s="2"/>
      <c r="Q738" s="2"/>
      <c r="R738" s="2"/>
      <c r="S738" s="2"/>
      <c r="T738" s="2"/>
      <c r="U738" s="2"/>
      <c r="V738" s="1"/>
      <c r="W738" s="1"/>
      <c r="X738" s="1"/>
      <c r="Y738" s="1"/>
      <c r="Z738" s="1"/>
      <c r="AA738" s="1"/>
      <c r="AB738" s="1"/>
      <c r="AC738" s="1"/>
      <c r="AD738" s="1"/>
      <c r="AE738" s="1"/>
      <c r="AF738" s="1"/>
    </row>
    <row r="739">
      <c r="A739" s="1"/>
      <c r="B739" s="2"/>
      <c r="C739" s="117"/>
      <c r="D739" s="2"/>
      <c r="E739" s="2"/>
      <c r="F739" s="2"/>
      <c r="G739" s="2"/>
      <c r="H739" s="2"/>
      <c r="I739" s="117"/>
      <c r="J739" s="2"/>
      <c r="K739" s="2"/>
      <c r="L739" s="2"/>
      <c r="M739" s="2"/>
      <c r="N739" s="2"/>
      <c r="O739" s="2"/>
      <c r="P739" s="2"/>
      <c r="Q739" s="2"/>
      <c r="R739" s="2"/>
      <c r="S739" s="2"/>
      <c r="T739" s="2"/>
      <c r="U739" s="2"/>
      <c r="V739" s="1"/>
      <c r="W739" s="1"/>
      <c r="X739" s="1"/>
      <c r="Y739" s="1"/>
      <c r="Z739" s="1"/>
      <c r="AA739" s="1"/>
      <c r="AB739" s="1"/>
      <c r="AC739" s="1"/>
      <c r="AD739" s="1"/>
      <c r="AE739" s="1"/>
      <c r="AF739" s="1"/>
    </row>
    <row r="740">
      <c r="A740" s="1"/>
      <c r="B740" s="2"/>
      <c r="C740" s="117"/>
      <c r="D740" s="2"/>
      <c r="E740" s="2"/>
      <c r="F740" s="2"/>
      <c r="G740" s="2"/>
      <c r="H740" s="2"/>
      <c r="I740" s="117"/>
      <c r="J740" s="2"/>
      <c r="K740" s="2"/>
      <c r="L740" s="2"/>
      <c r="M740" s="2"/>
      <c r="N740" s="2"/>
      <c r="O740" s="2"/>
      <c r="P740" s="2"/>
      <c r="Q740" s="2"/>
      <c r="R740" s="2"/>
      <c r="S740" s="2"/>
      <c r="T740" s="2"/>
      <c r="U740" s="2"/>
      <c r="V740" s="1"/>
      <c r="W740" s="1"/>
      <c r="X740" s="1"/>
      <c r="Y740" s="1"/>
      <c r="Z740" s="1"/>
      <c r="AA740" s="1"/>
      <c r="AB740" s="1"/>
      <c r="AC740" s="1"/>
      <c r="AD740" s="1"/>
      <c r="AE740" s="1"/>
      <c r="AF740" s="1"/>
    </row>
    <row r="741">
      <c r="A741" s="1"/>
      <c r="B741" s="2"/>
      <c r="C741" s="117"/>
      <c r="D741" s="2"/>
      <c r="E741" s="2"/>
      <c r="F741" s="2"/>
      <c r="G741" s="2"/>
      <c r="H741" s="2"/>
      <c r="I741" s="117"/>
      <c r="J741" s="2"/>
      <c r="K741" s="2"/>
      <c r="L741" s="2"/>
      <c r="M741" s="2"/>
      <c r="N741" s="2"/>
      <c r="O741" s="2"/>
      <c r="P741" s="2"/>
      <c r="Q741" s="2"/>
      <c r="R741" s="2"/>
      <c r="S741" s="2"/>
      <c r="T741" s="2"/>
      <c r="U741" s="2"/>
      <c r="V741" s="1"/>
      <c r="W741" s="1"/>
      <c r="X741" s="1"/>
      <c r="Y741" s="1"/>
      <c r="Z741" s="1"/>
      <c r="AA741" s="1"/>
      <c r="AB741" s="1"/>
      <c r="AC741" s="1"/>
      <c r="AD741" s="1"/>
      <c r="AE741" s="1"/>
      <c r="AF741" s="1"/>
    </row>
    <row r="742">
      <c r="A742" s="1"/>
      <c r="B742" s="2"/>
      <c r="C742" s="117"/>
      <c r="D742" s="2"/>
      <c r="E742" s="2"/>
      <c r="F742" s="2"/>
      <c r="G742" s="2"/>
      <c r="H742" s="2"/>
      <c r="I742" s="117"/>
      <c r="J742" s="2"/>
      <c r="K742" s="2"/>
      <c r="L742" s="2"/>
      <c r="M742" s="2"/>
      <c r="N742" s="2"/>
      <c r="O742" s="2"/>
      <c r="P742" s="2"/>
      <c r="Q742" s="2"/>
      <c r="R742" s="2"/>
      <c r="S742" s="2"/>
      <c r="T742" s="2"/>
      <c r="U742" s="2"/>
      <c r="V742" s="1"/>
      <c r="W742" s="1"/>
      <c r="X742" s="1"/>
      <c r="Y742" s="1"/>
      <c r="Z742" s="1"/>
      <c r="AA742" s="1"/>
      <c r="AB742" s="1"/>
      <c r="AC742" s="1"/>
      <c r="AD742" s="1"/>
      <c r="AE742" s="1"/>
      <c r="AF742" s="1"/>
    </row>
    <row r="743">
      <c r="A743" s="1"/>
      <c r="B743" s="2"/>
      <c r="C743" s="117"/>
      <c r="D743" s="2"/>
      <c r="E743" s="2"/>
      <c r="F743" s="2"/>
      <c r="G743" s="2"/>
      <c r="H743" s="2"/>
      <c r="I743" s="117"/>
      <c r="J743" s="2"/>
      <c r="K743" s="2"/>
      <c r="L743" s="2"/>
      <c r="M743" s="2"/>
      <c r="N743" s="2"/>
      <c r="O743" s="2"/>
      <c r="P743" s="2"/>
      <c r="Q743" s="2"/>
      <c r="R743" s="2"/>
      <c r="S743" s="2"/>
      <c r="T743" s="2"/>
      <c r="U743" s="2"/>
      <c r="V743" s="1"/>
      <c r="W743" s="1"/>
      <c r="X743" s="1"/>
      <c r="Y743" s="1"/>
      <c r="Z743" s="1"/>
      <c r="AA743" s="1"/>
      <c r="AB743" s="1"/>
      <c r="AC743" s="1"/>
      <c r="AD743" s="1"/>
      <c r="AE743" s="1"/>
      <c r="AF743" s="1"/>
    </row>
    <row r="744">
      <c r="A744" s="1"/>
      <c r="B744" s="2"/>
      <c r="C744" s="117"/>
      <c r="D744" s="2"/>
      <c r="E744" s="2"/>
      <c r="F744" s="2"/>
      <c r="G744" s="2"/>
      <c r="H744" s="2"/>
      <c r="I744" s="117"/>
      <c r="J744" s="2"/>
      <c r="K744" s="2"/>
      <c r="L744" s="2"/>
      <c r="M744" s="2"/>
      <c r="N744" s="2"/>
      <c r="O744" s="2"/>
      <c r="P744" s="2"/>
      <c r="Q744" s="2"/>
      <c r="R744" s="2"/>
      <c r="S744" s="2"/>
      <c r="T744" s="2"/>
      <c r="U744" s="2"/>
      <c r="V744" s="1"/>
      <c r="W744" s="1"/>
      <c r="X744" s="1"/>
      <c r="Y744" s="1"/>
      <c r="Z744" s="1"/>
      <c r="AA744" s="1"/>
      <c r="AB744" s="1"/>
      <c r="AC744" s="1"/>
      <c r="AD744" s="1"/>
      <c r="AE744" s="1"/>
      <c r="AF744" s="1"/>
    </row>
    <row r="745">
      <c r="A745" s="1"/>
      <c r="B745" s="2"/>
      <c r="C745" s="117"/>
      <c r="D745" s="2"/>
      <c r="E745" s="2"/>
      <c r="F745" s="2"/>
      <c r="G745" s="2"/>
      <c r="H745" s="2"/>
      <c r="I745" s="117"/>
      <c r="J745" s="2"/>
      <c r="K745" s="2"/>
      <c r="L745" s="2"/>
      <c r="M745" s="2"/>
      <c r="N745" s="2"/>
      <c r="O745" s="2"/>
      <c r="P745" s="2"/>
      <c r="Q745" s="2"/>
      <c r="R745" s="2"/>
      <c r="S745" s="2"/>
      <c r="T745" s="2"/>
      <c r="U745" s="2"/>
      <c r="V745" s="1"/>
      <c r="W745" s="1"/>
      <c r="X745" s="1"/>
      <c r="Y745" s="1"/>
      <c r="Z745" s="1"/>
      <c r="AA745" s="1"/>
      <c r="AB745" s="1"/>
      <c r="AC745" s="1"/>
      <c r="AD745" s="1"/>
      <c r="AE745" s="1"/>
      <c r="AF745" s="1"/>
    </row>
    <row r="746">
      <c r="A746" s="1"/>
      <c r="B746" s="2"/>
      <c r="C746" s="117"/>
      <c r="D746" s="2"/>
      <c r="E746" s="2"/>
      <c r="F746" s="2"/>
      <c r="G746" s="2"/>
      <c r="H746" s="2"/>
      <c r="I746" s="117"/>
      <c r="J746" s="2"/>
      <c r="K746" s="2"/>
      <c r="L746" s="2"/>
      <c r="M746" s="2"/>
      <c r="N746" s="2"/>
      <c r="O746" s="2"/>
      <c r="P746" s="2"/>
      <c r="Q746" s="2"/>
      <c r="R746" s="2"/>
      <c r="S746" s="2"/>
      <c r="T746" s="2"/>
      <c r="U746" s="2"/>
      <c r="V746" s="1"/>
      <c r="W746" s="1"/>
      <c r="X746" s="1"/>
      <c r="Y746" s="1"/>
      <c r="Z746" s="1"/>
      <c r="AA746" s="1"/>
      <c r="AB746" s="1"/>
      <c r="AC746" s="1"/>
      <c r="AD746" s="1"/>
      <c r="AE746" s="1"/>
      <c r="AF746" s="1"/>
    </row>
    <row r="747">
      <c r="A747" s="1"/>
      <c r="B747" s="2"/>
      <c r="C747" s="117"/>
      <c r="D747" s="2"/>
      <c r="E747" s="2"/>
      <c r="F747" s="2"/>
      <c r="G747" s="2"/>
      <c r="H747" s="2"/>
      <c r="I747" s="117"/>
      <c r="J747" s="2"/>
      <c r="K747" s="2"/>
      <c r="L747" s="2"/>
      <c r="M747" s="2"/>
      <c r="N747" s="2"/>
      <c r="O747" s="2"/>
      <c r="P747" s="2"/>
      <c r="Q747" s="2"/>
      <c r="R747" s="2"/>
      <c r="S747" s="2"/>
      <c r="T747" s="2"/>
      <c r="U747" s="2"/>
      <c r="V747" s="1"/>
      <c r="W747" s="1"/>
      <c r="X747" s="1"/>
      <c r="Y747" s="1"/>
      <c r="Z747" s="1"/>
      <c r="AA747" s="1"/>
      <c r="AB747" s="1"/>
      <c r="AC747" s="1"/>
      <c r="AD747" s="1"/>
      <c r="AE747" s="1"/>
      <c r="AF747" s="1"/>
    </row>
    <row r="748">
      <c r="A748" s="1"/>
      <c r="B748" s="2"/>
      <c r="C748" s="117"/>
      <c r="D748" s="2"/>
      <c r="E748" s="2"/>
      <c r="F748" s="2"/>
      <c r="G748" s="2"/>
      <c r="H748" s="2"/>
      <c r="I748" s="117"/>
      <c r="J748" s="2"/>
      <c r="K748" s="2"/>
      <c r="L748" s="2"/>
      <c r="M748" s="2"/>
      <c r="N748" s="2"/>
      <c r="O748" s="2"/>
      <c r="P748" s="2"/>
      <c r="Q748" s="2"/>
      <c r="R748" s="2"/>
      <c r="S748" s="2"/>
      <c r="T748" s="2"/>
      <c r="U748" s="2"/>
      <c r="V748" s="1"/>
      <c r="W748" s="1"/>
      <c r="X748" s="1"/>
      <c r="Y748" s="1"/>
      <c r="Z748" s="1"/>
      <c r="AA748" s="1"/>
      <c r="AB748" s="1"/>
      <c r="AC748" s="1"/>
      <c r="AD748" s="1"/>
      <c r="AE748" s="1"/>
      <c r="AF748" s="1"/>
    </row>
    <row r="749">
      <c r="A749" s="1"/>
      <c r="B749" s="2"/>
      <c r="C749" s="117"/>
      <c r="D749" s="2"/>
      <c r="E749" s="2"/>
      <c r="F749" s="2"/>
      <c r="G749" s="2"/>
      <c r="H749" s="2"/>
      <c r="I749" s="117"/>
      <c r="J749" s="2"/>
      <c r="K749" s="2"/>
      <c r="L749" s="2"/>
      <c r="M749" s="2"/>
      <c r="N749" s="2"/>
      <c r="O749" s="2"/>
      <c r="P749" s="2"/>
      <c r="Q749" s="2"/>
      <c r="R749" s="2"/>
      <c r="S749" s="2"/>
      <c r="T749" s="2"/>
      <c r="U749" s="2"/>
      <c r="V749" s="1"/>
      <c r="W749" s="1"/>
      <c r="X749" s="1"/>
      <c r="Y749" s="1"/>
      <c r="Z749" s="1"/>
      <c r="AA749" s="1"/>
      <c r="AB749" s="1"/>
      <c r="AC749" s="1"/>
      <c r="AD749" s="1"/>
      <c r="AE749" s="1"/>
      <c r="AF749" s="1"/>
    </row>
    <row r="750">
      <c r="A750" s="1"/>
      <c r="B750" s="2"/>
      <c r="C750" s="117"/>
      <c r="D750" s="2"/>
      <c r="E750" s="2"/>
      <c r="F750" s="2"/>
      <c r="G750" s="2"/>
      <c r="H750" s="2"/>
      <c r="I750" s="117"/>
      <c r="J750" s="2"/>
      <c r="K750" s="2"/>
      <c r="L750" s="2"/>
      <c r="M750" s="2"/>
      <c r="N750" s="2"/>
      <c r="O750" s="2"/>
      <c r="P750" s="2"/>
      <c r="Q750" s="2"/>
      <c r="R750" s="2"/>
      <c r="S750" s="2"/>
      <c r="T750" s="2"/>
      <c r="U750" s="2"/>
      <c r="V750" s="1"/>
      <c r="W750" s="1"/>
      <c r="X750" s="1"/>
      <c r="Y750" s="1"/>
      <c r="Z750" s="1"/>
      <c r="AA750" s="1"/>
      <c r="AB750" s="1"/>
      <c r="AC750" s="1"/>
      <c r="AD750" s="1"/>
      <c r="AE750" s="1"/>
      <c r="AF750" s="1"/>
    </row>
    <row r="751">
      <c r="A751" s="1"/>
      <c r="B751" s="2"/>
      <c r="C751" s="117"/>
      <c r="D751" s="2"/>
      <c r="E751" s="2"/>
      <c r="F751" s="2"/>
      <c r="G751" s="2"/>
      <c r="H751" s="2"/>
      <c r="I751" s="117"/>
      <c r="J751" s="2"/>
      <c r="K751" s="2"/>
      <c r="L751" s="2"/>
      <c r="M751" s="2"/>
      <c r="N751" s="2"/>
      <c r="O751" s="2"/>
      <c r="P751" s="2"/>
      <c r="Q751" s="2"/>
      <c r="R751" s="2"/>
      <c r="S751" s="2"/>
      <c r="T751" s="2"/>
      <c r="U751" s="2"/>
      <c r="V751" s="1"/>
      <c r="W751" s="1"/>
      <c r="X751" s="1"/>
      <c r="Y751" s="1"/>
      <c r="Z751" s="1"/>
      <c r="AA751" s="1"/>
      <c r="AB751" s="1"/>
      <c r="AC751" s="1"/>
      <c r="AD751" s="1"/>
      <c r="AE751" s="1"/>
      <c r="AF751" s="1"/>
    </row>
    <row r="752">
      <c r="A752" s="1"/>
      <c r="B752" s="2"/>
      <c r="C752" s="117"/>
      <c r="D752" s="2"/>
      <c r="E752" s="2"/>
      <c r="F752" s="2"/>
      <c r="G752" s="2"/>
      <c r="H752" s="2"/>
      <c r="I752" s="117"/>
      <c r="J752" s="2"/>
      <c r="K752" s="2"/>
      <c r="L752" s="2"/>
      <c r="M752" s="2"/>
      <c r="N752" s="2"/>
      <c r="O752" s="2"/>
      <c r="P752" s="2"/>
      <c r="Q752" s="2"/>
      <c r="R752" s="2"/>
      <c r="S752" s="2"/>
      <c r="T752" s="2"/>
      <c r="U752" s="2"/>
      <c r="V752" s="1"/>
      <c r="W752" s="1"/>
      <c r="X752" s="1"/>
      <c r="Y752" s="1"/>
      <c r="Z752" s="1"/>
      <c r="AA752" s="1"/>
      <c r="AB752" s="1"/>
      <c r="AC752" s="1"/>
      <c r="AD752" s="1"/>
      <c r="AE752" s="1"/>
      <c r="AF752" s="1"/>
    </row>
    <row r="753">
      <c r="A753" s="1"/>
      <c r="B753" s="2"/>
      <c r="C753" s="117"/>
      <c r="D753" s="2"/>
      <c r="E753" s="2"/>
      <c r="F753" s="2"/>
      <c r="G753" s="2"/>
      <c r="H753" s="2"/>
      <c r="I753" s="117"/>
      <c r="J753" s="2"/>
      <c r="K753" s="2"/>
      <c r="L753" s="2"/>
      <c r="M753" s="2"/>
      <c r="N753" s="2"/>
      <c r="O753" s="2"/>
      <c r="P753" s="2"/>
      <c r="Q753" s="2"/>
      <c r="R753" s="2"/>
      <c r="S753" s="2"/>
      <c r="T753" s="2"/>
      <c r="U753" s="2"/>
      <c r="V753" s="1"/>
      <c r="W753" s="1"/>
      <c r="X753" s="1"/>
      <c r="Y753" s="1"/>
      <c r="Z753" s="1"/>
      <c r="AA753" s="1"/>
      <c r="AB753" s="1"/>
      <c r="AC753" s="1"/>
      <c r="AD753" s="1"/>
      <c r="AE753" s="1"/>
      <c r="AF753" s="1"/>
    </row>
    <row r="754">
      <c r="A754" s="1"/>
      <c r="B754" s="2"/>
      <c r="C754" s="117"/>
      <c r="D754" s="2"/>
      <c r="E754" s="2"/>
      <c r="F754" s="2"/>
      <c r="G754" s="2"/>
      <c r="H754" s="2"/>
      <c r="I754" s="117"/>
      <c r="J754" s="2"/>
      <c r="K754" s="2"/>
      <c r="L754" s="2"/>
      <c r="M754" s="2"/>
      <c r="N754" s="2"/>
      <c r="O754" s="2"/>
      <c r="P754" s="2"/>
      <c r="Q754" s="2"/>
      <c r="R754" s="2"/>
      <c r="S754" s="2"/>
      <c r="T754" s="2"/>
      <c r="U754" s="2"/>
      <c r="V754" s="1"/>
      <c r="W754" s="1"/>
      <c r="X754" s="1"/>
      <c r="Y754" s="1"/>
      <c r="Z754" s="1"/>
      <c r="AA754" s="1"/>
      <c r="AB754" s="1"/>
      <c r="AC754" s="1"/>
      <c r="AD754" s="1"/>
      <c r="AE754" s="1"/>
      <c r="AF754" s="1"/>
    </row>
    <row r="755">
      <c r="A755" s="1"/>
      <c r="B755" s="2"/>
      <c r="C755" s="117"/>
      <c r="D755" s="2"/>
      <c r="E755" s="2"/>
      <c r="F755" s="2"/>
      <c r="G755" s="2"/>
      <c r="H755" s="2"/>
      <c r="I755" s="117"/>
      <c r="J755" s="2"/>
      <c r="K755" s="2"/>
      <c r="L755" s="2"/>
      <c r="M755" s="2"/>
      <c r="N755" s="2"/>
      <c r="O755" s="2"/>
      <c r="P755" s="2"/>
      <c r="Q755" s="2"/>
      <c r="R755" s="2"/>
      <c r="S755" s="2"/>
      <c r="T755" s="2"/>
      <c r="U755" s="2"/>
      <c r="V755" s="1"/>
      <c r="W755" s="1"/>
      <c r="X755" s="1"/>
      <c r="Y755" s="1"/>
      <c r="Z755" s="1"/>
      <c r="AA755" s="1"/>
      <c r="AB755" s="1"/>
      <c r="AC755" s="1"/>
      <c r="AD755" s="1"/>
      <c r="AE755" s="1"/>
      <c r="AF755" s="1"/>
    </row>
    <row r="756">
      <c r="A756" s="1"/>
      <c r="B756" s="2"/>
      <c r="C756" s="117"/>
      <c r="D756" s="2"/>
      <c r="E756" s="2"/>
      <c r="F756" s="2"/>
      <c r="G756" s="2"/>
      <c r="H756" s="2"/>
      <c r="I756" s="117"/>
      <c r="J756" s="2"/>
      <c r="K756" s="2"/>
      <c r="L756" s="2"/>
      <c r="M756" s="2"/>
      <c r="N756" s="2"/>
      <c r="O756" s="2"/>
      <c r="P756" s="2"/>
      <c r="Q756" s="2"/>
      <c r="R756" s="2"/>
      <c r="S756" s="2"/>
      <c r="T756" s="2"/>
      <c r="U756" s="2"/>
      <c r="V756" s="1"/>
      <c r="W756" s="1"/>
      <c r="X756" s="1"/>
      <c r="Y756" s="1"/>
      <c r="Z756" s="1"/>
      <c r="AA756" s="1"/>
      <c r="AB756" s="1"/>
      <c r="AC756" s="1"/>
      <c r="AD756" s="1"/>
      <c r="AE756" s="1"/>
      <c r="AF756" s="1"/>
    </row>
    <row r="757">
      <c r="A757" s="1"/>
      <c r="B757" s="2"/>
      <c r="C757" s="117"/>
      <c r="D757" s="2"/>
      <c r="E757" s="2"/>
      <c r="F757" s="2"/>
      <c r="G757" s="2"/>
      <c r="H757" s="2"/>
      <c r="I757" s="117"/>
      <c r="J757" s="2"/>
      <c r="K757" s="2"/>
      <c r="L757" s="2"/>
      <c r="M757" s="2"/>
      <c r="N757" s="2"/>
      <c r="O757" s="2"/>
      <c r="P757" s="2"/>
      <c r="Q757" s="2"/>
      <c r="R757" s="2"/>
      <c r="S757" s="2"/>
      <c r="T757" s="2"/>
      <c r="U757" s="2"/>
      <c r="V757" s="1"/>
      <c r="W757" s="1"/>
      <c r="X757" s="1"/>
      <c r="Y757" s="1"/>
      <c r="Z757" s="1"/>
      <c r="AA757" s="1"/>
      <c r="AB757" s="1"/>
      <c r="AC757" s="1"/>
      <c r="AD757" s="1"/>
      <c r="AE757" s="1"/>
      <c r="AF757" s="1"/>
    </row>
    <row r="758">
      <c r="A758" s="1"/>
      <c r="B758" s="2"/>
      <c r="C758" s="117"/>
      <c r="D758" s="2"/>
      <c r="E758" s="2"/>
      <c r="F758" s="2"/>
      <c r="G758" s="2"/>
      <c r="H758" s="2"/>
      <c r="I758" s="117"/>
      <c r="J758" s="2"/>
      <c r="K758" s="2"/>
      <c r="L758" s="2"/>
      <c r="M758" s="2"/>
      <c r="N758" s="2"/>
      <c r="O758" s="2"/>
      <c r="P758" s="2"/>
      <c r="Q758" s="2"/>
      <c r="R758" s="2"/>
      <c r="S758" s="2"/>
      <c r="T758" s="2"/>
      <c r="U758" s="2"/>
      <c r="V758" s="1"/>
      <c r="W758" s="1"/>
      <c r="X758" s="1"/>
      <c r="Y758" s="1"/>
      <c r="Z758" s="1"/>
      <c r="AA758" s="1"/>
      <c r="AB758" s="1"/>
      <c r="AC758" s="1"/>
      <c r="AD758" s="1"/>
      <c r="AE758" s="1"/>
      <c r="AF758" s="1"/>
    </row>
    <row r="759">
      <c r="A759" s="1"/>
      <c r="B759" s="2"/>
      <c r="C759" s="117"/>
      <c r="D759" s="2"/>
      <c r="E759" s="2"/>
      <c r="F759" s="2"/>
      <c r="G759" s="2"/>
      <c r="H759" s="2"/>
      <c r="I759" s="117"/>
      <c r="J759" s="2"/>
      <c r="K759" s="2"/>
      <c r="L759" s="2"/>
      <c r="M759" s="2"/>
      <c r="N759" s="2"/>
      <c r="O759" s="2"/>
      <c r="P759" s="2"/>
      <c r="Q759" s="2"/>
      <c r="R759" s="2"/>
      <c r="S759" s="2"/>
      <c r="T759" s="2"/>
      <c r="U759" s="2"/>
      <c r="V759" s="1"/>
      <c r="W759" s="1"/>
      <c r="X759" s="1"/>
      <c r="Y759" s="1"/>
      <c r="Z759" s="1"/>
      <c r="AA759" s="1"/>
      <c r="AB759" s="1"/>
      <c r="AC759" s="1"/>
      <c r="AD759" s="1"/>
      <c r="AE759" s="1"/>
      <c r="AF759" s="1"/>
    </row>
    <row r="760">
      <c r="A760" s="1"/>
      <c r="B760" s="2"/>
      <c r="C760" s="117"/>
      <c r="D760" s="2"/>
      <c r="E760" s="2"/>
      <c r="F760" s="2"/>
      <c r="G760" s="2"/>
      <c r="H760" s="2"/>
      <c r="I760" s="117"/>
      <c r="J760" s="2"/>
      <c r="K760" s="2"/>
      <c r="L760" s="2"/>
      <c r="M760" s="2"/>
      <c r="N760" s="2"/>
      <c r="O760" s="2"/>
      <c r="P760" s="2"/>
      <c r="Q760" s="2"/>
      <c r="R760" s="2"/>
      <c r="S760" s="2"/>
      <c r="T760" s="2"/>
      <c r="U760" s="2"/>
      <c r="V760" s="1"/>
      <c r="W760" s="1"/>
      <c r="X760" s="1"/>
      <c r="Y760" s="1"/>
      <c r="Z760" s="1"/>
      <c r="AA760" s="1"/>
      <c r="AB760" s="1"/>
      <c r="AC760" s="1"/>
      <c r="AD760" s="1"/>
      <c r="AE760" s="1"/>
      <c r="AF760" s="1"/>
    </row>
    <row r="761">
      <c r="A761" s="1"/>
      <c r="B761" s="2"/>
      <c r="C761" s="117"/>
      <c r="D761" s="2"/>
      <c r="E761" s="2"/>
      <c r="F761" s="2"/>
      <c r="G761" s="2"/>
      <c r="H761" s="2"/>
      <c r="I761" s="117"/>
      <c r="J761" s="2"/>
      <c r="K761" s="2"/>
      <c r="L761" s="2"/>
      <c r="M761" s="2"/>
      <c r="N761" s="2"/>
      <c r="O761" s="2"/>
      <c r="P761" s="2"/>
      <c r="Q761" s="2"/>
      <c r="R761" s="2"/>
      <c r="S761" s="2"/>
      <c r="T761" s="2"/>
      <c r="U761" s="2"/>
      <c r="V761" s="1"/>
      <c r="W761" s="1"/>
      <c r="X761" s="1"/>
      <c r="Y761" s="1"/>
      <c r="Z761" s="1"/>
      <c r="AA761" s="1"/>
      <c r="AB761" s="1"/>
      <c r="AC761" s="1"/>
      <c r="AD761" s="1"/>
      <c r="AE761" s="1"/>
      <c r="AF761" s="1"/>
    </row>
    <row r="762">
      <c r="A762" s="1"/>
      <c r="B762" s="2"/>
      <c r="C762" s="117"/>
      <c r="D762" s="2"/>
      <c r="E762" s="2"/>
      <c r="F762" s="2"/>
      <c r="G762" s="2"/>
      <c r="H762" s="2"/>
      <c r="I762" s="117"/>
      <c r="J762" s="2"/>
      <c r="K762" s="2"/>
      <c r="L762" s="2"/>
      <c r="M762" s="2"/>
      <c r="N762" s="2"/>
      <c r="O762" s="2"/>
      <c r="P762" s="2"/>
      <c r="Q762" s="2"/>
      <c r="R762" s="2"/>
      <c r="S762" s="2"/>
      <c r="T762" s="2"/>
      <c r="U762" s="2"/>
      <c r="V762" s="1"/>
      <c r="W762" s="1"/>
      <c r="X762" s="1"/>
      <c r="Y762" s="1"/>
      <c r="Z762" s="1"/>
      <c r="AA762" s="1"/>
      <c r="AB762" s="1"/>
      <c r="AC762" s="1"/>
      <c r="AD762" s="1"/>
      <c r="AE762" s="1"/>
      <c r="AF762" s="1"/>
    </row>
    <row r="763">
      <c r="A763" s="1"/>
      <c r="B763" s="2"/>
      <c r="C763" s="117"/>
      <c r="D763" s="2"/>
      <c r="E763" s="2"/>
      <c r="F763" s="2"/>
      <c r="G763" s="2"/>
      <c r="H763" s="2"/>
      <c r="I763" s="117"/>
      <c r="J763" s="2"/>
      <c r="K763" s="2"/>
      <c r="L763" s="2"/>
      <c r="M763" s="2"/>
      <c r="N763" s="2"/>
      <c r="O763" s="2"/>
      <c r="P763" s="2"/>
      <c r="Q763" s="2"/>
      <c r="R763" s="2"/>
      <c r="S763" s="2"/>
      <c r="T763" s="2"/>
      <c r="U763" s="2"/>
      <c r="V763" s="1"/>
      <c r="W763" s="1"/>
      <c r="X763" s="1"/>
      <c r="Y763" s="1"/>
      <c r="Z763" s="1"/>
      <c r="AA763" s="1"/>
      <c r="AB763" s="1"/>
      <c r="AC763" s="1"/>
      <c r="AD763" s="1"/>
      <c r="AE763" s="1"/>
      <c r="AF763" s="1"/>
    </row>
    <row r="764">
      <c r="A764" s="1"/>
      <c r="B764" s="2"/>
      <c r="C764" s="117"/>
      <c r="D764" s="2"/>
      <c r="E764" s="2"/>
      <c r="F764" s="2"/>
      <c r="G764" s="2"/>
      <c r="H764" s="2"/>
      <c r="I764" s="117"/>
      <c r="J764" s="2"/>
      <c r="K764" s="2"/>
      <c r="L764" s="2"/>
      <c r="M764" s="2"/>
      <c r="N764" s="2"/>
      <c r="O764" s="2"/>
      <c r="P764" s="2"/>
      <c r="Q764" s="2"/>
      <c r="R764" s="2"/>
      <c r="S764" s="2"/>
      <c r="T764" s="2"/>
      <c r="U764" s="2"/>
      <c r="V764" s="1"/>
      <c r="W764" s="1"/>
      <c r="X764" s="1"/>
      <c r="Y764" s="1"/>
      <c r="Z764" s="1"/>
      <c r="AA764" s="1"/>
      <c r="AB764" s="1"/>
      <c r="AC764" s="1"/>
      <c r="AD764" s="1"/>
      <c r="AE764" s="1"/>
      <c r="AF764" s="1"/>
    </row>
    <row r="765">
      <c r="A765" s="1"/>
      <c r="B765" s="2"/>
      <c r="C765" s="117"/>
      <c r="D765" s="2"/>
      <c r="E765" s="2"/>
      <c r="F765" s="2"/>
      <c r="G765" s="2"/>
      <c r="H765" s="2"/>
      <c r="I765" s="117"/>
      <c r="J765" s="2"/>
      <c r="K765" s="2"/>
      <c r="L765" s="2"/>
      <c r="M765" s="2"/>
      <c r="N765" s="2"/>
      <c r="O765" s="2"/>
      <c r="P765" s="2"/>
      <c r="Q765" s="2"/>
      <c r="R765" s="2"/>
      <c r="S765" s="2"/>
      <c r="T765" s="2"/>
      <c r="U765" s="2"/>
      <c r="V765" s="1"/>
      <c r="W765" s="1"/>
      <c r="X765" s="1"/>
      <c r="Y765" s="1"/>
      <c r="Z765" s="1"/>
      <c r="AA765" s="1"/>
      <c r="AB765" s="1"/>
      <c r="AC765" s="1"/>
      <c r="AD765" s="1"/>
      <c r="AE765" s="1"/>
      <c r="AF765" s="1"/>
    </row>
    <row r="766">
      <c r="A766" s="1"/>
      <c r="B766" s="2"/>
      <c r="C766" s="117"/>
      <c r="D766" s="2"/>
      <c r="E766" s="2"/>
      <c r="F766" s="2"/>
      <c r="G766" s="2"/>
      <c r="H766" s="2"/>
      <c r="I766" s="117"/>
      <c r="J766" s="2"/>
      <c r="K766" s="2"/>
      <c r="L766" s="2"/>
      <c r="M766" s="2"/>
      <c r="N766" s="2"/>
      <c r="O766" s="2"/>
      <c r="P766" s="2"/>
      <c r="Q766" s="2"/>
      <c r="R766" s="2"/>
      <c r="S766" s="2"/>
      <c r="T766" s="2"/>
      <c r="U766" s="2"/>
      <c r="V766" s="1"/>
      <c r="W766" s="1"/>
      <c r="X766" s="1"/>
      <c r="Y766" s="1"/>
      <c r="Z766" s="1"/>
      <c r="AA766" s="1"/>
      <c r="AB766" s="1"/>
      <c r="AC766" s="1"/>
      <c r="AD766" s="1"/>
      <c r="AE766" s="1"/>
      <c r="AF766" s="1"/>
    </row>
    <row r="767">
      <c r="A767" s="1"/>
      <c r="B767" s="2"/>
      <c r="C767" s="117"/>
      <c r="D767" s="2"/>
      <c r="E767" s="2"/>
      <c r="F767" s="2"/>
      <c r="G767" s="2"/>
      <c r="H767" s="2"/>
      <c r="I767" s="117"/>
      <c r="J767" s="2"/>
      <c r="K767" s="2"/>
      <c r="L767" s="2"/>
      <c r="M767" s="2"/>
      <c r="N767" s="2"/>
      <c r="O767" s="2"/>
      <c r="P767" s="2"/>
      <c r="Q767" s="2"/>
      <c r="R767" s="2"/>
      <c r="S767" s="2"/>
      <c r="T767" s="2"/>
      <c r="U767" s="2"/>
      <c r="V767" s="1"/>
      <c r="W767" s="1"/>
      <c r="X767" s="1"/>
      <c r="Y767" s="1"/>
      <c r="Z767" s="1"/>
      <c r="AA767" s="1"/>
      <c r="AB767" s="1"/>
      <c r="AC767" s="1"/>
      <c r="AD767" s="1"/>
      <c r="AE767" s="1"/>
      <c r="AF767" s="1"/>
    </row>
    <row r="768">
      <c r="A768" s="1"/>
      <c r="B768" s="2"/>
      <c r="C768" s="117"/>
      <c r="D768" s="2"/>
      <c r="E768" s="2"/>
      <c r="F768" s="2"/>
      <c r="G768" s="2"/>
      <c r="H768" s="2"/>
      <c r="I768" s="117"/>
      <c r="J768" s="2"/>
      <c r="K768" s="2"/>
      <c r="L768" s="2"/>
      <c r="M768" s="2"/>
      <c r="N768" s="2"/>
      <c r="O768" s="2"/>
      <c r="P768" s="2"/>
      <c r="Q768" s="2"/>
      <c r="R768" s="2"/>
      <c r="S768" s="2"/>
      <c r="T768" s="2"/>
      <c r="U768" s="2"/>
      <c r="V768" s="1"/>
      <c r="W768" s="1"/>
      <c r="X768" s="1"/>
      <c r="Y768" s="1"/>
      <c r="Z768" s="1"/>
      <c r="AA768" s="1"/>
      <c r="AB768" s="1"/>
      <c r="AC768" s="1"/>
      <c r="AD768" s="1"/>
      <c r="AE768" s="1"/>
      <c r="AF768" s="1"/>
    </row>
    <row r="769">
      <c r="A769" s="1"/>
      <c r="B769" s="2"/>
      <c r="C769" s="117"/>
      <c r="D769" s="2"/>
      <c r="E769" s="2"/>
      <c r="F769" s="2"/>
      <c r="G769" s="2"/>
      <c r="H769" s="2"/>
      <c r="I769" s="117"/>
      <c r="J769" s="2"/>
      <c r="K769" s="2"/>
      <c r="L769" s="2"/>
      <c r="M769" s="2"/>
      <c r="N769" s="2"/>
      <c r="O769" s="2"/>
      <c r="P769" s="2"/>
      <c r="Q769" s="2"/>
      <c r="R769" s="2"/>
      <c r="S769" s="2"/>
      <c r="T769" s="2"/>
      <c r="U769" s="2"/>
      <c r="V769" s="1"/>
      <c r="W769" s="1"/>
      <c r="X769" s="1"/>
      <c r="Y769" s="1"/>
      <c r="Z769" s="1"/>
      <c r="AA769" s="1"/>
      <c r="AB769" s="1"/>
      <c r="AC769" s="1"/>
      <c r="AD769" s="1"/>
      <c r="AE769" s="1"/>
      <c r="AF769" s="1"/>
    </row>
    <row r="770">
      <c r="A770" s="1"/>
      <c r="B770" s="2"/>
      <c r="C770" s="117"/>
      <c r="D770" s="2"/>
      <c r="E770" s="2"/>
      <c r="F770" s="2"/>
      <c r="G770" s="2"/>
      <c r="H770" s="2"/>
      <c r="I770" s="117"/>
      <c r="J770" s="2"/>
      <c r="K770" s="2"/>
      <c r="L770" s="2"/>
      <c r="M770" s="2"/>
      <c r="N770" s="2"/>
      <c r="O770" s="2"/>
      <c r="P770" s="2"/>
      <c r="Q770" s="2"/>
      <c r="R770" s="2"/>
      <c r="S770" s="2"/>
      <c r="T770" s="2"/>
      <c r="U770" s="2"/>
      <c r="V770" s="1"/>
      <c r="W770" s="1"/>
      <c r="X770" s="1"/>
      <c r="Y770" s="1"/>
      <c r="Z770" s="1"/>
      <c r="AA770" s="1"/>
      <c r="AB770" s="1"/>
      <c r="AC770" s="1"/>
      <c r="AD770" s="1"/>
      <c r="AE770" s="1"/>
      <c r="AF770" s="1"/>
    </row>
    <row r="771">
      <c r="A771" s="1"/>
      <c r="B771" s="2"/>
      <c r="C771" s="117"/>
      <c r="D771" s="2"/>
      <c r="E771" s="2"/>
      <c r="F771" s="2"/>
      <c r="G771" s="2"/>
      <c r="H771" s="2"/>
      <c r="I771" s="117"/>
      <c r="J771" s="2"/>
      <c r="K771" s="2"/>
      <c r="L771" s="2"/>
      <c r="M771" s="2"/>
      <c r="N771" s="2"/>
      <c r="O771" s="2"/>
      <c r="P771" s="2"/>
      <c r="Q771" s="2"/>
      <c r="R771" s="2"/>
      <c r="S771" s="2"/>
      <c r="T771" s="2"/>
      <c r="U771" s="2"/>
      <c r="V771" s="1"/>
      <c r="W771" s="1"/>
      <c r="X771" s="1"/>
      <c r="Y771" s="1"/>
      <c r="Z771" s="1"/>
      <c r="AA771" s="1"/>
      <c r="AB771" s="1"/>
      <c r="AC771" s="1"/>
      <c r="AD771" s="1"/>
      <c r="AE771" s="1"/>
      <c r="AF771" s="1"/>
    </row>
    <row r="772">
      <c r="A772" s="1"/>
      <c r="B772" s="2"/>
      <c r="C772" s="117"/>
      <c r="D772" s="2"/>
      <c r="E772" s="2"/>
      <c r="F772" s="2"/>
      <c r="G772" s="2"/>
      <c r="H772" s="2"/>
      <c r="I772" s="117"/>
      <c r="J772" s="2"/>
      <c r="K772" s="2"/>
      <c r="L772" s="2"/>
      <c r="M772" s="2"/>
      <c r="N772" s="2"/>
      <c r="O772" s="2"/>
      <c r="P772" s="2"/>
      <c r="Q772" s="2"/>
      <c r="R772" s="2"/>
      <c r="S772" s="2"/>
      <c r="T772" s="2"/>
      <c r="U772" s="2"/>
      <c r="V772" s="1"/>
      <c r="W772" s="1"/>
      <c r="X772" s="1"/>
      <c r="Y772" s="1"/>
      <c r="Z772" s="1"/>
      <c r="AA772" s="1"/>
      <c r="AB772" s="1"/>
      <c r="AC772" s="1"/>
      <c r="AD772" s="1"/>
      <c r="AE772" s="1"/>
      <c r="AF772" s="1"/>
    </row>
    <row r="773">
      <c r="A773" s="1"/>
      <c r="B773" s="2"/>
      <c r="C773" s="117"/>
      <c r="D773" s="2"/>
      <c r="E773" s="2"/>
      <c r="F773" s="2"/>
      <c r="G773" s="2"/>
      <c r="H773" s="2"/>
      <c r="I773" s="117"/>
      <c r="J773" s="2"/>
      <c r="K773" s="2"/>
      <c r="L773" s="2"/>
      <c r="M773" s="2"/>
      <c r="N773" s="2"/>
      <c r="O773" s="2"/>
      <c r="P773" s="2"/>
      <c r="Q773" s="2"/>
      <c r="R773" s="2"/>
      <c r="S773" s="2"/>
      <c r="T773" s="2"/>
      <c r="U773" s="2"/>
      <c r="V773" s="1"/>
      <c r="W773" s="1"/>
      <c r="X773" s="1"/>
      <c r="Y773" s="1"/>
      <c r="Z773" s="1"/>
      <c r="AA773" s="1"/>
      <c r="AB773" s="1"/>
      <c r="AC773" s="1"/>
      <c r="AD773" s="1"/>
      <c r="AE773" s="1"/>
      <c r="AF773" s="1"/>
    </row>
    <row r="774">
      <c r="A774" s="1"/>
      <c r="B774" s="2"/>
      <c r="C774" s="117"/>
      <c r="D774" s="2"/>
      <c r="E774" s="2"/>
      <c r="F774" s="2"/>
      <c r="G774" s="2"/>
      <c r="H774" s="2"/>
      <c r="I774" s="117"/>
      <c r="J774" s="2"/>
      <c r="K774" s="2"/>
      <c r="L774" s="2"/>
      <c r="M774" s="2"/>
      <c r="N774" s="2"/>
      <c r="O774" s="2"/>
      <c r="P774" s="2"/>
      <c r="Q774" s="2"/>
      <c r="R774" s="2"/>
      <c r="S774" s="2"/>
      <c r="T774" s="2"/>
      <c r="U774" s="2"/>
      <c r="V774" s="1"/>
      <c r="W774" s="1"/>
      <c r="X774" s="1"/>
      <c r="Y774" s="1"/>
      <c r="Z774" s="1"/>
      <c r="AA774" s="1"/>
      <c r="AB774" s="1"/>
      <c r="AC774" s="1"/>
      <c r="AD774" s="1"/>
      <c r="AE774" s="1"/>
      <c r="AF774" s="1"/>
    </row>
    <row r="775">
      <c r="A775" s="1"/>
      <c r="B775" s="2"/>
      <c r="C775" s="117"/>
      <c r="D775" s="2"/>
      <c r="E775" s="2"/>
      <c r="F775" s="2"/>
      <c r="G775" s="2"/>
      <c r="H775" s="2"/>
      <c r="I775" s="117"/>
      <c r="J775" s="2"/>
      <c r="K775" s="2"/>
      <c r="L775" s="2"/>
      <c r="M775" s="2"/>
      <c r="N775" s="2"/>
      <c r="O775" s="2"/>
      <c r="P775" s="2"/>
      <c r="Q775" s="2"/>
      <c r="R775" s="2"/>
      <c r="S775" s="2"/>
      <c r="T775" s="2"/>
      <c r="U775" s="2"/>
      <c r="V775" s="1"/>
      <c r="W775" s="1"/>
      <c r="X775" s="1"/>
      <c r="Y775" s="1"/>
      <c r="Z775" s="1"/>
      <c r="AA775" s="1"/>
      <c r="AB775" s="1"/>
      <c r="AC775" s="1"/>
      <c r="AD775" s="1"/>
      <c r="AE775" s="1"/>
      <c r="AF775" s="1"/>
    </row>
    <row r="776">
      <c r="A776" s="1"/>
      <c r="B776" s="2"/>
      <c r="C776" s="117"/>
      <c r="D776" s="2"/>
      <c r="E776" s="2"/>
      <c r="F776" s="2"/>
      <c r="G776" s="2"/>
      <c r="H776" s="2"/>
      <c r="I776" s="117"/>
      <c r="J776" s="2"/>
      <c r="K776" s="2"/>
      <c r="L776" s="2"/>
      <c r="M776" s="2"/>
      <c r="N776" s="2"/>
      <c r="O776" s="2"/>
      <c r="P776" s="2"/>
      <c r="Q776" s="2"/>
      <c r="R776" s="2"/>
      <c r="S776" s="2"/>
      <c r="T776" s="2"/>
      <c r="U776" s="2"/>
      <c r="V776" s="1"/>
      <c r="W776" s="1"/>
      <c r="X776" s="1"/>
      <c r="Y776" s="1"/>
      <c r="Z776" s="1"/>
      <c r="AA776" s="1"/>
      <c r="AB776" s="1"/>
      <c r="AC776" s="1"/>
      <c r="AD776" s="1"/>
      <c r="AE776" s="1"/>
      <c r="AF776" s="1"/>
    </row>
    <row r="777">
      <c r="A777" s="1"/>
      <c r="B777" s="2"/>
      <c r="C777" s="117"/>
      <c r="D777" s="2"/>
      <c r="E777" s="2"/>
      <c r="F777" s="2"/>
      <c r="G777" s="2"/>
      <c r="H777" s="2"/>
      <c r="I777" s="117"/>
      <c r="J777" s="2"/>
      <c r="K777" s="2"/>
      <c r="L777" s="2"/>
      <c r="M777" s="2"/>
      <c r="N777" s="2"/>
      <c r="O777" s="2"/>
      <c r="P777" s="2"/>
      <c r="Q777" s="2"/>
      <c r="R777" s="2"/>
      <c r="S777" s="2"/>
      <c r="T777" s="2"/>
      <c r="U777" s="2"/>
      <c r="V777" s="1"/>
      <c r="W777" s="1"/>
      <c r="X777" s="1"/>
      <c r="Y777" s="1"/>
      <c r="Z777" s="1"/>
      <c r="AA777" s="1"/>
      <c r="AB777" s="1"/>
      <c r="AC777" s="1"/>
      <c r="AD777" s="1"/>
      <c r="AE777" s="1"/>
      <c r="AF777" s="1"/>
    </row>
    <row r="778">
      <c r="A778" s="1"/>
      <c r="B778" s="2"/>
      <c r="C778" s="117"/>
      <c r="D778" s="2"/>
      <c r="E778" s="2"/>
      <c r="F778" s="2"/>
      <c r="G778" s="2"/>
      <c r="H778" s="2"/>
      <c r="I778" s="117"/>
      <c r="J778" s="2"/>
      <c r="K778" s="2"/>
      <c r="L778" s="2"/>
      <c r="M778" s="2"/>
      <c r="N778" s="2"/>
      <c r="O778" s="2"/>
      <c r="P778" s="2"/>
      <c r="Q778" s="2"/>
      <c r="R778" s="2"/>
      <c r="S778" s="2"/>
      <c r="T778" s="2"/>
      <c r="U778" s="2"/>
      <c r="V778" s="1"/>
      <c r="W778" s="1"/>
      <c r="X778" s="1"/>
      <c r="Y778" s="1"/>
      <c r="Z778" s="1"/>
      <c r="AA778" s="1"/>
      <c r="AB778" s="1"/>
      <c r="AC778" s="1"/>
      <c r="AD778" s="1"/>
      <c r="AE778" s="1"/>
      <c r="AF778" s="1"/>
    </row>
    <row r="779">
      <c r="A779" s="1"/>
      <c r="B779" s="2"/>
      <c r="C779" s="117"/>
      <c r="D779" s="2"/>
      <c r="E779" s="2"/>
      <c r="F779" s="2"/>
      <c r="G779" s="2"/>
      <c r="H779" s="2"/>
      <c r="I779" s="117"/>
      <c r="J779" s="2"/>
      <c r="K779" s="2"/>
      <c r="L779" s="2"/>
      <c r="M779" s="2"/>
      <c r="N779" s="2"/>
      <c r="O779" s="2"/>
      <c r="P779" s="2"/>
      <c r="Q779" s="2"/>
      <c r="R779" s="2"/>
      <c r="S779" s="2"/>
      <c r="T779" s="2"/>
      <c r="U779" s="2"/>
      <c r="V779" s="1"/>
      <c r="W779" s="1"/>
      <c r="X779" s="1"/>
      <c r="Y779" s="1"/>
      <c r="Z779" s="1"/>
      <c r="AA779" s="1"/>
      <c r="AB779" s="1"/>
      <c r="AC779" s="1"/>
      <c r="AD779" s="1"/>
      <c r="AE779" s="1"/>
      <c r="AF779" s="1"/>
    </row>
    <row r="780">
      <c r="A780" s="1"/>
      <c r="B780" s="2"/>
      <c r="C780" s="117"/>
      <c r="D780" s="2"/>
      <c r="E780" s="2"/>
      <c r="F780" s="2"/>
      <c r="G780" s="2"/>
      <c r="H780" s="2"/>
      <c r="I780" s="117"/>
      <c r="J780" s="2"/>
      <c r="K780" s="2"/>
      <c r="L780" s="2"/>
      <c r="M780" s="2"/>
      <c r="N780" s="2"/>
      <c r="O780" s="2"/>
      <c r="P780" s="2"/>
      <c r="Q780" s="2"/>
      <c r="R780" s="2"/>
      <c r="S780" s="2"/>
      <c r="T780" s="2"/>
      <c r="U780" s="2"/>
      <c r="V780" s="1"/>
      <c r="W780" s="1"/>
      <c r="X780" s="1"/>
      <c r="Y780" s="1"/>
      <c r="Z780" s="1"/>
      <c r="AA780" s="1"/>
      <c r="AB780" s="1"/>
      <c r="AC780" s="1"/>
      <c r="AD780" s="1"/>
      <c r="AE780" s="1"/>
      <c r="AF780" s="1"/>
    </row>
    <row r="781">
      <c r="A781" s="1"/>
      <c r="B781" s="2"/>
      <c r="C781" s="117"/>
      <c r="D781" s="2"/>
      <c r="E781" s="2"/>
      <c r="F781" s="2"/>
      <c r="G781" s="2"/>
      <c r="H781" s="2"/>
      <c r="I781" s="117"/>
      <c r="J781" s="2"/>
      <c r="K781" s="2"/>
      <c r="L781" s="2"/>
      <c r="M781" s="2"/>
      <c r="N781" s="2"/>
      <c r="O781" s="2"/>
      <c r="P781" s="2"/>
      <c r="Q781" s="2"/>
      <c r="R781" s="2"/>
      <c r="S781" s="2"/>
      <c r="T781" s="2"/>
      <c r="U781" s="2"/>
      <c r="V781" s="1"/>
      <c r="W781" s="1"/>
      <c r="X781" s="1"/>
      <c r="Y781" s="1"/>
      <c r="Z781" s="1"/>
      <c r="AA781" s="1"/>
      <c r="AB781" s="1"/>
      <c r="AC781" s="1"/>
      <c r="AD781" s="1"/>
      <c r="AE781" s="1"/>
      <c r="AF781" s="1"/>
    </row>
    <row r="782">
      <c r="A782" s="1"/>
      <c r="B782" s="2"/>
      <c r="C782" s="117"/>
      <c r="D782" s="2"/>
      <c r="E782" s="2"/>
      <c r="F782" s="2"/>
      <c r="G782" s="2"/>
      <c r="H782" s="2"/>
      <c r="I782" s="117"/>
      <c r="J782" s="2"/>
      <c r="K782" s="2"/>
      <c r="L782" s="2"/>
      <c r="M782" s="2"/>
      <c r="N782" s="2"/>
      <c r="O782" s="2"/>
      <c r="P782" s="2"/>
      <c r="Q782" s="2"/>
      <c r="R782" s="2"/>
      <c r="S782" s="2"/>
      <c r="T782" s="2"/>
      <c r="U782" s="2"/>
      <c r="V782" s="1"/>
      <c r="W782" s="1"/>
      <c r="X782" s="1"/>
      <c r="Y782" s="1"/>
      <c r="Z782" s="1"/>
      <c r="AA782" s="1"/>
      <c r="AB782" s="1"/>
      <c r="AC782" s="1"/>
      <c r="AD782" s="1"/>
      <c r="AE782" s="1"/>
      <c r="AF782" s="1"/>
    </row>
    <row r="783">
      <c r="A783" s="1"/>
      <c r="B783" s="2"/>
      <c r="C783" s="117"/>
      <c r="D783" s="2"/>
      <c r="E783" s="2"/>
      <c r="F783" s="2"/>
      <c r="G783" s="2"/>
      <c r="H783" s="2"/>
      <c r="I783" s="117"/>
      <c r="J783" s="2"/>
      <c r="K783" s="2"/>
      <c r="L783" s="2"/>
      <c r="M783" s="2"/>
      <c r="N783" s="2"/>
      <c r="O783" s="2"/>
      <c r="P783" s="2"/>
      <c r="Q783" s="2"/>
      <c r="R783" s="2"/>
      <c r="S783" s="2"/>
      <c r="T783" s="2"/>
      <c r="U783" s="2"/>
      <c r="V783" s="1"/>
      <c r="W783" s="1"/>
      <c r="X783" s="1"/>
      <c r="Y783" s="1"/>
      <c r="Z783" s="1"/>
      <c r="AA783" s="1"/>
      <c r="AB783" s="1"/>
      <c r="AC783" s="1"/>
      <c r="AD783" s="1"/>
      <c r="AE783" s="1"/>
      <c r="AF783" s="1"/>
    </row>
    <row r="784">
      <c r="A784" s="1"/>
      <c r="B784" s="2"/>
      <c r="C784" s="117"/>
      <c r="D784" s="2"/>
      <c r="E784" s="2"/>
      <c r="F784" s="2"/>
      <c r="G784" s="2"/>
      <c r="H784" s="2"/>
      <c r="I784" s="117"/>
      <c r="J784" s="2"/>
      <c r="K784" s="2"/>
      <c r="L784" s="2"/>
      <c r="M784" s="2"/>
      <c r="N784" s="2"/>
      <c r="O784" s="2"/>
      <c r="P784" s="2"/>
      <c r="Q784" s="2"/>
      <c r="R784" s="2"/>
      <c r="S784" s="2"/>
      <c r="T784" s="2"/>
      <c r="U784" s="2"/>
      <c r="V784" s="1"/>
      <c r="W784" s="1"/>
      <c r="X784" s="1"/>
      <c r="Y784" s="1"/>
      <c r="Z784" s="1"/>
      <c r="AA784" s="1"/>
      <c r="AB784" s="1"/>
      <c r="AC784" s="1"/>
      <c r="AD784" s="1"/>
      <c r="AE784" s="1"/>
      <c r="AF784" s="1"/>
    </row>
    <row r="785">
      <c r="A785" s="1"/>
      <c r="B785" s="2"/>
      <c r="C785" s="117"/>
      <c r="D785" s="2"/>
      <c r="E785" s="2"/>
      <c r="F785" s="2"/>
      <c r="G785" s="2"/>
      <c r="H785" s="2"/>
      <c r="I785" s="117"/>
      <c r="J785" s="2"/>
      <c r="K785" s="2"/>
      <c r="L785" s="2"/>
      <c r="M785" s="2"/>
      <c r="N785" s="2"/>
      <c r="O785" s="2"/>
      <c r="P785" s="2"/>
      <c r="Q785" s="2"/>
      <c r="R785" s="2"/>
      <c r="S785" s="2"/>
      <c r="T785" s="2"/>
      <c r="U785" s="2"/>
      <c r="V785" s="1"/>
      <c r="W785" s="1"/>
      <c r="X785" s="1"/>
      <c r="Y785" s="1"/>
      <c r="Z785" s="1"/>
      <c r="AA785" s="1"/>
      <c r="AB785" s="1"/>
      <c r="AC785" s="1"/>
      <c r="AD785" s="1"/>
      <c r="AE785" s="1"/>
      <c r="AF785" s="1"/>
    </row>
    <row r="786">
      <c r="A786" s="1"/>
      <c r="B786" s="2"/>
      <c r="C786" s="117"/>
      <c r="D786" s="2"/>
      <c r="E786" s="2"/>
      <c r="F786" s="2"/>
      <c r="G786" s="2"/>
      <c r="H786" s="2"/>
      <c r="I786" s="117"/>
      <c r="J786" s="2"/>
      <c r="K786" s="2"/>
      <c r="L786" s="2"/>
      <c r="M786" s="2"/>
      <c r="N786" s="2"/>
      <c r="O786" s="2"/>
      <c r="P786" s="2"/>
      <c r="Q786" s="2"/>
      <c r="R786" s="2"/>
      <c r="S786" s="2"/>
      <c r="T786" s="2"/>
      <c r="U786" s="2"/>
      <c r="V786" s="1"/>
      <c r="W786" s="1"/>
      <c r="X786" s="1"/>
      <c r="Y786" s="1"/>
      <c r="Z786" s="1"/>
      <c r="AA786" s="1"/>
      <c r="AB786" s="1"/>
      <c r="AC786" s="1"/>
      <c r="AD786" s="1"/>
      <c r="AE786" s="1"/>
      <c r="AF786" s="1"/>
    </row>
    <row r="787">
      <c r="A787" s="1"/>
      <c r="B787" s="2"/>
      <c r="C787" s="117"/>
      <c r="D787" s="2"/>
      <c r="E787" s="2"/>
      <c r="F787" s="2"/>
      <c r="G787" s="2"/>
      <c r="H787" s="2"/>
      <c r="I787" s="117"/>
      <c r="J787" s="2"/>
      <c r="K787" s="2"/>
      <c r="L787" s="2"/>
      <c r="M787" s="2"/>
      <c r="N787" s="2"/>
      <c r="O787" s="2"/>
      <c r="P787" s="2"/>
      <c r="Q787" s="2"/>
      <c r="R787" s="2"/>
      <c r="S787" s="2"/>
      <c r="T787" s="2"/>
      <c r="U787" s="2"/>
      <c r="V787" s="1"/>
      <c r="W787" s="1"/>
      <c r="X787" s="1"/>
      <c r="Y787" s="1"/>
      <c r="Z787" s="1"/>
      <c r="AA787" s="1"/>
      <c r="AB787" s="1"/>
      <c r="AC787" s="1"/>
      <c r="AD787" s="1"/>
      <c r="AE787" s="1"/>
      <c r="AF787" s="1"/>
    </row>
    <row r="788">
      <c r="A788" s="1"/>
      <c r="B788" s="2"/>
      <c r="C788" s="117"/>
      <c r="D788" s="2"/>
      <c r="E788" s="2"/>
      <c r="F788" s="2"/>
      <c r="G788" s="2"/>
      <c r="H788" s="2"/>
      <c r="I788" s="117"/>
      <c r="J788" s="2"/>
      <c r="K788" s="2"/>
      <c r="L788" s="2"/>
      <c r="M788" s="2"/>
      <c r="N788" s="2"/>
      <c r="O788" s="2"/>
      <c r="P788" s="2"/>
      <c r="Q788" s="2"/>
      <c r="R788" s="2"/>
      <c r="S788" s="2"/>
      <c r="T788" s="2"/>
      <c r="U788" s="2"/>
      <c r="V788" s="1"/>
      <c r="W788" s="1"/>
      <c r="X788" s="1"/>
      <c r="Y788" s="1"/>
      <c r="Z788" s="1"/>
      <c r="AA788" s="1"/>
      <c r="AB788" s="1"/>
      <c r="AC788" s="1"/>
      <c r="AD788" s="1"/>
      <c r="AE788" s="1"/>
      <c r="AF788" s="1"/>
    </row>
    <row r="789">
      <c r="A789" s="1"/>
      <c r="B789" s="2"/>
      <c r="C789" s="117"/>
      <c r="D789" s="2"/>
      <c r="E789" s="2"/>
      <c r="F789" s="2"/>
      <c r="G789" s="2"/>
      <c r="H789" s="2"/>
      <c r="I789" s="117"/>
      <c r="J789" s="2"/>
      <c r="K789" s="2"/>
      <c r="L789" s="2"/>
      <c r="M789" s="2"/>
      <c r="N789" s="2"/>
      <c r="O789" s="2"/>
      <c r="P789" s="2"/>
      <c r="Q789" s="2"/>
      <c r="R789" s="2"/>
      <c r="S789" s="2"/>
      <c r="T789" s="2"/>
      <c r="U789" s="2"/>
      <c r="V789" s="1"/>
      <c r="W789" s="1"/>
      <c r="X789" s="1"/>
      <c r="Y789" s="1"/>
      <c r="Z789" s="1"/>
      <c r="AA789" s="1"/>
      <c r="AB789" s="1"/>
      <c r="AC789" s="1"/>
      <c r="AD789" s="1"/>
      <c r="AE789" s="1"/>
      <c r="AF789" s="1"/>
    </row>
    <row r="790">
      <c r="A790" s="1"/>
      <c r="B790" s="2"/>
      <c r="C790" s="117"/>
      <c r="D790" s="2"/>
      <c r="E790" s="2"/>
      <c r="F790" s="2"/>
      <c r="G790" s="2"/>
      <c r="H790" s="2"/>
      <c r="I790" s="117"/>
      <c r="J790" s="2"/>
      <c r="K790" s="2"/>
      <c r="L790" s="2"/>
      <c r="M790" s="2"/>
      <c r="N790" s="2"/>
      <c r="O790" s="2"/>
      <c r="P790" s="2"/>
      <c r="Q790" s="2"/>
      <c r="R790" s="2"/>
      <c r="S790" s="2"/>
      <c r="T790" s="2"/>
      <c r="U790" s="2"/>
      <c r="V790" s="1"/>
      <c r="W790" s="1"/>
      <c r="X790" s="1"/>
      <c r="Y790" s="1"/>
      <c r="Z790" s="1"/>
      <c r="AA790" s="1"/>
      <c r="AB790" s="1"/>
      <c r="AC790" s="1"/>
      <c r="AD790" s="1"/>
      <c r="AE790" s="1"/>
      <c r="AF790" s="1"/>
    </row>
    <row r="791">
      <c r="A791" s="1"/>
      <c r="B791" s="2"/>
      <c r="C791" s="117"/>
      <c r="D791" s="2"/>
      <c r="E791" s="2"/>
      <c r="F791" s="2"/>
      <c r="G791" s="2"/>
      <c r="H791" s="2"/>
      <c r="I791" s="117"/>
      <c r="J791" s="2"/>
      <c r="K791" s="2"/>
      <c r="L791" s="2"/>
      <c r="M791" s="2"/>
      <c r="N791" s="2"/>
      <c r="O791" s="2"/>
      <c r="P791" s="2"/>
      <c r="Q791" s="2"/>
      <c r="R791" s="2"/>
      <c r="S791" s="2"/>
      <c r="T791" s="2"/>
      <c r="U791" s="2"/>
      <c r="V791" s="1"/>
      <c r="W791" s="1"/>
      <c r="X791" s="1"/>
      <c r="Y791" s="1"/>
      <c r="Z791" s="1"/>
      <c r="AA791" s="1"/>
      <c r="AB791" s="1"/>
      <c r="AC791" s="1"/>
      <c r="AD791" s="1"/>
      <c r="AE791" s="1"/>
      <c r="AF791" s="1"/>
    </row>
    <row r="792">
      <c r="A792" s="1"/>
      <c r="B792" s="2"/>
      <c r="C792" s="117"/>
      <c r="D792" s="2"/>
      <c r="E792" s="2"/>
      <c r="F792" s="2"/>
      <c r="G792" s="2"/>
      <c r="H792" s="2"/>
      <c r="I792" s="117"/>
      <c r="J792" s="2"/>
      <c r="K792" s="2"/>
      <c r="L792" s="2"/>
      <c r="M792" s="2"/>
      <c r="N792" s="2"/>
      <c r="O792" s="2"/>
      <c r="P792" s="2"/>
      <c r="Q792" s="2"/>
      <c r="R792" s="2"/>
      <c r="S792" s="2"/>
      <c r="T792" s="2"/>
      <c r="U792" s="2"/>
      <c r="V792" s="1"/>
      <c r="W792" s="1"/>
      <c r="X792" s="1"/>
      <c r="Y792" s="1"/>
      <c r="Z792" s="1"/>
      <c r="AA792" s="1"/>
      <c r="AB792" s="1"/>
      <c r="AC792" s="1"/>
      <c r="AD792" s="1"/>
      <c r="AE792" s="1"/>
      <c r="AF792" s="1"/>
    </row>
    <row r="793">
      <c r="A793" s="1"/>
      <c r="B793" s="2"/>
      <c r="C793" s="117"/>
      <c r="D793" s="2"/>
      <c r="E793" s="2"/>
      <c r="F793" s="2"/>
      <c r="G793" s="2"/>
      <c r="H793" s="2"/>
      <c r="I793" s="117"/>
      <c r="J793" s="2"/>
      <c r="K793" s="2"/>
      <c r="L793" s="2"/>
      <c r="M793" s="2"/>
      <c r="N793" s="2"/>
      <c r="O793" s="2"/>
      <c r="P793" s="2"/>
      <c r="Q793" s="2"/>
      <c r="R793" s="2"/>
      <c r="S793" s="2"/>
      <c r="T793" s="2"/>
      <c r="U793" s="2"/>
      <c r="V793" s="1"/>
      <c r="W793" s="1"/>
      <c r="X793" s="1"/>
      <c r="Y793" s="1"/>
      <c r="Z793" s="1"/>
      <c r="AA793" s="1"/>
      <c r="AB793" s="1"/>
      <c r="AC793" s="1"/>
      <c r="AD793" s="1"/>
      <c r="AE793" s="1"/>
      <c r="AF793" s="1"/>
    </row>
    <row r="794">
      <c r="A794" s="1"/>
      <c r="B794" s="2"/>
      <c r="C794" s="117"/>
      <c r="D794" s="2"/>
      <c r="E794" s="2"/>
      <c r="F794" s="2"/>
      <c r="G794" s="2"/>
      <c r="H794" s="2"/>
      <c r="I794" s="117"/>
      <c r="J794" s="2"/>
      <c r="K794" s="2"/>
      <c r="L794" s="2"/>
      <c r="M794" s="2"/>
      <c r="N794" s="2"/>
      <c r="O794" s="2"/>
      <c r="P794" s="2"/>
      <c r="Q794" s="2"/>
      <c r="R794" s="2"/>
      <c r="S794" s="2"/>
      <c r="T794" s="2"/>
      <c r="U794" s="2"/>
      <c r="V794" s="1"/>
      <c r="W794" s="1"/>
      <c r="X794" s="1"/>
      <c r="Y794" s="1"/>
      <c r="Z794" s="1"/>
      <c r="AA794" s="1"/>
      <c r="AB794" s="1"/>
      <c r="AC794" s="1"/>
      <c r="AD794" s="1"/>
      <c r="AE794" s="1"/>
      <c r="AF794" s="1"/>
    </row>
    <row r="795">
      <c r="A795" s="1"/>
      <c r="B795" s="2"/>
      <c r="C795" s="117"/>
      <c r="D795" s="2"/>
      <c r="E795" s="2"/>
      <c r="F795" s="2"/>
      <c r="G795" s="2"/>
      <c r="H795" s="2"/>
      <c r="I795" s="117"/>
      <c r="J795" s="2"/>
      <c r="K795" s="2"/>
      <c r="L795" s="2"/>
      <c r="M795" s="2"/>
      <c r="N795" s="2"/>
      <c r="O795" s="2"/>
      <c r="P795" s="2"/>
      <c r="Q795" s="2"/>
      <c r="R795" s="2"/>
      <c r="S795" s="2"/>
      <c r="T795" s="2"/>
      <c r="U795" s="2"/>
      <c r="V795" s="1"/>
      <c r="W795" s="1"/>
      <c r="X795" s="1"/>
      <c r="Y795" s="1"/>
      <c r="Z795" s="1"/>
      <c r="AA795" s="1"/>
      <c r="AB795" s="1"/>
      <c r="AC795" s="1"/>
      <c r="AD795" s="1"/>
      <c r="AE795" s="1"/>
      <c r="AF795" s="1"/>
    </row>
    <row r="796">
      <c r="A796" s="1"/>
      <c r="B796" s="2"/>
      <c r="C796" s="117"/>
      <c r="D796" s="2"/>
      <c r="E796" s="2"/>
      <c r="F796" s="2"/>
      <c r="G796" s="2"/>
      <c r="H796" s="2"/>
      <c r="I796" s="117"/>
      <c r="J796" s="2"/>
      <c r="K796" s="2"/>
      <c r="L796" s="2"/>
      <c r="M796" s="2"/>
      <c r="N796" s="2"/>
      <c r="O796" s="2"/>
      <c r="P796" s="2"/>
      <c r="Q796" s="2"/>
      <c r="R796" s="2"/>
      <c r="S796" s="2"/>
      <c r="T796" s="2"/>
      <c r="U796" s="2"/>
      <c r="V796" s="1"/>
      <c r="W796" s="1"/>
      <c r="X796" s="1"/>
      <c r="Y796" s="1"/>
      <c r="Z796" s="1"/>
      <c r="AA796" s="1"/>
      <c r="AB796" s="1"/>
      <c r="AC796" s="1"/>
      <c r="AD796" s="1"/>
      <c r="AE796" s="1"/>
      <c r="AF796" s="1"/>
    </row>
    <row r="797">
      <c r="A797" s="1"/>
      <c r="B797" s="2"/>
      <c r="C797" s="117"/>
      <c r="D797" s="2"/>
      <c r="E797" s="2"/>
      <c r="F797" s="2"/>
      <c r="G797" s="2"/>
      <c r="H797" s="2"/>
      <c r="I797" s="117"/>
      <c r="J797" s="2"/>
      <c r="K797" s="2"/>
      <c r="L797" s="2"/>
      <c r="M797" s="2"/>
      <c r="N797" s="2"/>
      <c r="O797" s="2"/>
      <c r="P797" s="2"/>
      <c r="Q797" s="2"/>
      <c r="R797" s="2"/>
      <c r="S797" s="2"/>
      <c r="T797" s="2"/>
      <c r="U797" s="2"/>
      <c r="V797" s="1"/>
      <c r="W797" s="1"/>
      <c r="X797" s="1"/>
      <c r="Y797" s="1"/>
      <c r="Z797" s="1"/>
      <c r="AA797" s="1"/>
      <c r="AB797" s="1"/>
      <c r="AC797" s="1"/>
      <c r="AD797" s="1"/>
      <c r="AE797" s="1"/>
      <c r="AF797" s="1"/>
    </row>
    <row r="798">
      <c r="A798" s="1"/>
      <c r="B798" s="2"/>
      <c r="C798" s="117"/>
      <c r="D798" s="2"/>
      <c r="E798" s="2"/>
      <c r="F798" s="2"/>
      <c r="G798" s="2"/>
      <c r="H798" s="2"/>
      <c r="I798" s="117"/>
      <c r="J798" s="2"/>
      <c r="K798" s="2"/>
      <c r="L798" s="2"/>
      <c r="M798" s="2"/>
      <c r="N798" s="2"/>
      <c r="O798" s="2"/>
      <c r="P798" s="2"/>
      <c r="Q798" s="2"/>
      <c r="R798" s="2"/>
      <c r="S798" s="2"/>
      <c r="T798" s="2"/>
      <c r="U798" s="2"/>
      <c r="V798" s="1"/>
      <c r="W798" s="1"/>
      <c r="X798" s="1"/>
      <c r="Y798" s="1"/>
      <c r="Z798" s="1"/>
      <c r="AA798" s="1"/>
      <c r="AB798" s="1"/>
      <c r="AC798" s="1"/>
      <c r="AD798" s="1"/>
      <c r="AE798" s="1"/>
      <c r="AF798" s="1"/>
    </row>
    <row r="799">
      <c r="A799" s="1"/>
      <c r="B799" s="2"/>
      <c r="C799" s="117"/>
      <c r="D799" s="2"/>
      <c r="E799" s="2"/>
      <c r="F799" s="2"/>
      <c r="G799" s="2"/>
      <c r="H799" s="2"/>
      <c r="I799" s="117"/>
      <c r="J799" s="2"/>
      <c r="K799" s="2"/>
      <c r="L799" s="2"/>
      <c r="M799" s="2"/>
      <c r="N799" s="2"/>
      <c r="O799" s="2"/>
      <c r="P799" s="2"/>
      <c r="Q799" s="2"/>
      <c r="R799" s="2"/>
      <c r="S799" s="2"/>
      <c r="T799" s="2"/>
      <c r="U799" s="2"/>
      <c r="V799" s="1"/>
      <c r="W799" s="1"/>
      <c r="X799" s="1"/>
      <c r="Y799" s="1"/>
      <c r="Z799" s="1"/>
      <c r="AA799" s="1"/>
      <c r="AB799" s="1"/>
      <c r="AC799" s="1"/>
      <c r="AD799" s="1"/>
      <c r="AE799" s="1"/>
      <c r="AF799" s="1"/>
    </row>
    <row r="800">
      <c r="A800" s="1"/>
      <c r="B800" s="2"/>
      <c r="C800" s="117"/>
      <c r="D800" s="2"/>
      <c r="E800" s="2"/>
      <c r="F800" s="2"/>
      <c r="G800" s="2"/>
      <c r="H800" s="2"/>
      <c r="I800" s="117"/>
      <c r="J800" s="2"/>
      <c r="K800" s="2"/>
      <c r="L800" s="2"/>
      <c r="M800" s="2"/>
      <c r="N800" s="2"/>
      <c r="O800" s="2"/>
      <c r="P800" s="2"/>
      <c r="Q800" s="2"/>
      <c r="R800" s="2"/>
      <c r="S800" s="2"/>
      <c r="T800" s="2"/>
      <c r="U800" s="2"/>
      <c r="V800" s="1"/>
      <c r="W800" s="1"/>
      <c r="X800" s="1"/>
      <c r="Y800" s="1"/>
      <c r="Z800" s="1"/>
      <c r="AA800" s="1"/>
      <c r="AB800" s="1"/>
      <c r="AC800" s="1"/>
      <c r="AD800" s="1"/>
      <c r="AE800" s="1"/>
      <c r="AF800" s="1"/>
    </row>
    <row r="801">
      <c r="A801" s="1"/>
      <c r="B801" s="2"/>
      <c r="C801" s="117"/>
      <c r="D801" s="2"/>
      <c r="E801" s="2"/>
      <c r="F801" s="2"/>
      <c r="G801" s="2"/>
      <c r="H801" s="2"/>
      <c r="I801" s="117"/>
      <c r="J801" s="2"/>
      <c r="K801" s="2"/>
      <c r="L801" s="2"/>
      <c r="M801" s="2"/>
      <c r="N801" s="2"/>
      <c r="O801" s="2"/>
      <c r="P801" s="2"/>
      <c r="Q801" s="2"/>
      <c r="R801" s="2"/>
      <c r="S801" s="2"/>
      <c r="T801" s="2"/>
      <c r="U801" s="2"/>
      <c r="V801" s="1"/>
      <c r="W801" s="1"/>
      <c r="X801" s="1"/>
      <c r="Y801" s="1"/>
      <c r="Z801" s="1"/>
      <c r="AA801" s="1"/>
      <c r="AB801" s="1"/>
      <c r="AC801" s="1"/>
      <c r="AD801" s="1"/>
      <c r="AE801" s="1"/>
      <c r="AF801" s="1"/>
    </row>
    <row r="802">
      <c r="A802" s="1"/>
      <c r="B802" s="2"/>
      <c r="C802" s="117"/>
      <c r="D802" s="2"/>
      <c r="E802" s="2"/>
      <c r="F802" s="2"/>
      <c r="G802" s="2"/>
      <c r="H802" s="2"/>
      <c r="I802" s="117"/>
      <c r="J802" s="2"/>
      <c r="K802" s="2"/>
      <c r="L802" s="2"/>
      <c r="M802" s="2"/>
      <c r="N802" s="2"/>
      <c r="O802" s="2"/>
      <c r="P802" s="2"/>
      <c r="Q802" s="2"/>
      <c r="R802" s="2"/>
      <c r="S802" s="2"/>
      <c r="T802" s="2"/>
      <c r="U802" s="2"/>
      <c r="V802" s="1"/>
      <c r="W802" s="1"/>
      <c r="X802" s="1"/>
      <c r="Y802" s="1"/>
      <c r="Z802" s="1"/>
      <c r="AA802" s="1"/>
      <c r="AB802" s="1"/>
      <c r="AC802" s="1"/>
      <c r="AD802" s="1"/>
      <c r="AE802" s="1"/>
      <c r="AF802" s="1"/>
    </row>
    <row r="803">
      <c r="A803" s="1"/>
      <c r="B803" s="2"/>
      <c r="C803" s="117"/>
      <c r="D803" s="2"/>
      <c r="E803" s="2"/>
      <c r="F803" s="2"/>
      <c r="G803" s="2"/>
      <c r="H803" s="2"/>
      <c r="I803" s="117"/>
      <c r="J803" s="2"/>
      <c r="K803" s="2"/>
      <c r="L803" s="2"/>
      <c r="M803" s="2"/>
      <c r="N803" s="2"/>
      <c r="O803" s="2"/>
      <c r="P803" s="2"/>
      <c r="Q803" s="2"/>
      <c r="R803" s="2"/>
      <c r="S803" s="2"/>
      <c r="T803" s="2"/>
      <c r="U803" s="2"/>
      <c r="V803" s="1"/>
      <c r="W803" s="1"/>
      <c r="X803" s="1"/>
      <c r="Y803" s="1"/>
      <c r="Z803" s="1"/>
      <c r="AA803" s="1"/>
      <c r="AB803" s="1"/>
      <c r="AC803" s="1"/>
      <c r="AD803" s="1"/>
      <c r="AE803" s="1"/>
      <c r="AF803" s="1"/>
    </row>
    <row r="804">
      <c r="A804" s="1"/>
      <c r="B804" s="2"/>
      <c r="C804" s="117"/>
      <c r="D804" s="2"/>
      <c r="E804" s="2"/>
      <c r="F804" s="2"/>
      <c r="G804" s="2"/>
      <c r="H804" s="2"/>
      <c r="I804" s="117"/>
      <c r="J804" s="2"/>
      <c r="K804" s="2"/>
      <c r="L804" s="2"/>
      <c r="M804" s="2"/>
      <c r="N804" s="2"/>
      <c r="O804" s="2"/>
      <c r="P804" s="2"/>
      <c r="Q804" s="2"/>
      <c r="R804" s="2"/>
      <c r="S804" s="2"/>
      <c r="T804" s="2"/>
      <c r="U804" s="2"/>
      <c r="V804" s="1"/>
      <c r="W804" s="1"/>
      <c r="X804" s="1"/>
      <c r="Y804" s="1"/>
      <c r="Z804" s="1"/>
      <c r="AA804" s="1"/>
      <c r="AB804" s="1"/>
      <c r="AC804" s="1"/>
      <c r="AD804" s="1"/>
      <c r="AE804" s="1"/>
      <c r="AF804" s="1"/>
    </row>
    <row r="805">
      <c r="A805" s="1"/>
      <c r="B805" s="2"/>
      <c r="C805" s="117"/>
      <c r="D805" s="2"/>
      <c r="E805" s="2"/>
      <c r="F805" s="2"/>
      <c r="G805" s="2"/>
      <c r="H805" s="2"/>
      <c r="I805" s="117"/>
      <c r="J805" s="2"/>
      <c r="K805" s="2"/>
      <c r="L805" s="2"/>
      <c r="M805" s="2"/>
      <c r="N805" s="2"/>
      <c r="O805" s="2"/>
      <c r="P805" s="2"/>
      <c r="Q805" s="2"/>
      <c r="R805" s="2"/>
      <c r="S805" s="2"/>
      <c r="T805" s="2"/>
      <c r="U805" s="2"/>
      <c r="V805" s="1"/>
      <c r="W805" s="1"/>
      <c r="X805" s="1"/>
      <c r="Y805" s="1"/>
      <c r="Z805" s="1"/>
      <c r="AA805" s="1"/>
      <c r="AB805" s="1"/>
      <c r="AC805" s="1"/>
      <c r="AD805" s="1"/>
      <c r="AE805" s="1"/>
      <c r="AF805" s="1"/>
    </row>
    <row r="806">
      <c r="A806" s="1"/>
      <c r="B806" s="2"/>
      <c r="C806" s="117"/>
      <c r="D806" s="2"/>
      <c r="E806" s="2"/>
      <c r="F806" s="2"/>
      <c r="G806" s="2"/>
      <c r="H806" s="2"/>
      <c r="I806" s="117"/>
      <c r="J806" s="2"/>
      <c r="K806" s="2"/>
      <c r="L806" s="2"/>
      <c r="M806" s="2"/>
      <c r="N806" s="2"/>
      <c r="O806" s="2"/>
      <c r="P806" s="2"/>
      <c r="Q806" s="2"/>
      <c r="R806" s="2"/>
      <c r="S806" s="2"/>
      <c r="T806" s="2"/>
      <c r="U806" s="2"/>
      <c r="V806" s="1"/>
      <c r="W806" s="1"/>
      <c r="X806" s="1"/>
      <c r="Y806" s="1"/>
      <c r="Z806" s="1"/>
      <c r="AA806" s="1"/>
      <c r="AB806" s="1"/>
      <c r="AC806" s="1"/>
      <c r="AD806" s="1"/>
      <c r="AE806" s="1"/>
      <c r="AF806" s="1"/>
    </row>
    <row r="807">
      <c r="A807" s="1"/>
      <c r="B807" s="2"/>
      <c r="C807" s="117"/>
      <c r="D807" s="2"/>
      <c r="E807" s="2"/>
      <c r="F807" s="2"/>
      <c r="G807" s="2"/>
      <c r="H807" s="2"/>
      <c r="I807" s="117"/>
      <c r="J807" s="2"/>
      <c r="K807" s="2"/>
      <c r="L807" s="2"/>
      <c r="M807" s="2"/>
      <c r="N807" s="2"/>
      <c r="O807" s="2"/>
      <c r="P807" s="2"/>
      <c r="Q807" s="2"/>
      <c r="R807" s="2"/>
      <c r="S807" s="2"/>
      <c r="T807" s="2"/>
      <c r="U807" s="2"/>
      <c r="V807" s="1"/>
      <c r="W807" s="1"/>
      <c r="X807" s="1"/>
      <c r="Y807" s="1"/>
      <c r="Z807" s="1"/>
      <c r="AA807" s="1"/>
      <c r="AB807" s="1"/>
      <c r="AC807" s="1"/>
      <c r="AD807" s="1"/>
      <c r="AE807" s="1"/>
      <c r="AF807" s="1"/>
    </row>
    <row r="808">
      <c r="A808" s="1"/>
      <c r="B808" s="2"/>
      <c r="C808" s="117"/>
      <c r="D808" s="2"/>
      <c r="E808" s="2"/>
      <c r="F808" s="2"/>
      <c r="G808" s="2"/>
      <c r="H808" s="2"/>
      <c r="I808" s="117"/>
      <c r="J808" s="2"/>
      <c r="K808" s="2"/>
      <c r="L808" s="2"/>
      <c r="M808" s="2"/>
      <c r="N808" s="2"/>
      <c r="O808" s="2"/>
      <c r="P808" s="2"/>
      <c r="Q808" s="2"/>
      <c r="R808" s="2"/>
      <c r="S808" s="2"/>
      <c r="T808" s="2"/>
      <c r="U808" s="2"/>
      <c r="V808" s="1"/>
      <c r="W808" s="1"/>
      <c r="X808" s="1"/>
      <c r="Y808" s="1"/>
      <c r="Z808" s="1"/>
      <c r="AA808" s="1"/>
      <c r="AB808" s="1"/>
      <c r="AC808" s="1"/>
      <c r="AD808" s="1"/>
      <c r="AE808" s="1"/>
      <c r="AF808" s="1"/>
    </row>
    <row r="809">
      <c r="A809" s="1"/>
      <c r="B809" s="2"/>
      <c r="C809" s="117"/>
      <c r="D809" s="2"/>
      <c r="E809" s="2"/>
      <c r="F809" s="2"/>
      <c r="G809" s="2"/>
      <c r="H809" s="2"/>
      <c r="I809" s="117"/>
      <c r="J809" s="2"/>
      <c r="K809" s="2"/>
      <c r="L809" s="2"/>
      <c r="M809" s="2"/>
      <c r="N809" s="2"/>
      <c r="O809" s="2"/>
      <c r="P809" s="2"/>
      <c r="Q809" s="2"/>
      <c r="R809" s="2"/>
      <c r="S809" s="2"/>
      <c r="T809" s="2"/>
      <c r="U809" s="2"/>
      <c r="V809" s="1"/>
      <c r="W809" s="1"/>
      <c r="X809" s="1"/>
      <c r="Y809" s="1"/>
      <c r="Z809" s="1"/>
      <c r="AA809" s="1"/>
      <c r="AB809" s="1"/>
      <c r="AC809" s="1"/>
      <c r="AD809" s="1"/>
      <c r="AE809" s="1"/>
      <c r="AF809" s="1"/>
    </row>
    <row r="810">
      <c r="A810" s="1"/>
      <c r="B810" s="2"/>
      <c r="C810" s="117"/>
      <c r="D810" s="2"/>
      <c r="E810" s="2"/>
      <c r="F810" s="2"/>
      <c r="G810" s="2"/>
      <c r="H810" s="2"/>
      <c r="I810" s="117"/>
      <c r="J810" s="2"/>
      <c r="K810" s="2"/>
      <c r="L810" s="2"/>
      <c r="M810" s="2"/>
      <c r="N810" s="2"/>
      <c r="O810" s="2"/>
      <c r="P810" s="2"/>
      <c r="Q810" s="2"/>
      <c r="R810" s="2"/>
      <c r="S810" s="2"/>
      <c r="T810" s="2"/>
      <c r="U810" s="2"/>
      <c r="V810" s="1"/>
      <c r="W810" s="1"/>
      <c r="X810" s="1"/>
      <c r="Y810" s="1"/>
      <c r="Z810" s="1"/>
      <c r="AA810" s="1"/>
      <c r="AB810" s="1"/>
      <c r="AC810" s="1"/>
      <c r="AD810" s="1"/>
      <c r="AE810" s="1"/>
      <c r="AF810" s="1"/>
    </row>
    <row r="811">
      <c r="A811" s="1"/>
      <c r="B811" s="2"/>
      <c r="C811" s="117"/>
      <c r="D811" s="2"/>
      <c r="E811" s="2"/>
      <c r="F811" s="2"/>
      <c r="G811" s="2"/>
      <c r="H811" s="2"/>
      <c r="I811" s="117"/>
      <c r="J811" s="2"/>
      <c r="K811" s="2"/>
      <c r="L811" s="2"/>
      <c r="M811" s="2"/>
      <c r="N811" s="2"/>
      <c r="O811" s="2"/>
      <c r="P811" s="2"/>
      <c r="Q811" s="2"/>
      <c r="R811" s="2"/>
      <c r="S811" s="2"/>
      <c r="T811" s="2"/>
      <c r="U811" s="2"/>
      <c r="V811" s="1"/>
      <c r="W811" s="1"/>
      <c r="X811" s="1"/>
      <c r="Y811" s="1"/>
      <c r="Z811" s="1"/>
      <c r="AA811" s="1"/>
      <c r="AB811" s="1"/>
      <c r="AC811" s="1"/>
      <c r="AD811" s="1"/>
      <c r="AE811" s="1"/>
      <c r="AF811" s="1"/>
    </row>
    <row r="812">
      <c r="A812" s="1"/>
      <c r="B812" s="2"/>
      <c r="C812" s="117"/>
      <c r="D812" s="2"/>
      <c r="E812" s="2"/>
      <c r="F812" s="2"/>
      <c r="G812" s="2"/>
      <c r="H812" s="2"/>
      <c r="I812" s="117"/>
      <c r="J812" s="2"/>
      <c r="K812" s="2"/>
      <c r="L812" s="2"/>
      <c r="M812" s="2"/>
      <c r="N812" s="2"/>
      <c r="O812" s="2"/>
      <c r="P812" s="2"/>
      <c r="Q812" s="2"/>
      <c r="R812" s="2"/>
      <c r="S812" s="2"/>
      <c r="T812" s="2"/>
      <c r="U812" s="2"/>
      <c r="V812" s="1"/>
      <c r="W812" s="1"/>
      <c r="X812" s="1"/>
      <c r="Y812" s="1"/>
      <c r="Z812" s="1"/>
      <c r="AA812" s="1"/>
      <c r="AB812" s="1"/>
      <c r="AC812" s="1"/>
      <c r="AD812" s="1"/>
      <c r="AE812" s="1"/>
      <c r="AF812" s="1"/>
    </row>
    <row r="813">
      <c r="A813" s="1"/>
      <c r="B813" s="2"/>
      <c r="C813" s="117"/>
      <c r="D813" s="2"/>
      <c r="E813" s="2"/>
      <c r="F813" s="2"/>
      <c r="G813" s="2"/>
      <c r="H813" s="2"/>
      <c r="I813" s="117"/>
      <c r="J813" s="2"/>
      <c r="K813" s="2"/>
      <c r="L813" s="2"/>
      <c r="M813" s="2"/>
      <c r="N813" s="2"/>
      <c r="O813" s="2"/>
      <c r="P813" s="2"/>
      <c r="Q813" s="2"/>
      <c r="R813" s="2"/>
      <c r="S813" s="2"/>
      <c r="T813" s="2"/>
      <c r="U813" s="2"/>
      <c r="V813" s="1"/>
      <c r="W813" s="1"/>
      <c r="X813" s="1"/>
      <c r="Y813" s="1"/>
      <c r="Z813" s="1"/>
      <c r="AA813" s="1"/>
      <c r="AB813" s="1"/>
      <c r="AC813" s="1"/>
      <c r="AD813" s="1"/>
      <c r="AE813" s="1"/>
      <c r="AF813" s="1"/>
    </row>
    <row r="814">
      <c r="A814" s="1"/>
      <c r="B814" s="2"/>
      <c r="C814" s="117"/>
      <c r="D814" s="2"/>
      <c r="E814" s="2"/>
      <c r="F814" s="2"/>
      <c r="G814" s="2"/>
      <c r="H814" s="2"/>
      <c r="I814" s="117"/>
      <c r="J814" s="2"/>
      <c r="K814" s="2"/>
      <c r="L814" s="2"/>
      <c r="M814" s="2"/>
      <c r="N814" s="2"/>
      <c r="O814" s="2"/>
      <c r="P814" s="2"/>
      <c r="Q814" s="2"/>
      <c r="R814" s="2"/>
      <c r="S814" s="2"/>
      <c r="T814" s="2"/>
      <c r="U814" s="2"/>
      <c r="V814" s="1"/>
      <c r="W814" s="1"/>
      <c r="X814" s="1"/>
      <c r="Y814" s="1"/>
      <c r="Z814" s="1"/>
      <c r="AA814" s="1"/>
      <c r="AB814" s="1"/>
      <c r="AC814" s="1"/>
      <c r="AD814" s="1"/>
      <c r="AE814" s="1"/>
      <c r="AF814" s="1"/>
    </row>
    <row r="815">
      <c r="A815" s="1"/>
      <c r="B815" s="2"/>
      <c r="C815" s="117"/>
      <c r="D815" s="2"/>
      <c r="E815" s="2"/>
      <c r="F815" s="2"/>
      <c r="G815" s="2"/>
      <c r="H815" s="2"/>
      <c r="I815" s="117"/>
      <c r="J815" s="2"/>
      <c r="K815" s="2"/>
      <c r="L815" s="2"/>
      <c r="M815" s="2"/>
      <c r="N815" s="2"/>
      <c r="O815" s="2"/>
      <c r="P815" s="2"/>
      <c r="Q815" s="2"/>
      <c r="R815" s="2"/>
      <c r="S815" s="2"/>
      <c r="T815" s="2"/>
      <c r="U815" s="2"/>
      <c r="V815" s="1"/>
      <c r="W815" s="1"/>
      <c r="X815" s="1"/>
      <c r="Y815" s="1"/>
      <c r="Z815" s="1"/>
      <c r="AA815" s="1"/>
      <c r="AB815" s="1"/>
      <c r="AC815" s="1"/>
      <c r="AD815" s="1"/>
      <c r="AE815" s="1"/>
      <c r="AF815" s="1"/>
    </row>
    <row r="816">
      <c r="A816" s="1"/>
      <c r="B816" s="2"/>
      <c r="C816" s="117"/>
      <c r="D816" s="2"/>
      <c r="E816" s="2"/>
      <c r="F816" s="2"/>
      <c r="G816" s="2"/>
      <c r="H816" s="2"/>
      <c r="I816" s="117"/>
      <c r="J816" s="2"/>
      <c r="K816" s="2"/>
      <c r="L816" s="2"/>
      <c r="M816" s="2"/>
      <c r="N816" s="2"/>
      <c r="O816" s="2"/>
      <c r="P816" s="2"/>
      <c r="Q816" s="2"/>
      <c r="R816" s="2"/>
      <c r="S816" s="2"/>
      <c r="T816" s="2"/>
      <c r="U816" s="2"/>
      <c r="V816" s="1"/>
      <c r="W816" s="1"/>
      <c r="X816" s="1"/>
      <c r="Y816" s="1"/>
      <c r="Z816" s="1"/>
      <c r="AA816" s="1"/>
      <c r="AB816" s="1"/>
      <c r="AC816" s="1"/>
      <c r="AD816" s="1"/>
      <c r="AE816" s="1"/>
      <c r="AF816" s="1"/>
    </row>
    <row r="817">
      <c r="A817" s="1"/>
      <c r="B817" s="2"/>
      <c r="C817" s="117"/>
      <c r="D817" s="2"/>
      <c r="E817" s="2"/>
      <c r="F817" s="2"/>
      <c r="G817" s="2"/>
      <c r="H817" s="2"/>
      <c r="I817" s="117"/>
      <c r="J817" s="2"/>
      <c r="K817" s="2"/>
      <c r="L817" s="2"/>
      <c r="M817" s="2"/>
      <c r="N817" s="2"/>
      <c r="O817" s="2"/>
      <c r="P817" s="2"/>
      <c r="Q817" s="2"/>
      <c r="R817" s="2"/>
      <c r="S817" s="2"/>
      <c r="T817" s="2"/>
      <c r="U817" s="2"/>
      <c r="V817" s="1"/>
      <c r="W817" s="1"/>
      <c r="X817" s="1"/>
      <c r="Y817" s="1"/>
      <c r="Z817" s="1"/>
      <c r="AA817" s="1"/>
      <c r="AB817" s="1"/>
      <c r="AC817" s="1"/>
      <c r="AD817" s="1"/>
      <c r="AE817" s="1"/>
      <c r="AF817" s="1"/>
    </row>
    <row r="818">
      <c r="A818" s="1"/>
      <c r="B818" s="2"/>
      <c r="C818" s="117"/>
      <c r="D818" s="2"/>
      <c r="E818" s="2"/>
      <c r="F818" s="2"/>
      <c r="G818" s="2"/>
      <c r="H818" s="2"/>
      <c r="I818" s="117"/>
      <c r="J818" s="2"/>
      <c r="K818" s="2"/>
      <c r="L818" s="2"/>
      <c r="M818" s="2"/>
      <c r="N818" s="2"/>
      <c r="O818" s="2"/>
      <c r="P818" s="2"/>
      <c r="Q818" s="2"/>
      <c r="R818" s="2"/>
      <c r="S818" s="2"/>
      <c r="T818" s="2"/>
      <c r="U818" s="2"/>
      <c r="V818" s="1"/>
      <c r="W818" s="1"/>
      <c r="X818" s="1"/>
      <c r="Y818" s="1"/>
      <c r="Z818" s="1"/>
      <c r="AA818" s="1"/>
      <c r="AB818" s="1"/>
      <c r="AC818" s="1"/>
      <c r="AD818" s="1"/>
      <c r="AE818" s="1"/>
      <c r="AF818" s="1"/>
    </row>
    <row r="819">
      <c r="A819" s="1"/>
      <c r="B819" s="2"/>
      <c r="C819" s="117"/>
      <c r="D819" s="2"/>
      <c r="E819" s="2"/>
      <c r="F819" s="2"/>
      <c r="G819" s="2"/>
      <c r="H819" s="2"/>
      <c r="I819" s="117"/>
      <c r="J819" s="2"/>
      <c r="K819" s="2"/>
      <c r="L819" s="2"/>
      <c r="M819" s="2"/>
      <c r="N819" s="2"/>
      <c r="O819" s="2"/>
      <c r="P819" s="2"/>
      <c r="Q819" s="2"/>
      <c r="R819" s="2"/>
      <c r="S819" s="2"/>
      <c r="T819" s="2"/>
      <c r="U819" s="2"/>
      <c r="V819" s="1"/>
      <c r="W819" s="1"/>
      <c r="X819" s="1"/>
      <c r="Y819" s="1"/>
      <c r="Z819" s="1"/>
      <c r="AA819" s="1"/>
      <c r="AB819" s="1"/>
      <c r="AC819" s="1"/>
      <c r="AD819" s="1"/>
      <c r="AE819" s="1"/>
      <c r="AF819" s="1"/>
    </row>
    <row r="820">
      <c r="A820" s="1"/>
      <c r="B820" s="2"/>
      <c r="C820" s="117"/>
      <c r="D820" s="2"/>
      <c r="E820" s="2"/>
      <c r="F820" s="2"/>
      <c r="G820" s="2"/>
      <c r="H820" s="2"/>
      <c r="I820" s="117"/>
      <c r="J820" s="2"/>
      <c r="K820" s="2"/>
      <c r="L820" s="2"/>
      <c r="M820" s="2"/>
      <c r="N820" s="2"/>
      <c r="O820" s="2"/>
      <c r="P820" s="2"/>
      <c r="Q820" s="2"/>
      <c r="R820" s="2"/>
      <c r="S820" s="2"/>
      <c r="T820" s="2"/>
      <c r="U820" s="2"/>
      <c r="V820" s="1"/>
      <c r="W820" s="1"/>
      <c r="X820" s="1"/>
      <c r="Y820" s="1"/>
      <c r="Z820" s="1"/>
      <c r="AA820" s="1"/>
      <c r="AB820" s="1"/>
      <c r="AC820" s="1"/>
      <c r="AD820" s="1"/>
      <c r="AE820" s="1"/>
      <c r="AF820" s="1"/>
    </row>
    <row r="821">
      <c r="A821" s="1"/>
      <c r="B821" s="2"/>
      <c r="C821" s="117"/>
      <c r="D821" s="2"/>
      <c r="E821" s="2"/>
      <c r="F821" s="2"/>
      <c r="G821" s="2"/>
      <c r="H821" s="2"/>
      <c r="I821" s="117"/>
      <c r="J821" s="2"/>
      <c r="K821" s="2"/>
      <c r="L821" s="2"/>
      <c r="M821" s="2"/>
      <c r="N821" s="2"/>
      <c r="O821" s="2"/>
      <c r="P821" s="2"/>
      <c r="Q821" s="2"/>
      <c r="R821" s="2"/>
      <c r="S821" s="2"/>
      <c r="T821" s="2"/>
      <c r="U821" s="2"/>
      <c r="V821" s="1"/>
      <c r="W821" s="1"/>
      <c r="X821" s="1"/>
      <c r="Y821" s="1"/>
      <c r="Z821" s="1"/>
      <c r="AA821" s="1"/>
      <c r="AB821" s="1"/>
      <c r="AC821" s="1"/>
      <c r="AD821" s="1"/>
      <c r="AE821" s="1"/>
      <c r="AF821" s="1"/>
    </row>
    <row r="822">
      <c r="A822" s="1"/>
      <c r="B822" s="2"/>
      <c r="C822" s="117"/>
      <c r="D822" s="2"/>
      <c r="E822" s="2"/>
      <c r="F822" s="2"/>
      <c r="G822" s="2"/>
      <c r="H822" s="2"/>
      <c r="I822" s="117"/>
      <c r="J822" s="2"/>
      <c r="K822" s="2"/>
      <c r="L822" s="2"/>
      <c r="M822" s="2"/>
      <c r="N822" s="2"/>
      <c r="O822" s="2"/>
      <c r="P822" s="2"/>
      <c r="Q822" s="2"/>
      <c r="R822" s="2"/>
      <c r="S822" s="2"/>
      <c r="T822" s="2"/>
      <c r="U822" s="2"/>
      <c r="V822" s="1"/>
      <c r="W822" s="1"/>
      <c r="X822" s="1"/>
      <c r="Y822" s="1"/>
      <c r="Z822" s="1"/>
      <c r="AA822" s="1"/>
      <c r="AB822" s="1"/>
      <c r="AC822" s="1"/>
      <c r="AD822" s="1"/>
      <c r="AE822" s="1"/>
      <c r="AF822" s="1"/>
    </row>
    <row r="823">
      <c r="A823" s="1"/>
      <c r="B823" s="2"/>
      <c r="C823" s="117"/>
      <c r="D823" s="2"/>
      <c r="E823" s="2"/>
      <c r="F823" s="2"/>
      <c r="G823" s="2"/>
      <c r="H823" s="2"/>
      <c r="I823" s="117"/>
      <c r="J823" s="2"/>
      <c r="K823" s="2"/>
      <c r="L823" s="2"/>
      <c r="M823" s="2"/>
      <c r="N823" s="2"/>
      <c r="O823" s="2"/>
      <c r="P823" s="2"/>
      <c r="Q823" s="2"/>
      <c r="R823" s="2"/>
      <c r="S823" s="2"/>
      <c r="T823" s="2"/>
      <c r="U823" s="2"/>
      <c r="V823" s="1"/>
      <c r="W823" s="1"/>
      <c r="X823" s="1"/>
      <c r="Y823" s="1"/>
      <c r="Z823" s="1"/>
      <c r="AA823" s="1"/>
      <c r="AB823" s="1"/>
      <c r="AC823" s="1"/>
      <c r="AD823" s="1"/>
      <c r="AE823" s="1"/>
      <c r="AF823" s="1"/>
    </row>
    <row r="824">
      <c r="A824" s="1"/>
      <c r="B824" s="2"/>
      <c r="C824" s="117"/>
      <c r="D824" s="2"/>
      <c r="E824" s="2"/>
      <c r="F824" s="2"/>
      <c r="G824" s="2"/>
      <c r="H824" s="2"/>
      <c r="I824" s="117"/>
      <c r="J824" s="2"/>
      <c r="K824" s="2"/>
      <c r="L824" s="2"/>
      <c r="M824" s="2"/>
      <c r="N824" s="2"/>
      <c r="O824" s="2"/>
      <c r="P824" s="2"/>
      <c r="Q824" s="2"/>
      <c r="R824" s="2"/>
      <c r="S824" s="2"/>
      <c r="T824" s="2"/>
      <c r="U824" s="2"/>
      <c r="V824" s="1"/>
      <c r="W824" s="1"/>
      <c r="X824" s="1"/>
      <c r="Y824" s="1"/>
      <c r="Z824" s="1"/>
      <c r="AA824" s="1"/>
      <c r="AB824" s="1"/>
      <c r="AC824" s="1"/>
      <c r="AD824" s="1"/>
      <c r="AE824" s="1"/>
      <c r="AF824" s="1"/>
    </row>
    <row r="825">
      <c r="A825" s="1"/>
      <c r="B825" s="2"/>
      <c r="C825" s="117"/>
      <c r="D825" s="2"/>
      <c r="E825" s="2"/>
      <c r="F825" s="2"/>
      <c r="G825" s="2"/>
      <c r="H825" s="2"/>
      <c r="I825" s="117"/>
      <c r="J825" s="2"/>
      <c r="K825" s="2"/>
      <c r="L825" s="2"/>
      <c r="M825" s="2"/>
      <c r="N825" s="2"/>
      <c r="O825" s="2"/>
      <c r="P825" s="2"/>
      <c r="Q825" s="2"/>
      <c r="R825" s="2"/>
      <c r="S825" s="2"/>
      <c r="T825" s="2"/>
      <c r="U825" s="2"/>
      <c r="V825" s="1"/>
      <c r="W825" s="1"/>
      <c r="X825" s="1"/>
      <c r="Y825" s="1"/>
      <c r="Z825" s="1"/>
      <c r="AA825" s="1"/>
      <c r="AB825" s="1"/>
      <c r="AC825" s="1"/>
      <c r="AD825" s="1"/>
      <c r="AE825" s="1"/>
      <c r="AF825" s="1"/>
    </row>
    <row r="826">
      <c r="A826" s="1"/>
      <c r="B826" s="2"/>
      <c r="C826" s="117"/>
      <c r="D826" s="2"/>
      <c r="E826" s="2"/>
      <c r="F826" s="2"/>
      <c r="G826" s="2"/>
      <c r="H826" s="2"/>
      <c r="I826" s="117"/>
      <c r="J826" s="2"/>
      <c r="K826" s="2"/>
      <c r="L826" s="2"/>
      <c r="M826" s="2"/>
      <c r="N826" s="2"/>
      <c r="O826" s="2"/>
      <c r="P826" s="2"/>
      <c r="Q826" s="2"/>
      <c r="R826" s="2"/>
      <c r="S826" s="2"/>
      <c r="T826" s="2"/>
      <c r="U826" s="2"/>
      <c r="V826" s="1"/>
      <c r="W826" s="1"/>
      <c r="X826" s="1"/>
      <c r="Y826" s="1"/>
      <c r="Z826" s="1"/>
      <c r="AA826" s="1"/>
      <c r="AB826" s="1"/>
      <c r="AC826" s="1"/>
      <c r="AD826" s="1"/>
      <c r="AE826" s="1"/>
      <c r="AF826" s="1"/>
    </row>
    <row r="827">
      <c r="A827" s="1"/>
      <c r="B827" s="2"/>
      <c r="C827" s="117"/>
      <c r="D827" s="2"/>
      <c r="E827" s="2"/>
      <c r="F827" s="2"/>
      <c r="G827" s="2"/>
      <c r="H827" s="2"/>
      <c r="I827" s="117"/>
      <c r="J827" s="2"/>
      <c r="K827" s="2"/>
      <c r="L827" s="2"/>
      <c r="M827" s="2"/>
      <c r="N827" s="2"/>
      <c r="O827" s="2"/>
      <c r="P827" s="2"/>
      <c r="Q827" s="2"/>
      <c r="R827" s="2"/>
      <c r="S827" s="2"/>
      <c r="T827" s="2"/>
      <c r="U827" s="2"/>
      <c r="V827" s="1"/>
      <c r="W827" s="1"/>
      <c r="X827" s="1"/>
      <c r="Y827" s="1"/>
      <c r="Z827" s="1"/>
      <c r="AA827" s="1"/>
      <c r="AB827" s="1"/>
      <c r="AC827" s="1"/>
      <c r="AD827" s="1"/>
      <c r="AE827" s="1"/>
      <c r="AF827" s="1"/>
    </row>
    <row r="828">
      <c r="A828" s="1"/>
      <c r="B828" s="2"/>
      <c r="C828" s="117"/>
      <c r="D828" s="2"/>
      <c r="E828" s="2"/>
      <c r="F828" s="2"/>
      <c r="G828" s="2"/>
      <c r="H828" s="2"/>
      <c r="I828" s="117"/>
      <c r="J828" s="2"/>
      <c r="K828" s="2"/>
      <c r="L828" s="2"/>
      <c r="M828" s="2"/>
      <c r="N828" s="2"/>
      <c r="O828" s="2"/>
      <c r="P828" s="2"/>
      <c r="Q828" s="2"/>
      <c r="R828" s="2"/>
      <c r="S828" s="2"/>
      <c r="T828" s="2"/>
      <c r="U828" s="2"/>
      <c r="V828" s="1"/>
      <c r="W828" s="1"/>
      <c r="X828" s="1"/>
      <c r="Y828" s="1"/>
      <c r="Z828" s="1"/>
      <c r="AA828" s="1"/>
      <c r="AB828" s="1"/>
      <c r="AC828" s="1"/>
      <c r="AD828" s="1"/>
      <c r="AE828" s="1"/>
      <c r="AF828" s="1"/>
    </row>
    <row r="829">
      <c r="A829" s="1"/>
      <c r="B829" s="2"/>
      <c r="C829" s="117"/>
      <c r="D829" s="2"/>
      <c r="E829" s="2"/>
      <c r="F829" s="2"/>
      <c r="G829" s="2"/>
      <c r="H829" s="2"/>
      <c r="I829" s="117"/>
      <c r="J829" s="2"/>
      <c r="K829" s="2"/>
      <c r="L829" s="2"/>
      <c r="M829" s="2"/>
      <c r="N829" s="2"/>
      <c r="O829" s="2"/>
      <c r="P829" s="2"/>
      <c r="Q829" s="2"/>
      <c r="R829" s="2"/>
      <c r="S829" s="2"/>
      <c r="T829" s="2"/>
      <c r="U829" s="2"/>
      <c r="V829" s="1"/>
      <c r="W829" s="1"/>
      <c r="X829" s="1"/>
      <c r="Y829" s="1"/>
      <c r="Z829" s="1"/>
      <c r="AA829" s="1"/>
      <c r="AB829" s="1"/>
      <c r="AC829" s="1"/>
      <c r="AD829" s="1"/>
      <c r="AE829" s="1"/>
      <c r="AF829" s="1"/>
    </row>
    <row r="830">
      <c r="A830" s="1"/>
      <c r="B830" s="2"/>
      <c r="C830" s="117"/>
      <c r="D830" s="2"/>
      <c r="E830" s="2"/>
      <c r="F830" s="2"/>
      <c r="G830" s="2"/>
      <c r="H830" s="2"/>
      <c r="I830" s="117"/>
      <c r="J830" s="2"/>
      <c r="K830" s="2"/>
      <c r="L830" s="2"/>
      <c r="M830" s="2"/>
      <c r="N830" s="2"/>
      <c r="O830" s="2"/>
      <c r="P830" s="2"/>
      <c r="Q830" s="2"/>
      <c r="R830" s="2"/>
      <c r="S830" s="2"/>
      <c r="T830" s="2"/>
      <c r="U830" s="2"/>
      <c r="V830" s="1"/>
      <c r="W830" s="1"/>
      <c r="X830" s="1"/>
      <c r="Y830" s="1"/>
      <c r="Z830" s="1"/>
      <c r="AA830" s="1"/>
      <c r="AB830" s="1"/>
      <c r="AC830" s="1"/>
      <c r="AD830" s="1"/>
      <c r="AE830" s="1"/>
      <c r="AF830" s="1"/>
    </row>
    <row r="831">
      <c r="A831" s="1"/>
      <c r="B831" s="2"/>
      <c r="C831" s="117"/>
      <c r="D831" s="2"/>
      <c r="E831" s="2"/>
      <c r="F831" s="2"/>
      <c r="G831" s="2"/>
      <c r="H831" s="2"/>
      <c r="I831" s="117"/>
      <c r="J831" s="2"/>
      <c r="K831" s="2"/>
      <c r="L831" s="2"/>
      <c r="M831" s="2"/>
      <c r="N831" s="2"/>
      <c r="O831" s="2"/>
      <c r="P831" s="2"/>
      <c r="Q831" s="2"/>
      <c r="R831" s="2"/>
      <c r="S831" s="2"/>
      <c r="T831" s="2"/>
      <c r="U831" s="2"/>
      <c r="V831" s="1"/>
      <c r="W831" s="1"/>
      <c r="X831" s="1"/>
      <c r="Y831" s="1"/>
      <c r="Z831" s="1"/>
      <c r="AA831" s="1"/>
      <c r="AB831" s="1"/>
      <c r="AC831" s="1"/>
      <c r="AD831" s="1"/>
      <c r="AE831" s="1"/>
      <c r="AF831" s="1"/>
    </row>
    <row r="832">
      <c r="A832" s="1"/>
      <c r="B832" s="2"/>
      <c r="C832" s="117"/>
      <c r="D832" s="2"/>
      <c r="E832" s="2"/>
      <c r="F832" s="2"/>
      <c r="G832" s="2"/>
      <c r="H832" s="2"/>
      <c r="I832" s="117"/>
      <c r="J832" s="2"/>
      <c r="K832" s="2"/>
      <c r="L832" s="2"/>
      <c r="M832" s="2"/>
      <c r="N832" s="2"/>
      <c r="O832" s="2"/>
      <c r="P832" s="2"/>
      <c r="Q832" s="2"/>
      <c r="R832" s="2"/>
      <c r="S832" s="2"/>
      <c r="T832" s="2"/>
      <c r="U832" s="2"/>
      <c r="V832" s="1"/>
      <c r="W832" s="1"/>
      <c r="X832" s="1"/>
      <c r="Y832" s="1"/>
      <c r="Z832" s="1"/>
      <c r="AA832" s="1"/>
      <c r="AB832" s="1"/>
      <c r="AC832" s="1"/>
      <c r="AD832" s="1"/>
      <c r="AE832" s="1"/>
      <c r="AF832" s="1"/>
    </row>
    <row r="833">
      <c r="A833" s="1"/>
      <c r="B833" s="2"/>
      <c r="C833" s="117"/>
      <c r="D833" s="2"/>
      <c r="E833" s="2"/>
      <c r="F833" s="2"/>
      <c r="G833" s="2"/>
      <c r="H833" s="2"/>
      <c r="I833" s="117"/>
      <c r="J833" s="2"/>
      <c r="K833" s="2"/>
      <c r="L833" s="2"/>
      <c r="M833" s="2"/>
      <c r="N833" s="2"/>
      <c r="O833" s="2"/>
      <c r="P833" s="2"/>
      <c r="Q833" s="2"/>
      <c r="R833" s="2"/>
      <c r="S833" s="2"/>
      <c r="T833" s="2"/>
      <c r="U833" s="2"/>
      <c r="V833" s="1"/>
      <c r="W833" s="1"/>
      <c r="X833" s="1"/>
      <c r="Y833" s="1"/>
      <c r="Z833" s="1"/>
      <c r="AA833" s="1"/>
      <c r="AB833" s="1"/>
      <c r="AC833" s="1"/>
      <c r="AD833" s="1"/>
      <c r="AE833" s="1"/>
      <c r="AF833" s="1"/>
    </row>
    <row r="834">
      <c r="A834" s="1"/>
      <c r="B834" s="2"/>
      <c r="C834" s="117"/>
      <c r="D834" s="2"/>
      <c r="E834" s="2"/>
      <c r="F834" s="2"/>
      <c r="G834" s="2"/>
      <c r="H834" s="2"/>
      <c r="I834" s="117"/>
      <c r="J834" s="2"/>
      <c r="K834" s="2"/>
      <c r="L834" s="2"/>
      <c r="M834" s="2"/>
      <c r="N834" s="2"/>
      <c r="O834" s="2"/>
      <c r="P834" s="2"/>
      <c r="Q834" s="2"/>
      <c r="R834" s="2"/>
      <c r="S834" s="2"/>
      <c r="T834" s="2"/>
      <c r="U834" s="2"/>
      <c r="V834" s="1"/>
      <c r="W834" s="1"/>
      <c r="X834" s="1"/>
      <c r="Y834" s="1"/>
      <c r="Z834" s="1"/>
      <c r="AA834" s="1"/>
      <c r="AB834" s="1"/>
      <c r="AC834" s="1"/>
      <c r="AD834" s="1"/>
      <c r="AE834" s="1"/>
      <c r="AF834" s="1"/>
    </row>
    <row r="835">
      <c r="A835" s="1"/>
      <c r="B835" s="2"/>
      <c r="C835" s="117"/>
      <c r="D835" s="2"/>
      <c r="E835" s="2"/>
      <c r="F835" s="2"/>
      <c r="G835" s="2"/>
      <c r="H835" s="2"/>
      <c r="I835" s="117"/>
      <c r="J835" s="2"/>
      <c r="K835" s="2"/>
      <c r="L835" s="2"/>
      <c r="M835" s="2"/>
      <c r="N835" s="2"/>
      <c r="O835" s="2"/>
      <c r="P835" s="2"/>
      <c r="Q835" s="2"/>
      <c r="R835" s="2"/>
      <c r="S835" s="2"/>
      <c r="T835" s="2"/>
      <c r="U835" s="2"/>
      <c r="V835" s="1"/>
      <c r="W835" s="1"/>
      <c r="X835" s="1"/>
      <c r="Y835" s="1"/>
      <c r="Z835" s="1"/>
      <c r="AA835" s="1"/>
      <c r="AB835" s="1"/>
      <c r="AC835" s="1"/>
      <c r="AD835" s="1"/>
      <c r="AE835" s="1"/>
      <c r="AF835" s="1"/>
    </row>
    <row r="836">
      <c r="A836" s="1"/>
      <c r="B836" s="2"/>
      <c r="C836" s="117"/>
      <c r="D836" s="2"/>
      <c r="E836" s="2"/>
      <c r="F836" s="2"/>
      <c r="G836" s="2"/>
      <c r="H836" s="2"/>
      <c r="I836" s="117"/>
      <c r="J836" s="2"/>
      <c r="K836" s="2"/>
      <c r="L836" s="2"/>
      <c r="M836" s="2"/>
      <c r="N836" s="2"/>
      <c r="O836" s="2"/>
      <c r="P836" s="2"/>
      <c r="Q836" s="2"/>
      <c r="R836" s="2"/>
      <c r="S836" s="2"/>
      <c r="T836" s="2"/>
      <c r="U836" s="2"/>
      <c r="V836" s="1"/>
      <c r="W836" s="1"/>
      <c r="X836" s="1"/>
      <c r="Y836" s="1"/>
      <c r="Z836" s="1"/>
      <c r="AA836" s="1"/>
      <c r="AB836" s="1"/>
      <c r="AC836" s="1"/>
      <c r="AD836" s="1"/>
      <c r="AE836" s="1"/>
      <c r="AF836" s="1"/>
    </row>
    <row r="837">
      <c r="A837" s="1"/>
      <c r="B837" s="2"/>
      <c r="C837" s="117"/>
      <c r="D837" s="2"/>
      <c r="E837" s="2"/>
      <c r="F837" s="2"/>
      <c r="G837" s="2"/>
      <c r="H837" s="2"/>
      <c r="I837" s="117"/>
      <c r="J837" s="2"/>
      <c r="K837" s="2"/>
      <c r="L837" s="2"/>
      <c r="M837" s="2"/>
      <c r="N837" s="2"/>
      <c r="O837" s="2"/>
      <c r="P837" s="2"/>
      <c r="Q837" s="2"/>
      <c r="R837" s="2"/>
      <c r="S837" s="2"/>
      <c r="T837" s="2"/>
      <c r="U837" s="2"/>
      <c r="V837" s="1"/>
      <c r="W837" s="1"/>
      <c r="X837" s="1"/>
      <c r="Y837" s="1"/>
      <c r="Z837" s="1"/>
      <c r="AA837" s="1"/>
      <c r="AB837" s="1"/>
      <c r="AC837" s="1"/>
      <c r="AD837" s="1"/>
      <c r="AE837" s="1"/>
      <c r="AF837" s="1"/>
    </row>
    <row r="838">
      <c r="A838" s="1"/>
      <c r="B838" s="2"/>
      <c r="C838" s="117"/>
      <c r="D838" s="2"/>
      <c r="E838" s="2"/>
      <c r="F838" s="2"/>
      <c r="G838" s="2"/>
      <c r="H838" s="2"/>
      <c r="I838" s="117"/>
      <c r="J838" s="2"/>
      <c r="K838" s="2"/>
      <c r="L838" s="2"/>
      <c r="M838" s="2"/>
      <c r="N838" s="2"/>
      <c r="O838" s="2"/>
      <c r="P838" s="2"/>
      <c r="Q838" s="2"/>
      <c r="R838" s="2"/>
      <c r="S838" s="2"/>
      <c r="T838" s="2"/>
      <c r="U838" s="2"/>
      <c r="V838" s="1"/>
      <c r="W838" s="1"/>
      <c r="X838" s="1"/>
      <c r="Y838" s="1"/>
      <c r="Z838" s="1"/>
      <c r="AA838" s="1"/>
      <c r="AB838" s="1"/>
      <c r="AC838" s="1"/>
      <c r="AD838" s="1"/>
      <c r="AE838" s="1"/>
      <c r="AF838" s="1"/>
    </row>
    <row r="839">
      <c r="A839" s="1"/>
      <c r="B839" s="2"/>
      <c r="C839" s="117"/>
      <c r="D839" s="2"/>
      <c r="E839" s="2"/>
      <c r="F839" s="2"/>
      <c r="G839" s="2"/>
      <c r="H839" s="2"/>
      <c r="I839" s="117"/>
      <c r="J839" s="2"/>
      <c r="K839" s="2"/>
      <c r="L839" s="2"/>
      <c r="M839" s="2"/>
      <c r="N839" s="2"/>
      <c r="O839" s="2"/>
      <c r="P839" s="2"/>
      <c r="Q839" s="2"/>
      <c r="R839" s="2"/>
      <c r="S839" s="2"/>
      <c r="T839" s="2"/>
      <c r="U839" s="2"/>
      <c r="V839" s="1"/>
      <c r="W839" s="1"/>
      <c r="X839" s="1"/>
      <c r="Y839" s="1"/>
      <c r="Z839" s="1"/>
      <c r="AA839" s="1"/>
      <c r="AB839" s="1"/>
      <c r="AC839" s="1"/>
      <c r="AD839" s="1"/>
      <c r="AE839" s="1"/>
      <c r="AF839" s="1"/>
    </row>
    <row r="840">
      <c r="A840" s="1"/>
      <c r="B840" s="2"/>
      <c r="C840" s="117"/>
      <c r="D840" s="2"/>
      <c r="E840" s="2"/>
      <c r="F840" s="2"/>
      <c r="G840" s="2"/>
      <c r="H840" s="2"/>
      <c r="I840" s="117"/>
      <c r="J840" s="2"/>
      <c r="K840" s="2"/>
      <c r="L840" s="2"/>
      <c r="M840" s="2"/>
      <c r="N840" s="2"/>
      <c r="O840" s="2"/>
      <c r="P840" s="2"/>
      <c r="Q840" s="2"/>
      <c r="R840" s="2"/>
      <c r="S840" s="2"/>
      <c r="T840" s="2"/>
      <c r="U840" s="2"/>
      <c r="V840" s="1"/>
      <c r="W840" s="1"/>
      <c r="X840" s="1"/>
      <c r="Y840" s="1"/>
      <c r="Z840" s="1"/>
      <c r="AA840" s="1"/>
      <c r="AB840" s="1"/>
      <c r="AC840" s="1"/>
      <c r="AD840" s="1"/>
      <c r="AE840" s="1"/>
      <c r="AF840" s="1"/>
    </row>
    <row r="841">
      <c r="A841" s="1"/>
      <c r="B841" s="2"/>
      <c r="C841" s="117"/>
      <c r="D841" s="2"/>
      <c r="E841" s="2"/>
      <c r="F841" s="2"/>
      <c r="G841" s="2"/>
      <c r="H841" s="2"/>
      <c r="I841" s="117"/>
      <c r="J841" s="2"/>
      <c r="K841" s="2"/>
      <c r="L841" s="2"/>
      <c r="M841" s="2"/>
      <c r="N841" s="2"/>
      <c r="O841" s="2"/>
      <c r="P841" s="2"/>
      <c r="Q841" s="2"/>
      <c r="R841" s="2"/>
      <c r="S841" s="2"/>
      <c r="T841" s="2"/>
      <c r="U841" s="2"/>
      <c r="V841" s="1"/>
      <c r="W841" s="1"/>
      <c r="X841" s="1"/>
      <c r="Y841" s="1"/>
      <c r="Z841" s="1"/>
      <c r="AA841" s="1"/>
      <c r="AB841" s="1"/>
      <c r="AC841" s="1"/>
      <c r="AD841" s="1"/>
      <c r="AE841" s="1"/>
      <c r="AF841" s="1"/>
    </row>
    <row r="842">
      <c r="A842" s="1"/>
      <c r="B842" s="2"/>
      <c r="C842" s="117"/>
      <c r="D842" s="2"/>
      <c r="E842" s="2"/>
      <c r="F842" s="2"/>
      <c r="G842" s="2"/>
      <c r="H842" s="2"/>
      <c r="I842" s="117"/>
      <c r="J842" s="2"/>
      <c r="K842" s="2"/>
      <c r="L842" s="2"/>
      <c r="M842" s="2"/>
      <c r="N842" s="2"/>
      <c r="O842" s="2"/>
      <c r="P842" s="2"/>
      <c r="Q842" s="2"/>
      <c r="R842" s="2"/>
      <c r="S842" s="2"/>
      <c r="T842" s="2"/>
      <c r="U842" s="2"/>
      <c r="V842" s="1"/>
      <c r="W842" s="1"/>
      <c r="X842" s="1"/>
      <c r="Y842" s="1"/>
      <c r="Z842" s="1"/>
      <c r="AA842" s="1"/>
      <c r="AB842" s="1"/>
      <c r="AC842" s="1"/>
      <c r="AD842" s="1"/>
      <c r="AE842" s="1"/>
      <c r="AF842" s="1"/>
    </row>
    <row r="843">
      <c r="A843" s="1"/>
      <c r="B843" s="2"/>
      <c r="C843" s="117"/>
      <c r="D843" s="2"/>
      <c r="E843" s="2"/>
      <c r="F843" s="2"/>
      <c r="G843" s="2"/>
      <c r="H843" s="2"/>
      <c r="I843" s="117"/>
      <c r="J843" s="2"/>
      <c r="K843" s="2"/>
      <c r="L843" s="2"/>
      <c r="M843" s="2"/>
      <c r="N843" s="2"/>
      <c r="O843" s="2"/>
      <c r="P843" s="2"/>
      <c r="Q843" s="2"/>
      <c r="R843" s="2"/>
      <c r="S843" s="2"/>
      <c r="T843" s="2"/>
      <c r="U843" s="2"/>
      <c r="V843" s="1"/>
      <c r="W843" s="1"/>
      <c r="X843" s="1"/>
      <c r="Y843" s="1"/>
      <c r="Z843" s="1"/>
      <c r="AA843" s="1"/>
      <c r="AB843" s="1"/>
      <c r="AC843" s="1"/>
      <c r="AD843" s="1"/>
      <c r="AE843" s="1"/>
      <c r="AF843" s="1"/>
    </row>
    <row r="844">
      <c r="A844" s="1"/>
      <c r="B844" s="2"/>
      <c r="C844" s="117"/>
      <c r="D844" s="2"/>
      <c r="E844" s="2"/>
      <c r="F844" s="2"/>
      <c r="G844" s="2"/>
      <c r="H844" s="2"/>
      <c r="I844" s="117"/>
      <c r="J844" s="2"/>
      <c r="K844" s="2"/>
      <c r="L844" s="2"/>
      <c r="M844" s="2"/>
      <c r="N844" s="2"/>
      <c r="O844" s="2"/>
      <c r="P844" s="2"/>
      <c r="Q844" s="2"/>
      <c r="R844" s="2"/>
      <c r="S844" s="2"/>
      <c r="T844" s="2"/>
      <c r="U844" s="2"/>
      <c r="V844" s="1"/>
      <c r="W844" s="1"/>
      <c r="X844" s="1"/>
      <c r="Y844" s="1"/>
      <c r="Z844" s="1"/>
      <c r="AA844" s="1"/>
      <c r="AB844" s="1"/>
      <c r="AC844" s="1"/>
      <c r="AD844" s="1"/>
      <c r="AE844" s="1"/>
      <c r="AF844" s="1"/>
    </row>
    <row r="845">
      <c r="A845" s="1"/>
      <c r="B845" s="2"/>
      <c r="C845" s="117"/>
      <c r="D845" s="2"/>
      <c r="E845" s="2"/>
      <c r="F845" s="2"/>
      <c r="G845" s="2"/>
      <c r="H845" s="2"/>
      <c r="I845" s="117"/>
      <c r="J845" s="2"/>
      <c r="K845" s="2"/>
      <c r="L845" s="2"/>
      <c r="M845" s="2"/>
      <c r="N845" s="2"/>
      <c r="O845" s="2"/>
      <c r="P845" s="2"/>
      <c r="Q845" s="2"/>
      <c r="R845" s="2"/>
      <c r="S845" s="2"/>
      <c r="T845" s="2"/>
      <c r="U845" s="2"/>
      <c r="V845" s="1"/>
      <c r="W845" s="1"/>
      <c r="X845" s="1"/>
      <c r="Y845" s="1"/>
      <c r="Z845" s="1"/>
      <c r="AA845" s="1"/>
      <c r="AB845" s="1"/>
      <c r="AC845" s="1"/>
      <c r="AD845" s="1"/>
      <c r="AE845" s="1"/>
      <c r="AF845" s="1"/>
    </row>
    <row r="846">
      <c r="A846" s="1"/>
      <c r="B846" s="2"/>
      <c r="C846" s="117"/>
      <c r="D846" s="2"/>
      <c r="E846" s="2"/>
      <c r="F846" s="2"/>
      <c r="G846" s="2"/>
      <c r="H846" s="2"/>
      <c r="I846" s="117"/>
      <c r="J846" s="2"/>
      <c r="K846" s="2"/>
      <c r="L846" s="2"/>
      <c r="M846" s="2"/>
      <c r="N846" s="2"/>
      <c r="O846" s="2"/>
      <c r="P846" s="2"/>
      <c r="Q846" s="2"/>
      <c r="R846" s="2"/>
      <c r="S846" s="2"/>
      <c r="T846" s="2"/>
      <c r="U846" s="2"/>
      <c r="V846" s="1"/>
      <c r="W846" s="1"/>
      <c r="X846" s="1"/>
      <c r="Y846" s="1"/>
      <c r="Z846" s="1"/>
      <c r="AA846" s="1"/>
      <c r="AB846" s="1"/>
      <c r="AC846" s="1"/>
      <c r="AD846" s="1"/>
      <c r="AE846" s="1"/>
      <c r="AF846" s="1"/>
    </row>
    <row r="847">
      <c r="A847" s="1"/>
      <c r="B847" s="2"/>
      <c r="C847" s="117"/>
      <c r="D847" s="2"/>
      <c r="E847" s="2"/>
      <c r="F847" s="2"/>
      <c r="G847" s="2"/>
      <c r="H847" s="2"/>
      <c r="I847" s="117"/>
      <c r="J847" s="2"/>
      <c r="K847" s="2"/>
      <c r="L847" s="2"/>
      <c r="M847" s="2"/>
      <c r="N847" s="2"/>
      <c r="O847" s="2"/>
      <c r="P847" s="2"/>
      <c r="Q847" s="2"/>
      <c r="R847" s="2"/>
      <c r="S847" s="2"/>
      <c r="T847" s="2"/>
      <c r="U847" s="2"/>
      <c r="V847" s="1"/>
      <c r="W847" s="1"/>
      <c r="X847" s="1"/>
      <c r="Y847" s="1"/>
      <c r="Z847" s="1"/>
      <c r="AA847" s="1"/>
      <c r="AB847" s="1"/>
      <c r="AC847" s="1"/>
      <c r="AD847" s="1"/>
      <c r="AE847" s="1"/>
      <c r="AF847" s="1"/>
    </row>
    <row r="848">
      <c r="A848" s="1"/>
      <c r="B848" s="2"/>
      <c r="C848" s="117"/>
      <c r="D848" s="2"/>
      <c r="E848" s="2"/>
      <c r="F848" s="2"/>
      <c r="G848" s="2"/>
      <c r="H848" s="2"/>
      <c r="I848" s="117"/>
      <c r="J848" s="2"/>
      <c r="K848" s="2"/>
      <c r="L848" s="2"/>
      <c r="M848" s="2"/>
      <c r="N848" s="2"/>
      <c r="O848" s="2"/>
      <c r="P848" s="2"/>
      <c r="Q848" s="2"/>
      <c r="R848" s="2"/>
      <c r="S848" s="2"/>
      <c r="T848" s="2"/>
      <c r="U848" s="2"/>
      <c r="V848" s="1"/>
      <c r="W848" s="1"/>
      <c r="X848" s="1"/>
      <c r="Y848" s="1"/>
      <c r="Z848" s="1"/>
      <c r="AA848" s="1"/>
      <c r="AB848" s="1"/>
      <c r="AC848" s="1"/>
      <c r="AD848" s="1"/>
      <c r="AE848" s="1"/>
      <c r="AF848" s="1"/>
    </row>
    <row r="849">
      <c r="A849" s="1"/>
      <c r="B849" s="2"/>
      <c r="C849" s="117"/>
      <c r="D849" s="2"/>
      <c r="E849" s="2"/>
      <c r="F849" s="2"/>
      <c r="G849" s="2"/>
      <c r="H849" s="2"/>
      <c r="I849" s="117"/>
      <c r="J849" s="2"/>
      <c r="K849" s="2"/>
      <c r="L849" s="2"/>
      <c r="M849" s="2"/>
      <c r="N849" s="2"/>
      <c r="O849" s="2"/>
      <c r="P849" s="2"/>
      <c r="Q849" s="2"/>
      <c r="R849" s="2"/>
      <c r="S849" s="2"/>
      <c r="T849" s="2"/>
      <c r="U849" s="2"/>
      <c r="V849" s="1"/>
      <c r="W849" s="1"/>
      <c r="X849" s="1"/>
      <c r="Y849" s="1"/>
      <c r="Z849" s="1"/>
      <c r="AA849" s="1"/>
      <c r="AB849" s="1"/>
      <c r="AC849" s="1"/>
      <c r="AD849" s="1"/>
      <c r="AE849" s="1"/>
      <c r="AF849" s="1"/>
    </row>
    <row r="850">
      <c r="A850" s="1"/>
      <c r="B850" s="2"/>
      <c r="C850" s="117"/>
      <c r="D850" s="2"/>
      <c r="E850" s="2"/>
      <c r="F850" s="2"/>
      <c r="G850" s="2"/>
      <c r="H850" s="2"/>
      <c r="I850" s="117"/>
      <c r="J850" s="2"/>
      <c r="K850" s="2"/>
      <c r="L850" s="2"/>
      <c r="M850" s="2"/>
      <c r="N850" s="2"/>
      <c r="O850" s="2"/>
      <c r="P850" s="2"/>
      <c r="Q850" s="2"/>
      <c r="R850" s="2"/>
      <c r="S850" s="2"/>
      <c r="T850" s="2"/>
      <c r="U850" s="2"/>
      <c r="V850" s="1"/>
      <c r="W850" s="1"/>
      <c r="X850" s="1"/>
      <c r="Y850" s="1"/>
      <c r="Z850" s="1"/>
      <c r="AA850" s="1"/>
      <c r="AB850" s="1"/>
      <c r="AC850" s="1"/>
      <c r="AD850" s="1"/>
      <c r="AE850" s="1"/>
      <c r="AF850" s="1"/>
    </row>
    <row r="851">
      <c r="A851" s="1"/>
      <c r="B851" s="2"/>
      <c r="C851" s="117"/>
      <c r="D851" s="2"/>
      <c r="E851" s="2"/>
      <c r="F851" s="2"/>
      <c r="G851" s="2"/>
      <c r="H851" s="2"/>
      <c r="I851" s="117"/>
      <c r="J851" s="2"/>
      <c r="K851" s="2"/>
      <c r="L851" s="2"/>
      <c r="M851" s="2"/>
      <c r="N851" s="2"/>
      <c r="O851" s="2"/>
      <c r="P851" s="2"/>
      <c r="Q851" s="2"/>
      <c r="R851" s="2"/>
      <c r="S851" s="2"/>
      <c r="T851" s="2"/>
      <c r="U851" s="2"/>
      <c r="V851" s="1"/>
      <c r="W851" s="1"/>
      <c r="X851" s="1"/>
      <c r="Y851" s="1"/>
      <c r="Z851" s="1"/>
      <c r="AA851" s="1"/>
      <c r="AB851" s="1"/>
      <c r="AC851" s="1"/>
      <c r="AD851" s="1"/>
      <c r="AE851" s="1"/>
      <c r="AF851" s="1"/>
    </row>
    <row r="852">
      <c r="A852" s="1"/>
      <c r="B852" s="2"/>
      <c r="C852" s="117"/>
      <c r="D852" s="2"/>
      <c r="E852" s="2"/>
      <c r="F852" s="2"/>
      <c r="G852" s="2"/>
      <c r="H852" s="2"/>
      <c r="I852" s="117"/>
      <c r="J852" s="2"/>
      <c r="K852" s="2"/>
      <c r="L852" s="2"/>
      <c r="M852" s="2"/>
      <c r="N852" s="2"/>
      <c r="O852" s="2"/>
      <c r="P852" s="2"/>
      <c r="Q852" s="2"/>
      <c r="R852" s="2"/>
      <c r="S852" s="2"/>
      <c r="T852" s="2"/>
      <c r="U852" s="2"/>
      <c r="V852" s="1"/>
      <c r="W852" s="1"/>
      <c r="X852" s="1"/>
      <c r="Y852" s="1"/>
      <c r="Z852" s="1"/>
      <c r="AA852" s="1"/>
      <c r="AB852" s="1"/>
      <c r="AC852" s="1"/>
      <c r="AD852" s="1"/>
      <c r="AE852" s="1"/>
      <c r="AF852" s="1"/>
    </row>
    <row r="853">
      <c r="A853" s="1"/>
      <c r="B853" s="2"/>
      <c r="C853" s="117"/>
      <c r="D853" s="2"/>
      <c r="E853" s="2"/>
      <c r="F853" s="2"/>
      <c r="G853" s="2"/>
      <c r="H853" s="2"/>
      <c r="I853" s="117"/>
      <c r="J853" s="2"/>
      <c r="K853" s="2"/>
      <c r="L853" s="2"/>
      <c r="M853" s="2"/>
      <c r="N853" s="2"/>
      <c r="O853" s="2"/>
      <c r="P853" s="2"/>
      <c r="Q853" s="2"/>
      <c r="R853" s="2"/>
      <c r="S853" s="2"/>
      <c r="T853" s="2"/>
      <c r="U853" s="2"/>
      <c r="V853" s="1"/>
      <c r="W853" s="1"/>
      <c r="X853" s="1"/>
      <c r="Y853" s="1"/>
      <c r="Z853" s="1"/>
      <c r="AA853" s="1"/>
      <c r="AB853" s="1"/>
      <c r="AC853" s="1"/>
      <c r="AD853" s="1"/>
      <c r="AE853" s="1"/>
      <c r="AF853" s="1"/>
    </row>
    <row r="854">
      <c r="A854" s="1"/>
      <c r="B854" s="2"/>
      <c r="C854" s="117"/>
      <c r="D854" s="2"/>
      <c r="E854" s="2"/>
      <c r="F854" s="2"/>
      <c r="G854" s="2"/>
      <c r="H854" s="2"/>
      <c r="I854" s="117"/>
      <c r="J854" s="2"/>
      <c r="K854" s="2"/>
      <c r="L854" s="2"/>
      <c r="M854" s="2"/>
      <c r="N854" s="2"/>
      <c r="O854" s="2"/>
      <c r="P854" s="2"/>
      <c r="Q854" s="2"/>
      <c r="R854" s="2"/>
      <c r="S854" s="2"/>
      <c r="T854" s="2"/>
      <c r="U854" s="2"/>
      <c r="V854" s="1"/>
      <c r="W854" s="1"/>
      <c r="X854" s="1"/>
      <c r="Y854" s="1"/>
      <c r="Z854" s="1"/>
      <c r="AA854" s="1"/>
      <c r="AB854" s="1"/>
      <c r="AC854" s="1"/>
      <c r="AD854" s="1"/>
      <c r="AE854" s="1"/>
      <c r="AF854" s="1"/>
    </row>
    <row r="855">
      <c r="A855" s="1"/>
      <c r="B855" s="2"/>
      <c r="C855" s="117"/>
      <c r="D855" s="2"/>
      <c r="E855" s="2"/>
      <c r="F855" s="2"/>
      <c r="G855" s="2"/>
      <c r="H855" s="2"/>
      <c r="I855" s="117"/>
      <c r="J855" s="2"/>
      <c r="K855" s="2"/>
      <c r="L855" s="2"/>
      <c r="M855" s="2"/>
      <c r="N855" s="2"/>
      <c r="O855" s="2"/>
      <c r="P855" s="2"/>
      <c r="Q855" s="2"/>
      <c r="R855" s="2"/>
      <c r="S855" s="2"/>
      <c r="T855" s="2"/>
      <c r="U855" s="2"/>
      <c r="V855" s="1"/>
      <c r="W855" s="1"/>
      <c r="X855" s="1"/>
      <c r="Y855" s="1"/>
      <c r="Z855" s="1"/>
      <c r="AA855" s="1"/>
      <c r="AB855" s="1"/>
      <c r="AC855" s="1"/>
      <c r="AD855" s="1"/>
      <c r="AE855" s="1"/>
      <c r="AF855" s="1"/>
    </row>
    <row r="856">
      <c r="A856" s="1"/>
      <c r="B856" s="2"/>
      <c r="C856" s="117"/>
      <c r="D856" s="2"/>
      <c r="E856" s="2"/>
      <c r="F856" s="2"/>
      <c r="G856" s="2"/>
      <c r="H856" s="2"/>
      <c r="I856" s="117"/>
      <c r="J856" s="2"/>
      <c r="K856" s="2"/>
      <c r="L856" s="2"/>
      <c r="M856" s="2"/>
      <c r="N856" s="2"/>
      <c r="O856" s="2"/>
      <c r="P856" s="2"/>
      <c r="Q856" s="2"/>
      <c r="R856" s="2"/>
      <c r="S856" s="2"/>
      <c r="T856" s="2"/>
      <c r="U856" s="2"/>
      <c r="V856" s="1"/>
      <c r="W856" s="1"/>
      <c r="X856" s="1"/>
      <c r="Y856" s="1"/>
      <c r="Z856" s="1"/>
      <c r="AA856" s="1"/>
      <c r="AB856" s="1"/>
      <c r="AC856" s="1"/>
      <c r="AD856" s="1"/>
      <c r="AE856" s="1"/>
      <c r="AF856" s="1"/>
    </row>
    <row r="857">
      <c r="A857" s="1"/>
      <c r="B857" s="2"/>
      <c r="C857" s="117"/>
      <c r="D857" s="2"/>
      <c r="E857" s="2"/>
      <c r="F857" s="2"/>
      <c r="G857" s="2"/>
      <c r="H857" s="2"/>
      <c r="I857" s="117"/>
      <c r="J857" s="2"/>
      <c r="K857" s="2"/>
      <c r="L857" s="2"/>
      <c r="M857" s="2"/>
      <c r="N857" s="2"/>
      <c r="O857" s="2"/>
      <c r="P857" s="2"/>
      <c r="Q857" s="2"/>
      <c r="R857" s="2"/>
      <c r="S857" s="2"/>
      <c r="T857" s="2"/>
      <c r="U857" s="2"/>
      <c r="V857" s="1"/>
      <c r="W857" s="1"/>
      <c r="X857" s="1"/>
      <c r="Y857" s="1"/>
      <c r="Z857" s="1"/>
      <c r="AA857" s="1"/>
      <c r="AB857" s="1"/>
      <c r="AC857" s="1"/>
      <c r="AD857" s="1"/>
      <c r="AE857" s="1"/>
      <c r="AF857" s="1"/>
    </row>
    <row r="858">
      <c r="A858" s="1"/>
      <c r="B858" s="2"/>
      <c r="C858" s="117"/>
      <c r="D858" s="2"/>
      <c r="E858" s="2"/>
      <c r="F858" s="2"/>
      <c r="G858" s="2"/>
      <c r="H858" s="2"/>
      <c r="I858" s="117"/>
      <c r="J858" s="2"/>
      <c r="K858" s="2"/>
      <c r="L858" s="2"/>
      <c r="M858" s="2"/>
      <c r="N858" s="2"/>
      <c r="O858" s="2"/>
      <c r="P858" s="2"/>
      <c r="Q858" s="2"/>
      <c r="R858" s="2"/>
      <c r="S858" s="2"/>
      <c r="T858" s="2"/>
      <c r="U858" s="2"/>
      <c r="V858" s="1"/>
      <c r="W858" s="1"/>
      <c r="X858" s="1"/>
      <c r="Y858" s="1"/>
      <c r="Z858" s="1"/>
      <c r="AA858" s="1"/>
      <c r="AB858" s="1"/>
      <c r="AC858" s="1"/>
      <c r="AD858" s="1"/>
      <c r="AE858" s="1"/>
      <c r="AF858" s="1"/>
    </row>
    <row r="859">
      <c r="A859" s="1"/>
      <c r="B859" s="2"/>
      <c r="C859" s="117"/>
      <c r="D859" s="2"/>
      <c r="E859" s="2"/>
      <c r="F859" s="2"/>
      <c r="G859" s="2"/>
      <c r="H859" s="2"/>
      <c r="I859" s="117"/>
      <c r="J859" s="2"/>
      <c r="K859" s="2"/>
      <c r="L859" s="2"/>
      <c r="M859" s="2"/>
      <c r="N859" s="2"/>
      <c r="O859" s="2"/>
      <c r="P859" s="2"/>
      <c r="Q859" s="2"/>
      <c r="R859" s="2"/>
      <c r="S859" s="2"/>
      <c r="T859" s="2"/>
      <c r="U859" s="2"/>
      <c r="V859" s="1"/>
      <c r="W859" s="1"/>
      <c r="X859" s="1"/>
      <c r="Y859" s="1"/>
      <c r="Z859" s="1"/>
      <c r="AA859" s="1"/>
      <c r="AB859" s="1"/>
      <c r="AC859" s="1"/>
      <c r="AD859" s="1"/>
      <c r="AE859" s="1"/>
      <c r="AF859" s="1"/>
    </row>
    <row r="860">
      <c r="A860" s="1"/>
      <c r="B860" s="2"/>
      <c r="C860" s="117"/>
      <c r="D860" s="2"/>
      <c r="E860" s="2"/>
      <c r="F860" s="2"/>
      <c r="G860" s="2"/>
      <c r="H860" s="2"/>
      <c r="I860" s="117"/>
      <c r="J860" s="2"/>
      <c r="K860" s="2"/>
      <c r="L860" s="2"/>
      <c r="M860" s="2"/>
      <c r="N860" s="2"/>
      <c r="O860" s="2"/>
      <c r="P860" s="2"/>
      <c r="Q860" s="2"/>
      <c r="R860" s="2"/>
      <c r="S860" s="2"/>
      <c r="T860" s="2"/>
      <c r="U860" s="2"/>
      <c r="V860" s="1"/>
      <c r="W860" s="1"/>
      <c r="X860" s="1"/>
      <c r="Y860" s="1"/>
      <c r="Z860" s="1"/>
      <c r="AA860" s="1"/>
      <c r="AB860" s="1"/>
      <c r="AC860" s="1"/>
      <c r="AD860" s="1"/>
      <c r="AE860" s="1"/>
      <c r="AF860" s="1"/>
    </row>
    <row r="861">
      <c r="A861" s="1"/>
      <c r="B861" s="2"/>
      <c r="C861" s="117"/>
      <c r="D861" s="2"/>
      <c r="E861" s="2"/>
      <c r="F861" s="2"/>
      <c r="G861" s="2"/>
      <c r="H861" s="2"/>
      <c r="I861" s="117"/>
      <c r="J861" s="2"/>
      <c r="K861" s="2"/>
      <c r="L861" s="2"/>
      <c r="M861" s="2"/>
      <c r="N861" s="2"/>
      <c r="O861" s="2"/>
      <c r="P861" s="2"/>
      <c r="Q861" s="2"/>
      <c r="R861" s="2"/>
      <c r="S861" s="2"/>
      <c r="T861" s="2"/>
      <c r="U861" s="2"/>
      <c r="V861" s="1"/>
      <c r="W861" s="1"/>
      <c r="X861" s="1"/>
      <c r="Y861" s="1"/>
      <c r="Z861" s="1"/>
      <c r="AA861" s="1"/>
      <c r="AB861" s="1"/>
      <c r="AC861" s="1"/>
      <c r="AD861" s="1"/>
      <c r="AE861" s="1"/>
      <c r="AF861" s="1"/>
    </row>
    <row r="862">
      <c r="A862" s="1"/>
      <c r="B862" s="2"/>
      <c r="C862" s="117"/>
      <c r="D862" s="2"/>
      <c r="E862" s="2"/>
      <c r="F862" s="2"/>
      <c r="G862" s="2"/>
      <c r="H862" s="2"/>
      <c r="I862" s="117"/>
      <c r="J862" s="2"/>
      <c r="K862" s="2"/>
      <c r="L862" s="2"/>
      <c r="M862" s="2"/>
      <c r="N862" s="2"/>
      <c r="O862" s="2"/>
      <c r="P862" s="2"/>
      <c r="Q862" s="2"/>
      <c r="R862" s="2"/>
      <c r="S862" s="2"/>
      <c r="T862" s="2"/>
      <c r="U862" s="2"/>
      <c r="V862" s="1"/>
      <c r="W862" s="1"/>
      <c r="X862" s="1"/>
      <c r="Y862" s="1"/>
      <c r="Z862" s="1"/>
      <c r="AA862" s="1"/>
      <c r="AB862" s="1"/>
      <c r="AC862" s="1"/>
      <c r="AD862" s="1"/>
      <c r="AE862" s="1"/>
      <c r="AF862" s="1"/>
    </row>
    <row r="863">
      <c r="A863" s="1"/>
      <c r="B863" s="2"/>
      <c r="C863" s="117"/>
      <c r="D863" s="2"/>
      <c r="E863" s="2"/>
      <c r="F863" s="2"/>
      <c r="G863" s="2"/>
      <c r="H863" s="2"/>
      <c r="I863" s="117"/>
      <c r="J863" s="2"/>
      <c r="K863" s="2"/>
      <c r="L863" s="2"/>
      <c r="M863" s="2"/>
      <c r="N863" s="2"/>
      <c r="O863" s="2"/>
      <c r="P863" s="2"/>
      <c r="Q863" s="2"/>
      <c r="R863" s="2"/>
      <c r="S863" s="2"/>
      <c r="T863" s="2"/>
      <c r="U863" s="2"/>
      <c r="V863" s="1"/>
      <c r="W863" s="1"/>
      <c r="X863" s="1"/>
      <c r="Y863" s="1"/>
      <c r="Z863" s="1"/>
      <c r="AA863" s="1"/>
      <c r="AB863" s="1"/>
      <c r="AC863" s="1"/>
      <c r="AD863" s="1"/>
      <c r="AE863" s="1"/>
      <c r="AF863" s="1"/>
    </row>
    <row r="864">
      <c r="A864" s="1"/>
      <c r="B864" s="2"/>
      <c r="C864" s="117"/>
      <c r="D864" s="2"/>
      <c r="E864" s="2"/>
      <c r="F864" s="2"/>
      <c r="G864" s="2"/>
      <c r="H864" s="2"/>
      <c r="I864" s="117"/>
      <c r="J864" s="2"/>
      <c r="K864" s="2"/>
      <c r="L864" s="2"/>
      <c r="M864" s="2"/>
      <c r="N864" s="2"/>
      <c r="O864" s="2"/>
      <c r="P864" s="2"/>
      <c r="Q864" s="2"/>
      <c r="R864" s="2"/>
      <c r="S864" s="2"/>
      <c r="T864" s="2"/>
      <c r="U864" s="2"/>
      <c r="V864" s="1"/>
      <c r="W864" s="1"/>
      <c r="X864" s="1"/>
      <c r="Y864" s="1"/>
      <c r="Z864" s="1"/>
      <c r="AA864" s="1"/>
      <c r="AB864" s="1"/>
      <c r="AC864" s="1"/>
      <c r="AD864" s="1"/>
      <c r="AE864" s="1"/>
      <c r="AF864" s="1"/>
    </row>
    <row r="865">
      <c r="A865" s="1"/>
      <c r="B865" s="2"/>
      <c r="C865" s="117"/>
      <c r="D865" s="2"/>
      <c r="E865" s="2"/>
      <c r="F865" s="2"/>
      <c r="G865" s="2"/>
      <c r="H865" s="2"/>
      <c r="I865" s="117"/>
      <c r="J865" s="2"/>
      <c r="K865" s="2"/>
      <c r="L865" s="2"/>
      <c r="M865" s="2"/>
      <c r="N865" s="2"/>
      <c r="O865" s="2"/>
      <c r="P865" s="2"/>
      <c r="Q865" s="2"/>
      <c r="R865" s="2"/>
      <c r="S865" s="2"/>
      <c r="T865" s="2"/>
      <c r="U865" s="2"/>
      <c r="V865" s="1"/>
      <c r="W865" s="1"/>
      <c r="X865" s="1"/>
      <c r="Y865" s="1"/>
      <c r="Z865" s="1"/>
      <c r="AA865" s="1"/>
      <c r="AB865" s="1"/>
      <c r="AC865" s="1"/>
      <c r="AD865" s="1"/>
      <c r="AE865" s="1"/>
      <c r="AF865" s="1"/>
    </row>
    <row r="866">
      <c r="A866" s="1"/>
      <c r="B866" s="2"/>
      <c r="C866" s="117"/>
      <c r="D866" s="2"/>
      <c r="E866" s="2"/>
      <c r="F866" s="2"/>
      <c r="G866" s="2"/>
      <c r="H866" s="2"/>
      <c r="I866" s="117"/>
      <c r="J866" s="2"/>
      <c r="K866" s="2"/>
      <c r="L866" s="2"/>
      <c r="M866" s="2"/>
      <c r="N866" s="2"/>
      <c r="O866" s="2"/>
      <c r="P866" s="2"/>
      <c r="Q866" s="2"/>
      <c r="R866" s="2"/>
      <c r="S866" s="2"/>
      <c r="T866" s="2"/>
      <c r="U866" s="2"/>
      <c r="V866" s="1"/>
      <c r="W866" s="1"/>
      <c r="X866" s="1"/>
      <c r="Y866" s="1"/>
      <c r="Z866" s="1"/>
      <c r="AA866" s="1"/>
      <c r="AB866" s="1"/>
      <c r="AC866" s="1"/>
      <c r="AD866" s="1"/>
      <c r="AE866" s="1"/>
      <c r="AF866" s="1"/>
    </row>
    <row r="867">
      <c r="A867" s="1"/>
      <c r="B867" s="2"/>
      <c r="C867" s="117"/>
      <c r="D867" s="2"/>
      <c r="E867" s="2"/>
      <c r="F867" s="2"/>
      <c r="G867" s="2"/>
      <c r="H867" s="2"/>
      <c r="I867" s="117"/>
      <c r="J867" s="2"/>
      <c r="K867" s="2"/>
      <c r="L867" s="2"/>
      <c r="M867" s="2"/>
      <c r="N867" s="2"/>
      <c r="O867" s="2"/>
      <c r="P867" s="2"/>
      <c r="Q867" s="2"/>
      <c r="R867" s="2"/>
      <c r="S867" s="2"/>
      <c r="T867" s="2"/>
      <c r="U867" s="2"/>
      <c r="V867" s="1"/>
      <c r="W867" s="1"/>
      <c r="X867" s="1"/>
      <c r="Y867" s="1"/>
      <c r="Z867" s="1"/>
      <c r="AA867" s="1"/>
      <c r="AB867" s="1"/>
      <c r="AC867" s="1"/>
      <c r="AD867" s="1"/>
      <c r="AE867" s="1"/>
      <c r="AF867" s="1"/>
    </row>
    <row r="868">
      <c r="A868" s="1"/>
      <c r="B868" s="2"/>
      <c r="C868" s="117"/>
      <c r="D868" s="2"/>
      <c r="E868" s="2"/>
      <c r="F868" s="2"/>
      <c r="G868" s="2"/>
      <c r="H868" s="2"/>
      <c r="I868" s="117"/>
      <c r="J868" s="2"/>
      <c r="K868" s="2"/>
      <c r="L868" s="2"/>
      <c r="M868" s="2"/>
      <c r="N868" s="2"/>
      <c r="O868" s="2"/>
      <c r="P868" s="2"/>
      <c r="Q868" s="2"/>
      <c r="R868" s="2"/>
      <c r="S868" s="2"/>
      <c r="T868" s="2"/>
      <c r="U868" s="2"/>
      <c r="V868" s="1"/>
      <c r="W868" s="1"/>
      <c r="X868" s="1"/>
      <c r="Y868" s="1"/>
      <c r="Z868" s="1"/>
      <c r="AA868" s="1"/>
      <c r="AB868" s="1"/>
      <c r="AC868" s="1"/>
      <c r="AD868" s="1"/>
      <c r="AE868" s="1"/>
      <c r="AF868" s="1"/>
    </row>
    <row r="869">
      <c r="A869" s="1"/>
      <c r="B869" s="2"/>
      <c r="C869" s="117"/>
      <c r="D869" s="2"/>
      <c r="E869" s="2"/>
      <c r="F869" s="2"/>
      <c r="G869" s="2"/>
      <c r="H869" s="2"/>
      <c r="I869" s="117"/>
      <c r="J869" s="2"/>
      <c r="K869" s="2"/>
      <c r="L869" s="2"/>
      <c r="M869" s="2"/>
      <c r="N869" s="2"/>
      <c r="O869" s="2"/>
      <c r="P869" s="2"/>
      <c r="Q869" s="2"/>
      <c r="R869" s="2"/>
      <c r="S869" s="2"/>
      <c r="T869" s="2"/>
      <c r="U869" s="2"/>
      <c r="V869" s="1"/>
      <c r="W869" s="1"/>
      <c r="X869" s="1"/>
      <c r="Y869" s="1"/>
      <c r="Z869" s="1"/>
      <c r="AA869" s="1"/>
      <c r="AB869" s="1"/>
      <c r="AC869" s="1"/>
      <c r="AD869" s="1"/>
      <c r="AE869" s="1"/>
      <c r="AF869" s="1"/>
    </row>
    <row r="870">
      <c r="A870" s="1"/>
      <c r="B870" s="2"/>
      <c r="C870" s="117"/>
      <c r="D870" s="2"/>
      <c r="E870" s="2"/>
      <c r="F870" s="2"/>
      <c r="G870" s="2"/>
      <c r="H870" s="2"/>
      <c r="I870" s="117"/>
      <c r="J870" s="2"/>
      <c r="K870" s="2"/>
      <c r="L870" s="2"/>
      <c r="M870" s="2"/>
      <c r="N870" s="2"/>
      <c r="O870" s="2"/>
      <c r="P870" s="2"/>
      <c r="Q870" s="2"/>
      <c r="R870" s="2"/>
      <c r="S870" s="2"/>
      <c r="T870" s="2"/>
      <c r="U870" s="2"/>
      <c r="V870" s="1"/>
      <c r="W870" s="1"/>
      <c r="X870" s="1"/>
      <c r="Y870" s="1"/>
      <c r="Z870" s="1"/>
      <c r="AA870" s="1"/>
      <c r="AB870" s="1"/>
      <c r="AC870" s="1"/>
      <c r="AD870" s="1"/>
      <c r="AE870" s="1"/>
      <c r="AF870" s="1"/>
    </row>
    <row r="871">
      <c r="A871" s="1"/>
      <c r="B871" s="2"/>
      <c r="C871" s="117"/>
      <c r="D871" s="2"/>
      <c r="E871" s="2"/>
      <c r="F871" s="2"/>
      <c r="G871" s="2"/>
      <c r="H871" s="2"/>
      <c r="I871" s="117"/>
      <c r="J871" s="2"/>
      <c r="K871" s="2"/>
      <c r="L871" s="2"/>
      <c r="M871" s="2"/>
      <c r="N871" s="2"/>
      <c r="O871" s="2"/>
      <c r="P871" s="2"/>
      <c r="Q871" s="2"/>
      <c r="R871" s="2"/>
      <c r="S871" s="2"/>
      <c r="T871" s="2"/>
      <c r="U871" s="2"/>
      <c r="V871" s="1"/>
      <c r="W871" s="1"/>
      <c r="X871" s="1"/>
      <c r="Y871" s="1"/>
      <c r="Z871" s="1"/>
      <c r="AA871" s="1"/>
      <c r="AB871" s="1"/>
      <c r="AC871" s="1"/>
      <c r="AD871" s="1"/>
      <c r="AE871" s="1"/>
      <c r="AF871" s="1"/>
    </row>
    <row r="872">
      <c r="A872" s="1"/>
      <c r="B872" s="2"/>
      <c r="C872" s="117"/>
      <c r="D872" s="2"/>
      <c r="E872" s="2"/>
      <c r="F872" s="2"/>
      <c r="G872" s="2"/>
      <c r="H872" s="2"/>
      <c r="I872" s="117"/>
      <c r="J872" s="2"/>
      <c r="K872" s="2"/>
      <c r="L872" s="2"/>
      <c r="M872" s="2"/>
      <c r="N872" s="2"/>
      <c r="O872" s="2"/>
      <c r="P872" s="2"/>
      <c r="Q872" s="2"/>
      <c r="R872" s="2"/>
      <c r="S872" s="2"/>
      <c r="T872" s="2"/>
      <c r="U872" s="2"/>
      <c r="V872" s="1"/>
      <c r="W872" s="1"/>
      <c r="X872" s="1"/>
      <c r="Y872" s="1"/>
      <c r="Z872" s="1"/>
      <c r="AA872" s="1"/>
      <c r="AB872" s="1"/>
      <c r="AC872" s="1"/>
      <c r="AD872" s="1"/>
      <c r="AE872" s="1"/>
      <c r="AF872" s="1"/>
    </row>
    <row r="873">
      <c r="A873" s="1"/>
      <c r="B873" s="2"/>
      <c r="C873" s="117"/>
      <c r="D873" s="2"/>
      <c r="E873" s="2"/>
      <c r="F873" s="2"/>
      <c r="G873" s="2"/>
      <c r="H873" s="2"/>
      <c r="I873" s="117"/>
      <c r="J873" s="2"/>
      <c r="K873" s="2"/>
      <c r="L873" s="2"/>
      <c r="M873" s="2"/>
      <c r="N873" s="2"/>
      <c r="O873" s="2"/>
      <c r="P873" s="2"/>
      <c r="Q873" s="2"/>
      <c r="R873" s="2"/>
      <c r="S873" s="2"/>
      <c r="T873" s="2"/>
      <c r="U873" s="2"/>
      <c r="V873" s="1"/>
      <c r="W873" s="1"/>
      <c r="X873" s="1"/>
      <c r="Y873" s="1"/>
      <c r="Z873" s="1"/>
      <c r="AA873" s="1"/>
      <c r="AB873" s="1"/>
      <c r="AC873" s="1"/>
      <c r="AD873" s="1"/>
      <c r="AE873" s="1"/>
      <c r="AF873" s="1"/>
    </row>
    <row r="874">
      <c r="A874" s="1"/>
      <c r="B874" s="2"/>
      <c r="C874" s="117"/>
      <c r="D874" s="2"/>
      <c r="E874" s="2"/>
      <c r="F874" s="2"/>
      <c r="G874" s="2"/>
      <c r="H874" s="2"/>
      <c r="I874" s="117"/>
      <c r="J874" s="2"/>
      <c r="K874" s="2"/>
      <c r="L874" s="2"/>
      <c r="M874" s="2"/>
      <c r="N874" s="2"/>
      <c r="O874" s="2"/>
      <c r="P874" s="2"/>
      <c r="Q874" s="2"/>
      <c r="R874" s="2"/>
      <c r="S874" s="2"/>
      <c r="T874" s="2"/>
      <c r="U874" s="2"/>
      <c r="V874" s="1"/>
      <c r="W874" s="1"/>
      <c r="X874" s="1"/>
      <c r="Y874" s="1"/>
      <c r="Z874" s="1"/>
      <c r="AA874" s="1"/>
      <c r="AB874" s="1"/>
      <c r="AC874" s="1"/>
      <c r="AD874" s="1"/>
      <c r="AE874" s="1"/>
      <c r="AF874" s="1"/>
    </row>
    <row r="875">
      <c r="A875" s="1"/>
      <c r="B875" s="2"/>
      <c r="C875" s="117"/>
      <c r="D875" s="2"/>
      <c r="E875" s="2"/>
      <c r="F875" s="2"/>
      <c r="G875" s="2"/>
      <c r="H875" s="2"/>
      <c r="I875" s="117"/>
      <c r="J875" s="2"/>
      <c r="K875" s="2"/>
      <c r="L875" s="2"/>
      <c r="M875" s="2"/>
      <c r="N875" s="2"/>
      <c r="O875" s="2"/>
      <c r="P875" s="2"/>
      <c r="Q875" s="2"/>
      <c r="R875" s="2"/>
      <c r="S875" s="2"/>
      <c r="T875" s="2"/>
      <c r="U875" s="2"/>
      <c r="V875" s="1"/>
      <c r="W875" s="1"/>
      <c r="X875" s="1"/>
      <c r="Y875" s="1"/>
      <c r="Z875" s="1"/>
      <c r="AA875" s="1"/>
      <c r="AB875" s="1"/>
      <c r="AC875" s="1"/>
      <c r="AD875" s="1"/>
      <c r="AE875" s="1"/>
      <c r="AF875" s="1"/>
    </row>
    <row r="876">
      <c r="A876" s="1"/>
      <c r="B876" s="2"/>
      <c r="C876" s="117"/>
      <c r="D876" s="2"/>
      <c r="E876" s="2"/>
      <c r="F876" s="2"/>
      <c r="G876" s="2"/>
      <c r="H876" s="2"/>
      <c r="I876" s="117"/>
      <c r="J876" s="2"/>
      <c r="K876" s="2"/>
      <c r="L876" s="2"/>
      <c r="M876" s="2"/>
      <c r="N876" s="2"/>
      <c r="O876" s="2"/>
      <c r="P876" s="2"/>
      <c r="Q876" s="2"/>
      <c r="R876" s="2"/>
      <c r="S876" s="2"/>
      <c r="T876" s="2"/>
      <c r="U876" s="2"/>
      <c r="V876" s="1"/>
      <c r="W876" s="1"/>
      <c r="X876" s="1"/>
      <c r="Y876" s="1"/>
      <c r="Z876" s="1"/>
      <c r="AA876" s="1"/>
      <c r="AB876" s="1"/>
      <c r="AC876" s="1"/>
      <c r="AD876" s="1"/>
      <c r="AE876" s="1"/>
      <c r="AF876" s="1"/>
    </row>
    <row r="877">
      <c r="A877" s="1"/>
      <c r="B877" s="2"/>
      <c r="C877" s="117"/>
      <c r="D877" s="2"/>
      <c r="E877" s="2"/>
      <c r="F877" s="2"/>
      <c r="G877" s="2"/>
      <c r="H877" s="2"/>
      <c r="I877" s="117"/>
      <c r="J877" s="2"/>
      <c r="K877" s="2"/>
      <c r="L877" s="2"/>
      <c r="M877" s="2"/>
      <c r="N877" s="2"/>
      <c r="O877" s="2"/>
      <c r="P877" s="2"/>
      <c r="Q877" s="2"/>
      <c r="R877" s="2"/>
      <c r="S877" s="2"/>
      <c r="T877" s="2"/>
      <c r="U877" s="2"/>
      <c r="V877" s="1"/>
      <c r="W877" s="1"/>
      <c r="X877" s="1"/>
      <c r="Y877" s="1"/>
      <c r="Z877" s="1"/>
      <c r="AA877" s="1"/>
      <c r="AB877" s="1"/>
      <c r="AC877" s="1"/>
      <c r="AD877" s="1"/>
      <c r="AE877" s="1"/>
      <c r="AF877" s="1"/>
    </row>
    <row r="878">
      <c r="A878" s="1"/>
      <c r="B878" s="2"/>
      <c r="C878" s="117"/>
      <c r="D878" s="2"/>
      <c r="E878" s="2"/>
      <c r="F878" s="2"/>
      <c r="G878" s="2"/>
      <c r="H878" s="2"/>
      <c r="I878" s="117"/>
      <c r="J878" s="2"/>
      <c r="K878" s="2"/>
      <c r="L878" s="2"/>
      <c r="M878" s="2"/>
      <c r="N878" s="2"/>
      <c r="O878" s="2"/>
      <c r="P878" s="2"/>
      <c r="Q878" s="2"/>
      <c r="R878" s="2"/>
      <c r="S878" s="2"/>
      <c r="T878" s="2"/>
      <c r="U878" s="2"/>
      <c r="V878" s="1"/>
      <c r="W878" s="1"/>
      <c r="X878" s="1"/>
      <c r="Y878" s="1"/>
      <c r="Z878" s="1"/>
      <c r="AA878" s="1"/>
      <c r="AB878" s="1"/>
      <c r="AC878" s="1"/>
      <c r="AD878" s="1"/>
      <c r="AE878" s="1"/>
      <c r="AF878" s="1"/>
    </row>
    <row r="879">
      <c r="A879" s="1"/>
      <c r="B879" s="2"/>
      <c r="C879" s="117"/>
      <c r="D879" s="2"/>
      <c r="E879" s="2"/>
      <c r="F879" s="2"/>
      <c r="G879" s="2"/>
      <c r="H879" s="2"/>
      <c r="I879" s="117"/>
      <c r="J879" s="2"/>
      <c r="K879" s="2"/>
      <c r="L879" s="2"/>
      <c r="M879" s="2"/>
      <c r="N879" s="2"/>
      <c r="O879" s="2"/>
      <c r="P879" s="2"/>
      <c r="Q879" s="2"/>
      <c r="R879" s="2"/>
      <c r="S879" s="2"/>
      <c r="T879" s="2"/>
      <c r="U879" s="2"/>
      <c r="V879" s="1"/>
      <c r="W879" s="1"/>
      <c r="X879" s="1"/>
      <c r="Y879" s="1"/>
      <c r="Z879" s="1"/>
      <c r="AA879" s="1"/>
      <c r="AB879" s="1"/>
      <c r="AC879" s="1"/>
      <c r="AD879" s="1"/>
      <c r="AE879" s="1"/>
      <c r="AF879" s="1"/>
    </row>
    <row r="880">
      <c r="A880" s="1"/>
      <c r="B880" s="2"/>
      <c r="C880" s="117"/>
      <c r="D880" s="2"/>
      <c r="E880" s="2"/>
      <c r="F880" s="2"/>
      <c r="G880" s="2"/>
      <c r="H880" s="2"/>
      <c r="I880" s="117"/>
      <c r="J880" s="2"/>
      <c r="K880" s="2"/>
      <c r="L880" s="2"/>
      <c r="M880" s="2"/>
      <c r="N880" s="2"/>
      <c r="O880" s="2"/>
      <c r="P880" s="2"/>
      <c r="Q880" s="2"/>
      <c r="R880" s="2"/>
      <c r="S880" s="2"/>
      <c r="T880" s="2"/>
      <c r="U880" s="2"/>
      <c r="V880" s="1"/>
      <c r="W880" s="1"/>
      <c r="X880" s="1"/>
      <c r="Y880" s="1"/>
      <c r="Z880" s="1"/>
      <c r="AA880" s="1"/>
      <c r="AB880" s="1"/>
      <c r="AC880" s="1"/>
      <c r="AD880" s="1"/>
      <c r="AE880" s="1"/>
      <c r="AF880" s="1"/>
    </row>
    <row r="881">
      <c r="A881" s="1"/>
      <c r="B881" s="2"/>
      <c r="C881" s="117"/>
      <c r="D881" s="2"/>
      <c r="E881" s="2"/>
      <c r="F881" s="2"/>
      <c r="G881" s="2"/>
      <c r="H881" s="2"/>
      <c r="I881" s="117"/>
      <c r="J881" s="2"/>
      <c r="K881" s="2"/>
      <c r="L881" s="2"/>
      <c r="M881" s="2"/>
      <c r="N881" s="2"/>
      <c r="O881" s="2"/>
      <c r="P881" s="2"/>
      <c r="Q881" s="2"/>
      <c r="R881" s="2"/>
      <c r="S881" s="2"/>
      <c r="T881" s="2"/>
      <c r="U881" s="2"/>
      <c r="V881" s="1"/>
      <c r="W881" s="1"/>
      <c r="X881" s="1"/>
      <c r="Y881" s="1"/>
      <c r="Z881" s="1"/>
      <c r="AA881" s="1"/>
      <c r="AB881" s="1"/>
      <c r="AC881" s="1"/>
      <c r="AD881" s="1"/>
      <c r="AE881" s="1"/>
      <c r="AF881" s="1"/>
    </row>
    <row r="882">
      <c r="A882" s="1"/>
      <c r="B882" s="2"/>
      <c r="C882" s="117"/>
      <c r="D882" s="2"/>
      <c r="E882" s="2"/>
      <c r="F882" s="2"/>
      <c r="G882" s="2"/>
      <c r="H882" s="2"/>
      <c r="I882" s="117"/>
      <c r="J882" s="2"/>
      <c r="K882" s="2"/>
      <c r="L882" s="2"/>
      <c r="M882" s="2"/>
      <c r="N882" s="2"/>
      <c r="O882" s="2"/>
      <c r="P882" s="2"/>
      <c r="Q882" s="2"/>
      <c r="R882" s="2"/>
      <c r="S882" s="2"/>
      <c r="T882" s="2"/>
      <c r="U882" s="2"/>
      <c r="V882" s="1"/>
      <c r="W882" s="1"/>
      <c r="X882" s="1"/>
      <c r="Y882" s="1"/>
      <c r="Z882" s="1"/>
      <c r="AA882" s="1"/>
      <c r="AB882" s="1"/>
      <c r="AC882" s="1"/>
      <c r="AD882" s="1"/>
      <c r="AE882" s="1"/>
      <c r="AF882" s="1"/>
    </row>
    <row r="883">
      <c r="A883" s="1"/>
      <c r="B883" s="2"/>
      <c r="C883" s="117"/>
      <c r="D883" s="2"/>
      <c r="E883" s="2"/>
      <c r="F883" s="2"/>
      <c r="G883" s="2"/>
      <c r="H883" s="2"/>
      <c r="I883" s="117"/>
      <c r="J883" s="2"/>
      <c r="K883" s="2"/>
      <c r="L883" s="2"/>
      <c r="M883" s="2"/>
      <c r="N883" s="2"/>
      <c r="O883" s="2"/>
      <c r="P883" s="2"/>
      <c r="Q883" s="2"/>
      <c r="R883" s="2"/>
      <c r="S883" s="2"/>
      <c r="T883" s="2"/>
      <c r="U883" s="2"/>
      <c r="V883" s="1"/>
      <c r="W883" s="1"/>
      <c r="X883" s="1"/>
      <c r="Y883" s="1"/>
      <c r="Z883" s="1"/>
      <c r="AA883" s="1"/>
      <c r="AB883" s="1"/>
      <c r="AC883" s="1"/>
      <c r="AD883" s="1"/>
      <c r="AE883" s="1"/>
      <c r="AF883" s="1"/>
    </row>
    <row r="884">
      <c r="A884" s="1"/>
      <c r="B884" s="2"/>
      <c r="C884" s="117"/>
      <c r="D884" s="2"/>
      <c r="E884" s="2"/>
      <c r="F884" s="2"/>
      <c r="G884" s="2"/>
      <c r="H884" s="2"/>
      <c r="I884" s="117"/>
      <c r="J884" s="2"/>
      <c r="K884" s="2"/>
      <c r="L884" s="2"/>
      <c r="M884" s="2"/>
      <c r="N884" s="2"/>
      <c r="O884" s="2"/>
      <c r="P884" s="2"/>
      <c r="Q884" s="2"/>
      <c r="R884" s="2"/>
      <c r="S884" s="2"/>
      <c r="T884" s="2"/>
      <c r="U884" s="2"/>
      <c r="V884" s="1"/>
      <c r="W884" s="1"/>
      <c r="X884" s="1"/>
      <c r="Y884" s="1"/>
      <c r="Z884" s="1"/>
      <c r="AA884" s="1"/>
      <c r="AB884" s="1"/>
      <c r="AC884" s="1"/>
      <c r="AD884" s="1"/>
      <c r="AE884" s="1"/>
      <c r="AF884" s="1"/>
    </row>
    <row r="885">
      <c r="A885" s="1"/>
      <c r="B885" s="2"/>
      <c r="C885" s="117"/>
      <c r="D885" s="2"/>
      <c r="E885" s="2"/>
      <c r="F885" s="2"/>
      <c r="G885" s="2"/>
      <c r="H885" s="2"/>
      <c r="I885" s="117"/>
      <c r="J885" s="2"/>
      <c r="K885" s="2"/>
      <c r="L885" s="2"/>
      <c r="M885" s="2"/>
      <c r="N885" s="2"/>
      <c r="O885" s="2"/>
      <c r="P885" s="2"/>
      <c r="Q885" s="2"/>
      <c r="R885" s="2"/>
      <c r="S885" s="2"/>
      <c r="T885" s="2"/>
      <c r="U885" s="2"/>
      <c r="V885" s="1"/>
      <c r="W885" s="1"/>
      <c r="X885" s="1"/>
      <c r="Y885" s="1"/>
      <c r="Z885" s="1"/>
      <c r="AA885" s="1"/>
      <c r="AB885" s="1"/>
      <c r="AC885" s="1"/>
      <c r="AD885" s="1"/>
      <c r="AE885" s="1"/>
      <c r="AF885" s="1"/>
    </row>
    <row r="886">
      <c r="A886" s="1"/>
      <c r="B886" s="2"/>
      <c r="C886" s="117"/>
      <c r="D886" s="2"/>
      <c r="E886" s="2"/>
      <c r="F886" s="2"/>
      <c r="G886" s="2"/>
      <c r="H886" s="2"/>
      <c r="I886" s="117"/>
      <c r="J886" s="2"/>
      <c r="K886" s="2"/>
      <c r="L886" s="2"/>
      <c r="M886" s="2"/>
      <c r="N886" s="2"/>
      <c r="O886" s="2"/>
      <c r="P886" s="2"/>
      <c r="Q886" s="2"/>
      <c r="R886" s="2"/>
      <c r="S886" s="2"/>
      <c r="T886" s="2"/>
      <c r="U886" s="2"/>
      <c r="V886" s="1"/>
      <c r="W886" s="1"/>
      <c r="X886" s="1"/>
      <c r="Y886" s="1"/>
      <c r="Z886" s="1"/>
      <c r="AA886" s="1"/>
      <c r="AB886" s="1"/>
      <c r="AC886" s="1"/>
      <c r="AD886" s="1"/>
      <c r="AE886" s="1"/>
      <c r="AF886" s="1"/>
    </row>
    <row r="887">
      <c r="A887" s="1"/>
      <c r="B887" s="2"/>
      <c r="C887" s="117"/>
      <c r="D887" s="2"/>
      <c r="E887" s="2"/>
      <c r="F887" s="2"/>
      <c r="G887" s="2"/>
      <c r="H887" s="2"/>
      <c r="I887" s="117"/>
      <c r="J887" s="2"/>
      <c r="K887" s="2"/>
      <c r="L887" s="2"/>
      <c r="M887" s="2"/>
      <c r="N887" s="2"/>
      <c r="O887" s="2"/>
      <c r="P887" s="2"/>
      <c r="Q887" s="2"/>
      <c r="R887" s="2"/>
      <c r="S887" s="2"/>
      <c r="T887" s="2"/>
      <c r="U887" s="2"/>
      <c r="V887" s="1"/>
      <c r="W887" s="1"/>
      <c r="X887" s="1"/>
      <c r="Y887" s="1"/>
      <c r="Z887" s="1"/>
      <c r="AA887" s="1"/>
      <c r="AB887" s="1"/>
      <c r="AC887" s="1"/>
      <c r="AD887" s="1"/>
      <c r="AE887" s="1"/>
      <c r="AF887" s="1"/>
    </row>
    <row r="888">
      <c r="A888" s="1"/>
      <c r="B888" s="2"/>
      <c r="C888" s="117"/>
      <c r="D888" s="2"/>
      <c r="E888" s="2"/>
      <c r="F888" s="2"/>
      <c r="G888" s="2"/>
      <c r="H888" s="2"/>
      <c r="I888" s="117"/>
      <c r="J888" s="2"/>
      <c r="K888" s="2"/>
      <c r="L888" s="2"/>
      <c r="M888" s="2"/>
      <c r="N888" s="2"/>
      <c r="O888" s="2"/>
      <c r="P888" s="2"/>
      <c r="Q888" s="2"/>
      <c r="R888" s="2"/>
      <c r="S888" s="2"/>
      <c r="T888" s="2"/>
      <c r="U888" s="2"/>
      <c r="V888" s="1"/>
      <c r="W888" s="1"/>
      <c r="X888" s="1"/>
      <c r="Y888" s="1"/>
      <c r="Z888" s="1"/>
      <c r="AA888" s="1"/>
      <c r="AB888" s="1"/>
      <c r="AC888" s="1"/>
      <c r="AD888" s="1"/>
      <c r="AE888" s="1"/>
      <c r="AF888" s="1"/>
    </row>
    <row r="889">
      <c r="A889" s="1"/>
      <c r="B889" s="2"/>
      <c r="C889" s="117"/>
      <c r="D889" s="2"/>
      <c r="E889" s="2"/>
      <c r="F889" s="2"/>
      <c r="G889" s="2"/>
      <c r="H889" s="2"/>
      <c r="I889" s="117"/>
      <c r="J889" s="2"/>
      <c r="K889" s="2"/>
      <c r="L889" s="2"/>
      <c r="M889" s="2"/>
      <c r="N889" s="2"/>
      <c r="O889" s="2"/>
      <c r="P889" s="2"/>
      <c r="Q889" s="2"/>
      <c r="R889" s="2"/>
      <c r="S889" s="2"/>
      <c r="T889" s="2"/>
      <c r="U889" s="2"/>
      <c r="V889" s="1"/>
      <c r="W889" s="1"/>
      <c r="X889" s="1"/>
      <c r="Y889" s="1"/>
      <c r="Z889" s="1"/>
      <c r="AA889" s="1"/>
      <c r="AB889" s="1"/>
      <c r="AC889" s="1"/>
      <c r="AD889" s="1"/>
      <c r="AE889" s="1"/>
      <c r="AF889" s="1"/>
    </row>
    <row r="890">
      <c r="A890" s="1"/>
      <c r="B890" s="2"/>
      <c r="C890" s="117"/>
      <c r="D890" s="2"/>
      <c r="E890" s="2"/>
      <c r="F890" s="2"/>
      <c r="G890" s="2"/>
      <c r="H890" s="2"/>
      <c r="I890" s="117"/>
      <c r="J890" s="2"/>
      <c r="K890" s="2"/>
      <c r="L890" s="2"/>
      <c r="M890" s="2"/>
      <c r="N890" s="2"/>
      <c r="O890" s="2"/>
      <c r="P890" s="2"/>
      <c r="Q890" s="2"/>
      <c r="R890" s="2"/>
      <c r="S890" s="2"/>
      <c r="T890" s="2"/>
      <c r="U890" s="2"/>
      <c r="V890" s="1"/>
      <c r="W890" s="1"/>
      <c r="X890" s="1"/>
      <c r="Y890" s="1"/>
      <c r="Z890" s="1"/>
      <c r="AA890" s="1"/>
      <c r="AB890" s="1"/>
      <c r="AC890" s="1"/>
      <c r="AD890" s="1"/>
      <c r="AE890" s="1"/>
      <c r="AF890" s="1"/>
    </row>
    <row r="891">
      <c r="A891" s="1"/>
      <c r="B891" s="2"/>
      <c r="C891" s="117"/>
      <c r="D891" s="2"/>
      <c r="E891" s="2"/>
      <c r="F891" s="2"/>
      <c r="G891" s="2"/>
      <c r="H891" s="2"/>
      <c r="I891" s="117"/>
      <c r="J891" s="2"/>
      <c r="K891" s="2"/>
      <c r="L891" s="2"/>
      <c r="M891" s="2"/>
      <c r="N891" s="2"/>
      <c r="O891" s="2"/>
      <c r="P891" s="2"/>
      <c r="Q891" s="2"/>
      <c r="R891" s="2"/>
      <c r="S891" s="2"/>
      <c r="T891" s="2"/>
      <c r="U891" s="2"/>
      <c r="V891" s="1"/>
      <c r="W891" s="1"/>
      <c r="X891" s="1"/>
      <c r="Y891" s="1"/>
      <c r="Z891" s="1"/>
      <c r="AA891" s="1"/>
      <c r="AB891" s="1"/>
      <c r="AC891" s="1"/>
      <c r="AD891" s="1"/>
      <c r="AE891" s="1"/>
      <c r="AF891" s="1"/>
    </row>
    <row r="892">
      <c r="A892" s="1"/>
      <c r="B892" s="2"/>
      <c r="C892" s="117"/>
      <c r="D892" s="2"/>
      <c r="E892" s="2"/>
      <c r="F892" s="2"/>
      <c r="G892" s="2"/>
      <c r="H892" s="2"/>
      <c r="I892" s="117"/>
      <c r="J892" s="2"/>
      <c r="K892" s="2"/>
      <c r="L892" s="2"/>
      <c r="M892" s="2"/>
      <c r="N892" s="2"/>
      <c r="O892" s="2"/>
      <c r="P892" s="2"/>
      <c r="Q892" s="2"/>
      <c r="R892" s="2"/>
      <c r="S892" s="2"/>
      <c r="T892" s="2"/>
      <c r="U892" s="2"/>
      <c r="V892" s="1"/>
      <c r="W892" s="1"/>
      <c r="X892" s="1"/>
      <c r="Y892" s="1"/>
      <c r="Z892" s="1"/>
      <c r="AA892" s="1"/>
      <c r="AB892" s="1"/>
      <c r="AC892" s="1"/>
      <c r="AD892" s="1"/>
      <c r="AE892" s="1"/>
      <c r="AF892" s="1"/>
    </row>
    <row r="893">
      <c r="A893" s="1"/>
      <c r="B893" s="2"/>
      <c r="C893" s="117"/>
      <c r="D893" s="2"/>
      <c r="E893" s="2"/>
      <c r="F893" s="2"/>
      <c r="G893" s="2"/>
      <c r="H893" s="2"/>
      <c r="I893" s="117"/>
      <c r="J893" s="2"/>
      <c r="K893" s="2"/>
      <c r="L893" s="2"/>
      <c r="M893" s="2"/>
      <c r="N893" s="2"/>
      <c r="O893" s="2"/>
      <c r="P893" s="2"/>
      <c r="Q893" s="2"/>
      <c r="R893" s="2"/>
      <c r="S893" s="2"/>
      <c r="T893" s="2"/>
      <c r="U893" s="2"/>
      <c r="V893" s="1"/>
      <c r="W893" s="1"/>
      <c r="X893" s="1"/>
      <c r="Y893" s="1"/>
      <c r="Z893" s="1"/>
      <c r="AA893" s="1"/>
      <c r="AB893" s="1"/>
      <c r="AC893" s="1"/>
      <c r="AD893" s="1"/>
      <c r="AE893" s="1"/>
      <c r="AF893" s="1"/>
    </row>
    <row r="894">
      <c r="A894" s="1"/>
      <c r="B894" s="2"/>
      <c r="C894" s="117"/>
      <c r="D894" s="2"/>
      <c r="E894" s="2"/>
      <c r="F894" s="2"/>
      <c r="G894" s="2"/>
      <c r="H894" s="2"/>
      <c r="I894" s="117"/>
      <c r="J894" s="2"/>
      <c r="K894" s="2"/>
      <c r="L894" s="2"/>
      <c r="M894" s="2"/>
      <c r="N894" s="2"/>
      <c r="O894" s="2"/>
      <c r="P894" s="2"/>
      <c r="Q894" s="2"/>
      <c r="R894" s="2"/>
      <c r="S894" s="2"/>
      <c r="T894" s="2"/>
      <c r="U894" s="2"/>
      <c r="V894" s="1"/>
      <c r="W894" s="1"/>
      <c r="X894" s="1"/>
      <c r="Y894" s="1"/>
      <c r="Z894" s="1"/>
      <c r="AA894" s="1"/>
      <c r="AB894" s="1"/>
      <c r="AC894" s="1"/>
      <c r="AD894" s="1"/>
      <c r="AE894" s="1"/>
      <c r="AF894" s="1"/>
    </row>
    <row r="895">
      <c r="A895" s="1"/>
      <c r="B895" s="2"/>
      <c r="C895" s="117"/>
      <c r="D895" s="2"/>
      <c r="E895" s="2"/>
      <c r="F895" s="2"/>
      <c r="G895" s="2"/>
      <c r="H895" s="2"/>
      <c r="I895" s="117"/>
      <c r="J895" s="2"/>
      <c r="K895" s="2"/>
      <c r="L895" s="2"/>
      <c r="M895" s="2"/>
      <c r="N895" s="2"/>
      <c r="O895" s="2"/>
      <c r="P895" s="2"/>
      <c r="Q895" s="2"/>
      <c r="R895" s="2"/>
      <c r="S895" s="2"/>
      <c r="T895" s="2"/>
      <c r="U895" s="2"/>
      <c r="V895" s="1"/>
      <c r="W895" s="1"/>
      <c r="X895" s="1"/>
      <c r="Y895" s="1"/>
      <c r="Z895" s="1"/>
      <c r="AA895" s="1"/>
      <c r="AB895" s="1"/>
      <c r="AC895" s="1"/>
      <c r="AD895" s="1"/>
      <c r="AE895" s="1"/>
      <c r="AF895" s="1"/>
    </row>
    <row r="896">
      <c r="A896" s="1"/>
      <c r="B896" s="2"/>
      <c r="C896" s="117"/>
      <c r="D896" s="2"/>
      <c r="E896" s="2"/>
      <c r="F896" s="2"/>
      <c r="G896" s="2"/>
      <c r="H896" s="2"/>
      <c r="I896" s="117"/>
      <c r="J896" s="2"/>
      <c r="K896" s="2"/>
      <c r="L896" s="2"/>
      <c r="M896" s="2"/>
      <c r="N896" s="2"/>
      <c r="O896" s="2"/>
      <c r="P896" s="2"/>
      <c r="Q896" s="2"/>
      <c r="R896" s="2"/>
      <c r="S896" s="2"/>
      <c r="T896" s="2"/>
      <c r="U896" s="2"/>
      <c r="V896" s="1"/>
      <c r="W896" s="1"/>
      <c r="X896" s="1"/>
      <c r="Y896" s="1"/>
      <c r="Z896" s="1"/>
      <c r="AA896" s="1"/>
      <c r="AB896" s="1"/>
      <c r="AC896" s="1"/>
      <c r="AD896" s="1"/>
      <c r="AE896" s="1"/>
      <c r="AF896" s="1"/>
    </row>
    <row r="897">
      <c r="A897" s="1"/>
      <c r="B897" s="2"/>
      <c r="C897" s="117"/>
      <c r="D897" s="2"/>
      <c r="E897" s="2"/>
      <c r="F897" s="2"/>
      <c r="G897" s="2"/>
      <c r="H897" s="2"/>
      <c r="I897" s="117"/>
      <c r="J897" s="2"/>
      <c r="K897" s="2"/>
      <c r="L897" s="2"/>
      <c r="M897" s="2"/>
      <c r="N897" s="2"/>
      <c r="O897" s="2"/>
      <c r="P897" s="2"/>
      <c r="Q897" s="2"/>
      <c r="R897" s="2"/>
      <c r="S897" s="2"/>
      <c r="T897" s="2"/>
      <c r="U897" s="2"/>
      <c r="V897" s="1"/>
      <c r="W897" s="1"/>
      <c r="X897" s="1"/>
      <c r="Y897" s="1"/>
      <c r="Z897" s="1"/>
      <c r="AA897" s="1"/>
      <c r="AB897" s="1"/>
      <c r="AC897" s="1"/>
      <c r="AD897" s="1"/>
      <c r="AE897" s="1"/>
      <c r="AF897" s="1"/>
    </row>
    <row r="898">
      <c r="A898" s="1"/>
      <c r="B898" s="2"/>
      <c r="C898" s="117"/>
      <c r="D898" s="2"/>
      <c r="E898" s="2"/>
      <c r="F898" s="2"/>
      <c r="G898" s="2"/>
      <c r="H898" s="2"/>
      <c r="I898" s="117"/>
      <c r="J898" s="2"/>
      <c r="K898" s="2"/>
      <c r="L898" s="2"/>
      <c r="M898" s="2"/>
      <c r="N898" s="2"/>
      <c r="O898" s="2"/>
      <c r="P898" s="2"/>
      <c r="Q898" s="2"/>
      <c r="R898" s="2"/>
      <c r="S898" s="2"/>
      <c r="T898" s="2"/>
      <c r="U898" s="2"/>
      <c r="V898" s="1"/>
      <c r="W898" s="1"/>
      <c r="X898" s="1"/>
      <c r="Y898" s="1"/>
      <c r="Z898" s="1"/>
      <c r="AA898" s="1"/>
      <c r="AB898" s="1"/>
      <c r="AC898" s="1"/>
      <c r="AD898" s="1"/>
      <c r="AE898" s="1"/>
      <c r="AF898" s="1"/>
    </row>
    <row r="899">
      <c r="A899" s="1"/>
      <c r="B899" s="2"/>
      <c r="C899" s="117"/>
      <c r="D899" s="2"/>
      <c r="E899" s="2"/>
      <c r="F899" s="2"/>
      <c r="G899" s="2"/>
      <c r="H899" s="2"/>
      <c r="I899" s="117"/>
      <c r="J899" s="2"/>
      <c r="K899" s="2"/>
      <c r="L899" s="2"/>
      <c r="M899" s="2"/>
      <c r="N899" s="2"/>
      <c r="O899" s="2"/>
      <c r="P899" s="2"/>
      <c r="Q899" s="2"/>
      <c r="R899" s="2"/>
      <c r="S899" s="2"/>
      <c r="T899" s="2"/>
      <c r="U899" s="2"/>
      <c r="V899" s="1"/>
      <c r="W899" s="1"/>
      <c r="X899" s="1"/>
      <c r="Y899" s="1"/>
      <c r="Z899" s="1"/>
      <c r="AA899" s="1"/>
      <c r="AB899" s="1"/>
      <c r="AC899" s="1"/>
      <c r="AD899" s="1"/>
      <c r="AE899" s="1"/>
      <c r="AF899" s="1"/>
    </row>
    <row r="900">
      <c r="A900" s="1"/>
      <c r="B900" s="2"/>
      <c r="C900" s="117"/>
      <c r="D900" s="2"/>
      <c r="E900" s="2"/>
      <c r="F900" s="2"/>
      <c r="G900" s="2"/>
      <c r="H900" s="2"/>
      <c r="I900" s="117"/>
      <c r="J900" s="2"/>
      <c r="K900" s="2"/>
      <c r="L900" s="2"/>
      <c r="M900" s="2"/>
      <c r="N900" s="2"/>
      <c r="O900" s="2"/>
      <c r="P900" s="2"/>
      <c r="Q900" s="2"/>
      <c r="R900" s="2"/>
      <c r="S900" s="2"/>
      <c r="T900" s="2"/>
      <c r="U900" s="2"/>
      <c r="V900" s="1"/>
      <c r="W900" s="1"/>
      <c r="X900" s="1"/>
      <c r="Y900" s="1"/>
      <c r="Z900" s="1"/>
      <c r="AA900" s="1"/>
      <c r="AB900" s="1"/>
      <c r="AC900" s="1"/>
      <c r="AD900" s="1"/>
      <c r="AE900" s="1"/>
      <c r="AF900" s="1"/>
    </row>
    <row r="901">
      <c r="A901" s="1"/>
      <c r="B901" s="2"/>
      <c r="C901" s="117"/>
      <c r="D901" s="2"/>
      <c r="E901" s="2"/>
      <c r="F901" s="2"/>
      <c r="G901" s="2"/>
      <c r="H901" s="2"/>
      <c r="I901" s="117"/>
      <c r="J901" s="2"/>
      <c r="K901" s="2"/>
      <c r="L901" s="2"/>
      <c r="M901" s="2"/>
      <c r="N901" s="2"/>
      <c r="O901" s="2"/>
      <c r="P901" s="2"/>
      <c r="Q901" s="2"/>
      <c r="R901" s="2"/>
      <c r="S901" s="2"/>
      <c r="T901" s="2"/>
      <c r="U901" s="2"/>
      <c r="V901" s="1"/>
      <c r="W901" s="1"/>
      <c r="X901" s="1"/>
      <c r="Y901" s="1"/>
      <c r="Z901" s="1"/>
      <c r="AA901" s="1"/>
      <c r="AB901" s="1"/>
      <c r="AC901" s="1"/>
      <c r="AD901" s="1"/>
      <c r="AE901" s="1"/>
      <c r="AF901" s="1"/>
    </row>
    <row r="902">
      <c r="A902" s="1"/>
      <c r="B902" s="2"/>
      <c r="C902" s="117"/>
      <c r="D902" s="2"/>
      <c r="E902" s="2"/>
      <c r="F902" s="2"/>
      <c r="G902" s="2"/>
      <c r="H902" s="2"/>
      <c r="I902" s="117"/>
      <c r="J902" s="2"/>
      <c r="K902" s="2"/>
      <c r="L902" s="2"/>
      <c r="M902" s="2"/>
      <c r="N902" s="2"/>
      <c r="O902" s="2"/>
      <c r="P902" s="2"/>
      <c r="Q902" s="2"/>
      <c r="R902" s="2"/>
      <c r="S902" s="2"/>
      <c r="T902" s="2"/>
      <c r="U902" s="2"/>
      <c r="V902" s="1"/>
      <c r="W902" s="1"/>
      <c r="X902" s="1"/>
      <c r="Y902" s="1"/>
      <c r="Z902" s="1"/>
      <c r="AA902" s="1"/>
      <c r="AB902" s="1"/>
      <c r="AC902" s="1"/>
      <c r="AD902" s="1"/>
      <c r="AE902" s="1"/>
      <c r="AF902" s="1"/>
    </row>
    <row r="903">
      <c r="A903" s="1"/>
      <c r="B903" s="2"/>
      <c r="C903" s="117"/>
      <c r="D903" s="2"/>
      <c r="E903" s="2"/>
      <c r="F903" s="2"/>
      <c r="G903" s="2"/>
      <c r="H903" s="2"/>
      <c r="I903" s="117"/>
      <c r="J903" s="2"/>
      <c r="K903" s="2"/>
      <c r="L903" s="2"/>
      <c r="M903" s="2"/>
      <c r="N903" s="2"/>
      <c r="O903" s="2"/>
      <c r="P903" s="2"/>
      <c r="Q903" s="2"/>
      <c r="R903" s="2"/>
      <c r="S903" s="2"/>
      <c r="T903" s="2"/>
      <c r="U903" s="2"/>
      <c r="V903" s="1"/>
      <c r="W903" s="1"/>
      <c r="X903" s="1"/>
      <c r="Y903" s="1"/>
      <c r="Z903" s="1"/>
      <c r="AA903" s="1"/>
      <c r="AB903" s="1"/>
      <c r="AC903" s="1"/>
      <c r="AD903" s="1"/>
      <c r="AE903" s="1"/>
      <c r="AF903" s="1"/>
    </row>
    <row r="904">
      <c r="A904" s="1"/>
      <c r="B904" s="2"/>
      <c r="C904" s="117"/>
      <c r="D904" s="2"/>
      <c r="E904" s="2"/>
      <c r="F904" s="2"/>
      <c r="G904" s="2"/>
      <c r="H904" s="2"/>
      <c r="I904" s="117"/>
      <c r="J904" s="2"/>
      <c r="K904" s="2"/>
      <c r="L904" s="2"/>
      <c r="M904" s="2"/>
      <c r="N904" s="2"/>
      <c r="O904" s="2"/>
      <c r="P904" s="2"/>
      <c r="Q904" s="2"/>
      <c r="R904" s="2"/>
      <c r="S904" s="2"/>
      <c r="T904" s="2"/>
      <c r="U904" s="2"/>
      <c r="V904" s="1"/>
      <c r="W904" s="1"/>
      <c r="X904" s="1"/>
      <c r="Y904" s="1"/>
      <c r="Z904" s="1"/>
      <c r="AA904" s="1"/>
      <c r="AB904" s="1"/>
      <c r="AC904" s="1"/>
      <c r="AD904" s="1"/>
      <c r="AE904" s="1"/>
      <c r="AF904" s="1"/>
    </row>
    <row r="905">
      <c r="A905" s="1"/>
      <c r="B905" s="2"/>
      <c r="C905" s="117"/>
      <c r="D905" s="2"/>
      <c r="E905" s="2"/>
      <c r="F905" s="2"/>
      <c r="G905" s="2"/>
      <c r="H905" s="2"/>
      <c r="I905" s="117"/>
      <c r="J905" s="2"/>
      <c r="K905" s="2"/>
      <c r="L905" s="2"/>
      <c r="M905" s="2"/>
      <c r="N905" s="2"/>
      <c r="O905" s="2"/>
      <c r="P905" s="2"/>
      <c r="Q905" s="2"/>
      <c r="R905" s="2"/>
      <c r="S905" s="2"/>
      <c r="T905" s="2"/>
      <c r="U905" s="2"/>
      <c r="V905" s="1"/>
      <c r="W905" s="1"/>
      <c r="X905" s="1"/>
      <c r="Y905" s="1"/>
      <c r="Z905" s="1"/>
      <c r="AA905" s="1"/>
      <c r="AB905" s="1"/>
      <c r="AC905" s="1"/>
      <c r="AD905" s="1"/>
      <c r="AE905" s="1"/>
      <c r="AF905" s="1"/>
    </row>
    <row r="906">
      <c r="A906" s="1"/>
      <c r="B906" s="2"/>
      <c r="C906" s="117"/>
      <c r="D906" s="2"/>
      <c r="E906" s="2"/>
      <c r="F906" s="2"/>
      <c r="G906" s="2"/>
      <c r="H906" s="2"/>
      <c r="I906" s="117"/>
      <c r="J906" s="2"/>
      <c r="K906" s="2"/>
      <c r="L906" s="2"/>
      <c r="M906" s="2"/>
      <c r="N906" s="2"/>
      <c r="O906" s="2"/>
      <c r="P906" s="2"/>
      <c r="Q906" s="2"/>
      <c r="R906" s="2"/>
      <c r="S906" s="2"/>
      <c r="T906" s="2"/>
      <c r="U906" s="2"/>
      <c r="V906" s="1"/>
      <c r="W906" s="1"/>
      <c r="X906" s="1"/>
      <c r="Y906" s="1"/>
      <c r="Z906" s="1"/>
      <c r="AA906" s="1"/>
      <c r="AB906" s="1"/>
      <c r="AC906" s="1"/>
      <c r="AD906" s="1"/>
      <c r="AE906" s="1"/>
      <c r="AF906" s="1"/>
    </row>
    <row r="907">
      <c r="A907" s="1"/>
      <c r="B907" s="2"/>
      <c r="C907" s="117"/>
      <c r="D907" s="2"/>
      <c r="E907" s="2"/>
      <c r="F907" s="2"/>
      <c r="G907" s="2"/>
      <c r="H907" s="2"/>
      <c r="I907" s="117"/>
      <c r="J907" s="2"/>
      <c r="K907" s="2"/>
      <c r="L907" s="2"/>
      <c r="M907" s="2"/>
      <c r="N907" s="2"/>
      <c r="O907" s="2"/>
      <c r="P907" s="2"/>
      <c r="Q907" s="2"/>
      <c r="R907" s="2"/>
      <c r="S907" s="2"/>
      <c r="T907" s="2"/>
      <c r="U907" s="2"/>
      <c r="V907" s="1"/>
      <c r="W907" s="1"/>
      <c r="X907" s="1"/>
      <c r="Y907" s="1"/>
      <c r="Z907" s="1"/>
      <c r="AA907" s="1"/>
      <c r="AB907" s="1"/>
      <c r="AC907" s="1"/>
      <c r="AD907" s="1"/>
      <c r="AE907" s="1"/>
      <c r="AF907" s="1"/>
    </row>
    <row r="908">
      <c r="A908" s="1"/>
      <c r="B908" s="2"/>
      <c r="C908" s="117"/>
      <c r="D908" s="2"/>
      <c r="E908" s="2"/>
      <c r="F908" s="2"/>
      <c r="G908" s="2"/>
      <c r="H908" s="2"/>
      <c r="I908" s="117"/>
      <c r="J908" s="2"/>
      <c r="K908" s="2"/>
      <c r="L908" s="2"/>
      <c r="M908" s="2"/>
      <c r="N908" s="2"/>
      <c r="O908" s="2"/>
      <c r="P908" s="2"/>
      <c r="Q908" s="2"/>
      <c r="R908" s="2"/>
      <c r="S908" s="2"/>
      <c r="T908" s="2"/>
      <c r="U908" s="2"/>
      <c r="V908" s="1"/>
      <c r="W908" s="1"/>
      <c r="X908" s="1"/>
      <c r="Y908" s="1"/>
      <c r="Z908" s="1"/>
      <c r="AA908" s="1"/>
      <c r="AB908" s="1"/>
      <c r="AC908" s="1"/>
      <c r="AD908" s="1"/>
      <c r="AE908" s="1"/>
      <c r="AF908" s="1"/>
    </row>
    <row r="909">
      <c r="A909" s="1"/>
      <c r="B909" s="2"/>
      <c r="C909" s="117"/>
      <c r="D909" s="2"/>
      <c r="E909" s="2"/>
      <c r="F909" s="2"/>
      <c r="G909" s="2"/>
      <c r="H909" s="2"/>
      <c r="I909" s="117"/>
      <c r="J909" s="2"/>
      <c r="K909" s="2"/>
      <c r="L909" s="2"/>
      <c r="M909" s="2"/>
      <c r="N909" s="2"/>
      <c r="O909" s="2"/>
      <c r="P909" s="2"/>
      <c r="Q909" s="2"/>
      <c r="R909" s="2"/>
      <c r="S909" s="2"/>
      <c r="T909" s="2"/>
      <c r="U909" s="2"/>
      <c r="V909" s="1"/>
      <c r="W909" s="1"/>
      <c r="X909" s="1"/>
      <c r="Y909" s="1"/>
      <c r="Z909" s="1"/>
      <c r="AA909" s="1"/>
      <c r="AB909" s="1"/>
      <c r="AC909" s="1"/>
      <c r="AD909" s="1"/>
      <c r="AE909" s="1"/>
      <c r="AF909" s="1"/>
    </row>
    <row r="910">
      <c r="A910" s="1"/>
      <c r="B910" s="2"/>
      <c r="C910" s="117"/>
      <c r="D910" s="2"/>
      <c r="E910" s="2"/>
      <c r="F910" s="2"/>
      <c r="G910" s="2"/>
      <c r="H910" s="2"/>
      <c r="I910" s="117"/>
      <c r="J910" s="2"/>
      <c r="K910" s="2"/>
      <c r="L910" s="2"/>
      <c r="M910" s="2"/>
      <c r="N910" s="2"/>
      <c r="O910" s="2"/>
      <c r="P910" s="2"/>
      <c r="Q910" s="2"/>
      <c r="R910" s="2"/>
      <c r="S910" s="2"/>
      <c r="T910" s="2"/>
      <c r="U910" s="2"/>
      <c r="V910" s="1"/>
      <c r="W910" s="1"/>
      <c r="X910" s="1"/>
      <c r="Y910" s="1"/>
      <c r="Z910" s="1"/>
      <c r="AA910" s="1"/>
      <c r="AB910" s="1"/>
      <c r="AC910" s="1"/>
      <c r="AD910" s="1"/>
      <c r="AE910" s="1"/>
      <c r="AF910" s="1"/>
    </row>
    <row r="911">
      <c r="A911" s="1"/>
      <c r="B911" s="2"/>
      <c r="C911" s="117"/>
      <c r="D911" s="2"/>
      <c r="E911" s="2"/>
      <c r="F911" s="2"/>
      <c r="G911" s="2"/>
      <c r="H911" s="2"/>
      <c r="I911" s="117"/>
      <c r="J911" s="2"/>
      <c r="K911" s="2"/>
      <c r="L911" s="2"/>
      <c r="M911" s="2"/>
      <c r="N911" s="2"/>
      <c r="O911" s="2"/>
      <c r="P911" s="2"/>
      <c r="Q911" s="2"/>
      <c r="R911" s="2"/>
      <c r="S911" s="2"/>
      <c r="T911" s="2"/>
      <c r="U911" s="2"/>
      <c r="V911" s="1"/>
      <c r="W911" s="1"/>
      <c r="X911" s="1"/>
      <c r="Y911" s="1"/>
      <c r="Z911" s="1"/>
      <c r="AA911" s="1"/>
      <c r="AB911" s="1"/>
      <c r="AC911" s="1"/>
      <c r="AD911" s="1"/>
      <c r="AE911" s="1"/>
      <c r="AF911" s="1"/>
    </row>
    <row r="912">
      <c r="A912" s="1"/>
      <c r="B912" s="2"/>
      <c r="C912" s="117"/>
      <c r="D912" s="2"/>
      <c r="E912" s="2"/>
      <c r="F912" s="2"/>
      <c r="G912" s="2"/>
      <c r="H912" s="2"/>
      <c r="I912" s="117"/>
      <c r="J912" s="2"/>
      <c r="K912" s="2"/>
      <c r="L912" s="2"/>
      <c r="M912" s="2"/>
      <c r="N912" s="2"/>
      <c r="O912" s="2"/>
      <c r="P912" s="2"/>
      <c r="Q912" s="2"/>
      <c r="R912" s="2"/>
      <c r="S912" s="2"/>
      <c r="T912" s="2"/>
      <c r="U912" s="2"/>
      <c r="V912" s="1"/>
      <c r="W912" s="1"/>
      <c r="X912" s="1"/>
      <c r="Y912" s="1"/>
      <c r="Z912" s="1"/>
      <c r="AA912" s="1"/>
      <c r="AB912" s="1"/>
      <c r="AC912" s="1"/>
      <c r="AD912" s="1"/>
      <c r="AE912" s="1"/>
      <c r="AF912" s="1"/>
    </row>
    <row r="913">
      <c r="A913" s="1"/>
      <c r="B913" s="2"/>
      <c r="C913" s="117"/>
      <c r="D913" s="2"/>
      <c r="E913" s="2"/>
      <c r="F913" s="2"/>
      <c r="G913" s="2"/>
      <c r="H913" s="2"/>
      <c r="I913" s="117"/>
      <c r="J913" s="2"/>
      <c r="K913" s="2"/>
      <c r="L913" s="2"/>
      <c r="M913" s="2"/>
      <c r="N913" s="2"/>
      <c r="O913" s="2"/>
      <c r="P913" s="2"/>
      <c r="Q913" s="2"/>
      <c r="R913" s="2"/>
      <c r="S913" s="2"/>
      <c r="T913" s="2"/>
      <c r="U913" s="2"/>
      <c r="V913" s="1"/>
      <c r="W913" s="1"/>
      <c r="X913" s="1"/>
      <c r="Y913" s="1"/>
      <c r="Z913" s="1"/>
      <c r="AA913" s="1"/>
      <c r="AB913" s="1"/>
      <c r="AC913" s="1"/>
      <c r="AD913" s="1"/>
      <c r="AE913" s="1"/>
      <c r="AF913" s="1"/>
    </row>
    <row r="914">
      <c r="A914" s="1"/>
      <c r="B914" s="2"/>
      <c r="C914" s="117"/>
      <c r="D914" s="2"/>
      <c r="E914" s="2"/>
      <c r="F914" s="2"/>
      <c r="G914" s="2"/>
      <c r="H914" s="2"/>
      <c r="I914" s="117"/>
      <c r="J914" s="2"/>
      <c r="K914" s="2"/>
      <c r="L914" s="2"/>
      <c r="M914" s="2"/>
      <c r="N914" s="2"/>
      <c r="O914" s="2"/>
      <c r="P914" s="2"/>
      <c r="Q914" s="2"/>
      <c r="R914" s="2"/>
      <c r="S914" s="2"/>
      <c r="T914" s="2"/>
      <c r="U914" s="2"/>
      <c r="V914" s="1"/>
      <c r="W914" s="1"/>
      <c r="X914" s="1"/>
      <c r="Y914" s="1"/>
      <c r="Z914" s="1"/>
      <c r="AA914" s="1"/>
      <c r="AB914" s="1"/>
      <c r="AC914" s="1"/>
      <c r="AD914" s="1"/>
      <c r="AE914" s="1"/>
      <c r="AF914" s="1"/>
    </row>
    <row r="915">
      <c r="A915" s="1"/>
      <c r="B915" s="2"/>
      <c r="C915" s="117"/>
      <c r="D915" s="2"/>
      <c r="E915" s="2"/>
      <c r="F915" s="2"/>
      <c r="G915" s="2"/>
      <c r="H915" s="2"/>
      <c r="I915" s="117"/>
      <c r="J915" s="2"/>
      <c r="K915" s="2"/>
      <c r="L915" s="2"/>
      <c r="M915" s="2"/>
      <c r="N915" s="2"/>
      <c r="O915" s="2"/>
      <c r="P915" s="2"/>
      <c r="Q915" s="2"/>
      <c r="R915" s="2"/>
      <c r="S915" s="2"/>
      <c r="T915" s="2"/>
      <c r="U915" s="2"/>
      <c r="V915" s="1"/>
      <c r="W915" s="1"/>
      <c r="X915" s="1"/>
      <c r="Y915" s="1"/>
      <c r="Z915" s="1"/>
      <c r="AA915" s="1"/>
      <c r="AB915" s="1"/>
      <c r="AC915" s="1"/>
      <c r="AD915" s="1"/>
      <c r="AE915" s="1"/>
      <c r="AF915" s="1"/>
    </row>
    <row r="916">
      <c r="A916" s="1"/>
      <c r="B916" s="2"/>
      <c r="C916" s="117"/>
      <c r="D916" s="2"/>
      <c r="E916" s="2"/>
      <c r="F916" s="2"/>
      <c r="G916" s="2"/>
      <c r="H916" s="2"/>
      <c r="I916" s="117"/>
      <c r="J916" s="2"/>
      <c r="K916" s="2"/>
      <c r="L916" s="2"/>
      <c r="M916" s="2"/>
      <c r="N916" s="2"/>
      <c r="O916" s="2"/>
      <c r="P916" s="2"/>
      <c r="Q916" s="2"/>
      <c r="R916" s="2"/>
      <c r="S916" s="2"/>
      <c r="T916" s="2"/>
      <c r="U916" s="2"/>
      <c r="V916" s="1"/>
      <c r="W916" s="1"/>
      <c r="X916" s="1"/>
      <c r="Y916" s="1"/>
      <c r="Z916" s="1"/>
      <c r="AA916" s="1"/>
      <c r="AB916" s="1"/>
      <c r="AC916" s="1"/>
      <c r="AD916" s="1"/>
      <c r="AE916" s="1"/>
      <c r="AF916" s="1"/>
    </row>
    <row r="917">
      <c r="A917" s="1"/>
      <c r="B917" s="2"/>
      <c r="C917" s="117"/>
      <c r="D917" s="2"/>
      <c r="E917" s="2"/>
      <c r="F917" s="2"/>
      <c r="G917" s="2"/>
      <c r="H917" s="2"/>
      <c r="I917" s="117"/>
      <c r="J917" s="2"/>
      <c r="K917" s="2"/>
      <c r="L917" s="2"/>
      <c r="M917" s="2"/>
      <c r="N917" s="2"/>
      <c r="O917" s="2"/>
      <c r="P917" s="2"/>
      <c r="Q917" s="2"/>
      <c r="R917" s="2"/>
      <c r="S917" s="2"/>
      <c r="T917" s="2"/>
      <c r="U917" s="2"/>
      <c r="V917" s="1"/>
      <c r="W917" s="1"/>
      <c r="X917" s="1"/>
      <c r="Y917" s="1"/>
      <c r="Z917" s="1"/>
      <c r="AA917" s="1"/>
      <c r="AB917" s="1"/>
      <c r="AC917" s="1"/>
      <c r="AD917" s="1"/>
      <c r="AE917" s="1"/>
      <c r="AF917" s="1"/>
    </row>
    <row r="918">
      <c r="A918" s="1"/>
      <c r="B918" s="2"/>
      <c r="C918" s="117"/>
      <c r="D918" s="2"/>
      <c r="E918" s="2"/>
      <c r="F918" s="2"/>
      <c r="G918" s="2"/>
      <c r="H918" s="2"/>
      <c r="I918" s="117"/>
      <c r="J918" s="2"/>
      <c r="K918" s="2"/>
      <c r="L918" s="2"/>
      <c r="M918" s="2"/>
      <c r="N918" s="2"/>
      <c r="O918" s="2"/>
      <c r="P918" s="2"/>
      <c r="Q918" s="2"/>
      <c r="R918" s="2"/>
      <c r="S918" s="2"/>
      <c r="T918" s="2"/>
      <c r="U918" s="2"/>
      <c r="V918" s="1"/>
      <c r="W918" s="1"/>
      <c r="X918" s="1"/>
      <c r="Y918" s="1"/>
      <c r="Z918" s="1"/>
      <c r="AA918" s="1"/>
      <c r="AB918" s="1"/>
      <c r="AC918" s="1"/>
      <c r="AD918" s="1"/>
      <c r="AE918" s="1"/>
      <c r="AF918" s="1"/>
    </row>
    <row r="919">
      <c r="A919" s="1"/>
      <c r="B919" s="2"/>
      <c r="C919" s="117"/>
      <c r="D919" s="2"/>
      <c r="E919" s="2"/>
      <c r="F919" s="2"/>
      <c r="G919" s="2"/>
      <c r="H919" s="2"/>
      <c r="I919" s="117"/>
      <c r="J919" s="2"/>
      <c r="K919" s="2"/>
      <c r="L919" s="2"/>
      <c r="M919" s="2"/>
      <c r="N919" s="2"/>
      <c r="O919" s="2"/>
      <c r="P919" s="2"/>
      <c r="Q919" s="2"/>
      <c r="R919" s="2"/>
      <c r="S919" s="2"/>
      <c r="T919" s="2"/>
      <c r="U919" s="2"/>
      <c r="V919" s="1"/>
      <c r="W919" s="1"/>
      <c r="X919" s="1"/>
      <c r="Y919" s="1"/>
      <c r="Z919" s="1"/>
      <c r="AA919" s="1"/>
      <c r="AB919" s="1"/>
      <c r="AC919" s="1"/>
      <c r="AD919" s="1"/>
      <c r="AE919" s="1"/>
      <c r="AF919" s="1"/>
    </row>
    <row r="920">
      <c r="A920" s="1"/>
      <c r="B920" s="2"/>
      <c r="C920" s="117"/>
      <c r="D920" s="2"/>
      <c r="E920" s="2"/>
      <c r="F920" s="2"/>
      <c r="G920" s="2"/>
      <c r="H920" s="2"/>
      <c r="I920" s="117"/>
      <c r="J920" s="2"/>
      <c r="K920" s="2"/>
      <c r="L920" s="2"/>
      <c r="M920" s="2"/>
      <c r="N920" s="2"/>
      <c r="O920" s="2"/>
      <c r="P920" s="2"/>
      <c r="Q920" s="2"/>
      <c r="R920" s="2"/>
      <c r="S920" s="2"/>
      <c r="T920" s="2"/>
      <c r="U920" s="2"/>
      <c r="V920" s="1"/>
      <c r="W920" s="1"/>
      <c r="X920" s="1"/>
      <c r="Y920" s="1"/>
      <c r="Z920" s="1"/>
      <c r="AA920" s="1"/>
      <c r="AB920" s="1"/>
      <c r="AC920" s="1"/>
      <c r="AD920" s="1"/>
      <c r="AE920" s="1"/>
      <c r="AF920" s="1"/>
    </row>
    <row r="921">
      <c r="A921" s="1"/>
      <c r="B921" s="2"/>
      <c r="C921" s="117"/>
      <c r="D921" s="2"/>
      <c r="E921" s="2"/>
      <c r="F921" s="2"/>
      <c r="G921" s="2"/>
      <c r="H921" s="2"/>
      <c r="I921" s="117"/>
      <c r="J921" s="2"/>
      <c r="K921" s="2"/>
      <c r="L921" s="2"/>
      <c r="M921" s="2"/>
      <c r="N921" s="2"/>
      <c r="O921" s="2"/>
      <c r="P921" s="2"/>
      <c r="Q921" s="2"/>
      <c r="R921" s="2"/>
      <c r="S921" s="2"/>
      <c r="T921" s="2"/>
      <c r="U921" s="2"/>
      <c r="V921" s="1"/>
      <c r="W921" s="1"/>
      <c r="X921" s="1"/>
      <c r="Y921" s="1"/>
      <c r="Z921" s="1"/>
      <c r="AA921" s="1"/>
      <c r="AB921" s="1"/>
      <c r="AC921" s="1"/>
      <c r="AD921" s="1"/>
      <c r="AE921" s="1"/>
      <c r="AF921" s="1"/>
    </row>
    <row r="922">
      <c r="A922" s="1"/>
      <c r="B922" s="2"/>
      <c r="C922" s="117"/>
      <c r="D922" s="2"/>
      <c r="E922" s="2"/>
      <c r="F922" s="2"/>
      <c r="G922" s="2"/>
      <c r="H922" s="2"/>
      <c r="I922" s="117"/>
      <c r="J922" s="2"/>
      <c r="K922" s="2"/>
      <c r="L922" s="2"/>
      <c r="M922" s="2"/>
      <c r="N922" s="2"/>
      <c r="O922" s="2"/>
      <c r="P922" s="2"/>
      <c r="Q922" s="2"/>
      <c r="R922" s="2"/>
      <c r="S922" s="2"/>
      <c r="T922" s="2"/>
      <c r="U922" s="2"/>
      <c r="V922" s="1"/>
      <c r="W922" s="1"/>
      <c r="X922" s="1"/>
      <c r="Y922" s="1"/>
      <c r="Z922" s="1"/>
      <c r="AA922" s="1"/>
      <c r="AB922" s="1"/>
      <c r="AC922" s="1"/>
      <c r="AD922" s="1"/>
      <c r="AE922" s="1"/>
      <c r="AF922" s="1"/>
    </row>
    <row r="923">
      <c r="A923" s="1"/>
      <c r="B923" s="2"/>
      <c r="C923" s="117"/>
      <c r="D923" s="2"/>
      <c r="E923" s="2"/>
      <c r="F923" s="2"/>
      <c r="G923" s="2"/>
      <c r="H923" s="2"/>
      <c r="I923" s="117"/>
      <c r="J923" s="2"/>
      <c r="K923" s="2"/>
      <c r="L923" s="2"/>
      <c r="M923" s="2"/>
      <c r="N923" s="2"/>
      <c r="O923" s="2"/>
      <c r="P923" s="2"/>
      <c r="Q923" s="2"/>
      <c r="R923" s="2"/>
      <c r="S923" s="2"/>
      <c r="T923" s="2"/>
      <c r="U923" s="2"/>
      <c r="V923" s="1"/>
      <c r="W923" s="1"/>
      <c r="X923" s="1"/>
      <c r="Y923" s="1"/>
      <c r="Z923" s="1"/>
      <c r="AA923" s="1"/>
      <c r="AB923" s="1"/>
      <c r="AC923" s="1"/>
      <c r="AD923" s="1"/>
      <c r="AE923" s="1"/>
      <c r="AF923" s="1"/>
    </row>
    <row r="924">
      <c r="A924" s="1"/>
      <c r="B924" s="2"/>
      <c r="C924" s="117"/>
      <c r="D924" s="2"/>
      <c r="E924" s="2"/>
      <c r="F924" s="2"/>
      <c r="G924" s="2"/>
      <c r="H924" s="2"/>
      <c r="I924" s="117"/>
      <c r="J924" s="2"/>
      <c r="K924" s="2"/>
      <c r="L924" s="2"/>
      <c r="M924" s="2"/>
      <c r="N924" s="2"/>
      <c r="O924" s="2"/>
      <c r="P924" s="2"/>
      <c r="Q924" s="2"/>
      <c r="R924" s="2"/>
      <c r="S924" s="2"/>
      <c r="T924" s="2"/>
      <c r="U924" s="2"/>
      <c r="V924" s="1"/>
      <c r="W924" s="1"/>
      <c r="X924" s="1"/>
      <c r="Y924" s="1"/>
      <c r="Z924" s="1"/>
      <c r="AA924" s="1"/>
      <c r="AB924" s="1"/>
      <c r="AC924" s="1"/>
      <c r="AD924" s="1"/>
      <c r="AE924" s="1"/>
      <c r="AF924" s="1"/>
    </row>
    <row r="925">
      <c r="A925" s="1"/>
      <c r="B925" s="2"/>
      <c r="C925" s="117"/>
      <c r="D925" s="2"/>
      <c r="E925" s="2"/>
      <c r="F925" s="2"/>
      <c r="G925" s="2"/>
      <c r="H925" s="2"/>
      <c r="I925" s="117"/>
      <c r="J925" s="2"/>
      <c r="K925" s="2"/>
      <c r="L925" s="2"/>
      <c r="M925" s="2"/>
      <c r="N925" s="2"/>
      <c r="O925" s="2"/>
      <c r="P925" s="2"/>
      <c r="Q925" s="2"/>
      <c r="R925" s="2"/>
      <c r="S925" s="2"/>
      <c r="T925" s="2"/>
      <c r="U925" s="2"/>
      <c r="V925" s="1"/>
      <c r="W925" s="1"/>
      <c r="X925" s="1"/>
      <c r="Y925" s="1"/>
      <c r="Z925" s="1"/>
      <c r="AA925" s="1"/>
      <c r="AB925" s="1"/>
      <c r="AC925" s="1"/>
      <c r="AD925" s="1"/>
      <c r="AE925" s="1"/>
      <c r="AF925" s="1"/>
    </row>
    <row r="926">
      <c r="A926" s="1"/>
      <c r="B926" s="2"/>
      <c r="C926" s="117"/>
      <c r="D926" s="2"/>
      <c r="E926" s="2"/>
      <c r="F926" s="2"/>
      <c r="G926" s="2"/>
      <c r="H926" s="2"/>
      <c r="I926" s="117"/>
      <c r="J926" s="2"/>
      <c r="K926" s="2"/>
      <c r="L926" s="2"/>
      <c r="M926" s="2"/>
      <c r="N926" s="2"/>
      <c r="O926" s="2"/>
      <c r="P926" s="2"/>
      <c r="Q926" s="2"/>
      <c r="R926" s="2"/>
      <c r="S926" s="2"/>
      <c r="T926" s="2"/>
      <c r="U926" s="2"/>
      <c r="V926" s="1"/>
      <c r="W926" s="1"/>
      <c r="X926" s="1"/>
      <c r="Y926" s="1"/>
      <c r="Z926" s="1"/>
      <c r="AA926" s="1"/>
      <c r="AB926" s="1"/>
      <c r="AC926" s="1"/>
      <c r="AD926" s="1"/>
      <c r="AE926" s="1"/>
      <c r="AF926" s="1"/>
    </row>
    <row r="927">
      <c r="A927" s="1"/>
      <c r="B927" s="2"/>
      <c r="C927" s="117"/>
      <c r="D927" s="2"/>
      <c r="E927" s="2"/>
      <c r="F927" s="2"/>
      <c r="G927" s="2"/>
      <c r="H927" s="2"/>
      <c r="I927" s="117"/>
      <c r="J927" s="2"/>
      <c r="K927" s="2"/>
      <c r="L927" s="2"/>
      <c r="M927" s="2"/>
      <c r="N927" s="2"/>
      <c r="O927" s="2"/>
      <c r="P927" s="2"/>
      <c r="Q927" s="2"/>
      <c r="R927" s="2"/>
      <c r="S927" s="2"/>
      <c r="T927" s="2"/>
      <c r="U927" s="2"/>
      <c r="V927" s="1"/>
      <c r="W927" s="1"/>
      <c r="X927" s="1"/>
      <c r="Y927" s="1"/>
      <c r="Z927" s="1"/>
      <c r="AA927" s="1"/>
      <c r="AB927" s="1"/>
      <c r="AC927" s="1"/>
      <c r="AD927" s="1"/>
      <c r="AE927" s="1"/>
      <c r="AF927" s="1"/>
    </row>
    <row r="928">
      <c r="A928" s="1"/>
      <c r="B928" s="2"/>
      <c r="C928" s="117"/>
      <c r="D928" s="2"/>
      <c r="E928" s="2"/>
      <c r="F928" s="2"/>
      <c r="G928" s="2"/>
      <c r="H928" s="2"/>
      <c r="I928" s="117"/>
      <c r="J928" s="2"/>
      <c r="K928" s="2"/>
      <c r="L928" s="2"/>
      <c r="M928" s="2"/>
      <c r="N928" s="2"/>
      <c r="O928" s="2"/>
      <c r="P928" s="2"/>
      <c r="Q928" s="2"/>
      <c r="R928" s="2"/>
      <c r="S928" s="2"/>
      <c r="T928" s="2"/>
      <c r="U928" s="2"/>
      <c r="V928" s="1"/>
      <c r="W928" s="1"/>
      <c r="X928" s="1"/>
      <c r="Y928" s="1"/>
      <c r="Z928" s="1"/>
      <c r="AA928" s="1"/>
      <c r="AB928" s="1"/>
      <c r="AC928" s="1"/>
      <c r="AD928" s="1"/>
      <c r="AE928" s="1"/>
      <c r="AF928" s="1"/>
    </row>
    <row r="929">
      <c r="A929" s="1"/>
      <c r="B929" s="2"/>
      <c r="C929" s="117"/>
      <c r="D929" s="2"/>
      <c r="E929" s="2"/>
      <c r="F929" s="2"/>
      <c r="G929" s="2"/>
      <c r="H929" s="2"/>
      <c r="I929" s="117"/>
      <c r="J929" s="2"/>
      <c r="K929" s="2"/>
      <c r="L929" s="2"/>
      <c r="M929" s="2"/>
      <c r="N929" s="2"/>
      <c r="O929" s="2"/>
      <c r="P929" s="2"/>
      <c r="Q929" s="2"/>
      <c r="R929" s="2"/>
      <c r="S929" s="2"/>
      <c r="T929" s="2"/>
      <c r="U929" s="2"/>
      <c r="V929" s="1"/>
      <c r="W929" s="1"/>
      <c r="X929" s="1"/>
      <c r="Y929" s="1"/>
      <c r="Z929" s="1"/>
      <c r="AA929" s="1"/>
      <c r="AB929" s="1"/>
      <c r="AC929" s="1"/>
      <c r="AD929" s="1"/>
      <c r="AE929" s="1"/>
      <c r="AF929" s="1"/>
    </row>
    <row r="930">
      <c r="A930" s="1"/>
      <c r="B930" s="2"/>
      <c r="C930" s="117"/>
      <c r="D930" s="2"/>
      <c r="E930" s="2"/>
      <c r="F930" s="2"/>
      <c r="G930" s="2"/>
      <c r="H930" s="2"/>
      <c r="I930" s="117"/>
      <c r="J930" s="2"/>
      <c r="K930" s="2"/>
      <c r="L930" s="2"/>
      <c r="M930" s="2"/>
      <c r="N930" s="2"/>
      <c r="O930" s="2"/>
      <c r="P930" s="2"/>
      <c r="Q930" s="2"/>
      <c r="R930" s="2"/>
      <c r="S930" s="2"/>
      <c r="T930" s="2"/>
      <c r="U930" s="2"/>
      <c r="V930" s="1"/>
      <c r="W930" s="1"/>
      <c r="X930" s="1"/>
      <c r="Y930" s="1"/>
      <c r="Z930" s="1"/>
      <c r="AA930" s="1"/>
      <c r="AB930" s="1"/>
      <c r="AC930" s="1"/>
      <c r="AD930" s="1"/>
      <c r="AE930" s="1"/>
      <c r="AF930" s="1"/>
    </row>
    <row r="931">
      <c r="A931" s="1"/>
      <c r="B931" s="2"/>
      <c r="C931" s="117"/>
      <c r="D931" s="2"/>
      <c r="E931" s="2"/>
      <c r="F931" s="2"/>
      <c r="G931" s="2"/>
      <c r="H931" s="2"/>
      <c r="I931" s="117"/>
      <c r="J931" s="2"/>
      <c r="K931" s="2"/>
      <c r="L931" s="2"/>
      <c r="M931" s="2"/>
      <c r="N931" s="2"/>
      <c r="O931" s="2"/>
      <c r="P931" s="2"/>
      <c r="Q931" s="2"/>
      <c r="R931" s="2"/>
      <c r="S931" s="2"/>
      <c r="T931" s="2"/>
      <c r="U931" s="2"/>
      <c r="V931" s="1"/>
      <c r="W931" s="1"/>
      <c r="X931" s="1"/>
      <c r="Y931" s="1"/>
      <c r="Z931" s="1"/>
      <c r="AA931" s="1"/>
      <c r="AB931" s="1"/>
      <c r="AC931" s="1"/>
      <c r="AD931" s="1"/>
      <c r="AE931" s="1"/>
      <c r="AF931" s="1"/>
    </row>
    <row r="932">
      <c r="A932" s="1"/>
      <c r="B932" s="2"/>
      <c r="C932" s="117"/>
      <c r="D932" s="2"/>
      <c r="E932" s="2"/>
      <c r="F932" s="2"/>
      <c r="G932" s="2"/>
      <c r="H932" s="2"/>
      <c r="I932" s="117"/>
      <c r="J932" s="2"/>
      <c r="K932" s="2"/>
      <c r="L932" s="2"/>
      <c r="M932" s="2"/>
      <c r="N932" s="2"/>
      <c r="O932" s="2"/>
      <c r="P932" s="2"/>
      <c r="Q932" s="2"/>
      <c r="R932" s="2"/>
      <c r="S932" s="2"/>
      <c r="T932" s="2"/>
      <c r="U932" s="2"/>
      <c r="V932" s="1"/>
      <c r="W932" s="1"/>
      <c r="X932" s="1"/>
      <c r="Y932" s="1"/>
      <c r="Z932" s="1"/>
      <c r="AA932" s="1"/>
      <c r="AB932" s="1"/>
      <c r="AC932" s="1"/>
      <c r="AD932" s="1"/>
      <c r="AE932" s="1"/>
      <c r="AF932" s="1"/>
    </row>
    <row r="933">
      <c r="A933" s="1"/>
      <c r="B933" s="2"/>
      <c r="C933" s="117"/>
      <c r="D933" s="2"/>
      <c r="E933" s="2"/>
      <c r="F933" s="2"/>
      <c r="G933" s="2"/>
      <c r="H933" s="2"/>
      <c r="I933" s="117"/>
      <c r="J933" s="2"/>
      <c r="K933" s="2"/>
      <c r="L933" s="2"/>
      <c r="M933" s="2"/>
      <c r="N933" s="2"/>
      <c r="O933" s="2"/>
      <c r="P933" s="2"/>
      <c r="Q933" s="2"/>
      <c r="R933" s="2"/>
      <c r="S933" s="2"/>
      <c r="T933" s="2"/>
      <c r="U933" s="2"/>
      <c r="V933" s="1"/>
      <c r="W933" s="1"/>
      <c r="X933" s="1"/>
      <c r="Y933" s="1"/>
      <c r="Z933" s="1"/>
      <c r="AA933" s="1"/>
      <c r="AB933" s="1"/>
      <c r="AC933" s="1"/>
      <c r="AD933" s="1"/>
      <c r="AE933" s="1"/>
      <c r="AF933" s="1"/>
    </row>
    <row r="934">
      <c r="A934" s="1"/>
      <c r="B934" s="2"/>
      <c r="C934" s="117"/>
      <c r="D934" s="2"/>
      <c r="E934" s="2"/>
      <c r="F934" s="2"/>
      <c r="G934" s="2"/>
      <c r="H934" s="2"/>
      <c r="I934" s="117"/>
      <c r="J934" s="2"/>
      <c r="K934" s="2"/>
      <c r="L934" s="2"/>
      <c r="M934" s="2"/>
      <c r="N934" s="2"/>
      <c r="O934" s="2"/>
      <c r="P934" s="2"/>
      <c r="Q934" s="2"/>
      <c r="R934" s="2"/>
      <c r="S934" s="2"/>
      <c r="T934" s="2"/>
      <c r="U934" s="2"/>
      <c r="V934" s="1"/>
      <c r="W934" s="1"/>
      <c r="X934" s="1"/>
      <c r="Y934" s="1"/>
      <c r="Z934" s="1"/>
      <c r="AA934" s="1"/>
      <c r="AB934" s="1"/>
      <c r="AC934" s="1"/>
      <c r="AD934" s="1"/>
      <c r="AE934" s="1"/>
      <c r="AF934" s="1"/>
    </row>
    <row r="935">
      <c r="A935" s="1"/>
      <c r="B935" s="2"/>
      <c r="C935" s="117"/>
      <c r="D935" s="2"/>
      <c r="E935" s="2"/>
      <c r="F935" s="2"/>
      <c r="G935" s="2"/>
      <c r="H935" s="2"/>
      <c r="I935" s="117"/>
      <c r="J935" s="2"/>
      <c r="K935" s="2"/>
      <c r="L935" s="2"/>
      <c r="M935" s="2"/>
      <c r="N935" s="2"/>
      <c r="O935" s="2"/>
      <c r="P935" s="2"/>
      <c r="Q935" s="2"/>
      <c r="R935" s="2"/>
      <c r="S935" s="2"/>
      <c r="T935" s="2"/>
      <c r="U935" s="2"/>
      <c r="V935" s="1"/>
      <c r="W935" s="1"/>
      <c r="X935" s="1"/>
      <c r="Y935" s="1"/>
      <c r="Z935" s="1"/>
      <c r="AA935" s="1"/>
      <c r="AB935" s="1"/>
      <c r="AC935" s="1"/>
      <c r="AD935" s="1"/>
      <c r="AE935" s="1"/>
      <c r="AF935" s="1"/>
    </row>
    <row r="936">
      <c r="A936" s="1"/>
      <c r="B936" s="2"/>
      <c r="C936" s="117"/>
      <c r="D936" s="2"/>
      <c r="E936" s="2"/>
      <c r="F936" s="2"/>
      <c r="G936" s="2"/>
      <c r="H936" s="2"/>
      <c r="I936" s="117"/>
      <c r="J936" s="2"/>
      <c r="K936" s="2"/>
      <c r="L936" s="2"/>
      <c r="M936" s="2"/>
      <c r="N936" s="2"/>
      <c r="O936" s="2"/>
      <c r="P936" s="2"/>
      <c r="Q936" s="2"/>
      <c r="R936" s="2"/>
      <c r="S936" s="2"/>
      <c r="T936" s="2"/>
      <c r="U936" s="2"/>
      <c r="V936" s="1"/>
      <c r="W936" s="1"/>
      <c r="X936" s="1"/>
      <c r="Y936" s="1"/>
      <c r="Z936" s="1"/>
      <c r="AA936" s="1"/>
      <c r="AB936" s="1"/>
      <c r="AC936" s="1"/>
      <c r="AD936" s="1"/>
      <c r="AE936" s="1"/>
      <c r="AF936" s="1"/>
    </row>
    <row r="937">
      <c r="A937" s="1"/>
      <c r="B937" s="2"/>
      <c r="C937" s="117"/>
      <c r="D937" s="2"/>
      <c r="E937" s="2"/>
      <c r="F937" s="2"/>
      <c r="G937" s="2"/>
      <c r="H937" s="2"/>
      <c r="I937" s="117"/>
      <c r="J937" s="2"/>
      <c r="K937" s="2"/>
      <c r="L937" s="2"/>
      <c r="M937" s="2"/>
      <c r="N937" s="2"/>
      <c r="O937" s="2"/>
      <c r="P937" s="2"/>
      <c r="Q937" s="2"/>
      <c r="R937" s="2"/>
      <c r="S937" s="2"/>
      <c r="T937" s="2"/>
      <c r="U937" s="2"/>
      <c r="V937" s="1"/>
      <c r="W937" s="1"/>
      <c r="X937" s="1"/>
      <c r="Y937" s="1"/>
      <c r="Z937" s="1"/>
      <c r="AA937" s="1"/>
      <c r="AB937" s="1"/>
      <c r="AC937" s="1"/>
      <c r="AD937" s="1"/>
      <c r="AE937" s="1"/>
      <c r="AF937" s="1"/>
    </row>
    <row r="938">
      <c r="A938" s="1"/>
      <c r="B938" s="2"/>
      <c r="C938" s="117"/>
      <c r="D938" s="2"/>
      <c r="E938" s="2"/>
      <c r="F938" s="2"/>
      <c r="G938" s="2"/>
      <c r="H938" s="2"/>
      <c r="I938" s="117"/>
      <c r="J938" s="2"/>
      <c r="K938" s="2"/>
      <c r="L938" s="2"/>
      <c r="M938" s="2"/>
      <c r="N938" s="2"/>
      <c r="O938" s="2"/>
      <c r="P938" s="2"/>
      <c r="Q938" s="2"/>
      <c r="R938" s="2"/>
      <c r="S938" s="2"/>
      <c r="T938" s="2"/>
      <c r="U938" s="2"/>
      <c r="V938" s="1"/>
      <c r="W938" s="1"/>
      <c r="X938" s="1"/>
      <c r="Y938" s="1"/>
      <c r="Z938" s="1"/>
      <c r="AA938" s="1"/>
      <c r="AB938" s="1"/>
      <c r="AC938" s="1"/>
      <c r="AD938" s="1"/>
      <c r="AE938" s="1"/>
      <c r="AF938" s="1"/>
    </row>
    <row r="939">
      <c r="A939" s="1"/>
      <c r="B939" s="2"/>
      <c r="C939" s="117"/>
      <c r="D939" s="2"/>
      <c r="E939" s="2"/>
      <c r="F939" s="2"/>
      <c r="G939" s="2"/>
      <c r="H939" s="2"/>
      <c r="I939" s="117"/>
      <c r="J939" s="2"/>
      <c r="K939" s="2"/>
      <c r="L939" s="2"/>
      <c r="M939" s="2"/>
      <c r="N939" s="2"/>
      <c r="O939" s="2"/>
      <c r="P939" s="2"/>
      <c r="Q939" s="2"/>
      <c r="R939" s="2"/>
      <c r="S939" s="2"/>
      <c r="T939" s="2"/>
      <c r="U939" s="2"/>
      <c r="V939" s="1"/>
      <c r="W939" s="1"/>
      <c r="X939" s="1"/>
      <c r="Y939" s="1"/>
      <c r="Z939" s="1"/>
      <c r="AA939" s="1"/>
      <c r="AB939" s="1"/>
      <c r="AC939" s="1"/>
      <c r="AD939" s="1"/>
      <c r="AE939" s="1"/>
      <c r="AF939" s="1"/>
    </row>
    <row r="940">
      <c r="A940" s="1"/>
      <c r="B940" s="2"/>
      <c r="C940" s="117"/>
      <c r="D940" s="2"/>
      <c r="E940" s="2"/>
      <c r="F940" s="2"/>
      <c r="G940" s="2"/>
      <c r="H940" s="2"/>
      <c r="I940" s="117"/>
      <c r="J940" s="2"/>
      <c r="K940" s="2"/>
      <c r="L940" s="2"/>
      <c r="M940" s="2"/>
      <c r="N940" s="2"/>
      <c r="O940" s="2"/>
      <c r="P940" s="2"/>
      <c r="Q940" s="2"/>
      <c r="R940" s="2"/>
      <c r="S940" s="2"/>
      <c r="T940" s="2"/>
      <c r="U940" s="2"/>
      <c r="V940" s="1"/>
      <c r="W940" s="1"/>
      <c r="X940" s="1"/>
      <c r="Y940" s="1"/>
      <c r="Z940" s="1"/>
      <c r="AA940" s="1"/>
      <c r="AB940" s="1"/>
      <c r="AC940" s="1"/>
      <c r="AD940" s="1"/>
      <c r="AE940" s="1"/>
      <c r="AF940" s="1"/>
    </row>
    <row r="941">
      <c r="A941" s="1"/>
      <c r="B941" s="2"/>
      <c r="C941" s="117"/>
      <c r="D941" s="2"/>
      <c r="E941" s="2"/>
      <c r="F941" s="2"/>
      <c r="G941" s="2"/>
      <c r="H941" s="2"/>
      <c r="I941" s="117"/>
      <c r="J941" s="2"/>
      <c r="K941" s="2"/>
      <c r="L941" s="2"/>
      <c r="M941" s="2"/>
      <c r="N941" s="2"/>
      <c r="O941" s="2"/>
      <c r="P941" s="2"/>
      <c r="Q941" s="2"/>
      <c r="R941" s="2"/>
      <c r="S941" s="2"/>
      <c r="T941" s="2"/>
      <c r="U941" s="2"/>
      <c r="V941" s="1"/>
      <c r="W941" s="1"/>
      <c r="X941" s="1"/>
      <c r="Y941" s="1"/>
      <c r="Z941" s="1"/>
      <c r="AA941" s="1"/>
      <c r="AB941" s="1"/>
      <c r="AC941" s="1"/>
      <c r="AD941" s="1"/>
      <c r="AE941" s="1"/>
      <c r="AF941" s="1"/>
    </row>
    <row r="942">
      <c r="A942" s="1"/>
      <c r="B942" s="2"/>
      <c r="C942" s="117"/>
      <c r="D942" s="2"/>
      <c r="E942" s="2"/>
      <c r="F942" s="2"/>
      <c r="G942" s="2"/>
      <c r="H942" s="2"/>
      <c r="I942" s="117"/>
      <c r="J942" s="2"/>
      <c r="K942" s="2"/>
      <c r="L942" s="2"/>
      <c r="M942" s="2"/>
      <c r="N942" s="2"/>
      <c r="O942" s="2"/>
      <c r="P942" s="2"/>
      <c r="Q942" s="2"/>
      <c r="R942" s="2"/>
      <c r="S942" s="2"/>
      <c r="T942" s="2"/>
      <c r="U942" s="2"/>
      <c r="V942" s="1"/>
      <c r="W942" s="1"/>
      <c r="X942" s="1"/>
      <c r="Y942" s="1"/>
      <c r="Z942" s="1"/>
      <c r="AA942" s="1"/>
      <c r="AB942" s="1"/>
      <c r="AC942" s="1"/>
      <c r="AD942" s="1"/>
      <c r="AE942" s="1"/>
      <c r="AF942" s="1"/>
    </row>
    <row r="943">
      <c r="A943" s="1"/>
      <c r="B943" s="2"/>
      <c r="C943" s="117"/>
      <c r="D943" s="2"/>
      <c r="E943" s="2"/>
      <c r="F943" s="2"/>
      <c r="G943" s="2"/>
      <c r="H943" s="2"/>
      <c r="I943" s="117"/>
      <c r="J943" s="2"/>
      <c r="K943" s="2"/>
      <c r="L943" s="2"/>
      <c r="M943" s="2"/>
      <c r="N943" s="2"/>
      <c r="O943" s="2"/>
      <c r="P943" s="2"/>
      <c r="Q943" s="2"/>
      <c r="R943" s="2"/>
      <c r="S943" s="2"/>
      <c r="T943" s="2"/>
      <c r="U943" s="2"/>
      <c r="V943" s="1"/>
      <c r="W943" s="1"/>
      <c r="X943" s="1"/>
      <c r="Y943" s="1"/>
      <c r="Z943" s="1"/>
      <c r="AA943" s="1"/>
      <c r="AB943" s="1"/>
      <c r="AC943" s="1"/>
      <c r="AD943" s="1"/>
      <c r="AE943" s="1"/>
      <c r="AF943" s="1"/>
    </row>
    <row r="944">
      <c r="A944" s="1"/>
      <c r="B944" s="2"/>
      <c r="C944" s="117"/>
      <c r="D944" s="2"/>
      <c r="E944" s="2"/>
      <c r="F944" s="2"/>
      <c r="G944" s="2"/>
      <c r="H944" s="2"/>
      <c r="I944" s="117"/>
      <c r="J944" s="2"/>
      <c r="K944" s="2"/>
      <c r="L944" s="2"/>
      <c r="M944" s="2"/>
      <c r="N944" s="2"/>
      <c r="O944" s="2"/>
      <c r="P944" s="2"/>
      <c r="Q944" s="2"/>
      <c r="R944" s="2"/>
      <c r="S944" s="2"/>
      <c r="T944" s="2"/>
      <c r="U944" s="2"/>
      <c r="V944" s="1"/>
      <c r="W944" s="1"/>
      <c r="X944" s="1"/>
      <c r="Y944" s="1"/>
      <c r="Z944" s="1"/>
      <c r="AA944" s="1"/>
      <c r="AB944" s="1"/>
      <c r="AC944" s="1"/>
      <c r="AD944" s="1"/>
      <c r="AE944" s="1"/>
      <c r="AF944" s="1"/>
    </row>
    <row r="945">
      <c r="A945" s="1"/>
      <c r="B945" s="2"/>
      <c r="C945" s="117"/>
      <c r="D945" s="2"/>
      <c r="E945" s="2"/>
      <c r="F945" s="2"/>
      <c r="G945" s="2"/>
      <c r="H945" s="2"/>
      <c r="I945" s="117"/>
      <c r="J945" s="2"/>
      <c r="K945" s="2"/>
      <c r="L945" s="2"/>
      <c r="M945" s="2"/>
      <c r="N945" s="2"/>
      <c r="O945" s="2"/>
      <c r="P945" s="2"/>
      <c r="Q945" s="2"/>
      <c r="R945" s="2"/>
      <c r="S945" s="2"/>
      <c r="T945" s="2"/>
      <c r="U945" s="2"/>
      <c r="V945" s="1"/>
      <c r="W945" s="1"/>
      <c r="X945" s="1"/>
      <c r="Y945" s="1"/>
      <c r="Z945" s="1"/>
      <c r="AA945" s="1"/>
      <c r="AB945" s="1"/>
      <c r="AC945" s="1"/>
      <c r="AD945" s="1"/>
      <c r="AE945" s="1"/>
      <c r="AF945" s="1"/>
    </row>
    <row r="946">
      <c r="A946" s="1"/>
      <c r="B946" s="2"/>
      <c r="C946" s="117"/>
      <c r="D946" s="2"/>
      <c r="E946" s="2"/>
      <c r="F946" s="2"/>
      <c r="G946" s="2"/>
      <c r="H946" s="2"/>
      <c r="I946" s="117"/>
      <c r="J946" s="2"/>
      <c r="K946" s="2"/>
      <c r="L946" s="2"/>
      <c r="M946" s="2"/>
      <c r="N946" s="2"/>
      <c r="O946" s="2"/>
      <c r="P946" s="2"/>
      <c r="Q946" s="2"/>
      <c r="R946" s="2"/>
      <c r="S946" s="2"/>
      <c r="T946" s="2"/>
      <c r="U946" s="2"/>
      <c r="V946" s="1"/>
      <c r="W946" s="1"/>
      <c r="X946" s="1"/>
      <c r="Y946" s="1"/>
      <c r="Z946" s="1"/>
      <c r="AA946" s="1"/>
      <c r="AB946" s="1"/>
      <c r="AC946" s="1"/>
      <c r="AD946" s="1"/>
      <c r="AE946" s="1"/>
      <c r="AF946" s="1"/>
    </row>
    <row r="947">
      <c r="A947" s="1"/>
      <c r="B947" s="2"/>
      <c r="C947" s="117"/>
      <c r="D947" s="2"/>
      <c r="E947" s="2"/>
      <c r="F947" s="2"/>
      <c r="G947" s="2"/>
      <c r="H947" s="2"/>
      <c r="I947" s="117"/>
      <c r="J947" s="2"/>
      <c r="K947" s="2"/>
      <c r="L947" s="2"/>
      <c r="M947" s="2"/>
      <c r="N947" s="2"/>
      <c r="O947" s="2"/>
      <c r="P947" s="2"/>
      <c r="Q947" s="2"/>
      <c r="R947" s="2"/>
      <c r="S947" s="2"/>
      <c r="T947" s="2"/>
      <c r="U947" s="2"/>
      <c r="V947" s="1"/>
      <c r="W947" s="1"/>
      <c r="X947" s="1"/>
      <c r="Y947" s="1"/>
      <c r="Z947" s="1"/>
      <c r="AA947" s="1"/>
      <c r="AB947" s="1"/>
      <c r="AC947" s="1"/>
      <c r="AD947" s="1"/>
      <c r="AE947" s="1"/>
      <c r="AF947" s="1"/>
    </row>
    <row r="948">
      <c r="A948" s="1"/>
      <c r="B948" s="2"/>
      <c r="C948" s="117"/>
      <c r="D948" s="2"/>
      <c r="E948" s="2"/>
      <c r="F948" s="2"/>
      <c r="G948" s="2"/>
      <c r="H948" s="2"/>
      <c r="I948" s="117"/>
      <c r="J948" s="2"/>
      <c r="K948" s="2"/>
      <c r="L948" s="2"/>
      <c r="M948" s="2"/>
      <c r="N948" s="2"/>
      <c r="O948" s="2"/>
      <c r="P948" s="2"/>
      <c r="Q948" s="2"/>
      <c r="R948" s="2"/>
      <c r="S948" s="2"/>
      <c r="T948" s="2"/>
      <c r="U948" s="2"/>
      <c r="V948" s="1"/>
      <c r="W948" s="1"/>
      <c r="X948" s="1"/>
      <c r="Y948" s="1"/>
      <c r="Z948" s="1"/>
      <c r="AA948" s="1"/>
      <c r="AB948" s="1"/>
      <c r="AC948" s="1"/>
      <c r="AD948" s="1"/>
      <c r="AE948" s="1"/>
      <c r="AF948" s="1"/>
    </row>
    <row r="949">
      <c r="A949" s="1"/>
      <c r="B949" s="2"/>
      <c r="C949" s="117"/>
      <c r="D949" s="2"/>
      <c r="E949" s="2"/>
      <c r="F949" s="2"/>
      <c r="G949" s="2"/>
      <c r="H949" s="2"/>
      <c r="I949" s="117"/>
      <c r="J949" s="2"/>
      <c r="K949" s="2"/>
      <c r="L949" s="2"/>
      <c r="M949" s="2"/>
      <c r="N949" s="2"/>
      <c r="O949" s="2"/>
      <c r="P949" s="2"/>
      <c r="Q949" s="2"/>
      <c r="R949" s="2"/>
      <c r="S949" s="2"/>
      <c r="T949" s="2"/>
      <c r="U949" s="2"/>
      <c r="V949" s="1"/>
      <c r="W949" s="1"/>
      <c r="X949" s="1"/>
      <c r="Y949" s="1"/>
      <c r="Z949" s="1"/>
      <c r="AA949" s="1"/>
      <c r="AB949" s="1"/>
      <c r="AC949" s="1"/>
      <c r="AD949" s="1"/>
      <c r="AE949" s="1"/>
      <c r="AF949" s="1"/>
    </row>
    <row r="950">
      <c r="A950" s="1"/>
      <c r="B950" s="2"/>
      <c r="C950" s="117"/>
      <c r="D950" s="2"/>
      <c r="E950" s="2"/>
      <c r="F950" s="2"/>
      <c r="G950" s="2"/>
      <c r="H950" s="2"/>
      <c r="I950" s="117"/>
      <c r="J950" s="2"/>
      <c r="K950" s="2"/>
      <c r="L950" s="2"/>
      <c r="M950" s="2"/>
      <c r="N950" s="2"/>
      <c r="O950" s="2"/>
      <c r="P950" s="2"/>
      <c r="Q950" s="2"/>
      <c r="R950" s="2"/>
      <c r="S950" s="2"/>
      <c r="T950" s="2"/>
      <c r="U950" s="2"/>
      <c r="V950" s="1"/>
      <c r="W950" s="1"/>
      <c r="X950" s="1"/>
      <c r="Y950" s="1"/>
      <c r="Z950" s="1"/>
      <c r="AA950" s="1"/>
      <c r="AB950" s="1"/>
      <c r="AC950" s="1"/>
      <c r="AD950" s="1"/>
      <c r="AE950" s="1"/>
      <c r="AF950" s="1"/>
    </row>
    <row r="951">
      <c r="A951" s="1"/>
      <c r="B951" s="2"/>
      <c r="C951" s="117"/>
      <c r="D951" s="2"/>
      <c r="E951" s="2"/>
      <c r="F951" s="2"/>
      <c r="G951" s="2"/>
      <c r="H951" s="2"/>
      <c r="I951" s="117"/>
      <c r="J951" s="2"/>
      <c r="K951" s="2"/>
      <c r="L951" s="2"/>
      <c r="M951" s="2"/>
      <c r="N951" s="2"/>
      <c r="O951" s="2"/>
      <c r="P951" s="2"/>
      <c r="Q951" s="2"/>
      <c r="R951" s="2"/>
      <c r="S951" s="2"/>
      <c r="T951" s="2"/>
      <c r="U951" s="2"/>
      <c r="V951" s="1"/>
      <c r="W951" s="1"/>
      <c r="X951" s="1"/>
      <c r="Y951" s="1"/>
      <c r="Z951" s="1"/>
      <c r="AA951" s="1"/>
      <c r="AB951" s="1"/>
      <c r="AC951" s="1"/>
      <c r="AD951" s="1"/>
      <c r="AE951" s="1"/>
      <c r="AF951" s="1"/>
    </row>
    <row r="952">
      <c r="A952" s="1"/>
      <c r="B952" s="2"/>
      <c r="C952" s="117"/>
      <c r="D952" s="2"/>
      <c r="E952" s="2"/>
      <c r="F952" s="2"/>
      <c r="G952" s="2"/>
      <c r="H952" s="2"/>
      <c r="I952" s="117"/>
      <c r="J952" s="2"/>
      <c r="K952" s="2"/>
      <c r="L952" s="2"/>
      <c r="M952" s="2"/>
      <c r="N952" s="2"/>
      <c r="O952" s="2"/>
      <c r="P952" s="2"/>
      <c r="Q952" s="2"/>
      <c r="R952" s="2"/>
      <c r="S952" s="2"/>
      <c r="T952" s="2"/>
      <c r="U952" s="2"/>
      <c r="V952" s="1"/>
      <c r="W952" s="1"/>
      <c r="X952" s="1"/>
      <c r="Y952" s="1"/>
      <c r="Z952" s="1"/>
      <c r="AA952" s="1"/>
      <c r="AB952" s="1"/>
      <c r="AC952" s="1"/>
      <c r="AD952" s="1"/>
      <c r="AE952" s="1"/>
      <c r="AF952" s="1"/>
    </row>
    <row r="953">
      <c r="A953" s="1"/>
      <c r="B953" s="2"/>
      <c r="C953" s="117"/>
      <c r="D953" s="2"/>
      <c r="E953" s="2"/>
      <c r="F953" s="2"/>
      <c r="G953" s="2"/>
      <c r="H953" s="2"/>
      <c r="I953" s="117"/>
      <c r="J953" s="2"/>
      <c r="K953" s="2"/>
      <c r="L953" s="2"/>
      <c r="M953" s="2"/>
      <c r="N953" s="2"/>
      <c r="O953" s="2"/>
      <c r="P953" s="2"/>
      <c r="Q953" s="2"/>
      <c r="R953" s="2"/>
      <c r="S953" s="2"/>
      <c r="T953" s="2"/>
      <c r="U953" s="2"/>
      <c r="V953" s="1"/>
      <c r="W953" s="1"/>
      <c r="X953" s="1"/>
      <c r="Y953" s="1"/>
      <c r="Z953" s="1"/>
      <c r="AA953" s="1"/>
      <c r="AB953" s="1"/>
      <c r="AC953" s="1"/>
      <c r="AD953" s="1"/>
      <c r="AE953" s="1"/>
      <c r="AF953" s="1"/>
    </row>
    <row r="954">
      <c r="A954" s="1"/>
      <c r="B954" s="2"/>
      <c r="C954" s="117"/>
      <c r="D954" s="2"/>
      <c r="E954" s="2"/>
      <c r="F954" s="2"/>
      <c r="G954" s="2"/>
      <c r="H954" s="2"/>
      <c r="I954" s="117"/>
      <c r="J954" s="2"/>
      <c r="K954" s="2"/>
      <c r="L954" s="2"/>
      <c r="M954" s="2"/>
      <c r="N954" s="2"/>
      <c r="O954" s="2"/>
      <c r="P954" s="2"/>
      <c r="Q954" s="2"/>
      <c r="R954" s="2"/>
      <c r="S954" s="2"/>
      <c r="T954" s="2"/>
      <c r="U954" s="2"/>
      <c r="V954" s="1"/>
      <c r="W954" s="1"/>
      <c r="X954" s="1"/>
      <c r="Y954" s="1"/>
      <c r="Z954" s="1"/>
      <c r="AA954" s="1"/>
      <c r="AB954" s="1"/>
      <c r="AC954" s="1"/>
      <c r="AD954" s="1"/>
      <c r="AE954" s="1"/>
      <c r="AF954" s="1"/>
    </row>
    <row r="955">
      <c r="A955" s="1"/>
      <c r="B955" s="2"/>
      <c r="C955" s="117"/>
      <c r="D955" s="2"/>
      <c r="E955" s="2"/>
      <c r="F955" s="2"/>
      <c r="G955" s="2"/>
      <c r="H955" s="2"/>
      <c r="I955" s="117"/>
      <c r="J955" s="2"/>
      <c r="K955" s="2"/>
      <c r="L955" s="2"/>
      <c r="M955" s="2"/>
      <c r="N955" s="2"/>
      <c r="O955" s="2"/>
      <c r="P955" s="2"/>
      <c r="Q955" s="2"/>
      <c r="R955" s="2"/>
      <c r="S955" s="2"/>
      <c r="T955" s="2"/>
      <c r="U955" s="2"/>
      <c r="V955" s="1"/>
      <c r="W955" s="1"/>
      <c r="X955" s="1"/>
      <c r="Y955" s="1"/>
      <c r="Z955" s="1"/>
      <c r="AA955" s="1"/>
      <c r="AB955" s="1"/>
      <c r="AC955" s="1"/>
      <c r="AD955" s="1"/>
      <c r="AE955" s="1"/>
      <c r="AF955" s="1"/>
    </row>
    <row r="956">
      <c r="A956" s="1"/>
      <c r="B956" s="2"/>
      <c r="C956" s="117"/>
      <c r="D956" s="2"/>
      <c r="E956" s="2"/>
      <c r="F956" s="2"/>
      <c r="G956" s="2"/>
      <c r="H956" s="2"/>
      <c r="I956" s="117"/>
      <c r="J956" s="2"/>
      <c r="K956" s="2"/>
      <c r="L956" s="2"/>
      <c r="M956" s="2"/>
      <c r="N956" s="2"/>
      <c r="O956" s="2"/>
      <c r="P956" s="2"/>
      <c r="Q956" s="2"/>
      <c r="R956" s="2"/>
      <c r="S956" s="2"/>
      <c r="T956" s="2"/>
      <c r="U956" s="2"/>
      <c r="V956" s="1"/>
      <c r="W956" s="1"/>
      <c r="X956" s="1"/>
      <c r="Y956" s="1"/>
      <c r="Z956" s="1"/>
      <c r="AA956" s="1"/>
      <c r="AB956" s="1"/>
      <c r="AC956" s="1"/>
      <c r="AD956" s="1"/>
      <c r="AE956" s="1"/>
      <c r="AF956" s="1"/>
    </row>
    <row r="957">
      <c r="A957" s="1"/>
      <c r="B957" s="2"/>
      <c r="C957" s="117"/>
      <c r="D957" s="2"/>
      <c r="E957" s="2"/>
      <c r="F957" s="2"/>
      <c r="G957" s="2"/>
      <c r="H957" s="2"/>
      <c r="I957" s="117"/>
      <c r="J957" s="2"/>
      <c r="K957" s="2"/>
      <c r="L957" s="2"/>
      <c r="M957" s="2"/>
      <c r="N957" s="2"/>
      <c r="O957" s="2"/>
      <c r="P957" s="2"/>
      <c r="Q957" s="2"/>
      <c r="R957" s="2"/>
      <c r="S957" s="2"/>
      <c r="T957" s="2"/>
      <c r="U957" s="2"/>
      <c r="V957" s="1"/>
      <c r="W957" s="1"/>
      <c r="X957" s="1"/>
      <c r="Y957" s="1"/>
      <c r="Z957" s="1"/>
      <c r="AA957" s="1"/>
      <c r="AB957" s="1"/>
      <c r="AC957" s="1"/>
      <c r="AD957" s="1"/>
      <c r="AE957" s="1"/>
      <c r="AF957" s="1"/>
    </row>
    <row r="958">
      <c r="A958" s="1"/>
      <c r="B958" s="2"/>
      <c r="C958" s="117"/>
      <c r="D958" s="2"/>
      <c r="E958" s="2"/>
      <c r="F958" s="2"/>
      <c r="G958" s="2"/>
      <c r="H958" s="2"/>
      <c r="I958" s="117"/>
      <c r="J958" s="2"/>
      <c r="K958" s="2"/>
      <c r="L958" s="2"/>
      <c r="M958" s="2"/>
      <c r="N958" s="2"/>
      <c r="O958" s="2"/>
      <c r="P958" s="2"/>
      <c r="Q958" s="2"/>
      <c r="R958" s="2"/>
      <c r="S958" s="2"/>
      <c r="T958" s="2"/>
      <c r="U958" s="2"/>
      <c r="V958" s="1"/>
      <c r="W958" s="1"/>
      <c r="X958" s="1"/>
      <c r="Y958" s="1"/>
      <c r="Z958" s="1"/>
      <c r="AA958" s="1"/>
      <c r="AB958" s="1"/>
      <c r="AC958" s="1"/>
      <c r="AD958" s="1"/>
      <c r="AE958" s="1"/>
      <c r="AF958" s="1"/>
    </row>
    <row r="959">
      <c r="A959" s="1"/>
      <c r="B959" s="2"/>
      <c r="C959" s="117"/>
      <c r="D959" s="2"/>
      <c r="E959" s="2"/>
      <c r="F959" s="2"/>
      <c r="G959" s="2"/>
      <c r="H959" s="2"/>
      <c r="I959" s="117"/>
      <c r="J959" s="2"/>
      <c r="K959" s="2"/>
      <c r="L959" s="2"/>
      <c r="M959" s="2"/>
      <c r="N959" s="2"/>
      <c r="O959" s="2"/>
      <c r="P959" s="2"/>
      <c r="Q959" s="2"/>
      <c r="R959" s="2"/>
      <c r="S959" s="2"/>
      <c r="T959" s="2"/>
      <c r="U959" s="2"/>
      <c r="V959" s="1"/>
      <c r="W959" s="1"/>
      <c r="X959" s="1"/>
      <c r="Y959" s="1"/>
      <c r="Z959" s="1"/>
      <c r="AA959" s="1"/>
      <c r="AB959" s="1"/>
      <c r="AC959" s="1"/>
      <c r="AD959" s="1"/>
      <c r="AE959" s="1"/>
      <c r="AF959" s="1"/>
    </row>
    <row r="960">
      <c r="A960" s="1"/>
      <c r="B960" s="2"/>
      <c r="C960" s="117"/>
      <c r="D960" s="2"/>
      <c r="E960" s="2"/>
      <c r="F960" s="2"/>
      <c r="G960" s="2"/>
      <c r="H960" s="2"/>
      <c r="I960" s="117"/>
      <c r="J960" s="2"/>
      <c r="K960" s="2"/>
      <c r="L960" s="2"/>
      <c r="M960" s="2"/>
      <c r="N960" s="2"/>
      <c r="O960" s="2"/>
      <c r="P960" s="2"/>
      <c r="Q960" s="2"/>
      <c r="R960" s="2"/>
      <c r="S960" s="2"/>
      <c r="T960" s="2"/>
      <c r="U960" s="2"/>
      <c r="V960" s="1"/>
      <c r="W960" s="1"/>
      <c r="X960" s="1"/>
      <c r="Y960" s="1"/>
      <c r="Z960" s="1"/>
      <c r="AA960" s="1"/>
      <c r="AB960" s="1"/>
      <c r="AC960" s="1"/>
      <c r="AD960" s="1"/>
      <c r="AE960" s="1"/>
      <c r="AF960" s="1"/>
    </row>
    <row r="961">
      <c r="A961" s="1"/>
      <c r="B961" s="2"/>
      <c r="C961" s="117"/>
      <c r="D961" s="2"/>
      <c r="E961" s="2"/>
      <c r="F961" s="2"/>
      <c r="G961" s="2"/>
      <c r="H961" s="2"/>
      <c r="I961" s="117"/>
      <c r="J961" s="2"/>
      <c r="K961" s="2"/>
      <c r="L961" s="2"/>
      <c r="M961" s="2"/>
      <c r="N961" s="2"/>
      <c r="O961" s="2"/>
      <c r="P961" s="2"/>
      <c r="Q961" s="2"/>
      <c r="R961" s="2"/>
      <c r="S961" s="2"/>
      <c r="T961" s="2"/>
      <c r="U961" s="2"/>
      <c r="V961" s="1"/>
      <c r="W961" s="1"/>
      <c r="X961" s="1"/>
      <c r="Y961" s="1"/>
      <c r="Z961" s="1"/>
      <c r="AA961" s="1"/>
      <c r="AB961" s="1"/>
      <c r="AC961" s="1"/>
      <c r="AD961" s="1"/>
      <c r="AE961" s="1"/>
      <c r="AF961" s="1"/>
    </row>
    <row r="962">
      <c r="A962" s="1"/>
      <c r="B962" s="2"/>
      <c r="C962" s="117"/>
      <c r="D962" s="2"/>
      <c r="E962" s="2"/>
      <c r="F962" s="2"/>
      <c r="G962" s="2"/>
      <c r="H962" s="2"/>
      <c r="I962" s="117"/>
      <c r="J962" s="2"/>
      <c r="K962" s="2"/>
      <c r="L962" s="2"/>
      <c r="M962" s="2"/>
      <c r="N962" s="2"/>
      <c r="O962" s="2"/>
      <c r="P962" s="2"/>
      <c r="Q962" s="2"/>
      <c r="R962" s="2"/>
      <c r="S962" s="2"/>
      <c r="T962" s="2"/>
      <c r="U962" s="2"/>
      <c r="V962" s="1"/>
      <c r="W962" s="1"/>
      <c r="X962" s="1"/>
      <c r="Y962" s="1"/>
      <c r="Z962" s="1"/>
      <c r="AA962" s="1"/>
      <c r="AB962" s="1"/>
      <c r="AC962" s="1"/>
      <c r="AD962" s="1"/>
      <c r="AE962" s="1"/>
      <c r="AF962" s="1"/>
    </row>
    <row r="963">
      <c r="A963" s="1"/>
      <c r="B963" s="2"/>
      <c r="C963" s="117"/>
      <c r="D963" s="2"/>
      <c r="E963" s="2"/>
      <c r="F963" s="2"/>
      <c r="G963" s="2"/>
      <c r="H963" s="2"/>
      <c r="I963" s="117"/>
      <c r="J963" s="2"/>
      <c r="K963" s="2"/>
      <c r="L963" s="2"/>
      <c r="M963" s="2"/>
      <c r="N963" s="2"/>
      <c r="O963" s="2"/>
      <c r="P963" s="2"/>
      <c r="Q963" s="2"/>
      <c r="R963" s="2"/>
      <c r="S963" s="2"/>
      <c r="T963" s="2"/>
      <c r="U963" s="2"/>
      <c r="V963" s="1"/>
      <c r="W963" s="1"/>
      <c r="X963" s="1"/>
      <c r="Y963" s="1"/>
      <c r="Z963" s="1"/>
      <c r="AA963" s="1"/>
      <c r="AB963" s="1"/>
      <c r="AC963" s="1"/>
      <c r="AD963" s="1"/>
      <c r="AE963" s="1"/>
      <c r="AF963" s="1"/>
    </row>
    <row r="964">
      <c r="A964" s="1"/>
      <c r="B964" s="2"/>
      <c r="C964" s="117"/>
      <c r="D964" s="2"/>
      <c r="E964" s="2"/>
      <c r="F964" s="2"/>
      <c r="G964" s="2"/>
      <c r="H964" s="2"/>
      <c r="I964" s="117"/>
      <c r="J964" s="2"/>
      <c r="K964" s="2"/>
      <c r="L964" s="2"/>
      <c r="M964" s="2"/>
      <c r="N964" s="2"/>
      <c r="O964" s="2"/>
      <c r="P964" s="2"/>
      <c r="Q964" s="2"/>
      <c r="R964" s="2"/>
      <c r="S964" s="2"/>
      <c r="T964" s="2"/>
      <c r="U964" s="2"/>
      <c r="V964" s="1"/>
      <c r="W964" s="1"/>
      <c r="X964" s="1"/>
      <c r="Y964" s="1"/>
      <c r="Z964" s="1"/>
      <c r="AA964" s="1"/>
      <c r="AB964" s="1"/>
      <c r="AC964" s="1"/>
      <c r="AD964" s="1"/>
      <c r="AE964" s="1"/>
      <c r="AF964" s="1"/>
    </row>
    <row r="965">
      <c r="A965" s="1"/>
      <c r="B965" s="2"/>
      <c r="C965" s="117"/>
      <c r="D965" s="2"/>
      <c r="E965" s="2"/>
      <c r="F965" s="2"/>
      <c r="G965" s="2"/>
      <c r="H965" s="2"/>
      <c r="I965" s="117"/>
      <c r="J965" s="2"/>
      <c r="K965" s="2"/>
      <c r="L965" s="2"/>
      <c r="M965" s="2"/>
      <c r="N965" s="2"/>
      <c r="O965" s="2"/>
      <c r="P965" s="2"/>
      <c r="Q965" s="2"/>
      <c r="R965" s="2"/>
      <c r="S965" s="2"/>
      <c r="T965" s="2"/>
      <c r="U965" s="2"/>
      <c r="V965" s="1"/>
      <c r="W965" s="1"/>
      <c r="X965" s="1"/>
      <c r="Y965" s="1"/>
      <c r="Z965" s="1"/>
      <c r="AA965" s="1"/>
      <c r="AB965" s="1"/>
      <c r="AC965" s="1"/>
      <c r="AD965" s="1"/>
      <c r="AE965" s="1"/>
      <c r="AF965" s="1"/>
    </row>
    <row r="966">
      <c r="A966" s="1"/>
      <c r="B966" s="2"/>
      <c r="C966" s="117"/>
      <c r="D966" s="2"/>
      <c r="E966" s="2"/>
      <c r="F966" s="2"/>
      <c r="G966" s="2"/>
      <c r="H966" s="2"/>
      <c r="I966" s="117"/>
      <c r="J966" s="2"/>
      <c r="K966" s="2"/>
      <c r="L966" s="2"/>
      <c r="M966" s="2"/>
      <c r="N966" s="2"/>
      <c r="O966" s="2"/>
      <c r="P966" s="2"/>
      <c r="Q966" s="2"/>
      <c r="R966" s="2"/>
      <c r="S966" s="2"/>
      <c r="T966" s="2"/>
      <c r="U966" s="2"/>
      <c r="V966" s="1"/>
      <c r="W966" s="1"/>
      <c r="X966" s="1"/>
      <c r="Y966" s="1"/>
      <c r="Z966" s="1"/>
      <c r="AA966" s="1"/>
      <c r="AB966" s="1"/>
      <c r="AC966" s="1"/>
      <c r="AD966" s="1"/>
      <c r="AE966" s="1"/>
      <c r="AF966" s="1"/>
    </row>
    <row r="967">
      <c r="A967" s="1"/>
      <c r="B967" s="2"/>
      <c r="C967" s="117"/>
      <c r="D967" s="2"/>
      <c r="E967" s="2"/>
      <c r="F967" s="2"/>
      <c r="G967" s="2"/>
      <c r="H967" s="2"/>
      <c r="I967" s="117"/>
      <c r="J967" s="2"/>
      <c r="K967" s="2"/>
      <c r="L967" s="2"/>
      <c r="M967" s="2"/>
      <c r="N967" s="2"/>
      <c r="O967" s="2"/>
      <c r="P967" s="2"/>
      <c r="Q967" s="2"/>
      <c r="R967" s="2"/>
      <c r="S967" s="2"/>
      <c r="T967" s="2"/>
      <c r="U967" s="2"/>
      <c r="V967" s="1"/>
      <c r="W967" s="1"/>
      <c r="X967" s="1"/>
      <c r="Y967" s="1"/>
      <c r="Z967" s="1"/>
      <c r="AA967" s="1"/>
      <c r="AB967" s="1"/>
      <c r="AC967" s="1"/>
      <c r="AD967" s="1"/>
      <c r="AE967" s="1"/>
      <c r="AF967" s="1"/>
    </row>
    <row r="968">
      <c r="A968" s="1"/>
      <c r="B968" s="2"/>
      <c r="C968" s="117"/>
      <c r="D968" s="2"/>
      <c r="E968" s="2"/>
      <c r="F968" s="2"/>
      <c r="G968" s="2"/>
      <c r="H968" s="2"/>
      <c r="I968" s="117"/>
      <c r="J968" s="2"/>
      <c r="K968" s="2"/>
      <c r="L968" s="2"/>
      <c r="M968" s="2"/>
      <c r="N968" s="2"/>
      <c r="O968" s="2"/>
      <c r="P968" s="2"/>
      <c r="Q968" s="2"/>
      <c r="R968" s="2"/>
      <c r="S968" s="2"/>
      <c r="T968" s="2"/>
      <c r="U968" s="2"/>
      <c r="V968" s="1"/>
      <c r="W968" s="1"/>
      <c r="X968" s="1"/>
      <c r="Y968" s="1"/>
      <c r="Z968" s="1"/>
      <c r="AA968" s="1"/>
      <c r="AB968" s="1"/>
      <c r="AC968" s="1"/>
      <c r="AD968" s="1"/>
      <c r="AE968" s="1"/>
      <c r="AF968" s="1"/>
    </row>
    <row r="969">
      <c r="A969" s="1"/>
      <c r="B969" s="2"/>
      <c r="C969" s="117"/>
      <c r="D969" s="2"/>
      <c r="E969" s="2"/>
      <c r="F969" s="2"/>
      <c r="G969" s="2"/>
      <c r="H969" s="2"/>
      <c r="I969" s="117"/>
      <c r="J969" s="2"/>
      <c r="K969" s="2"/>
      <c r="L969" s="2"/>
      <c r="M969" s="2"/>
      <c r="N969" s="2"/>
      <c r="O969" s="2"/>
      <c r="P969" s="2"/>
      <c r="Q969" s="2"/>
      <c r="R969" s="2"/>
      <c r="S969" s="2"/>
      <c r="T969" s="2"/>
      <c r="U969" s="2"/>
      <c r="V969" s="1"/>
      <c r="W969" s="1"/>
      <c r="X969" s="1"/>
      <c r="Y969" s="1"/>
      <c r="Z969" s="1"/>
      <c r="AA969" s="1"/>
      <c r="AB969" s="1"/>
      <c r="AC969" s="1"/>
      <c r="AD969" s="1"/>
      <c r="AE969" s="1"/>
      <c r="AF969" s="1"/>
    </row>
    <row r="970">
      <c r="A970" s="1"/>
      <c r="B970" s="2"/>
      <c r="C970" s="117"/>
      <c r="D970" s="2"/>
      <c r="E970" s="2"/>
      <c r="F970" s="2"/>
      <c r="G970" s="2"/>
      <c r="H970" s="2"/>
      <c r="I970" s="117"/>
      <c r="J970" s="2"/>
      <c r="K970" s="2"/>
      <c r="L970" s="2"/>
      <c r="M970" s="2"/>
      <c r="N970" s="2"/>
      <c r="O970" s="2"/>
      <c r="P970" s="2"/>
      <c r="Q970" s="2"/>
      <c r="R970" s="2"/>
      <c r="S970" s="2"/>
      <c r="T970" s="2"/>
      <c r="U970" s="2"/>
      <c r="V970" s="1"/>
      <c r="W970" s="1"/>
      <c r="X970" s="1"/>
      <c r="Y970" s="1"/>
      <c r="Z970" s="1"/>
      <c r="AA970" s="1"/>
      <c r="AB970" s="1"/>
      <c r="AC970" s="1"/>
      <c r="AD970" s="1"/>
      <c r="AE970" s="1"/>
      <c r="AF970" s="1"/>
    </row>
    <row r="971">
      <c r="A971" s="1"/>
      <c r="B971" s="2"/>
      <c r="C971" s="117"/>
      <c r="D971" s="2"/>
      <c r="E971" s="2"/>
      <c r="F971" s="2"/>
      <c r="G971" s="2"/>
      <c r="H971" s="2"/>
      <c r="I971" s="117"/>
      <c r="J971" s="2"/>
      <c r="K971" s="2"/>
      <c r="L971" s="2"/>
      <c r="M971" s="2"/>
      <c r="N971" s="2"/>
      <c r="O971" s="2"/>
      <c r="P971" s="2"/>
      <c r="Q971" s="2"/>
      <c r="R971" s="2"/>
      <c r="S971" s="2"/>
      <c r="T971" s="2"/>
      <c r="U971" s="2"/>
      <c r="V971" s="1"/>
      <c r="W971" s="1"/>
      <c r="X971" s="1"/>
      <c r="Y971" s="1"/>
      <c r="Z971" s="1"/>
      <c r="AA971" s="1"/>
      <c r="AB971" s="1"/>
      <c r="AC971" s="1"/>
      <c r="AD971" s="1"/>
      <c r="AE971" s="1"/>
      <c r="AF971" s="1"/>
    </row>
    <row r="972">
      <c r="A972" s="1"/>
      <c r="B972" s="2"/>
      <c r="C972" s="117"/>
      <c r="D972" s="2"/>
      <c r="E972" s="2"/>
      <c r="F972" s="2"/>
      <c r="G972" s="2"/>
      <c r="H972" s="2"/>
      <c r="I972" s="117"/>
      <c r="J972" s="2"/>
      <c r="K972" s="2"/>
      <c r="L972" s="2"/>
      <c r="M972" s="2"/>
      <c r="N972" s="2"/>
      <c r="O972" s="2"/>
      <c r="P972" s="2"/>
      <c r="Q972" s="2"/>
      <c r="R972" s="2"/>
      <c r="S972" s="2"/>
      <c r="T972" s="2"/>
      <c r="U972" s="2"/>
      <c r="V972" s="1"/>
      <c r="W972" s="1"/>
      <c r="X972" s="1"/>
      <c r="Y972" s="1"/>
      <c r="Z972" s="1"/>
      <c r="AA972" s="1"/>
      <c r="AB972" s="1"/>
      <c r="AC972" s="1"/>
      <c r="AD972" s="1"/>
      <c r="AE972" s="1"/>
      <c r="AF972" s="1"/>
    </row>
    <row r="973">
      <c r="A973" s="1"/>
      <c r="B973" s="2"/>
      <c r="C973" s="117"/>
      <c r="D973" s="2"/>
      <c r="E973" s="2"/>
      <c r="F973" s="2"/>
      <c r="G973" s="2"/>
      <c r="H973" s="2"/>
      <c r="I973" s="117"/>
      <c r="J973" s="2"/>
      <c r="K973" s="2"/>
      <c r="L973" s="2"/>
      <c r="M973" s="2"/>
      <c r="N973" s="2"/>
      <c r="O973" s="2"/>
      <c r="P973" s="2"/>
      <c r="Q973" s="2"/>
      <c r="R973" s="2"/>
      <c r="S973" s="2"/>
      <c r="T973" s="2"/>
      <c r="U973" s="2"/>
      <c r="V973" s="1"/>
      <c r="W973" s="1"/>
      <c r="X973" s="1"/>
      <c r="Y973" s="1"/>
      <c r="Z973" s="1"/>
      <c r="AA973" s="1"/>
      <c r="AB973" s="1"/>
      <c r="AC973" s="1"/>
      <c r="AD973" s="1"/>
      <c r="AE973" s="1"/>
      <c r="AF973" s="1"/>
    </row>
    <row r="974">
      <c r="A974" s="1"/>
      <c r="B974" s="2"/>
      <c r="C974" s="117"/>
      <c r="D974" s="2"/>
      <c r="E974" s="2"/>
      <c r="F974" s="2"/>
      <c r="G974" s="2"/>
      <c r="H974" s="2"/>
      <c r="I974" s="117"/>
      <c r="J974" s="2"/>
      <c r="K974" s="2"/>
      <c r="L974" s="2"/>
      <c r="M974" s="2"/>
      <c r="N974" s="2"/>
      <c r="O974" s="2"/>
      <c r="P974" s="2"/>
      <c r="Q974" s="2"/>
      <c r="R974" s="2"/>
      <c r="S974" s="2"/>
      <c r="T974" s="2"/>
      <c r="U974" s="2"/>
      <c r="V974" s="1"/>
      <c r="W974" s="1"/>
      <c r="X974" s="1"/>
      <c r="Y974" s="1"/>
      <c r="Z974" s="1"/>
      <c r="AA974" s="1"/>
      <c r="AB974" s="1"/>
      <c r="AC974" s="1"/>
      <c r="AD974" s="1"/>
      <c r="AE974" s="1"/>
      <c r="AF974" s="1"/>
    </row>
    <row r="975">
      <c r="A975" s="1"/>
      <c r="B975" s="2"/>
      <c r="C975" s="117"/>
      <c r="D975" s="2"/>
      <c r="E975" s="2"/>
      <c r="F975" s="2"/>
      <c r="G975" s="2"/>
      <c r="H975" s="2"/>
      <c r="I975" s="117"/>
      <c r="J975" s="2"/>
      <c r="K975" s="2"/>
      <c r="L975" s="2"/>
      <c r="M975" s="2"/>
      <c r="N975" s="2"/>
      <c r="O975" s="2"/>
      <c r="P975" s="2"/>
      <c r="Q975" s="2"/>
      <c r="R975" s="2"/>
      <c r="S975" s="2"/>
      <c r="T975" s="2"/>
      <c r="U975" s="2"/>
      <c r="V975" s="1"/>
      <c r="W975" s="1"/>
      <c r="X975" s="1"/>
      <c r="Y975" s="1"/>
      <c r="Z975" s="1"/>
      <c r="AA975" s="1"/>
      <c r="AB975" s="1"/>
      <c r="AC975" s="1"/>
      <c r="AD975" s="1"/>
      <c r="AE975" s="1"/>
      <c r="AF975" s="1"/>
    </row>
    <row r="976">
      <c r="A976" s="1"/>
      <c r="B976" s="2"/>
      <c r="C976" s="117"/>
      <c r="D976" s="2"/>
      <c r="E976" s="2"/>
      <c r="F976" s="2"/>
      <c r="G976" s="2"/>
      <c r="H976" s="2"/>
      <c r="I976" s="117"/>
      <c r="J976" s="2"/>
      <c r="K976" s="2"/>
      <c r="L976" s="2"/>
      <c r="M976" s="2"/>
      <c r="N976" s="2"/>
      <c r="O976" s="2"/>
      <c r="P976" s="2"/>
      <c r="Q976" s="2"/>
      <c r="R976" s="2"/>
      <c r="S976" s="2"/>
      <c r="T976" s="2"/>
      <c r="U976" s="2"/>
      <c r="V976" s="1"/>
      <c r="W976" s="1"/>
      <c r="X976" s="1"/>
      <c r="Y976" s="1"/>
      <c r="Z976" s="1"/>
      <c r="AA976" s="1"/>
      <c r="AB976" s="1"/>
      <c r="AC976" s="1"/>
      <c r="AD976" s="1"/>
      <c r="AE976" s="1"/>
      <c r="AF976" s="1"/>
    </row>
    <row r="977">
      <c r="A977" s="1"/>
      <c r="B977" s="2"/>
      <c r="C977" s="117"/>
      <c r="D977" s="2"/>
      <c r="E977" s="2"/>
      <c r="F977" s="2"/>
      <c r="G977" s="2"/>
      <c r="H977" s="2"/>
      <c r="I977" s="117"/>
      <c r="J977" s="2"/>
      <c r="K977" s="2"/>
      <c r="L977" s="2"/>
      <c r="M977" s="2"/>
      <c r="N977" s="2"/>
      <c r="O977" s="2"/>
      <c r="P977" s="2"/>
      <c r="Q977" s="2"/>
      <c r="R977" s="2"/>
      <c r="S977" s="2"/>
      <c r="T977" s="2"/>
      <c r="U977" s="2"/>
      <c r="V977" s="1"/>
      <c r="W977" s="1"/>
      <c r="X977" s="1"/>
      <c r="Y977" s="1"/>
      <c r="Z977" s="1"/>
      <c r="AA977" s="1"/>
      <c r="AB977" s="1"/>
      <c r="AC977" s="1"/>
      <c r="AD977" s="1"/>
      <c r="AE977" s="1"/>
      <c r="AF977" s="1"/>
    </row>
    <row r="978">
      <c r="A978" s="1"/>
      <c r="B978" s="2"/>
      <c r="C978" s="117"/>
      <c r="D978" s="2"/>
      <c r="E978" s="2"/>
      <c r="F978" s="2"/>
      <c r="G978" s="2"/>
      <c r="H978" s="2"/>
      <c r="I978" s="117"/>
      <c r="J978" s="2"/>
      <c r="K978" s="2"/>
      <c r="L978" s="2"/>
      <c r="M978" s="2"/>
      <c r="N978" s="2"/>
      <c r="O978" s="2"/>
      <c r="P978" s="2"/>
      <c r="Q978" s="2"/>
      <c r="R978" s="2"/>
      <c r="S978" s="2"/>
      <c r="T978" s="2"/>
      <c r="U978" s="2"/>
      <c r="V978" s="1"/>
      <c r="W978" s="1"/>
      <c r="X978" s="1"/>
      <c r="Y978" s="1"/>
      <c r="Z978" s="1"/>
      <c r="AA978" s="1"/>
      <c r="AB978" s="1"/>
      <c r="AC978" s="1"/>
      <c r="AD978" s="1"/>
      <c r="AE978" s="1"/>
      <c r="AF978" s="1"/>
    </row>
    <row r="979">
      <c r="A979" s="1"/>
      <c r="B979" s="2"/>
      <c r="C979" s="117"/>
      <c r="D979" s="2"/>
      <c r="E979" s="2"/>
      <c r="F979" s="2"/>
      <c r="G979" s="2"/>
      <c r="H979" s="2"/>
      <c r="I979" s="117"/>
      <c r="J979" s="2"/>
      <c r="K979" s="2"/>
      <c r="L979" s="2"/>
      <c r="M979" s="2"/>
      <c r="N979" s="2"/>
      <c r="O979" s="2"/>
      <c r="P979" s="2"/>
      <c r="Q979" s="2"/>
      <c r="R979" s="2"/>
      <c r="S979" s="2"/>
      <c r="T979" s="2"/>
      <c r="U979" s="2"/>
      <c r="V979" s="1"/>
      <c r="W979" s="1"/>
      <c r="X979" s="1"/>
      <c r="Y979" s="1"/>
      <c r="Z979" s="1"/>
      <c r="AA979" s="1"/>
      <c r="AB979" s="1"/>
      <c r="AC979" s="1"/>
      <c r="AD979" s="1"/>
      <c r="AE979" s="1"/>
      <c r="AF979" s="1"/>
    </row>
    <row r="980">
      <c r="A980" s="1"/>
      <c r="B980" s="2"/>
      <c r="C980" s="117"/>
      <c r="D980" s="2"/>
      <c r="E980" s="2"/>
      <c r="F980" s="2"/>
      <c r="G980" s="2"/>
      <c r="H980" s="2"/>
      <c r="I980" s="117"/>
      <c r="J980" s="2"/>
      <c r="K980" s="2"/>
      <c r="L980" s="2"/>
      <c r="M980" s="2"/>
      <c r="N980" s="2"/>
      <c r="O980" s="2"/>
      <c r="P980" s="2"/>
      <c r="Q980" s="2"/>
      <c r="R980" s="2"/>
      <c r="S980" s="2"/>
      <c r="T980" s="2"/>
      <c r="U980" s="2"/>
      <c r="V980" s="1"/>
      <c r="W980" s="1"/>
      <c r="X980" s="1"/>
      <c r="Y980" s="1"/>
      <c r="Z980" s="1"/>
      <c r="AA980" s="1"/>
      <c r="AB980" s="1"/>
      <c r="AC980" s="1"/>
      <c r="AD980" s="1"/>
      <c r="AE980" s="1"/>
      <c r="AF980" s="1"/>
    </row>
    <row r="981">
      <c r="A981" s="1"/>
      <c r="B981" s="2"/>
      <c r="C981" s="117"/>
      <c r="D981" s="2"/>
      <c r="E981" s="2"/>
      <c r="F981" s="2"/>
      <c r="G981" s="2"/>
      <c r="H981" s="2"/>
      <c r="I981" s="117"/>
      <c r="J981" s="2"/>
      <c r="K981" s="2"/>
      <c r="L981" s="2"/>
      <c r="M981" s="2"/>
      <c r="N981" s="2"/>
      <c r="O981" s="2"/>
      <c r="P981" s="2"/>
      <c r="Q981" s="2"/>
      <c r="R981" s="2"/>
      <c r="S981" s="2"/>
      <c r="T981" s="2"/>
      <c r="U981" s="2"/>
      <c r="V981" s="1"/>
      <c r="W981" s="1"/>
      <c r="X981" s="1"/>
      <c r="Y981" s="1"/>
      <c r="Z981" s="1"/>
      <c r="AA981" s="1"/>
      <c r="AB981" s="1"/>
      <c r="AC981" s="1"/>
      <c r="AD981" s="1"/>
      <c r="AE981" s="1"/>
      <c r="AF981" s="1"/>
    </row>
    <row r="982">
      <c r="A982" s="1"/>
      <c r="B982" s="2"/>
      <c r="C982" s="117"/>
      <c r="D982" s="2"/>
      <c r="E982" s="2"/>
      <c r="F982" s="2"/>
      <c r="G982" s="2"/>
      <c r="H982" s="2"/>
      <c r="I982" s="117"/>
      <c r="J982" s="2"/>
      <c r="K982" s="2"/>
      <c r="L982" s="2"/>
      <c r="M982" s="2"/>
      <c r="N982" s="2"/>
      <c r="O982" s="2"/>
      <c r="P982" s="2"/>
      <c r="Q982" s="2"/>
      <c r="R982" s="2"/>
      <c r="S982" s="2"/>
      <c r="T982" s="2"/>
      <c r="U982" s="2"/>
      <c r="V982" s="1"/>
      <c r="W982" s="1"/>
      <c r="X982" s="1"/>
      <c r="Y982" s="1"/>
      <c r="Z982" s="1"/>
      <c r="AA982" s="1"/>
      <c r="AB982" s="1"/>
      <c r="AC982" s="1"/>
      <c r="AD982" s="1"/>
      <c r="AE982" s="1"/>
      <c r="AF982" s="1"/>
    </row>
    <row r="983">
      <c r="A983" s="1"/>
      <c r="B983" s="2"/>
      <c r="C983" s="117"/>
      <c r="D983" s="2"/>
      <c r="E983" s="2"/>
      <c r="F983" s="2"/>
      <c r="G983" s="2"/>
      <c r="H983" s="2"/>
      <c r="I983" s="117"/>
      <c r="J983" s="2"/>
      <c r="K983" s="2"/>
      <c r="L983" s="2"/>
      <c r="M983" s="2"/>
      <c r="N983" s="2"/>
      <c r="O983" s="2"/>
      <c r="P983" s="2"/>
      <c r="Q983" s="2"/>
      <c r="R983" s="2"/>
      <c r="S983" s="2"/>
      <c r="T983" s="2"/>
      <c r="U983" s="2"/>
      <c r="V983" s="1"/>
      <c r="W983" s="1"/>
      <c r="X983" s="1"/>
      <c r="Y983" s="1"/>
      <c r="Z983" s="1"/>
      <c r="AA983" s="1"/>
      <c r="AB983" s="1"/>
      <c r="AC983" s="1"/>
      <c r="AD983" s="1"/>
      <c r="AE983" s="1"/>
      <c r="AF983" s="1"/>
    </row>
    <row r="984">
      <c r="A984" s="1"/>
      <c r="B984" s="2"/>
      <c r="C984" s="117"/>
      <c r="D984" s="2"/>
      <c r="E984" s="2"/>
      <c r="F984" s="2"/>
      <c r="G984" s="2"/>
      <c r="H984" s="2"/>
      <c r="I984" s="117"/>
      <c r="J984" s="2"/>
      <c r="K984" s="2"/>
      <c r="L984" s="2"/>
      <c r="M984" s="2"/>
      <c r="N984" s="2"/>
      <c r="O984" s="2"/>
      <c r="P984" s="2"/>
      <c r="Q984" s="2"/>
      <c r="R984" s="2"/>
      <c r="S984" s="2"/>
      <c r="T984" s="2"/>
      <c r="U984" s="2"/>
      <c r="V984" s="1"/>
      <c r="W984" s="1"/>
      <c r="X984" s="1"/>
      <c r="Y984" s="1"/>
      <c r="Z984" s="1"/>
      <c r="AA984" s="1"/>
      <c r="AB984" s="1"/>
      <c r="AC984" s="1"/>
      <c r="AD984" s="1"/>
      <c r="AE984" s="1"/>
      <c r="AF984" s="1"/>
    </row>
    <row r="985">
      <c r="A985" s="1"/>
      <c r="B985" s="2"/>
      <c r="C985" s="117"/>
      <c r="D985" s="2"/>
      <c r="E985" s="2"/>
      <c r="F985" s="2"/>
      <c r="G985" s="2"/>
      <c r="H985" s="2"/>
      <c r="I985" s="117"/>
      <c r="J985" s="2"/>
      <c r="K985" s="2"/>
      <c r="L985" s="2"/>
      <c r="M985" s="2"/>
      <c r="N985" s="2"/>
      <c r="O985" s="2"/>
      <c r="P985" s="2"/>
      <c r="Q985" s="2"/>
      <c r="R985" s="2"/>
      <c r="S985" s="2"/>
      <c r="T985" s="2"/>
      <c r="U985" s="2"/>
      <c r="V985" s="1"/>
      <c r="W985" s="1"/>
      <c r="X985" s="1"/>
      <c r="Y985" s="1"/>
      <c r="Z985" s="1"/>
      <c r="AA985" s="1"/>
      <c r="AB985" s="1"/>
      <c r="AC985" s="1"/>
      <c r="AD985" s="1"/>
      <c r="AE985" s="1"/>
      <c r="AF985" s="1"/>
    </row>
    <row r="986">
      <c r="A986" s="1"/>
      <c r="B986" s="2"/>
      <c r="C986" s="117"/>
      <c r="D986" s="2"/>
      <c r="E986" s="2"/>
      <c r="F986" s="2"/>
      <c r="G986" s="2"/>
      <c r="H986" s="2"/>
      <c r="I986" s="117"/>
      <c r="J986" s="2"/>
      <c r="K986" s="2"/>
      <c r="L986" s="2"/>
      <c r="M986" s="2"/>
      <c r="N986" s="2"/>
      <c r="O986" s="2"/>
      <c r="P986" s="2"/>
      <c r="Q986" s="2"/>
      <c r="R986" s="2"/>
      <c r="S986" s="2"/>
      <c r="T986" s="2"/>
      <c r="U986" s="2"/>
      <c r="V986" s="1"/>
      <c r="W986" s="1"/>
      <c r="X986" s="1"/>
      <c r="Y986" s="1"/>
      <c r="Z986" s="1"/>
      <c r="AA986" s="1"/>
      <c r="AB986" s="1"/>
      <c r="AC986" s="1"/>
      <c r="AD986" s="1"/>
      <c r="AE986" s="1"/>
      <c r="AF986" s="1"/>
    </row>
    <row r="987">
      <c r="A987" s="1"/>
      <c r="B987" s="2"/>
      <c r="C987" s="117"/>
      <c r="D987" s="2"/>
      <c r="E987" s="2"/>
      <c r="F987" s="2"/>
      <c r="G987" s="2"/>
      <c r="H987" s="2"/>
      <c r="I987" s="117"/>
      <c r="J987" s="2"/>
      <c r="K987" s="2"/>
      <c r="L987" s="2"/>
      <c r="M987" s="2"/>
      <c r="N987" s="2"/>
      <c r="O987" s="2"/>
      <c r="P987" s="2"/>
      <c r="Q987" s="2"/>
      <c r="R987" s="2"/>
      <c r="S987" s="2"/>
      <c r="T987" s="2"/>
      <c r="U987" s="2"/>
      <c r="V987" s="1"/>
      <c r="W987" s="1"/>
      <c r="X987" s="1"/>
      <c r="Y987" s="1"/>
      <c r="Z987" s="1"/>
      <c r="AA987" s="1"/>
      <c r="AB987" s="1"/>
      <c r="AC987" s="1"/>
      <c r="AD987" s="1"/>
      <c r="AE987" s="1"/>
      <c r="AF987" s="1"/>
    </row>
    <row r="988">
      <c r="A988" s="1"/>
      <c r="B988" s="2"/>
      <c r="C988" s="117"/>
      <c r="D988" s="2"/>
      <c r="E988" s="2"/>
      <c r="F988" s="2"/>
      <c r="G988" s="2"/>
      <c r="H988" s="2"/>
      <c r="I988" s="117"/>
      <c r="J988" s="2"/>
      <c r="K988" s="2"/>
      <c r="L988" s="2"/>
      <c r="M988" s="2"/>
      <c r="N988" s="2"/>
      <c r="O988" s="2"/>
      <c r="P988" s="2"/>
      <c r="Q988" s="2"/>
      <c r="R988" s="2"/>
      <c r="S988" s="2"/>
      <c r="T988" s="2"/>
      <c r="U988" s="2"/>
      <c r="V988" s="1"/>
      <c r="W988" s="1"/>
      <c r="X988" s="1"/>
      <c r="Y988" s="1"/>
      <c r="Z988" s="1"/>
      <c r="AA988" s="1"/>
      <c r="AB988" s="1"/>
      <c r="AC988" s="1"/>
      <c r="AD988" s="1"/>
      <c r="AE988" s="1"/>
      <c r="AF988" s="1"/>
    </row>
    <row r="989">
      <c r="A989" s="1"/>
      <c r="B989" s="2"/>
      <c r="C989" s="117"/>
      <c r="D989" s="2"/>
      <c r="E989" s="2"/>
      <c r="F989" s="2"/>
      <c r="G989" s="2"/>
      <c r="H989" s="2"/>
      <c r="I989" s="117"/>
      <c r="J989" s="2"/>
      <c r="K989" s="2"/>
      <c r="L989" s="2"/>
      <c r="M989" s="2"/>
      <c r="N989" s="2"/>
      <c r="O989" s="2"/>
      <c r="P989" s="2"/>
      <c r="Q989" s="2"/>
      <c r="R989" s="2"/>
      <c r="S989" s="2"/>
      <c r="T989" s="2"/>
      <c r="U989" s="2"/>
      <c r="V989" s="1"/>
      <c r="W989" s="1"/>
      <c r="X989" s="1"/>
      <c r="Y989" s="1"/>
      <c r="Z989" s="1"/>
      <c r="AA989" s="1"/>
      <c r="AB989" s="1"/>
      <c r="AC989" s="1"/>
      <c r="AD989" s="1"/>
      <c r="AE989" s="1"/>
      <c r="AF989" s="1"/>
    </row>
    <row r="990">
      <c r="A990" s="1"/>
      <c r="B990" s="2"/>
      <c r="C990" s="117"/>
      <c r="D990" s="2"/>
      <c r="E990" s="2"/>
      <c r="F990" s="2"/>
      <c r="G990" s="2"/>
      <c r="H990" s="2"/>
      <c r="I990" s="117"/>
      <c r="J990" s="2"/>
      <c r="K990" s="2"/>
      <c r="L990" s="2"/>
      <c r="M990" s="2"/>
      <c r="N990" s="2"/>
      <c r="O990" s="2"/>
      <c r="P990" s="2"/>
      <c r="Q990" s="2"/>
      <c r="R990" s="2"/>
      <c r="S990" s="2"/>
      <c r="T990" s="2"/>
      <c r="U990" s="2"/>
      <c r="V990" s="1"/>
      <c r="W990" s="1"/>
      <c r="X990" s="1"/>
      <c r="Y990" s="1"/>
      <c r="Z990" s="1"/>
      <c r="AA990" s="1"/>
      <c r="AB990" s="1"/>
      <c r="AC990" s="1"/>
      <c r="AD990" s="1"/>
      <c r="AE990" s="1"/>
      <c r="AF990" s="1"/>
    </row>
    <row r="991">
      <c r="A991" s="1"/>
      <c r="B991" s="2"/>
      <c r="C991" s="117"/>
      <c r="D991" s="2"/>
      <c r="E991" s="2"/>
      <c r="F991" s="2"/>
      <c r="G991" s="2"/>
      <c r="H991" s="2"/>
      <c r="I991" s="117"/>
      <c r="J991" s="2"/>
      <c r="K991" s="2"/>
      <c r="L991" s="2"/>
      <c r="M991" s="2"/>
      <c r="N991" s="2"/>
      <c r="O991" s="2"/>
      <c r="P991" s="2"/>
      <c r="Q991" s="2"/>
      <c r="R991" s="2"/>
      <c r="S991" s="2"/>
      <c r="T991" s="2"/>
      <c r="U991" s="2"/>
      <c r="V991" s="1"/>
      <c r="W991" s="1"/>
      <c r="X991" s="1"/>
      <c r="Y991" s="1"/>
      <c r="Z991" s="1"/>
      <c r="AA991" s="1"/>
      <c r="AB991" s="1"/>
      <c r="AC991" s="1"/>
      <c r="AD991" s="1"/>
      <c r="AE991" s="1"/>
      <c r="AF991" s="1"/>
    </row>
    <row r="992">
      <c r="A992" s="1"/>
      <c r="B992" s="2"/>
      <c r="C992" s="117"/>
      <c r="D992" s="2"/>
      <c r="E992" s="2"/>
      <c r="F992" s="2"/>
      <c r="G992" s="2"/>
      <c r="H992" s="2"/>
      <c r="I992" s="117"/>
      <c r="J992" s="2"/>
      <c r="K992" s="2"/>
      <c r="L992" s="2"/>
      <c r="M992" s="2"/>
      <c r="N992" s="2"/>
      <c r="O992" s="2"/>
      <c r="P992" s="2"/>
      <c r="Q992" s="2"/>
      <c r="R992" s="2"/>
      <c r="S992" s="2"/>
      <c r="T992" s="2"/>
      <c r="U992" s="2"/>
      <c r="V992" s="1"/>
      <c r="W992" s="1"/>
      <c r="X992" s="1"/>
      <c r="Y992" s="1"/>
      <c r="Z992" s="1"/>
      <c r="AA992" s="1"/>
      <c r="AB992" s="1"/>
      <c r="AC992" s="1"/>
      <c r="AD992" s="1"/>
      <c r="AE992" s="1"/>
      <c r="AF992" s="1"/>
    </row>
    <row r="993">
      <c r="A993" s="1"/>
      <c r="B993" s="2"/>
      <c r="C993" s="117"/>
      <c r="D993" s="2"/>
      <c r="E993" s="2"/>
      <c r="F993" s="2"/>
      <c r="G993" s="2"/>
      <c r="H993" s="2"/>
      <c r="I993" s="117"/>
      <c r="J993" s="2"/>
      <c r="K993" s="2"/>
      <c r="L993" s="2"/>
      <c r="M993" s="2"/>
      <c r="N993" s="2"/>
      <c r="O993" s="2"/>
      <c r="P993" s="2"/>
      <c r="Q993" s="2"/>
      <c r="R993" s="2"/>
      <c r="S993" s="2"/>
      <c r="T993" s="2"/>
      <c r="U993" s="2"/>
      <c r="V993" s="1"/>
      <c r="W993" s="1"/>
      <c r="X993" s="1"/>
      <c r="Y993" s="1"/>
      <c r="Z993" s="1"/>
      <c r="AA993" s="1"/>
      <c r="AB993" s="1"/>
      <c r="AC993" s="1"/>
      <c r="AD993" s="1"/>
      <c r="AE993" s="1"/>
      <c r="AF993" s="1"/>
    </row>
    <row r="994">
      <c r="A994" s="1"/>
      <c r="B994" s="2"/>
      <c r="C994" s="117"/>
      <c r="D994" s="2"/>
      <c r="E994" s="2"/>
      <c r="F994" s="2"/>
      <c r="G994" s="2"/>
      <c r="H994" s="2"/>
      <c r="I994" s="117"/>
      <c r="J994" s="2"/>
      <c r="K994" s="2"/>
      <c r="L994" s="2"/>
      <c r="M994" s="2"/>
      <c r="N994" s="2"/>
      <c r="O994" s="2"/>
      <c r="P994" s="2"/>
      <c r="Q994" s="2"/>
      <c r="R994" s="2"/>
      <c r="S994" s="2"/>
      <c r="T994" s="2"/>
      <c r="U994" s="2"/>
      <c r="V994" s="1"/>
      <c r="W994" s="1"/>
      <c r="X994" s="1"/>
      <c r="Y994" s="1"/>
      <c r="Z994" s="1"/>
      <c r="AA994" s="1"/>
      <c r="AB994" s="1"/>
      <c r="AC994" s="1"/>
      <c r="AD994" s="1"/>
      <c r="AE994" s="1"/>
      <c r="AF994" s="1"/>
    </row>
    <row r="995">
      <c r="A995" s="1"/>
      <c r="B995" s="2"/>
      <c r="C995" s="117"/>
      <c r="D995" s="2"/>
      <c r="E995" s="2"/>
      <c r="F995" s="2"/>
      <c r="G995" s="2"/>
      <c r="H995" s="2"/>
      <c r="I995" s="117"/>
      <c r="J995" s="2"/>
      <c r="K995" s="2"/>
      <c r="L995" s="2"/>
      <c r="M995" s="2"/>
      <c r="N995" s="2"/>
      <c r="O995" s="2"/>
      <c r="P995" s="2"/>
      <c r="Q995" s="2"/>
      <c r="R995" s="2"/>
      <c r="S995" s="2"/>
      <c r="T995" s="2"/>
      <c r="U995" s="2"/>
      <c r="V995" s="1"/>
      <c r="W995" s="1"/>
      <c r="X995" s="1"/>
      <c r="Y995" s="1"/>
      <c r="Z995" s="1"/>
      <c r="AA995" s="1"/>
      <c r="AB995" s="1"/>
      <c r="AC995" s="1"/>
      <c r="AD995" s="1"/>
      <c r="AE995" s="1"/>
      <c r="AF995" s="1"/>
    </row>
    <row r="996">
      <c r="A996" s="1"/>
      <c r="B996" s="2"/>
      <c r="C996" s="117"/>
      <c r="D996" s="2"/>
      <c r="E996" s="2"/>
      <c r="F996" s="2"/>
      <c r="G996" s="2"/>
      <c r="H996" s="2"/>
      <c r="I996" s="117"/>
      <c r="J996" s="2"/>
      <c r="K996" s="2"/>
      <c r="L996" s="2"/>
      <c r="M996" s="2"/>
      <c r="N996" s="2"/>
      <c r="O996" s="2"/>
      <c r="P996" s="2"/>
      <c r="Q996" s="2"/>
      <c r="R996" s="2"/>
      <c r="S996" s="2"/>
      <c r="T996" s="2"/>
      <c r="U996" s="2"/>
      <c r="V996" s="1"/>
      <c r="W996" s="1"/>
      <c r="X996" s="1"/>
      <c r="Y996" s="1"/>
      <c r="Z996" s="1"/>
      <c r="AA996" s="1"/>
      <c r="AB996" s="1"/>
      <c r="AC996" s="1"/>
      <c r="AD996" s="1"/>
      <c r="AE996" s="1"/>
      <c r="AF996" s="1"/>
    </row>
    <row r="997">
      <c r="A997" s="1"/>
      <c r="B997" s="2"/>
      <c r="C997" s="117"/>
      <c r="D997" s="2"/>
      <c r="E997" s="2"/>
      <c r="F997" s="2"/>
      <c r="G997" s="2"/>
      <c r="H997" s="2"/>
      <c r="I997" s="117"/>
      <c r="J997" s="2"/>
      <c r="K997" s="2"/>
      <c r="L997" s="2"/>
      <c r="M997" s="2"/>
      <c r="N997" s="2"/>
      <c r="O997" s="2"/>
      <c r="P997" s="2"/>
      <c r="Q997" s="2"/>
      <c r="R997" s="2"/>
      <c r="S997" s="2"/>
      <c r="T997" s="2"/>
      <c r="U997" s="2"/>
      <c r="V997" s="1"/>
      <c r="W997" s="1"/>
      <c r="X997" s="1"/>
      <c r="Y997" s="1"/>
      <c r="Z997" s="1"/>
      <c r="AA997" s="1"/>
      <c r="AB997" s="1"/>
      <c r="AC997" s="1"/>
      <c r="AD997" s="1"/>
      <c r="AE997" s="1"/>
      <c r="AF997" s="1"/>
    </row>
    <row r="998">
      <c r="A998" s="1"/>
      <c r="B998" s="2"/>
      <c r="C998" s="117"/>
      <c r="D998" s="2"/>
      <c r="E998" s="2"/>
      <c r="F998" s="2"/>
      <c r="G998" s="2"/>
      <c r="H998" s="2"/>
      <c r="I998" s="117"/>
      <c r="J998" s="2"/>
      <c r="K998" s="2"/>
      <c r="L998" s="2"/>
      <c r="M998" s="2"/>
      <c r="N998" s="2"/>
      <c r="O998" s="2"/>
      <c r="P998" s="2"/>
      <c r="Q998" s="2"/>
      <c r="R998" s="2"/>
      <c r="S998" s="2"/>
      <c r="T998" s="2"/>
      <c r="U998" s="2"/>
      <c r="V998" s="1"/>
      <c r="W998" s="1"/>
      <c r="X998" s="1"/>
      <c r="Y998" s="1"/>
      <c r="Z998" s="1"/>
      <c r="AA998" s="1"/>
      <c r="AB998" s="1"/>
      <c r="AC998" s="1"/>
      <c r="AD998" s="1"/>
      <c r="AE998" s="1"/>
      <c r="AF998" s="1"/>
    </row>
    <row r="999">
      <c r="A999" s="1"/>
      <c r="B999" s="2"/>
      <c r="C999" s="117"/>
      <c r="D999" s="2"/>
      <c r="E999" s="2"/>
      <c r="F999" s="2"/>
      <c r="G999" s="2"/>
      <c r="H999" s="2"/>
      <c r="I999" s="117"/>
      <c r="J999" s="2"/>
      <c r="K999" s="2"/>
      <c r="L999" s="2"/>
      <c r="M999" s="2"/>
      <c r="N999" s="2"/>
      <c r="O999" s="2"/>
      <c r="P999" s="2"/>
      <c r="Q999" s="2"/>
      <c r="R999" s="2"/>
      <c r="S999" s="2"/>
      <c r="T999" s="2"/>
      <c r="U999" s="2"/>
      <c r="V999" s="1"/>
      <c r="W999" s="1"/>
      <c r="X999" s="1"/>
      <c r="Y999" s="1"/>
      <c r="Z999" s="1"/>
      <c r="AA999" s="1"/>
      <c r="AB999" s="1"/>
      <c r="AC999" s="1"/>
      <c r="AD999" s="1"/>
      <c r="AE999" s="1"/>
      <c r="AF999" s="1"/>
    </row>
    <row r="1000">
      <c r="A1000" s="1"/>
      <c r="B1000" s="2"/>
      <c r="C1000" s="117"/>
      <c r="D1000" s="2"/>
      <c r="E1000" s="2"/>
      <c r="F1000" s="2"/>
      <c r="G1000" s="2"/>
      <c r="H1000" s="2"/>
      <c r="I1000" s="117"/>
      <c r="J1000" s="2"/>
      <c r="K1000" s="2"/>
      <c r="L1000" s="2"/>
      <c r="M1000" s="2"/>
      <c r="N1000" s="2"/>
      <c r="O1000" s="2"/>
      <c r="P1000" s="2"/>
      <c r="Q1000" s="2"/>
      <c r="R1000" s="2"/>
      <c r="S1000" s="2"/>
      <c r="T1000" s="2"/>
      <c r="U1000" s="2"/>
      <c r="V1000" s="1"/>
      <c r="W1000" s="1"/>
      <c r="X1000" s="1"/>
      <c r="Y1000" s="1"/>
      <c r="Z1000" s="1"/>
      <c r="AA1000" s="1"/>
      <c r="AB1000" s="1"/>
      <c r="AC1000" s="1"/>
      <c r="AD1000" s="1"/>
      <c r="AE1000" s="1"/>
      <c r="AF1000" s="1"/>
    </row>
    <row r="1001">
      <c r="A1001" s="1"/>
      <c r="B1001" s="2"/>
      <c r="C1001" s="117"/>
      <c r="D1001" s="2"/>
      <c r="E1001" s="2"/>
      <c r="F1001" s="2"/>
      <c r="G1001" s="2"/>
      <c r="H1001" s="2"/>
      <c r="I1001" s="117"/>
      <c r="J1001" s="2"/>
      <c r="K1001" s="2"/>
      <c r="L1001" s="2"/>
      <c r="M1001" s="2"/>
      <c r="N1001" s="2"/>
      <c r="O1001" s="2"/>
      <c r="P1001" s="2"/>
      <c r="Q1001" s="2"/>
      <c r="R1001" s="2"/>
      <c r="S1001" s="2"/>
      <c r="T1001" s="2"/>
      <c r="U1001" s="2"/>
      <c r="V1001" s="1"/>
      <c r="W1001" s="1"/>
      <c r="X1001" s="1"/>
      <c r="Y1001" s="1"/>
      <c r="Z1001" s="1"/>
      <c r="AA1001" s="1"/>
      <c r="AB1001" s="1"/>
      <c r="AC1001" s="1"/>
      <c r="AD1001" s="1"/>
      <c r="AE1001" s="1"/>
      <c r="AF1001" s="1"/>
    </row>
    <row r="1002">
      <c r="A1002" s="1"/>
      <c r="B1002" s="2"/>
      <c r="C1002" s="117"/>
      <c r="D1002" s="2"/>
      <c r="E1002" s="2"/>
      <c r="F1002" s="2"/>
      <c r="G1002" s="2"/>
      <c r="H1002" s="2"/>
      <c r="I1002" s="117"/>
      <c r="J1002" s="2"/>
      <c r="K1002" s="2"/>
      <c r="L1002" s="2"/>
      <c r="M1002" s="2"/>
      <c r="N1002" s="2"/>
      <c r="O1002" s="2"/>
      <c r="P1002" s="2"/>
      <c r="Q1002" s="2"/>
      <c r="R1002" s="2"/>
      <c r="S1002" s="2"/>
      <c r="T1002" s="2"/>
      <c r="U1002" s="2"/>
      <c r="V1002" s="1"/>
      <c r="W1002" s="1"/>
      <c r="X1002" s="1"/>
      <c r="Y1002" s="1"/>
      <c r="Z1002" s="1"/>
      <c r="AA1002" s="1"/>
      <c r="AB1002" s="1"/>
      <c r="AC1002" s="1"/>
      <c r="AD1002" s="1"/>
      <c r="AE1002" s="1"/>
      <c r="AF1002" s="1"/>
    </row>
    <row r="1003">
      <c r="A1003" s="1"/>
      <c r="B1003" s="2"/>
      <c r="C1003" s="117"/>
      <c r="D1003" s="2"/>
      <c r="E1003" s="2"/>
      <c r="F1003" s="2"/>
      <c r="G1003" s="2"/>
      <c r="H1003" s="2"/>
      <c r="I1003" s="117"/>
      <c r="J1003" s="2"/>
      <c r="K1003" s="2"/>
      <c r="L1003" s="2"/>
      <c r="M1003" s="2"/>
      <c r="N1003" s="2"/>
      <c r="O1003" s="2"/>
      <c r="P1003" s="2"/>
      <c r="Q1003" s="2"/>
      <c r="R1003" s="2"/>
      <c r="S1003" s="2"/>
      <c r="T1003" s="2"/>
      <c r="U1003" s="2"/>
      <c r="V1003" s="1"/>
      <c r="W1003" s="1"/>
      <c r="X1003" s="1"/>
      <c r="Y1003" s="1"/>
      <c r="Z1003" s="1"/>
      <c r="AA1003" s="1"/>
      <c r="AB1003" s="1"/>
      <c r="AC1003" s="1"/>
      <c r="AD1003" s="1"/>
      <c r="AE1003" s="1"/>
      <c r="AF1003" s="1"/>
    </row>
    <row r="1004">
      <c r="A1004" s="1"/>
      <c r="B1004" s="2"/>
      <c r="C1004" s="117"/>
      <c r="D1004" s="2"/>
      <c r="E1004" s="2"/>
      <c r="F1004" s="2"/>
      <c r="G1004" s="2"/>
      <c r="H1004" s="2"/>
      <c r="I1004" s="117"/>
      <c r="J1004" s="2"/>
      <c r="K1004" s="2"/>
      <c r="L1004" s="2"/>
      <c r="M1004" s="2"/>
      <c r="N1004" s="2"/>
      <c r="O1004" s="2"/>
      <c r="P1004" s="2"/>
      <c r="Q1004" s="2"/>
      <c r="R1004" s="2"/>
      <c r="S1004" s="2"/>
      <c r="T1004" s="2"/>
      <c r="U1004" s="2"/>
      <c r="V1004" s="1"/>
      <c r="W1004" s="1"/>
      <c r="X1004" s="1"/>
      <c r="Y1004" s="1"/>
      <c r="Z1004" s="1"/>
      <c r="AA1004" s="1"/>
      <c r="AB1004" s="1"/>
      <c r="AC1004" s="1"/>
      <c r="AD1004" s="1"/>
      <c r="AE1004" s="1"/>
      <c r="AF1004" s="1"/>
    </row>
    <row r="1005">
      <c r="A1005" s="1"/>
      <c r="B1005" s="2"/>
      <c r="C1005" s="117"/>
      <c r="D1005" s="2"/>
      <c r="E1005" s="2"/>
      <c r="F1005" s="2"/>
      <c r="G1005" s="2"/>
      <c r="H1005" s="2"/>
      <c r="I1005" s="117"/>
      <c r="J1005" s="2"/>
      <c r="K1005" s="2"/>
      <c r="L1005" s="2"/>
      <c r="M1005" s="2"/>
      <c r="N1005" s="2"/>
      <c r="O1005" s="2"/>
      <c r="P1005" s="2"/>
      <c r="Q1005" s="2"/>
      <c r="R1005" s="2"/>
      <c r="S1005" s="2"/>
      <c r="T1005" s="2"/>
      <c r="U1005" s="2"/>
      <c r="V1005" s="1"/>
      <c r="W1005" s="1"/>
      <c r="X1005" s="1"/>
      <c r="Y1005" s="1"/>
      <c r="Z1005" s="1"/>
      <c r="AA1005" s="1"/>
      <c r="AB1005" s="1"/>
      <c r="AC1005" s="1"/>
      <c r="AD1005" s="1"/>
      <c r="AE1005" s="1"/>
      <c r="AF1005" s="1"/>
    </row>
    <row r="1006">
      <c r="A1006" s="1"/>
      <c r="B1006" s="2"/>
      <c r="C1006" s="117"/>
      <c r="D1006" s="2"/>
      <c r="E1006" s="2"/>
      <c r="F1006" s="2"/>
      <c r="G1006" s="2"/>
      <c r="H1006" s="2"/>
      <c r="I1006" s="117"/>
      <c r="J1006" s="2"/>
      <c r="K1006" s="2"/>
      <c r="L1006" s="2"/>
      <c r="M1006" s="2"/>
      <c r="N1006" s="2"/>
      <c r="O1006" s="2"/>
      <c r="P1006" s="2"/>
      <c r="Q1006" s="2"/>
      <c r="R1006" s="2"/>
      <c r="S1006" s="2"/>
      <c r="T1006" s="2"/>
      <c r="U1006" s="2"/>
      <c r="V1006" s="1"/>
      <c r="W1006" s="1"/>
      <c r="X1006" s="1"/>
      <c r="Y1006" s="1"/>
      <c r="Z1006" s="1"/>
      <c r="AA1006" s="1"/>
      <c r="AB1006" s="1"/>
      <c r="AC1006" s="1"/>
      <c r="AD1006" s="1"/>
      <c r="AE1006" s="1"/>
      <c r="AF1006" s="1"/>
    </row>
    <row r="1007">
      <c r="A1007" s="1"/>
      <c r="B1007" s="2"/>
      <c r="C1007" s="117"/>
      <c r="D1007" s="2"/>
      <c r="E1007" s="2"/>
      <c r="F1007" s="2"/>
      <c r="G1007" s="2"/>
      <c r="H1007" s="2"/>
      <c r="I1007" s="117"/>
      <c r="J1007" s="2"/>
      <c r="K1007" s="2"/>
      <c r="L1007" s="2"/>
      <c r="M1007" s="2"/>
      <c r="N1007" s="2"/>
      <c r="O1007" s="2"/>
      <c r="P1007" s="2"/>
      <c r="Q1007" s="2"/>
      <c r="R1007" s="2"/>
      <c r="S1007" s="2"/>
      <c r="T1007" s="2"/>
      <c r="U1007" s="2"/>
      <c r="V1007" s="1"/>
      <c r="W1007" s="1"/>
      <c r="X1007" s="1"/>
      <c r="Y1007" s="1"/>
      <c r="Z1007" s="1"/>
      <c r="AA1007" s="1"/>
      <c r="AB1007" s="1"/>
      <c r="AC1007" s="1"/>
      <c r="AD1007" s="1"/>
      <c r="AE1007" s="1"/>
      <c r="AF1007" s="1"/>
    </row>
    <row r="1008">
      <c r="A1008" s="1"/>
      <c r="B1008" s="2"/>
      <c r="C1008" s="117"/>
      <c r="D1008" s="2"/>
      <c r="E1008" s="2"/>
      <c r="F1008" s="2"/>
      <c r="G1008" s="2"/>
      <c r="H1008" s="2"/>
      <c r="I1008" s="117"/>
      <c r="J1008" s="2"/>
      <c r="K1008" s="2"/>
      <c r="L1008" s="2"/>
      <c r="M1008" s="2"/>
      <c r="N1008" s="2"/>
      <c r="O1008" s="2"/>
      <c r="P1008" s="2"/>
      <c r="Q1008" s="2"/>
      <c r="R1008" s="2"/>
      <c r="S1008" s="2"/>
      <c r="T1008" s="2"/>
      <c r="U1008" s="2"/>
      <c r="V1008" s="1"/>
      <c r="W1008" s="1"/>
      <c r="X1008" s="1"/>
      <c r="Y1008" s="1"/>
      <c r="Z1008" s="1"/>
      <c r="AA1008" s="1"/>
      <c r="AB1008" s="1"/>
      <c r="AC1008" s="1"/>
      <c r="AD1008" s="1"/>
      <c r="AE1008" s="1"/>
      <c r="AF1008" s="1"/>
    </row>
    <row r="1009">
      <c r="A1009" s="1"/>
      <c r="B1009" s="2"/>
      <c r="C1009" s="117"/>
      <c r="D1009" s="2"/>
      <c r="E1009" s="2"/>
      <c r="F1009" s="2"/>
      <c r="G1009" s="2"/>
      <c r="H1009" s="2"/>
      <c r="I1009" s="117"/>
      <c r="J1009" s="2"/>
      <c r="K1009" s="2"/>
      <c r="L1009" s="2"/>
      <c r="M1009" s="2"/>
      <c r="N1009" s="2"/>
      <c r="O1009" s="2"/>
      <c r="P1009" s="2"/>
      <c r="Q1009" s="2"/>
      <c r="R1009" s="2"/>
      <c r="S1009" s="2"/>
      <c r="T1009" s="2"/>
      <c r="U1009" s="2"/>
      <c r="V1009" s="1"/>
      <c r="W1009" s="1"/>
      <c r="X1009" s="1"/>
      <c r="Y1009" s="1"/>
      <c r="Z1009" s="1"/>
      <c r="AA1009" s="1"/>
      <c r="AB1009" s="1"/>
      <c r="AC1009" s="1"/>
      <c r="AD1009" s="1"/>
      <c r="AE1009" s="1"/>
      <c r="AF1009" s="1"/>
    </row>
    <row r="1010">
      <c r="A1010" s="1"/>
      <c r="B1010" s="2"/>
      <c r="C1010" s="117"/>
      <c r="D1010" s="2"/>
      <c r="E1010" s="2"/>
      <c r="F1010" s="2"/>
      <c r="G1010" s="2"/>
      <c r="H1010" s="2"/>
      <c r="I1010" s="117"/>
      <c r="J1010" s="2"/>
      <c r="K1010" s="2"/>
      <c r="L1010" s="2"/>
      <c r="M1010" s="2"/>
      <c r="N1010" s="2"/>
      <c r="O1010" s="2"/>
      <c r="P1010" s="2"/>
      <c r="Q1010" s="2"/>
      <c r="R1010" s="2"/>
      <c r="S1010" s="2"/>
      <c r="T1010" s="2"/>
      <c r="U1010" s="2"/>
      <c r="V1010" s="1"/>
      <c r="W1010" s="1"/>
      <c r="X1010" s="1"/>
      <c r="Y1010" s="1"/>
      <c r="Z1010" s="1"/>
      <c r="AA1010" s="1"/>
      <c r="AB1010" s="1"/>
      <c r="AC1010" s="1"/>
      <c r="AD1010" s="1"/>
      <c r="AE1010" s="1"/>
      <c r="AF1010" s="1"/>
    </row>
    <row r="1011">
      <c r="A1011" s="1"/>
      <c r="B1011" s="2"/>
      <c r="C1011" s="117"/>
      <c r="D1011" s="2"/>
      <c r="E1011" s="2"/>
      <c r="F1011" s="2"/>
      <c r="G1011" s="2"/>
      <c r="H1011" s="2"/>
      <c r="I1011" s="117"/>
      <c r="J1011" s="2"/>
      <c r="K1011" s="2"/>
      <c r="L1011" s="2"/>
      <c r="M1011" s="2"/>
      <c r="N1011" s="2"/>
      <c r="O1011" s="2"/>
      <c r="P1011" s="2"/>
      <c r="Q1011" s="2"/>
      <c r="R1011" s="2"/>
      <c r="S1011" s="2"/>
      <c r="T1011" s="2"/>
      <c r="U1011" s="2"/>
      <c r="V1011" s="1"/>
      <c r="W1011" s="1"/>
      <c r="X1011" s="1"/>
      <c r="Y1011" s="1"/>
      <c r="Z1011" s="1"/>
      <c r="AA1011" s="1"/>
      <c r="AB1011" s="1"/>
      <c r="AC1011" s="1"/>
      <c r="AD1011" s="1"/>
      <c r="AE1011" s="1"/>
      <c r="AF1011" s="1"/>
    </row>
    <row r="1012">
      <c r="A1012" s="1"/>
      <c r="B1012" s="2"/>
      <c r="C1012" s="117"/>
      <c r="D1012" s="2"/>
      <c r="E1012" s="2"/>
      <c r="F1012" s="2"/>
      <c r="G1012" s="2"/>
      <c r="H1012" s="2"/>
      <c r="I1012" s="117"/>
      <c r="J1012" s="2"/>
      <c r="K1012" s="2"/>
      <c r="L1012" s="2"/>
      <c r="M1012" s="2"/>
      <c r="N1012" s="2"/>
      <c r="O1012" s="2"/>
      <c r="P1012" s="2"/>
      <c r="Q1012" s="2"/>
      <c r="R1012" s="2"/>
      <c r="S1012" s="2"/>
      <c r="T1012" s="2"/>
      <c r="U1012" s="2"/>
      <c r="V1012" s="1"/>
      <c r="W1012" s="1"/>
      <c r="X1012" s="1"/>
      <c r="Y1012" s="1"/>
      <c r="Z1012" s="1"/>
      <c r="AA1012" s="1"/>
      <c r="AB1012" s="1"/>
      <c r="AC1012" s="1"/>
      <c r="AD1012" s="1"/>
      <c r="AE1012" s="1"/>
      <c r="AF1012" s="1"/>
    </row>
    <row r="1013">
      <c r="A1013" s="1"/>
      <c r="B1013" s="2"/>
      <c r="C1013" s="117"/>
      <c r="D1013" s="2"/>
      <c r="E1013" s="2"/>
      <c r="F1013" s="2"/>
      <c r="G1013" s="2"/>
      <c r="H1013" s="2"/>
      <c r="I1013" s="117"/>
      <c r="J1013" s="2"/>
      <c r="K1013" s="2"/>
      <c r="L1013" s="2"/>
      <c r="M1013" s="2"/>
      <c r="N1013" s="2"/>
      <c r="O1013" s="2"/>
      <c r="P1013" s="2"/>
      <c r="Q1013" s="2"/>
      <c r="R1013" s="2"/>
      <c r="S1013" s="2"/>
      <c r="T1013" s="2"/>
      <c r="U1013" s="2"/>
      <c r="V1013" s="1"/>
      <c r="W1013" s="1"/>
      <c r="X1013" s="1"/>
      <c r="Y1013" s="1"/>
      <c r="Z1013" s="1"/>
      <c r="AA1013" s="1"/>
      <c r="AB1013" s="1"/>
      <c r="AC1013" s="1"/>
      <c r="AD1013" s="1"/>
      <c r="AE1013" s="1"/>
      <c r="AF1013" s="1"/>
    </row>
    <row r="1014">
      <c r="A1014" s="1"/>
      <c r="B1014" s="2"/>
      <c r="C1014" s="117"/>
      <c r="D1014" s="2"/>
      <c r="E1014" s="2"/>
      <c r="F1014" s="2"/>
      <c r="G1014" s="2"/>
      <c r="H1014" s="2"/>
      <c r="I1014" s="117"/>
      <c r="J1014" s="2"/>
      <c r="K1014" s="2"/>
      <c r="L1014" s="2"/>
      <c r="M1014" s="2"/>
      <c r="N1014" s="2"/>
      <c r="O1014" s="2"/>
      <c r="P1014" s="2"/>
      <c r="Q1014" s="2"/>
      <c r="R1014" s="2"/>
      <c r="S1014" s="2"/>
      <c r="T1014" s="2"/>
      <c r="U1014" s="2"/>
      <c r="V1014" s="1"/>
      <c r="W1014" s="1"/>
      <c r="X1014" s="1"/>
      <c r="Y1014" s="1"/>
      <c r="Z1014" s="1"/>
      <c r="AA1014" s="1"/>
      <c r="AB1014" s="1"/>
      <c r="AC1014" s="1"/>
      <c r="AD1014" s="1"/>
      <c r="AE1014" s="1"/>
      <c r="AF1014" s="1"/>
    </row>
  </sheetData>
  <mergeCells count="451">
    <mergeCell ref="I45:L45"/>
    <mergeCell ref="M45:N45"/>
    <mergeCell ref="P45:S45"/>
    <mergeCell ref="T45:U45"/>
    <mergeCell ref="M46:N46"/>
    <mergeCell ref="P46:S46"/>
    <mergeCell ref="T46:U46"/>
    <mergeCell ref="I46:L46"/>
    <mergeCell ref="I47:L47"/>
    <mergeCell ref="M47:N47"/>
    <mergeCell ref="P47:S47"/>
    <mergeCell ref="T47:U47"/>
    <mergeCell ref="I48:L48"/>
    <mergeCell ref="M48:N48"/>
    <mergeCell ref="I37:L37"/>
    <mergeCell ref="M37:N37"/>
    <mergeCell ref="P37:S37"/>
    <mergeCell ref="T37:U37"/>
    <mergeCell ref="M38:N38"/>
    <mergeCell ref="P38:S38"/>
    <mergeCell ref="T38:U38"/>
    <mergeCell ref="I38:L38"/>
    <mergeCell ref="I39:L39"/>
    <mergeCell ref="M39:N39"/>
    <mergeCell ref="P39:S39"/>
    <mergeCell ref="T39:U39"/>
    <mergeCell ref="I40:L40"/>
    <mergeCell ref="M40:N40"/>
    <mergeCell ref="I41:L41"/>
    <mergeCell ref="M41:N41"/>
    <mergeCell ref="P41:S41"/>
    <mergeCell ref="T41:U41"/>
    <mergeCell ref="M42:N42"/>
    <mergeCell ref="P42:S42"/>
    <mergeCell ref="T42:U42"/>
    <mergeCell ref="P44:S44"/>
    <mergeCell ref="T44:U44"/>
    <mergeCell ref="I42:L42"/>
    <mergeCell ref="I43:L43"/>
    <mergeCell ref="M43:N43"/>
    <mergeCell ref="P43:S43"/>
    <mergeCell ref="T43:U43"/>
    <mergeCell ref="I44:L44"/>
    <mergeCell ref="M44:N44"/>
    <mergeCell ref="P48:S48"/>
    <mergeCell ref="T48:U48"/>
    <mergeCell ref="I49:L49"/>
    <mergeCell ref="M49:N49"/>
    <mergeCell ref="P49:S49"/>
    <mergeCell ref="T49:U49"/>
    <mergeCell ref="P25:S25"/>
    <mergeCell ref="P26:S26"/>
    <mergeCell ref="T26:U26"/>
    <mergeCell ref="P21:S21"/>
    <mergeCell ref="P22:S22"/>
    <mergeCell ref="P23:S23"/>
    <mergeCell ref="T23:U23"/>
    <mergeCell ref="P24:S24"/>
    <mergeCell ref="T24:U24"/>
    <mergeCell ref="T25:U25"/>
    <mergeCell ref="I25:L25"/>
    <mergeCell ref="I26:L26"/>
    <mergeCell ref="M26:N26"/>
    <mergeCell ref="I27:L27"/>
    <mergeCell ref="M27:N27"/>
    <mergeCell ref="P27:S27"/>
    <mergeCell ref="T27:U27"/>
    <mergeCell ref="I28:L28"/>
    <mergeCell ref="M28:N28"/>
    <mergeCell ref="P28:S28"/>
    <mergeCell ref="T28:U28"/>
    <mergeCell ref="M29:N29"/>
    <mergeCell ref="P29:S29"/>
    <mergeCell ref="T29:U29"/>
    <mergeCell ref="P31:S31"/>
    <mergeCell ref="T31:U31"/>
    <mergeCell ref="I29:L29"/>
    <mergeCell ref="I30:L30"/>
    <mergeCell ref="M30:N30"/>
    <mergeCell ref="P30:S30"/>
    <mergeCell ref="T30:U30"/>
    <mergeCell ref="I31:L31"/>
    <mergeCell ref="M31:N31"/>
    <mergeCell ref="M34:N34"/>
    <mergeCell ref="P34:S34"/>
    <mergeCell ref="I32:L32"/>
    <mergeCell ref="M32:N32"/>
    <mergeCell ref="P32:S32"/>
    <mergeCell ref="T32:U32"/>
    <mergeCell ref="I33:L33"/>
    <mergeCell ref="M33:N33"/>
    <mergeCell ref="T34:U34"/>
    <mergeCell ref="P36:S36"/>
    <mergeCell ref="T36:U36"/>
    <mergeCell ref="I34:L34"/>
    <mergeCell ref="I35:L35"/>
    <mergeCell ref="M35:N35"/>
    <mergeCell ref="P35:S35"/>
    <mergeCell ref="T35:U35"/>
    <mergeCell ref="I36:L36"/>
    <mergeCell ref="M36:N36"/>
    <mergeCell ref="B43:E43"/>
    <mergeCell ref="B44:E44"/>
    <mergeCell ref="F44:G44"/>
    <mergeCell ref="B45:E45"/>
    <mergeCell ref="F45:G45"/>
    <mergeCell ref="B46:E46"/>
    <mergeCell ref="F46:G46"/>
    <mergeCell ref="B47:E47"/>
    <mergeCell ref="F47:G47"/>
    <mergeCell ref="B48:E48"/>
    <mergeCell ref="F48:G48"/>
    <mergeCell ref="B49:E49"/>
    <mergeCell ref="F49:G49"/>
    <mergeCell ref="B50:E50"/>
    <mergeCell ref="P52:S52"/>
    <mergeCell ref="T52:U52"/>
    <mergeCell ref="M53:N53"/>
    <mergeCell ref="P53:S53"/>
    <mergeCell ref="T53:U53"/>
    <mergeCell ref="M54:N54"/>
    <mergeCell ref="P54:S54"/>
    <mergeCell ref="T54:U54"/>
    <mergeCell ref="M50:N50"/>
    <mergeCell ref="P50:S50"/>
    <mergeCell ref="T50:U50"/>
    <mergeCell ref="M51:N51"/>
    <mergeCell ref="P51:S51"/>
    <mergeCell ref="T51:U51"/>
    <mergeCell ref="M52:N52"/>
    <mergeCell ref="F50:G50"/>
    <mergeCell ref="I50:L50"/>
    <mergeCell ref="B51:E51"/>
    <mergeCell ref="F51:G51"/>
    <mergeCell ref="I51:L51"/>
    <mergeCell ref="F52:G52"/>
    <mergeCell ref="I52:L52"/>
    <mergeCell ref="B52:E52"/>
    <mergeCell ref="B53:E53"/>
    <mergeCell ref="F53:G53"/>
    <mergeCell ref="I53:L53"/>
    <mergeCell ref="B54:E54"/>
    <mergeCell ref="F54:G54"/>
    <mergeCell ref="I54:L54"/>
    <mergeCell ref="B55:E55"/>
    <mergeCell ref="F55:G55"/>
    <mergeCell ref="M55:N55"/>
    <mergeCell ref="T55:U55"/>
    <mergeCell ref="B56:E56"/>
    <mergeCell ref="F56:G56"/>
    <mergeCell ref="M56:N56"/>
    <mergeCell ref="T56:U56"/>
    <mergeCell ref="M58:N58"/>
    <mergeCell ref="M59:N59"/>
    <mergeCell ref="M60:N60"/>
    <mergeCell ref="P55:S55"/>
    <mergeCell ref="P56:S56"/>
    <mergeCell ref="M57:N57"/>
    <mergeCell ref="P57:S57"/>
    <mergeCell ref="T57:U57"/>
    <mergeCell ref="P58:S58"/>
    <mergeCell ref="T58:U58"/>
    <mergeCell ref="P59:S59"/>
    <mergeCell ref="T59:U59"/>
    <mergeCell ref="P60:S60"/>
    <mergeCell ref="T60:U60"/>
    <mergeCell ref="P61:S61"/>
    <mergeCell ref="T61:U61"/>
    <mergeCell ref="T62:U62"/>
    <mergeCell ref="P62:S62"/>
    <mergeCell ref="P63:S63"/>
    <mergeCell ref="T63:U63"/>
    <mergeCell ref="P64:S64"/>
    <mergeCell ref="T64:U64"/>
    <mergeCell ref="P65:S65"/>
    <mergeCell ref="T65:U65"/>
    <mergeCell ref="P66:S66"/>
    <mergeCell ref="T66:U66"/>
    <mergeCell ref="P67:S67"/>
    <mergeCell ref="T67:U67"/>
    <mergeCell ref="P68:S68"/>
    <mergeCell ref="T68:U68"/>
    <mergeCell ref="T69:U69"/>
    <mergeCell ref="P69:S69"/>
    <mergeCell ref="P70:S70"/>
    <mergeCell ref="T70:U70"/>
    <mergeCell ref="P71:S71"/>
    <mergeCell ref="T71:U71"/>
    <mergeCell ref="P72:S72"/>
    <mergeCell ref="T72:U72"/>
    <mergeCell ref="I55:L55"/>
    <mergeCell ref="I56:L56"/>
    <mergeCell ref="B57:E57"/>
    <mergeCell ref="F57:G57"/>
    <mergeCell ref="I57:L57"/>
    <mergeCell ref="F58:G58"/>
    <mergeCell ref="I58:L58"/>
    <mergeCell ref="B58:E58"/>
    <mergeCell ref="B59:E59"/>
    <mergeCell ref="F59:G59"/>
    <mergeCell ref="I59:L59"/>
    <mergeCell ref="B60:E60"/>
    <mergeCell ref="F60:G60"/>
    <mergeCell ref="I60:L60"/>
    <mergeCell ref="I61:L61"/>
    <mergeCell ref="M61:N61"/>
    <mergeCell ref="I62:L62"/>
    <mergeCell ref="M62:N62"/>
    <mergeCell ref="I63:L63"/>
    <mergeCell ref="M63:N63"/>
    <mergeCell ref="M64:N64"/>
    <mergeCell ref="I64:L64"/>
    <mergeCell ref="I65:L65"/>
    <mergeCell ref="M65:N65"/>
    <mergeCell ref="I66:L66"/>
    <mergeCell ref="M66:N66"/>
    <mergeCell ref="I67:L67"/>
    <mergeCell ref="M67:N67"/>
    <mergeCell ref="I68:L68"/>
    <mergeCell ref="M68:N68"/>
    <mergeCell ref="I69:L69"/>
    <mergeCell ref="M69:N69"/>
    <mergeCell ref="I70:L70"/>
    <mergeCell ref="M70:N70"/>
    <mergeCell ref="M71:N71"/>
    <mergeCell ref="I71:L71"/>
    <mergeCell ref="I72:L72"/>
    <mergeCell ref="M72:N72"/>
    <mergeCell ref="I73:L73"/>
    <mergeCell ref="M73:N73"/>
    <mergeCell ref="I74:L74"/>
    <mergeCell ref="M74:N74"/>
    <mergeCell ref="I82:L82"/>
    <mergeCell ref="M82:N82"/>
    <mergeCell ref="P82:S82"/>
    <mergeCell ref="T82:U82"/>
    <mergeCell ref="F4:G4"/>
    <mergeCell ref="H4:I4"/>
    <mergeCell ref="J4:K4"/>
    <mergeCell ref="L4:M4"/>
    <mergeCell ref="N4:O4"/>
    <mergeCell ref="P4:Q4"/>
    <mergeCell ref="B2:B3"/>
    <mergeCell ref="D2:H2"/>
    <mergeCell ref="I2:Q2"/>
    <mergeCell ref="N3:O3"/>
    <mergeCell ref="B4:B19"/>
    <mergeCell ref="C4:C19"/>
    <mergeCell ref="D4:E4"/>
    <mergeCell ref="B21:E21"/>
    <mergeCell ref="F21:G21"/>
    <mergeCell ref="M21:N21"/>
    <mergeCell ref="T21:U21"/>
    <mergeCell ref="F22:G22"/>
    <mergeCell ref="M22:N22"/>
    <mergeCell ref="T22:U22"/>
    <mergeCell ref="I21:L21"/>
    <mergeCell ref="I22:L22"/>
    <mergeCell ref="I23:L23"/>
    <mergeCell ref="M23:N23"/>
    <mergeCell ref="I24:L24"/>
    <mergeCell ref="M24:N24"/>
    <mergeCell ref="M25:N25"/>
    <mergeCell ref="P40:S40"/>
    <mergeCell ref="T40:U40"/>
    <mergeCell ref="B61:E61"/>
    <mergeCell ref="F61:G61"/>
    <mergeCell ref="B62:E62"/>
    <mergeCell ref="F62:G62"/>
    <mergeCell ref="B63:E63"/>
    <mergeCell ref="F63:G63"/>
    <mergeCell ref="F64:G64"/>
    <mergeCell ref="B64:E64"/>
    <mergeCell ref="B65:E65"/>
    <mergeCell ref="F65:G65"/>
    <mergeCell ref="B66:E66"/>
    <mergeCell ref="F66:G66"/>
    <mergeCell ref="B67:E67"/>
    <mergeCell ref="F67:G67"/>
    <mergeCell ref="B68:E68"/>
    <mergeCell ref="F68:G68"/>
    <mergeCell ref="B69:E69"/>
    <mergeCell ref="F69:G69"/>
    <mergeCell ref="B70:E70"/>
    <mergeCell ref="F70:G70"/>
    <mergeCell ref="F71:G71"/>
    <mergeCell ref="B71:E71"/>
    <mergeCell ref="B72:E72"/>
    <mergeCell ref="F72:G72"/>
    <mergeCell ref="B73:E73"/>
    <mergeCell ref="F73:G73"/>
    <mergeCell ref="B74:E74"/>
    <mergeCell ref="F74:G74"/>
    <mergeCell ref="P73:S73"/>
    <mergeCell ref="T73:U73"/>
    <mergeCell ref="P74:S74"/>
    <mergeCell ref="T74:U74"/>
    <mergeCell ref="P75:S75"/>
    <mergeCell ref="T75:U75"/>
    <mergeCell ref="T76:U76"/>
    <mergeCell ref="P76:S76"/>
    <mergeCell ref="P77:S77"/>
    <mergeCell ref="T77:U77"/>
    <mergeCell ref="P78:S78"/>
    <mergeCell ref="T78:U78"/>
    <mergeCell ref="P79:S79"/>
    <mergeCell ref="T79:U79"/>
    <mergeCell ref="P80:S80"/>
    <mergeCell ref="T80:U80"/>
    <mergeCell ref="P81:S81"/>
    <mergeCell ref="T81:U81"/>
    <mergeCell ref="P83:S83"/>
    <mergeCell ref="T83:U83"/>
    <mergeCell ref="T84:U84"/>
    <mergeCell ref="P84:S84"/>
    <mergeCell ref="P85:S85"/>
    <mergeCell ref="T85:U85"/>
    <mergeCell ref="P86:S86"/>
    <mergeCell ref="T86:U86"/>
    <mergeCell ref="P87:S87"/>
    <mergeCell ref="T87:U87"/>
    <mergeCell ref="P88:S88"/>
    <mergeCell ref="T88:U88"/>
    <mergeCell ref="P89:S89"/>
    <mergeCell ref="T89:U89"/>
    <mergeCell ref="P90:S90"/>
    <mergeCell ref="T90:U90"/>
    <mergeCell ref="T91:U91"/>
    <mergeCell ref="P95:S95"/>
    <mergeCell ref="T95:U95"/>
    <mergeCell ref="P91:S91"/>
    <mergeCell ref="P92:S92"/>
    <mergeCell ref="T92:U92"/>
    <mergeCell ref="P93:S93"/>
    <mergeCell ref="T93:U93"/>
    <mergeCell ref="P94:S94"/>
    <mergeCell ref="T94:U94"/>
    <mergeCell ref="B75:E75"/>
    <mergeCell ref="F75:G75"/>
    <mergeCell ref="B76:E76"/>
    <mergeCell ref="F76:G76"/>
    <mergeCell ref="B77:E77"/>
    <mergeCell ref="F77:G77"/>
    <mergeCell ref="F78:G78"/>
    <mergeCell ref="B78:E78"/>
    <mergeCell ref="B79:E79"/>
    <mergeCell ref="F79:G79"/>
    <mergeCell ref="B80:E80"/>
    <mergeCell ref="F80:G80"/>
    <mergeCell ref="B81:E81"/>
    <mergeCell ref="F81:G81"/>
    <mergeCell ref="B22:E22"/>
    <mergeCell ref="B23:E23"/>
    <mergeCell ref="F23:G23"/>
    <mergeCell ref="B24:E24"/>
    <mergeCell ref="F24:G24"/>
    <mergeCell ref="B25:E25"/>
    <mergeCell ref="F25:G25"/>
    <mergeCell ref="B26:E26"/>
    <mergeCell ref="F26:G26"/>
    <mergeCell ref="B27:E27"/>
    <mergeCell ref="F27:G27"/>
    <mergeCell ref="B28:E28"/>
    <mergeCell ref="F28:G28"/>
    <mergeCell ref="F29:G29"/>
    <mergeCell ref="B29:E29"/>
    <mergeCell ref="B30:E30"/>
    <mergeCell ref="F30:G30"/>
    <mergeCell ref="B31:E31"/>
    <mergeCell ref="F31:G31"/>
    <mergeCell ref="B32:E32"/>
    <mergeCell ref="F32:G32"/>
    <mergeCell ref="B33:E33"/>
    <mergeCell ref="F33:G33"/>
    <mergeCell ref="B34:E34"/>
    <mergeCell ref="F34:G34"/>
    <mergeCell ref="B35:E35"/>
    <mergeCell ref="F35:G35"/>
    <mergeCell ref="F36:G36"/>
    <mergeCell ref="B36:E36"/>
    <mergeCell ref="B37:E37"/>
    <mergeCell ref="F37:G37"/>
    <mergeCell ref="B38:E38"/>
    <mergeCell ref="F38:G38"/>
    <mergeCell ref="B39:E39"/>
    <mergeCell ref="F39:G39"/>
    <mergeCell ref="B40:E40"/>
    <mergeCell ref="F40:G40"/>
    <mergeCell ref="B41:E41"/>
    <mergeCell ref="F41:G41"/>
    <mergeCell ref="B42:E42"/>
    <mergeCell ref="F42:G42"/>
    <mergeCell ref="F43:G43"/>
    <mergeCell ref="B85:E85"/>
    <mergeCell ref="B86:E86"/>
    <mergeCell ref="F86:G86"/>
    <mergeCell ref="B82:E82"/>
    <mergeCell ref="F82:G82"/>
    <mergeCell ref="B83:E83"/>
    <mergeCell ref="F83:G83"/>
    <mergeCell ref="B84:E84"/>
    <mergeCell ref="F84:G84"/>
    <mergeCell ref="F85:G85"/>
    <mergeCell ref="I75:L75"/>
    <mergeCell ref="M75:N75"/>
    <mergeCell ref="I76:L76"/>
    <mergeCell ref="M76:N76"/>
    <mergeCell ref="I77:L77"/>
    <mergeCell ref="M77:N77"/>
    <mergeCell ref="M78:N78"/>
    <mergeCell ref="I78:L78"/>
    <mergeCell ref="I79:L79"/>
    <mergeCell ref="M79:N79"/>
    <mergeCell ref="I80:L80"/>
    <mergeCell ref="M80:N80"/>
    <mergeCell ref="I81:L81"/>
    <mergeCell ref="M81:N81"/>
    <mergeCell ref="I83:L83"/>
    <mergeCell ref="M83:N83"/>
    <mergeCell ref="I84:L84"/>
    <mergeCell ref="M84:N84"/>
    <mergeCell ref="I85:L85"/>
    <mergeCell ref="M85:N85"/>
    <mergeCell ref="M86:N86"/>
    <mergeCell ref="I86:L86"/>
    <mergeCell ref="I87:L87"/>
    <mergeCell ref="M87:N87"/>
    <mergeCell ref="I88:L88"/>
    <mergeCell ref="M88:N88"/>
    <mergeCell ref="I89:L89"/>
    <mergeCell ref="M89:N89"/>
    <mergeCell ref="I90:L90"/>
    <mergeCell ref="M90:N90"/>
    <mergeCell ref="I91:L91"/>
    <mergeCell ref="M91:N91"/>
    <mergeCell ref="I92:L92"/>
    <mergeCell ref="M92:N92"/>
    <mergeCell ref="M93:N93"/>
    <mergeCell ref="I97:L97"/>
    <mergeCell ref="M97:N97"/>
    <mergeCell ref="I98:L98"/>
    <mergeCell ref="M98:N98"/>
    <mergeCell ref="I99:L99"/>
    <mergeCell ref="M99:N99"/>
    <mergeCell ref="I93:L93"/>
    <mergeCell ref="I94:L94"/>
    <mergeCell ref="M94:N94"/>
    <mergeCell ref="I95:L95"/>
    <mergeCell ref="M95:N95"/>
    <mergeCell ref="I96:L96"/>
    <mergeCell ref="M96:N96"/>
  </mergeCells>
  <hyperlinks>
    <hyperlink r:id="rId1" location="gid=951701991" ref="D4"/>
    <hyperlink r:id="rId2" location="gid=951701991" ref="F4"/>
    <hyperlink r:id="rId3" location="gid=951701991" ref="H4"/>
    <hyperlink r:id="rId4" location="gid=951701991" ref="J4"/>
    <hyperlink display="DVT" location="null!A1" ref="L4"/>
    <hyperlink r:id="rId5" location="gid=299336447&amp;range=A2" ref="B22"/>
    <hyperlink r:id="rId6" ref="F22"/>
    <hyperlink r:id="rId7" location="gid=1691539602&amp;range=A2" ref="I22"/>
    <hyperlink r:id="rId8" ref="M22"/>
    <hyperlink r:id="rId9" location="gid=93886256&amp;range=E4" ref="P22"/>
    <hyperlink r:id="rId10" ref="T22"/>
    <hyperlink r:id="rId11" location="gid=413440144&amp;range=A18" ref="B23"/>
    <hyperlink r:id="rId12" ref="F23"/>
    <hyperlink r:id="rId13" location="gid=587091500&amp;range=A2" ref="I23"/>
    <hyperlink r:id="rId14" ref="M23"/>
    <hyperlink r:id="rId15" ref="P23"/>
    <hyperlink r:id="rId16" location="gid=1484223341&amp;range=A1" ref="B24"/>
    <hyperlink r:id="rId17" ref="F24"/>
    <hyperlink r:id="rId18" ref="M24"/>
    <hyperlink r:id="rId19" location="gid=149797225&amp;range=A3" ref="B25"/>
    <hyperlink r:id="rId20" ref="F25"/>
    <hyperlink r:id="rId21" ref="M25"/>
    <hyperlink r:id="rId22" ref="M26"/>
    <hyperlink r:id="rId23" location="gid=1763328259&amp;range=A4" ref="P26"/>
    <hyperlink r:id="rId24" ref="T26"/>
    <hyperlink r:id="rId25" location="gid=1816402141" ref="B27"/>
    <hyperlink r:id="rId26" ref="F27"/>
    <hyperlink r:id="rId27" location="gid=1763328259&amp;range=A4" ref="P27"/>
    <hyperlink r:id="rId28" ref="T27"/>
    <hyperlink r:id="rId29" location="gid=38555862&amp;range=B1" ref="B28"/>
    <hyperlink r:id="rId30" ref="F28"/>
    <hyperlink r:id="rId31" location="gid=858771475" ref="I28"/>
    <hyperlink r:id="rId32" ref="M28"/>
    <hyperlink r:id="rId33" location="gid=488190159&amp;range=C11" ref="B29"/>
    <hyperlink r:id="rId34" ref="F29"/>
    <hyperlink r:id="rId35" location="gid=857825124&amp;range=B3:B4" ref="P29"/>
    <hyperlink r:id="rId36" ref="T29"/>
    <hyperlink display="[EXT]  FL5 LH Line Qual Ramp Master Chart Share with FIH" location="'FL5_MP POR_POR Link'!B30:E30" ref="B30"/>
    <hyperlink r:id="rId37" ref="F30"/>
    <hyperlink r:id="rId38" location="gid=2042488652&amp;range=AU8" ref="I30"/>
    <hyperlink r:id="rId39" ref="M30"/>
    <hyperlink r:id="rId40" location="gid=857825124&amp;range=B3:B4" ref="P30"/>
    <hyperlink r:id="rId41" ref="T30"/>
    <hyperlink r:id="rId42" location="gid=36186494&amp;range=A1" ref="I31"/>
    <hyperlink r:id="rId43" ref="M31"/>
    <hyperlink r:id="rId44" location="gid=857825124&amp;range=B3:B4" ref="P31"/>
    <hyperlink r:id="rId45" ref="T31"/>
    <hyperlink r:id="rId46" location="gid=625196473&amp;range=A1" ref="I32"/>
    <hyperlink r:id="rId47" ref="M32"/>
    <hyperlink r:id="rId48" location="gid=1763328259" ref="P34"/>
    <hyperlink r:id="rId49" location="gid=656591904&amp;range=A4" ref="P35"/>
    <hyperlink r:id="rId50" ref="T35"/>
    <hyperlink r:id="rId51" location="gid=1763328259&amp;range=A4" ref="P37"/>
    <hyperlink r:id="rId52" location="gid=1763328259&amp;range=A3" ref="P38"/>
    <hyperlink r:id="rId53" ref="T38"/>
    <hyperlink r:id="rId54" location="gid=1695630043&amp;range=A2" ref="B39"/>
    <hyperlink r:id="rId55" location="gid=1969693661" ref="P39"/>
    <hyperlink r:id="rId56" location="gid=382034054" ref="B40"/>
    <hyperlink r:id="rId57" location="gid=144700409" ref="P40"/>
    <hyperlink r:id="rId58" ref="P41"/>
    <hyperlink r:id="rId59" location="gid=587551114" ref="P42"/>
    <hyperlink r:id="rId60" location="gid=0" ref="P43"/>
    <hyperlink r:id="rId61" location="gid=0" ref="P44"/>
    <hyperlink r:id="rId62" ref="P46"/>
    <hyperlink r:id="rId63" location="gid=1674874785" ref="P47"/>
    <hyperlink r:id="rId64" location="gid=0" ref="P48"/>
    <hyperlink r:id="rId65" ref="P49"/>
    <hyperlink r:id="rId66" location="slide=id.p" ref="P50"/>
    <hyperlink r:id="rId67" location="slide=id.g2779d2668d8_0_84" ref="B59"/>
    <hyperlink r:id="rId68" ref="P59"/>
    <hyperlink r:id="rId69" ref="B60"/>
    <hyperlink r:id="rId70" location="slide=id.g28d4cfc7180_0_0" ref="P60"/>
    <hyperlink r:id="rId71" location="slide=id.g1ab2f201c5d_0_0" ref="B61"/>
    <hyperlink r:id="rId72" location="slide=id.g2c17f1bd11c_0_0" ref="P61"/>
    <hyperlink r:id="rId73" ref="B62"/>
    <hyperlink r:id="rId74" location="gid=1662705764" ref="B63"/>
    <hyperlink r:id="rId75" location="gid=0" ref="B64"/>
    <hyperlink r:id="rId76" location="gid=0" ref="B65"/>
    <hyperlink r:id="rId77" location="slide=id.gfc66eeee76_0_62" ref="B66"/>
    <hyperlink r:id="rId78" location="slide=id.g2259c476806_0_35" ref="B67"/>
    <hyperlink r:id="rId79" location="slide=id.g223d5fb8b77_0_147" ref="B68"/>
    <hyperlink r:id="rId80" location="slide=id.g250cbea17da_0_0" ref="B69"/>
    <hyperlink r:id="rId81" location="slide=id.g264dca732aa_72_0" ref="B70"/>
    <hyperlink r:id="rId82" location="gid=1806406952" ref="B71"/>
    <hyperlink r:id="rId83" location="slide=id.ga660d69f94_0_22" ref="B76"/>
    <hyperlink r:id="rId84" location="slide=id.g12f0f786894_0_5" ref="P76"/>
    <hyperlink r:id="rId85" location="gid=0" ref="B77"/>
    <hyperlink r:id="rId86" ref="P77"/>
    <hyperlink r:id="rId87" location="gid=1774693634" ref="B78"/>
    <hyperlink r:id="rId88" location="gid=326817119" ref="P78"/>
    <hyperlink r:id="rId89" location="gid=1541368893" ref="P79"/>
    <hyperlink r:id="rId90" location="gid=1693020370" ref="B80"/>
    <hyperlink r:id="rId91" location="gid=1773373670" ref="P80"/>
    <hyperlink r:id="rId92" ref="B81"/>
    <hyperlink r:id="rId93" ref="P81"/>
    <hyperlink r:id="rId94" location="gid=1026056921" ref="B82"/>
    <hyperlink r:id="rId95" ref="P82"/>
    <hyperlink r:id="rId96" location="gid=2007472972" ref="B83"/>
    <hyperlink r:id="rId97" location="gid=1430626586" ref="P83"/>
    <hyperlink r:id="rId98" location="gid=1427080849" ref="P84"/>
    <hyperlink r:id="rId99" location="slide=id.g1287358817d_6_6" ref="P85"/>
    <hyperlink r:id="rId100" location="gid=2034879225" ref="P86"/>
    <hyperlink r:id="rId101" location="gid=384378335" ref="P87"/>
    <hyperlink r:id="rId102" location="gid=144700409" ref="P88"/>
    <hyperlink r:id="rId103" ref="P89"/>
    <hyperlink r:id="rId104" location="gid=0" ref="P90"/>
    <hyperlink r:id="rId105" location="gid=1395595847" ref="P91"/>
    <hyperlink r:id="rId106" ref="P92"/>
    <hyperlink r:id="rId107" location="gid=1836648587" ref="P93"/>
    <hyperlink r:id="rId108" ref="P94"/>
    <hyperlink r:id="rId109" location="gid=906587871" ref="P95"/>
  </hyperlinks>
  <drawing r:id="rId1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25"/>
    <col customWidth="1" min="4" max="4" width="74.75"/>
    <col customWidth="1" min="5" max="5" width="21.13"/>
    <col customWidth="1" min="6" max="6" width="28.88"/>
  </cols>
  <sheetData>
    <row r="1">
      <c r="A1" s="129"/>
      <c r="B1" s="130" t="s">
        <v>210</v>
      </c>
      <c r="C1" s="131"/>
      <c r="D1" s="132"/>
      <c r="E1" s="131"/>
      <c r="F1" s="133"/>
      <c r="G1" s="134"/>
      <c r="H1" s="134"/>
      <c r="I1" s="134"/>
      <c r="J1" s="134"/>
      <c r="K1" s="134"/>
      <c r="L1" s="134"/>
      <c r="M1" s="134"/>
      <c r="N1" s="134"/>
      <c r="O1" s="134"/>
      <c r="P1" s="134"/>
      <c r="Q1" s="134"/>
      <c r="R1" s="134"/>
      <c r="S1" s="134"/>
      <c r="T1" s="134"/>
      <c r="U1" s="134"/>
      <c r="V1" s="134"/>
      <c r="W1" s="134"/>
      <c r="X1" s="134"/>
      <c r="Y1" s="134"/>
      <c r="Z1" s="134"/>
    </row>
    <row r="2" ht="9.0" customHeight="1">
      <c r="A2" s="135"/>
      <c r="B2" s="136"/>
      <c r="C2" s="137"/>
      <c r="D2" s="138"/>
      <c r="E2" s="136"/>
      <c r="F2" s="139"/>
      <c r="G2" s="140"/>
      <c r="H2" s="140"/>
      <c r="I2" s="140"/>
      <c r="J2" s="140"/>
      <c r="K2" s="140"/>
      <c r="L2" s="140"/>
      <c r="M2" s="140"/>
      <c r="N2" s="140"/>
      <c r="O2" s="140"/>
      <c r="P2" s="140"/>
      <c r="Q2" s="140"/>
      <c r="R2" s="140"/>
      <c r="S2" s="140"/>
      <c r="T2" s="140"/>
      <c r="U2" s="140"/>
      <c r="V2" s="140"/>
      <c r="W2" s="140"/>
      <c r="X2" s="140"/>
      <c r="Y2" s="140"/>
      <c r="Z2" s="140"/>
    </row>
    <row r="3" ht="21.75" customHeight="1">
      <c r="A3" s="135"/>
      <c r="B3" s="141" t="s">
        <v>211</v>
      </c>
      <c r="C3" s="142" t="s">
        <v>38</v>
      </c>
      <c r="D3" s="143" t="s">
        <v>212</v>
      </c>
      <c r="E3" s="144" t="s">
        <v>213</v>
      </c>
      <c r="F3" s="145" t="s">
        <v>214</v>
      </c>
      <c r="G3" s="140"/>
      <c r="H3" s="140"/>
      <c r="I3" s="140"/>
      <c r="J3" s="140"/>
      <c r="K3" s="140"/>
      <c r="L3" s="140"/>
      <c r="M3" s="140"/>
      <c r="N3" s="140"/>
      <c r="O3" s="140"/>
      <c r="P3" s="140"/>
      <c r="Q3" s="140"/>
      <c r="R3" s="140"/>
      <c r="S3" s="140"/>
      <c r="T3" s="140"/>
      <c r="U3" s="140"/>
      <c r="V3" s="140"/>
      <c r="W3" s="140"/>
      <c r="X3" s="140"/>
      <c r="Y3" s="140"/>
      <c r="Z3" s="140"/>
    </row>
    <row r="4">
      <c r="B4" s="146" t="s">
        <v>215</v>
      </c>
      <c r="C4" s="147">
        <v>45951.0</v>
      </c>
      <c r="D4" s="148" t="s">
        <v>216</v>
      </c>
      <c r="E4" s="149" t="s">
        <v>217</v>
      </c>
      <c r="F4" s="149" t="s">
        <v>218</v>
      </c>
      <c r="G4" s="134"/>
      <c r="H4" s="134"/>
      <c r="I4" s="134"/>
      <c r="J4" s="134"/>
      <c r="K4" s="134"/>
      <c r="L4" s="134"/>
      <c r="M4" s="134"/>
      <c r="N4" s="134"/>
      <c r="O4" s="134"/>
      <c r="P4" s="134"/>
      <c r="Q4" s="134"/>
      <c r="R4" s="134"/>
      <c r="S4" s="134"/>
      <c r="T4" s="134"/>
      <c r="U4" s="134"/>
      <c r="V4" s="134"/>
      <c r="W4" s="134"/>
      <c r="X4" s="134"/>
      <c r="Y4" s="134"/>
      <c r="Z4" s="134"/>
    </row>
    <row r="5">
      <c r="B5" s="146" t="s">
        <v>219</v>
      </c>
      <c r="C5" s="147">
        <v>45915.0</v>
      </c>
      <c r="D5" s="150" t="s">
        <v>220</v>
      </c>
      <c r="E5" s="151" t="s">
        <v>221</v>
      </c>
      <c r="F5" s="149"/>
      <c r="G5" s="134"/>
      <c r="H5" s="134"/>
      <c r="I5" s="134"/>
      <c r="J5" s="134"/>
      <c r="K5" s="134"/>
      <c r="L5" s="134"/>
      <c r="M5" s="134"/>
      <c r="N5" s="134"/>
      <c r="O5" s="134"/>
      <c r="P5" s="134"/>
      <c r="Q5" s="134"/>
      <c r="R5" s="134"/>
      <c r="S5" s="134"/>
      <c r="T5" s="134"/>
      <c r="U5" s="134"/>
      <c r="V5" s="134"/>
      <c r="W5" s="134"/>
      <c r="X5" s="134"/>
      <c r="Y5" s="134"/>
      <c r="Z5" s="134"/>
    </row>
    <row r="6">
      <c r="B6" s="146" t="s">
        <v>222</v>
      </c>
      <c r="C6" s="147">
        <v>45915.0</v>
      </c>
      <c r="D6" s="150" t="s">
        <v>223</v>
      </c>
      <c r="E6" s="149" t="s">
        <v>217</v>
      </c>
      <c r="F6" s="149" t="s">
        <v>218</v>
      </c>
      <c r="G6" s="134"/>
      <c r="H6" s="134"/>
      <c r="I6" s="134"/>
      <c r="J6" s="134"/>
      <c r="K6" s="134"/>
      <c r="L6" s="134"/>
      <c r="M6" s="134"/>
      <c r="N6" s="134"/>
      <c r="O6" s="134"/>
      <c r="P6" s="134"/>
      <c r="Q6" s="134"/>
      <c r="R6" s="134"/>
      <c r="S6" s="134"/>
      <c r="T6" s="134"/>
      <c r="U6" s="134"/>
      <c r="V6" s="134"/>
      <c r="W6" s="134"/>
      <c r="X6" s="134"/>
      <c r="Y6" s="134"/>
      <c r="Z6" s="134"/>
    </row>
    <row r="7">
      <c r="B7" s="146" t="s">
        <v>224</v>
      </c>
      <c r="C7" s="147">
        <v>45908.0</v>
      </c>
      <c r="D7" s="148" t="s">
        <v>225</v>
      </c>
      <c r="E7" s="151" t="s">
        <v>221</v>
      </c>
      <c r="F7" s="149"/>
      <c r="G7" s="134"/>
      <c r="H7" s="134"/>
      <c r="I7" s="134"/>
      <c r="J7" s="134"/>
      <c r="K7" s="134"/>
      <c r="L7" s="134"/>
      <c r="M7" s="134"/>
      <c r="N7" s="134"/>
      <c r="O7" s="134"/>
      <c r="P7" s="134"/>
      <c r="Q7" s="134"/>
      <c r="R7" s="134"/>
      <c r="S7" s="134"/>
      <c r="T7" s="134"/>
      <c r="U7" s="134"/>
      <c r="V7" s="134"/>
      <c r="W7" s="134"/>
      <c r="X7" s="134"/>
      <c r="Y7" s="134"/>
      <c r="Z7" s="134"/>
    </row>
    <row r="8">
      <c r="B8" s="146" t="s">
        <v>226</v>
      </c>
      <c r="C8" s="147">
        <v>45903.0</v>
      </c>
      <c r="D8" s="148" t="s">
        <v>227</v>
      </c>
      <c r="E8" s="151" t="s">
        <v>221</v>
      </c>
      <c r="F8" s="149" t="s">
        <v>228</v>
      </c>
      <c r="G8" s="134"/>
      <c r="H8" s="134"/>
      <c r="I8" s="134"/>
      <c r="J8" s="134"/>
      <c r="K8" s="134"/>
      <c r="L8" s="134"/>
      <c r="M8" s="134"/>
      <c r="N8" s="134"/>
      <c r="O8" s="134"/>
      <c r="P8" s="134"/>
      <c r="Q8" s="134"/>
      <c r="R8" s="134"/>
      <c r="S8" s="134"/>
      <c r="T8" s="134"/>
      <c r="U8" s="134"/>
      <c r="V8" s="134"/>
      <c r="W8" s="134"/>
      <c r="X8" s="134"/>
      <c r="Y8" s="134"/>
      <c r="Z8" s="134"/>
    </row>
    <row r="9">
      <c r="B9" s="146" t="s">
        <v>229</v>
      </c>
      <c r="C9" s="147">
        <v>45902.0</v>
      </c>
      <c r="D9" s="148" t="s">
        <v>230</v>
      </c>
      <c r="E9" s="149" t="s">
        <v>217</v>
      </c>
      <c r="F9" s="149" t="s">
        <v>218</v>
      </c>
      <c r="G9" s="134"/>
      <c r="H9" s="134"/>
      <c r="I9" s="134"/>
      <c r="J9" s="134"/>
      <c r="K9" s="134"/>
      <c r="L9" s="134"/>
      <c r="M9" s="134"/>
      <c r="N9" s="134"/>
      <c r="O9" s="134"/>
      <c r="P9" s="134"/>
      <c r="Q9" s="134"/>
      <c r="R9" s="134"/>
      <c r="S9" s="134"/>
      <c r="T9" s="134"/>
      <c r="U9" s="134"/>
      <c r="V9" s="134"/>
      <c r="W9" s="134"/>
      <c r="X9" s="134"/>
      <c r="Y9" s="134"/>
      <c r="Z9" s="134"/>
    </row>
    <row r="10">
      <c r="B10" s="146" t="s">
        <v>231</v>
      </c>
      <c r="C10" s="147">
        <v>45901.0</v>
      </c>
      <c r="D10" s="148" t="s">
        <v>232</v>
      </c>
      <c r="E10" s="149" t="s">
        <v>217</v>
      </c>
      <c r="F10" s="149" t="s">
        <v>218</v>
      </c>
      <c r="G10" s="134"/>
      <c r="H10" s="134"/>
      <c r="I10" s="134"/>
      <c r="J10" s="134"/>
      <c r="K10" s="134"/>
      <c r="L10" s="134"/>
      <c r="M10" s="134"/>
      <c r="N10" s="134"/>
      <c r="O10" s="134"/>
      <c r="P10" s="134"/>
      <c r="Q10" s="134"/>
      <c r="R10" s="134"/>
      <c r="S10" s="134"/>
      <c r="T10" s="134"/>
      <c r="U10" s="134"/>
      <c r="V10" s="134"/>
      <c r="W10" s="134"/>
      <c r="X10" s="134"/>
      <c r="Y10" s="134"/>
      <c r="Z10" s="134"/>
    </row>
    <row r="11">
      <c r="B11" s="146" t="s">
        <v>233</v>
      </c>
      <c r="C11" s="147">
        <v>45898.0</v>
      </c>
      <c r="D11" s="148" t="s">
        <v>234</v>
      </c>
      <c r="E11" s="149" t="s">
        <v>217</v>
      </c>
      <c r="F11" s="149" t="s">
        <v>218</v>
      </c>
      <c r="G11" s="134"/>
      <c r="H11" s="134"/>
      <c r="I11" s="134"/>
      <c r="J11" s="134"/>
      <c r="K11" s="134"/>
      <c r="L11" s="134"/>
      <c r="M11" s="134"/>
      <c r="N11" s="134"/>
      <c r="O11" s="134"/>
      <c r="P11" s="134"/>
      <c r="Q11" s="134"/>
      <c r="R11" s="134"/>
      <c r="S11" s="134"/>
      <c r="T11" s="134"/>
      <c r="U11" s="134"/>
      <c r="V11" s="134"/>
      <c r="W11" s="134"/>
      <c r="X11" s="134"/>
      <c r="Y11" s="134"/>
      <c r="Z11" s="134"/>
    </row>
    <row r="12">
      <c r="B12" s="146" t="s">
        <v>235</v>
      </c>
      <c r="C12" s="147">
        <v>45843.0</v>
      </c>
      <c r="D12" s="148" t="s">
        <v>236</v>
      </c>
      <c r="E12" s="149" t="s">
        <v>217</v>
      </c>
      <c r="F12" s="149" t="s">
        <v>218</v>
      </c>
      <c r="G12" s="134"/>
      <c r="H12" s="134"/>
      <c r="I12" s="134"/>
      <c r="J12" s="134"/>
      <c r="K12" s="134"/>
      <c r="L12" s="134"/>
      <c r="M12" s="134"/>
      <c r="N12" s="134"/>
      <c r="O12" s="134"/>
      <c r="P12" s="134"/>
      <c r="Q12" s="134"/>
      <c r="R12" s="134"/>
      <c r="S12" s="134"/>
      <c r="T12" s="134"/>
      <c r="U12" s="134"/>
      <c r="V12" s="134"/>
      <c r="W12" s="134"/>
      <c r="X12" s="134"/>
      <c r="Y12" s="134"/>
      <c r="Z12" s="134"/>
    </row>
    <row r="13">
      <c r="B13" s="146" t="s">
        <v>237</v>
      </c>
      <c r="C13" s="152">
        <v>45877.0</v>
      </c>
      <c r="D13" s="150" t="s">
        <v>238</v>
      </c>
      <c r="E13" s="151" t="s">
        <v>217</v>
      </c>
      <c r="F13" s="151" t="s">
        <v>218</v>
      </c>
      <c r="G13" s="134"/>
      <c r="H13" s="134"/>
      <c r="I13" s="134"/>
      <c r="J13" s="134"/>
      <c r="K13" s="134"/>
      <c r="L13" s="134"/>
      <c r="M13" s="134"/>
      <c r="N13" s="134"/>
      <c r="O13" s="134"/>
      <c r="P13" s="134"/>
      <c r="Q13" s="134"/>
      <c r="R13" s="134"/>
      <c r="S13" s="134"/>
      <c r="T13" s="134"/>
      <c r="U13" s="134"/>
      <c r="V13" s="134"/>
      <c r="W13" s="134"/>
      <c r="X13" s="134"/>
      <c r="Y13" s="134"/>
      <c r="Z13" s="134"/>
    </row>
    <row r="14">
      <c r="B14" s="146" t="s">
        <v>239</v>
      </c>
      <c r="C14" s="152">
        <v>45861.0</v>
      </c>
      <c r="D14" s="150" t="s">
        <v>240</v>
      </c>
      <c r="E14" s="151" t="s">
        <v>221</v>
      </c>
      <c r="F14" s="151"/>
      <c r="G14" s="134"/>
      <c r="H14" s="134"/>
      <c r="I14" s="134"/>
      <c r="J14" s="134"/>
      <c r="K14" s="134"/>
      <c r="L14" s="134"/>
      <c r="M14" s="134"/>
      <c r="N14" s="134"/>
      <c r="O14" s="134"/>
      <c r="P14" s="134"/>
      <c r="Q14" s="134"/>
      <c r="R14" s="134"/>
      <c r="S14" s="134"/>
      <c r="T14" s="134"/>
      <c r="U14" s="134"/>
      <c r="V14" s="134"/>
      <c r="W14" s="134"/>
      <c r="X14" s="134"/>
      <c r="Y14" s="134"/>
      <c r="Z14" s="134"/>
    </row>
    <row r="15">
      <c r="B15" s="146" t="s">
        <v>241</v>
      </c>
      <c r="C15" s="152">
        <v>45859.0</v>
      </c>
      <c r="D15" s="150" t="s">
        <v>242</v>
      </c>
      <c r="E15" s="151" t="s">
        <v>221</v>
      </c>
      <c r="F15" s="151"/>
      <c r="G15" s="134"/>
      <c r="H15" s="134"/>
      <c r="I15" s="134"/>
      <c r="J15" s="134"/>
      <c r="K15" s="134"/>
      <c r="L15" s="134"/>
      <c r="M15" s="134"/>
      <c r="N15" s="134"/>
      <c r="O15" s="134"/>
      <c r="P15" s="134"/>
      <c r="Q15" s="134"/>
      <c r="R15" s="134"/>
      <c r="S15" s="134"/>
      <c r="T15" s="134"/>
      <c r="U15" s="134"/>
      <c r="V15" s="134"/>
      <c r="W15" s="134"/>
      <c r="X15" s="134"/>
      <c r="Y15" s="134"/>
      <c r="Z15" s="134"/>
    </row>
    <row r="16">
      <c r="B16" s="146" t="s">
        <v>243</v>
      </c>
      <c r="C16" s="152">
        <v>45857.0</v>
      </c>
      <c r="D16" s="150" t="s">
        <v>244</v>
      </c>
      <c r="E16" s="151" t="s">
        <v>217</v>
      </c>
      <c r="F16" s="151" t="s">
        <v>218</v>
      </c>
      <c r="G16" s="134"/>
      <c r="H16" s="134"/>
      <c r="I16" s="134"/>
      <c r="J16" s="134"/>
      <c r="K16" s="134"/>
      <c r="L16" s="134"/>
      <c r="M16" s="134"/>
      <c r="N16" s="134"/>
      <c r="O16" s="134"/>
      <c r="P16" s="134"/>
      <c r="Q16" s="134"/>
      <c r="R16" s="134"/>
      <c r="S16" s="134"/>
      <c r="T16" s="134"/>
      <c r="U16" s="134"/>
      <c r="V16" s="134"/>
      <c r="W16" s="134"/>
      <c r="X16" s="134"/>
      <c r="Y16" s="134"/>
      <c r="Z16" s="134"/>
    </row>
    <row r="17">
      <c r="B17" s="146" t="s">
        <v>237</v>
      </c>
      <c r="C17" s="152">
        <v>45856.0</v>
      </c>
      <c r="D17" s="150" t="s">
        <v>230</v>
      </c>
      <c r="E17" s="151" t="s">
        <v>217</v>
      </c>
      <c r="F17" s="151" t="s">
        <v>218</v>
      </c>
      <c r="G17" s="134"/>
      <c r="H17" s="134"/>
      <c r="I17" s="134"/>
      <c r="J17" s="134"/>
      <c r="K17" s="134"/>
      <c r="L17" s="134"/>
      <c r="M17" s="134"/>
      <c r="N17" s="134"/>
      <c r="O17" s="134"/>
      <c r="P17" s="134"/>
      <c r="Q17" s="134"/>
      <c r="R17" s="134"/>
      <c r="S17" s="134"/>
      <c r="T17" s="134"/>
      <c r="U17" s="134"/>
      <c r="V17" s="134"/>
      <c r="W17" s="134"/>
      <c r="X17" s="134"/>
      <c r="Y17" s="134"/>
      <c r="Z17" s="134"/>
    </row>
    <row r="18">
      <c r="B18" s="146" t="s">
        <v>245</v>
      </c>
      <c r="C18" s="152">
        <v>45855.0</v>
      </c>
      <c r="D18" s="150" t="s">
        <v>246</v>
      </c>
      <c r="E18" s="151" t="s">
        <v>217</v>
      </c>
      <c r="F18" s="151" t="s">
        <v>218</v>
      </c>
      <c r="G18" s="134"/>
      <c r="H18" s="134"/>
      <c r="I18" s="134"/>
      <c r="J18" s="134"/>
      <c r="K18" s="134"/>
      <c r="L18" s="134"/>
      <c r="M18" s="134"/>
      <c r="N18" s="134"/>
      <c r="O18" s="134"/>
      <c r="P18" s="134"/>
      <c r="Q18" s="134"/>
      <c r="R18" s="134"/>
      <c r="S18" s="134"/>
      <c r="T18" s="134"/>
      <c r="U18" s="134"/>
      <c r="V18" s="134"/>
      <c r="W18" s="134"/>
      <c r="X18" s="134"/>
      <c r="Y18" s="134"/>
      <c r="Z18" s="134"/>
    </row>
    <row r="19">
      <c r="B19" s="153" t="s">
        <v>247</v>
      </c>
      <c r="C19" s="147">
        <v>45848.0</v>
      </c>
      <c r="D19" s="148" t="s">
        <v>248</v>
      </c>
      <c r="E19" s="149" t="s">
        <v>221</v>
      </c>
      <c r="F19" s="149" t="s">
        <v>218</v>
      </c>
      <c r="G19" s="134"/>
      <c r="H19" s="134"/>
      <c r="I19" s="134"/>
      <c r="J19" s="134"/>
      <c r="K19" s="134"/>
      <c r="L19" s="134"/>
      <c r="M19" s="134"/>
      <c r="N19" s="134"/>
      <c r="O19" s="134"/>
      <c r="P19" s="134"/>
      <c r="Q19" s="134"/>
      <c r="R19" s="134"/>
      <c r="S19" s="134"/>
      <c r="T19" s="134"/>
      <c r="U19" s="134"/>
      <c r="V19" s="134"/>
      <c r="W19" s="134"/>
      <c r="X19" s="134"/>
      <c r="Y19" s="134"/>
      <c r="Z19" s="134"/>
    </row>
    <row r="20">
      <c r="B20" s="153" t="s">
        <v>249</v>
      </c>
      <c r="C20" s="147">
        <v>45847.0</v>
      </c>
      <c r="D20" s="148" t="s">
        <v>250</v>
      </c>
      <c r="E20" s="149" t="s">
        <v>217</v>
      </c>
      <c r="F20" s="149" t="s">
        <v>218</v>
      </c>
      <c r="G20" s="134"/>
      <c r="H20" s="134"/>
      <c r="I20" s="134"/>
      <c r="J20" s="134"/>
      <c r="K20" s="134"/>
      <c r="L20" s="134"/>
      <c r="M20" s="134"/>
      <c r="N20" s="134"/>
      <c r="O20" s="134"/>
      <c r="P20" s="134"/>
      <c r="Q20" s="134"/>
      <c r="R20" s="134"/>
      <c r="S20" s="134"/>
      <c r="T20" s="134"/>
      <c r="U20" s="134"/>
      <c r="V20" s="134"/>
      <c r="W20" s="134"/>
      <c r="X20" s="134"/>
      <c r="Y20" s="134"/>
      <c r="Z20" s="134"/>
    </row>
    <row r="21">
      <c r="B21" s="153" t="s">
        <v>251</v>
      </c>
      <c r="C21" s="147">
        <v>45846.0</v>
      </c>
      <c r="D21" s="148" t="s">
        <v>252</v>
      </c>
      <c r="E21" s="149" t="s">
        <v>217</v>
      </c>
      <c r="F21" s="149" t="s">
        <v>218</v>
      </c>
      <c r="G21" s="134"/>
      <c r="H21" s="134"/>
      <c r="I21" s="134"/>
      <c r="J21" s="134"/>
      <c r="K21" s="134"/>
      <c r="L21" s="134"/>
      <c r="M21" s="134"/>
      <c r="N21" s="134"/>
      <c r="O21" s="134"/>
      <c r="P21" s="134"/>
      <c r="Q21" s="134"/>
      <c r="R21" s="134"/>
      <c r="S21" s="134"/>
      <c r="T21" s="134"/>
      <c r="U21" s="134"/>
      <c r="V21" s="134"/>
      <c r="W21" s="134"/>
      <c r="X21" s="134"/>
      <c r="Y21" s="134"/>
      <c r="Z21" s="134"/>
    </row>
    <row r="22">
      <c r="B22" s="153" t="s">
        <v>253</v>
      </c>
      <c r="C22" s="147">
        <v>45843.0</v>
      </c>
      <c r="D22" s="148" t="s">
        <v>236</v>
      </c>
      <c r="E22" s="149" t="s">
        <v>217</v>
      </c>
      <c r="F22" s="149" t="s">
        <v>218</v>
      </c>
      <c r="G22" s="134"/>
      <c r="H22" s="134"/>
      <c r="I22" s="134"/>
      <c r="J22" s="134"/>
      <c r="K22" s="134"/>
      <c r="L22" s="134"/>
      <c r="M22" s="134"/>
      <c r="N22" s="134"/>
      <c r="O22" s="134"/>
      <c r="P22" s="134"/>
      <c r="Q22" s="134"/>
      <c r="R22" s="134"/>
      <c r="S22" s="134"/>
      <c r="T22" s="134"/>
      <c r="U22" s="134"/>
      <c r="V22" s="134"/>
      <c r="W22" s="134"/>
      <c r="X22" s="134"/>
      <c r="Y22" s="134"/>
      <c r="Z22" s="134"/>
    </row>
    <row r="23">
      <c r="B23" s="153" t="s">
        <v>254</v>
      </c>
      <c r="C23" s="147">
        <v>45838.0</v>
      </c>
      <c r="D23" s="148" t="s">
        <v>255</v>
      </c>
      <c r="E23" s="149" t="s">
        <v>217</v>
      </c>
      <c r="F23" s="149" t="s">
        <v>218</v>
      </c>
      <c r="G23" s="134"/>
      <c r="H23" s="134"/>
      <c r="I23" s="134"/>
      <c r="J23" s="134"/>
      <c r="K23" s="134"/>
      <c r="L23" s="134"/>
      <c r="M23" s="134"/>
      <c r="N23" s="134"/>
      <c r="O23" s="134"/>
      <c r="P23" s="134"/>
      <c r="Q23" s="134"/>
      <c r="R23" s="134"/>
      <c r="S23" s="134"/>
      <c r="T23" s="134"/>
      <c r="U23" s="134"/>
      <c r="V23" s="134"/>
      <c r="W23" s="134"/>
      <c r="X23" s="134"/>
      <c r="Y23" s="134"/>
      <c r="Z23" s="134"/>
    </row>
    <row r="24">
      <c r="B24" s="153" t="s">
        <v>256</v>
      </c>
      <c r="C24" s="147">
        <v>45835.0</v>
      </c>
      <c r="D24" s="148" t="s">
        <v>257</v>
      </c>
      <c r="E24" s="149" t="s">
        <v>217</v>
      </c>
      <c r="F24" s="149" t="s">
        <v>218</v>
      </c>
      <c r="G24" s="134"/>
      <c r="H24" s="134"/>
      <c r="I24" s="134"/>
      <c r="J24" s="134"/>
      <c r="K24" s="134"/>
      <c r="L24" s="134"/>
      <c r="M24" s="134"/>
      <c r="N24" s="134"/>
      <c r="O24" s="134"/>
      <c r="P24" s="134"/>
      <c r="Q24" s="134"/>
      <c r="R24" s="134"/>
      <c r="S24" s="134"/>
      <c r="T24" s="134"/>
      <c r="U24" s="134"/>
      <c r="V24" s="134"/>
      <c r="W24" s="134"/>
      <c r="X24" s="134"/>
      <c r="Y24" s="134"/>
      <c r="Z24" s="134"/>
    </row>
    <row r="25">
      <c r="B25" s="153" t="s">
        <v>258</v>
      </c>
      <c r="C25" s="147">
        <v>45831.0</v>
      </c>
      <c r="D25" s="148" t="s">
        <v>259</v>
      </c>
      <c r="E25" s="149" t="s">
        <v>221</v>
      </c>
      <c r="F25" s="149"/>
      <c r="G25" s="134"/>
      <c r="H25" s="134"/>
      <c r="I25" s="134"/>
      <c r="J25" s="134"/>
      <c r="K25" s="134"/>
      <c r="L25" s="134"/>
      <c r="M25" s="134"/>
      <c r="N25" s="134"/>
      <c r="O25" s="134"/>
      <c r="P25" s="134"/>
      <c r="Q25" s="134"/>
      <c r="R25" s="134"/>
      <c r="S25" s="134"/>
      <c r="T25" s="134"/>
      <c r="U25" s="134"/>
      <c r="V25" s="134"/>
      <c r="W25" s="134"/>
      <c r="X25" s="134"/>
      <c r="Y25" s="134"/>
      <c r="Z25" s="134"/>
    </row>
    <row r="26">
      <c r="B26" s="153" t="s">
        <v>260</v>
      </c>
      <c r="C26" s="147">
        <v>45832.0</v>
      </c>
      <c r="D26" s="148" t="s">
        <v>261</v>
      </c>
      <c r="E26" s="149" t="s">
        <v>217</v>
      </c>
      <c r="F26" s="149" t="s">
        <v>218</v>
      </c>
      <c r="G26" s="134"/>
      <c r="H26" s="134"/>
      <c r="I26" s="134"/>
      <c r="J26" s="134"/>
      <c r="K26" s="134"/>
      <c r="L26" s="134"/>
      <c r="M26" s="134"/>
      <c r="N26" s="134"/>
      <c r="O26" s="134"/>
      <c r="P26" s="134"/>
      <c r="Q26" s="134"/>
      <c r="R26" s="134"/>
      <c r="S26" s="134"/>
      <c r="T26" s="134"/>
      <c r="U26" s="134"/>
      <c r="V26" s="134"/>
      <c r="W26" s="134"/>
      <c r="X26" s="134"/>
      <c r="Y26" s="134"/>
      <c r="Z26" s="134"/>
    </row>
    <row r="27">
      <c r="B27" s="147" t="s">
        <v>262</v>
      </c>
      <c r="C27" s="147">
        <v>45826.0</v>
      </c>
      <c r="D27" s="148" t="s">
        <v>230</v>
      </c>
      <c r="E27" s="149" t="s">
        <v>217</v>
      </c>
      <c r="F27" s="149" t="s">
        <v>218</v>
      </c>
      <c r="G27" s="134"/>
      <c r="H27" s="134"/>
      <c r="I27" s="134"/>
      <c r="J27" s="134"/>
      <c r="K27" s="134"/>
      <c r="L27" s="134"/>
      <c r="M27" s="134"/>
      <c r="N27" s="134"/>
      <c r="O27" s="134"/>
      <c r="P27" s="134"/>
      <c r="Q27" s="134"/>
      <c r="R27" s="134"/>
      <c r="S27" s="134"/>
      <c r="T27" s="134"/>
      <c r="U27" s="134"/>
      <c r="V27" s="134"/>
      <c r="W27" s="134"/>
      <c r="X27" s="134"/>
      <c r="Y27" s="134"/>
      <c r="Z27" s="134"/>
    </row>
    <row r="28">
      <c r="B28" s="153" t="s">
        <v>263</v>
      </c>
      <c r="C28" s="147">
        <v>45824.0</v>
      </c>
      <c r="D28" s="148" t="s">
        <v>264</v>
      </c>
      <c r="E28" s="149" t="s">
        <v>217</v>
      </c>
      <c r="F28" s="154" t="s">
        <v>218</v>
      </c>
      <c r="G28" s="134"/>
      <c r="H28" s="134"/>
      <c r="I28" s="134"/>
      <c r="J28" s="134"/>
      <c r="K28" s="134"/>
      <c r="L28" s="134"/>
      <c r="M28" s="134"/>
      <c r="N28" s="134"/>
      <c r="O28" s="134"/>
      <c r="P28" s="134"/>
      <c r="Q28" s="134"/>
      <c r="R28" s="134"/>
      <c r="S28" s="134"/>
      <c r="T28" s="134"/>
      <c r="U28" s="134"/>
      <c r="V28" s="134"/>
      <c r="W28" s="134"/>
      <c r="X28" s="134"/>
      <c r="Y28" s="134"/>
      <c r="Z28" s="134"/>
    </row>
    <row r="29" ht="18.0" customHeight="1">
      <c r="B29" s="153" t="s">
        <v>265</v>
      </c>
      <c r="C29" s="147">
        <v>45820.0</v>
      </c>
      <c r="D29" s="148" t="s">
        <v>266</v>
      </c>
      <c r="E29" s="155" t="s">
        <v>267</v>
      </c>
      <c r="F29" s="154" t="s">
        <v>268</v>
      </c>
      <c r="G29" s="134"/>
      <c r="H29" s="134"/>
      <c r="I29" s="134"/>
      <c r="J29" s="134"/>
      <c r="K29" s="134"/>
      <c r="L29" s="134"/>
      <c r="M29" s="134"/>
      <c r="N29" s="134"/>
      <c r="O29" s="134"/>
      <c r="P29" s="134"/>
      <c r="Q29" s="134"/>
      <c r="R29" s="134"/>
      <c r="S29" s="134"/>
      <c r="T29" s="134"/>
      <c r="U29" s="134"/>
      <c r="V29" s="134"/>
      <c r="W29" s="134"/>
      <c r="X29" s="134"/>
      <c r="Y29" s="134"/>
      <c r="Z29" s="134"/>
    </row>
    <row r="30" ht="18.0" customHeight="1">
      <c r="A30" s="131"/>
      <c r="B30" s="156" t="s">
        <v>269</v>
      </c>
      <c r="C30" s="147">
        <v>45814.0</v>
      </c>
      <c r="D30" s="148" t="s">
        <v>270</v>
      </c>
      <c r="E30" s="149" t="s">
        <v>217</v>
      </c>
      <c r="F30" s="154" t="s">
        <v>218</v>
      </c>
      <c r="G30" s="134"/>
      <c r="H30" s="134"/>
      <c r="I30" s="134"/>
      <c r="J30" s="134"/>
      <c r="K30" s="134"/>
      <c r="L30" s="134"/>
      <c r="M30" s="134"/>
      <c r="N30" s="134"/>
      <c r="O30" s="134"/>
      <c r="P30" s="134"/>
      <c r="Q30" s="134"/>
      <c r="R30" s="134"/>
      <c r="S30" s="134"/>
      <c r="T30" s="134"/>
      <c r="U30" s="134"/>
      <c r="V30" s="134"/>
      <c r="W30" s="134"/>
      <c r="X30" s="134"/>
      <c r="Y30" s="134"/>
      <c r="Z30" s="134"/>
    </row>
    <row r="31" ht="18.0" customHeight="1">
      <c r="A31" s="131"/>
      <c r="B31" s="156" t="s">
        <v>271</v>
      </c>
      <c r="C31" s="147">
        <v>45801.0</v>
      </c>
      <c r="D31" s="157" t="s">
        <v>272</v>
      </c>
      <c r="E31" s="149" t="s">
        <v>217</v>
      </c>
      <c r="F31" s="154"/>
      <c r="G31" s="134"/>
      <c r="H31" s="134"/>
      <c r="I31" s="134"/>
      <c r="J31" s="134"/>
      <c r="K31" s="134"/>
      <c r="L31" s="134"/>
      <c r="M31" s="134"/>
      <c r="N31" s="134"/>
      <c r="O31" s="134"/>
      <c r="P31" s="134"/>
      <c r="Q31" s="134"/>
      <c r="R31" s="134"/>
      <c r="S31" s="134"/>
      <c r="T31" s="134"/>
      <c r="U31" s="134"/>
      <c r="V31" s="134"/>
      <c r="W31" s="134"/>
      <c r="X31" s="134"/>
      <c r="Y31" s="134"/>
      <c r="Z31" s="134"/>
    </row>
    <row r="32" ht="18.0" customHeight="1">
      <c r="A32" s="131"/>
      <c r="B32" s="156" t="s">
        <v>273</v>
      </c>
      <c r="C32" s="147">
        <v>45797.0</v>
      </c>
      <c r="D32" s="157" t="s">
        <v>272</v>
      </c>
      <c r="E32" s="155" t="s">
        <v>267</v>
      </c>
      <c r="F32" s="154"/>
      <c r="G32" s="134"/>
      <c r="H32" s="134"/>
      <c r="I32" s="134"/>
      <c r="J32" s="134"/>
      <c r="K32" s="134"/>
      <c r="L32" s="134"/>
      <c r="M32" s="134"/>
      <c r="N32" s="134"/>
      <c r="O32" s="134"/>
      <c r="P32" s="134"/>
      <c r="Q32" s="134"/>
      <c r="R32" s="134"/>
      <c r="S32" s="134"/>
      <c r="T32" s="134"/>
      <c r="U32" s="134"/>
      <c r="V32" s="134"/>
      <c r="W32" s="134"/>
      <c r="X32" s="134"/>
      <c r="Y32" s="134"/>
      <c r="Z32" s="134"/>
    </row>
    <row r="33" ht="18.0" customHeight="1">
      <c r="A33" s="131"/>
      <c r="B33" s="158"/>
      <c r="C33" s="152"/>
      <c r="D33" s="159"/>
      <c r="E33" s="151"/>
      <c r="F33" s="160"/>
      <c r="G33" s="134"/>
      <c r="H33" s="134"/>
      <c r="I33" s="134"/>
      <c r="J33" s="134"/>
      <c r="K33" s="134"/>
      <c r="L33" s="134"/>
      <c r="M33" s="134"/>
      <c r="N33" s="134"/>
      <c r="O33" s="134"/>
      <c r="P33" s="134"/>
      <c r="Q33" s="134"/>
      <c r="R33" s="134"/>
      <c r="S33" s="134"/>
      <c r="T33" s="134"/>
      <c r="U33" s="134"/>
      <c r="V33" s="134"/>
      <c r="W33" s="134"/>
      <c r="X33" s="134"/>
      <c r="Y33" s="134"/>
      <c r="Z33" s="134"/>
    </row>
    <row r="34" ht="18.0" customHeight="1">
      <c r="A34" s="131"/>
      <c r="B34" s="158"/>
      <c r="C34" s="152"/>
      <c r="D34" s="159"/>
      <c r="E34" s="151"/>
      <c r="F34" s="160"/>
      <c r="G34" s="134"/>
      <c r="H34" s="134"/>
      <c r="I34" s="134"/>
      <c r="J34" s="134"/>
      <c r="K34" s="134"/>
      <c r="L34" s="134"/>
      <c r="M34" s="134"/>
      <c r="N34" s="134"/>
      <c r="O34" s="134"/>
      <c r="P34" s="134"/>
      <c r="Q34" s="134"/>
      <c r="R34" s="134"/>
      <c r="S34" s="134"/>
      <c r="T34" s="134"/>
      <c r="U34" s="134"/>
      <c r="V34" s="134"/>
      <c r="W34" s="134"/>
      <c r="X34" s="134"/>
      <c r="Y34" s="134"/>
      <c r="Z34" s="134"/>
    </row>
    <row r="35" ht="18.0" customHeight="1">
      <c r="A35" s="131"/>
      <c r="B35" s="158"/>
      <c r="C35" s="152"/>
      <c r="D35" s="161"/>
      <c r="E35" s="151"/>
      <c r="F35" s="160"/>
      <c r="G35" s="134"/>
      <c r="H35" s="134"/>
      <c r="I35" s="134"/>
      <c r="J35" s="134"/>
      <c r="K35" s="134"/>
      <c r="L35" s="134"/>
      <c r="M35" s="134"/>
      <c r="N35" s="134"/>
      <c r="O35" s="134"/>
      <c r="P35" s="134"/>
      <c r="Q35" s="134"/>
      <c r="R35" s="134"/>
      <c r="S35" s="134"/>
      <c r="T35" s="134"/>
      <c r="U35" s="134"/>
      <c r="V35" s="134"/>
      <c r="W35" s="134"/>
      <c r="X35" s="134"/>
      <c r="Y35" s="134"/>
      <c r="Z35" s="134"/>
    </row>
    <row r="36" ht="18.0" customHeight="1">
      <c r="A36" s="131"/>
      <c r="B36" s="158"/>
      <c r="C36" s="152"/>
      <c r="D36" s="150"/>
      <c r="E36" s="151"/>
      <c r="F36" s="160"/>
      <c r="G36" s="134"/>
      <c r="H36" s="134"/>
      <c r="I36" s="134"/>
      <c r="J36" s="134"/>
      <c r="K36" s="134"/>
      <c r="L36" s="134"/>
      <c r="M36" s="134"/>
      <c r="N36" s="134"/>
      <c r="O36" s="134"/>
      <c r="P36" s="134"/>
      <c r="Q36" s="134"/>
      <c r="R36" s="134"/>
      <c r="S36" s="134"/>
      <c r="T36" s="134"/>
      <c r="U36" s="134"/>
      <c r="V36" s="134"/>
      <c r="W36" s="134"/>
      <c r="X36" s="134"/>
      <c r="Y36" s="134"/>
      <c r="Z36" s="134"/>
    </row>
    <row r="37" ht="18.0" customHeight="1">
      <c r="A37" s="131"/>
      <c r="B37" s="158"/>
      <c r="C37" s="152"/>
      <c r="D37" s="150"/>
      <c r="E37" s="151"/>
      <c r="F37" s="160"/>
      <c r="G37" s="134"/>
      <c r="H37" s="134"/>
      <c r="I37" s="134"/>
      <c r="J37" s="134"/>
      <c r="K37" s="134"/>
      <c r="L37" s="134"/>
      <c r="M37" s="134"/>
      <c r="N37" s="134"/>
      <c r="O37" s="134"/>
      <c r="P37" s="134"/>
      <c r="Q37" s="134"/>
      <c r="R37" s="134"/>
      <c r="S37" s="134"/>
      <c r="T37" s="134"/>
      <c r="U37" s="134"/>
      <c r="V37" s="134"/>
      <c r="W37" s="134"/>
      <c r="X37" s="134"/>
      <c r="Y37" s="134"/>
      <c r="Z37" s="134"/>
    </row>
    <row r="38" ht="18.0" customHeight="1">
      <c r="A38" s="131"/>
      <c r="B38" s="162"/>
      <c r="C38" s="153"/>
      <c r="D38" s="148"/>
      <c r="E38" s="151"/>
      <c r="F38" s="160"/>
      <c r="G38" s="134"/>
      <c r="H38" s="134"/>
      <c r="I38" s="134"/>
      <c r="J38" s="134"/>
      <c r="K38" s="134"/>
      <c r="L38" s="134"/>
      <c r="M38" s="134"/>
      <c r="N38" s="134"/>
      <c r="O38" s="134"/>
      <c r="P38" s="134"/>
      <c r="Q38" s="134"/>
      <c r="R38" s="134"/>
      <c r="S38" s="134"/>
      <c r="T38" s="134"/>
      <c r="U38" s="134"/>
      <c r="V38" s="134"/>
      <c r="W38" s="134"/>
      <c r="X38" s="134"/>
      <c r="Y38" s="134"/>
      <c r="Z38" s="134"/>
    </row>
    <row r="39" ht="18.0" customHeight="1">
      <c r="A39" s="131"/>
      <c r="B39" s="158"/>
      <c r="C39" s="146"/>
      <c r="D39" s="163"/>
      <c r="E39" s="151"/>
      <c r="F39" s="160"/>
      <c r="G39" s="134"/>
      <c r="H39" s="134"/>
      <c r="I39" s="134"/>
      <c r="J39" s="134"/>
      <c r="K39" s="134"/>
      <c r="L39" s="134"/>
      <c r="M39" s="134"/>
      <c r="N39" s="134"/>
      <c r="O39" s="134"/>
      <c r="P39" s="134"/>
      <c r="Q39" s="134"/>
      <c r="R39" s="134"/>
      <c r="S39" s="134"/>
      <c r="T39" s="134"/>
      <c r="U39" s="134"/>
      <c r="V39" s="134"/>
      <c r="W39" s="134"/>
      <c r="X39" s="134"/>
      <c r="Y39" s="134"/>
      <c r="Z39" s="134"/>
    </row>
    <row r="40" ht="18.0" customHeight="1">
      <c r="A40" s="131"/>
      <c r="B40" s="158"/>
      <c r="C40" s="146"/>
      <c r="D40" s="150"/>
      <c r="E40" s="151"/>
      <c r="F40" s="160"/>
      <c r="G40" s="134"/>
      <c r="H40" s="134"/>
      <c r="I40" s="134"/>
      <c r="J40" s="134"/>
      <c r="K40" s="134"/>
      <c r="L40" s="134"/>
      <c r="M40" s="134"/>
      <c r="N40" s="134"/>
      <c r="O40" s="134"/>
      <c r="P40" s="134"/>
      <c r="Q40" s="134"/>
      <c r="R40" s="134"/>
      <c r="S40" s="134"/>
      <c r="T40" s="134"/>
      <c r="U40" s="134"/>
      <c r="V40" s="134"/>
      <c r="W40" s="134"/>
      <c r="X40" s="134"/>
      <c r="Y40" s="134"/>
      <c r="Z40" s="134"/>
    </row>
    <row r="41" ht="18.0" customHeight="1">
      <c r="A41" s="131"/>
      <c r="B41" s="158"/>
      <c r="C41" s="158"/>
      <c r="D41" s="150"/>
      <c r="E41" s="151"/>
      <c r="F41" s="160"/>
      <c r="G41" s="134"/>
      <c r="H41" s="134"/>
      <c r="I41" s="134"/>
      <c r="J41" s="134"/>
      <c r="K41" s="134"/>
      <c r="L41" s="134"/>
      <c r="M41" s="134"/>
      <c r="N41" s="134"/>
      <c r="O41" s="134"/>
      <c r="P41" s="134"/>
      <c r="Q41" s="134"/>
      <c r="R41" s="134"/>
      <c r="S41" s="134"/>
      <c r="T41" s="134"/>
      <c r="U41" s="134"/>
      <c r="V41" s="134"/>
      <c r="W41" s="134"/>
      <c r="X41" s="134"/>
      <c r="Y41" s="134"/>
      <c r="Z41" s="134"/>
    </row>
    <row r="42" ht="18.0" customHeight="1">
      <c r="A42" s="131"/>
      <c r="B42" s="162"/>
      <c r="C42" s="147"/>
      <c r="D42" s="148"/>
      <c r="E42" s="151"/>
      <c r="F42" s="160"/>
      <c r="G42" s="134"/>
      <c r="H42" s="134"/>
      <c r="I42" s="134"/>
      <c r="J42" s="134"/>
      <c r="K42" s="134"/>
      <c r="L42" s="134"/>
      <c r="M42" s="134"/>
      <c r="N42" s="134"/>
      <c r="O42" s="134"/>
      <c r="P42" s="134"/>
      <c r="Q42" s="134"/>
      <c r="R42" s="134"/>
      <c r="S42" s="134"/>
      <c r="T42" s="134"/>
      <c r="U42" s="134"/>
      <c r="V42" s="134"/>
      <c r="W42" s="134"/>
      <c r="X42" s="134"/>
      <c r="Y42" s="134"/>
      <c r="Z42" s="134"/>
    </row>
    <row r="43" ht="18.0" customHeight="1">
      <c r="A43" s="131"/>
      <c r="B43" s="164"/>
      <c r="C43" s="165"/>
      <c r="D43" s="157"/>
      <c r="E43" s="166"/>
      <c r="F43" s="167"/>
      <c r="G43" s="134"/>
      <c r="H43" s="134"/>
      <c r="I43" s="134"/>
      <c r="J43" s="134"/>
      <c r="K43" s="134"/>
      <c r="L43" s="134"/>
      <c r="M43" s="134"/>
      <c r="N43" s="134"/>
      <c r="O43" s="134"/>
      <c r="P43" s="134"/>
      <c r="Q43" s="134"/>
      <c r="R43" s="134"/>
      <c r="S43" s="134"/>
      <c r="T43" s="134"/>
      <c r="U43" s="134"/>
      <c r="V43" s="134"/>
      <c r="W43" s="134"/>
      <c r="X43" s="134"/>
      <c r="Y43" s="134"/>
      <c r="Z43" s="134"/>
    </row>
    <row r="44" ht="18.0" customHeight="1">
      <c r="A44" s="131"/>
      <c r="B44" s="164"/>
      <c r="C44" s="168"/>
      <c r="D44" s="157"/>
      <c r="E44" s="166"/>
      <c r="F44" s="167"/>
      <c r="G44" s="134"/>
      <c r="H44" s="134"/>
      <c r="I44" s="134"/>
      <c r="J44" s="134"/>
      <c r="K44" s="134"/>
      <c r="L44" s="134"/>
      <c r="M44" s="134"/>
      <c r="N44" s="134"/>
      <c r="O44" s="134"/>
      <c r="P44" s="134"/>
      <c r="Q44" s="134"/>
      <c r="R44" s="134"/>
      <c r="S44" s="134"/>
      <c r="T44" s="134"/>
      <c r="U44" s="134"/>
      <c r="V44" s="134"/>
      <c r="W44" s="134"/>
      <c r="X44" s="134"/>
      <c r="Y44" s="134"/>
      <c r="Z44" s="134"/>
    </row>
    <row r="45" ht="18.0" customHeight="1">
      <c r="A45" s="131"/>
      <c r="B45" s="164"/>
      <c r="C45" s="168"/>
      <c r="D45" s="157"/>
      <c r="E45" s="166"/>
      <c r="F45" s="167"/>
      <c r="G45" s="134"/>
      <c r="H45" s="134"/>
      <c r="I45" s="134"/>
      <c r="J45" s="134"/>
      <c r="K45" s="134"/>
      <c r="L45" s="134"/>
      <c r="M45" s="134"/>
      <c r="N45" s="134"/>
      <c r="O45" s="134"/>
      <c r="P45" s="134"/>
      <c r="Q45" s="134"/>
      <c r="R45" s="134"/>
      <c r="S45" s="134"/>
      <c r="T45" s="134"/>
      <c r="U45" s="134"/>
      <c r="V45" s="134"/>
      <c r="W45" s="134"/>
      <c r="X45" s="134"/>
      <c r="Y45" s="134"/>
      <c r="Z45" s="134"/>
    </row>
    <row r="46" ht="18.0" customHeight="1">
      <c r="A46" s="131"/>
      <c r="B46" s="164"/>
      <c r="C46" s="168"/>
      <c r="D46" s="157"/>
      <c r="E46" s="166"/>
      <c r="F46" s="167"/>
      <c r="G46" s="134"/>
      <c r="H46" s="134"/>
      <c r="I46" s="134"/>
      <c r="J46" s="134"/>
      <c r="K46" s="134"/>
      <c r="L46" s="134"/>
      <c r="M46" s="134"/>
      <c r="N46" s="134"/>
      <c r="O46" s="134"/>
      <c r="P46" s="134"/>
      <c r="Q46" s="134"/>
      <c r="R46" s="134"/>
      <c r="S46" s="134"/>
      <c r="T46" s="134"/>
      <c r="U46" s="134"/>
      <c r="V46" s="134"/>
      <c r="W46" s="134"/>
      <c r="X46" s="134"/>
      <c r="Y46" s="134"/>
      <c r="Z46" s="134"/>
    </row>
    <row r="47" ht="18.0" customHeight="1">
      <c r="A47" s="131"/>
      <c r="B47" s="164"/>
      <c r="C47" s="165"/>
      <c r="D47" s="157"/>
      <c r="E47" s="166"/>
      <c r="F47" s="167"/>
      <c r="G47" s="134"/>
      <c r="H47" s="134"/>
      <c r="I47" s="134"/>
      <c r="J47" s="134"/>
      <c r="K47" s="134"/>
      <c r="L47" s="134"/>
      <c r="M47" s="134"/>
      <c r="N47" s="134"/>
      <c r="O47" s="134"/>
      <c r="P47" s="134"/>
      <c r="Q47" s="134"/>
      <c r="R47" s="134"/>
      <c r="S47" s="134"/>
      <c r="T47" s="134"/>
      <c r="U47" s="134"/>
      <c r="V47" s="134"/>
      <c r="W47" s="134"/>
      <c r="X47" s="134"/>
      <c r="Y47" s="134"/>
      <c r="Z47" s="134"/>
    </row>
    <row r="48" ht="18.0" customHeight="1">
      <c r="A48" s="131"/>
      <c r="B48" s="164"/>
      <c r="C48" s="168"/>
      <c r="D48" s="157"/>
      <c r="E48" s="166"/>
      <c r="F48" s="167"/>
      <c r="G48" s="134"/>
      <c r="H48" s="134"/>
      <c r="I48" s="134"/>
      <c r="J48" s="134"/>
      <c r="K48" s="134"/>
      <c r="L48" s="134"/>
      <c r="M48" s="134"/>
      <c r="N48" s="134"/>
      <c r="O48" s="134"/>
      <c r="P48" s="134"/>
      <c r="Q48" s="134"/>
      <c r="R48" s="134"/>
      <c r="S48" s="134"/>
      <c r="T48" s="134"/>
      <c r="U48" s="134"/>
      <c r="V48" s="134"/>
      <c r="W48" s="134"/>
      <c r="X48" s="134"/>
      <c r="Y48" s="134"/>
      <c r="Z48" s="134"/>
    </row>
    <row r="49" ht="18.0" customHeight="1">
      <c r="A49" s="131"/>
      <c r="B49" s="164"/>
      <c r="C49" s="168"/>
      <c r="D49" s="157"/>
      <c r="E49" s="166"/>
      <c r="F49" s="167"/>
      <c r="G49" s="134"/>
      <c r="H49" s="134"/>
      <c r="I49" s="134"/>
      <c r="J49" s="134"/>
      <c r="K49" s="134"/>
      <c r="L49" s="134"/>
      <c r="M49" s="134"/>
      <c r="N49" s="134"/>
      <c r="O49" s="134"/>
      <c r="P49" s="134"/>
      <c r="Q49" s="134"/>
      <c r="R49" s="134"/>
      <c r="S49" s="134"/>
      <c r="T49" s="134"/>
      <c r="U49" s="134"/>
      <c r="V49" s="134"/>
      <c r="W49" s="134"/>
      <c r="X49" s="134"/>
      <c r="Y49" s="134"/>
      <c r="Z49" s="134"/>
    </row>
    <row r="50" ht="18.0" customHeight="1">
      <c r="A50" s="131"/>
      <c r="B50" s="164"/>
      <c r="C50" s="168"/>
      <c r="D50" s="157"/>
      <c r="E50" s="166"/>
      <c r="F50" s="167"/>
      <c r="G50" s="134"/>
      <c r="H50" s="134"/>
      <c r="I50" s="134"/>
      <c r="J50" s="134"/>
      <c r="K50" s="134"/>
      <c r="L50" s="134"/>
      <c r="M50" s="134"/>
      <c r="N50" s="134"/>
      <c r="O50" s="134"/>
      <c r="P50" s="134"/>
      <c r="Q50" s="134"/>
      <c r="R50" s="134"/>
      <c r="S50" s="134"/>
      <c r="T50" s="134"/>
      <c r="U50" s="134"/>
      <c r="V50" s="134"/>
      <c r="W50" s="134"/>
      <c r="X50" s="134"/>
      <c r="Y50" s="134"/>
      <c r="Z50" s="134"/>
    </row>
    <row r="51" ht="18.0" customHeight="1">
      <c r="A51" s="131"/>
      <c r="B51" s="164"/>
      <c r="C51" s="168"/>
      <c r="D51" s="157"/>
      <c r="E51" s="166"/>
      <c r="F51" s="167"/>
      <c r="G51" s="134"/>
      <c r="H51" s="134"/>
      <c r="I51" s="134"/>
      <c r="J51" s="134"/>
      <c r="K51" s="134"/>
      <c r="L51" s="134"/>
      <c r="M51" s="134"/>
      <c r="N51" s="134"/>
      <c r="O51" s="134"/>
      <c r="P51" s="134"/>
      <c r="Q51" s="134"/>
      <c r="R51" s="134"/>
      <c r="S51" s="134"/>
      <c r="T51" s="134"/>
      <c r="U51" s="134"/>
      <c r="V51" s="134"/>
      <c r="W51" s="134"/>
      <c r="X51" s="134"/>
      <c r="Y51" s="134"/>
      <c r="Z51" s="134"/>
    </row>
    <row r="52" ht="18.0" customHeight="1">
      <c r="A52" s="131"/>
      <c r="B52" s="164"/>
      <c r="C52" s="165"/>
      <c r="D52" s="157"/>
      <c r="E52" s="166"/>
      <c r="F52" s="167"/>
      <c r="G52" s="134"/>
      <c r="H52" s="134"/>
      <c r="I52" s="134"/>
      <c r="J52" s="134"/>
      <c r="K52" s="134"/>
      <c r="L52" s="134"/>
      <c r="M52" s="134"/>
      <c r="N52" s="134"/>
      <c r="O52" s="134"/>
      <c r="P52" s="134"/>
      <c r="Q52" s="134"/>
      <c r="R52" s="134"/>
      <c r="S52" s="134"/>
      <c r="T52" s="134"/>
      <c r="U52" s="134"/>
      <c r="V52" s="134"/>
      <c r="W52" s="134"/>
      <c r="X52" s="134"/>
      <c r="Y52" s="134"/>
      <c r="Z52" s="134"/>
    </row>
    <row r="53" ht="18.0" customHeight="1">
      <c r="A53" s="131"/>
      <c r="B53" s="164"/>
      <c r="C53" s="168"/>
      <c r="D53" s="157"/>
      <c r="E53" s="166"/>
      <c r="F53" s="167"/>
      <c r="G53" s="134"/>
      <c r="H53" s="134"/>
      <c r="I53" s="134"/>
      <c r="J53" s="134"/>
      <c r="K53" s="134"/>
      <c r="L53" s="134"/>
      <c r="M53" s="134"/>
      <c r="N53" s="134"/>
      <c r="O53" s="134"/>
      <c r="P53" s="134"/>
      <c r="Q53" s="134"/>
      <c r="R53" s="134"/>
      <c r="S53" s="134"/>
      <c r="T53" s="134"/>
      <c r="U53" s="134"/>
      <c r="V53" s="134"/>
      <c r="W53" s="134"/>
      <c r="X53" s="134"/>
      <c r="Y53" s="134"/>
      <c r="Z53" s="134"/>
    </row>
    <row r="54" ht="18.0" customHeight="1">
      <c r="A54" s="131"/>
      <c r="B54" s="164"/>
      <c r="C54" s="168"/>
      <c r="D54" s="157"/>
      <c r="E54" s="166"/>
      <c r="F54" s="167"/>
      <c r="G54" s="134"/>
      <c r="H54" s="134"/>
      <c r="I54" s="134"/>
      <c r="J54" s="134"/>
      <c r="K54" s="134"/>
      <c r="L54" s="134"/>
      <c r="M54" s="134"/>
      <c r="N54" s="134"/>
      <c r="O54" s="134"/>
      <c r="P54" s="134"/>
      <c r="Q54" s="134"/>
      <c r="R54" s="134"/>
      <c r="S54" s="134"/>
      <c r="T54" s="134"/>
      <c r="U54" s="134"/>
      <c r="V54" s="134"/>
      <c r="W54" s="134"/>
      <c r="X54" s="134"/>
      <c r="Y54" s="134"/>
      <c r="Z54" s="134"/>
    </row>
    <row r="55" ht="18.0" customHeight="1">
      <c r="A55" s="131"/>
      <c r="B55" s="164"/>
      <c r="C55" s="168"/>
      <c r="D55" s="157"/>
      <c r="E55" s="166"/>
      <c r="F55" s="167"/>
      <c r="G55" s="134"/>
      <c r="H55" s="134"/>
      <c r="I55" s="134"/>
      <c r="J55" s="134"/>
      <c r="K55" s="134"/>
      <c r="L55" s="134"/>
      <c r="M55" s="134"/>
      <c r="N55" s="134"/>
      <c r="O55" s="134"/>
      <c r="P55" s="134"/>
      <c r="Q55" s="134"/>
      <c r="R55" s="134"/>
      <c r="S55" s="134"/>
      <c r="T55" s="134"/>
      <c r="U55" s="134"/>
      <c r="V55" s="134"/>
      <c r="W55" s="134"/>
      <c r="X55" s="134"/>
      <c r="Y55" s="134"/>
      <c r="Z55" s="134"/>
    </row>
    <row r="56" ht="18.0" customHeight="1">
      <c r="A56" s="131"/>
      <c r="B56" s="164"/>
      <c r="C56" s="168"/>
      <c r="D56" s="157"/>
      <c r="E56" s="166"/>
      <c r="F56" s="167"/>
      <c r="G56" s="134"/>
      <c r="H56" s="134"/>
      <c r="I56" s="134"/>
      <c r="J56" s="134"/>
      <c r="K56" s="134"/>
      <c r="L56" s="134"/>
      <c r="M56" s="134"/>
      <c r="N56" s="134"/>
      <c r="O56" s="134"/>
      <c r="P56" s="134"/>
      <c r="Q56" s="134"/>
      <c r="R56" s="134"/>
      <c r="S56" s="134"/>
      <c r="T56" s="134"/>
      <c r="U56" s="134"/>
      <c r="V56" s="134"/>
      <c r="W56" s="134"/>
      <c r="X56" s="134"/>
      <c r="Y56" s="134"/>
      <c r="Z56" s="134"/>
    </row>
    <row r="57" ht="18.0" customHeight="1">
      <c r="A57" s="131"/>
      <c r="B57" s="164"/>
      <c r="C57" s="168"/>
      <c r="D57" s="157"/>
      <c r="E57" s="166"/>
      <c r="F57" s="167"/>
      <c r="G57" s="134"/>
      <c r="H57" s="134"/>
      <c r="I57" s="134"/>
      <c r="J57" s="134"/>
      <c r="K57" s="134"/>
      <c r="L57" s="134"/>
      <c r="M57" s="134"/>
      <c r="N57" s="134"/>
      <c r="O57" s="134"/>
      <c r="P57" s="134"/>
      <c r="Q57" s="134"/>
      <c r="R57" s="134"/>
      <c r="S57" s="134"/>
      <c r="T57" s="134"/>
      <c r="U57" s="134"/>
      <c r="V57" s="134"/>
      <c r="W57" s="134"/>
      <c r="X57" s="134"/>
      <c r="Y57" s="134"/>
      <c r="Z57" s="134"/>
    </row>
    <row r="58" ht="18.0" customHeight="1">
      <c r="A58" s="131"/>
      <c r="B58" s="164"/>
      <c r="C58" s="165"/>
      <c r="D58" s="169"/>
      <c r="E58" s="164"/>
      <c r="F58" s="170"/>
      <c r="G58" s="134"/>
      <c r="H58" s="134"/>
      <c r="I58" s="134"/>
      <c r="J58" s="134"/>
      <c r="K58" s="134"/>
      <c r="L58" s="134"/>
      <c r="M58" s="134"/>
      <c r="N58" s="134"/>
      <c r="O58" s="134"/>
      <c r="P58" s="134"/>
      <c r="Q58" s="134"/>
      <c r="R58" s="134"/>
      <c r="S58" s="134"/>
      <c r="T58" s="134"/>
      <c r="U58" s="134"/>
      <c r="V58" s="134"/>
      <c r="W58" s="134"/>
      <c r="X58" s="134"/>
      <c r="Y58" s="134"/>
      <c r="Z58" s="134"/>
    </row>
    <row r="59">
      <c r="A59" s="131"/>
      <c r="B59" s="164"/>
      <c r="C59" s="165"/>
      <c r="D59" s="169"/>
      <c r="E59" s="164"/>
      <c r="F59" s="170"/>
      <c r="G59" s="134"/>
      <c r="H59" s="134"/>
      <c r="I59" s="134"/>
      <c r="J59" s="134"/>
      <c r="K59" s="134"/>
      <c r="L59" s="134"/>
      <c r="M59" s="134"/>
      <c r="N59" s="134"/>
      <c r="O59" s="134"/>
      <c r="P59" s="134"/>
      <c r="Q59" s="134"/>
      <c r="R59" s="134"/>
      <c r="S59" s="134"/>
      <c r="T59" s="134"/>
      <c r="U59" s="134"/>
      <c r="V59" s="134"/>
      <c r="W59" s="134"/>
      <c r="X59" s="134"/>
      <c r="Y59" s="134"/>
      <c r="Z59" s="134"/>
    </row>
    <row r="60">
      <c r="A60" s="131"/>
      <c r="B60" s="164"/>
      <c r="C60" s="165"/>
      <c r="D60" s="169"/>
      <c r="E60" s="164"/>
      <c r="F60" s="170"/>
      <c r="G60" s="134"/>
      <c r="H60" s="134"/>
      <c r="I60" s="134"/>
      <c r="J60" s="134"/>
      <c r="K60" s="134"/>
      <c r="L60" s="134"/>
      <c r="M60" s="134"/>
      <c r="N60" s="134"/>
      <c r="O60" s="134"/>
      <c r="P60" s="134"/>
      <c r="Q60" s="134"/>
      <c r="R60" s="134"/>
      <c r="S60" s="134"/>
      <c r="T60" s="134"/>
      <c r="U60" s="134"/>
      <c r="V60" s="134"/>
      <c r="W60" s="134"/>
      <c r="X60" s="134"/>
      <c r="Y60" s="134"/>
      <c r="Z60" s="134"/>
    </row>
    <row r="61">
      <c r="A61" s="131"/>
      <c r="B61" s="164"/>
      <c r="C61" s="165"/>
      <c r="D61" s="169"/>
      <c r="E61" s="164"/>
      <c r="F61" s="170"/>
      <c r="G61" s="134"/>
      <c r="H61" s="134"/>
      <c r="I61" s="134"/>
      <c r="J61" s="134"/>
      <c r="K61" s="134"/>
      <c r="L61" s="134"/>
      <c r="M61" s="134"/>
      <c r="N61" s="134"/>
      <c r="O61" s="134"/>
      <c r="P61" s="134"/>
      <c r="Q61" s="134"/>
      <c r="R61" s="134"/>
      <c r="S61" s="134"/>
      <c r="T61" s="134"/>
      <c r="U61" s="134"/>
      <c r="V61" s="134"/>
      <c r="W61" s="134"/>
      <c r="X61" s="134"/>
      <c r="Y61" s="134"/>
      <c r="Z61" s="134"/>
    </row>
    <row r="62">
      <c r="A62" s="131"/>
      <c r="B62" s="164"/>
      <c r="C62" s="165"/>
      <c r="D62" s="169"/>
      <c r="E62" s="164"/>
      <c r="F62" s="170"/>
      <c r="G62" s="134"/>
      <c r="H62" s="134"/>
      <c r="I62" s="134"/>
      <c r="J62" s="134"/>
      <c r="K62" s="134"/>
      <c r="L62" s="134"/>
      <c r="M62" s="134"/>
      <c r="N62" s="134"/>
      <c r="O62" s="134"/>
      <c r="P62" s="134"/>
      <c r="Q62" s="134"/>
      <c r="R62" s="134"/>
      <c r="S62" s="134"/>
      <c r="T62" s="134"/>
      <c r="U62" s="134"/>
      <c r="V62" s="134"/>
      <c r="W62" s="134"/>
      <c r="X62" s="134"/>
      <c r="Y62" s="134"/>
      <c r="Z62" s="134"/>
    </row>
    <row r="63">
      <c r="A63" s="131"/>
      <c r="B63" s="164"/>
      <c r="C63" s="165"/>
      <c r="D63" s="169"/>
      <c r="E63" s="164"/>
      <c r="F63" s="170"/>
      <c r="G63" s="134"/>
      <c r="H63" s="134"/>
      <c r="I63" s="134"/>
      <c r="J63" s="134"/>
      <c r="K63" s="134"/>
      <c r="L63" s="134"/>
      <c r="M63" s="134"/>
      <c r="N63" s="134"/>
      <c r="O63" s="134"/>
      <c r="P63" s="134"/>
      <c r="Q63" s="134"/>
      <c r="R63" s="134"/>
      <c r="S63" s="134"/>
      <c r="T63" s="134"/>
      <c r="U63" s="134"/>
      <c r="V63" s="134"/>
      <c r="W63" s="134"/>
      <c r="X63" s="134"/>
      <c r="Y63" s="134"/>
      <c r="Z63" s="134"/>
    </row>
    <row r="64">
      <c r="A64" s="131"/>
      <c r="B64" s="164"/>
      <c r="C64" s="165"/>
      <c r="D64" s="169"/>
      <c r="E64" s="164"/>
      <c r="F64" s="170"/>
      <c r="G64" s="134"/>
      <c r="H64" s="134"/>
      <c r="I64" s="134"/>
      <c r="J64" s="134"/>
      <c r="K64" s="134"/>
      <c r="L64" s="134"/>
      <c r="M64" s="134"/>
      <c r="N64" s="134"/>
      <c r="O64" s="134"/>
      <c r="P64" s="134"/>
      <c r="Q64" s="134"/>
      <c r="R64" s="134"/>
      <c r="S64" s="134"/>
      <c r="T64" s="134"/>
      <c r="U64" s="134"/>
      <c r="V64" s="134"/>
      <c r="W64" s="134"/>
      <c r="X64" s="134"/>
      <c r="Y64" s="134"/>
      <c r="Z64" s="134"/>
    </row>
    <row r="65">
      <c r="A65" s="131"/>
      <c r="B65" s="164"/>
      <c r="C65" s="165"/>
      <c r="D65" s="171"/>
      <c r="E65" s="164"/>
      <c r="F65" s="170"/>
      <c r="G65" s="134"/>
      <c r="H65" s="134"/>
      <c r="I65" s="134"/>
      <c r="J65" s="134"/>
      <c r="K65" s="134"/>
      <c r="L65" s="134"/>
      <c r="M65" s="134"/>
      <c r="N65" s="134"/>
      <c r="O65" s="134"/>
      <c r="P65" s="134"/>
      <c r="Q65" s="134"/>
      <c r="R65" s="134"/>
      <c r="S65" s="134"/>
      <c r="T65" s="134"/>
      <c r="U65" s="134"/>
      <c r="V65" s="134"/>
      <c r="W65" s="134"/>
      <c r="X65" s="134"/>
      <c r="Y65" s="134"/>
      <c r="Z65" s="134"/>
    </row>
    <row r="66">
      <c r="A66" s="131"/>
      <c r="B66" s="164"/>
      <c r="C66" s="165"/>
      <c r="D66" s="171"/>
      <c r="E66" s="164"/>
      <c r="F66" s="170"/>
      <c r="G66" s="134"/>
      <c r="H66" s="134"/>
      <c r="I66" s="134"/>
      <c r="J66" s="134"/>
      <c r="K66" s="134"/>
      <c r="L66" s="134"/>
      <c r="M66" s="134"/>
      <c r="N66" s="134"/>
      <c r="O66" s="134"/>
      <c r="P66" s="134"/>
      <c r="Q66" s="134"/>
      <c r="R66" s="134"/>
      <c r="S66" s="134"/>
      <c r="T66" s="134"/>
      <c r="U66" s="134"/>
      <c r="V66" s="134"/>
      <c r="W66" s="134"/>
      <c r="X66" s="134"/>
      <c r="Y66" s="134"/>
      <c r="Z66" s="134"/>
    </row>
    <row r="67">
      <c r="A67" s="131"/>
      <c r="B67" s="164"/>
      <c r="C67" s="165"/>
      <c r="D67" s="171"/>
      <c r="E67" s="164"/>
      <c r="F67" s="170"/>
      <c r="G67" s="134"/>
      <c r="H67" s="134"/>
      <c r="I67" s="134"/>
      <c r="J67" s="134"/>
      <c r="K67" s="134"/>
      <c r="L67" s="134"/>
      <c r="M67" s="134"/>
      <c r="N67" s="134"/>
      <c r="O67" s="134"/>
      <c r="P67" s="134"/>
      <c r="Q67" s="134"/>
      <c r="R67" s="134"/>
      <c r="S67" s="134"/>
      <c r="T67" s="134"/>
      <c r="U67" s="134"/>
      <c r="V67" s="134"/>
      <c r="W67" s="134"/>
      <c r="X67" s="134"/>
      <c r="Y67" s="134"/>
      <c r="Z67" s="134"/>
    </row>
    <row r="68">
      <c r="A68" s="131"/>
      <c r="B68" s="164"/>
      <c r="C68" s="165"/>
      <c r="D68" s="171"/>
      <c r="E68" s="164"/>
      <c r="F68" s="170"/>
      <c r="G68" s="134"/>
      <c r="H68" s="134"/>
      <c r="I68" s="134"/>
      <c r="J68" s="134"/>
      <c r="K68" s="134"/>
      <c r="L68" s="134"/>
      <c r="M68" s="134"/>
      <c r="N68" s="134"/>
      <c r="O68" s="134"/>
      <c r="P68" s="134"/>
      <c r="Q68" s="134"/>
      <c r="R68" s="134"/>
      <c r="S68" s="134"/>
      <c r="T68" s="134"/>
      <c r="U68" s="134"/>
      <c r="V68" s="134"/>
      <c r="W68" s="134"/>
      <c r="X68" s="134"/>
      <c r="Y68" s="134"/>
      <c r="Z68" s="134"/>
    </row>
    <row r="69">
      <c r="A69" s="131"/>
      <c r="B69" s="164"/>
      <c r="C69" s="165"/>
      <c r="D69" s="171"/>
      <c r="E69" s="164"/>
      <c r="F69" s="170"/>
      <c r="G69" s="134"/>
      <c r="H69" s="134"/>
      <c r="I69" s="134"/>
      <c r="J69" s="134"/>
      <c r="K69" s="134"/>
      <c r="L69" s="134"/>
      <c r="M69" s="134"/>
      <c r="N69" s="134"/>
      <c r="O69" s="134"/>
      <c r="P69" s="134"/>
      <c r="Q69" s="134"/>
      <c r="R69" s="134"/>
      <c r="S69" s="134"/>
      <c r="T69" s="134"/>
      <c r="U69" s="134"/>
      <c r="V69" s="134"/>
      <c r="W69" s="134"/>
      <c r="X69" s="134"/>
      <c r="Y69" s="134"/>
      <c r="Z69" s="134"/>
    </row>
    <row r="70">
      <c r="A70" s="131"/>
      <c r="B70" s="164"/>
      <c r="C70" s="165"/>
      <c r="D70" s="171"/>
      <c r="E70" s="164"/>
      <c r="F70" s="170"/>
      <c r="G70" s="134"/>
      <c r="H70" s="134"/>
      <c r="I70" s="134"/>
      <c r="J70" s="134"/>
      <c r="K70" s="134"/>
      <c r="L70" s="134"/>
      <c r="M70" s="134"/>
      <c r="N70" s="134"/>
      <c r="O70" s="134"/>
      <c r="P70" s="134"/>
      <c r="Q70" s="134"/>
      <c r="R70" s="134"/>
      <c r="S70" s="134"/>
      <c r="T70" s="134"/>
      <c r="U70" s="134"/>
      <c r="V70" s="134"/>
      <c r="W70" s="134"/>
      <c r="X70" s="134"/>
      <c r="Y70" s="134"/>
      <c r="Z70" s="134"/>
    </row>
    <row r="71">
      <c r="A71" s="131"/>
      <c r="B71" s="164"/>
      <c r="C71" s="165"/>
      <c r="D71" s="171"/>
      <c r="E71" s="164"/>
      <c r="F71" s="170"/>
      <c r="G71" s="134"/>
      <c r="H71" s="134"/>
      <c r="I71" s="134"/>
      <c r="J71" s="134"/>
      <c r="K71" s="134"/>
      <c r="L71" s="134"/>
      <c r="M71" s="134"/>
      <c r="N71" s="134"/>
      <c r="O71" s="134"/>
      <c r="P71" s="134"/>
      <c r="Q71" s="134"/>
      <c r="R71" s="134"/>
      <c r="S71" s="134"/>
      <c r="T71" s="134"/>
      <c r="U71" s="134"/>
      <c r="V71" s="134"/>
      <c r="W71" s="134"/>
      <c r="X71" s="134"/>
      <c r="Y71" s="134"/>
      <c r="Z71" s="134"/>
    </row>
    <row r="72">
      <c r="A72" s="131"/>
      <c r="B72" s="164"/>
      <c r="C72" s="165"/>
      <c r="D72" s="171"/>
      <c r="E72" s="164"/>
      <c r="F72" s="170"/>
      <c r="G72" s="134"/>
      <c r="H72" s="134"/>
      <c r="I72" s="134"/>
      <c r="J72" s="134"/>
      <c r="K72" s="134"/>
      <c r="L72" s="134"/>
      <c r="M72" s="134"/>
      <c r="N72" s="134"/>
      <c r="O72" s="134"/>
      <c r="P72" s="134"/>
      <c r="Q72" s="134"/>
      <c r="R72" s="134"/>
      <c r="S72" s="134"/>
      <c r="T72" s="134"/>
      <c r="U72" s="134"/>
      <c r="V72" s="134"/>
      <c r="W72" s="134"/>
      <c r="X72" s="134"/>
      <c r="Y72" s="134"/>
      <c r="Z72" s="134"/>
    </row>
    <row r="73">
      <c r="A73" s="131"/>
      <c r="B73" s="164"/>
      <c r="C73" s="165"/>
      <c r="D73" s="171"/>
      <c r="E73" s="164"/>
      <c r="F73" s="170"/>
      <c r="G73" s="134"/>
      <c r="H73" s="134"/>
      <c r="I73" s="134"/>
      <c r="J73" s="134"/>
      <c r="K73" s="134"/>
      <c r="L73" s="134"/>
      <c r="M73" s="134"/>
      <c r="N73" s="134"/>
      <c r="O73" s="134"/>
      <c r="P73" s="134"/>
      <c r="Q73" s="134"/>
      <c r="R73" s="134"/>
      <c r="S73" s="134"/>
      <c r="T73" s="134"/>
      <c r="U73" s="134"/>
      <c r="V73" s="134"/>
      <c r="W73" s="134"/>
      <c r="X73" s="134"/>
      <c r="Y73" s="134"/>
      <c r="Z73" s="134"/>
    </row>
    <row r="74">
      <c r="A74" s="131"/>
      <c r="B74" s="164"/>
      <c r="C74" s="165"/>
      <c r="D74" s="171"/>
      <c r="E74" s="164"/>
      <c r="F74" s="170"/>
      <c r="G74" s="134"/>
      <c r="H74" s="134"/>
      <c r="I74" s="134"/>
      <c r="J74" s="134"/>
      <c r="K74" s="134"/>
      <c r="L74" s="134"/>
      <c r="M74" s="134"/>
      <c r="N74" s="134"/>
      <c r="O74" s="134"/>
      <c r="P74" s="134"/>
      <c r="Q74" s="134"/>
      <c r="R74" s="134"/>
      <c r="S74" s="134"/>
      <c r="T74" s="134"/>
      <c r="U74" s="134"/>
      <c r="V74" s="134"/>
      <c r="W74" s="134"/>
      <c r="X74" s="134"/>
      <c r="Y74" s="134"/>
      <c r="Z74" s="134"/>
    </row>
    <row r="75">
      <c r="A75" s="131"/>
      <c r="B75" s="164"/>
      <c r="C75" s="165"/>
      <c r="D75" s="171"/>
      <c r="E75" s="164"/>
      <c r="F75" s="170"/>
      <c r="G75" s="134"/>
      <c r="H75" s="134"/>
      <c r="I75" s="134"/>
      <c r="J75" s="134"/>
      <c r="K75" s="134"/>
      <c r="L75" s="134"/>
      <c r="M75" s="134"/>
      <c r="N75" s="134"/>
      <c r="O75" s="134"/>
      <c r="P75" s="134"/>
      <c r="Q75" s="134"/>
      <c r="R75" s="134"/>
      <c r="S75" s="134"/>
      <c r="T75" s="134"/>
      <c r="U75" s="134"/>
      <c r="V75" s="134"/>
      <c r="W75" s="134"/>
      <c r="X75" s="134"/>
      <c r="Y75" s="134"/>
      <c r="Z75" s="134"/>
    </row>
    <row r="76">
      <c r="A76" s="131"/>
      <c r="B76" s="164"/>
      <c r="C76" s="165"/>
      <c r="D76" s="171"/>
      <c r="E76" s="164"/>
      <c r="F76" s="170"/>
      <c r="G76" s="134"/>
      <c r="H76" s="134"/>
      <c r="I76" s="134"/>
      <c r="J76" s="134"/>
      <c r="K76" s="134"/>
      <c r="L76" s="134"/>
      <c r="M76" s="134"/>
      <c r="N76" s="134"/>
      <c r="O76" s="134"/>
      <c r="P76" s="134"/>
      <c r="Q76" s="134"/>
      <c r="R76" s="134"/>
      <c r="S76" s="134"/>
      <c r="T76" s="134"/>
      <c r="U76" s="134"/>
      <c r="V76" s="134"/>
      <c r="W76" s="134"/>
      <c r="X76" s="134"/>
      <c r="Y76" s="134"/>
      <c r="Z76" s="134"/>
    </row>
    <row r="77">
      <c r="A77" s="131"/>
      <c r="B77" s="164"/>
      <c r="C77" s="165"/>
      <c r="D77" s="171"/>
      <c r="E77" s="164"/>
      <c r="F77" s="170"/>
      <c r="G77" s="134"/>
      <c r="H77" s="134"/>
      <c r="I77" s="134"/>
      <c r="J77" s="134"/>
      <c r="K77" s="134"/>
      <c r="L77" s="134"/>
      <c r="M77" s="134"/>
      <c r="N77" s="134"/>
      <c r="O77" s="134"/>
      <c r="P77" s="134"/>
      <c r="Q77" s="134"/>
      <c r="R77" s="134"/>
      <c r="S77" s="134"/>
      <c r="T77" s="134"/>
      <c r="U77" s="134"/>
      <c r="V77" s="134"/>
      <c r="W77" s="134"/>
      <c r="X77" s="134"/>
      <c r="Y77" s="134"/>
      <c r="Z77" s="134"/>
    </row>
    <row r="78">
      <c r="A78" s="131"/>
      <c r="B78" s="164"/>
      <c r="C78" s="165"/>
      <c r="D78" s="171"/>
      <c r="E78" s="164"/>
      <c r="F78" s="170"/>
      <c r="G78" s="134"/>
      <c r="H78" s="134"/>
      <c r="I78" s="134"/>
      <c r="J78" s="134"/>
      <c r="K78" s="134"/>
      <c r="L78" s="134"/>
      <c r="M78" s="134"/>
      <c r="N78" s="134"/>
      <c r="O78" s="134"/>
      <c r="P78" s="134"/>
      <c r="Q78" s="134"/>
      <c r="R78" s="134"/>
      <c r="S78" s="134"/>
      <c r="T78" s="134"/>
      <c r="U78" s="134"/>
      <c r="V78" s="134"/>
      <c r="W78" s="134"/>
      <c r="X78" s="134"/>
      <c r="Y78" s="134"/>
      <c r="Z78" s="134"/>
    </row>
    <row r="79">
      <c r="A79" s="131"/>
      <c r="B79" s="164"/>
      <c r="C79" s="165"/>
      <c r="D79" s="171"/>
      <c r="E79" s="164"/>
      <c r="F79" s="170"/>
      <c r="G79" s="134"/>
      <c r="H79" s="134"/>
      <c r="I79" s="134"/>
      <c r="J79" s="134"/>
      <c r="K79" s="134"/>
      <c r="L79" s="134"/>
      <c r="M79" s="134"/>
      <c r="N79" s="134"/>
      <c r="O79" s="134"/>
      <c r="P79" s="134"/>
      <c r="Q79" s="134"/>
      <c r="R79" s="134"/>
      <c r="S79" s="134"/>
      <c r="T79" s="134"/>
      <c r="U79" s="134"/>
      <c r="V79" s="134"/>
      <c r="W79" s="134"/>
      <c r="X79" s="134"/>
      <c r="Y79" s="134"/>
      <c r="Z79" s="134"/>
    </row>
    <row r="80">
      <c r="A80" s="131"/>
      <c r="B80" s="164"/>
      <c r="C80" s="165"/>
      <c r="D80" s="171"/>
      <c r="E80" s="164"/>
      <c r="F80" s="170"/>
      <c r="G80" s="134"/>
      <c r="H80" s="134"/>
      <c r="I80" s="134"/>
      <c r="J80" s="134"/>
      <c r="K80" s="134"/>
      <c r="L80" s="134"/>
      <c r="M80" s="134"/>
      <c r="N80" s="134"/>
      <c r="O80" s="134"/>
      <c r="P80" s="134"/>
      <c r="Q80" s="134"/>
      <c r="R80" s="134"/>
      <c r="S80" s="134"/>
      <c r="T80" s="134"/>
      <c r="U80" s="134"/>
      <c r="V80" s="134"/>
      <c r="W80" s="134"/>
      <c r="X80" s="134"/>
      <c r="Y80" s="134"/>
      <c r="Z80" s="134"/>
    </row>
    <row r="81">
      <c r="A81" s="131"/>
      <c r="B81" s="164"/>
      <c r="C81" s="165"/>
      <c r="D81" s="171"/>
      <c r="E81" s="164"/>
      <c r="F81" s="170"/>
      <c r="G81" s="134"/>
      <c r="H81" s="134"/>
      <c r="I81" s="134"/>
      <c r="J81" s="134"/>
      <c r="K81" s="134"/>
      <c r="L81" s="134"/>
      <c r="M81" s="134"/>
      <c r="N81" s="134"/>
      <c r="O81" s="134"/>
      <c r="P81" s="134"/>
      <c r="Q81" s="134"/>
      <c r="R81" s="134"/>
      <c r="S81" s="134"/>
      <c r="T81" s="134"/>
      <c r="U81" s="134"/>
      <c r="V81" s="134"/>
      <c r="W81" s="134"/>
      <c r="X81" s="134"/>
      <c r="Y81" s="134"/>
      <c r="Z81" s="134"/>
    </row>
    <row r="82">
      <c r="A82" s="131"/>
      <c r="B82" s="164"/>
      <c r="C82" s="165"/>
      <c r="D82" s="171"/>
      <c r="E82" s="164"/>
      <c r="F82" s="170"/>
      <c r="G82" s="134"/>
      <c r="H82" s="134"/>
      <c r="I82" s="134"/>
      <c r="J82" s="134"/>
      <c r="K82" s="134"/>
      <c r="L82" s="134"/>
      <c r="M82" s="134"/>
      <c r="N82" s="134"/>
      <c r="O82" s="134"/>
      <c r="P82" s="134"/>
      <c r="Q82" s="134"/>
      <c r="R82" s="134"/>
      <c r="S82" s="134"/>
      <c r="T82" s="134"/>
      <c r="U82" s="134"/>
      <c r="V82" s="134"/>
      <c r="W82" s="134"/>
      <c r="X82" s="134"/>
      <c r="Y82" s="134"/>
      <c r="Z82" s="134"/>
    </row>
    <row r="83">
      <c r="A83" s="131"/>
      <c r="B83" s="164"/>
      <c r="C83" s="165"/>
      <c r="D83" s="171"/>
      <c r="E83" s="164"/>
      <c r="F83" s="170"/>
      <c r="G83" s="134"/>
      <c r="H83" s="134"/>
      <c r="I83" s="134"/>
      <c r="J83" s="134"/>
      <c r="K83" s="134"/>
      <c r="L83" s="134"/>
      <c r="M83" s="134"/>
      <c r="N83" s="134"/>
      <c r="O83" s="134"/>
      <c r="P83" s="134"/>
      <c r="Q83" s="134"/>
      <c r="R83" s="134"/>
      <c r="S83" s="134"/>
      <c r="T83" s="134"/>
      <c r="U83" s="134"/>
      <c r="V83" s="134"/>
      <c r="W83" s="134"/>
      <c r="X83" s="134"/>
      <c r="Y83" s="134"/>
      <c r="Z83" s="134"/>
    </row>
    <row r="84">
      <c r="A84" s="131"/>
      <c r="B84" s="164"/>
      <c r="C84" s="165"/>
      <c r="D84" s="171"/>
      <c r="E84" s="164"/>
      <c r="F84" s="170"/>
      <c r="G84" s="134"/>
      <c r="H84" s="134"/>
      <c r="I84" s="134"/>
      <c r="J84" s="134"/>
      <c r="K84" s="134"/>
      <c r="L84" s="134"/>
      <c r="M84" s="134"/>
      <c r="N84" s="134"/>
      <c r="O84" s="134"/>
      <c r="P84" s="134"/>
      <c r="Q84" s="134"/>
      <c r="R84" s="134"/>
      <c r="S84" s="134"/>
      <c r="T84" s="134"/>
      <c r="U84" s="134"/>
      <c r="V84" s="134"/>
      <c r="W84" s="134"/>
      <c r="X84" s="134"/>
      <c r="Y84" s="134"/>
      <c r="Z84" s="134"/>
    </row>
    <row r="85">
      <c r="A85" s="131"/>
      <c r="B85" s="164"/>
      <c r="C85" s="165"/>
      <c r="D85" s="171"/>
      <c r="E85" s="164"/>
      <c r="F85" s="170"/>
      <c r="G85" s="134"/>
      <c r="H85" s="134"/>
      <c r="I85" s="134"/>
      <c r="J85" s="134"/>
      <c r="K85" s="134"/>
      <c r="L85" s="134"/>
      <c r="M85" s="134"/>
      <c r="N85" s="134"/>
      <c r="O85" s="134"/>
      <c r="P85" s="134"/>
      <c r="Q85" s="134"/>
      <c r="R85" s="134"/>
      <c r="S85" s="134"/>
      <c r="T85" s="134"/>
      <c r="U85" s="134"/>
      <c r="V85" s="134"/>
      <c r="W85" s="134"/>
      <c r="X85" s="134"/>
      <c r="Y85" s="134"/>
      <c r="Z85" s="134"/>
    </row>
    <row r="86">
      <c r="A86" s="131"/>
      <c r="B86" s="164"/>
      <c r="C86" s="165"/>
      <c r="D86" s="171"/>
      <c r="E86" s="164"/>
      <c r="F86" s="170"/>
      <c r="G86" s="134"/>
      <c r="H86" s="134"/>
      <c r="I86" s="134"/>
      <c r="J86" s="134"/>
      <c r="K86" s="134"/>
      <c r="L86" s="134"/>
      <c r="M86" s="134"/>
      <c r="N86" s="134"/>
      <c r="O86" s="134"/>
      <c r="P86" s="134"/>
      <c r="Q86" s="134"/>
      <c r="R86" s="134"/>
      <c r="S86" s="134"/>
      <c r="T86" s="134"/>
      <c r="U86" s="134"/>
      <c r="V86" s="134"/>
      <c r="W86" s="134"/>
      <c r="X86" s="134"/>
      <c r="Y86" s="134"/>
      <c r="Z86" s="134"/>
    </row>
    <row r="87">
      <c r="A87" s="131"/>
      <c r="B87" s="164"/>
      <c r="C87" s="165"/>
      <c r="D87" s="171"/>
      <c r="E87" s="164"/>
      <c r="F87" s="170"/>
      <c r="G87" s="134"/>
      <c r="H87" s="134"/>
      <c r="I87" s="134"/>
      <c r="J87" s="134"/>
      <c r="K87" s="134"/>
      <c r="L87" s="134"/>
      <c r="M87" s="134"/>
      <c r="N87" s="134"/>
      <c r="O87" s="134"/>
      <c r="P87" s="134"/>
      <c r="Q87" s="134"/>
      <c r="R87" s="134"/>
      <c r="S87" s="134"/>
      <c r="T87" s="134"/>
      <c r="U87" s="134"/>
      <c r="V87" s="134"/>
      <c r="W87" s="134"/>
      <c r="X87" s="134"/>
      <c r="Y87" s="134"/>
      <c r="Z87" s="134"/>
    </row>
    <row r="88">
      <c r="A88" s="131"/>
      <c r="B88" s="164"/>
      <c r="C88" s="165"/>
      <c r="D88" s="171"/>
      <c r="E88" s="164"/>
      <c r="F88" s="170"/>
      <c r="G88" s="134"/>
      <c r="H88" s="134"/>
      <c r="I88" s="134"/>
      <c r="J88" s="134"/>
      <c r="K88" s="134"/>
      <c r="L88" s="134"/>
      <c r="M88" s="134"/>
      <c r="N88" s="134"/>
      <c r="O88" s="134"/>
      <c r="P88" s="134"/>
      <c r="Q88" s="134"/>
      <c r="R88" s="134"/>
      <c r="S88" s="134"/>
      <c r="T88" s="134"/>
      <c r="U88" s="134"/>
      <c r="V88" s="134"/>
      <c r="W88" s="134"/>
      <c r="X88" s="134"/>
      <c r="Y88" s="134"/>
      <c r="Z88" s="134"/>
    </row>
    <row r="89">
      <c r="A89" s="131"/>
      <c r="B89" s="164"/>
      <c r="C89" s="165"/>
      <c r="D89" s="171"/>
      <c r="E89" s="164"/>
      <c r="F89" s="170"/>
      <c r="G89" s="134"/>
      <c r="H89" s="134"/>
      <c r="I89" s="134"/>
      <c r="J89" s="134"/>
      <c r="K89" s="134"/>
      <c r="L89" s="134"/>
      <c r="M89" s="134"/>
      <c r="N89" s="134"/>
      <c r="O89" s="134"/>
      <c r="P89" s="134"/>
      <c r="Q89" s="134"/>
      <c r="R89" s="134"/>
      <c r="S89" s="134"/>
      <c r="T89" s="134"/>
      <c r="U89" s="134"/>
      <c r="V89" s="134"/>
      <c r="W89" s="134"/>
      <c r="X89" s="134"/>
      <c r="Y89" s="134"/>
      <c r="Z89" s="134"/>
    </row>
    <row r="90">
      <c r="A90" s="131"/>
      <c r="B90" s="164"/>
      <c r="C90" s="165"/>
      <c r="D90" s="171"/>
      <c r="E90" s="164"/>
      <c r="F90" s="170"/>
      <c r="G90" s="134"/>
      <c r="H90" s="134"/>
      <c r="I90" s="134"/>
      <c r="J90" s="134"/>
      <c r="K90" s="134"/>
      <c r="L90" s="134"/>
      <c r="M90" s="134"/>
      <c r="N90" s="134"/>
      <c r="O90" s="134"/>
      <c r="P90" s="134"/>
      <c r="Q90" s="134"/>
      <c r="R90" s="134"/>
      <c r="S90" s="134"/>
      <c r="T90" s="134"/>
      <c r="U90" s="134"/>
      <c r="V90" s="134"/>
      <c r="W90" s="134"/>
      <c r="X90" s="134"/>
      <c r="Y90" s="134"/>
      <c r="Z90" s="134"/>
    </row>
    <row r="91">
      <c r="A91" s="131"/>
      <c r="B91" s="164"/>
      <c r="C91" s="165"/>
      <c r="D91" s="171"/>
      <c r="E91" s="164"/>
      <c r="F91" s="170"/>
      <c r="G91" s="134"/>
      <c r="H91" s="134"/>
      <c r="I91" s="134"/>
      <c r="J91" s="134"/>
      <c r="K91" s="134"/>
      <c r="L91" s="134"/>
      <c r="M91" s="134"/>
      <c r="N91" s="134"/>
      <c r="O91" s="134"/>
      <c r="P91" s="134"/>
      <c r="Q91" s="134"/>
      <c r="R91" s="134"/>
      <c r="S91" s="134"/>
      <c r="T91" s="134"/>
      <c r="U91" s="134"/>
      <c r="V91" s="134"/>
      <c r="W91" s="134"/>
      <c r="X91" s="134"/>
      <c r="Y91" s="134"/>
      <c r="Z91" s="134"/>
    </row>
    <row r="92">
      <c r="A92" s="131"/>
      <c r="B92" s="164"/>
      <c r="C92" s="165"/>
      <c r="D92" s="171"/>
      <c r="E92" s="164"/>
      <c r="F92" s="170"/>
      <c r="G92" s="134"/>
      <c r="H92" s="134"/>
      <c r="I92" s="134"/>
      <c r="J92" s="134"/>
      <c r="K92" s="134"/>
      <c r="L92" s="134"/>
      <c r="M92" s="134"/>
      <c r="N92" s="134"/>
      <c r="O92" s="134"/>
      <c r="P92" s="134"/>
      <c r="Q92" s="134"/>
      <c r="R92" s="134"/>
      <c r="S92" s="134"/>
      <c r="T92" s="134"/>
      <c r="U92" s="134"/>
      <c r="V92" s="134"/>
      <c r="W92" s="134"/>
      <c r="X92" s="134"/>
      <c r="Y92" s="134"/>
      <c r="Z92" s="134"/>
    </row>
    <row r="93">
      <c r="A93" s="131"/>
      <c r="B93" s="164"/>
      <c r="C93" s="165"/>
      <c r="D93" s="171"/>
      <c r="E93" s="164"/>
      <c r="F93" s="170"/>
      <c r="G93" s="134"/>
      <c r="H93" s="134"/>
      <c r="I93" s="134"/>
      <c r="J93" s="134"/>
      <c r="K93" s="134"/>
      <c r="L93" s="134"/>
      <c r="M93" s="134"/>
      <c r="N93" s="134"/>
      <c r="O93" s="134"/>
      <c r="P93" s="134"/>
      <c r="Q93" s="134"/>
      <c r="R93" s="134"/>
      <c r="S93" s="134"/>
      <c r="T93" s="134"/>
      <c r="U93" s="134"/>
      <c r="V93" s="134"/>
      <c r="W93" s="134"/>
      <c r="X93" s="134"/>
      <c r="Y93" s="134"/>
      <c r="Z93" s="134"/>
    </row>
    <row r="94">
      <c r="A94" s="131"/>
      <c r="B94" s="164"/>
      <c r="C94" s="165"/>
      <c r="D94" s="171"/>
      <c r="E94" s="164"/>
      <c r="F94" s="170"/>
      <c r="G94" s="134"/>
      <c r="H94" s="134"/>
      <c r="I94" s="134"/>
      <c r="J94" s="134"/>
      <c r="K94" s="134"/>
      <c r="L94" s="134"/>
      <c r="M94" s="134"/>
      <c r="N94" s="134"/>
      <c r="O94" s="134"/>
      <c r="P94" s="134"/>
      <c r="Q94" s="134"/>
      <c r="R94" s="134"/>
      <c r="S94" s="134"/>
      <c r="T94" s="134"/>
      <c r="U94" s="134"/>
      <c r="V94" s="134"/>
      <c r="W94" s="134"/>
      <c r="X94" s="134"/>
      <c r="Y94" s="134"/>
      <c r="Z94" s="134"/>
    </row>
    <row r="95">
      <c r="A95" s="131"/>
      <c r="B95" s="164"/>
      <c r="C95" s="165"/>
      <c r="D95" s="171"/>
      <c r="E95" s="164"/>
      <c r="F95" s="170"/>
      <c r="G95" s="134"/>
      <c r="H95" s="134"/>
      <c r="I95" s="134"/>
      <c r="J95" s="134"/>
      <c r="K95" s="134"/>
      <c r="L95" s="134"/>
      <c r="M95" s="134"/>
      <c r="N95" s="134"/>
      <c r="O95" s="134"/>
      <c r="P95" s="134"/>
      <c r="Q95" s="134"/>
      <c r="R95" s="134"/>
      <c r="S95" s="134"/>
      <c r="T95" s="134"/>
      <c r="U95" s="134"/>
      <c r="V95" s="134"/>
      <c r="W95" s="134"/>
      <c r="X95" s="134"/>
      <c r="Y95" s="134"/>
      <c r="Z95" s="134"/>
    </row>
    <row r="96">
      <c r="A96" s="131"/>
      <c r="B96" s="164"/>
      <c r="C96" s="165"/>
      <c r="D96" s="171"/>
      <c r="E96" s="164"/>
      <c r="F96" s="170"/>
      <c r="G96" s="134"/>
      <c r="H96" s="134"/>
      <c r="I96" s="134"/>
      <c r="J96" s="134"/>
      <c r="K96" s="134"/>
      <c r="L96" s="134"/>
      <c r="M96" s="134"/>
      <c r="N96" s="134"/>
      <c r="O96" s="134"/>
      <c r="P96" s="134"/>
      <c r="Q96" s="134"/>
      <c r="R96" s="134"/>
      <c r="S96" s="134"/>
      <c r="T96" s="134"/>
      <c r="U96" s="134"/>
      <c r="V96" s="134"/>
      <c r="W96" s="134"/>
      <c r="X96" s="134"/>
      <c r="Y96" s="134"/>
      <c r="Z96" s="134"/>
    </row>
    <row r="97">
      <c r="A97" s="131"/>
      <c r="B97" s="164"/>
      <c r="C97" s="165"/>
      <c r="D97" s="171"/>
      <c r="E97" s="164"/>
      <c r="F97" s="170"/>
      <c r="G97" s="134"/>
      <c r="H97" s="134"/>
      <c r="I97" s="134"/>
      <c r="J97" s="134"/>
      <c r="K97" s="134"/>
      <c r="L97" s="134"/>
      <c r="M97" s="134"/>
      <c r="N97" s="134"/>
      <c r="O97" s="134"/>
      <c r="P97" s="134"/>
      <c r="Q97" s="134"/>
      <c r="R97" s="134"/>
      <c r="S97" s="134"/>
      <c r="T97" s="134"/>
      <c r="U97" s="134"/>
      <c r="V97" s="134"/>
      <c r="W97" s="134"/>
      <c r="X97" s="134"/>
      <c r="Y97" s="134"/>
      <c r="Z97" s="134"/>
    </row>
    <row r="98">
      <c r="A98" s="131"/>
      <c r="B98" s="164"/>
      <c r="C98" s="165"/>
      <c r="D98" s="171"/>
      <c r="E98" s="164"/>
      <c r="F98" s="170"/>
      <c r="G98" s="134"/>
      <c r="H98" s="134"/>
      <c r="I98" s="134"/>
      <c r="J98" s="134"/>
      <c r="K98" s="134"/>
      <c r="L98" s="134"/>
      <c r="M98" s="134"/>
      <c r="N98" s="134"/>
      <c r="O98" s="134"/>
      <c r="P98" s="134"/>
      <c r="Q98" s="134"/>
      <c r="R98" s="134"/>
      <c r="S98" s="134"/>
      <c r="T98" s="134"/>
      <c r="U98" s="134"/>
      <c r="V98" s="134"/>
      <c r="W98" s="134"/>
      <c r="X98" s="134"/>
      <c r="Y98" s="134"/>
      <c r="Z98" s="134"/>
    </row>
    <row r="99">
      <c r="A99" s="131"/>
      <c r="B99" s="164"/>
      <c r="C99" s="165"/>
      <c r="D99" s="171"/>
      <c r="E99" s="164"/>
      <c r="F99" s="170"/>
      <c r="G99" s="134"/>
      <c r="H99" s="134"/>
      <c r="I99" s="134"/>
      <c r="J99" s="134"/>
      <c r="K99" s="134"/>
      <c r="L99" s="134"/>
      <c r="M99" s="134"/>
      <c r="N99" s="134"/>
      <c r="O99" s="134"/>
      <c r="P99" s="134"/>
      <c r="Q99" s="134"/>
      <c r="R99" s="134"/>
      <c r="S99" s="134"/>
      <c r="T99" s="134"/>
      <c r="U99" s="134"/>
      <c r="V99" s="134"/>
      <c r="W99" s="134"/>
      <c r="X99" s="134"/>
      <c r="Y99" s="134"/>
      <c r="Z99" s="134"/>
    </row>
    <row r="100">
      <c r="A100" s="131"/>
      <c r="B100" s="164"/>
      <c r="C100" s="165"/>
      <c r="D100" s="171"/>
      <c r="E100" s="164"/>
      <c r="F100" s="170"/>
      <c r="G100" s="134"/>
      <c r="H100" s="134"/>
      <c r="I100" s="134"/>
      <c r="J100" s="134"/>
      <c r="K100" s="134"/>
      <c r="L100" s="134"/>
      <c r="M100" s="134"/>
      <c r="N100" s="134"/>
      <c r="O100" s="134"/>
      <c r="P100" s="134"/>
      <c r="Q100" s="134"/>
      <c r="R100" s="134"/>
      <c r="S100" s="134"/>
      <c r="T100" s="134"/>
      <c r="U100" s="134"/>
      <c r="V100" s="134"/>
      <c r="W100" s="134"/>
      <c r="X100" s="134"/>
      <c r="Y100" s="134"/>
      <c r="Z100" s="134"/>
    </row>
    <row r="101">
      <c r="A101" s="131"/>
      <c r="B101" s="164"/>
      <c r="C101" s="165"/>
      <c r="D101" s="171"/>
      <c r="E101" s="164"/>
      <c r="F101" s="170"/>
      <c r="G101" s="134"/>
      <c r="H101" s="134"/>
      <c r="I101" s="134"/>
      <c r="J101" s="134"/>
      <c r="K101" s="134"/>
      <c r="L101" s="134"/>
      <c r="M101" s="134"/>
      <c r="N101" s="134"/>
      <c r="O101" s="134"/>
      <c r="P101" s="134"/>
      <c r="Q101" s="134"/>
      <c r="R101" s="134"/>
      <c r="S101" s="134"/>
      <c r="T101" s="134"/>
      <c r="U101" s="134"/>
      <c r="V101" s="134"/>
      <c r="W101" s="134"/>
      <c r="X101" s="134"/>
      <c r="Y101" s="134"/>
      <c r="Z101" s="134"/>
    </row>
    <row r="102">
      <c r="A102" s="131"/>
      <c r="B102" s="164"/>
      <c r="C102" s="165"/>
      <c r="D102" s="171"/>
      <c r="E102" s="164"/>
      <c r="F102" s="170"/>
      <c r="G102" s="134"/>
      <c r="H102" s="134"/>
      <c r="I102" s="134"/>
      <c r="J102" s="134"/>
      <c r="K102" s="134"/>
      <c r="L102" s="134"/>
      <c r="M102" s="134"/>
      <c r="N102" s="134"/>
      <c r="O102" s="134"/>
      <c r="P102" s="134"/>
      <c r="Q102" s="134"/>
      <c r="R102" s="134"/>
      <c r="S102" s="134"/>
      <c r="T102" s="134"/>
      <c r="U102" s="134"/>
      <c r="V102" s="134"/>
      <c r="W102" s="134"/>
      <c r="X102" s="134"/>
      <c r="Y102" s="134"/>
      <c r="Z102" s="134"/>
    </row>
    <row r="103">
      <c r="A103" s="131"/>
      <c r="B103" s="164"/>
      <c r="C103" s="165"/>
      <c r="D103" s="171"/>
      <c r="E103" s="164"/>
      <c r="F103" s="170"/>
      <c r="G103" s="134"/>
      <c r="H103" s="134"/>
      <c r="I103" s="134"/>
      <c r="J103" s="134"/>
      <c r="K103" s="134"/>
      <c r="L103" s="134"/>
      <c r="M103" s="134"/>
      <c r="N103" s="134"/>
      <c r="O103" s="134"/>
      <c r="P103" s="134"/>
      <c r="Q103" s="134"/>
      <c r="R103" s="134"/>
      <c r="S103" s="134"/>
      <c r="T103" s="134"/>
      <c r="U103" s="134"/>
      <c r="V103" s="134"/>
      <c r="W103" s="134"/>
      <c r="X103" s="134"/>
      <c r="Y103" s="134"/>
      <c r="Z103" s="134"/>
    </row>
    <row r="104">
      <c r="A104" s="131"/>
      <c r="B104" s="164"/>
      <c r="C104" s="165"/>
      <c r="D104" s="171"/>
      <c r="E104" s="164"/>
      <c r="F104" s="170"/>
      <c r="G104" s="134"/>
      <c r="H104" s="134"/>
      <c r="I104" s="134"/>
      <c r="J104" s="134"/>
      <c r="K104" s="134"/>
      <c r="L104" s="134"/>
      <c r="M104" s="134"/>
      <c r="N104" s="134"/>
      <c r="O104" s="134"/>
      <c r="P104" s="134"/>
      <c r="Q104" s="134"/>
      <c r="R104" s="134"/>
      <c r="S104" s="134"/>
      <c r="T104" s="134"/>
      <c r="U104" s="134"/>
      <c r="V104" s="134"/>
      <c r="W104" s="134"/>
      <c r="X104" s="134"/>
      <c r="Y104" s="134"/>
      <c r="Z104" s="134"/>
    </row>
    <row r="105">
      <c r="A105" s="131"/>
      <c r="B105" s="164"/>
      <c r="C105" s="165"/>
      <c r="D105" s="171"/>
      <c r="E105" s="164"/>
      <c r="F105" s="170"/>
      <c r="G105" s="134"/>
      <c r="H105" s="134"/>
      <c r="I105" s="134"/>
      <c r="J105" s="134"/>
      <c r="K105" s="134"/>
      <c r="L105" s="134"/>
      <c r="M105" s="134"/>
      <c r="N105" s="134"/>
      <c r="O105" s="134"/>
      <c r="P105" s="134"/>
      <c r="Q105" s="134"/>
      <c r="R105" s="134"/>
      <c r="S105" s="134"/>
      <c r="T105" s="134"/>
      <c r="U105" s="134"/>
      <c r="V105" s="134"/>
      <c r="W105" s="134"/>
      <c r="X105" s="134"/>
      <c r="Y105" s="134"/>
      <c r="Z105" s="134"/>
    </row>
    <row r="106">
      <c r="A106" s="131"/>
      <c r="B106" s="164"/>
      <c r="C106" s="165"/>
      <c r="D106" s="171"/>
      <c r="E106" s="164"/>
      <c r="F106" s="170"/>
      <c r="G106" s="134"/>
      <c r="H106" s="134"/>
      <c r="I106" s="134"/>
      <c r="J106" s="134"/>
      <c r="K106" s="134"/>
      <c r="L106" s="134"/>
      <c r="M106" s="134"/>
      <c r="N106" s="134"/>
      <c r="O106" s="134"/>
      <c r="P106" s="134"/>
      <c r="Q106" s="134"/>
      <c r="R106" s="134"/>
      <c r="S106" s="134"/>
      <c r="T106" s="134"/>
      <c r="U106" s="134"/>
      <c r="V106" s="134"/>
      <c r="W106" s="134"/>
      <c r="X106" s="134"/>
      <c r="Y106" s="134"/>
      <c r="Z106" s="134"/>
    </row>
    <row r="107">
      <c r="A107" s="131"/>
      <c r="B107" s="164"/>
      <c r="C107" s="165"/>
      <c r="D107" s="171"/>
      <c r="E107" s="164"/>
      <c r="F107" s="170"/>
      <c r="G107" s="134"/>
      <c r="H107" s="134"/>
      <c r="I107" s="134"/>
      <c r="J107" s="134"/>
      <c r="K107" s="134"/>
      <c r="L107" s="134"/>
      <c r="M107" s="134"/>
      <c r="N107" s="134"/>
      <c r="O107" s="134"/>
      <c r="P107" s="134"/>
      <c r="Q107" s="134"/>
      <c r="R107" s="134"/>
      <c r="S107" s="134"/>
      <c r="T107" s="134"/>
      <c r="U107" s="134"/>
      <c r="V107" s="134"/>
      <c r="W107" s="134"/>
      <c r="X107" s="134"/>
      <c r="Y107" s="134"/>
      <c r="Z107" s="134"/>
    </row>
    <row r="108">
      <c r="A108" s="131"/>
      <c r="B108" s="164"/>
      <c r="C108" s="165"/>
      <c r="D108" s="171"/>
      <c r="E108" s="164"/>
      <c r="F108" s="170"/>
      <c r="G108" s="134"/>
      <c r="H108" s="134"/>
      <c r="I108" s="134"/>
      <c r="J108" s="134"/>
      <c r="K108" s="134"/>
      <c r="L108" s="134"/>
      <c r="M108" s="134"/>
      <c r="N108" s="134"/>
      <c r="O108" s="134"/>
      <c r="P108" s="134"/>
      <c r="Q108" s="134"/>
      <c r="R108" s="134"/>
      <c r="S108" s="134"/>
      <c r="T108" s="134"/>
      <c r="U108" s="134"/>
      <c r="V108" s="134"/>
      <c r="W108" s="134"/>
      <c r="X108" s="134"/>
      <c r="Y108" s="134"/>
      <c r="Z108" s="134"/>
    </row>
    <row r="109">
      <c r="A109" s="131"/>
      <c r="B109" s="164"/>
      <c r="C109" s="165"/>
      <c r="D109" s="171"/>
      <c r="E109" s="164"/>
      <c r="F109" s="170"/>
      <c r="G109" s="134"/>
      <c r="H109" s="134"/>
      <c r="I109" s="134"/>
      <c r="J109" s="134"/>
      <c r="K109" s="134"/>
      <c r="L109" s="134"/>
      <c r="M109" s="134"/>
      <c r="N109" s="134"/>
      <c r="O109" s="134"/>
      <c r="P109" s="134"/>
      <c r="Q109" s="134"/>
      <c r="R109" s="134"/>
      <c r="S109" s="134"/>
      <c r="T109" s="134"/>
      <c r="U109" s="134"/>
      <c r="V109" s="134"/>
      <c r="W109" s="134"/>
      <c r="X109" s="134"/>
      <c r="Y109" s="134"/>
      <c r="Z109" s="134"/>
    </row>
    <row r="110">
      <c r="A110" s="131"/>
      <c r="B110" s="164"/>
      <c r="C110" s="165"/>
      <c r="D110" s="171"/>
      <c r="E110" s="164"/>
      <c r="F110" s="170"/>
      <c r="G110" s="134"/>
      <c r="H110" s="134"/>
      <c r="I110" s="134"/>
      <c r="J110" s="134"/>
      <c r="K110" s="134"/>
      <c r="L110" s="134"/>
      <c r="M110" s="134"/>
      <c r="N110" s="134"/>
      <c r="O110" s="134"/>
      <c r="P110" s="134"/>
      <c r="Q110" s="134"/>
      <c r="R110" s="134"/>
      <c r="S110" s="134"/>
      <c r="T110" s="134"/>
      <c r="U110" s="134"/>
      <c r="V110" s="134"/>
      <c r="W110" s="134"/>
      <c r="X110" s="134"/>
      <c r="Y110" s="134"/>
      <c r="Z110" s="134"/>
    </row>
    <row r="111">
      <c r="A111" s="131"/>
      <c r="B111" s="164"/>
      <c r="C111" s="165"/>
      <c r="D111" s="171"/>
      <c r="E111" s="164"/>
      <c r="F111" s="170"/>
      <c r="G111" s="134"/>
      <c r="H111" s="134"/>
      <c r="I111" s="134"/>
      <c r="J111" s="134"/>
      <c r="K111" s="134"/>
      <c r="L111" s="134"/>
      <c r="M111" s="134"/>
      <c r="N111" s="134"/>
      <c r="O111" s="134"/>
      <c r="P111" s="134"/>
      <c r="Q111" s="134"/>
      <c r="R111" s="134"/>
      <c r="S111" s="134"/>
      <c r="T111" s="134"/>
      <c r="U111" s="134"/>
      <c r="V111" s="134"/>
      <c r="W111" s="134"/>
      <c r="X111" s="134"/>
      <c r="Y111" s="134"/>
      <c r="Z111" s="134"/>
    </row>
    <row r="112">
      <c r="A112" s="131"/>
      <c r="B112" s="164"/>
      <c r="C112" s="165"/>
      <c r="D112" s="171"/>
      <c r="E112" s="164"/>
      <c r="F112" s="170"/>
      <c r="G112" s="134"/>
      <c r="H112" s="134"/>
      <c r="I112" s="134"/>
      <c r="J112" s="134"/>
      <c r="K112" s="134"/>
      <c r="L112" s="134"/>
      <c r="M112" s="134"/>
      <c r="N112" s="134"/>
      <c r="O112" s="134"/>
      <c r="P112" s="134"/>
      <c r="Q112" s="134"/>
      <c r="R112" s="134"/>
      <c r="S112" s="134"/>
      <c r="T112" s="134"/>
      <c r="U112" s="134"/>
      <c r="V112" s="134"/>
      <c r="W112" s="134"/>
      <c r="X112" s="134"/>
      <c r="Y112" s="134"/>
      <c r="Z112" s="134"/>
    </row>
    <row r="113">
      <c r="A113" s="131"/>
      <c r="B113" s="164"/>
      <c r="C113" s="165"/>
      <c r="D113" s="171"/>
      <c r="E113" s="164"/>
      <c r="F113" s="170"/>
      <c r="G113" s="134"/>
      <c r="H113" s="134"/>
      <c r="I113" s="134"/>
      <c r="J113" s="134"/>
      <c r="K113" s="134"/>
      <c r="L113" s="134"/>
      <c r="M113" s="134"/>
      <c r="N113" s="134"/>
      <c r="O113" s="134"/>
      <c r="P113" s="134"/>
      <c r="Q113" s="134"/>
      <c r="R113" s="134"/>
      <c r="S113" s="134"/>
      <c r="T113" s="134"/>
      <c r="U113" s="134"/>
      <c r="V113" s="134"/>
      <c r="W113" s="134"/>
      <c r="X113" s="134"/>
      <c r="Y113" s="134"/>
      <c r="Z113" s="134"/>
    </row>
    <row r="114">
      <c r="A114" s="131"/>
      <c r="B114" s="164"/>
      <c r="C114" s="165"/>
      <c r="D114" s="171"/>
      <c r="E114" s="164"/>
      <c r="F114" s="170"/>
      <c r="G114" s="134"/>
      <c r="H114" s="134"/>
      <c r="I114" s="134"/>
      <c r="J114" s="134"/>
      <c r="K114" s="134"/>
      <c r="L114" s="134"/>
      <c r="M114" s="134"/>
      <c r="N114" s="134"/>
      <c r="O114" s="134"/>
      <c r="P114" s="134"/>
      <c r="Q114" s="134"/>
      <c r="R114" s="134"/>
      <c r="S114" s="134"/>
      <c r="T114" s="134"/>
      <c r="U114" s="134"/>
      <c r="V114" s="134"/>
      <c r="W114" s="134"/>
      <c r="X114" s="134"/>
      <c r="Y114" s="134"/>
      <c r="Z114" s="134"/>
    </row>
    <row r="115">
      <c r="A115" s="131"/>
      <c r="B115" s="164"/>
      <c r="C115" s="165"/>
      <c r="D115" s="171"/>
      <c r="E115" s="164"/>
      <c r="F115" s="170"/>
      <c r="G115" s="134"/>
      <c r="H115" s="134"/>
      <c r="I115" s="134"/>
      <c r="J115" s="134"/>
      <c r="K115" s="134"/>
      <c r="L115" s="134"/>
      <c r="M115" s="134"/>
      <c r="N115" s="134"/>
      <c r="O115" s="134"/>
      <c r="P115" s="134"/>
      <c r="Q115" s="134"/>
      <c r="R115" s="134"/>
      <c r="S115" s="134"/>
      <c r="T115" s="134"/>
      <c r="U115" s="134"/>
      <c r="V115" s="134"/>
      <c r="W115" s="134"/>
      <c r="X115" s="134"/>
      <c r="Y115" s="134"/>
      <c r="Z115" s="134"/>
    </row>
    <row r="116">
      <c r="A116" s="131"/>
      <c r="B116" s="164"/>
      <c r="C116" s="165"/>
      <c r="D116" s="171"/>
      <c r="E116" s="164"/>
      <c r="F116" s="170"/>
      <c r="G116" s="134"/>
      <c r="H116" s="134"/>
      <c r="I116" s="134"/>
      <c r="J116" s="134"/>
      <c r="K116" s="134"/>
      <c r="L116" s="134"/>
      <c r="M116" s="134"/>
      <c r="N116" s="134"/>
      <c r="O116" s="134"/>
      <c r="P116" s="134"/>
      <c r="Q116" s="134"/>
      <c r="R116" s="134"/>
      <c r="S116" s="134"/>
      <c r="T116" s="134"/>
      <c r="U116" s="134"/>
      <c r="V116" s="134"/>
      <c r="W116" s="134"/>
      <c r="X116" s="134"/>
      <c r="Y116" s="134"/>
      <c r="Z116" s="134"/>
    </row>
    <row r="117">
      <c r="A117" s="131"/>
      <c r="B117" s="164"/>
      <c r="C117" s="165"/>
      <c r="D117" s="171"/>
      <c r="E117" s="164"/>
      <c r="F117" s="170"/>
      <c r="G117" s="134"/>
      <c r="H117" s="134"/>
      <c r="I117" s="134"/>
      <c r="J117" s="134"/>
      <c r="K117" s="134"/>
      <c r="L117" s="134"/>
      <c r="M117" s="134"/>
      <c r="N117" s="134"/>
      <c r="O117" s="134"/>
      <c r="P117" s="134"/>
      <c r="Q117" s="134"/>
      <c r="R117" s="134"/>
      <c r="S117" s="134"/>
      <c r="T117" s="134"/>
      <c r="U117" s="134"/>
      <c r="V117" s="134"/>
      <c r="W117" s="134"/>
      <c r="X117" s="134"/>
      <c r="Y117" s="134"/>
      <c r="Z117" s="134"/>
    </row>
    <row r="118">
      <c r="A118" s="131"/>
      <c r="B118" s="164"/>
      <c r="C118" s="165"/>
      <c r="D118" s="171"/>
      <c r="E118" s="164"/>
      <c r="F118" s="170"/>
      <c r="G118" s="134"/>
      <c r="H118" s="134"/>
      <c r="I118" s="134"/>
      <c r="J118" s="134"/>
      <c r="K118" s="134"/>
      <c r="L118" s="134"/>
      <c r="M118" s="134"/>
      <c r="N118" s="134"/>
      <c r="O118" s="134"/>
      <c r="P118" s="134"/>
      <c r="Q118" s="134"/>
      <c r="R118" s="134"/>
      <c r="S118" s="134"/>
      <c r="T118" s="134"/>
      <c r="U118" s="134"/>
      <c r="V118" s="134"/>
      <c r="W118" s="134"/>
      <c r="X118" s="134"/>
      <c r="Y118" s="134"/>
      <c r="Z118" s="134"/>
    </row>
    <row r="119">
      <c r="A119" s="131"/>
      <c r="B119" s="164"/>
      <c r="C119" s="165"/>
      <c r="D119" s="171"/>
      <c r="E119" s="164"/>
      <c r="F119" s="170"/>
      <c r="G119" s="134"/>
      <c r="H119" s="134"/>
      <c r="I119" s="134"/>
      <c r="J119" s="134"/>
      <c r="K119" s="134"/>
      <c r="L119" s="134"/>
      <c r="M119" s="134"/>
      <c r="N119" s="134"/>
      <c r="O119" s="134"/>
      <c r="P119" s="134"/>
      <c r="Q119" s="134"/>
      <c r="R119" s="134"/>
      <c r="S119" s="134"/>
      <c r="T119" s="134"/>
      <c r="U119" s="134"/>
      <c r="V119" s="134"/>
      <c r="W119" s="134"/>
      <c r="X119" s="134"/>
      <c r="Y119" s="134"/>
      <c r="Z119" s="134"/>
    </row>
    <row r="120">
      <c r="A120" s="131"/>
      <c r="B120" s="164"/>
      <c r="C120" s="165"/>
      <c r="D120" s="171"/>
      <c r="E120" s="164"/>
      <c r="F120" s="170"/>
      <c r="G120" s="134"/>
      <c r="H120" s="134"/>
      <c r="I120" s="134"/>
      <c r="J120" s="134"/>
      <c r="K120" s="134"/>
      <c r="L120" s="134"/>
      <c r="M120" s="134"/>
      <c r="N120" s="134"/>
      <c r="O120" s="134"/>
      <c r="P120" s="134"/>
      <c r="Q120" s="134"/>
      <c r="R120" s="134"/>
      <c r="S120" s="134"/>
      <c r="T120" s="134"/>
      <c r="U120" s="134"/>
      <c r="V120" s="134"/>
      <c r="W120" s="134"/>
      <c r="X120" s="134"/>
      <c r="Y120" s="134"/>
      <c r="Z120" s="134"/>
    </row>
    <row r="121">
      <c r="A121" s="131"/>
      <c r="B121" s="164"/>
      <c r="C121" s="165"/>
      <c r="D121" s="171"/>
      <c r="E121" s="164"/>
      <c r="F121" s="170"/>
      <c r="G121" s="134"/>
      <c r="H121" s="134"/>
      <c r="I121" s="134"/>
      <c r="J121" s="134"/>
      <c r="K121" s="134"/>
      <c r="L121" s="134"/>
      <c r="M121" s="134"/>
      <c r="N121" s="134"/>
      <c r="O121" s="134"/>
      <c r="P121" s="134"/>
      <c r="Q121" s="134"/>
      <c r="R121" s="134"/>
      <c r="S121" s="134"/>
      <c r="T121" s="134"/>
      <c r="U121" s="134"/>
      <c r="V121" s="134"/>
      <c r="W121" s="134"/>
      <c r="X121" s="134"/>
      <c r="Y121" s="134"/>
      <c r="Z121" s="134"/>
    </row>
    <row r="122">
      <c r="A122" s="131"/>
      <c r="B122" s="164"/>
      <c r="C122" s="165"/>
      <c r="D122" s="171"/>
      <c r="E122" s="164"/>
      <c r="F122" s="170"/>
      <c r="G122" s="134"/>
      <c r="H122" s="134"/>
      <c r="I122" s="134"/>
      <c r="J122" s="134"/>
      <c r="K122" s="134"/>
      <c r="L122" s="134"/>
      <c r="M122" s="134"/>
      <c r="N122" s="134"/>
      <c r="O122" s="134"/>
      <c r="P122" s="134"/>
      <c r="Q122" s="134"/>
      <c r="R122" s="134"/>
      <c r="S122" s="134"/>
      <c r="T122" s="134"/>
      <c r="U122" s="134"/>
      <c r="V122" s="134"/>
      <c r="W122" s="134"/>
      <c r="X122" s="134"/>
      <c r="Y122" s="134"/>
      <c r="Z122" s="134"/>
    </row>
    <row r="123">
      <c r="A123" s="131"/>
      <c r="B123" s="164"/>
      <c r="C123" s="165"/>
      <c r="D123" s="171"/>
      <c r="E123" s="164"/>
      <c r="F123" s="170"/>
      <c r="G123" s="134"/>
      <c r="H123" s="134"/>
      <c r="I123" s="134"/>
      <c r="J123" s="134"/>
      <c r="K123" s="134"/>
      <c r="L123" s="134"/>
      <c r="M123" s="134"/>
      <c r="N123" s="134"/>
      <c r="O123" s="134"/>
      <c r="P123" s="134"/>
      <c r="Q123" s="134"/>
      <c r="R123" s="134"/>
      <c r="S123" s="134"/>
      <c r="T123" s="134"/>
      <c r="U123" s="134"/>
      <c r="V123" s="134"/>
      <c r="W123" s="134"/>
      <c r="X123" s="134"/>
      <c r="Y123" s="134"/>
      <c r="Z123" s="134"/>
    </row>
    <row r="124">
      <c r="A124" s="131"/>
      <c r="B124" s="164"/>
      <c r="C124" s="165"/>
      <c r="D124" s="171"/>
      <c r="E124" s="164"/>
      <c r="F124" s="170"/>
      <c r="G124" s="134"/>
      <c r="H124" s="134"/>
      <c r="I124" s="134"/>
      <c r="J124" s="134"/>
      <c r="K124" s="134"/>
      <c r="L124" s="134"/>
      <c r="M124" s="134"/>
      <c r="N124" s="134"/>
      <c r="O124" s="134"/>
      <c r="P124" s="134"/>
      <c r="Q124" s="134"/>
      <c r="R124" s="134"/>
      <c r="S124" s="134"/>
      <c r="T124" s="134"/>
      <c r="U124" s="134"/>
      <c r="V124" s="134"/>
      <c r="W124" s="134"/>
      <c r="X124" s="134"/>
      <c r="Y124" s="134"/>
      <c r="Z124" s="134"/>
    </row>
    <row r="125">
      <c r="A125" s="131"/>
      <c r="B125" s="164"/>
      <c r="C125" s="165"/>
      <c r="D125" s="171"/>
      <c r="E125" s="164"/>
      <c r="F125" s="170"/>
      <c r="G125" s="134"/>
      <c r="H125" s="134"/>
      <c r="I125" s="134"/>
      <c r="J125" s="134"/>
      <c r="K125" s="134"/>
      <c r="L125" s="134"/>
      <c r="M125" s="134"/>
      <c r="N125" s="134"/>
      <c r="O125" s="134"/>
      <c r="P125" s="134"/>
      <c r="Q125" s="134"/>
      <c r="R125" s="134"/>
      <c r="S125" s="134"/>
      <c r="T125" s="134"/>
      <c r="U125" s="134"/>
      <c r="V125" s="134"/>
      <c r="W125" s="134"/>
      <c r="X125" s="134"/>
      <c r="Y125" s="134"/>
      <c r="Z125" s="134"/>
    </row>
    <row r="126">
      <c r="A126" s="131"/>
      <c r="B126" s="164"/>
      <c r="C126" s="165"/>
      <c r="D126" s="171"/>
      <c r="E126" s="164"/>
      <c r="F126" s="170"/>
      <c r="G126" s="134"/>
      <c r="H126" s="134"/>
      <c r="I126" s="134"/>
      <c r="J126" s="134"/>
      <c r="K126" s="134"/>
      <c r="L126" s="134"/>
      <c r="M126" s="134"/>
      <c r="N126" s="134"/>
      <c r="O126" s="134"/>
      <c r="P126" s="134"/>
      <c r="Q126" s="134"/>
      <c r="R126" s="134"/>
      <c r="S126" s="134"/>
      <c r="T126" s="134"/>
      <c r="U126" s="134"/>
      <c r="V126" s="134"/>
      <c r="W126" s="134"/>
      <c r="X126" s="134"/>
      <c r="Y126" s="134"/>
      <c r="Z126" s="134"/>
    </row>
    <row r="127">
      <c r="A127" s="131"/>
      <c r="B127" s="164"/>
      <c r="C127" s="165"/>
      <c r="D127" s="171"/>
      <c r="E127" s="164"/>
      <c r="F127" s="170"/>
      <c r="G127" s="134"/>
      <c r="H127" s="134"/>
      <c r="I127" s="134"/>
      <c r="J127" s="134"/>
      <c r="K127" s="134"/>
      <c r="L127" s="134"/>
      <c r="M127" s="134"/>
      <c r="N127" s="134"/>
      <c r="O127" s="134"/>
      <c r="P127" s="134"/>
      <c r="Q127" s="134"/>
      <c r="R127" s="134"/>
      <c r="S127" s="134"/>
      <c r="T127" s="134"/>
      <c r="U127" s="134"/>
      <c r="V127" s="134"/>
      <c r="W127" s="134"/>
      <c r="X127" s="134"/>
      <c r="Y127" s="134"/>
      <c r="Z127" s="134"/>
    </row>
    <row r="128">
      <c r="A128" s="131"/>
      <c r="B128" s="164"/>
      <c r="C128" s="165"/>
      <c r="D128" s="171"/>
      <c r="E128" s="164"/>
      <c r="F128" s="170"/>
      <c r="G128" s="134"/>
      <c r="H128" s="134"/>
      <c r="I128" s="134"/>
      <c r="J128" s="134"/>
      <c r="K128" s="134"/>
      <c r="L128" s="134"/>
      <c r="M128" s="134"/>
      <c r="N128" s="134"/>
      <c r="O128" s="134"/>
      <c r="P128" s="134"/>
      <c r="Q128" s="134"/>
      <c r="R128" s="134"/>
      <c r="S128" s="134"/>
      <c r="T128" s="134"/>
      <c r="U128" s="134"/>
      <c r="V128" s="134"/>
      <c r="W128" s="134"/>
      <c r="X128" s="134"/>
      <c r="Y128" s="134"/>
      <c r="Z128" s="134"/>
    </row>
    <row r="129">
      <c r="A129" s="131"/>
      <c r="B129" s="164"/>
      <c r="C129" s="165"/>
      <c r="D129" s="171"/>
      <c r="E129" s="164"/>
      <c r="F129" s="170"/>
      <c r="G129" s="134"/>
      <c r="H129" s="134"/>
      <c r="I129" s="134"/>
      <c r="J129" s="134"/>
      <c r="K129" s="134"/>
      <c r="L129" s="134"/>
      <c r="M129" s="134"/>
      <c r="N129" s="134"/>
      <c r="O129" s="134"/>
      <c r="P129" s="134"/>
      <c r="Q129" s="134"/>
      <c r="R129" s="134"/>
      <c r="S129" s="134"/>
      <c r="T129" s="134"/>
      <c r="U129" s="134"/>
      <c r="V129" s="134"/>
      <c r="W129" s="134"/>
      <c r="X129" s="134"/>
      <c r="Y129" s="134"/>
      <c r="Z129" s="134"/>
    </row>
    <row r="130">
      <c r="A130" s="131"/>
      <c r="B130" s="164"/>
      <c r="C130" s="165"/>
      <c r="D130" s="171"/>
      <c r="E130" s="164"/>
      <c r="F130" s="170"/>
      <c r="G130" s="134"/>
      <c r="H130" s="134"/>
      <c r="I130" s="134"/>
      <c r="J130" s="134"/>
      <c r="K130" s="134"/>
      <c r="L130" s="134"/>
      <c r="M130" s="134"/>
      <c r="N130" s="134"/>
      <c r="O130" s="134"/>
      <c r="P130" s="134"/>
      <c r="Q130" s="134"/>
      <c r="R130" s="134"/>
      <c r="S130" s="134"/>
      <c r="T130" s="134"/>
      <c r="U130" s="134"/>
      <c r="V130" s="134"/>
      <c r="W130" s="134"/>
      <c r="X130" s="134"/>
      <c r="Y130" s="134"/>
      <c r="Z130" s="134"/>
    </row>
    <row r="131">
      <c r="A131" s="131"/>
      <c r="B131" s="164"/>
      <c r="C131" s="165"/>
      <c r="D131" s="171"/>
      <c r="E131" s="164"/>
      <c r="F131" s="170"/>
      <c r="G131" s="134"/>
      <c r="H131" s="134"/>
      <c r="I131" s="134"/>
      <c r="J131" s="134"/>
      <c r="K131" s="134"/>
      <c r="L131" s="134"/>
      <c r="M131" s="134"/>
      <c r="N131" s="134"/>
      <c r="O131" s="134"/>
      <c r="P131" s="134"/>
      <c r="Q131" s="134"/>
      <c r="R131" s="134"/>
      <c r="S131" s="134"/>
      <c r="T131" s="134"/>
      <c r="U131" s="134"/>
      <c r="V131" s="134"/>
      <c r="W131" s="134"/>
      <c r="X131" s="134"/>
      <c r="Y131" s="134"/>
      <c r="Z131" s="134"/>
    </row>
    <row r="132">
      <c r="A132" s="131"/>
      <c r="B132" s="164"/>
      <c r="C132" s="165"/>
      <c r="D132" s="171"/>
      <c r="E132" s="164"/>
      <c r="F132" s="170"/>
      <c r="G132" s="134"/>
      <c r="H132" s="134"/>
      <c r="I132" s="134"/>
      <c r="J132" s="134"/>
      <c r="K132" s="134"/>
      <c r="L132" s="134"/>
      <c r="M132" s="134"/>
      <c r="N132" s="134"/>
      <c r="O132" s="134"/>
      <c r="P132" s="134"/>
      <c r="Q132" s="134"/>
      <c r="R132" s="134"/>
      <c r="S132" s="134"/>
      <c r="T132" s="134"/>
      <c r="U132" s="134"/>
      <c r="V132" s="134"/>
      <c r="W132" s="134"/>
      <c r="X132" s="134"/>
      <c r="Y132" s="134"/>
      <c r="Z132" s="134"/>
    </row>
    <row r="133">
      <c r="A133" s="131"/>
      <c r="B133" s="164"/>
      <c r="C133" s="165"/>
      <c r="D133" s="171"/>
      <c r="E133" s="164"/>
      <c r="F133" s="170"/>
      <c r="G133" s="134"/>
      <c r="H133" s="134"/>
      <c r="I133" s="134"/>
      <c r="J133" s="134"/>
      <c r="K133" s="134"/>
      <c r="L133" s="134"/>
      <c r="M133" s="134"/>
      <c r="N133" s="134"/>
      <c r="O133" s="134"/>
      <c r="P133" s="134"/>
      <c r="Q133" s="134"/>
      <c r="R133" s="134"/>
      <c r="S133" s="134"/>
      <c r="T133" s="134"/>
      <c r="U133" s="134"/>
      <c r="V133" s="134"/>
      <c r="W133" s="134"/>
      <c r="X133" s="134"/>
      <c r="Y133" s="134"/>
      <c r="Z133" s="134"/>
    </row>
    <row r="134">
      <c r="A134" s="131"/>
      <c r="B134" s="164"/>
      <c r="C134" s="165"/>
      <c r="D134" s="171"/>
      <c r="E134" s="164"/>
      <c r="F134" s="170"/>
      <c r="G134" s="134"/>
      <c r="H134" s="134"/>
      <c r="I134" s="134"/>
      <c r="J134" s="134"/>
      <c r="K134" s="134"/>
      <c r="L134" s="134"/>
      <c r="M134" s="134"/>
      <c r="N134" s="134"/>
      <c r="O134" s="134"/>
      <c r="P134" s="134"/>
      <c r="Q134" s="134"/>
      <c r="R134" s="134"/>
      <c r="S134" s="134"/>
      <c r="T134" s="134"/>
      <c r="U134" s="134"/>
      <c r="V134" s="134"/>
      <c r="W134" s="134"/>
      <c r="X134" s="134"/>
      <c r="Y134" s="134"/>
      <c r="Z134" s="134"/>
    </row>
    <row r="135">
      <c r="A135" s="131"/>
      <c r="B135" s="164"/>
      <c r="C135" s="165"/>
      <c r="D135" s="171"/>
      <c r="E135" s="164"/>
      <c r="F135" s="170"/>
      <c r="G135" s="134"/>
      <c r="H135" s="134"/>
      <c r="I135" s="134"/>
      <c r="J135" s="134"/>
      <c r="K135" s="134"/>
      <c r="L135" s="134"/>
      <c r="M135" s="134"/>
      <c r="N135" s="134"/>
      <c r="O135" s="134"/>
      <c r="P135" s="134"/>
      <c r="Q135" s="134"/>
      <c r="R135" s="134"/>
      <c r="S135" s="134"/>
      <c r="T135" s="134"/>
      <c r="U135" s="134"/>
      <c r="V135" s="134"/>
      <c r="W135" s="134"/>
      <c r="X135" s="134"/>
      <c r="Y135" s="134"/>
      <c r="Z135" s="134"/>
    </row>
    <row r="136">
      <c r="A136" s="131"/>
      <c r="B136" s="164"/>
      <c r="C136" s="165"/>
      <c r="D136" s="171"/>
      <c r="E136" s="164"/>
      <c r="F136" s="170"/>
      <c r="G136" s="134"/>
      <c r="H136" s="134"/>
      <c r="I136" s="134"/>
      <c r="J136" s="134"/>
      <c r="K136" s="134"/>
      <c r="L136" s="134"/>
      <c r="M136" s="134"/>
      <c r="N136" s="134"/>
      <c r="O136" s="134"/>
      <c r="P136" s="134"/>
      <c r="Q136" s="134"/>
      <c r="R136" s="134"/>
      <c r="S136" s="134"/>
      <c r="T136" s="134"/>
      <c r="U136" s="134"/>
      <c r="V136" s="134"/>
      <c r="W136" s="134"/>
      <c r="X136" s="134"/>
      <c r="Y136" s="134"/>
      <c r="Z136" s="134"/>
    </row>
    <row r="137">
      <c r="A137" s="131"/>
      <c r="B137" s="164"/>
      <c r="C137" s="165"/>
      <c r="D137" s="171"/>
      <c r="E137" s="164"/>
      <c r="F137" s="170"/>
      <c r="G137" s="134"/>
      <c r="H137" s="134"/>
      <c r="I137" s="134"/>
      <c r="J137" s="134"/>
      <c r="K137" s="134"/>
      <c r="L137" s="134"/>
      <c r="M137" s="134"/>
      <c r="N137" s="134"/>
      <c r="O137" s="134"/>
      <c r="P137" s="134"/>
      <c r="Q137" s="134"/>
      <c r="R137" s="134"/>
      <c r="S137" s="134"/>
      <c r="T137" s="134"/>
      <c r="U137" s="134"/>
      <c r="V137" s="134"/>
      <c r="W137" s="134"/>
      <c r="X137" s="134"/>
      <c r="Y137" s="134"/>
      <c r="Z137" s="134"/>
    </row>
    <row r="138">
      <c r="A138" s="131"/>
      <c r="B138" s="164"/>
      <c r="C138" s="165"/>
      <c r="D138" s="171"/>
      <c r="E138" s="164"/>
      <c r="F138" s="170"/>
      <c r="G138" s="134"/>
      <c r="H138" s="134"/>
      <c r="I138" s="134"/>
      <c r="J138" s="134"/>
      <c r="K138" s="134"/>
      <c r="L138" s="134"/>
      <c r="M138" s="134"/>
      <c r="N138" s="134"/>
      <c r="O138" s="134"/>
      <c r="P138" s="134"/>
      <c r="Q138" s="134"/>
      <c r="R138" s="134"/>
      <c r="S138" s="134"/>
      <c r="T138" s="134"/>
      <c r="U138" s="134"/>
      <c r="V138" s="134"/>
      <c r="W138" s="134"/>
      <c r="X138" s="134"/>
      <c r="Y138" s="134"/>
      <c r="Z138" s="134"/>
    </row>
    <row r="139">
      <c r="A139" s="131"/>
      <c r="B139" s="164"/>
      <c r="C139" s="165"/>
      <c r="D139" s="171"/>
      <c r="E139" s="164"/>
      <c r="F139" s="170"/>
      <c r="G139" s="134"/>
      <c r="H139" s="134"/>
      <c r="I139" s="134"/>
      <c r="J139" s="134"/>
      <c r="K139" s="134"/>
      <c r="L139" s="134"/>
      <c r="M139" s="134"/>
      <c r="N139" s="134"/>
      <c r="O139" s="134"/>
      <c r="P139" s="134"/>
      <c r="Q139" s="134"/>
      <c r="R139" s="134"/>
      <c r="S139" s="134"/>
      <c r="T139" s="134"/>
      <c r="U139" s="134"/>
      <c r="V139" s="134"/>
      <c r="W139" s="134"/>
      <c r="X139" s="134"/>
      <c r="Y139" s="134"/>
      <c r="Z139" s="134"/>
    </row>
    <row r="140">
      <c r="A140" s="131"/>
      <c r="B140" s="164"/>
      <c r="C140" s="165"/>
      <c r="D140" s="171"/>
      <c r="E140" s="164"/>
      <c r="F140" s="170"/>
      <c r="G140" s="134"/>
      <c r="H140" s="134"/>
      <c r="I140" s="134"/>
      <c r="J140" s="134"/>
      <c r="K140" s="134"/>
      <c r="L140" s="134"/>
      <c r="M140" s="134"/>
      <c r="N140" s="134"/>
      <c r="O140" s="134"/>
      <c r="P140" s="134"/>
      <c r="Q140" s="134"/>
      <c r="R140" s="134"/>
      <c r="S140" s="134"/>
      <c r="T140" s="134"/>
      <c r="U140" s="134"/>
      <c r="V140" s="134"/>
      <c r="W140" s="134"/>
      <c r="X140" s="134"/>
      <c r="Y140" s="134"/>
      <c r="Z140" s="134"/>
    </row>
    <row r="141">
      <c r="A141" s="131"/>
      <c r="B141" s="164"/>
      <c r="C141" s="165"/>
      <c r="D141" s="171"/>
      <c r="E141" s="164"/>
      <c r="F141" s="170"/>
      <c r="G141" s="134"/>
      <c r="H141" s="134"/>
      <c r="I141" s="134"/>
      <c r="J141" s="134"/>
      <c r="K141" s="134"/>
      <c r="L141" s="134"/>
      <c r="M141" s="134"/>
      <c r="N141" s="134"/>
      <c r="O141" s="134"/>
      <c r="P141" s="134"/>
      <c r="Q141" s="134"/>
      <c r="R141" s="134"/>
      <c r="S141" s="134"/>
      <c r="T141" s="134"/>
      <c r="U141" s="134"/>
      <c r="V141" s="134"/>
      <c r="W141" s="134"/>
      <c r="X141" s="134"/>
      <c r="Y141" s="134"/>
      <c r="Z141" s="134"/>
    </row>
    <row r="142">
      <c r="A142" s="131"/>
      <c r="B142" s="164"/>
      <c r="C142" s="165"/>
      <c r="D142" s="171"/>
      <c r="E142" s="164"/>
      <c r="F142" s="170"/>
      <c r="G142" s="134"/>
      <c r="H142" s="134"/>
      <c r="I142" s="134"/>
      <c r="J142" s="134"/>
      <c r="K142" s="134"/>
      <c r="L142" s="134"/>
      <c r="M142" s="134"/>
      <c r="N142" s="134"/>
      <c r="O142" s="134"/>
      <c r="P142" s="134"/>
      <c r="Q142" s="134"/>
      <c r="R142" s="134"/>
      <c r="S142" s="134"/>
      <c r="T142" s="134"/>
      <c r="U142" s="134"/>
      <c r="V142" s="134"/>
      <c r="W142" s="134"/>
      <c r="X142" s="134"/>
      <c r="Y142" s="134"/>
      <c r="Z142" s="134"/>
    </row>
    <row r="143">
      <c r="A143" s="131"/>
      <c r="B143" s="164"/>
      <c r="C143" s="165"/>
      <c r="D143" s="171"/>
      <c r="E143" s="164"/>
      <c r="F143" s="170"/>
      <c r="G143" s="134"/>
      <c r="H143" s="134"/>
      <c r="I143" s="134"/>
      <c r="J143" s="134"/>
      <c r="K143" s="134"/>
      <c r="L143" s="134"/>
      <c r="M143" s="134"/>
      <c r="N143" s="134"/>
      <c r="O143" s="134"/>
      <c r="P143" s="134"/>
      <c r="Q143" s="134"/>
      <c r="R143" s="134"/>
      <c r="S143" s="134"/>
      <c r="T143" s="134"/>
      <c r="U143" s="134"/>
      <c r="V143" s="134"/>
      <c r="W143" s="134"/>
      <c r="X143" s="134"/>
      <c r="Y143" s="134"/>
      <c r="Z143" s="134"/>
    </row>
    <row r="144">
      <c r="A144" s="131"/>
      <c r="B144" s="164"/>
      <c r="C144" s="165"/>
      <c r="D144" s="171"/>
      <c r="E144" s="164"/>
      <c r="F144" s="170"/>
      <c r="G144" s="134"/>
      <c r="H144" s="134"/>
      <c r="I144" s="134"/>
      <c r="J144" s="134"/>
      <c r="K144" s="134"/>
      <c r="L144" s="134"/>
      <c r="M144" s="134"/>
      <c r="N144" s="134"/>
      <c r="O144" s="134"/>
      <c r="P144" s="134"/>
      <c r="Q144" s="134"/>
      <c r="R144" s="134"/>
      <c r="S144" s="134"/>
      <c r="T144" s="134"/>
      <c r="U144" s="134"/>
      <c r="V144" s="134"/>
      <c r="W144" s="134"/>
      <c r="X144" s="134"/>
      <c r="Y144" s="134"/>
      <c r="Z144" s="134"/>
    </row>
    <row r="145">
      <c r="A145" s="131"/>
      <c r="B145" s="164"/>
      <c r="C145" s="165"/>
      <c r="D145" s="171"/>
      <c r="E145" s="164"/>
      <c r="F145" s="170"/>
      <c r="G145" s="134"/>
      <c r="H145" s="134"/>
      <c r="I145" s="134"/>
      <c r="J145" s="134"/>
      <c r="K145" s="134"/>
      <c r="L145" s="134"/>
      <c r="M145" s="134"/>
      <c r="N145" s="134"/>
      <c r="O145" s="134"/>
      <c r="P145" s="134"/>
      <c r="Q145" s="134"/>
      <c r="R145" s="134"/>
      <c r="S145" s="134"/>
      <c r="T145" s="134"/>
      <c r="U145" s="134"/>
      <c r="V145" s="134"/>
      <c r="W145" s="134"/>
      <c r="X145" s="134"/>
      <c r="Y145" s="134"/>
      <c r="Z145" s="134"/>
    </row>
    <row r="146">
      <c r="A146" s="131"/>
      <c r="B146" s="164"/>
      <c r="C146" s="165"/>
      <c r="D146" s="171"/>
      <c r="E146" s="164"/>
      <c r="F146" s="170"/>
      <c r="G146" s="134"/>
      <c r="H146" s="134"/>
      <c r="I146" s="134"/>
      <c r="J146" s="134"/>
      <c r="K146" s="134"/>
      <c r="L146" s="134"/>
      <c r="M146" s="134"/>
      <c r="N146" s="134"/>
      <c r="O146" s="134"/>
      <c r="P146" s="134"/>
      <c r="Q146" s="134"/>
      <c r="R146" s="134"/>
      <c r="S146" s="134"/>
      <c r="T146" s="134"/>
      <c r="U146" s="134"/>
      <c r="V146" s="134"/>
      <c r="W146" s="134"/>
      <c r="X146" s="134"/>
      <c r="Y146" s="134"/>
      <c r="Z146" s="134"/>
    </row>
    <row r="147">
      <c r="A147" s="131"/>
      <c r="B147" s="164"/>
      <c r="C147" s="165"/>
      <c r="D147" s="171"/>
      <c r="E147" s="164"/>
      <c r="F147" s="170"/>
      <c r="G147" s="134"/>
      <c r="H147" s="134"/>
      <c r="I147" s="134"/>
      <c r="J147" s="134"/>
      <c r="K147" s="134"/>
      <c r="L147" s="134"/>
      <c r="M147" s="134"/>
      <c r="N147" s="134"/>
      <c r="O147" s="134"/>
      <c r="P147" s="134"/>
      <c r="Q147" s="134"/>
      <c r="R147" s="134"/>
      <c r="S147" s="134"/>
      <c r="T147" s="134"/>
      <c r="U147" s="134"/>
      <c r="V147" s="134"/>
      <c r="W147" s="134"/>
      <c r="X147" s="134"/>
      <c r="Y147" s="134"/>
      <c r="Z147" s="134"/>
    </row>
    <row r="148">
      <c r="A148" s="131"/>
      <c r="B148" s="164"/>
      <c r="C148" s="165"/>
      <c r="D148" s="171"/>
      <c r="E148" s="164"/>
      <c r="F148" s="170"/>
      <c r="G148" s="134"/>
      <c r="H148" s="134"/>
      <c r="I148" s="134"/>
      <c r="J148" s="134"/>
      <c r="K148" s="134"/>
      <c r="L148" s="134"/>
      <c r="M148" s="134"/>
      <c r="N148" s="134"/>
      <c r="O148" s="134"/>
      <c r="P148" s="134"/>
      <c r="Q148" s="134"/>
      <c r="R148" s="134"/>
      <c r="S148" s="134"/>
      <c r="T148" s="134"/>
      <c r="U148" s="134"/>
      <c r="V148" s="134"/>
      <c r="W148" s="134"/>
      <c r="X148" s="134"/>
      <c r="Y148" s="134"/>
      <c r="Z148" s="134"/>
    </row>
    <row r="149">
      <c r="A149" s="131"/>
      <c r="B149" s="164"/>
      <c r="C149" s="165"/>
      <c r="D149" s="171"/>
      <c r="E149" s="164"/>
      <c r="F149" s="170"/>
      <c r="G149" s="134"/>
      <c r="H149" s="134"/>
      <c r="I149" s="134"/>
      <c r="J149" s="134"/>
      <c r="K149" s="134"/>
      <c r="L149" s="134"/>
      <c r="M149" s="134"/>
      <c r="N149" s="134"/>
      <c r="O149" s="134"/>
      <c r="P149" s="134"/>
      <c r="Q149" s="134"/>
      <c r="R149" s="134"/>
      <c r="S149" s="134"/>
      <c r="T149" s="134"/>
      <c r="U149" s="134"/>
      <c r="V149" s="134"/>
      <c r="W149" s="134"/>
      <c r="X149" s="134"/>
      <c r="Y149" s="134"/>
      <c r="Z149" s="134"/>
    </row>
    <row r="150">
      <c r="A150" s="131"/>
      <c r="B150" s="164"/>
      <c r="C150" s="165"/>
      <c r="D150" s="171"/>
      <c r="E150" s="164"/>
      <c r="F150" s="170"/>
      <c r="G150" s="134"/>
      <c r="H150" s="134"/>
      <c r="I150" s="134"/>
      <c r="J150" s="134"/>
      <c r="K150" s="134"/>
      <c r="L150" s="134"/>
      <c r="M150" s="134"/>
      <c r="N150" s="134"/>
      <c r="O150" s="134"/>
      <c r="P150" s="134"/>
      <c r="Q150" s="134"/>
      <c r="R150" s="134"/>
      <c r="S150" s="134"/>
      <c r="T150" s="134"/>
      <c r="U150" s="134"/>
      <c r="V150" s="134"/>
      <c r="W150" s="134"/>
      <c r="X150" s="134"/>
      <c r="Y150" s="134"/>
      <c r="Z150" s="134"/>
    </row>
    <row r="151">
      <c r="A151" s="131"/>
      <c r="B151" s="164"/>
      <c r="C151" s="165"/>
      <c r="D151" s="171"/>
      <c r="E151" s="164"/>
      <c r="F151" s="170"/>
      <c r="G151" s="134"/>
      <c r="H151" s="134"/>
      <c r="I151" s="134"/>
      <c r="J151" s="134"/>
      <c r="K151" s="134"/>
      <c r="L151" s="134"/>
      <c r="M151" s="134"/>
      <c r="N151" s="134"/>
      <c r="O151" s="134"/>
      <c r="P151" s="134"/>
      <c r="Q151" s="134"/>
      <c r="R151" s="134"/>
      <c r="S151" s="134"/>
      <c r="T151" s="134"/>
      <c r="U151" s="134"/>
      <c r="V151" s="134"/>
      <c r="W151" s="134"/>
      <c r="X151" s="134"/>
      <c r="Y151" s="134"/>
      <c r="Z151" s="134"/>
    </row>
    <row r="152">
      <c r="A152" s="131"/>
      <c r="B152" s="164"/>
      <c r="C152" s="165"/>
      <c r="D152" s="171"/>
      <c r="E152" s="164"/>
      <c r="F152" s="170"/>
      <c r="G152" s="134"/>
      <c r="H152" s="134"/>
      <c r="I152" s="134"/>
      <c r="J152" s="134"/>
      <c r="K152" s="134"/>
      <c r="L152" s="134"/>
      <c r="M152" s="134"/>
      <c r="N152" s="134"/>
      <c r="O152" s="134"/>
      <c r="P152" s="134"/>
      <c r="Q152" s="134"/>
      <c r="R152" s="134"/>
      <c r="S152" s="134"/>
      <c r="T152" s="134"/>
      <c r="U152" s="134"/>
      <c r="V152" s="134"/>
      <c r="W152" s="134"/>
      <c r="X152" s="134"/>
      <c r="Y152" s="134"/>
      <c r="Z152" s="134"/>
    </row>
    <row r="153">
      <c r="A153" s="131"/>
      <c r="B153" s="164"/>
      <c r="C153" s="165"/>
      <c r="D153" s="171"/>
      <c r="E153" s="164"/>
      <c r="F153" s="170"/>
      <c r="G153" s="134"/>
      <c r="H153" s="134"/>
      <c r="I153" s="134"/>
      <c r="J153" s="134"/>
      <c r="K153" s="134"/>
      <c r="L153" s="134"/>
      <c r="M153" s="134"/>
      <c r="N153" s="134"/>
      <c r="O153" s="134"/>
      <c r="P153" s="134"/>
      <c r="Q153" s="134"/>
      <c r="R153" s="134"/>
      <c r="S153" s="134"/>
      <c r="T153" s="134"/>
      <c r="U153" s="134"/>
      <c r="V153" s="134"/>
      <c r="W153" s="134"/>
      <c r="X153" s="134"/>
      <c r="Y153" s="134"/>
      <c r="Z153" s="134"/>
    </row>
    <row r="154">
      <c r="A154" s="131"/>
      <c r="B154" s="164"/>
      <c r="C154" s="165"/>
      <c r="D154" s="171"/>
      <c r="E154" s="164"/>
      <c r="F154" s="170"/>
      <c r="G154" s="134"/>
      <c r="H154" s="134"/>
      <c r="I154" s="134"/>
      <c r="J154" s="134"/>
      <c r="K154" s="134"/>
      <c r="L154" s="134"/>
      <c r="M154" s="134"/>
      <c r="N154" s="134"/>
      <c r="O154" s="134"/>
      <c r="P154" s="134"/>
      <c r="Q154" s="134"/>
      <c r="R154" s="134"/>
      <c r="S154" s="134"/>
      <c r="T154" s="134"/>
      <c r="U154" s="134"/>
      <c r="V154" s="134"/>
      <c r="W154" s="134"/>
      <c r="X154" s="134"/>
      <c r="Y154" s="134"/>
      <c r="Z154" s="134"/>
    </row>
    <row r="155">
      <c r="A155" s="131"/>
      <c r="B155" s="164"/>
      <c r="C155" s="165"/>
      <c r="D155" s="171"/>
      <c r="E155" s="164"/>
      <c r="F155" s="170"/>
      <c r="G155" s="134"/>
      <c r="H155" s="134"/>
      <c r="I155" s="134"/>
      <c r="J155" s="134"/>
      <c r="K155" s="134"/>
      <c r="L155" s="134"/>
      <c r="M155" s="134"/>
      <c r="N155" s="134"/>
      <c r="O155" s="134"/>
      <c r="P155" s="134"/>
      <c r="Q155" s="134"/>
      <c r="R155" s="134"/>
      <c r="S155" s="134"/>
      <c r="T155" s="134"/>
      <c r="U155" s="134"/>
      <c r="V155" s="134"/>
      <c r="W155" s="134"/>
      <c r="X155" s="134"/>
      <c r="Y155" s="134"/>
      <c r="Z155" s="134"/>
    </row>
    <row r="156">
      <c r="A156" s="131"/>
      <c r="B156" s="164"/>
      <c r="C156" s="165"/>
      <c r="D156" s="171"/>
      <c r="E156" s="164"/>
      <c r="F156" s="170"/>
      <c r="G156" s="134"/>
      <c r="H156" s="134"/>
      <c r="I156" s="134"/>
      <c r="J156" s="134"/>
      <c r="K156" s="134"/>
      <c r="L156" s="134"/>
      <c r="M156" s="134"/>
      <c r="N156" s="134"/>
      <c r="O156" s="134"/>
      <c r="P156" s="134"/>
      <c r="Q156" s="134"/>
      <c r="R156" s="134"/>
      <c r="S156" s="134"/>
      <c r="T156" s="134"/>
      <c r="U156" s="134"/>
      <c r="V156" s="134"/>
      <c r="W156" s="134"/>
      <c r="X156" s="134"/>
      <c r="Y156" s="134"/>
      <c r="Z156" s="134"/>
    </row>
    <row r="157">
      <c r="A157" s="131"/>
      <c r="B157" s="164"/>
      <c r="C157" s="165"/>
      <c r="D157" s="171"/>
      <c r="E157" s="164"/>
      <c r="F157" s="170"/>
      <c r="G157" s="134"/>
      <c r="H157" s="134"/>
      <c r="I157" s="134"/>
      <c r="J157" s="134"/>
      <c r="K157" s="134"/>
      <c r="L157" s="134"/>
      <c r="M157" s="134"/>
      <c r="N157" s="134"/>
      <c r="O157" s="134"/>
      <c r="P157" s="134"/>
      <c r="Q157" s="134"/>
      <c r="R157" s="134"/>
      <c r="S157" s="134"/>
      <c r="T157" s="134"/>
      <c r="U157" s="134"/>
      <c r="V157" s="134"/>
      <c r="W157" s="134"/>
      <c r="X157" s="134"/>
      <c r="Y157" s="134"/>
      <c r="Z157" s="134"/>
    </row>
    <row r="158">
      <c r="A158" s="131"/>
      <c r="B158" s="164"/>
      <c r="C158" s="165"/>
      <c r="D158" s="171"/>
      <c r="E158" s="164"/>
      <c r="F158" s="170"/>
      <c r="G158" s="134"/>
      <c r="H158" s="134"/>
      <c r="I158" s="134"/>
      <c r="J158" s="134"/>
      <c r="K158" s="134"/>
      <c r="L158" s="134"/>
      <c r="M158" s="134"/>
      <c r="N158" s="134"/>
      <c r="O158" s="134"/>
      <c r="P158" s="134"/>
      <c r="Q158" s="134"/>
      <c r="R158" s="134"/>
      <c r="S158" s="134"/>
      <c r="T158" s="134"/>
      <c r="U158" s="134"/>
      <c r="V158" s="134"/>
      <c r="W158" s="134"/>
      <c r="X158" s="134"/>
      <c r="Y158" s="134"/>
      <c r="Z158" s="134"/>
    </row>
    <row r="159">
      <c r="A159" s="131"/>
      <c r="B159" s="164"/>
      <c r="C159" s="165"/>
      <c r="D159" s="171"/>
      <c r="E159" s="164"/>
      <c r="F159" s="170"/>
      <c r="G159" s="134"/>
      <c r="H159" s="134"/>
      <c r="I159" s="134"/>
      <c r="J159" s="134"/>
      <c r="K159" s="134"/>
      <c r="L159" s="134"/>
      <c r="M159" s="134"/>
      <c r="N159" s="134"/>
      <c r="O159" s="134"/>
      <c r="P159" s="134"/>
      <c r="Q159" s="134"/>
      <c r="R159" s="134"/>
      <c r="S159" s="134"/>
      <c r="T159" s="134"/>
      <c r="U159" s="134"/>
      <c r="V159" s="134"/>
      <c r="W159" s="134"/>
      <c r="X159" s="134"/>
      <c r="Y159" s="134"/>
      <c r="Z159" s="134"/>
    </row>
    <row r="160">
      <c r="A160" s="131"/>
      <c r="B160" s="164"/>
      <c r="C160" s="165"/>
      <c r="D160" s="171"/>
      <c r="E160" s="164"/>
      <c r="F160" s="170"/>
      <c r="G160" s="134"/>
      <c r="H160" s="134"/>
      <c r="I160" s="134"/>
      <c r="J160" s="134"/>
      <c r="K160" s="134"/>
      <c r="L160" s="134"/>
      <c r="M160" s="134"/>
      <c r="N160" s="134"/>
      <c r="O160" s="134"/>
      <c r="P160" s="134"/>
      <c r="Q160" s="134"/>
      <c r="R160" s="134"/>
      <c r="S160" s="134"/>
      <c r="T160" s="134"/>
      <c r="U160" s="134"/>
      <c r="V160" s="134"/>
      <c r="W160" s="134"/>
      <c r="X160" s="134"/>
      <c r="Y160" s="134"/>
      <c r="Z160" s="134"/>
    </row>
    <row r="161">
      <c r="A161" s="131"/>
      <c r="B161" s="164"/>
      <c r="C161" s="165"/>
      <c r="D161" s="171"/>
      <c r="E161" s="164"/>
      <c r="F161" s="170"/>
      <c r="G161" s="134"/>
      <c r="H161" s="134"/>
      <c r="I161" s="134"/>
      <c r="J161" s="134"/>
      <c r="K161" s="134"/>
      <c r="L161" s="134"/>
      <c r="M161" s="134"/>
      <c r="N161" s="134"/>
      <c r="O161" s="134"/>
      <c r="P161" s="134"/>
      <c r="Q161" s="134"/>
      <c r="R161" s="134"/>
      <c r="S161" s="134"/>
      <c r="T161" s="134"/>
      <c r="U161" s="134"/>
      <c r="V161" s="134"/>
      <c r="W161" s="134"/>
      <c r="X161" s="134"/>
      <c r="Y161" s="134"/>
      <c r="Z161" s="134"/>
    </row>
    <row r="162">
      <c r="A162" s="131"/>
      <c r="B162" s="164"/>
      <c r="C162" s="165"/>
      <c r="D162" s="171"/>
      <c r="E162" s="164"/>
      <c r="F162" s="170"/>
      <c r="G162" s="134"/>
      <c r="H162" s="134"/>
      <c r="I162" s="134"/>
      <c r="J162" s="134"/>
      <c r="K162" s="134"/>
      <c r="L162" s="134"/>
      <c r="M162" s="134"/>
      <c r="N162" s="134"/>
      <c r="O162" s="134"/>
      <c r="P162" s="134"/>
      <c r="Q162" s="134"/>
      <c r="R162" s="134"/>
      <c r="S162" s="134"/>
      <c r="T162" s="134"/>
      <c r="U162" s="134"/>
      <c r="V162" s="134"/>
      <c r="W162" s="134"/>
      <c r="X162" s="134"/>
      <c r="Y162" s="134"/>
      <c r="Z162" s="134"/>
    </row>
    <row r="163">
      <c r="A163" s="131"/>
      <c r="B163" s="164"/>
      <c r="C163" s="165"/>
      <c r="D163" s="171"/>
      <c r="E163" s="164"/>
      <c r="F163" s="170"/>
      <c r="G163" s="134"/>
      <c r="H163" s="134"/>
      <c r="I163" s="134"/>
      <c r="J163" s="134"/>
      <c r="K163" s="134"/>
      <c r="L163" s="134"/>
      <c r="M163" s="134"/>
      <c r="N163" s="134"/>
      <c r="O163" s="134"/>
      <c r="P163" s="134"/>
      <c r="Q163" s="134"/>
      <c r="R163" s="134"/>
      <c r="S163" s="134"/>
      <c r="T163" s="134"/>
      <c r="U163" s="134"/>
      <c r="V163" s="134"/>
      <c r="W163" s="134"/>
      <c r="X163" s="134"/>
      <c r="Y163" s="134"/>
      <c r="Z163" s="134"/>
    </row>
    <row r="164">
      <c r="A164" s="131"/>
      <c r="B164" s="164"/>
      <c r="C164" s="165"/>
      <c r="D164" s="171"/>
      <c r="E164" s="164"/>
      <c r="F164" s="170"/>
      <c r="G164" s="134"/>
      <c r="H164" s="134"/>
      <c r="I164" s="134"/>
      <c r="J164" s="134"/>
      <c r="K164" s="134"/>
      <c r="L164" s="134"/>
      <c r="M164" s="134"/>
      <c r="N164" s="134"/>
      <c r="O164" s="134"/>
      <c r="P164" s="134"/>
      <c r="Q164" s="134"/>
      <c r="R164" s="134"/>
      <c r="S164" s="134"/>
      <c r="T164" s="134"/>
      <c r="U164" s="134"/>
      <c r="V164" s="134"/>
      <c r="W164" s="134"/>
      <c r="X164" s="134"/>
      <c r="Y164" s="134"/>
      <c r="Z164" s="134"/>
    </row>
    <row r="165">
      <c r="A165" s="131"/>
      <c r="B165" s="164"/>
      <c r="C165" s="165"/>
      <c r="D165" s="171"/>
      <c r="E165" s="164"/>
      <c r="F165" s="170"/>
      <c r="G165" s="134"/>
      <c r="H165" s="134"/>
      <c r="I165" s="134"/>
      <c r="J165" s="134"/>
      <c r="K165" s="134"/>
      <c r="L165" s="134"/>
      <c r="M165" s="134"/>
      <c r="N165" s="134"/>
      <c r="O165" s="134"/>
      <c r="P165" s="134"/>
      <c r="Q165" s="134"/>
      <c r="R165" s="134"/>
      <c r="S165" s="134"/>
      <c r="T165" s="134"/>
      <c r="U165" s="134"/>
      <c r="V165" s="134"/>
      <c r="W165" s="134"/>
      <c r="X165" s="134"/>
      <c r="Y165" s="134"/>
      <c r="Z165" s="134"/>
    </row>
    <row r="166">
      <c r="A166" s="131"/>
      <c r="B166" s="164"/>
      <c r="C166" s="165"/>
      <c r="D166" s="171"/>
      <c r="E166" s="164"/>
      <c r="F166" s="170"/>
      <c r="G166" s="134"/>
      <c r="H166" s="134"/>
      <c r="I166" s="134"/>
      <c r="J166" s="134"/>
      <c r="K166" s="134"/>
      <c r="L166" s="134"/>
      <c r="M166" s="134"/>
      <c r="N166" s="134"/>
      <c r="O166" s="134"/>
      <c r="P166" s="134"/>
      <c r="Q166" s="134"/>
      <c r="R166" s="134"/>
      <c r="S166" s="134"/>
      <c r="T166" s="134"/>
      <c r="U166" s="134"/>
      <c r="V166" s="134"/>
      <c r="W166" s="134"/>
      <c r="X166" s="134"/>
      <c r="Y166" s="134"/>
      <c r="Z166" s="134"/>
    </row>
    <row r="167">
      <c r="A167" s="131"/>
      <c r="B167" s="164"/>
      <c r="C167" s="165"/>
      <c r="D167" s="171"/>
      <c r="E167" s="164"/>
      <c r="F167" s="170"/>
      <c r="G167" s="134"/>
      <c r="H167" s="134"/>
      <c r="I167" s="134"/>
      <c r="J167" s="134"/>
      <c r="K167" s="134"/>
      <c r="L167" s="134"/>
      <c r="M167" s="134"/>
      <c r="N167" s="134"/>
      <c r="O167" s="134"/>
      <c r="P167" s="134"/>
      <c r="Q167" s="134"/>
      <c r="R167" s="134"/>
      <c r="S167" s="134"/>
      <c r="T167" s="134"/>
      <c r="U167" s="134"/>
      <c r="V167" s="134"/>
      <c r="W167" s="134"/>
      <c r="X167" s="134"/>
      <c r="Y167" s="134"/>
      <c r="Z167" s="134"/>
    </row>
    <row r="168">
      <c r="A168" s="131"/>
      <c r="B168" s="164"/>
      <c r="C168" s="165"/>
      <c r="D168" s="171"/>
      <c r="E168" s="164"/>
      <c r="F168" s="170"/>
      <c r="G168" s="134"/>
      <c r="H168" s="134"/>
      <c r="I168" s="134"/>
      <c r="J168" s="134"/>
      <c r="K168" s="134"/>
      <c r="L168" s="134"/>
      <c r="M168" s="134"/>
      <c r="N168" s="134"/>
      <c r="O168" s="134"/>
      <c r="P168" s="134"/>
      <c r="Q168" s="134"/>
      <c r="R168" s="134"/>
      <c r="S168" s="134"/>
      <c r="T168" s="134"/>
      <c r="U168" s="134"/>
      <c r="V168" s="134"/>
      <c r="W168" s="134"/>
      <c r="X168" s="134"/>
      <c r="Y168" s="134"/>
      <c r="Z168" s="134"/>
    </row>
    <row r="169">
      <c r="A169" s="131"/>
      <c r="B169" s="164"/>
      <c r="C169" s="165"/>
      <c r="D169" s="171"/>
      <c r="E169" s="164"/>
      <c r="F169" s="170"/>
      <c r="G169" s="134"/>
      <c r="H169" s="134"/>
      <c r="I169" s="134"/>
      <c r="J169" s="134"/>
      <c r="K169" s="134"/>
      <c r="L169" s="134"/>
      <c r="M169" s="134"/>
      <c r="N169" s="134"/>
      <c r="O169" s="134"/>
      <c r="P169" s="134"/>
      <c r="Q169" s="134"/>
      <c r="R169" s="134"/>
      <c r="S169" s="134"/>
      <c r="T169" s="134"/>
      <c r="U169" s="134"/>
      <c r="V169" s="134"/>
      <c r="W169" s="134"/>
      <c r="X169" s="134"/>
      <c r="Y169" s="134"/>
      <c r="Z169" s="134"/>
    </row>
    <row r="170">
      <c r="A170" s="131"/>
      <c r="B170" s="164"/>
      <c r="C170" s="165"/>
      <c r="D170" s="171"/>
      <c r="E170" s="164"/>
      <c r="F170" s="170"/>
      <c r="G170" s="134"/>
      <c r="H170" s="134"/>
      <c r="I170" s="134"/>
      <c r="J170" s="134"/>
      <c r="K170" s="134"/>
      <c r="L170" s="134"/>
      <c r="M170" s="134"/>
      <c r="N170" s="134"/>
      <c r="O170" s="134"/>
      <c r="P170" s="134"/>
      <c r="Q170" s="134"/>
      <c r="R170" s="134"/>
      <c r="S170" s="134"/>
      <c r="T170" s="134"/>
      <c r="U170" s="134"/>
      <c r="V170" s="134"/>
      <c r="W170" s="134"/>
      <c r="X170" s="134"/>
      <c r="Y170" s="134"/>
      <c r="Z170" s="134"/>
    </row>
    <row r="171">
      <c r="A171" s="131"/>
      <c r="B171" s="164"/>
      <c r="C171" s="165"/>
      <c r="D171" s="171"/>
      <c r="E171" s="164"/>
      <c r="F171" s="170"/>
      <c r="G171" s="134"/>
      <c r="H171" s="134"/>
      <c r="I171" s="134"/>
      <c r="J171" s="134"/>
      <c r="K171" s="134"/>
      <c r="L171" s="134"/>
      <c r="M171" s="134"/>
      <c r="N171" s="134"/>
      <c r="O171" s="134"/>
      <c r="P171" s="134"/>
      <c r="Q171" s="134"/>
      <c r="R171" s="134"/>
      <c r="S171" s="134"/>
      <c r="T171" s="134"/>
      <c r="U171" s="134"/>
      <c r="V171" s="134"/>
      <c r="W171" s="134"/>
      <c r="X171" s="134"/>
      <c r="Y171" s="134"/>
      <c r="Z171" s="134"/>
    </row>
    <row r="172">
      <c r="A172" s="131"/>
      <c r="B172" s="164"/>
      <c r="C172" s="165"/>
      <c r="D172" s="171"/>
      <c r="E172" s="164"/>
      <c r="F172" s="170"/>
      <c r="G172" s="134"/>
      <c r="H172" s="134"/>
      <c r="I172" s="134"/>
      <c r="J172" s="134"/>
      <c r="K172" s="134"/>
      <c r="L172" s="134"/>
      <c r="M172" s="134"/>
      <c r="N172" s="134"/>
      <c r="O172" s="134"/>
      <c r="P172" s="134"/>
      <c r="Q172" s="134"/>
      <c r="R172" s="134"/>
      <c r="S172" s="134"/>
      <c r="T172" s="134"/>
      <c r="U172" s="134"/>
      <c r="V172" s="134"/>
      <c r="W172" s="134"/>
      <c r="X172" s="134"/>
      <c r="Y172" s="134"/>
      <c r="Z172" s="134"/>
    </row>
    <row r="173">
      <c r="A173" s="131"/>
      <c r="B173" s="164"/>
      <c r="C173" s="165"/>
      <c r="D173" s="171"/>
      <c r="E173" s="164"/>
      <c r="F173" s="170"/>
      <c r="G173" s="134"/>
      <c r="H173" s="134"/>
      <c r="I173" s="134"/>
      <c r="J173" s="134"/>
      <c r="K173" s="134"/>
      <c r="L173" s="134"/>
      <c r="M173" s="134"/>
      <c r="N173" s="134"/>
      <c r="O173" s="134"/>
      <c r="P173" s="134"/>
      <c r="Q173" s="134"/>
      <c r="R173" s="134"/>
      <c r="S173" s="134"/>
      <c r="T173" s="134"/>
      <c r="U173" s="134"/>
      <c r="V173" s="134"/>
      <c r="W173" s="134"/>
      <c r="X173" s="134"/>
      <c r="Y173" s="134"/>
      <c r="Z173" s="134"/>
    </row>
    <row r="174">
      <c r="A174" s="131"/>
      <c r="B174" s="164"/>
      <c r="C174" s="165"/>
      <c r="D174" s="171"/>
      <c r="E174" s="164"/>
      <c r="F174" s="170"/>
      <c r="G174" s="134"/>
      <c r="H174" s="134"/>
      <c r="I174" s="134"/>
      <c r="J174" s="134"/>
      <c r="K174" s="134"/>
      <c r="L174" s="134"/>
      <c r="M174" s="134"/>
      <c r="N174" s="134"/>
      <c r="O174" s="134"/>
      <c r="P174" s="134"/>
      <c r="Q174" s="134"/>
      <c r="R174" s="134"/>
      <c r="S174" s="134"/>
      <c r="T174" s="134"/>
      <c r="U174" s="134"/>
      <c r="V174" s="134"/>
      <c r="W174" s="134"/>
      <c r="X174" s="134"/>
      <c r="Y174" s="134"/>
      <c r="Z174" s="134"/>
    </row>
    <row r="175">
      <c r="A175" s="131"/>
      <c r="B175" s="164"/>
      <c r="C175" s="165"/>
      <c r="D175" s="171"/>
      <c r="E175" s="164"/>
      <c r="F175" s="170"/>
      <c r="G175" s="134"/>
      <c r="H175" s="134"/>
      <c r="I175" s="134"/>
      <c r="J175" s="134"/>
      <c r="K175" s="134"/>
      <c r="L175" s="134"/>
      <c r="M175" s="134"/>
      <c r="N175" s="134"/>
      <c r="O175" s="134"/>
      <c r="P175" s="134"/>
      <c r="Q175" s="134"/>
      <c r="R175" s="134"/>
      <c r="S175" s="134"/>
      <c r="T175" s="134"/>
      <c r="U175" s="134"/>
      <c r="V175" s="134"/>
      <c r="W175" s="134"/>
      <c r="X175" s="134"/>
      <c r="Y175" s="134"/>
      <c r="Z175" s="134"/>
    </row>
    <row r="176">
      <c r="A176" s="131"/>
      <c r="B176" s="164"/>
      <c r="C176" s="165"/>
      <c r="D176" s="171"/>
      <c r="E176" s="164"/>
      <c r="F176" s="170"/>
      <c r="G176" s="134"/>
      <c r="H176" s="134"/>
      <c r="I176" s="134"/>
      <c r="J176" s="134"/>
      <c r="K176" s="134"/>
      <c r="L176" s="134"/>
      <c r="M176" s="134"/>
      <c r="N176" s="134"/>
      <c r="O176" s="134"/>
      <c r="P176" s="134"/>
      <c r="Q176" s="134"/>
      <c r="R176" s="134"/>
      <c r="S176" s="134"/>
      <c r="T176" s="134"/>
      <c r="U176" s="134"/>
      <c r="V176" s="134"/>
      <c r="W176" s="134"/>
      <c r="X176" s="134"/>
      <c r="Y176" s="134"/>
      <c r="Z176" s="134"/>
    </row>
    <row r="177">
      <c r="A177" s="131"/>
      <c r="B177" s="164"/>
      <c r="C177" s="165"/>
      <c r="D177" s="171"/>
      <c r="E177" s="164"/>
      <c r="F177" s="170"/>
      <c r="G177" s="134"/>
      <c r="H177" s="134"/>
      <c r="I177" s="134"/>
      <c r="J177" s="134"/>
      <c r="K177" s="134"/>
      <c r="L177" s="134"/>
      <c r="M177" s="134"/>
      <c r="N177" s="134"/>
      <c r="O177" s="134"/>
      <c r="P177" s="134"/>
      <c r="Q177" s="134"/>
      <c r="R177" s="134"/>
      <c r="S177" s="134"/>
      <c r="T177" s="134"/>
      <c r="U177" s="134"/>
      <c r="V177" s="134"/>
      <c r="W177" s="134"/>
      <c r="X177" s="134"/>
      <c r="Y177" s="134"/>
      <c r="Z177" s="134"/>
    </row>
    <row r="178">
      <c r="A178" s="131"/>
      <c r="B178" s="164"/>
      <c r="C178" s="165"/>
      <c r="D178" s="171"/>
      <c r="E178" s="164"/>
      <c r="F178" s="170"/>
      <c r="G178" s="134"/>
      <c r="H178" s="134"/>
      <c r="I178" s="134"/>
      <c r="J178" s="134"/>
      <c r="K178" s="134"/>
      <c r="L178" s="134"/>
      <c r="M178" s="134"/>
      <c r="N178" s="134"/>
      <c r="O178" s="134"/>
      <c r="P178" s="134"/>
      <c r="Q178" s="134"/>
      <c r="R178" s="134"/>
      <c r="S178" s="134"/>
      <c r="T178" s="134"/>
      <c r="U178" s="134"/>
      <c r="V178" s="134"/>
      <c r="W178" s="134"/>
      <c r="X178" s="134"/>
      <c r="Y178" s="134"/>
      <c r="Z178" s="134"/>
    </row>
    <row r="179">
      <c r="A179" s="131"/>
      <c r="B179" s="164"/>
      <c r="C179" s="165"/>
      <c r="D179" s="171"/>
      <c r="E179" s="164"/>
      <c r="F179" s="170"/>
      <c r="G179" s="134"/>
      <c r="H179" s="134"/>
      <c r="I179" s="134"/>
      <c r="J179" s="134"/>
      <c r="K179" s="134"/>
      <c r="L179" s="134"/>
      <c r="M179" s="134"/>
      <c r="N179" s="134"/>
      <c r="O179" s="134"/>
      <c r="P179" s="134"/>
      <c r="Q179" s="134"/>
      <c r="R179" s="134"/>
      <c r="S179" s="134"/>
      <c r="T179" s="134"/>
      <c r="U179" s="134"/>
      <c r="V179" s="134"/>
      <c r="W179" s="134"/>
      <c r="X179" s="134"/>
      <c r="Y179" s="134"/>
      <c r="Z179" s="134"/>
    </row>
    <row r="180">
      <c r="A180" s="131"/>
      <c r="B180" s="164"/>
      <c r="C180" s="165"/>
      <c r="D180" s="171"/>
      <c r="E180" s="164"/>
      <c r="F180" s="170"/>
      <c r="G180" s="134"/>
      <c r="H180" s="134"/>
      <c r="I180" s="134"/>
      <c r="J180" s="134"/>
      <c r="K180" s="134"/>
      <c r="L180" s="134"/>
      <c r="M180" s="134"/>
      <c r="N180" s="134"/>
      <c r="O180" s="134"/>
      <c r="P180" s="134"/>
      <c r="Q180" s="134"/>
      <c r="R180" s="134"/>
      <c r="S180" s="134"/>
      <c r="T180" s="134"/>
      <c r="U180" s="134"/>
      <c r="V180" s="134"/>
      <c r="W180" s="134"/>
      <c r="X180" s="134"/>
      <c r="Y180" s="134"/>
      <c r="Z180" s="134"/>
    </row>
    <row r="181">
      <c r="A181" s="131"/>
      <c r="B181" s="164"/>
      <c r="C181" s="165"/>
      <c r="D181" s="171"/>
      <c r="E181" s="164"/>
      <c r="F181" s="170"/>
      <c r="G181" s="134"/>
      <c r="H181" s="134"/>
      <c r="I181" s="134"/>
      <c r="J181" s="134"/>
      <c r="K181" s="134"/>
      <c r="L181" s="134"/>
      <c r="M181" s="134"/>
      <c r="N181" s="134"/>
      <c r="O181" s="134"/>
      <c r="P181" s="134"/>
      <c r="Q181" s="134"/>
      <c r="R181" s="134"/>
      <c r="S181" s="134"/>
      <c r="T181" s="134"/>
      <c r="U181" s="134"/>
      <c r="V181" s="134"/>
      <c r="W181" s="134"/>
      <c r="X181" s="134"/>
      <c r="Y181" s="134"/>
      <c r="Z181" s="134"/>
    </row>
    <row r="182">
      <c r="A182" s="131"/>
      <c r="B182" s="164"/>
      <c r="C182" s="165"/>
      <c r="D182" s="171"/>
      <c r="E182" s="164"/>
      <c r="F182" s="170"/>
      <c r="G182" s="134"/>
      <c r="H182" s="134"/>
      <c r="I182" s="134"/>
      <c r="J182" s="134"/>
      <c r="K182" s="134"/>
      <c r="L182" s="134"/>
      <c r="M182" s="134"/>
      <c r="N182" s="134"/>
      <c r="O182" s="134"/>
      <c r="P182" s="134"/>
      <c r="Q182" s="134"/>
      <c r="R182" s="134"/>
      <c r="S182" s="134"/>
      <c r="T182" s="134"/>
      <c r="U182" s="134"/>
      <c r="V182" s="134"/>
      <c r="W182" s="134"/>
      <c r="X182" s="134"/>
      <c r="Y182" s="134"/>
      <c r="Z182" s="134"/>
    </row>
    <row r="183">
      <c r="A183" s="131"/>
      <c r="B183" s="164"/>
      <c r="C183" s="165"/>
      <c r="D183" s="171"/>
      <c r="E183" s="164"/>
      <c r="F183" s="170"/>
      <c r="G183" s="134"/>
      <c r="H183" s="134"/>
      <c r="I183" s="134"/>
      <c r="J183" s="134"/>
      <c r="K183" s="134"/>
      <c r="L183" s="134"/>
      <c r="M183" s="134"/>
      <c r="N183" s="134"/>
      <c r="O183" s="134"/>
      <c r="P183" s="134"/>
      <c r="Q183" s="134"/>
      <c r="R183" s="134"/>
      <c r="S183" s="134"/>
      <c r="T183" s="134"/>
      <c r="U183" s="134"/>
      <c r="V183" s="134"/>
      <c r="W183" s="134"/>
      <c r="X183" s="134"/>
      <c r="Y183" s="134"/>
      <c r="Z183" s="134"/>
    </row>
    <row r="184">
      <c r="A184" s="131"/>
      <c r="B184" s="164"/>
      <c r="C184" s="165"/>
      <c r="D184" s="171"/>
      <c r="E184" s="164"/>
      <c r="F184" s="170"/>
      <c r="G184" s="134"/>
      <c r="H184" s="134"/>
      <c r="I184" s="134"/>
      <c r="J184" s="134"/>
      <c r="K184" s="134"/>
      <c r="L184" s="134"/>
      <c r="M184" s="134"/>
      <c r="N184" s="134"/>
      <c r="O184" s="134"/>
      <c r="P184" s="134"/>
      <c r="Q184" s="134"/>
      <c r="R184" s="134"/>
      <c r="S184" s="134"/>
      <c r="T184" s="134"/>
      <c r="U184" s="134"/>
      <c r="V184" s="134"/>
      <c r="W184" s="134"/>
      <c r="X184" s="134"/>
      <c r="Y184" s="134"/>
      <c r="Z184" s="134"/>
    </row>
    <row r="185">
      <c r="A185" s="131"/>
      <c r="B185" s="164"/>
      <c r="C185" s="165"/>
      <c r="D185" s="171"/>
      <c r="E185" s="164"/>
      <c r="F185" s="170"/>
      <c r="G185" s="134"/>
      <c r="H185" s="134"/>
      <c r="I185" s="134"/>
      <c r="J185" s="134"/>
      <c r="K185" s="134"/>
      <c r="L185" s="134"/>
      <c r="M185" s="134"/>
      <c r="N185" s="134"/>
      <c r="O185" s="134"/>
      <c r="P185" s="134"/>
      <c r="Q185" s="134"/>
      <c r="R185" s="134"/>
      <c r="S185" s="134"/>
      <c r="T185" s="134"/>
      <c r="U185" s="134"/>
      <c r="V185" s="134"/>
      <c r="W185" s="134"/>
      <c r="X185" s="134"/>
      <c r="Y185" s="134"/>
      <c r="Z185" s="134"/>
    </row>
    <row r="186">
      <c r="A186" s="131"/>
      <c r="B186" s="164"/>
      <c r="C186" s="165"/>
      <c r="D186" s="171"/>
      <c r="E186" s="164"/>
      <c r="F186" s="170"/>
      <c r="G186" s="134"/>
      <c r="H186" s="134"/>
      <c r="I186" s="134"/>
      <c r="J186" s="134"/>
      <c r="K186" s="134"/>
      <c r="L186" s="134"/>
      <c r="M186" s="134"/>
      <c r="N186" s="134"/>
      <c r="O186" s="134"/>
      <c r="P186" s="134"/>
      <c r="Q186" s="134"/>
      <c r="R186" s="134"/>
      <c r="S186" s="134"/>
      <c r="T186" s="134"/>
      <c r="U186" s="134"/>
      <c r="V186" s="134"/>
      <c r="W186" s="134"/>
      <c r="X186" s="134"/>
      <c r="Y186" s="134"/>
      <c r="Z186" s="134"/>
    </row>
    <row r="187">
      <c r="A187" s="131"/>
      <c r="B187" s="164"/>
      <c r="C187" s="165"/>
      <c r="D187" s="171"/>
      <c r="E187" s="164"/>
      <c r="F187" s="170"/>
      <c r="G187" s="134"/>
      <c r="H187" s="134"/>
      <c r="I187" s="134"/>
      <c r="J187" s="134"/>
      <c r="K187" s="134"/>
      <c r="L187" s="134"/>
      <c r="M187" s="134"/>
      <c r="N187" s="134"/>
      <c r="O187" s="134"/>
      <c r="P187" s="134"/>
      <c r="Q187" s="134"/>
      <c r="R187" s="134"/>
      <c r="S187" s="134"/>
      <c r="T187" s="134"/>
      <c r="U187" s="134"/>
      <c r="V187" s="134"/>
      <c r="W187" s="134"/>
      <c r="X187" s="134"/>
      <c r="Y187" s="134"/>
      <c r="Z187" s="134"/>
    </row>
    <row r="188">
      <c r="A188" s="131"/>
      <c r="B188" s="164"/>
      <c r="C188" s="165"/>
      <c r="D188" s="171"/>
      <c r="E188" s="164"/>
      <c r="F188" s="170"/>
      <c r="G188" s="134"/>
      <c r="H188" s="134"/>
      <c r="I188" s="134"/>
      <c r="J188" s="134"/>
      <c r="K188" s="134"/>
      <c r="L188" s="134"/>
      <c r="M188" s="134"/>
      <c r="N188" s="134"/>
      <c r="O188" s="134"/>
      <c r="P188" s="134"/>
      <c r="Q188" s="134"/>
      <c r="R188" s="134"/>
      <c r="S188" s="134"/>
      <c r="T188" s="134"/>
      <c r="U188" s="134"/>
      <c r="V188" s="134"/>
      <c r="W188" s="134"/>
      <c r="X188" s="134"/>
      <c r="Y188" s="134"/>
      <c r="Z188" s="134"/>
    </row>
    <row r="189">
      <c r="A189" s="131"/>
      <c r="B189" s="164"/>
      <c r="C189" s="165"/>
      <c r="D189" s="171"/>
      <c r="E189" s="164"/>
      <c r="F189" s="170"/>
      <c r="G189" s="134"/>
      <c r="H189" s="134"/>
      <c r="I189" s="134"/>
      <c r="J189" s="134"/>
      <c r="K189" s="134"/>
      <c r="L189" s="134"/>
      <c r="M189" s="134"/>
      <c r="N189" s="134"/>
      <c r="O189" s="134"/>
      <c r="P189" s="134"/>
      <c r="Q189" s="134"/>
      <c r="R189" s="134"/>
      <c r="S189" s="134"/>
      <c r="T189" s="134"/>
      <c r="U189" s="134"/>
      <c r="V189" s="134"/>
      <c r="W189" s="134"/>
      <c r="X189" s="134"/>
      <c r="Y189" s="134"/>
      <c r="Z189" s="134"/>
    </row>
    <row r="190">
      <c r="A190" s="131"/>
      <c r="B190" s="164"/>
      <c r="C190" s="165"/>
      <c r="D190" s="171"/>
      <c r="E190" s="164"/>
      <c r="F190" s="170"/>
      <c r="G190" s="134"/>
      <c r="H190" s="134"/>
      <c r="I190" s="134"/>
      <c r="J190" s="134"/>
      <c r="K190" s="134"/>
      <c r="L190" s="134"/>
      <c r="M190" s="134"/>
      <c r="N190" s="134"/>
      <c r="O190" s="134"/>
      <c r="P190" s="134"/>
      <c r="Q190" s="134"/>
      <c r="R190" s="134"/>
      <c r="S190" s="134"/>
      <c r="T190" s="134"/>
      <c r="U190" s="134"/>
      <c r="V190" s="134"/>
      <c r="W190" s="134"/>
      <c r="X190" s="134"/>
      <c r="Y190" s="134"/>
      <c r="Z190" s="134"/>
    </row>
    <row r="191">
      <c r="A191" s="131"/>
      <c r="B191" s="164"/>
      <c r="C191" s="165"/>
      <c r="D191" s="171"/>
      <c r="E191" s="164"/>
      <c r="F191" s="170"/>
      <c r="G191" s="134"/>
      <c r="H191" s="134"/>
      <c r="I191" s="134"/>
      <c r="J191" s="134"/>
      <c r="K191" s="134"/>
      <c r="L191" s="134"/>
      <c r="M191" s="134"/>
      <c r="N191" s="134"/>
      <c r="O191" s="134"/>
      <c r="P191" s="134"/>
      <c r="Q191" s="134"/>
      <c r="R191" s="134"/>
      <c r="S191" s="134"/>
      <c r="T191" s="134"/>
      <c r="U191" s="134"/>
      <c r="V191" s="134"/>
      <c r="W191" s="134"/>
      <c r="X191" s="134"/>
      <c r="Y191" s="134"/>
      <c r="Z191" s="134"/>
    </row>
    <row r="192">
      <c r="A192" s="131"/>
      <c r="B192" s="164"/>
      <c r="C192" s="165"/>
      <c r="D192" s="171"/>
      <c r="E192" s="164"/>
      <c r="F192" s="170"/>
      <c r="G192" s="134"/>
      <c r="H192" s="134"/>
      <c r="I192" s="134"/>
      <c r="J192" s="134"/>
      <c r="K192" s="134"/>
      <c r="L192" s="134"/>
      <c r="M192" s="134"/>
      <c r="N192" s="134"/>
      <c r="O192" s="134"/>
      <c r="P192" s="134"/>
      <c r="Q192" s="134"/>
      <c r="R192" s="134"/>
      <c r="S192" s="134"/>
      <c r="T192" s="134"/>
      <c r="U192" s="134"/>
      <c r="V192" s="134"/>
      <c r="W192" s="134"/>
      <c r="X192" s="134"/>
      <c r="Y192" s="134"/>
      <c r="Z192" s="134"/>
    </row>
    <row r="193">
      <c r="A193" s="131"/>
      <c r="B193" s="164"/>
      <c r="C193" s="165"/>
      <c r="D193" s="171"/>
      <c r="E193" s="164"/>
      <c r="F193" s="170"/>
      <c r="G193" s="134"/>
      <c r="H193" s="134"/>
      <c r="I193" s="134"/>
      <c r="J193" s="134"/>
      <c r="K193" s="134"/>
      <c r="L193" s="134"/>
      <c r="M193" s="134"/>
      <c r="N193" s="134"/>
      <c r="O193" s="134"/>
      <c r="P193" s="134"/>
      <c r="Q193" s="134"/>
      <c r="R193" s="134"/>
      <c r="S193" s="134"/>
      <c r="T193" s="134"/>
      <c r="U193" s="134"/>
      <c r="V193" s="134"/>
      <c r="W193" s="134"/>
      <c r="X193" s="134"/>
      <c r="Y193" s="134"/>
      <c r="Z193" s="134"/>
    </row>
    <row r="194">
      <c r="A194" s="131"/>
      <c r="B194" s="164"/>
      <c r="C194" s="165"/>
      <c r="D194" s="171"/>
      <c r="E194" s="164"/>
      <c r="F194" s="170"/>
      <c r="G194" s="134"/>
      <c r="H194" s="134"/>
      <c r="I194" s="134"/>
      <c r="J194" s="134"/>
      <c r="K194" s="134"/>
      <c r="L194" s="134"/>
      <c r="M194" s="134"/>
      <c r="N194" s="134"/>
      <c r="O194" s="134"/>
      <c r="P194" s="134"/>
      <c r="Q194" s="134"/>
      <c r="R194" s="134"/>
      <c r="S194" s="134"/>
      <c r="T194" s="134"/>
      <c r="U194" s="134"/>
      <c r="V194" s="134"/>
      <c r="W194" s="134"/>
      <c r="X194" s="134"/>
      <c r="Y194" s="134"/>
      <c r="Z194" s="134"/>
    </row>
    <row r="195">
      <c r="A195" s="131"/>
      <c r="B195" s="164"/>
      <c r="C195" s="165"/>
      <c r="D195" s="171"/>
      <c r="E195" s="164"/>
      <c r="F195" s="170"/>
      <c r="G195" s="134"/>
      <c r="H195" s="134"/>
      <c r="I195" s="134"/>
      <c r="J195" s="134"/>
      <c r="K195" s="134"/>
      <c r="L195" s="134"/>
      <c r="M195" s="134"/>
      <c r="N195" s="134"/>
      <c r="O195" s="134"/>
      <c r="P195" s="134"/>
      <c r="Q195" s="134"/>
      <c r="R195" s="134"/>
      <c r="S195" s="134"/>
      <c r="T195" s="134"/>
      <c r="U195" s="134"/>
      <c r="V195" s="134"/>
      <c r="W195" s="134"/>
      <c r="X195" s="134"/>
      <c r="Y195" s="134"/>
      <c r="Z195" s="134"/>
    </row>
    <row r="196">
      <c r="A196" s="131"/>
      <c r="B196" s="164"/>
      <c r="C196" s="165"/>
      <c r="D196" s="171"/>
      <c r="E196" s="164"/>
      <c r="F196" s="170"/>
      <c r="G196" s="134"/>
      <c r="H196" s="134"/>
      <c r="I196" s="134"/>
      <c r="J196" s="134"/>
      <c r="K196" s="134"/>
      <c r="L196" s="134"/>
      <c r="M196" s="134"/>
      <c r="N196" s="134"/>
      <c r="O196" s="134"/>
      <c r="P196" s="134"/>
      <c r="Q196" s="134"/>
      <c r="R196" s="134"/>
      <c r="S196" s="134"/>
      <c r="T196" s="134"/>
      <c r="U196" s="134"/>
      <c r="V196" s="134"/>
      <c r="W196" s="134"/>
      <c r="X196" s="134"/>
      <c r="Y196" s="134"/>
      <c r="Z196" s="134"/>
    </row>
    <row r="197">
      <c r="A197" s="131"/>
      <c r="B197" s="164"/>
      <c r="C197" s="165"/>
      <c r="D197" s="171"/>
      <c r="E197" s="164"/>
      <c r="F197" s="170"/>
      <c r="G197" s="134"/>
      <c r="H197" s="134"/>
      <c r="I197" s="134"/>
      <c r="J197" s="134"/>
      <c r="K197" s="134"/>
      <c r="L197" s="134"/>
      <c r="M197" s="134"/>
      <c r="N197" s="134"/>
      <c r="O197" s="134"/>
      <c r="P197" s="134"/>
      <c r="Q197" s="134"/>
      <c r="R197" s="134"/>
      <c r="S197" s="134"/>
      <c r="T197" s="134"/>
      <c r="U197" s="134"/>
      <c r="V197" s="134"/>
      <c r="W197" s="134"/>
      <c r="X197" s="134"/>
      <c r="Y197" s="134"/>
      <c r="Z197" s="134"/>
    </row>
    <row r="198">
      <c r="A198" s="131"/>
      <c r="B198" s="164"/>
      <c r="C198" s="165"/>
      <c r="D198" s="171"/>
      <c r="E198" s="164"/>
      <c r="F198" s="170"/>
      <c r="G198" s="134"/>
      <c r="H198" s="134"/>
      <c r="I198" s="134"/>
      <c r="J198" s="134"/>
      <c r="K198" s="134"/>
      <c r="L198" s="134"/>
      <c r="M198" s="134"/>
      <c r="N198" s="134"/>
      <c r="O198" s="134"/>
      <c r="P198" s="134"/>
      <c r="Q198" s="134"/>
      <c r="R198" s="134"/>
      <c r="S198" s="134"/>
      <c r="T198" s="134"/>
      <c r="U198" s="134"/>
      <c r="V198" s="134"/>
      <c r="W198" s="134"/>
      <c r="X198" s="134"/>
      <c r="Y198" s="134"/>
      <c r="Z198" s="134"/>
    </row>
    <row r="199">
      <c r="A199" s="131"/>
      <c r="B199" s="164"/>
      <c r="C199" s="165"/>
      <c r="D199" s="171"/>
      <c r="E199" s="164"/>
      <c r="F199" s="170"/>
      <c r="G199" s="134"/>
      <c r="H199" s="134"/>
      <c r="I199" s="134"/>
      <c r="J199" s="134"/>
      <c r="K199" s="134"/>
      <c r="L199" s="134"/>
      <c r="M199" s="134"/>
      <c r="N199" s="134"/>
      <c r="O199" s="134"/>
      <c r="P199" s="134"/>
      <c r="Q199" s="134"/>
      <c r="R199" s="134"/>
      <c r="S199" s="134"/>
      <c r="T199" s="134"/>
      <c r="U199" s="134"/>
      <c r="V199" s="134"/>
      <c r="W199" s="134"/>
      <c r="X199" s="134"/>
      <c r="Y199" s="134"/>
      <c r="Z199" s="134"/>
    </row>
    <row r="200">
      <c r="A200" s="131"/>
      <c r="B200" s="164"/>
      <c r="C200" s="165"/>
      <c r="D200" s="171"/>
      <c r="E200" s="164"/>
      <c r="F200" s="170"/>
      <c r="G200" s="134"/>
      <c r="H200" s="134"/>
      <c r="I200" s="134"/>
      <c r="J200" s="134"/>
      <c r="K200" s="134"/>
      <c r="L200" s="134"/>
      <c r="M200" s="134"/>
      <c r="N200" s="134"/>
      <c r="O200" s="134"/>
      <c r="P200" s="134"/>
      <c r="Q200" s="134"/>
      <c r="R200" s="134"/>
      <c r="S200" s="134"/>
      <c r="T200" s="134"/>
      <c r="U200" s="134"/>
      <c r="V200" s="134"/>
      <c r="W200" s="134"/>
      <c r="X200" s="134"/>
      <c r="Y200" s="134"/>
      <c r="Z200" s="134"/>
    </row>
    <row r="201">
      <c r="A201" s="131"/>
      <c r="B201" s="164"/>
      <c r="C201" s="165"/>
      <c r="D201" s="171"/>
      <c r="E201" s="164"/>
      <c r="F201" s="170"/>
      <c r="G201" s="134"/>
      <c r="H201" s="134"/>
      <c r="I201" s="134"/>
      <c r="J201" s="134"/>
      <c r="K201" s="134"/>
      <c r="L201" s="134"/>
      <c r="M201" s="134"/>
      <c r="N201" s="134"/>
      <c r="O201" s="134"/>
      <c r="P201" s="134"/>
      <c r="Q201" s="134"/>
      <c r="R201" s="134"/>
      <c r="S201" s="134"/>
      <c r="T201" s="134"/>
      <c r="U201" s="134"/>
      <c r="V201" s="134"/>
      <c r="W201" s="134"/>
      <c r="X201" s="134"/>
      <c r="Y201" s="134"/>
      <c r="Z201" s="134"/>
    </row>
    <row r="202">
      <c r="A202" s="131"/>
      <c r="B202" s="164"/>
      <c r="C202" s="165"/>
      <c r="D202" s="171"/>
      <c r="E202" s="164"/>
      <c r="F202" s="170"/>
      <c r="G202" s="134"/>
      <c r="H202" s="134"/>
      <c r="I202" s="134"/>
      <c r="J202" s="134"/>
      <c r="K202" s="134"/>
      <c r="L202" s="134"/>
      <c r="M202" s="134"/>
      <c r="N202" s="134"/>
      <c r="O202" s="134"/>
      <c r="P202" s="134"/>
      <c r="Q202" s="134"/>
      <c r="R202" s="134"/>
      <c r="S202" s="134"/>
      <c r="T202" s="134"/>
      <c r="U202" s="134"/>
      <c r="V202" s="134"/>
      <c r="W202" s="134"/>
      <c r="X202" s="134"/>
      <c r="Y202" s="134"/>
      <c r="Z202" s="134"/>
    </row>
    <row r="203">
      <c r="A203" s="131"/>
      <c r="B203" s="164"/>
      <c r="C203" s="165"/>
      <c r="D203" s="171"/>
      <c r="E203" s="164"/>
      <c r="F203" s="170"/>
      <c r="G203" s="134"/>
      <c r="H203" s="134"/>
      <c r="I203" s="134"/>
      <c r="J203" s="134"/>
      <c r="K203" s="134"/>
      <c r="L203" s="134"/>
      <c r="M203" s="134"/>
      <c r="N203" s="134"/>
      <c r="O203" s="134"/>
      <c r="P203" s="134"/>
      <c r="Q203" s="134"/>
      <c r="R203" s="134"/>
      <c r="S203" s="134"/>
      <c r="T203" s="134"/>
      <c r="U203" s="134"/>
      <c r="V203" s="134"/>
      <c r="W203" s="134"/>
      <c r="X203" s="134"/>
      <c r="Y203" s="134"/>
      <c r="Z203" s="134"/>
    </row>
    <row r="204">
      <c r="A204" s="131"/>
      <c r="B204" s="164"/>
      <c r="C204" s="165"/>
      <c r="D204" s="171"/>
      <c r="E204" s="164"/>
      <c r="F204" s="170"/>
      <c r="G204" s="134"/>
      <c r="H204" s="134"/>
      <c r="I204" s="134"/>
      <c r="J204" s="134"/>
      <c r="K204" s="134"/>
      <c r="L204" s="134"/>
      <c r="M204" s="134"/>
      <c r="N204" s="134"/>
      <c r="O204" s="134"/>
      <c r="P204" s="134"/>
      <c r="Q204" s="134"/>
      <c r="R204" s="134"/>
      <c r="S204" s="134"/>
      <c r="T204" s="134"/>
      <c r="U204" s="134"/>
      <c r="V204" s="134"/>
      <c r="W204" s="134"/>
      <c r="X204" s="134"/>
      <c r="Y204" s="134"/>
      <c r="Z204" s="134"/>
    </row>
    <row r="205">
      <c r="A205" s="131"/>
      <c r="B205" s="164"/>
      <c r="C205" s="165"/>
      <c r="D205" s="171"/>
      <c r="E205" s="164"/>
      <c r="F205" s="170"/>
      <c r="G205" s="134"/>
      <c r="H205" s="134"/>
      <c r="I205" s="134"/>
      <c r="J205" s="134"/>
      <c r="K205" s="134"/>
      <c r="L205" s="134"/>
      <c r="M205" s="134"/>
      <c r="N205" s="134"/>
      <c r="O205" s="134"/>
      <c r="P205" s="134"/>
      <c r="Q205" s="134"/>
      <c r="R205" s="134"/>
      <c r="S205" s="134"/>
      <c r="T205" s="134"/>
      <c r="U205" s="134"/>
      <c r="V205" s="134"/>
      <c r="W205" s="134"/>
      <c r="X205" s="134"/>
      <c r="Y205" s="134"/>
      <c r="Z205" s="134"/>
    </row>
    <row r="206">
      <c r="A206" s="131"/>
      <c r="B206" s="164"/>
      <c r="C206" s="165"/>
      <c r="D206" s="171"/>
      <c r="E206" s="164"/>
      <c r="F206" s="170"/>
      <c r="G206" s="134"/>
      <c r="H206" s="134"/>
      <c r="I206" s="134"/>
      <c r="J206" s="134"/>
      <c r="K206" s="134"/>
      <c r="L206" s="134"/>
      <c r="M206" s="134"/>
      <c r="N206" s="134"/>
      <c r="O206" s="134"/>
      <c r="P206" s="134"/>
      <c r="Q206" s="134"/>
      <c r="R206" s="134"/>
      <c r="S206" s="134"/>
      <c r="T206" s="134"/>
      <c r="U206" s="134"/>
      <c r="V206" s="134"/>
      <c r="W206" s="134"/>
      <c r="X206" s="134"/>
      <c r="Y206" s="134"/>
      <c r="Z206" s="134"/>
    </row>
    <row r="207">
      <c r="A207" s="131"/>
      <c r="B207" s="164"/>
      <c r="C207" s="165"/>
      <c r="D207" s="171"/>
      <c r="E207" s="164"/>
      <c r="F207" s="170"/>
      <c r="G207" s="134"/>
      <c r="H207" s="134"/>
      <c r="I207" s="134"/>
      <c r="J207" s="134"/>
      <c r="K207" s="134"/>
      <c r="L207" s="134"/>
      <c r="M207" s="134"/>
      <c r="N207" s="134"/>
      <c r="O207" s="134"/>
      <c r="P207" s="134"/>
      <c r="Q207" s="134"/>
      <c r="R207" s="134"/>
      <c r="S207" s="134"/>
      <c r="T207" s="134"/>
      <c r="U207" s="134"/>
      <c r="V207" s="134"/>
      <c r="W207" s="134"/>
      <c r="X207" s="134"/>
      <c r="Y207" s="134"/>
      <c r="Z207" s="134"/>
    </row>
    <row r="208">
      <c r="A208" s="131"/>
      <c r="B208" s="164"/>
      <c r="C208" s="165"/>
      <c r="D208" s="171"/>
      <c r="E208" s="164"/>
      <c r="F208" s="170"/>
      <c r="G208" s="134"/>
      <c r="H208" s="134"/>
      <c r="I208" s="134"/>
      <c r="J208" s="134"/>
      <c r="K208" s="134"/>
      <c r="L208" s="134"/>
      <c r="M208" s="134"/>
      <c r="N208" s="134"/>
      <c r="O208" s="134"/>
      <c r="P208" s="134"/>
      <c r="Q208" s="134"/>
      <c r="R208" s="134"/>
      <c r="S208" s="134"/>
      <c r="T208" s="134"/>
      <c r="U208" s="134"/>
      <c r="V208" s="134"/>
      <c r="W208" s="134"/>
      <c r="X208" s="134"/>
      <c r="Y208" s="134"/>
      <c r="Z208" s="134"/>
    </row>
    <row r="209">
      <c r="A209" s="131"/>
      <c r="B209" s="164"/>
      <c r="C209" s="165"/>
      <c r="D209" s="171"/>
      <c r="E209" s="164"/>
      <c r="F209" s="170"/>
      <c r="G209" s="134"/>
      <c r="H209" s="134"/>
      <c r="I209" s="134"/>
      <c r="J209" s="134"/>
      <c r="K209" s="134"/>
      <c r="L209" s="134"/>
      <c r="M209" s="134"/>
      <c r="N209" s="134"/>
      <c r="O209" s="134"/>
      <c r="P209" s="134"/>
      <c r="Q209" s="134"/>
      <c r="R209" s="134"/>
      <c r="S209" s="134"/>
      <c r="T209" s="134"/>
      <c r="U209" s="134"/>
      <c r="V209" s="134"/>
      <c r="W209" s="134"/>
      <c r="X209" s="134"/>
      <c r="Y209" s="134"/>
      <c r="Z209" s="134"/>
    </row>
    <row r="210">
      <c r="A210" s="131"/>
      <c r="B210" s="164"/>
      <c r="C210" s="165"/>
      <c r="D210" s="171"/>
      <c r="E210" s="164"/>
      <c r="F210" s="170"/>
      <c r="G210" s="134"/>
      <c r="H210" s="134"/>
      <c r="I210" s="134"/>
      <c r="J210" s="134"/>
      <c r="K210" s="134"/>
      <c r="L210" s="134"/>
      <c r="M210" s="134"/>
      <c r="N210" s="134"/>
      <c r="O210" s="134"/>
      <c r="P210" s="134"/>
      <c r="Q210" s="134"/>
      <c r="R210" s="134"/>
      <c r="S210" s="134"/>
      <c r="T210" s="134"/>
      <c r="U210" s="134"/>
      <c r="V210" s="134"/>
      <c r="W210" s="134"/>
      <c r="X210" s="134"/>
      <c r="Y210" s="134"/>
      <c r="Z210" s="134"/>
    </row>
    <row r="211">
      <c r="A211" s="131"/>
      <c r="B211" s="164"/>
      <c r="C211" s="165"/>
      <c r="D211" s="171"/>
      <c r="E211" s="164"/>
      <c r="F211" s="170"/>
      <c r="G211" s="134"/>
      <c r="H211" s="134"/>
      <c r="I211" s="134"/>
      <c r="J211" s="134"/>
      <c r="K211" s="134"/>
      <c r="L211" s="134"/>
      <c r="M211" s="134"/>
      <c r="N211" s="134"/>
      <c r="O211" s="134"/>
      <c r="P211" s="134"/>
      <c r="Q211" s="134"/>
      <c r="R211" s="134"/>
      <c r="S211" s="134"/>
      <c r="T211" s="134"/>
      <c r="U211" s="134"/>
      <c r="V211" s="134"/>
      <c r="W211" s="134"/>
      <c r="X211" s="134"/>
      <c r="Y211" s="134"/>
      <c r="Z211" s="134"/>
    </row>
    <row r="212">
      <c r="A212" s="131"/>
      <c r="B212" s="164"/>
      <c r="C212" s="165"/>
      <c r="D212" s="171"/>
      <c r="E212" s="164"/>
      <c r="F212" s="170"/>
      <c r="G212" s="134"/>
      <c r="H212" s="134"/>
      <c r="I212" s="134"/>
      <c r="J212" s="134"/>
      <c r="K212" s="134"/>
      <c r="L212" s="134"/>
      <c r="M212" s="134"/>
      <c r="N212" s="134"/>
      <c r="O212" s="134"/>
      <c r="P212" s="134"/>
      <c r="Q212" s="134"/>
      <c r="R212" s="134"/>
      <c r="S212" s="134"/>
      <c r="T212" s="134"/>
      <c r="U212" s="134"/>
      <c r="V212" s="134"/>
      <c r="W212" s="134"/>
      <c r="X212" s="134"/>
      <c r="Y212" s="134"/>
      <c r="Z212" s="134"/>
    </row>
    <row r="213">
      <c r="A213" s="131"/>
      <c r="B213" s="164"/>
      <c r="C213" s="165"/>
      <c r="D213" s="171"/>
      <c r="E213" s="164"/>
      <c r="F213" s="170"/>
      <c r="G213" s="134"/>
      <c r="H213" s="134"/>
      <c r="I213" s="134"/>
      <c r="J213" s="134"/>
      <c r="K213" s="134"/>
      <c r="L213" s="134"/>
      <c r="M213" s="134"/>
      <c r="N213" s="134"/>
      <c r="O213" s="134"/>
      <c r="P213" s="134"/>
      <c r="Q213" s="134"/>
      <c r="R213" s="134"/>
      <c r="S213" s="134"/>
      <c r="T213" s="134"/>
      <c r="U213" s="134"/>
      <c r="V213" s="134"/>
      <c r="W213" s="134"/>
      <c r="X213" s="134"/>
      <c r="Y213" s="134"/>
      <c r="Z213" s="134"/>
    </row>
    <row r="214">
      <c r="A214" s="131"/>
      <c r="B214" s="164"/>
      <c r="C214" s="165"/>
      <c r="D214" s="171"/>
      <c r="E214" s="164"/>
      <c r="F214" s="170"/>
      <c r="G214" s="134"/>
      <c r="H214" s="134"/>
      <c r="I214" s="134"/>
      <c r="J214" s="134"/>
      <c r="K214" s="134"/>
      <c r="L214" s="134"/>
      <c r="M214" s="134"/>
      <c r="N214" s="134"/>
      <c r="O214" s="134"/>
      <c r="P214" s="134"/>
      <c r="Q214" s="134"/>
      <c r="R214" s="134"/>
      <c r="S214" s="134"/>
      <c r="T214" s="134"/>
      <c r="U214" s="134"/>
      <c r="V214" s="134"/>
      <c r="W214" s="134"/>
      <c r="X214" s="134"/>
      <c r="Y214" s="134"/>
      <c r="Z214" s="134"/>
    </row>
    <row r="215">
      <c r="A215" s="131"/>
      <c r="B215" s="164"/>
      <c r="C215" s="165"/>
      <c r="D215" s="171"/>
      <c r="E215" s="164"/>
      <c r="F215" s="170"/>
      <c r="G215" s="134"/>
      <c r="H215" s="134"/>
      <c r="I215" s="134"/>
      <c r="J215" s="134"/>
      <c r="K215" s="134"/>
      <c r="L215" s="134"/>
      <c r="M215" s="134"/>
      <c r="N215" s="134"/>
      <c r="O215" s="134"/>
      <c r="P215" s="134"/>
      <c r="Q215" s="134"/>
      <c r="R215" s="134"/>
      <c r="S215" s="134"/>
      <c r="T215" s="134"/>
      <c r="U215" s="134"/>
      <c r="V215" s="134"/>
      <c r="W215" s="134"/>
      <c r="X215" s="134"/>
      <c r="Y215" s="134"/>
      <c r="Z215" s="134"/>
    </row>
    <row r="216">
      <c r="A216" s="131"/>
      <c r="B216" s="164"/>
      <c r="C216" s="165"/>
      <c r="D216" s="171"/>
      <c r="E216" s="164"/>
      <c r="F216" s="170"/>
      <c r="G216" s="134"/>
      <c r="H216" s="134"/>
      <c r="I216" s="134"/>
      <c r="J216" s="134"/>
      <c r="K216" s="134"/>
      <c r="L216" s="134"/>
      <c r="M216" s="134"/>
      <c r="N216" s="134"/>
      <c r="O216" s="134"/>
      <c r="P216" s="134"/>
      <c r="Q216" s="134"/>
      <c r="R216" s="134"/>
      <c r="S216" s="134"/>
      <c r="T216" s="134"/>
      <c r="U216" s="134"/>
      <c r="V216" s="134"/>
      <c r="W216" s="134"/>
      <c r="X216" s="134"/>
      <c r="Y216" s="134"/>
      <c r="Z216" s="134"/>
    </row>
    <row r="217">
      <c r="A217" s="131"/>
      <c r="B217" s="164"/>
      <c r="C217" s="165"/>
      <c r="D217" s="171"/>
      <c r="E217" s="164"/>
      <c r="F217" s="170"/>
      <c r="G217" s="134"/>
      <c r="H217" s="134"/>
      <c r="I217" s="134"/>
      <c r="J217" s="134"/>
      <c r="K217" s="134"/>
      <c r="L217" s="134"/>
      <c r="M217" s="134"/>
      <c r="N217" s="134"/>
      <c r="O217" s="134"/>
      <c r="P217" s="134"/>
      <c r="Q217" s="134"/>
      <c r="R217" s="134"/>
      <c r="S217" s="134"/>
      <c r="T217" s="134"/>
      <c r="U217" s="134"/>
      <c r="V217" s="134"/>
      <c r="W217" s="134"/>
      <c r="X217" s="134"/>
      <c r="Y217" s="134"/>
      <c r="Z217" s="134"/>
    </row>
    <row r="218">
      <c r="A218" s="131"/>
      <c r="B218" s="164"/>
      <c r="C218" s="165"/>
      <c r="D218" s="171"/>
      <c r="E218" s="164"/>
      <c r="F218" s="170"/>
      <c r="G218" s="134"/>
      <c r="H218" s="134"/>
      <c r="I218" s="134"/>
      <c r="J218" s="134"/>
      <c r="K218" s="134"/>
      <c r="L218" s="134"/>
      <c r="M218" s="134"/>
      <c r="N218" s="134"/>
      <c r="O218" s="134"/>
      <c r="P218" s="134"/>
      <c r="Q218" s="134"/>
      <c r="R218" s="134"/>
      <c r="S218" s="134"/>
      <c r="T218" s="134"/>
      <c r="U218" s="134"/>
      <c r="V218" s="134"/>
      <c r="W218" s="134"/>
      <c r="X218" s="134"/>
      <c r="Y218" s="134"/>
      <c r="Z218" s="134"/>
    </row>
    <row r="219">
      <c r="A219" s="131"/>
      <c r="B219" s="164"/>
      <c r="C219" s="165"/>
      <c r="D219" s="171"/>
      <c r="E219" s="164"/>
      <c r="F219" s="170"/>
      <c r="G219" s="134"/>
      <c r="H219" s="134"/>
      <c r="I219" s="134"/>
      <c r="J219" s="134"/>
      <c r="K219" s="134"/>
      <c r="L219" s="134"/>
      <c r="M219" s="134"/>
      <c r="N219" s="134"/>
      <c r="O219" s="134"/>
      <c r="P219" s="134"/>
      <c r="Q219" s="134"/>
      <c r="R219" s="134"/>
      <c r="S219" s="134"/>
      <c r="T219" s="134"/>
      <c r="U219" s="134"/>
      <c r="V219" s="134"/>
      <c r="W219" s="134"/>
      <c r="X219" s="134"/>
      <c r="Y219" s="134"/>
      <c r="Z219" s="134"/>
    </row>
    <row r="220">
      <c r="A220" s="131"/>
      <c r="B220" s="164"/>
      <c r="C220" s="165"/>
      <c r="D220" s="171"/>
      <c r="E220" s="164"/>
      <c r="F220" s="170"/>
      <c r="G220" s="134"/>
      <c r="H220" s="134"/>
      <c r="I220" s="134"/>
      <c r="J220" s="134"/>
      <c r="K220" s="134"/>
      <c r="L220" s="134"/>
      <c r="M220" s="134"/>
      <c r="N220" s="134"/>
      <c r="O220" s="134"/>
      <c r="P220" s="134"/>
      <c r="Q220" s="134"/>
      <c r="R220" s="134"/>
      <c r="S220" s="134"/>
      <c r="T220" s="134"/>
      <c r="U220" s="134"/>
      <c r="V220" s="134"/>
      <c r="W220" s="134"/>
      <c r="X220" s="134"/>
      <c r="Y220" s="134"/>
      <c r="Z220" s="134"/>
    </row>
    <row r="221">
      <c r="A221" s="131"/>
      <c r="B221" s="164"/>
      <c r="C221" s="165"/>
      <c r="D221" s="171"/>
      <c r="E221" s="164"/>
      <c r="F221" s="170"/>
      <c r="G221" s="134"/>
      <c r="H221" s="134"/>
      <c r="I221" s="134"/>
      <c r="J221" s="134"/>
      <c r="K221" s="134"/>
      <c r="L221" s="134"/>
      <c r="M221" s="134"/>
      <c r="N221" s="134"/>
      <c r="O221" s="134"/>
      <c r="P221" s="134"/>
      <c r="Q221" s="134"/>
      <c r="R221" s="134"/>
      <c r="S221" s="134"/>
      <c r="T221" s="134"/>
      <c r="U221" s="134"/>
      <c r="V221" s="134"/>
      <c r="W221" s="134"/>
      <c r="X221" s="134"/>
      <c r="Y221" s="134"/>
      <c r="Z221" s="134"/>
    </row>
    <row r="222">
      <c r="A222" s="131"/>
      <c r="B222" s="164"/>
      <c r="C222" s="165"/>
      <c r="D222" s="171"/>
      <c r="E222" s="164"/>
      <c r="F222" s="170"/>
      <c r="G222" s="134"/>
      <c r="H222" s="134"/>
      <c r="I222" s="134"/>
      <c r="J222" s="134"/>
      <c r="K222" s="134"/>
      <c r="L222" s="134"/>
      <c r="M222" s="134"/>
      <c r="N222" s="134"/>
      <c r="O222" s="134"/>
      <c r="P222" s="134"/>
      <c r="Q222" s="134"/>
      <c r="R222" s="134"/>
      <c r="S222" s="134"/>
      <c r="T222" s="134"/>
      <c r="U222" s="134"/>
      <c r="V222" s="134"/>
      <c r="W222" s="134"/>
      <c r="X222" s="134"/>
      <c r="Y222" s="134"/>
      <c r="Z222" s="134"/>
    </row>
    <row r="223">
      <c r="A223" s="131"/>
      <c r="B223" s="164"/>
      <c r="C223" s="165"/>
      <c r="D223" s="171"/>
      <c r="E223" s="164"/>
      <c r="F223" s="170"/>
      <c r="G223" s="134"/>
      <c r="H223" s="134"/>
      <c r="I223" s="134"/>
      <c r="J223" s="134"/>
      <c r="K223" s="134"/>
      <c r="L223" s="134"/>
      <c r="M223" s="134"/>
      <c r="N223" s="134"/>
      <c r="O223" s="134"/>
      <c r="P223" s="134"/>
      <c r="Q223" s="134"/>
      <c r="R223" s="134"/>
      <c r="S223" s="134"/>
      <c r="T223" s="134"/>
      <c r="U223" s="134"/>
      <c r="V223" s="134"/>
      <c r="W223" s="134"/>
      <c r="X223" s="134"/>
      <c r="Y223" s="134"/>
      <c r="Z223" s="134"/>
    </row>
    <row r="224">
      <c r="A224" s="131"/>
      <c r="B224" s="164"/>
      <c r="C224" s="165"/>
      <c r="D224" s="171"/>
      <c r="E224" s="164"/>
      <c r="F224" s="170"/>
      <c r="G224" s="134"/>
      <c r="H224" s="134"/>
      <c r="I224" s="134"/>
      <c r="J224" s="134"/>
      <c r="K224" s="134"/>
      <c r="L224" s="134"/>
      <c r="M224" s="134"/>
      <c r="N224" s="134"/>
      <c r="O224" s="134"/>
      <c r="P224" s="134"/>
      <c r="Q224" s="134"/>
      <c r="R224" s="134"/>
      <c r="S224" s="134"/>
      <c r="T224" s="134"/>
      <c r="U224" s="134"/>
      <c r="V224" s="134"/>
      <c r="W224" s="134"/>
      <c r="X224" s="134"/>
      <c r="Y224" s="134"/>
      <c r="Z224" s="134"/>
    </row>
    <row r="225">
      <c r="A225" s="131"/>
      <c r="B225" s="164"/>
      <c r="C225" s="165"/>
      <c r="D225" s="171"/>
      <c r="E225" s="164"/>
      <c r="F225" s="170"/>
      <c r="G225" s="134"/>
      <c r="H225" s="134"/>
      <c r="I225" s="134"/>
      <c r="J225" s="134"/>
      <c r="K225" s="134"/>
      <c r="L225" s="134"/>
      <c r="M225" s="134"/>
      <c r="N225" s="134"/>
      <c r="O225" s="134"/>
      <c r="P225" s="134"/>
      <c r="Q225" s="134"/>
      <c r="R225" s="134"/>
      <c r="S225" s="134"/>
      <c r="T225" s="134"/>
      <c r="U225" s="134"/>
      <c r="V225" s="134"/>
      <c r="W225" s="134"/>
      <c r="X225" s="134"/>
      <c r="Y225" s="134"/>
      <c r="Z225" s="134"/>
    </row>
    <row r="226">
      <c r="A226" s="131"/>
      <c r="B226" s="164"/>
      <c r="C226" s="165"/>
      <c r="D226" s="171"/>
      <c r="E226" s="164"/>
      <c r="F226" s="170"/>
      <c r="G226" s="134"/>
      <c r="H226" s="134"/>
      <c r="I226" s="134"/>
      <c r="J226" s="134"/>
      <c r="K226" s="134"/>
      <c r="L226" s="134"/>
      <c r="M226" s="134"/>
      <c r="N226" s="134"/>
      <c r="O226" s="134"/>
      <c r="P226" s="134"/>
      <c r="Q226" s="134"/>
      <c r="R226" s="134"/>
      <c r="S226" s="134"/>
      <c r="T226" s="134"/>
      <c r="U226" s="134"/>
      <c r="V226" s="134"/>
      <c r="W226" s="134"/>
      <c r="X226" s="134"/>
      <c r="Y226" s="134"/>
      <c r="Z226" s="134"/>
    </row>
    <row r="227">
      <c r="A227" s="131"/>
      <c r="B227" s="164"/>
      <c r="C227" s="165"/>
      <c r="D227" s="171"/>
      <c r="E227" s="164"/>
      <c r="F227" s="170"/>
      <c r="G227" s="134"/>
      <c r="H227" s="134"/>
      <c r="I227" s="134"/>
      <c r="J227" s="134"/>
      <c r="K227" s="134"/>
      <c r="L227" s="134"/>
      <c r="M227" s="134"/>
      <c r="N227" s="134"/>
      <c r="O227" s="134"/>
      <c r="P227" s="134"/>
      <c r="Q227" s="134"/>
      <c r="R227" s="134"/>
      <c r="S227" s="134"/>
      <c r="T227" s="134"/>
      <c r="U227" s="134"/>
      <c r="V227" s="134"/>
      <c r="W227" s="134"/>
      <c r="X227" s="134"/>
      <c r="Y227" s="134"/>
      <c r="Z227" s="134"/>
    </row>
    <row r="228">
      <c r="A228" s="131"/>
      <c r="B228" s="164"/>
      <c r="C228" s="165"/>
      <c r="D228" s="171"/>
      <c r="E228" s="164"/>
      <c r="F228" s="170"/>
      <c r="G228" s="134"/>
      <c r="H228" s="134"/>
      <c r="I228" s="134"/>
      <c r="J228" s="134"/>
      <c r="K228" s="134"/>
      <c r="L228" s="134"/>
      <c r="M228" s="134"/>
      <c r="N228" s="134"/>
      <c r="O228" s="134"/>
      <c r="P228" s="134"/>
      <c r="Q228" s="134"/>
      <c r="R228" s="134"/>
      <c r="S228" s="134"/>
      <c r="T228" s="134"/>
      <c r="U228" s="134"/>
      <c r="V228" s="134"/>
      <c r="W228" s="134"/>
      <c r="X228" s="134"/>
      <c r="Y228" s="134"/>
      <c r="Z228" s="134"/>
    </row>
    <row r="229">
      <c r="A229" s="131"/>
      <c r="B229" s="164"/>
      <c r="C229" s="165"/>
      <c r="D229" s="171"/>
      <c r="E229" s="164"/>
      <c r="F229" s="170"/>
      <c r="G229" s="134"/>
      <c r="H229" s="134"/>
      <c r="I229" s="134"/>
      <c r="J229" s="134"/>
      <c r="K229" s="134"/>
      <c r="L229" s="134"/>
      <c r="M229" s="134"/>
      <c r="N229" s="134"/>
      <c r="O229" s="134"/>
      <c r="P229" s="134"/>
      <c r="Q229" s="134"/>
      <c r="R229" s="134"/>
      <c r="S229" s="134"/>
      <c r="T229" s="134"/>
      <c r="U229" s="134"/>
      <c r="V229" s="134"/>
      <c r="W229" s="134"/>
      <c r="X229" s="134"/>
      <c r="Y229" s="134"/>
      <c r="Z229" s="134"/>
    </row>
    <row r="230">
      <c r="A230" s="131"/>
      <c r="B230" s="164"/>
      <c r="C230" s="165"/>
      <c r="D230" s="171"/>
      <c r="E230" s="164"/>
      <c r="F230" s="170"/>
      <c r="G230" s="134"/>
      <c r="H230" s="134"/>
      <c r="I230" s="134"/>
      <c r="J230" s="134"/>
      <c r="K230" s="134"/>
      <c r="L230" s="134"/>
      <c r="M230" s="134"/>
      <c r="N230" s="134"/>
      <c r="O230" s="134"/>
      <c r="P230" s="134"/>
      <c r="Q230" s="134"/>
      <c r="R230" s="134"/>
      <c r="S230" s="134"/>
      <c r="T230" s="134"/>
      <c r="U230" s="134"/>
      <c r="V230" s="134"/>
      <c r="W230" s="134"/>
      <c r="X230" s="134"/>
      <c r="Y230" s="134"/>
      <c r="Z230" s="134"/>
    </row>
    <row r="231">
      <c r="A231" s="131"/>
      <c r="B231" s="164"/>
      <c r="C231" s="165"/>
      <c r="D231" s="171"/>
      <c r="E231" s="164"/>
      <c r="F231" s="170"/>
      <c r="G231" s="134"/>
      <c r="H231" s="134"/>
      <c r="I231" s="134"/>
      <c r="J231" s="134"/>
      <c r="K231" s="134"/>
      <c r="L231" s="134"/>
      <c r="M231" s="134"/>
      <c r="N231" s="134"/>
      <c r="O231" s="134"/>
      <c r="P231" s="134"/>
      <c r="Q231" s="134"/>
      <c r="R231" s="134"/>
      <c r="S231" s="134"/>
      <c r="T231" s="134"/>
      <c r="U231" s="134"/>
      <c r="V231" s="134"/>
      <c r="W231" s="134"/>
      <c r="X231" s="134"/>
      <c r="Y231" s="134"/>
      <c r="Z231" s="134"/>
    </row>
    <row r="232">
      <c r="A232" s="131"/>
      <c r="B232" s="164"/>
      <c r="C232" s="165"/>
      <c r="D232" s="171"/>
      <c r="E232" s="164"/>
      <c r="F232" s="170"/>
      <c r="G232" s="134"/>
      <c r="H232" s="134"/>
      <c r="I232" s="134"/>
      <c r="J232" s="134"/>
      <c r="K232" s="134"/>
      <c r="L232" s="134"/>
      <c r="M232" s="134"/>
      <c r="N232" s="134"/>
      <c r="O232" s="134"/>
      <c r="P232" s="134"/>
      <c r="Q232" s="134"/>
      <c r="R232" s="134"/>
      <c r="S232" s="134"/>
      <c r="T232" s="134"/>
      <c r="U232" s="134"/>
      <c r="V232" s="134"/>
      <c r="W232" s="134"/>
      <c r="X232" s="134"/>
      <c r="Y232" s="134"/>
      <c r="Z232" s="134"/>
    </row>
    <row r="233">
      <c r="A233" s="131"/>
      <c r="B233" s="164"/>
      <c r="C233" s="165"/>
      <c r="D233" s="171"/>
      <c r="E233" s="164"/>
      <c r="F233" s="170"/>
      <c r="G233" s="134"/>
      <c r="H233" s="134"/>
      <c r="I233" s="134"/>
      <c r="J233" s="134"/>
      <c r="K233" s="134"/>
      <c r="L233" s="134"/>
      <c r="M233" s="134"/>
      <c r="N233" s="134"/>
      <c r="O233" s="134"/>
      <c r="P233" s="134"/>
      <c r="Q233" s="134"/>
      <c r="R233" s="134"/>
      <c r="S233" s="134"/>
      <c r="T233" s="134"/>
      <c r="U233" s="134"/>
      <c r="V233" s="134"/>
      <c r="W233" s="134"/>
      <c r="X233" s="134"/>
      <c r="Y233" s="134"/>
      <c r="Z233" s="134"/>
    </row>
    <row r="234">
      <c r="A234" s="131"/>
      <c r="B234" s="164"/>
      <c r="C234" s="165"/>
      <c r="D234" s="171"/>
      <c r="E234" s="164"/>
      <c r="F234" s="170"/>
      <c r="G234" s="134"/>
      <c r="H234" s="134"/>
      <c r="I234" s="134"/>
      <c r="J234" s="134"/>
      <c r="K234" s="134"/>
      <c r="L234" s="134"/>
      <c r="M234" s="134"/>
      <c r="N234" s="134"/>
      <c r="O234" s="134"/>
      <c r="P234" s="134"/>
      <c r="Q234" s="134"/>
      <c r="R234" s="134"/>
      <c r="S234" s="134"/>
      <c r="T234" s="134"/>
      <c r="U234" s="134"/>
      <c r="V234" s="134"/>
      <c r="W234" s="134"/>
      <c r="X234" s="134"/>
      <c r="Y234" s="134"/>
      <c r="Z234" s="134"/>
    </row>
    <row r="235">
      <c r="A235" s="131"/>
      <c r="B235" s="164"/>
      <c r="C235" s="165"/>
      <c r="D235" s="171"/>
      <c r="E235" s="164"/>
      <c r="F235" s="170"/>
      <c r="G235" s="134"/>
      <c r="H235" s="134"/>
      <c r="I235" s="134"/>
      <c r="J235" s="134"/>
      <c r="K235" s="134"/>
      <c r="L235" s="134"/>
      <c r="M235" s="134"/>
      <c r="N235" s="134"/>
      <c r="O235" s="134"/>
      <c r="P235" s="134"/>
      <c r="Q235" s="134"/>
      <c r="R235" s="134"/>
      <c r="S235" s="134"/>
      <c r="T235" s="134"/>
      <c r="U235" s="134"/>
      <c r="V235" s="134"/>
      <c r="W235" s="134"/>
      <c r="X235" s="134"/>
      <c r="Y235" s="134"/>
      <c r="Z235" s="134"/>
    </row>
    <row r="236">
      <c r="A236" s="131"/>
      <c r="B236" s="164"/>
      <c r="C236" s="165"/>
      <c r="D236" s="171"/>
      <c r="E236" s="164"/>
      <c r="F236" s="170"/>
      <c r="G236" s="134"/>
      <c r="H236" s="134"/>
      <c r="I236" s="134"/>
      <c r="J236" s="134"/>
      <c r="K236" s="134"/>
      <c r="L236" s="134"/>
      <c r="M236" s="134"/>
      <c r="N236" s="134"/>
      <c r="O236" s="134"/>
      <c r="P236" s="134"/>
      <c r="Q236" s="134"/>
      <c r="R236" s="134"/>
      <c r="S236" s="134"/>
      <c r="T236" s="134"/>
      <c r="U236" s="134"/>
      <c r="V236" s="134"/>
      <c r="W236" s="134"/>
      <c r="X236" s="134"/>
      <c r="Y236" s="134"/>
      <c r="Z236" s="134"/>
    </row>
    <row r="237">
      <c r="A237" s="131"/>
      <c r="B237" s="164"/>
      <c r="C237" s="165"/>
      <c r="D237" s="171"/>
      <c r="E237" s="164"/>
      <c r="F237" s="170"/>
      <c r="G237" s="134"/>
      <c r="H237" s="134"/>
      <c r="I237" s="134"/>
      <c r="J237" s="134"/>
      <c r="K237" s="134"/>
      <c r="L237" s="134"/>
      <c r="M237" s="134"/>
      <c r="N237" s="134"/>
      <c r="O237" s="134"/>
      <c r="P237" s="134"/>
      <c r="Q237" s="134"/>
      <c r="R237" s="134"/>
      <c r="S237" s="134"/>
      <c r="T237" s="134"/>
      <c r="U237" s="134"/>
      <c r="V237" s="134"/>
      <c r="W237" s="134"/>
      <c r="X237" s="134"/>
      <c r="Y237" s="134"/>
      <c r="Z237" s="134"/>
    </row>
    <row r="238">
      <c r="A238" s="131"/>
      <c r="B238" s="164"/>
      <c r="C238" s="165"/>
      <c r="D238" s="171"/>
      <c r="E238" s="164"/>
      <c r="F238" s="170"/>
      <c r="G238" s="134"/>
      <c r="H238" s="134"/>
      <c r="I238" s="134"/>
      <c r="J238" s="134"/>
      <c r="K238" s="134"/>
      <c r="L238" s="134"/>
      <c r="M238" s="134"/>
      <c r="N238" s="134"/>
      <c r="O238" s="134"/>
      <c r="P238" s="134"/>
      <c r="Q238" s="134"/>
      <c r="R238" s="134"/>
      <c r="S238" s="134"/>
      <c r="T238" s="134"/>
      <c r="U238" s="134"/>
      <c r="V238" s="134"/>
      <c r="W238" s="134"/>
      <c r="X238" s="134"/>
      <c r="Y238" s="134"/>
      <c r="Z238" s="134"/>
    </row>
    <row r="239">
      <c r="A239" s="131"/>
      <c r="B239" s="164"/>
      <c r="C239" s="165"/>
      <c r="D239" s="171"/>
      <c r="E239" s="164"/>
      <c r="F239" s="170"/>
      <c r="G239" s="134"/>
      <c r="H239" s="134"/>
      <c r="I239" s="134"/>
      <c r="J239" s="134"/>
      <c r="K239" s="134"/>
      <c r="L239" s="134"/>
      <c r="M239" s="134"/>
      <c r="N239" s="134"/>
      <c r="O239" s="134"/>
      <c r="P239" s="134"/>
      <c r="Q239" s="134"/>
      <c r="R239" s="134"/>
      <c r="S239" s="134"/>
      <c r="T239" s="134"/>
      <c r="U239" s="134"/>
      <c r="V239" s="134"/>
      <c r="W239" s="134"/>
      <c r="X239" s="134"/>
      <c r="Y239" s="134"/>
      <c r="Z239" s="134"/>
    </row>
    <row r="240">
      <c r="A240" s="131"/>
      <c r="B240" s="164"/>
      <c r="C240" s="165"/>
      <c r="D240" s="171"/>
      <c r="E240" s="164"/>
      <c r="F240" s="170"/>
      <c r="G240" s="134"/>
      <c r="H240" s="134"/>
      <c r="I240" s="134"/>
      <c r="J240" s="134"/>
      <c r="K240" s="134"/>
      <c r="L240" s="134"/>
      <c r="M240" s="134"/>
      <c r="N240" s="134"/>
      <c r="O240" s="134"/>
      <c r="P240" s="134"/>
      <c r="Q240" s="134"/>
      <c r="R240" s="134"/>
      <c r="S240" s="134"/>
      <c r="T240" s="134"/>
      <c r="U240" s="134"/>
      <c r="V240" s="134"/>
      <c r="W240" s="134"/>
      <c r="X240" s="134"/>
      <c r="Y240" s="134"/>
      <c r="Z240" s="134"/>
    </row>
    <row r="241">
      <c r="A241" s="131"/>
      <c r="B241" s="164"/>
      <c r="C241" s="165"/>
      <c r="D241" s="171"/>
      <c r="E241" s="164"/>
      <c r="F241" s="170"/>
      <c r="G241" s="134"/>
      <c r="H241" s="134"/>
      <c r="I241" s="134"/>
      <c r="J241" s="134"/>
      <c r="K241" s="134"/>
      <c r="L241" s="134"/>
      <c r="M241" s="134"/>
      <c r="N241" s="134"/>
      <c r="O241" s="134"/>
      <c r="P241" s="134"/>
      <c r="Q241" s="134"/>
      <c r="R241" s="134"/>
      <c r="S241" s="134"/>
      <c r="T241" s="134"/>
      <c r="U241" s="134"/>
      <c r="V241" s="134"/>
      <c r="W241" s="134"/>
      <c r="X241" s="134"/>
      <c r="Y241" s="134"/>
      <c r="Z241" s="134"/>
    </row>
    <row r="242">
      <c r="A242" s="131"/>
      <c r="B242" s="164"/>
      <c r="C242" s="165"/>
      <c r="D242" s="171"/>
      <c r="E242" s="164"/>
      <c r="F242" s="170"/>
      <c r="G242" s="134"/>
      <c r="H242" s="134"/>
      <c r="I242" s="134"/>
      <c r="J242" s="134"/>
      <c r="K242" s="134"/>
      <c r="L242" s="134"/>
      <c r="M242" s="134"/>
      <c r="N242" s="134"/>
      <c r="O242" s="134"/>
      <c r="P242" s="134"/>
      <c r="Q242" s="134"/>
      <c r="R242" s="134"/>
      <c r="S242" s="134"/>
      <c r="T242" s="134"/>
      <c r="U242" s="134"/>
      <c r="V242" s="134"/>
      <c r="W242" s="134"/>
      <c r="X242" s="134"/>
      <c r="Y242" s="134"/>
      <c r="Z242" s="134"/>
    </row>
    <row r="243">
      <c r="A243" s="131"/>
      <c r="B243" s="164"/>
      <c r="C243" s="165"/>
      <c r="D243" s="171"/>
      <c r="E243" s="164"/>
      <c r="F243" s="170"/>
      <c r="G243" s="134"/>
      <c r="H243" s="134"/>
      <c r="I243" s="134"/>
      <c r="J243" s="134"/>
      <c r="K243" s="134"/>
      <c r="L243" s="134"/>
      <c r="M243" s="134"/>
      <c r="N243" s="134"/>
      <c r="O243" s="134"/>
      <c r="P243" s="134"/>
      <c r="Q243" s="134"/>
      <c r="R243" s="134"/>
      <c r="S243" s="134"/>
      <c r="T243" s="134"/>
      <c r="U243" s="134"/>
      <c r="V243" s="134"/>
      <c r="W243" s="134"/>
      <c r="X243" s="134"/>
      <c r="Y243" s="134"/>
      <c r="Z243" s="134"/>
    </row>
    <row r="244">
      <c r="A244" s="131"/>
      <c r="B244" s="164"/>
      <c r="C244" s="165"/>
      <c r="D244" s="171"/>
      <c r="E244" s="164"/>
      <c r="F244" s="170"/>
      <c r="G244" s="134"/>
      <c r="H244" s="134"/>
      <c r="I244" s="134"/>
      <c r="J244" s="134"/>
      <c r="K244" s="134"/>
      <c r="L244" s="134"/>
      <c r="M244" s="134"/>
      <c r="N244" s="134"/>
      <c r="O244" s="134"/>
      <c r="P244" s="134"/>
      <c r="Q244" s="134"/>
      <c r="R244" s="134"/>
      <c r="S244" s="134"/>
      <c r="T244" s="134"/>
      <c r="U244" s="134"/>
      <c r="V244" s="134"/>
      <c r="W244" s="134"/>
      <c r="X244" s="134"/>
      <c r="Y244" s="134"/>
      <c r="Z244" s="134"/>
    </row>
    <row r="245">
      <c r="A245" s="131"/>
      <c r="B245" s="164"/>
      <c r="C245" s="165"/>
      <c r="D245" s="171"/>
      <c r="E245" s="164"/>
      <c r="F245" s="170"/>
      <c r="G245" s="134"/>
      <c r="H245" s="134"/>
      <c r="I245" s="134"/>
      <c r="J245" s="134"/>
      <c r="K245" s="134"/>
      <c r="L245" s="134"/>
      <c r="M245" s="134"/>
      <c r="N245" s="134"/>
      <c r="O245" s="134"/>
      <c r="P245" s="134"/>
      <c r="Q245" s="134"/>
      <c r="R245" s="134"/>
      <c r="S245" s="134"/>
      <c r="T245" s="134"/>
      <c r="U245" s="134"/>
      <c r="V245" s="134"/>
      <c r="W245" s="134"/>
      <c r="X245" s="134"/>
      <c r="Y245" s="134"/>
      <c r="Z245" s="134"/>
    </row>
    <row r="246">
      <c r="A246" s="131"/>
      <c r="B246" s="164"/>
      <c r="C246" s="165"/>
      <c r="D246" s="171"/>
      <c r="E246" s="164"/>
      <c r="F246" s="170"/>
      <c r="G246" s="134"/>
      <c r="H246" s="134"/>
      <c r="I246" s="134"/>
      <c r="J246" s="134"/>
      <c r="K246" s="134"/>
      <c r="L246" s="134"/>
      <c r="M246" s="134"/>
      <c r="N246" s="134"/>
      <c r="O246" s="134"/>
      <c r="P246" s="134"/>
      <c r="Q246" s="134"/>
      <c r="R246" s="134"/>
      <c r="S246" s="134"/>
      <c r="T246" s="134"/>
      <c r="U246" s="134"/>
      <c r="V246" s="134"/>
      <c r="W246" s="134"/>
      <c r="X246" s="134"/>
      <c r="Y246" s="134"/>
      <c r="Z246" s="134"/>
    </row>
    <row r="247">
      <c r="A247" s="131"/>
      <c r="B247" s="164"/>
      <c r="C247" s="165"/>
      <c r="D247" s="171"/>
      <c r="E247" s="164"/>
      <c r="F247" s="170"/>
      <c r="G247" s="134"/>
      <c r="H247" s="134"/>
      <c r="I247" s="134"/>
      <c r="J247" s="134"/>
      <c r="K247" s="134"/>
      <c r="L247" s="134"/>
      <c r="M247" s="134"/>
      <c r="N247" s="134"/>
      <c r="O247" s="134"/>
      <c r="P247" s="134"/>
      <c r="Q247" s="134"/>
      <c r="R247" s="134"/>
      <c r="S247" s="134"/>
      <c r="T247" s="134"/>
      <c r="U247" s="134"/>
      <c r="V247" s="134"/>
      <c r="W247" s="134"/>
      <c r="X247" s="134"/>
      <c r="Y247" s="134"/>
      <c r="Z247" s="134"/>
    </row>
    <row r="248">
      <c r="A248" s="131"/>
      <c r="B248" s="164"/>
      <c r="C248" s="165"/>
      <c r="D248" s="171"/>
      <c r="E248" s="164"/>
      <c r="F248" s="170"/>
      <c r="G248" s="134"/>
      <c r="H248" s="134"/>
      <c r="I248" s="134"/>
      <c r="J248" s="134"/>
      <c r="K248" s="134"/>
      <c r="L248" s="134"/>
      <c r="M248" s="134"/>
      <c r="N248" s="134"/>
      <c r="O248" s="134"/>
      <c r="P248" s="134"/>
      <c r="Q248" s="134"/>
      <c r="R248" s="134"/>
      <c r="S248" s="134"/>
      <c r="T248" s="134"/>
      <c r="U248" s="134"/>
      <c r="V248" s="134"/>
      <c r="W248" s="134"/>
      <c r="X248" s="134"/>
      <c r="Y248" s="134"/>
      <c r="Z248" s="134"/>
    </row>
    <row r="249">
      <c r="A249" s="131"/>
      <c r="B249" s="164"/>
      <c r="C249" s="165"/>
      <c r="D249" s="171"/>
      <c r="E249" s="164"/>
      <c r="F249" s="170"/>
      <c r="G249" s="134"/>
      <c r="H249" s="134"/>
      <c r="I249" s="134"/>
      <c r="J249" s="134"/>
      <c r="K249" s="134"/>
      <c r="L249" s="134"/>
      <c r="M249" s="134"/>
      <c r="N249" s="134"/>
      <c r="O249" s="134"/>
      <c r="P249" s="134"/>
      <c r="Q249" s="134"/>
      <c r="R249" s="134"/>
      <c r="S249" s="134"/>
      <c r="T249" s="134"/>
      <c r="U249" s="134"/>
      <c r="V249" s="134"/>
      <c r="W249" s="134"/>
      <c r="X249" s="134"/>
      <c r="Y249" s="134"/>
      <c r="Z249" s="134"/>
    </row>
    <row r="250">
      <c r="A250" s="131"/>
      <c r="B250" s="164"/>
      <c r="C250" s="165"/>
      <c r="D250" s="171"/>
      <c r="E250" s="164"/>
      <c r="F250" s="170"/>
      <c r="G250" s="134"/>
      <c r="H250" s="134"/>
      <c r="I250" s="134"/>
      <c r="J250" s="134"/>
      <c r="K250" s="134"/>
      <c r="L250" s="134"/>
      <c r="M250" s="134"/>
      <c r="N250" s="134"/>
      <c r="O250" s="134"/>
      <c r="P250" s="134"/>
      <c r="Q250" s="134"/>
      <c r="R250" s="134"/>
      <c r="S250" s="134"/>
      <c r="T250" s="134"/>
      <c r="U250" s="134"/>
      <c r="V250" s="134"/>
      <c r="W250" s="134"/>
      <c r="X250" s="134"/>
      <c r="Y250" s="134"/>
      <c r="Z250" s="134"/>
    </row>
    <row r="251">
      <c r="A251" s="131"/>
      <c r="B251" s="164"/>
      <c r="C251" s="165"/>
      <c r="D251" s="171"/>
      <c r="E251" s="164"/>
      <c r="F251" s="170"/>
      <c r="G251" s="134"/>
      <c r="H251" s="134"/>
      <c r="I251" s="134"/>
      <c r="J251" s="134"/>
      <c r="K251" s="134"/>
      <c r="L251" s="134"/>
      <c r="M251" s="134"/>
      <c r="N251" s="134"/>
      <c r="O251" s="134"/>
      <c r="P251" s="134"/>
      <c r="Q251" s="134"/>
      <c r="R251" s="134"/>
      <c r="S251" s="134"/>
      <c r="T251" s="134"/>
      <c r="U251" s="134"/>
      <c r="V251" s="134"/>
      <c r="W251" s="134"/>
      <c r="X251" s="134"/>
      <c r="Y251" s="134"/>
      <c r="Z251" s="134"/>
    </row>
    <row r="252">
      <c r="A252" s="131"/>
      <c r="B252" s="164"/>
      <c r="C252" s="165"/>
      <c r="D252" s="171"/>
      <c r="E252" s="164"/>
      <c r="F252" s="170"/>
      <c r="G252" s="134"/>
      <c r="H252" s="134"/>
      <c r="I252" s="134"/>
      <c r="J252" s="134"/>
      <c r="K252" s="134"/>
      <c r="L252" s="134"/>
      <c r="M252" s="134"/>
      <c r="N252" s="134"/>
      <c r="O252" s="134"/>
      <c r="P252" s="134"/>
      <c r="Q252" s="134"/>
      <c r="R252" s="134"/>
      <c r="S252" s="134"/>
      <c r="T252" s="134"/>
      <c r="U252" s="134"/>
      <c r="V252" s="134"/>
      <c r="W252" s="134"/>
      <c r="X252" s="134"/>
      <c r="Y252" s="134"/>
      <c r="Z252" s="134"/>
    </row>
    <row r="253">
      <c r="A253" s="131"/>
      <c r="B253" s="164"/>
      <c r="C253" s="165"/>
      <c r="D253" s="171"/>
      <c r="E253" s="164"/>
      <c r="F253" s="170"/>
      <c r="G253" s="134"/>
      <c r="H253" s="134"/>
      <c r="I253" s="134"/>
      <c r="J253" s="134"/>
      <c r="K253" s="134"/>
      <c r="L253" s="134"/>
      <c r="M253" s="134"/>
      <c r="N253" s="134"/>
      <c r="O253" s="134"/>
      <c r="P253" s="134"/>
      <c r="Q253" s="134"/>
      <c r="R253" s="134"/>
      <c r="S253" s="134"/>
      <c r="T253" s="134"/>
      <c r="U253" s="134"/>
      <c r="V253" s="134"/>
      <c r="W253" s="134"/>
      <c r="X253" s="134"/>
      <c r="Y253" s="134"/>
      <c r="Z253" s="134"/>
    </row>
    <row r="254">
      <c r="A254" s="131"/>
      <c r="B254" s="164"/>
      <c r="C254" s="165"/>
      <c r="D254" s="171"/>
      <c r="E254" s="164"/>
      <c r="F254" s="170"/>
      <c r="G254" s="134"/>
      <c r="H254" s="134"/>
      <c r="I254" s="134"/>
      <c r="J254" s="134"/>
      <c r="K254" s="134"/>
      <c r="L254" s="134"/>
      <c r="M254" s="134"/>
      <c r="N254" s="134"/>
      <c r="O254" s="134"/>
      <c r="P254" s="134"/>
      <c r="Q254" s="134"/>
      <c r="R254" s="134"/>
      <c r="S254" s="134"/>
      <c r="T254" s="134"/>
      <c r="U254" s="134"/>
      <c r="V254" s="134"/>
      <c r="W254" s="134"/>
      <c r="X254" s="134"/>
      <c r="Y254" s="134"/>
      <c r="Z254" s="134"/>
    </row>
    <row r="255">
      <c r="A255" s="131"/>
      <c r="B255" s="164"/>
      <c r="C255" s="165"/>
      <c r="D255" s="171"/>
      <c r="E255" s="164"/>
      <c r="F255" s="170"/>
      <c r="G255" s="134"/>
      <c r="H255" s="134"/>
      <c r="I255" s="134"/>
      <c r="J255" s="134"/>
      <c r="K255" s="134"/>
      <c r="L255" s="134"/>
      <c r="M255" s="134"/>
      <c r="N255" s="134"/>
      <c r="O255" s="134"/>
      <c r="P255" s="134"/>
      <c r="Q255" s="134"/>
      <c r="R255" s="134"/>
      <c r="S255" s="134"/>
      <c r="T255" s="134"/>
      <c r="U255" s="134"/>
      <c r="V255" s="134"/>
      <c r="W255" s="134"/>
      <c r="X255" s="134"/>
      <c r="Y255" s="134"/>
      <c r="Z255" s="134"/>
    </row>
    <row r="256">
      <c r="A256" s="131"/>
      <c r="B256" s="164"/>
      <c r="C256" s="165"/>
      <c r="D256" s="171"/>
      <c r="E256" s="164"/>
      <c r="F256" s="170"/>
      <c r="G256" s="134"/>
      <c r="H256" s="134"/>
      <c r="I256" s="134"/>
      <c r="J256" s="134"/>
      <c r="K256" s="134"/>
      <c r="L256" s="134"/>
      <c r="M256" s="134"/>
      <c r="N256" s="134"/>
      <c r="O256" s="134"/>
      <c r="P256" s="134"/>
      <c r="Q256" s="134"/>
      <c r="R256" s="134"/>
      <c r="S256" s="134"/>
      <c r="T256" s="134"/>
      <c r="U256" s="134"/>
      <c r="V256" s="134"/>
      <c r="W256" s="134"/>
      <c r="X256" s="134"/>
      <c r="Y256" s="134"/>
      <c r="Z256" s="134"/>
    </row>
    <row r="257">
      <c r="A257" s="131"/>
      <c r="B257" s="164"/>
      <c r="C257" s="165"/>
      <c r="D257" s="171"/>
      <c r="E257" s="164"/>
      <c r="F257" s="170"/>
      <c r="G257" s="134"/>
      <c r="H257" s="134"/>
      <c r="I257" s="134"/>
      <c r="J257" s="134"/>
      <c r="K257" s="134"/>
      <c r="L257" s="134"/>
      <c r="M257" s="134"/>
      <c r="N257" s="134"/>
      <c r="O257" s="134"/>
      <c r="P257" s="134"/>
      <c r="Q257" s="134"/>
      <c r="R257" s="134"/>
      <c r="S257" s="134"/>
      <c r="T257" s="134"/>
      <c r="U257" s="134"/>
      <c r="V257" s="134"/>
      <c r="W257" s="134"/>
      <c r="X257" s="134"/>
      <c r="Y257" s="134"/>
      <c r="Z257" s="134"/>
    </row>
    <row r="258">
      <c r="A258" s="131"/>
      <c r="B258" s="164"/>
      <c r="C258" s="165"/>
      <c r="D258" s="171"/>
      <c r="E258" s="164"/>
      <c r="F258" s="170"/>
      <c r="G258" s="134"/>
      <c r="H258" s="134"/>
      <c r="I258" s="134"/>
      <c r="J258" s="134"/>
      <c r="K258" s="134"/>
      <c r="L258" s="134"/>
      <c r="M258" s="134"/>
      <c r="N258" s="134"/>
      <c r="O258" s="134"/>
      <c r="P258" s="134"/>
      <c r="Q258" s="134"/>
      <c r="R258" s="134"/>
      <c r="S258" s="134"/>
      <c r="T258" s="134"/>
      <c r="U258" s="134"/>
      <c r="V258" s="134"/>
      <c r="W258" s="134"/>
      <c r="X258" s="134"/>
      <c r="Y258" s="134"/>
      <c r="Z258" s="134"/>
    </row>
    <row r="259">
      <c r="A259" s="131"/>
      <c r="B259" s="164"/>
      <c r="C259" s="165"/>
      <c r="D259" s="171"/>
      <c r="E259" s="164"/>
      <c r="F259" s="170"/>
      <c r="G259" s="134"/>
      <c r="H259" s="134"/>
      <c r="I259" s="134"/>
      <c r="J259" s="134"/>
      <c r="K259" s="134"/>
      <c r="L259" s="134"/>
      <c r="M259" s="134"/>
      <c r="N259" s="134"/>
      <c r="O259" s="134"/>
      <c r="P259" s="134"/>
      <c r="Q259" s="134"/>
      <c r="R259" s="134"/>
      <c r="S259" s="134"/>
      <c r="T259" s="134"/>
      <c r="U259" s="134"/>
      <c r="V259" s="134"/>
      <c r="W259" s="134"/>
      <c r="X259" s="134"/>
      <c r="Y259" s="134"/>
      <c r="Z259" s="134"/>
    </row>
    <row r="260">
      <c r="A260" s="131"/>
      <c r="B260" s="164"/>
      <c r="C260" s="165"/>
      <c r="D260" s="171"/>
      <c r="E260" s="164"/>
      <c r="F260" s="170"/>
      <c r="G260" s="134"/>
      <c r="H260" s="134"/>
      <c r="I260" s="134"/>
      <c r="J260" s="134"/>
      <c r="K260" s="134"/>
      <c r="L260" s="134"/>
      <c r="M260" s="134"/>
      <c r="N260" s="134"/>
      <c r="O260" s="134"/>
      <c r="P260" s="134"/>
      <c r="Q260" s="134"/>
      <c r="R260" s="134"/>
      <c r="S260" s="134"/>
      <c r="T260" s="134"/>
      <c r="U260" s="134"/>
      <c r="V260" s="134"/>
      <c r="W260" s="134"/>
      <c r="X260" s="134"/>
      <c r="Y260" s="134"/>
      <c r="Z260" s="134"/>
    </row>
    <row r="261">
      <c r="A261" s="131"/>
      <c r="B261" s="164"/>
      <c r="C261" s="165"/>
      <c r="D261" s="171"/>
      <c r="E261" s="164"/>
      <c r="F261" s="170"/>
      <c r="G261" s="134"/>
      <c r="H261" s="134"/>
      <c r="I261" s="134"/>
      <c r="J261" s="134"/>
      <c r="K261" s="134"/>
      <c r="L261" s="134"/>
      <c r="M261" s="134"/>
      <c r="N261" s="134"/>
      <c r="O261" s="134"/>
      <c r="P261" s="134"/>
      <c r="Q261" s="134"/>
      <c r="R261" s="134"/>
      <c r="S261" s="134"/>
      <c r="T261" s="134"/>
      <c r="U261" s="134"/>
      <c r="V261" s="134"/>
      <c r="W261" s="134"/>
      <c r="X261" s="134"/>
      <c r="Y261" s="134"/>
      <c r="Z261" s="134"/>
    </row>
    <row r="262">
      <c r="A262" s="131"/>
      <c r="B262" s="164"/>
      <c r="C262" s="165"/>
      <c r="D262" s="171"/>
      <c r="E262" s="164"/>
      <c r="F262" s="170"/>
      <c r="G262" s="134"/>
      <c r="H262" s="134"/>
      <c r="I262" s="134"/>
      <c r="J262" s="134"/>
      <c r="K262" s="134"/>
      <c r="L262" s="134"/>
      <c r="M262" s="134"/>
      <c r="N262" s="134"/>
      <c r="O262" s="134"/>
      <c r="P262" s="134"/>
      <c r="Q262" s="134"/>
      <c r="R262" s="134"/>
      <c r="S262" s="134"/>
      <c r="T262" s="134"/>
      <c r="U262" s="134"/>
      <c r="V262" s="134"/>
      <c r="W262" s="134"/>
      <c r="X262" s="134"/>
      <c r="Y262" s="134"/>
      <c r="Z262" s="134"/>
    </row>
    <row r="263">
      <c r="A263" s="131"/>
      <c r="B263" s="164"/>
      <c r="C263" s="165"/>
      <c r="D263" s="171"/>
      <c r="E263" s="164"/>
      <c r="F263" s="170"/>
      <c r="G263" s="134"/>
      <c r="H263" s="134"/>
      <c r="I263" s="134"/>
      <c r="J263" s="134"/>
      <c r="K263" s="134"/>
      <c r="L263" s="134"/>
      <c r="M263" s="134"/>
      <c r="N263" s="134"/>
      <c r="O263" s="134"/>
      <c r="P263" s="134"/>
      <c r="Q263" s="134"/>
      <c r="R263" s="134"/>
      <c r="S263" s="134"/>
      <c r="T263" s="134"/>
      <c r="U263" s="134"/>
      <c r="V263" s="134"/>
      <c r="W263" s="134"/>
      <c r="X263" s="134"/>
      <c r="Y263" s="134"/>
      <c r="Z263" s="134"/>
    </row>
    <row r="264">
      <c r="A264" s="131"/>
      <c r="B264" s="164"/>
      <c r="C264" s="165"/>
      <c r="D264" s="171"/>
      <c r="E264" s="164"/>
      <c r="F264" s="170"/>
      <c r="G264" s="134"/>
      <c r="H264" s="134"/>
      <c r="I264" s="134"/>
      <c r="J264" s="134"/>
      <c r="K264" s="134"/>
      <c r="L264" s="134"/>
      <c r="M264" s="134"/>
      <c r="N264" s="134"/>
      <c r="O264" s="134"/>
      <c r="P264" s="134"/>
      <c r="Q264" s="134"/>
      <c r="R264" s="134"/>
      <c r="S264" s="134"/>
      <c r="T264" s="134"/>
      <c r="U264" s="134"/>
      <c r="V264" s="134"/>
      <c r="W264" s="134"/>
      <c r="X264" s="134"/>
      <c r="Y264" s="134"/>
      <c r="Z264" s="134"/>
    </row>
    <row r="265">
      <c r="A265" s="131"/>
      <c r="B265" s="164"/>
      <c r="C265" s="165"/>
      <c r="D265" s="171"/>
      <c r="E265" s="164"/>
      <c r="F265" s="170"/>
      <c r="G265" s="134"/>
      <c r="H265" s="134"/>
      <c r="I265" s="134"/>
      <c r="J265" s="134"/>
      <c r="K265" s="134"/>
      <c r="L265" s="134"/>
      <c r="M265" s="134"/>
      <c r="N265" s="134"/>
      <c r="O265" s="134"/>
      <c r="P265" s="134"/>
      <c r="Q265" s="134"/>
      <c r="R265" s="134"/>
      <c r="S265" s="134"/>
      <c r="T265" s="134"/>
      <c r="U265" s="134"/>
      <c r="V265" s="134"/>
      <c r="W265" s="134"/>
      <c r="X265" s="134"/>
      <c r="Y265" s="134"/>
      <c r="Z265" s="134"/>
    </row>
    <row r="266">
      <c r="A266" s="131"/>
      <c r="B266" s="164"/>
      <c r="C266" s="165"/>
      <c r="D266" s="171"/>
      <c r="E266" s="164"/>
      <c r="F266" s="170"/>
      <c r="G266" s="134"/>
      <c r="H266" s="134"/>
      <c r="I266" s="134"/>
      <c r="J266" s="134"/>
      <c r="K266" s="134"/>
      <c r="L266" s="134"/>
      <c r="M266" s="134"/>
      <c r="N266" s="134"/>
      <c r="O266" s="134"/>
      <c r="P266" s="134"/>
      <c r="Q266" s="134"/>
      <c r="R266" s="134"/>
      <c r="S266" s="134"/>
      <c r="T266" s="134"/>
      <c r="U266" s="134"/>
      <c r="V266" s="134"/>
      <c r="W266" s="134"/>
      <c r="X266" s="134"/>
      <c r="Y266" s="134"/>
      <c r="Z266" s="134"/>
    </row>
    <row r="267">
      <c r="A267" s="131"/>
      <c r="B267" s="164"/>
      <c r="C267" s="165"/>
      <c r="D267" s="171"/>
      <c r="E267" s="164"/>
      <c r="F267" s="170"/>
      <c r="G267" s="134"/>
      <c r="H267" s="134"/>
      <c r="I267" s="134"/>
      <c r="J267" s="134"/>
      <c r="K267" s="134"/>
      <c r="L267" s="134"/>
      <c r="M267" s="134"/>
      <c r="N267" s="134"/>
      <c r="O267" s="134"/>
      <c r="P267" s="134"/>
      <c r="Q267" s="134"/>
      <c r="R267" s="134"/>
      <c r="S267" s="134"/>
      <c r="T267" s="134"/>
      <c r="U267" s="134"/>
      <c r="V267" s="134"/>
      <c r="W267" s="134"/>
      <c r="X267" s="134"/>
      <c r="Y267" s="134"/>
      <c r="Z267" s="134"/>
    </row>
    <row r="268">
      <c r="A268" s="131"/>
      <c r="B268" s="164"/>
      <c r="C268" s="165"/>
      <c r="D268" s="171"/>
      <c r="E268" s="164"/>
      <c r="F268" s="170"/>
      <c r="G268" s="134"/>
      <c r="H268" s="134"/>
      <c r="I268" s="134"/>
      <c r="J268" s="134"/>
      <c r="K268" s="134"/>
      <c r="L268" s="134"/>
      <c r="M268" s="134"/>
      <c r="N268" s="134"/>
      <c r="O268" s="134"/>
      <c r="P268" s="134"/>
      <c r="Q268" s="134"/>
      <c r="R268" s="134"/>
      <c r="S268" s="134"/>
      <c r="T268" s="134"/>
      <c r="U268" s="134"/>
      <c r="V268" s="134"/>
      <c r="W268" s="134"/>
      <c r="X268" s="134"/>
      <c r="Y268" s="134"/>
      <c r="Z268" s="134"/>
    </row>
    <row r="269">
      <c r="A269" s="131"/>
      <c r="B269" s="164"/>
      <c r="C269" s="165"/>
      <c r="D269" s="171"/>
      <c r="E269" s="164"/>
      <c r="F269" s="170"/>
      <c r="G269" s="134"/>
      <c r="H269" s="134"/>
      <c r="I269" s="134"/>
      <c r="J269" s="134"/>
      <c r="K269" s="134"/>
      <c r="L269" s="134"/>
      <c r="M269" s="134"/>
      <c r="N269" s="134"/>
      <c r="O269" s="134"/>
      <c r="P269" s="134"/>
      <c r="Q269" s="134"/>
      <c r="R269" s="134"/>
      <c r="S269" s="134"/>
      <c r="T269" s="134"/>
      <c r="U269" s="134"/>
      <c r="V269" s="134"/>
      <c r="W269" s="134"/>
      <c r="X269" s="134"/>
      <c r="Y269" s="134"/>
      <c r="Z269" s="134"/>
    </row>
    <row r="270">
      <c r="A270" s="131"/>
      <c r="B270" s="164"/>
      <c r="C270" s="165"/>
      <c r="D270" s="171"/>
      <c r="E270" s="164"/>
      <c r="F270" s="170"/>
      <c r="G270" s="134"/>
      <c r="H270" s="134"/>
      <c r="I270" s="134"/>
      <c r="J270" s="134"/>
      <c r="K270" s="134"/>
      <c r="L270" s="134"/>
      <c r="M270" s="134"/>
      <c r="N270" s="134"/>
      <c r="O270" s="134"/>
      <c r="P270" s="134"/>
      <c r="Q270" s="134"/>
      <c r="R270" s="134"/>
      <c r="S270" s="134"/>
      <c r="T270" s="134"/>
      <c r="U270" s="134"/>
      <c r="V270" s="134"/>
      <c r="W270" s="134"/>
      <c r="X270" s="134"/>
      <c r="Y270" s="134"/>
      <c r="Z270" s="134"/>
    </row>
    <row r="271">
      <c r="A271" s="131"/>
      <c r="B271" s="164"/>
      <c r="C271" s="165"/>
      <c r="D271" s="171"/>
      <c r="E271" s="164"/>
      <c r="F271" s="170"/>
      <c r="G271" s="134"/>
      <c r="H271" s="134"/>
      <c r="I271" s="134"/>
      <c r="J271" s="134"/>
      <c r="K271" s="134"/>
      <c r="L271" s="134"/>
      <c r="M271" s="134"/>
      <c r="N271" s="134"/>
      <c r="O271" s="134"/>
      <c r="P271" s="134"/>
      <c r="Q271" s="134"/>
      <c r="R271" s="134"/>
      <c r="S271" s="134"/>
      <c r="T271" s="134"/>
      <c r="U271" s="134"/>
      <c r="V271" s="134"/>
      <c r="W271" s="134"/>
      <c r="X271" s="134"/>
      <c r="Y271" s="134"/>
      <c r="Z271" s="134"/>
    </row>
    <row r="272">
      <c r="A272" s="131"/>
      <c r="B272" s="164"/>
      <c r="C272" s="165"/>
      <c r="D272" s="171"/>
      <c r="E272" s="164"/>
      <c r="F272" s="170"/>
      <c r="G272" s="134"/>
      <c r="H272" s="134"/>
      <c r="I272" s="134"/>
      <c r="J272" s="134"/>
      <c r="K272" s="134"/>
      <c r="L272" s="134"/>
      <c r="M272" s="134"/>
      <c r="N272" s="134"/>
      <c r="O272" s="134"/>
      <c r="P272" s="134"/>
      <c r="Q272" s="134"/>
      <c r="R272" s="134"/>
      <c r="S272" s="134"/>
      <c r="T272" s="134"/>
      <c r="U272" s="134"/>
      <c r="V272" s="134"/>
      <c r="W272" s="134"/>
      <c r="X272" s="134"/>
      <c r="Y272" s="134"/>
      <c r="Z272" s="134"/>
    </row>
    <row r="273">
      <c r="A273" s="131"/>
      <c r="B273" s="164"/>
      <c r="C273" s="165"/>
      <c r="D273" s="171"/>
      <c r="E273" s="164"/>
      <c r="F273" s="170"/>
      <c r="G273" s="134"/>
      <c r="H273" s="134"/>
      <c r="I273" s="134"/>
      <c r="J273" s="134"/>
      <c r="K273" s="134"/>
      <c r="L273" s="134"/>
      <c r="M273" s="134"/>
      <c r="N273" s="134"/>
      <c r="O273" s="134"/>
      <c r="P273" s="134"/>
      <c r="Q273" s="134"/>
      <c r="R273" s="134"/>
      <c r="S273" s="134"/>
      <c r="T273" s="134"/>
      <c r="U273" s="134"/>
      <c r="V273" s="134"/>
      <c r="W273" s="134"/>
      <c r="X273" s="134"/>
      <c r="Y273" s="134"/>
      <c r="Z273" s="134"/>
    </row>
    <row r="274">
      <c r="A274" s="131"/>
      <c r="B274" s="164"/>
      <c r="C274" s="165"/>
      <c r="D274" s="171"/>
      <c r="E274" s="164"/>
      <c r="F274" s="170"/>
      <c r="G274" s="134"/>
      <c r="H274" s="134"/>
      <c r="I274" s="134"/>
      <c r="J274" s="134"/>
      <c r="K274" s="134"/>
      <c r="L274" s="134"/>
      <c r="M274" s="134"/>
      <c r="N274" s="134"/>
      <c r="O274" s="134"/>
      <c r="P274" s="134"/>
      <c r="Q274" s="134"/>
      <c r="R274" s="134"/>
      <c r="S274" s="134"/>
      <c r="T274" s="134"/>
      <c r="U274" s="134"/>
      <c r="V274" s="134"/>
      <c r="W274" s="134"/>
      <c r="X274" s="134"/>
      <c r="Y274" s="134"/>
      <c r="Z274" s="134"/>
    </row>
    <row r="275">
      <c r="A275" s="131"/>
      <c r="B275" s="164"/>
      <c r="C275" s="165"/>
      <c r="D275" s="171"/>
      <c r="E275" s="164"/>
      <c r="F275" s="170"/>
      <c r="G275" s="134"/>
      <c r="H275" s="134"/>
      <c r="I275" s="134"/>
      <c r="J275" s="134"/>
      <c r="K275" s="134"/>
      <c r="L275" s="134"/>
      <c r="M275" s="134"/>
      <c r="N275" s="134"/>
      <c r="O275" s="134"/>
      <c r="P275" s="134"/>
      <c r="Q275" s="134"/>
      <c r="R275" s="134"/>
      <c r="S275" s="134"/>
      <c r="T275" s="134"/>
      <c r="U275" s="134"/>
      <c r="V275" s="134"/>
      <c r="W275" s="134"/>
      <c r="X275" s="134"/>
      <c r="Y275" s="134"/>
      <c r="Z275" s="134"/>
    </row>
    <row r="276">
      <c r="A276" s="131"/>
      <c r="B276" s="164"/>
      <c r="C276" s="165"/>
      <c r="D276" s="171"/>
      <c r="E276" s="164"/>
      <c r="F276" s="170"/>
      <c r="G276" s="134"/>
      <c r="H276" s="134"/>
      <c r="I276" s="134"/>
      <c r="J276" s="134"/>
      <c r="K276" s="134"/>
      <c r="L276" s="134"/>
      <c r="M276" s="134"/>
      <c r="N276" s="134"/>
      <c r="O276" s="134"/>
      <c r="P276" s="134"/>
      <c r="Q276" s="134"/>
      <c r="R276" s="134"/>
      <c r="S276" s="134"/>
      <c r="T276" s="134"/>
      <c r="U276" s="134"/>
      <c r="V276" s="134"/>
      <c r="W276" s="134"/>
      <c r="X276" s="134"/>
      <c r="Y276" s="134"/>
      <c r="Z276" s="134"/>
    </row>
    <row r="277">
      <c r="A277" s="131"/>
      <c r="B277" s="164"/>
      <c r="C277" s="165"/>
      <c r="D277" s="171"/>
      <c r="E277" s="164"/>
      <c r="F277" s="170"/>
      <c r="G277" s="134"/>
      <c r="H277" s="134"/>
      <c r="I277" s="134"/>
      <c r="J277" s="134"/>
      <c r="K277" s="134"/>
      <c r="L277" s="134"/>
      <c r="M277" s="134"/>
      <c r="N277" s="134"/>
      <c r="O277" s="134"/>
      <c r="P277" s="134"/>
      <c r="Q277" s="134"/>
      <c r="R277" s="134"/>
      <c r="S277" s="134"/>
      <c r="T277" s="134"/>
      <c r="U277" s="134"/>
      <c r="V277" s="134"/>
      <c r="W277" s="134"/>
      <c r="X277" s="134"/>
      <c r="Y277" s="134"/>
      <c r="Z277" s="134"/>
    </row>
    <row r="278">
      <c r="A278" s="131"/>
      <c r="B278" s="164"/>
      <c r="C278" s="165"/>
      <c r="D278" s="171"/>
      <c r="E278" s="164"/>
      <c r="F278" s="170"/>
      <c r="G278" s="134"/>
      <c r="H278" s="134"/>
      <c r="I278" s="134"/>
      <c r="J278" s="134"/>
      <c r="K278" s="134"/>
      <c r="L278" s="134"/>
      <c r="M278" s="134"/>
      <c r="N278" s="134"/>
      <c r="O278" s="134"/>
      <c r="P278" s="134"/>
      <c r="Q278" s="134"/>
      <c r="R278" s="134"/>
      <c r="S278" s="134"/>
      <c r="T278" s="134"/>
      <c r="U278" s="134"/>
      <c r="V278" s="134"/>
      <c r="W278" s="134"/>
      <c r="X278" s="134"/>
      <c r="Y278" s="134"/>
      <c r="Z278" s="134"/>
    </row>
    <row r="279">
      <c r="A279" s="131"/>
      <c r="B279" s="164"/>
      <c r="C279" s="165"/>
      <c r="D279" s="171"/>
      <c r="E279" s="164"/>
      <c r="F279" s="170"/>
      <c r="G279" s="134"/>
      <c r="H279" s="134"/>
      <c r="I279" s="134"/>
      <c r="J279" s="134"/>
      <c r="K279" s="134"/>
      <c r="L279" s="134"/>
      <c r="M279" s="134"/>
      <c r="N279" s="134"/>
      <c r="O279" s="134"/>
      <c r="P279" s="134"/>
      <c r="Q279" s="134"/>
      <c r="R279" s="134"/>
      <c r="S279" s="134"/>
      <c r="T279" s="134"/>
      <c r="U279" s="134"/>
      <c r="V279" s="134"/>
      <c r="W279" s="134"/>
      <c r="X279" s="134"/>
      <c r="Y279" s="134"/>
      <c r="Z279" s="134"/>
    </row>
    <row r="280">
      <c r="A280" s="131"/>
      <c r="B280" s="164"/>
      <c r="C280" s="165"/>
      <c r="D280" s="171"/>
      <c r="E280" s="164"/>
      <c r="F280" s="170"/>
      <c r="G280" s="134"/>
      <c r="H280" s="134"/>
      <c r="I280" s="134"/>
      <c r="J280" s="134"/>
      <c r="K280" s="134"/>
      <c r="L280" s="134"/>
      <c r="M280" s="134"/>
      <c r="N280" s="134"/>
      <c r="O280" s="134"/>
      <c r="P280" s="134"/>
      <c r="Q280" s="134"/>
      <c r="R280" s="134"/>
      <c r="S280" s="134"/>
      <c r="T280" s="134"/>
      <c r="U280" s="134"/>
      <c r="V280" s="134"/>
      <c r="W280" s="134"/>
      <c r="X280" s="134"/>
      <c r="Y280" s="134"/>
      <c r="Z280" s="134"/>
    </row>
    <row r="281">
      <c r="A281" s="131"/>
      <c r="B281" s="164"/>
      <c r="C281" s="165"/>
      <c r="D281" s="171"/>
      <c r="E281" s="164"/>
      <c r="F281" s="170"/>
      <c r="G281" s="134"/>
      <c r="H281" s="134"/>
      <c r="I281" s="134"/>
      <c r="J281" s="134"/>
      <c r="K281" s="134"/>
      <c r="L281" s="134"/>
      <c r="M281" s="134"/>
      <c r="N281" s="134"/>
      <c r="O281" s="134"/>
      <c r="P281" s="134"/>
      <c r="Q281" s="134"/>
      <c r="R281" s="134"/>
      <c r="S281" s="134"/>
      <c r="T281" s="134"/>
      <c r="U281" s="134"/>
      <c r="V281" s="134"/>
      <c r="W281" s="134"/>
      <c r="X281" s="134"/>
      <c r="Y281" s="134"/>
      <c r="Z281" s="134"/>
    </row>
    <row r="282">
      <c r="A282" s="131"/>
      <c r="B282" s="164"/>
      <c r="C282" s="165"/>
      <c r="D282" s="171"/>
      <c r="E282" s="164"/>
      <c r="F282" s="170"/>
      <c r="G282" s="134"/>
      <c r="H282" s="134"/>
      <c r="I282" s="134"/>
      <c r="J282" s="134"/>
      <c r="K282" s="134"/>
      <c r="L282" s="134"/>
      <c r="M282" s="134"/>
      <c r="N282" s="134"/>
      <c r="O282" s="134"/>
      <c r="P282" s="134"/>
      <c r="Q282" s="134"/>
      <c r="R282" s="134"/>
      <c r="S282" s="134"/>
      <c r="T282" s="134"/>
      <c r="U282" s="134"/>
      <c r="V282" s="134"/>
      <c r="W282" s="134"/>
      <c r="X282" s="134"/>
      <c r="Y282" s="134"/>
      <c r="Z282" s="134"/>
    </row>
    <row r="283">
      <c r="A283" s="131"/>
      <c r="B283" s="164"/>
      <c r="C283" s="165"/>
      <c r="D283" s="171"/>
      <c r="E283" s="164"/>
      <c r="F283" s="170"/>
      <c r="G283" s="134"/>
      <c r="H283" s="134"/>
      <c r="I283" s="134"/>
      <c r="J283" s="134"/>
      <c r="K283" s="134"/>
      <c r="L283" s="134"/>
      <c r="M283" s="134"/>
      <c r="N283" s="134"/>
      <c r="O283" s="134"/>
      <c r="P283" s="134"/>
      <c r="Q283" s="134"/>
      <c r="R283" s="134"/>
      <c r="S283" s="134"/>
      <c r="T283" s="134"/>
      <c r="U283" s="134"/>
      <c r="V283" s="134"/>
      <c r="W283" s="134"/>
      <c r="X283" s="134"/>
      <c r="Y283" s="134"/>
      <c r="Z283" s="134"/>
    </row>
    <row r="284">
      <c r="A284" s="131"/>
      <c r="B284" s="164"/>
      <c r="C284" s="165"/>
      <c r="D284" s="171"/>
      <c r="E284" s="164"/>
      <c r="F284" s="170"/>
      <c r="G284" s="134"/>
      <c r="H284" s="134"/>
      <c r="I284" s="134"/>
      <c r="J284" s="134"/>
      <c r="K284" s="134"/>
      <c r="L284" s="134"/>
      <c r="M284" s="134"/>
      <c r="N284" s="134"/>
      <c r="O284" s="134"/>
      <c r="P284" s="134"/>
      <c r="Q284" s="134"/>
      <c r="R284" s="134"/>
      <c r="S284" s="134"/>
      <c r="T284" s="134"/>
      <c r="U284" s="134"/>
      <c r="V284" s="134"/>
      <c r="W284" s="134"/>
      <c r="X284" s="134"/>
      <c r="Y284" s="134"/>
      <c r="Z284" s="134"/>
    </row>
    <row r="285">
      <c r="A285" s="131"/>
      <c r="B285" s="164"/>
      <c r="C285" s="165"/>
      <c r="D285" s="171"/>
      <c r="E285" s="164"/>
      <c r="F285" s="170"/>
      <c r="G285" s="134"/>
      <c r="H285" s="134"/>
      <c r="I285" s="134"/>
      <c r="J285" s="134"/>
      <c r="K285" s="134"/>
      <c r="L285" s="134"/>
      <c r="M285" s="134"/>
      <c r="N285" s="134"/>
      <c r="O285" s="134"/>
      <c r="P285" s="134"/>
      <c r="Q285" s="134"/>
      <c r="R285" s="134"/>
      <c r="S285" s="134"/>
      <c r="T285" s="134"/>
      <c r="U285" s="134"/>
      <c r="V285" s="134"/>
      <c r="W285" s="134"/>
      <c r="X285" s="134"/>
      <c r="Y285" s="134"/>
      <c r="Z285" s="134"/>
    </row>
    <row r="286">
      <c r="A286" s="131"/>
      <c r="B286" s="164"/>
      <c r="C286" s="165"/>
      <c r="D286" s="171"/>
      <c r="E286" s="164"/>
      <c r="F286" s="170"/>
      <c r="G286" s="134"/>
      <c r="H286" s="134"/>
      <c r="I286" s="134"/>
      <c r="J286" s="134"/>
      <c r="K286" s="134"/>
      <c r="L286" s="134"/>
      <c r="M286" s="134"/>
      <c r="N286" s="134"/>
      <c r="O286" s="134"/>
      <c r="P286" s="134"/>
      <c r="Q286" s="134"/>
      <c r="R286" s="134"/>
      <c r="S286" s="134"/>
      <c r="T286" s="134"/>
      <c r="U286" s="134"/>
      <c r="V286" s="134"/>
      <c r="W286" s="134"/>
      <c r="X286" s="134"/>
      <c r="Y286" s="134"/>
      <c r="Z286" s="134"/>
    </row>
    <row r="287">
      <c r="A287" s="131"/>
      <c r="B287" s="164"/>
      <c r="C287" s="165"/>
      <c r="D287" s="171"/>
      <c r="E287" s="164"/>
      <c r="F287" s="170"/>
      <c r="G287" s="134"/>
      <c r="H287" s="134"/>
      <c r="I287" s="134"/>
      <c r="J287" s="134"/>
      <c r="K287" s="134"/>
      <c r="L287" s="134"/>
      <c r="M287" s="134"/>
      <c r="N287" s="134"/>
      <c r="O287" s="134"/>
      <c r="P287" s="134"/>
      <c r="Q287" s="134"/>
      <c r="R287" s="134"/>
      <c r="S287" s="134"/>
      <c r="T287" s="134"/>
      <c r="U287" s="134"/>
      <c r="V287" s="134"/>
      <c r="W287" s="134"/>
      <c r="X287" s="134"/>
      <c r="Y287" s="134"/>
      <c r="Z287" s="134"/>
    </row>
    <row r="288">
      <c r="A288" s="131"/>
      <c r="B288" s="164"/>
      <c r="C288" s="165"/>
      <c r="D288" s="171"/>
      <c r="E288" s="164"/>
      <c r="F288" s="170"/>
      <c r="G288" s="134"/>
      <c r="H288" s="134"/>
      <c r="I288" s="134"/>
      <c r="J288" s="134"/>
      <c r="K288" s="134"/>
      <c r="L288" s="134"/>
      <c r="M288" s="134"/>
      <c r="N288" s="134"/>
      <c r="O288" s="134"/>
      <c r="P288" s="134"/>
      <c r="Q288" s="134"/>
      <c r="R288" s="134"/>
      <c r="S288" s="134"/>
      <c r="T288" s="134"/>
      <c r="U288" s="134"/>
      <c r="V288" s="134"/>
      <c r="W288" s="134"/>
      <c r="X288" s="134"/>
      <c r="Y288" s="134"/>
      <c r="Z288" s="134"/>
    </row>
    <row r="289">
      <c r="A289" s="131"/>
      <c r="B289" s="164"/>
      <c r="C289" s="165"/>
      <c r="D289" s="171"/>
      <c r="E289" s="164"/>
      <c r="F289" s="170"/>
      <c r="G289" s="134"/>
      <c r="H289" s="134"/>
      <c r="I289" s="134"/>
      <c r="J289" s="134"/>
      <c r="K289" s="134"/>
      <c r="L289" s="134"/>
      <c r="M289" s="134"/>
      <c r="N289" s="134"/>
      <c r="O289" s="134"/>
      <c r="P289" s="134"/>
      <c r="Q289" s="134"/>
      <c r="R289" s="134"/>
      <c r="S289" s="134"/>
      <c r="T289" s="134"/>
      <c r="U289" s="134"/>
      <c r="V289" s="134"/>
      <c r="W289" s="134"/>
      <c r="X289" s="134"/>
      <c r="Y289" s="134"/>
      <c r="Z289" s="134"/>
    </row>
    <row r="290">
      <c r="A290" s="131"/>
      <c r="B290" s="164"/>
      <c r="C290" s="165"/>
      <c r="D290" s="171"/>
      <c r="E290" s="164"/>
      <c r="F290" s="170"/>
      <c r="G290" s="134"/>
      <c r="H290" s="134"/>
      <c r="I290" s="134"/>
      <c r="J290" s="134"/>
      <c r="K290" s="134"/>
      <c r="L290" s="134"/>
      <c r="M290" s="134"/>
      <c r="N290" s="134"/>
      <c r="O290" s="134"/>
      <c r="P290" s="134"/>
      <c r="Q290" s="134"/>
      <c r="R290" s="134"/>
      <c r="S290" s="134"/>
      <c r="T290" s="134"/>
      <c r="U290" s="134"/>
      <c r="V290" s="134"/>
      <c r="W290" s="134"/>
      <c r="X290" s="134"/>
      <c r="Y290" s="134"/>
      <c r="Z290" s="134"/>
    </row>
    <row r="291">
      <c r="A291" s="131"/>
      <c r="B291" s="164"/>
      <c r="C291" s="165"/>
      <c r="D291" s="171"/>
      <c r="E291" s="164"/>
      <c r="F291" s="170"/>
      <c r="G291" s="134"/>
      <c r="H291" s="134"/>
      <c r="I291" s="134"/>
      <c r="J291" s="134"/>
      <c r="K291" s="134"/>
      <c r="L291" s="134"/>
      <c r="M291" s="134"/>
      <c r="N291" s="134"/>
      <c r="O291" s="134"/>
      <c r="P291" s="134"/>
      <c r="Q291" s="134"/>
      <c r="R291" s="134"/>
      <c r="S291" s="134"/>
      <c r="T291" s="134"/>
      <c r="U291" s="134"/>
      <c r="V291" s="134"/>
      <c r="W291" s="134"/>
      <c r="X291" s="134"/>
      <c r="Y291" s="134"/>
      <c r="Z291" s="134"/>
    </row>
    <row r="292">
      <c r="A292" s="131"/>
      <c r="B292" s="164"/>
      <c r="C292" s="165"/>
      <c r="D292" s="171"/>
      <c r="E292" s="164"/>
      <c r="F292" s="170"/>
      <c r="G292" s="134"/>
      <c r="H292" s="134"/>
      <c r="I292" s="134"/>
      <c r="J292" s="134"/>
      <c r="K292" s="134"/>
      <c r="L292" s="134"/>
      <c r="M292" s="134"/>
      <c r="N292" s="134"/>
      <c r="O292" s="134"/>
      <c r="P292" s="134"/>
      <c r="Q292" s="134"/>
      <c r="R292" s="134"/>
      <c r="S292" s="134"/>
      <c r="T292" s="134"/>
      <c r="U292" s="134"/>
      <c r="V292" s="134"/>
      <c r="W292" s="134"/>
      <c r="X292" s="134"/>
      <c r="Y292" s="134"/>
      <c r="Z292" s="134"/>
    </row>
    <row r="293">
      <c r="A293" s="131"/>
      <c r="B293" s="164"/>
      <c r="C293" s="165"/>
      <c r="D293" s="171"/>
      <c r="E293" s="164"/>
      <c r="F293" s="170"/>
      <c r="G293" s="134"/>
      <c r="H293" s="134"/>
      <c r="I293" s="134"/>
      <c r="J293" s="134"/>
      <c r="K293" s="134"/>
      <c r="L293" s="134"/>
      <c r="M293" s="134"/>
      <c r="N293" s="134"/>
      <c r="O293" s="134"/>
      <c r="P293" s="134"/>
      <c r="Q293" s="134"/>
      <c r="R293" s="134"/>
      <c r="S293" s="134"/>
      <c r="T293" s="134"/>
      <c r="U293" s="134"/>
      <c r="V293" s="134"/>
      <c r="W293" s="134"/>
      <c r="X293" s="134"/>
      <c r="Y293" s="134"/>
      <c r="Z293" s="134"/>
    </row>
    <row r="294">
      <c r="A294" s="131"/>
      <c r="B294" s="164"/>
      <c r="C294" s="165"/>
      <c r="D294" s="171"/>
      <c r="E294" s="164"/>
      <c r="F294" s="170"/>
      <c r="G294" s="134"/>
      <c r="H294" s="134"/>
      <c r="I294" s="134"/>
      <c r="J294" s="134"/>
      <c r="K294" s="134"/>
      <c r="L294" s="134"/>
      <c r="M294" s="134"/>
      <c r="N294" s="134"/>
      <c r="O294" s="134"/>
      <c r="P294" s="134"/>
      <c r="Q294" s="134"/>
      <c r="R294" s="134"/>
      <c r="S294" s="134"/>
      <c r="T294" s="134"/>
      <c r="U294" s="134"/>
      <c r="V294" s="134"/>
      <c r="W294" s="134"/>
      <c r="X294" s="134"/>
      <c r="Y294" s="134"/>
      <c r="Z294" s="134"/>
    </row>
    <row r="295">
      <c r="A295" s="131"/>
      <c r="B295" s="164"/>
      <c r="C295" s="165"/>
      <c r="D295" s="171"/>
      <c r="E295" s="164"/>
      <c r="F295" s="170"/>
      <c r="G295" s="134"/>
      <c r="H295" s="134"/>
      <c r="I295" s="134"/>
      <c r="J295" s="134"/>
      <c r="K295" s="134"/>
      <c r="L295" s="134"/>
      <c r="M295" s="134"/>
      <c r="N295" s="134"/>
      <c r="O295" s="134"/>
      <c r="P295" s="134"/>
      <c r="Q295" s="134"/>
      <c r="R295" s="134"/>
      <c r="S295" s="134"/>
      <c r="T295" s="134"/>
      <c r="U295" s="134"/>
      <c r="V295" s="134"/>
      <c r="W295" s="134"/>
      <c r="X295" s="134"/>
      <c r="Y295" s="134"/>
      <c r="Z295" s="134"/>
    </row>
    <row r="296">
      <c r="A296" s="131"/>
      <c r="B296" s="164"/>
      <c r="C296" s="165"/>
      <c r="D296" s="171"/>
      <c r="E296" s="164"/>
      <c r="F296" s="170"/>
      <c r="G296" s="134"/>
      <c r="H296" s="134"/>
      <c r="I296" s="134"/>
      <c r="J296" s="134"/>
      <c r="K296" s="134"/>
      <c r="L296" s="134"/>
      <c r="M296" s="134"/>
      <c r="N296" s="134"/>
      <c r="O296" s="134"/>
      <c r="P296" s="134"/>
      <c r="Q296" s="134"/>
      <c r="R296" s="134"/>
      <c r="S296" s="134"/>
      <c r="T296" s="134"/>
      <c r="U296" s="134"/>
      <c r="V296" s="134"/>
      <c r="W296" s="134"/>
      <c r="X296" s="134"/>
      <c r="Y296" s="134"/>
      <c r="Z296" s="134"/>
    </row>
    <row r="297">
      <c r="A297" s="131"/>
      <c r="B297" s="164"/>
      <c r="C297" s="165"/>
      <c r="D297" s="171"/>
      <c r="E297" s="164"/>
      <c r="F297" s="170"/>
      <c r="G297" s="134"/>
      <c r="H297" s="134"/>
      <c r="I297" s="134"/>
      <c r="J297" s="134"/>
      <c r="K297" s="134"/>
      <c r="L297" s="134"/>
      <c r="M297" s="134"/>
      <c r="N297" s="134"/>
      <c r="O297" s="134"/>
      <c r="P297" s="134"/>
      <c r="Q297" s="134"/>
      <c r="R297" s="134"/>
      <c r="S297" s="134"/>
      <c r="T297" s="134"/>
      <c r="U297" s="134"/>
      <c r="V297" s="134"/>
      <c r="W297" s="134"/>
      <c r="X297" s="134"/>
      <c r="Y297" s="134"/>
      <c r="Z297" s="134"/>
    </row>
    <row r="298">
      <c r="A298" s="131"/>
      <c r="B298" s="164"/>
      <c r="C298" s="165"/>
      <c r="D298" s="171"/>
      <c r="E298" s="164"/>
      <c r="F298" s="170"/>
      <c r="G298" s="134"/>
      <c r="H298" s="134"/>
      <c r="I298" s="134"/>
      <c r="J298" s="134"/>
      <c r="K298" s="134"/>
      <c r="L298" s="134"/>
      <c r="M298" s="134"/>
      <c r="N298" s="134"/>
      <c r="O298" s="134"/>
      <c r="P298" s="134"/>
      <c r="Q298" s="134"/>
      <c r="R298" s="134"/>
      <c r="S298" s="134"/>
      <c r="T298" s="134"/>
      <c r="U298" s="134"/>
      <c r="V298" s="134"/>
      <c r="W298" s="134"/>
      <c r="X298" s="134"/>
      <c r="Y298" s="134"/>
      <c r="Z298" s="134"/>
    </row>
    <row r="299">
      <c r="A299" s="131"/>
      <c r="B299" s="164"/>
      <c r="C299" s="165"/>
      <c r="D299" s="171"/>
      <c r="E299" s="164"/>
      <c r="F299" s="170"/>
      <c r="G299" s="134"/>
      <c r="H299" s="134"/>
      <c r="I299" s="134"/>
      <c r="J299" s="134"/>
      <c r="K299" s="134"/>
      <c r="L299" s="134"/>
      <c r="M299" s="134"/>
      <c r="N299" s="134"/>
      <c r="O299" s="134"/>
      <c r="P299" s="134"/>
      <c r="Q299" s="134"/>
      <c r="R299" s="134"/>
      <c r="S299" s="134"/>
      <c r="T299" s="134"/>
      <c r="U299" s="134"/>
      <c r="V299" s="134"/>
      <c r="W299" s="134"/>
      <c r="X299" s="134"/>
      <c r="Y299" s="134"/>
      <c r="Z299" s="134"/>
    </row>
    <row r="300">
      <c r="A300" s="131"/>
      <c r="B300" s="164"/>
      <c r="C300" s="165"/>
      <c r="D300" s="171"/>
      <c r="E300" s="164"/>
      <c r="F300" s="170"/>
      <c r="G300" s="134"/>
      <c r="H300" s="134"/>
      <c r="I300" s="134"/>
      <c r="J300" s="134"/>
      <c r="K300" s="134"/>
      <c r="L300" s="134"/>
      <c r="M300" s="134"/>
      <c r="N300" s="134"/>
      <c r="O300" s="134"/>
      <c r="P300" s="134"/>
      <c r="Q300" s="134"/>
      <c r="R300" s="134"/>
      <c r="S300" s="134"/>
      <c r="T300" s="134"/>
      <c r="U300" s="134"/>
      <c r="V300" s="134"/>
      <c r="W300" s="134"/>
      <c r="X300" s="134"/>
      <c r="Y300" s="134"/>
      <c r="Z300" s="134"/>
    </row>
    <row r="301">
      <c r="A301" s="131"/>
      <c r="B301" s="164"/>
      <c r="C301" s="165"/>
      <c r="D301" s="171"/>
      <c r="E301" s="164"/>
      <c r="F301" s="170"/>
      <c r="G301" s="134"/>
      <c r="H301" s="134"/>
      <c r="I301" s="134"/>
      <c r="J301" s="134"/>
      <c r="K301" s="134"/>
      <c r="L301" s="134"/>
      <c r="M301" s="134"/>
      <c r="N301" s="134"/>
      <c r="O301" s="134"/>
      <c r="P301" s="134"/>
      <c r="Q301" s="134"/>
      <c r="R301" s="134"/>
      <c r="S301" s="134"/>
      <c r="T301" s="134"/>
      <c r="U301" s="134"/>
      <c r="V301" s="134"/>
      <c r="W301" s="134"/>
      <c r="X301" s="134"/>
      <c r="Y301" s="134"/>
      <c r="Z301" s="134"/>
    </row>
    <row r="302">
      <c r="A302" s="131"/>
      <c r="B302" s="164"/>
      <c r="C302" s="165"/>
      <c r="D302" s="171"/>
      <c r="E302" s="164"/>
      <c r="F302" s="170"/>
      <c r="G302" s="134"/>
      <c r="H302" s="134"/>
      <c r="I302" s="134"/>
      <c r="J302" s="134"/>
      <c r="K302" s="134"/>
      <c r="L302" s="134"/>
      <c r="M302" s="134"/>
      <c r="N302" s="134"/>
      <c r="O302" s="134"/>
      <c r="P302" s="134"/>
      <c r="Q302" s="134"/>
      <c r="R302" s="134"/>
      <c r="S302" s="134"/>
      <c r="T302" s="134"/>
      <c r="U302" s="134"/>
      <c r="V302" s="134"/>
      <c r="W302" s="134"/>
      <c r="X302" s="134"/>
      <c r="Y302" s="134"/>
      <c r="Z302" s="134"/>
    </row>
    <row r="303">
      <c r="A303" s="131"/>
      <c r="B303" s="164"/>
      <c r="C303" s="165"/>
      <c r="D303" s="171"/>
      <c r="E303" s="164"/>
      <c r="F303" s="170"/>
      <c r="G303" s="134"/>
      <c r="H303" s="134"/>
      <c r="I303" s="134"/>
      <c r="J303" s="134"/>
      <c r="K303" s="134"/>
      <c r="L303" s="134"/>
      <c r="M303" s="134"/>
      <c r="N303" s="134"/>
      <c r="O303" s="134"/>
      <c r="P303" s="134"/>
      <c r="Q303" s="134"/>
      <c r="R303" s="134"/>
      <c r="S303" s="134"/>
      <c r="T303" s="134"/>
      <c r="U303" s="134"/>
      <c r="V303" s="134"/>
      <c r="W303" s="134"/>
      <c r="X303" s="134"/>
      <c r="Y303" s="134"/>
      <c r="Z303" s="134"/>
    </row>
    <row r="304">
      <c r="A304" s="131"/>
      <c r="B304" s="164"/>
      <c r="C304" s="165"/>
      <c r="D304" s="171"/>
      <c r="E304" s="164"/>
      <c r="F304" s="170"/>
      <c r="G304" s="134"/>
      <c r="H304" s="134"/>
      <c r="I304" s="134"/>
      <c r="J304" s="134"/>
      <c r="K304" s="134"/>
      <c r="L304" s="134"/>
      <c r="M304" s="134"/>
      <c r="N304" s="134"/>
      <c r="O304" s="134"/>
      <c r="P304" s="134"/>
      <c r="Q304" s="134"/>
      <c r="R304" s="134"/>
      <c r="S304" s="134"/>
      <c r="T304" s="134"/>
      <c r="U304" s="134"/>
      <c r="V304" s="134"/>
      <c r="W304" s="134"/>
      <c r="X304" s="134"/>
      <c r="Y304" s="134"/>
      <c r="Z304" s="134"/>
    </row>
    <row r="305">
      <c r="A305" s="131"/>
      <c r="B305" s="164"/>
      <c r="C305" s="165"/>
      <c r="D305" s="171"/>
      <c r="E305" s="164"/>
      <c r="F305" s="170"/>
      <c r="G305" s="134"/>
      <c r="H305" s="134"/>
      <c r="I305" s="134"/>
      <c r="J305" s="134"/>
      <c r="K305" s="134"/>
      <c r="L305" s="134"/>
      <c r="M305" s="134"/>
      <c r="N305" s="134"/>
      <c r="O305" s="134"/>
      <c r="P305" s="134"/>
      <c r="Q305" s="134"/>
      <c r="R305" s="134"/>
      <c r="S305" s="134"/>
      <c r="T305" s="134"/>
      <c r="U305" s="134"/>
      <c r="V305" s="134"/>
      <c r="W305" s="134"/>
      <c r="X305" s="134"/>
      <c r="Y305" s="134"/>
      <c r="Z305" s="134"/>
    </row>
    <row r="306">
      <c r="A306" s="131"/>
      <c r="B306" s="164"/>
      <c r="C306" s="165"/>
      <c r="D306" s="171"/>
      <c r="E306" s="164"/>
      <c r="F306" s="170"/>
      <c r="G306" s="134"/>
      <c r="H306" s="134"/>
      <c r="I306" s="134"/>
      <c r="J306" s="134"/>
      <c r="K306" s="134"/>
      <c r="L306" s="134"/>
      <c r="M306" s="134"/>
      <c r="N306" s="134"/>
      <c r="O306" s="134"/>
      <c r="P306" s="134"/>
      <c r="Q306" s="134"/>
      <c r="R306" s="134"/>
      <c r="S306" s="134"/>
      <c r="T306" s="134"/>
      <c r="U306" s="134"/>
      <c r="V306" s="134"/>
      <c r="W306" s="134"/>
      <c r="X306" s="134"/>
      <c r="Y306" s="134"/>
      <c r="Z306" s="134"/>
    </row>
    <row r="307">
      <c r="A307" s="131"/>
      <c r="B307" s="164"/>
      <c r="C307" s="165"/>
      <c r="D307" s="171"/>
      <c r="E307" s="164"/>
      <c r="F307" s="170"/>
      <c r="G307" s="134"/>
      <c r="H307" s="134"/>
      <c r="I307" s="134"/>
      <c r="J307" s="134"/>
      <c r="K307" s="134"/>
      <c r="L307" s="134"/>
      <c r="M307" s="134"/>
      <c r="N307" s="134"/>
      <c r="O307" s="134"/>
      <c r="P307" s="134"/>
      <c r="Q307" s="134"/>
      <c r="R307" s="134"/>
      <c r="S307" s="134"/>
      <c r="T307" s="134"/>
      <c r="U307" s="134"/>
      <c r="V307" s="134"/>
      <c r="W307" s="134"/>
      <c r="X307" s="134"/>
      <c r="Y307" s="134"/>
      <c r="Z307" s="134"/>
    </row>
    <row r="308">
      <c r="A308" s="131"/>
      <c r="B308" s="164"/>
      <c r="C308" s="165"/>
      <c r="D308" s="171"/>
      <c r="E308" s="164"/>
      <c r="F308" s="170"/>
      <c r="G308" s="134"/>
      <c r="H308" s="134"/>
      <c r="I308" s="134"/>
      <c r="J308" s="134"/>
      <c r="K308" s="134"/>
      <c r="L308" s="134"/>
      <c r="M308" s="134"/>
      <c r="N308" s="134"/>
      <c r="O308" s="134"/>
      <c r="P308" s="134"/>
      <c r="Q308" s="134"/>
      <c r="R308" s="134"/>
      <c r="S308" s="134"/>
      <c r="T308" s="134"/>
      <c r="U308" s="134"/>
      <c r="V308" s="134"/>
      <c r="W308" s="134"/>
      <c r="X308" s="134"/>
      <c r="Y308" s="134"/>
      <c r="Z308" s="134"/>
    </row>
    <row r="309">
      <c r="A309" s="131"/>
      <c r="B309" s="164"/>
      <c r="C309" s="165"/>
      <c r="D309" s="171"/>
      <c r="E309" s="164"/>
      <c r="F309" s="170"/>
      <c r="G309" s="134"/>
      <c r="H309" s="134"/>
      <c r="I309" s="134"/>
      <c r="J309" s="134"/>
      <c r="K309" s="134"/>
      <c r="L309" s="134"/>
      <c r="M309" s="134"/>
      <c r="N309" s="134"/>
      <c r="O309" s="134"/>
      <c r="P309" s="134"/>
      <c r="Q309" s="134"/>
      <c r="R309" s="134"/>
      <c r="S309" s="134"/>
      <c r="T309" s="134"/>
      <c r="U309" s="134"/>
      <c r="V309" s="134"/>
      <c r="W309" s="134"/>
      <c r="X309" s="134"/>
      <c r="Y309" s="134"/>
      <c r="Z309" s="134"/>
    </row>
    <row r="310">
      <c r="A310" s="131"/>
      <c r="B310" s="164"/>
      <c r="C310" s="165"/>
      <c r="D310" s="171"/>
      <c r="E310" s="164"/>
      <c r="F310" s="170"/>
      <c r="G310" s="134"/>
      <c r="H310" s="134"/>
      <c r="I310" s="134"/>
      <c r="J310" s="134"/>
      <c r="K310" s="134"/>
      <c r="L310" s="134"/>
      <c r="M310" s="134"/>
      <c r="N310" s="134"/>
      <c r="O310" s="134"/>
      <c r="P310" s="134"/>
      <c r="Q310" s="134"/>
      <c r="R310" s="134"/>
      <c r="S310" s="134"/>
      <c r="T310" s="134"/>
      <c r="U310" s="134"/>
      <c r="V310" s="134"/>
      <c r="W310" s="134"/>
      <c r="X310" s="134"/>
      <c r="Y310" s="134"/>
      <c r="Z310" s="134"/>
    </row>
    <row r="311">
      <c r="A311" s="131"/>
      <c r="B311" s="164"/>
      <c r="C311" s="165"/>
      <c r="D311" s="171"/>
      <c r="E311" s="164"/>
      <c r="F311" s="170"/>
      <c r="G311" s="134"/>
      <c r="H311" s="134"/>
      <c r="I311" s="134"/>
      <c r="J311" s="134"/>
      <c r="K311" s="134"/>
      <c r="L311" s="134"/>
      <c r="M311" s="134"/>
      <c r="N311" s="134"/>
      <c r="O311" s="134"/>
      <c r="P311" s="134"/>
      <c r="Q311" s="134"/>
      <c r="R311" s="134"/>
      <c r="S311" s="134"/>
      <c r="T311" s="134"/>
      <c r="U311" s="134"/>
      <c r="V311" s="134"/>
      <c r="W311" s="134"/>
      <c r="X311" s="134"/>
      <c r="Y311" s="134"/>
      <c r="Z311" s="134"/>
    </row>
    <row r="312">
      <c r="A312" s="131"/>
      <c r="B312" s="164"/>
      <c r="C312" s="165"/>
      <c r="D312" s="171"/>
      <c r="E312" s="164"/>
      <c r="F312" s="170"/>
      <c r="G312" s="134"/>
      <c r="H312" s="134"/>
      <c r="I312" s="134"/>
      <c r="J312" s="134"/>
      <c r="K312" s="134"/>
      <c r="L312" s="134"/>
      <c r="M312" s="134"/>
      <c r="N312" s="134"/>
      <c r="O312" s="134"/>
      <c r="P312" s="134"/>
      <c r="Q312" s="134"/>
      <c r="R312" s="134"/>
      <c r="S312" s="134"/>
      <c r="T312" s="134"/>
      <c r="U312" s="134"/>
      <c r="V312" s="134"/>
      <c r="W312" s="134"/>
      <c r="X312" s="134"/>
      <c r="Y312" s="134"/>
      <c r="Z312" s="134"/>
    </row>
    <row r="313">
      <c r="A313" s="131"/>
      <c r="B313" s="164"/>
      <c r="C313" s="165"/>
      <c r="D313" s="171"/>
      <c r="E313" s="164"/>
      <c r="F313" s="170"/>
      <c r="G313" s="134"/>
      <c r="H313" s="134"/>
      <c r="I313" s="134"/>
      <c r="J313" s="134"/>
      <c r="K313" s="134"/>
      <c r="L313" s="134"/>
      <c r="M313" s="134"/>
      <c r="N313" s="134"/>
      <c r="O313" s="134"/>
      <c r="P313" s="134"/>
      <c r="Q313" s="134"/>
      <c r="R313" s="134"/>
      <c r="S313" s="134"/>
      <c r="T313" s="134"/>
      <c r="U313" s="134"/>
      <c r="V313" s="134"/>
      <c r="W313" s="134"/>
      <c r="X313" s="134"/>
      <c r="Y313" s="134"/>
      <c r="Z313" s="134"/>
    </row>
    <row r="314">
      <c r="A314" s="131"/>
      <c r="B314" s="164"/>
      <c r="C314" s="165"/>
      <c r="D314" s="171"/>
      <c r="E314" s="164"/>
      <c r="F314" s="170"/>
      <c r="G314" s="134"/>
      <c r="H314" s="134"/>
      <c r="I314" s="134"/>
      <c r="J314" s="134"/>
      <c r="K314" s="134"/>
      <c r="L314" s="134"/>
      <c r="M314" s="134"/>
      <c r="N314" s="134"/>
      <c r="O314" s="134"/>
      <c r="P314" s="134"/>
      <c r="Q314" s="134"/>
      <c r="R314" s="134"/>
      <c r="S314" s="134"/>
      <c r="T314" s="134"/>
      <c r="U314" s="134"/>
      <c r="V314" s="134"/>
      <c r="W314" s="134"/>
      <c r="X314" s="134"/>
      <c r="Y314" s="134"/>
      <c r="Z314" s="134"/>
    </row>
    <row r="315">
      <c r="A315" s="131"/>
      <c r="B315" s="164"/>
      <c r="C315" s="165"/>
      <c r="D315" s="171"/>
      <c r="E315" s="164"/>
      <c r="F315" s="170"/>
      <c r="G315" s="134"/>
      <c r="H315" s="134"/>
      <c r="I315" s="134"/>
      <c r="J315" s="134"/>
      <c r="K315" s="134"/>
      <c r="L315" s="134"/>
      <c r="M315" s="134"/>
      <c r="N315" s="134"/>
      <c r="O315" s="134"/>
      <c r="P315" s="134"/>
      <c r="Q315" s="134"/>
      <c r="R315" s="134"/>
      <c r="S315" s="134"/>
      <c r="T315" s="134"/>
      <c r="U315" s="134"/>
      <c r="V315" s="134"/>
      <c r="W315" s="134"/>
      <c r="X315" s="134"/>
      <c r="Y315" s="134"/>
      <c r="Z315" s="134"/>
    </row>
    <row r="316">
      <c r="A316" s="131"/>
      <c r="B316" s="164"/>
      <c r="C316" s="165"/>
      <c r="D316" s="171"/>
      <c r="E316" s="164"/>
      <c r="F316" s="170"/>
      <c r="G316" s="134"/>
      <c r="H316" s="134"/>
      <c r="I316" s="134"/>
      <c r="J316" s="134"/>
      <c r="K316" s="134"/>
      <c r="L316" s="134"/>
      <c r="M316" s="134"/>
      <c r="N316" s="134"/>
      <c r="O316" s="134"/>
      <c r="P316" s="134"/>
      <c r="Q316" s="134"/>
      <c r="R316" s="134"/>
      <c r="S316" s="134"/>
      <c r="T316" s="134"/>
      <c r="U316" s="134"/>
      <c r="V316" s="134"/>
      <c r="W316" s="134"/>
      <c r="X316" s="134"/>
      <c r="Y316" s="134"/>
      <c r="Z316" s="134"/>
    </row>
    <row r="317">
      <c r="A317" s="131"/>
      <c r="B317" s="164"/>
      <c r="C317" s="165"/>
      <c r="D317" s="171"/>
      <c r="E317" s="164"/>
      <c r="F317" s="170"/>
      <c r="G317" s="134"/>
      <c r="H317" s="134"/>
      <c r="I317" s="134"/>
      <c r="J317" s="134"/>
      <c r="K317" s="134"/>
      <c r="L317" s="134"/>
      <c r="M317" s="134"/>
      <c r="N317" s="134"/>
      <c r="O317" s="134"/>
      <c r="P317" s="134"/>
      <c r="Q317" s="134"/>
      <c r="R317" s="134"/>
      <c r="S317" s="134"/>
      <c r="T317" s="134"/>
      <c r="U317" s="134"/>
      <c r="V317" s="134"/>
      <c r="W317" s="134"/>
      <c r="X317" s="134"/>
      <c r="Y317" s="134"/>
      <c r="Z317" s="134"/>
    </row>
    <row r="318">
      <c r="A318" s="131"/>
      <c r="B318" s="164"/>
      <c r="C318" s="165"/>
      <c r="D318" s="171"/>
      <c r="E318" s="164"/>
      <c r="F318" s="170"/>
      <c r="G318" s="134"/>
      <c r="H318" s="134"/>
      <c r="I318" s="134"/>
      <c r="J318" s="134"/>
      <c r="K318" s="134"/>
      <c r="L318" s="134"/>
      <c r="M318" s="134"/>
      <c r="N318" s="134"/>
      <c r="O318" s="134"/>
      <c r="P318" s="134"/>
      <c r="Q318" s="134"/>
      <c r="R318" s="134"/>
      <c r="S318" s="134"/>
      <c r="T318" s="134"/>
      <c r="U318" s="134"/>
      <c r="V318" s="134"/>
      <c r="W318" s="134"/>
      <c r="X318" s="134"/>
      <c r="Y318" s="134"/>
      <c r="Z318" s="134"/>
    </row>
    <row r="319">
      <c r="A319" s="131"/>
      <c r="B319" s="164"/>
      <c r="C319" s="165"/>
      <c r="D319" s="171"/>
      <c r="E319" s="164"/>
      <c r="F319" s="170"/>
      <c r="G319" s="134"/>
      <c r="H319" s="134"/>
      <c r="I319" s="134"/>
      <c r="J319" s="134"/>
      <c r="K319" s="134"/>
      <c r="L319" s="134"/>
      <c r="M319" s="134"/>
      <c r="N319" s="134"/>
      <c r="O319" s="134"/>
      <c r="P319" s="134"/>
      <c r="Q319" s="134"/>
      <c r="R319" s="134"/>
      <c r="S319" s="134"/>
      <c r="T319" s="134"/>
      <c r="U319" s="134"/>
      <c r="V319" s="134"/>
      <c r="W319" s="134"/>
      <c r="X319" s="134"/>
      <c r="Y319" s="134"/>
      <c r="Z319" s="134"/>
    </row>
    <row r="320">
      <c r="A320" s="131"/>
      <c r="B320" s="164"/>
      <c r="C320" s="165"/>
      <c r="D320" s="171"/>
      <c r="E320" s="164"/>
      <c r="F320" s="170"/>
      <c r="G320" s="134"/>
      <c r="H320" s="134"/>
      <c r="I320" s="134"/>
      <c r="J320" s="134"/>
      <c r="K320" s="134"/>
      <c r="L320" s="134"/>
      <c r="M320" s="134"/>
      <c r="N320" s="134"/>
      <c r="O320" s="134"/>
      <c r="P320" s="134"/>
      <c r="Q320" s="134"/>
      <c r="R320" s="134"/>
      <c r="S320" s="134"/>
      <c r="T320" s="134"/>
      <c r="U320" s="134"/>
      <c r="V320" s="134"/>
      <c r="W320" s="134"/>
      <c r="X320" s="134"/>
      <c r="Y320" s="134"/>
      <c r="Z320" s="134"/>
    </row>
    <row r="321">
      <c r="A321" s="131"/>
      <c r="B321" s="164"/>
      <c r="C321" s="165"/>
      <c r="D321" s="171"/>
      <c r="E321" s="164"/>
      <c r="F321" s="170"/>
      <c r="G321" s="134"/>
      <c r="H321" s="134"/>
      <c r="I321" s="134"/>
      <c r="J321" s="134"/>
      <c r="K321" s="134"/>
      <c r="L321" s="134"/>
      <c r="M321" s="134"/>
      <c r="N321" s="134"/>
      <c r="O321" s="134"/>
      <c r="P321" s="134"/>
      <c r="Q321" s="134"/>
      <c r="R321" s="134"/>
      <c r="S321" s="134"/>
      <c r="T321" s="134"/>
      <c r="U321" s="134"/>
      <c r="V321" s="134"/>
      <c r="W321" s="134"/>
      <c r="X321" s="134"/>
      <c r="Y321" s="134"/>
      <c r="Z321" s="134"/>
    </row>
    <row r="322">
      <c r="A322" s="131"/>
      <c r="B322" s="164"/>
      <c r="C322" s="165"/>
      <c r="D322" s="171"/>
      <c r="E322" s="164"/>
      <c r="F322" s="170"/>
      <c r="G322" s="134"/>
      <c r="H322" s="134"/>
      <c r="I322" s="134"/>
      <c r="J322" s="134"/>
      <c r="K322" s="134"/>
      <c r="L322" s="134"/>
      <c r="M322" s="134"/>
      <c r="N322" s="134"/>
      <c r="O322" s="134"/>
      <c r="P322" s="134"/>
      <c r="Q322" s="134"/>
      <c r="R322" s="134"/>
      <c r="S322" s="134"/>
      <c r="T322" s="134"/>
      <c r="U322" s="134"/>
      <c r="V322" s="134"/>
      <c r="W322" s="134"/>
      <c r="X322" s="134"/>
      <c r="Y322" s="134"/>
      <c r="Z322" s="134"/>
    </row>
    <row r="323">
      <c r="A323" s="131"/>
      <c r="B323" s="164"/>
      <c r="C323" s="165"/>
      <c r="D323" s="171"/>
      <c r="E323" s="164"/>
      <c r="F323" s="170"/>
      <c r="G323" s="134"/>
      <c r="H323" s="134"/>
      <c r="I323" s="134"/>
      <c r="J323" s="134"/>
      <c r="K323" s="134"/>
      <c r="L323" s="134"/>
      <c r="M323" s="134"/>
      <c r="N323" s="134"/>
      <c r="O323" s="134"/>
      <c r="P323" s="134"/>
      <c r="Q323" s="134"/>
      <c r="R323" s="134"/>
      <c r="S323" s="134"/>
      <c r="T323" s="134"/>
      <c r="U323" s="134"/>
      <c r="V323" s="134"/>
      <c r="W323" s="134"/>
      <c r="X323" s="134"/>
      <c r="Y323" s="134"/>
      <c r="Z323" s="134"/>
    </row>
    <row r="324">
      <c r="A324" s="131"/>
      <c r="B324" s="164"/>
      <c r="C324" s="165"/>
      <c r="D324" s="171"/>
      <c r="E324" s="164"/>
      <c r="F324" s="170"/>
      <c r="G324" s="134"/>
      <c r="H324" s="134"/>
      <c r="I324" s="134"/>
      <c r="J324" s="134"/>
      <c r="K324" s="134"/>
      <c r="L324" s="134"/>
      <c r="M324" s="134"/>
      <c r="N324" s="134"/>
      <c r="O324" s="134"/>
      <c r="P324" s="134"/>
      <c r="Q324" s="134"/>
      <c r="R324" s="134"/>
      <c r="S324" s="134"/>
      <c r="T324" s="134"/>
      <c r="U324" s="134"/>
      <c r="V324" s="134"/>
      <c r="W324" s="134"/>
      <c r="X324" s="134"/>
      <c r="Y324" s="134"/>
      <c r="Z324" s="134"/>
    </row>
    <row r="325">
      <c r="A325" s="131"/>
      <c r="B325" s="164"/>
      <c r="C325" s="165"/>
      <c r="D325" s="171"/>
      <c r="E325" s="164"/>
      <c r="F325" s="170"/>
      <c r="G325" s="134"/>
      <c r="H325" s="134"/>
      <c r="I325" s="134"/>
      <c r="J325" s="134"/>
      <c r="K325" s="134"/>
      <c r="L325" s="134"/>
      <c r="M325" s="134"/>
      <c r="N325" s="134"/>
      <c r="O325" s="134"/>
      <c r="P325" s="134"/>
      <c r="Q325" s="134"/>
      <c r="R325" s="134"/>
      <c r="S325" s="134"/>
      <c r="T325" s="134"/>
      <c r="U325" s="134"/>
      <c r="V325" s="134"/>
      <c r="W325" s="134"/>
      <c r="X325" s="134"/>
      <c r="Y325" s="134"/>
      <c r="Z325" s="134"/>
    </row>
    <row r="326">
      <c r="A326" s="131"/>
      <c r="B326" s="164"/>
      <c r="C326" s="165"/>
      <c r="D326" s="171"/>
      <c r="E326" s="164"/>
      <c r="F326" s="170"/>
      <c r="G326" s="134"/>
      <c r="H326" s="134"/>
      <c r="I326" s="134"/>
      <c r="J326" s="134"/>
      <c r="K326" s="134"/>
      <c r="L326" s="134"/>
      <c r="M326" s="134"/>
      <c r="N326" s="134"/>
      <c r="O326" s="134"/>
      <c r="P326" s="134"/>
      <c r="Q326" s="134"/>
      <c r="R326" s="134"/>
      <c r="S326" s="134"/>
      <c r="T326" s="134"/>
      <c r="U326" s="134"/>
      <c r="V326" s="134"/>
      <c r="W326" s="134"/>
      <c r="X326" s="134"/>
      <c r="Y326" s="134"/>
      <c r="Z326" s="134"/>
    </row>
    <row r="327">
      <c r="A327" s="131"/>
      <c r="B327" s="164"/>
      <c r="C327" s="165"/>
      <c r="D327" s="171"/>
      <c r="E327" s="164"/>
      <c r="F327" s="170"/>
      <c r="G327" s="134"/>
      <c r="H327" s="134"/>
      <c r="I327" s="134"/>
      <c r="J327" s="134"/>
      <c r="K327" s="134"/>
      <c r="L327" s="134"/>
      <c r="M327" s="134"/>
      <c r="N327" s="134"/>
      <c r="O327" s="134"/>
      <c r="P327" s="134"/>
      <c r="Q327" s="134"/>
      <c r="R327" s="134"/>
      <c r="S327" s="134"/>
      <c r="T327" s="134"/>
      <c r="U327" s="134"/>
      <c r="V327" s="134"/>
      <c r="W327" s="134"/>
      <c r="X327" s="134"/>
      <c r="Y327" s="134"/>
      <c r="Z327" s="134"/>
    </row>
    <row r="328">
      <c r="A328" s="131"/>
      <c r="B328" s="164"/>
      <c r="C328" s="165"/>
      <c r="D328" s="171"/>
      <c r="E328" s="164"/>
      <c r="F328" s="170"/>
      <c r="G328" s="134"/>
      <c r="H328" s="134"/>
      <c r="I328" s="134"/>
      <c r="J328" s="134"/>
      <c r="K328" s="134"/>
      <c r="L328" s="134"/>
      <c r="M328" s="134"/>
      <c r="N328" s="134"/>
      <c r="O328" s="134"/>
      <c r="P328" s="134"/>
      <c r="Q328" s="134"/>
      <c r="R328" s="134"/>
      <c r="S328" s="134"/>
      <c r="T328" s="134"/>
      <c r="U328" s="134"/>
      <c r="V328" s="134"/>
      <c r="W328" s="134"/>
      <c r="X328" s="134"/>
      <c r="Y328" s="134"/>
      <c r="Z328" s="134"/>
    </row>
    <row r="329">
      <c r="A329" s="131"/>
      <c r="B329" s="164"/>
      <c r="C329" s="165"/>
      <c r="D329" s="171"/>
      <c r="E329" s="164"/>
      <c r="F329" s="170"/>
      <c r="G329" s="134"/>
      <c r="H329" s="134"/>
      <c r="I329" s="134"/>
      <c r="J329" s="134"/>
      <c r="K329" s="134"/>
      <c r="L329" s="134"/>
      <c r="M329" s="134"/>
      <c r="N329" s="134"/>
      <c r="O329" s="134"/>
      <c r="P329" s="134"/>
      <c r="Q329" s="134"/>
      <c r="R329" s="134"/>
      <c r="S329" s="134"/>
      <c r="T329" s="134"/>
      <c r="U329" s="134"/>
      <c r="V329" s="134"/>
      <c r="W329" s="134"/>
      <c r="X329" s="134"/>
      <c r="Y329" s="134"/>
      <c r="Z329" s="134"/>
    </row>
    <row r="330">
      <c r="A330" s="131"/>
      <c r="B330" s="164"/>
      <c r="C330" s="165"/>
      <c r="D330" s="171"/>
      <c r="E330" s="164"/>
      <c r="F330" s="170"/>
      <c r="G330" s="134"/>
      <c r="H330" s="134"/>
      <c r="I330" s="134"/>
      <c r="J330" s="134"/>
      <c r="K330" s="134"/>
      <c r="L330" s="134"/>
      <c r="M330" s="134"/>
      <c r="N330" s="134"/>
      <c r="O330" s="134"/>
      <c r="P330" s="134"/>
      <c r="Q330" s="134"/>
      <c r="R330" s="134"/>
      <c r="S330" s="134"/>
      <c r="T330" s="134"/>
      <c r="U330" s="134"/>
      <c r="V330" s="134"/>
      <c r="W330" s="134"/>
      <c r="X330" s="134"/>
      <c r="Y330" s="134"/>
      <c r="Z330" s="134"/>
    </row>
    <row r="331">
      <c r="A331" s="131"/>
      <c r="B331" s="164"/>
      <c r="C331" s="165"/>
      <c r="D331" s="171"/>
      <c r="E331" s="164"/>
      <c r="F331" s="170"/>
      <c r="G331" s="134"/>
      <c r="H331" s="134"/>
      <c r="I331" s="134"/>
      <c r="J331" s="134"/>
      <c r="K331" s="134"/>
      <c r="L331" s="134"/>
      <c r="M331" s="134"/>
      <c r="N331" s="134"/>
      <c r="O331" s="134"/>
      <c r="P331" s="134"/>
      <c r="Q331" s="134"/>
      <c r="R331" s="134"/>
      <c r="S331" s="134"/>
      <c r="T331" s="134"/>
      <c r="U331" s="134"/>
      <c r="V331" s="134"/>
      <c r="W331" s="134"/>
      <c r="X331" s="134"/>
      <c r="Y331" s="134"/>
      <c r="Z331" s="134"/>
    </row>
    <row r="332">
      <c r="A332" s="131"/>
      <c r="B332" s="164"/>
      <c r="C332" s="165"/>
      <c r="D332" s="171"/>
      <c r="E332" s="164"/>
      <c r="F332" s="170"/>
      <c r="G332" s="134"/>
      <c r="H332" s="134"/>
      <c r="I332" s="134"/>
      <c r="J332" s="134"/>
      <c r="K332" s="134"/>
      <c r="L332" s="134"/>
      <c r="M332" s="134"/>
      <c r="N332" s="134"/>
      <c r="O332" s="134"/>
      <c r="P332" s="134"/>
      <c r="Q332" s="134"/>
      <c r="R332" s="134"/>
      <c r="S332" s="134"/>
      <c r="T332" s="134"/>
      <c r="U332" s="134"/>
      <c r="V332" s="134"/>
      <c r="W332" s="134"/>
      <c r="X332" s="134"/>
      <c r="Y332" s="134"/>
      <c r="Z332" s="134"/>
    </row>
    <row r="333">
      <c r="A333" s="131"/>
      <c r="B333" s="164"/>
      <c r="C333" s="165"/>
      <c r="D333" s="171"/>
      <c r="E333" s="164"/>
      <c r="F333" s="170"/>
      <c r="G333" s="134"/>
      <c r="H333" s="134"/>
      <c r="I333" s="134"/>
      <c r="J333" s="134"/>
      <c r="K333" s="134"/>
      <c r="L333" s="134"/>
      <c r="M333" s="134"/>
      <c r="N333" s="134"/>
      <c r="O333" s="134"/>
      <c r="P333" s="134"/>
      <c r="Q333" s="134"/>
      <c r="R333" s="134"/>
      <c r="S333" s="134"/>
      <c r="T333" s="134"/>
      <c r="U333" s="134"/>
      <c r="V333" s="134"/>
      <c r="W333" s="134"/>
      <c r="X333" s="134"/>
      <c r="Y333" s="134"/>
      <c r="Z333" s="134"/>
    </row>
    <row r="334">
      <c r="A334" s="131"/>
      <c r="B334" s="164"/>
      <c r="C334" s="165"/>
      <c r="D334" s="171"/>
      <c r="E334" s="164"/>
      <c r="F334" s="170"/>
      <c r="G334" s="134"/>
      <c r="H334" s="134"/>
      <c r="I334" s="134"/>
      <c r="J334" s="134"/>
      <c r="K334" s="134"/>
      <c r="L334" s="134"/>
      <c r="M334" s="134"/>
      <c r="N334" s="134"/>
      <c r="O334" s="134"/>
      <c r="P334" s="134"/>
      <c r="Q334" s="134"/>
      <c r="R334" s="134"/>
      <c r="S334" s="134"/>
      <c r="T334" s="134"/>
      <c r="U334" s="134"/>
      <c r="V334" s="134"/>
      <c r="W334" s="134"/>
      <c r="X334" s="134"/>
      <c r="Y334" s="134"/>
      <c r="Z334" s="134"/>
    </row>
    <row r="335">
      <c r="A335" s="131"/>
      <c r="B335" s="164"/>
      <c r="C335" s="165"/>
      <c r="D335" s="171"/>
      <c r="E335" s="164"/>
      <c r="F335" s="170"/>
      <c r="G335" s="134"/>
      <c r="H335" s="134"/>
      <c r="I335" s="134"/>
      <c r="J335" s="134"/>
      <c r="K335" s="134"/>
      <c r="L335" s="134"/>
      <c r="M335" s="134"/>
      <c r="N335" s="134"/>
      <c r="O335" s="134"/>
      <c r="P335" s="134"/>
      <c r="Q335" s="134"/>
      <c r="R335" s="134"/>
      <c r="S335" s="134"/>
      <c r="T335" s="134"/>
      <c r="U335" s="134"/>
      <c r="V335" s="134"/>
      <c r="W335" s="134"/>
      <c r="X335" s="134"/>
      <c r="Y335" s="134"/>
      <c r="Z335" s="134"/>
    </row>
    <row r="336">
      <c r="A336" s="131"/>
      <c r="B336" s="164"/>
      <c r="C336" s="165"/>
      <c r="D336" s="171"/>
      <c r="E336" s="164"/>
      <c r="F336" s="170"/>
      <c r="G336" s="134"/>
      <c r="H336" s="134"/>
      <c r="I336" s="134"/>
      <c r="J336" s="134"/>
      <c r="K336" s="134"/>
      <c r="L336" s="134"/>
      <c r="M336" s="134"/>
      <c r="N336" s="134"/>
      <c r="O336" s="134"/>
      <c r="P336" s="134"/>
      <c r="Q336" s="134"/>
      <c r="R336" s="134"/>
      <c r="S336" s="134"/>
      <c r="T336" s="134"/>
      <c r="U336" s="134"/>
      <c r="V336" s="134"/>
      <c r="W336" s="134"/>
      <c r="X336" s="134"/>
      <c r="Y336" s="134"/>
      <c r="Z336" s="134"/>
    </row>
    <row r="337">
      <c r="A337" s="131"/>
      <c r="B337" s="164"/>
      <c r="C337" s="165"/>
      <c r="D337" s="171"/>
      <c r="E337" s="164"/>
      <c r="F337" s="170"/>
      <c r="G337" s="134"/>
      <c r="H337" s="134"/>
      <c r="I337" s="134"/>
      <c r="J337" s="134"/>
      <c r="K337" s="134"/>
      <c r="L337" s="134"/>
      <c r="M337" s="134"/>
      <c r="N337" s="134"/>
      <c r="O337" s="134"/>
      <c r="P337" s="134"/>
      <c r="Q337" s="134"/>
      <c r="R337" s="134"/>
      <c r="S337" s="134"/>
      <c r="T337" s="134"/>
      <c r="U337" s="134"/>
      <c r="V337" s="134"/>
      <c r="W337" s="134"/>
      <c r="X337" s="134"/>
      <c r="Y337" s="134"/>
      <c r="Z337" s="134"/>
    </row>
    <row r="338">
      <c r="A338" s="131"/>
      <c r="B338" s="164"/>
      <c r="C338" s="165"/>
      <c r="D338" s="171"/>
      <c r="E338" s="164"/>
      <c r="F338" s="170"/>
      <c r="G338" s="134"/>
      <c r="H338" s="134"/>
      <c r="I338" s="134"/>
      <c r="J338" s="134"/>
      <c r="K338" s="134"/>
      <c r="L338" s="134"/>
      <c r="M338" s="134"/>
      <c r="N338" s="134"/>
      <c r="O338" s="134"/>
      <c r="P338" s="134"/>
      <c r="Q338" s="134"/>
      <c r="R338" s="134"/>
      <c r="S338" s="134"/>
      <c r="T338" s="134"/>
      <c r="U338" s="134"/>
      <c r="V338" s="134"/>
      <c r="W338" s="134"/>
      <c r="X338" s="134"/>
      <c r="Y338" s="134"/>
      <c r="Z338" s="134"/>
    </row>
    <row r="339">
      <c r="A339" s="131"/>
      <c r="B339" s="164"/>
      <c r="C339" s="165"/>
      <c r="D339" s="171"/>
      <c r="E339" s="164"/>
      <c r="F339" s="170"/>
      <c r="G339" s="134"/>
      <c r="H339" s="134"/>
      <c r="I339" s="134"/>
      <c r="J339" s="134"/>
      <c r="K339" s="134"/>
      <c r="L339" s="134"/>
      <c r="M339" s="134"/>
      <c r="N339" s="134"/>
      <c r="O339" s="134"/>
      <c r="P339" s="134"/>
      <c r="Q339" s="134"/>
      <c r="R339" s="134"/>
      <c r="S339" s="134"/>
      <c r="T339" s="134"/>
      <c r="U339" s="134"/>
      <c r="V339" s="134"/>
      <c r="W339" s="134"/>
      <c r="X339" s="134"/>
      <c r="Y339" s="134"/>
      <c r="Z339" s="134"/>
    </row>
    <row r="340">
      <c r="A340" s="131"/>
      <c r="B340" s="164"/>
      <c r="C340" s="165"/>
      <c r="D340" s="171"/>
      <c r="E340" s="164"/>
      <c r="F340" s="170"/>
      <c r="G340" s="134"/>
      <c r="H340" s="134"/>
      <c r="I340" s="134"/>
      <c r="J340" s="134"/>
      <c r="K340" s="134"/>
      <c r="L340" s="134"/>
      <c r="M340" s="134"/>
      <c r="N340" s="134"/>
      <c r="O340" s="134"/>
      <c r="P340" s="134"/>
      <c r="Q340" s="134"/>
      <c r="R340" s="134"/>
      <c r="S340" s="134"/>
      <c r="T340" s="134"/>
      <c r="U340" s="134"/>
      <c r="V340" s="134"/>
      <c r="W340" s="134"/>
      <c r="X340" s="134"/>
      <c r="Y340" s="134"/>
      <c r="Z340" s="134"/>
    </row>
    <row r="341">
      <c r="A341" s="131"/>
      <c r="B341" s="164"/>
      <c r="C341" s="165"/>
      <c r="D341" s="171"/>
      <c r="E341" s="164"/>
      <c r="F341" s="170"/>
      <c r="G341" s="134"/>
      <c r="H341" s="134"/>
      <c r="I341" s="134"/>
      <c r="J341" s="134"/>
      <c r="K341" s="134"/>
      <c r="L341" s="134"/>
      <c r="M341" s="134"/>
      <c r="N341" s="134"/>
      <c r="O341" s="134"/>
      <c r="P341" s="134"/>
      <c r="Q341" s="134"/>
      <c r="R341" s="134"/>
      <c r="S341" s="134"/>
      <c r="T341" s="134"/>
      <c r="U341" s="134"/>
      <c r="V341" s="134"/>
      <c r="W341" s="134"/>
      <c r="X341" s="134"/>
      <c r="Y341" s="134"/>
      <c r="Z341" s="134"/>
    </row>
    <row r="342">
      <c r="A342" s="131"/>
      <c r="B342" s="164"/>
      <c r="C342" s="165"/>
      <c r="D342" s="171"/>
      <c r="E342" s="164"/>
      <c r="F342" s="170"/>
      <c r="G342" s="134"/>
      <c r="H342" s="134"/>
      <c r="I342" s="134"/>
      <c r="J342" s="134"/>
      <c r="K342" s="134"/>
      <c r="L342" s="134"/>
      <c r="M342" s="134"/>
      <c r="N342" s="134"/>
      <c r="O342" s="134"/>
      <c r="P342" s="134"/>
      <c r="Q342" s="134"/>
      <c r="R342" s="134"/>
      <c r="S342" s="134"/>
      <c r="T342" s="134"/>
      <c r="U342" s="134"/>
      <c r="V342" s="134"/>
      <c r="W342" s="134"/>
      <c r="X342" s="134"/>
      <c r="Y342" s="134"/>
      <c r="Z342" s="134"/>
    </row>
    <row r="343">
      <c r="A343" s="131"/>
      <c r="B343" s="164"/>
      <c r="C343" s="165"/>
      <c r="D343" s="171"/>
      <c r="E343" s="164"/>
      <c r="F343" s="170"/>
      <c r="G343" s="134"/>
      <c r="H343" s="134"/>
      <c r="I343" s="134"/>
      <c r="J343" s="134"/>
      <c r="K343" s="134"/>
      <c r="L343" s="134"/>
      <c r="M343" s="134"/>
      <c r="N343" s="134"/>
      <c r="O343" s="134"/>
      <c r="P343" s="134"/>
      <c r="Q343" s="134"/>
      <c r="R343" s="134"/>
      <c r="S343" s="134"/>
      <c r="T343" s="134"/>
      <c r="U343" s="134"/>
      <c r="V343" s="134"/>
      <c r="W343" s="134"/>
      <c r="X343" s="134"/>
      <c r="Y343" s="134"/>
      <c r="Z343" s="134"/>
    </row>
    <row r="344">
      <c r="A344" s="131"/>
      <c r="B344" s="164"/>
      <c r="C344" s="165"/>
      <c r="D344" s="171"/>
      <c r="E344" s="164"/>
      <c r="F344" s="170"/>
      <c r="G344" s="134"/>
      <c r="H344" s="134"/>
      <c r="I344" s="134"/>
      <c r="J344" s="134"/>
      <c r="K344" s="134"/>
      <c r="L344" s="134"/>
      <c r="M344" s="134"/>
      <c r="N344" s="134"/>
      <c r="O344" s="134"/>
      <c r="P344" s="134"/>
      <c r="Q344" s="134"/>
      <c r="R344" s="134"/>
      <c r="S344" s="134"/>
      <c r="T344" s="134"/>
      <c r="U344" s="134"/>
      <c r="V344" s="134"/>
      <c r="W344" s="134"/>
      <c r="X344" s="134"/>
      <c r="Y344" s="134"/>
      <c r="Z344" s="134"/>
    </row>
    <row r="345">
      <c r="A345" s="131"/>
      <c r="B345" s="164"/>
      <c r="C345" s="165"/>
      <c r="D345" s="171"/>
      <c r="E345" s="164"/>
      <c r="F345" s="170"/>
      <c r="G345" s="134"/>
      <c r="H345" s="134"/>
      <c r="I345" s="134"/>
      <c r="J345" s="134"/>
      <c r="K345" s="134"/>
      <c r="L345" s="134"/>
      <c r="M345" s="134"/>
      <c r="N345" s="134"/>
      <c r="O345" s="134"/>
      <c r="P345" s="134"/>
      <c r="Q345" s="134"/>
      <c r="R345" s="134"/>
      <c r="S345" s="134"/>
      <c r="T345" s="134"/>
      <c r="U345" s="134"/>
      <c r="V345" s="134"/>
      <c r="W345" s="134"/>
      <c r="X345" s="134"/>
      <c r="Y345" s="134"/>
      <c r="Z345" s="134"/>
    </row>
    <row r="346">
      <c r="A346" s="131"/>
      <c r="B346" s="164"/>
      <c r="C346" s="165"/>
      <c r="D346" s="171"/>
      <c r="E346" s="164"/>
      <c r="F346" s="170"/>
      <c r="G346" s="134"/>
      <c r="H346" s="134"/>
      <c r="I346" s="134"/>
      <c r="J346" s="134"/>
      <c r="K346" s="134"/>
      <c r="L346" s="134"/>
      <c r="M346" s="134"/>
      <c r="N346" s="134"/>
      <c r="O346" s="134"/>
      <c r="P346" s="134"/>
      <c r="Q346" s="134"/>
      <c r="R346" s="134"/>
      <c r="S346" s="134"/>
      <c r="T346" s="134"/>
      <c r="U346" s="134"/>
      <c r="V346" s="134"/>
      <c r="W346" s="134"/>
      <c r="X346" s="134"/>
      <c r="Y346" s="134"/>
      <c r="Z346" s="134"/>
    </row>
    <row r="347">
      <c r="A347" s="131"/>
      <c r="B347" s="164"/>
      <c r="C347" s="165"/>
      <c r="D347" s="171"/>
      <c r="E347" s="164"/>
      <c r="F347" s="170"/>
      <c r="G347" s="134"/>
      <c r="H347" s="134"/>
      <c r="I347" s="134"/>
      <c r="J347" s="134"/>
      <c r="K347" s="134"/>
      <c r="L347" s="134"/>
      <c r="M347" s="134"/>
      <c r="N347" s="134"/>
      <c r="O347" s="134"/>
      <c r="P347" s="134"/>
      <c r="Q347" s="134"/>
      <c r="R347" s="134"/>
      <c r="S347" s="134"/>
      <c r="T347" s="134"/>
      <c r="U347" s="134"/>
      <c r="V347" s="134"/>
      <c r="W347" s="134"/>
      <c r="X347" s="134"/>
      <c r="Y347" s="134"/>
      <c r="Z347" s="134"/>
    </row>
    <row r="348">
      <c r="A348" s="131"/>
      <c r="B348" s="164"/>
      <c r="C348" s="165"/>
      <c r="D348" s="171"/>
      <c r="E348" s="164"/>
      <c r="F348" s="170"/>
      <c r="G348" s="134"/>
      <c r="H348" s="134"/>
      <c r="I348" s="134"/>
      <c r="J348" s="134"/>
      <c r="K348" s="134"/>
      <c r="L348" s="134"/>
      <c r="M348" s="134"/>
      <c r="N348" s="134"/>
      <c r="O348" s="134"/>
      <c r="P348" s="134"/>
      <c r="Q348" s="134"/>
      <c r="R348" s="134"/>
      <c r="S348" s="134"/>
      <c r="T348" s="134"/>
      <c r="U348" s="134"/>
      <c r="V348" s="134"/>
      <c r="W348" s="134"/>
      <c r="X348" s="134"/>
      <c r="Y348" s="134"/>
      <c r="Z348" s="134"/>
    </row>
    <row r="349">
      <c r="A349" s="131"/>
      <c r="B349" s="164"/>
      <c r="C349" s="165"/>
      <c r="D349" s="171"/>
      <c r="E349" s="164"/>
      <c r="F349" s="170"/>
      <c r="G349" s="134"/>
      <c r="H349" s="134"/>
      <c r="I349" s="134"/>
      <c r="J349" s="134"/>
      <c r="K349" s="134"/>
      <c r="L349" s="134"/>
      <c r="M349" s="134"/>
      <c r="N349" s="134"/>
      <c r="O349" s="134"/>
      <c r="P349" s="134"/>
      <c r="Q349" s="134"/>
      <c r="R349" s="134"/>
      <c r="S349" s="134"/>
      <c r="T349" s="134"/>
      <c r="U349" s="134"/>
      <c r="V349" s="134"/>
      <c r="W349" s="134"/>
      <c r="X349" s="134"/>
      <c r="Y349" s="134"/>
      <c r="Z349" s="134"/>
    </row>
    <row r="350">
      <c r="A350" s="131"/>
      <c r="B350" s="164"/>
      <c r="C350" s="165"/>
      <c r="D350" s="171"/>
      <c r="E350" s="164"/>
      <c r="F350" s="170"/>
      <c r="G350" s="134"/>
      <c r="H350" s="134"/>
      <c r="I350" s="134"/>
      <c r="J350" s="134"/>
      <c r="K350" s="134"/>
      <c r="L350" s="134"/>
      <c r="M350" s="134"/>
      <c r="N350" s="134"/>
      <c r="O350" s="134"/>
      <c r="P350" s="134"/>
      <c r="Q350" s="134"/>
      <c r="R350" s="134"/>
      <c r="S350" s="134"/>
      <c r="T350" s="134"/>
      <c r="U350" s="134"/>
      <c r="V350" s="134"/>
      <c r="W350" s="134"/>
      <c r="X350" s="134"/>
      <c r="Y350" s="134"/>
      <c r="Z350" s="134"/>
    </row>
    <row r="351">
      <c r="A351" s="131"/>
      <c r="B351" s="164"/>
      <c r="C351" s="165"/>
      <c r="D351" s="171"/>
      <c r="E351" s="164"/>
      <c r="F351" s="170"/>
      <c r="G351" s="134"/>
      <c r="H351" s="134"/>
      <c r="I351" s="134"/>
      <c r="J351" s="134"/>
      <c r="K351" s="134"/>
      <c r="L351" s="134"/>
      <c r="M351" s="134"/>
      <c r="N351" s="134"/>
      <c r="O351" s="134"/>
      <c r="P351" s="134"/>
      <c r="Q351" s="134"/>
      <c r="R351" s="134"/>
      <c r="S351" s="134"/>
      <c r="T351" s="134"/>
      <c r="U351" s="134"/>
      <c r="V351" s="134"/>
      <c r="W351" s="134"/>
      <c r="X351" s="134"/>
      <c r="Y351" s="134"/>
      <c r="Z351" s="134"/>
    </row>
    <row r="352">
      <c r="A352" s="131"/>
      <c r="B352" s="164"/>
      <c r="C352" s="165"/>
      <c r="D352" s="171"/>
      <c r="E352" s="164"/>
      <c r="F352" s="170"/>
      <c r="G352" s="134"/>
      <c r="H352" s="134"/>
      <c r="I352" s="134"/>
      <c r="J352" s="134"/>
      <c r="K352" s="134"/>
      <c r="L352" s="134"/>
      <c r="M352" s="134"/>
      <c r="N352" s="134"/>
      <c r="O352" s="134"/>
      <c r="P352" s="134"/>
      <c r="Q352" s="134"/>
      <c r="R352" s="134"/>
      <c r="S352" s="134"/>
      <c r="T352" s="134"/>
      <c r="U352" s="134"/>
      <c r="V352" s="134"/>
      <c r="W352" s="134"/>
      <c r="X352" s="134"/>
      <c r="Y352" s="134"/>
      <c r="Z352" s="134"/>
    </row>
    <row r="353">
      <c r="A353" s="131"/>
      <c r="B353" s="164"/>
      <c r="C353" s="165"/>
      <c r="D353" s="171"/>
      <c r="E353" s="164"/>
      <c r="F353" s="170"/>
      <c r="G353" s="134"/>
      <c r="H353" s="134"/>
      <c r="I353" s="134"/>
      <c r="J353" s="134"/>
      <c r="K353" s="134"/>
      <c r="L353" s="134"/>
      <c r="M353" s="134"/>
      <c r="N353" s="134"/>
      <c r="O353" s="134"/>
      <c r="P353" s="134"/>
      <c r="Q353" s="134"/>
      <c r="R353" s="134"/>
      <c r="S353" s="134"/>
      <c r="T353" s="134"/>
      <c r="U353" s="134"/>
      <c r="V353" s="134"/>
      <c r="W353" s="134"/>
      <c r="X353" s="134"/>
      <c r="Y353" s="134"/>
      <c r="Z353" s="134"/>
    </row>
    <row r="354">
      <c r="A354" s="131"/>
      <c r="B354" s="164"/>
      <c r="C354" s="165"/>
      <c r="D354" s="171"/>
      <c r="E354" s="164"/>
      <c r="F354" s="170"/>
      <c r="G354" s="134"/>
      <c r="H354" s="134"/>
      <c r="I354" s="134"/>
      <c r="J354" s="134"/>
      <c r="K354" s="134"/>
      <c r="L354" s="134"/>
      <c r="M354" s="134"/>
      <c r="N354" s="134"/>
      <c r="O354" s="134"/>
      <c r="P354" s="134"/>
      <c r="Q354" s="134"/>
      <c r="R354" s="134"/>
      <c r="S354" s="134"/>
      <c r="T354" s="134"/>
      <c r="U354" s="134"/>
      <c r="V354" s="134"/>
      <c r="W354" s="134"/>
      <c r="X354" s="134"/>
      <c r="Y354" s="134"/>
      <c r="Z354" s="134"/>
    </row>
    <row r="355">
      <c r="A355" s="131"/>
      <c r="B355" s="164"/>
      <c r="C355" s="165"/>
      <c r="D355" s="171"/>
      <c r="E355" s="164"/>
      <c r="F355" s="170"/>
      <c r="G355" s="134"/>
      <c r="H355" s="134"/>
      <c r="I355" s="134"/>
      <c r="J355" s="134"/>
      <c r="K355" s="134"/>
      <c r="L355" s="134"/>
      <c r="M355" s="134"/>
      <c r="N355" s="134"/>
      <c r="O355" s="134"/>
      <c r="P355" s="134"/>
      <c r="Q355" s="134"/>
      <c r="R355" s="134"/>
      <c r="S355" s="134"/>
      <c r="T355" s="134"/>
      <c r="U355" s="134"/>
      <c r="V355" s="134"/>
      <c r="W355" s="134"/>
      <c r="X355" s="134"/>
      <c r="Y355" s="134"/>
      <c r="Z355" s="134"/>
    </row>
    <row r="356">
      <c r="A356" s="131"/>
      <c r="B356" s="164"/>
      <c r="C356" s="165"/>
      <c r="D356" s="171"/>
      <c r="E356" s="164"/>
      <c r="F356" s="170"/>
      <c r="G356" s="134"/>
      <c r="H356" s="134"/>
      <c r="I356" s="134"/>
      <c r="J356" s="134"/>
      <c r="K356" s="134"/>
      <c r="L356" s="134"/>
      <c r="M356" s="134"/>
      <c r="N356" s="134"/>
      <c r="O356" s="134"/>
      <c r="P356" s="134"/>
      <c r="Q356" s="134"/>
      <c r="R356" s="134"/>
      <c r="S356" s="134"/>
      <c r="T356" s="134"/>
      <c r="U356" s="134"/>
      <c r="V356" s="134"/>
      <c r="W356" s="134"/>
      <c r="X356" s="134"/>
      <c r="Y356" s="134"/>
      <c r="Z356" s="134"/>
    </row>
    <row r="357">
      <c r="A357" s="131"/>
      <c r="B357" s="164"/>
      <c r="C357" s="165"/>
      <c r="D357" s="171"/>
      <c r="E357" s="164"/>
      <c r="F357" s="170"/>
      <c r="G357" s="134"/>
      <c r="H357" s="134"/>
      <c r="I357" s="134"/>
      <c r="J357" s="134"/>
      <c r="K357" s="134"/>
      <c r="L357" s="134"/>
      <c r="M357" s="134"/>
      <c r="N357" s="134"/>
      <c r="O357" s="134"/>
      <c r="P357" s="134"/>
      <c r="Q357" s="134"/>
      <c r="R357" s="134"/>
      <c r="S357" s="134"/>
      <c r="T357" s="134"/>
      <c r="U357" s="134"/>
      <c r="V357" s="134"/>
      <c r="W357" s="134"/>
      <c r="X357" s="134"/>
      <c r="Y357" s="134"/>
      <c r="Z357" s="134"/>
    </row>
    <row r="358">
      <c r="A358" s="131"/>
      <c r="B358" s="164"/>
      <c r="C358" s="165"/>
      <c r="D358" s="171"/>
      <c r="E358" s="164"/>
      <c r="F358" s="170"/>
      <c r="G358" s="134"/>
      <c r="H358" s="134"/>
      <c r="I358" s="134"/>
      <c r="J358" s="134"/>
      <c r="K358" s="134"/>
      <c r="L358" s="134"/>
      <c r="M358" s="134"/>
      <c r="N358" s="134"/>
      <c r="O358" s="134"/>
      <c r="P358" s="134"/>
      <c r="Q358" s="134"/>
      <c r="R358" s="134"/>
      <c r="S358" s="134"/>
      <c r="T358" s="134"/>
      <c r="U358" s="134"/>
      <c r="V358" s="134"/>
      <c r="W358" s="134"/>
      <c r="X358" s="134"/>
      <c r="Y358" s="134"/>
      <c r="Z358" s="134"/>
    </row>
    <row r="359">
      <c r="A359" s="131"/>
      <c r="B359" s="164"/>
      <c r="C359" s="165"/>
      <c r="D359" s="171"/>
      <c r="E359" s="164"/>
      <c r="F359" s="170"/>
      <c r="G359" s="134"/>
      <c r="H359" s="134"/>
      <c r="I359" s="134"/>
      <c r="J359" s="134"/>
      <c r="K359" s="134"/>
      <c r="L359" s="134"/>
      <c r="M359" s="134"/>
      <c r="N359" s="134"/>
      <c r="O359" s="134"/>
      <c r="P359" s="134"/>
      <c r="Q359" s="134"/>
      <c r="R359" s="134"/>
      <c r="S359" s="134"/>
      <c r="T359" s="134"/>
      <c r="U359" s="134"/>
      <c r="V359" s="134"/>
      <c r="W359" s="134"/>
      <c r="X359" s="134"/>
      <c r="Y359" s="134"/>
      <c r="Z359" s="134"/>
    </row>
    <row r="360">
      <c r="A360" s="131"/>
      <c r="B360" s="164"/>
      <c r="C360" s="165"/>
      <c r="D360" s="171"/>
      <c r="E360" s="164"/>
      <c r="F360" s="170"/>
      <c r="G360" s="134"/>
      <c r="H360" s="134"/>
      <c r="I360" s="134"/>
      <c r="J360" s="134"/>
      <c r="K360" s="134"/>
      <c r="L360" s="134"/>
      <c r="M360" s="134"/>
      <c r="N360" s="134"/>
      <c r="O360" s="134"/>
      <c r="P360" s="134"/>
      <c r="Q360" s="134"/>
      <c r="R360" s="134"/>
      <c r="S360" s="134"/>
      <c r="T360" s="134"/>
      <c r="U360" s="134"/>
      <c r="V360" s="134"/>
      <c r="W360" s="134"/>
      <c r="X360" s="134"/>
      <c r="Y360" s="134"/>
      <c r="Z360" s="134"/>
    </row>
    <row r="361">
      <c r="A361" s="131"/>
      <c r="B361" s="164"/>
      <c r="C361" s="165"/>
      <c r="D361" s="171"/>
      <c r="E361" s="164"/>
      <c r="F361" s="170"/>
      <c r="G361" s="134"/>
      <c r="H361" s="134"/>
      <c r="I361" s="134"/>
      <c r="J361" s="134"/>
      <c r="K361" s="134"/>
      <c r="L361" s="134"/>
      <c r="M361" s="134"/>
      <c r="N361" s="134"/>
      <c r="O361" s="134"/>
      <c r="P361" s="134"/>
      <c r="Q361" s="134"/>
      <c r="R361" s="134"/>
      <c r="S361" s="134"/>
      <c r="T361" s="134"/>
      <c r="U361" s="134"/>
      <c r="V361" s="134"/>
      <c r="W361" s="134"/>
      <c r="X361" s="134"/>
      <c r="Y361" s="134"/>
      <c r="Z361" s="134"/>
    </row>
    <row r="362">
      <c r="A362" s="131"/>
      <c r="B362" s="164"/>
      <c r="C362" s="165"/>
      <c r="D362" s="171"/>
      <c r="E362" s="164"/>
      <c r="F362" s="170"/>
      <c r="G362" s="134"/>
      <c r="H362" s="134"/>
      <c r="I362" s="134"/>
      <c r="J362" s="134"/>
      <c r="K362" s="134"/>
      <c r="L362" s="134"/>
      <c r="M362" s="134"/>
      <c r="N362" s="134"/>
      <c r="O362" s="134"/>
      <c r="P362" s="134"/>
      <c r="Q362" s="134"/>
      <c r="R362" s="134"/>
      <c r="S362" s="134"/>
      <c r="T362" s="134"/>
      <c r="U362" s="134"/>
      <c r="V362" s="134"/>
      <c r="W362" s="134"/>
      <c r="X362" s="134"/>
      <c r="Y362" s="134"/>
      <c r="Z362" s="134"/>
    </row>
    <row r="363">
      <c r="A363" s="131"/>
      <c r="B363" s="164"/>
      <c r="C363" s="165"/>
      <c r="D363" s="171"/>
      <c r="E363" s="164"/>
      <c r="F363" s="170"/>
      <c r="G363" s="134"/>
      <c r="H363" s="134"/>
      <c r="I363" s="134"/>
      <c r="J363" s="134"/>
      <c r="K363" s="134"/>
      <c r="L363" s="134"/>
      <c r="M363" s="134"/>
      <c r="N363" s="134"/>
      <c r="O363" s="134"/>
      <c r="P363" s="134"/>
      <c r="Q363" s="134"/>
      <c r="R363" s="134"/>
      <c r="S363" s="134"/>
      <c r="T363" s="134"/>
      <c r="U363" s="134"/>
      <c r="V363" s="134"/>
      <c r="W363" s="134"/>
      <c r="X363" s="134"/>
      <c r="Y363" s="134"/>
      <c r="Z363" s="134"/>
    </row>
    <row r="364">
      <c r="A364" s="131"/>
      <c r="B364" s="164"/>
      <c r="C364" s="165"/>
      <c r="D364" s="171"/>
      <c r="E364" s="164"/>
      <c r="F364" s="170"/>
      <c r="G364" s="134"/>
      <c r="H364" s="134"/>
      <c r="I364" s="134"/>
      <c r="J364" s="134"/>
      <c r="K364" s="134"/>
      <c r="L364" s="134"/>
      <c r="M364" s="134"/>
      <c r="N364" s="134"/>
      <c r="O364" s="134"/>
      <c r="P364" s="134"/>
      <c r="Q364" s="134"/>
      <c r="R364" s="134"/>
      <c r="S364" s="134"/>
      <c r="T364" s="134"/>
      <c r="U364" s="134"/>
      <c r="V364" s="134"/>
      <c r="W364" s="134"/>
      <c r="X364" s="134"/>
      <c r="Y364" s="134"/>
      <c r="Z364" s="134"/>
    </row>
    <row r="365">
      <c r="A365" s="131"/>
      <c r="B365" s="164"/>
      <c r="C365" s="165"/>
      <c r="D365" s="171"/>
      <c r="E365" s="164"/>
      <c r="F365" s="170"/>
      <c r="G365" s="134"/>
      <c r="H365" s="134"/>
      <c r="I365" s="134"/>
      <c r="J365" s="134"/>
      <c r="K365" s="134"/>
      <c r="L365" s="134"/>
      <c r="M365" s="134"/>
      <c r="N365" s="134"/>
      <c r="O365" s="134"/>
      <c r="P365" s="134"/>
      <c r="Q365" s="134"/>
      <c r="R365" s="134"/>
      <c r="S365" s="134"/>
      <c r="T365" s="134"/>
      <c r="U365" s="134"/>
      <c r="V365" s="134"/>
      <c r="W365" s="134"/>
      <c r="X365" s="134"/>
      <c r="Y365" s="134"/>
      <c r="Z365" s="134"/>
    </row>
    <row r="366">
      <c r="A366" s="131"/>
      <c r="B366" s="164"/>
      <c r="C366" s="165"/>
      <c r="D366" s="171"/>
      <c r="E366" s="164"/>
      <c r="F366" s="170"/>
      <c r="G366" s="134"/>
      <c r="H366" s="134"/>
      <c r="I366" s="134"/>
      <c r="J366" s="134"/>
      <c r="K366" s="134"/>
      <c r="L366" s="134"/>
      <c r="M366" s="134"/>
      <c r="N366" s="134"/>
      <c r="O366" s="134"/>
      <c r="P366" s="134"/>
      <c r="Q366" s="134"/>
      <c r="R366" s="134"/>
      <c r="S366" s="134"/>
      <c r="T366" s="134"/>
      <c r="U366" s="134"/>
      <c r="V366" s="134"/>
      <c r="W366" s="134"/>
      <c r="X366" s="134"/>
      <c r="Y366" s="134"/>
      <c r="Z366" s="134"/>
    </row>
    <row r="367">
      <c r="A367" s="131"/>
      <c r="B367" s="164"/>
      <c r="C367" s="165"/>
      <c r="D367" s="171"/>
      <c r="E367" s="164"/>
      <c r="F367" s="170"/>
      <c r="G367" s="134"/>
      <c r="H367" s="134"/>
      <c r="I367" s="134"/>
      <c r="J367" s="134"/>
      <c r="K367" s="134"/>
      <c r="L367" s="134"/>
      <c r="M367" s="134"/>
      <c r="N367" s="134"/>
      <c r="O367" s="134"/>
      <c r="P367" s="134"/>
      <c r="Q367" s="134"/>
      <c r="R367" s="134"/>
      <c r="S367" s="134"/>
      <c r="T367" s="134"/>
      <c r="U367" s="134"/>
      <c r="V367" s="134"/>
      <c r="W367" s="134"/>
      <c r="X367" s="134"/>
      <c r="Y367" s="134"/>
      <c r="Z367" s="134"/>
    </row>
    <row r="368">
      <c r="A368" s="131"/>
      <c r="B368" s="164"/>
      <c r="C368" s="165"/>
      <c r="D368" s="171"/>
      <c r="E368" s="164"/>
      <c r="F368" s="170"/>
      <c r="G368" s="134"/>
      <c r="H368" s="134"/>
      <c r="I368" s="134"/>
      <c r="J368" s="134"/>
      <c r="K368" s="134"/>
      <c r="L368" s="134"/>
      <c r="M368" s="134"/>
      <c r="N368" s="134"/>
      <c r="O368" s="134"/>
      <c r="P368" s="134"/>
      <c r="Q368" s="134"/>
      <c r="R368" s="134"/>
      <c r="S368" s="134"/>
      <c r="T368" s="134"/>
      <c r="U368" s="134"/>
      <c r="V368" s="134"/>
      <c r="W368" s="134"/>
      <c r="X368" s="134"/>
      <c r="Y368" s="134"/>
      <c r="Z368" s="134"/>
    </row>
    <row r="369">
      <c r="A369" s="131"/>
      <c r="B369" s="164"/>
      <c r="C369" s="165"/>
      <c r="D369" s="171"/>
      <c r="E369" s="164"/>
      <c r="F369" s="170"/>
      <c r="G369" s="134"/>
      <c r="H369" s="134"/>
      <c r="I369" s="134"/>
      <c r="J369" s="134"/>
      <c r="K369" s="134"/>
      <c r="L369" s="134"/>
      <c r="M369" s="134"/>
      <c r="N369" s="134"/>
      <c r="O369" s="134"/>
      <c r="P369" s="134"/>
      <c r="Q369" s="134"/>
      <c r="R369" s="134"/>
      <c r="S369" s="134"/>
      <c r="T369" s="134"/>
      <c r="U369" s="134"/>
      <c r="V369" s="134"/>
      <c r="W369" s="134"/>
      <c r="X369" s="134"/>
      <c r="Y369" s="134"/>
      <c r="Z369" s="134"/>
    </row>
    <row r="370">
      <c r="A370" s="131"/>
      <c r="B370" s="164"/>
      <c r="C370" s="165"/>
      <c r="D370" s="171"/>
      <c r="E370" s="164"/>
      <c r="F370" s="170"/>
      <c r="G370" s="134"/>
      <c r="H370" s="134"/>
      <c r="I370" s="134"/>
      <c r="J370" s="134"/>
      <c r="K370" s="134"/>
      <c r="L370" s="134"/>
      <c r="M370" s="134"/>
      <c r="N370" s="134"/>
      <c r="O370" s="134"/>
      <c r="P370" s="134"/>
      <c r="Q370" s="134"/>
      <c r="R370" s="134"/>
      <c r="S370" s="134"/>
      <c r="T370" s="134"/>
      <c r="U370" s="134"/>
      <c r="V370" s="134"/>
      <c r="W370" s="134"/>
      <c r="X370" s="134"/>
      <c r="Y370" s="134"/>
      <c r="Z370" s="134"/>
    </row>
    <row r="371">
      <c r="A371" s="131"/>
      <c r="B371" s="164"/>
      <c r="C371" s="165"/>
      <c r="D371" s="171"/>
      <c r="E371" s="164"/>
      <c r="F371" s="170"/>
      <c r="G371" s="134"/>
      <c r="H371" s="134"/>
      <c r="I371" s="134"/>
      <c r="J371" s="134"/>
      <c r="K371" s="134"/>
      <c r="L371" s="134"/>
      <c r="M371" s="134"/>
      <c r="N371" s="134"/>
      <c r="O371" s="134"/>
      <c r="P371" s="134"/>
      <c r="Q371" s="134"/>
      <c r="R371" s="134"/>
      <c r="S371" s="134"/>
      <c r="T371" s="134"/>
      <c r="U371" s="134"/>
      <c r="V371" s="134"/>
      <c r="W371" s="134"/>
      <c r="X371" s="134"/>
      <c r="Y371" s="134"/>
      <c r="Z371" s="134"/>
    </row>
    <row r="372">
      <c r="A372" s="131"/>
      <c r="B372" s="164"/>
      <c r="C372" s="165"/>
      <c r="D372" s="171"/>
      <c r="E372" s="164"/>
      <c r="F372" s="170"/>
      <c r="G372" s="134"/>
      <c r="H372" s="134"/>
      <c r="I372" s="134"/>
      <c r="J372" s="134"/>
      <c r="K372" s="134"/>
      <c r="L372" s="134"/>
      <c r="M372" s="134"/>
      <c r="N372" s="134"/>
      <c r="O372" s="134"/>
      <c r="P372" s="134"/>
      <c r="Q372" s="134"/>
      <c r="R372" s="134"/>
      <c r="S372" s="134"/>
      <c r="T372" s="134"/>
      <c r="U372" s="134"/>
      <c r="V372" s="134"/>
      <c r="W372" s="134"/>
      <c r="X372" s="134"/>
      <c r="Y372" s="134"/>
      <c r="Z372" s="134"/>
    </row>
    <row r="373">
      <c r="A373" s="131"/>
      <c r="B373" s="164"/>
      <c r="C373" s="165"/>
      <c r="D373" s="171"/>
      <c r="E373" s="164"/>
      <c r="F373" s="170"/>
      <c r="G373" s="134"/>
      <c r="H373" s="134"/>
      <c r="I373" s="134"/>
      <c r="J373" s="134"/>
      <c r="K373" s="134"/>
      <c r="L373" s="134"/>
      <c r="M373" s="134"/>
      <c r="N373" s="134"/>
      <c r="O373" s="134"/>
      <c r="P373" s="134"/>
      <c r="Q373" s="134"/>
      <c r="R373" s="134"/>
      <c r="S373" s="134"/>
      <c r="T373" s="134"/>
      <c r="U373" s="134"/>
      <c r="V373" s="134"/>
      <c r="W373" s="134"/>
      <c r="X373" s="134"/>
      <c r="Y373" s="134"/>
      <c r="Z373" s="134"/>
    </row>
    <row r="374">
      <c r="A374" s="131"/>
      <c r="B374" s="164"/>
      <c r="C374" s="165"/>
      <c r="D374" s="171"/>
      <c r="E374" s="164"/>
      <c r="F374" s="170"/>
      <c r="G374" s="134"/>
      <c r="H374" s="134"/>
      <c r="I374" s="134"/>
      <c r="J374" s="134"/>
      <c r="K374" s="134"/>
      <c r="L374" s="134"/>
      <c r="M374" s="134"/>
      <c r="N374" s="134"/>
      <c r="O374" s="134"/>
      <c r="P374" s="134"/>
      <c r="Q374" s="134"/>
      <c r="R374" s="134"/>
      <c r="S374" s="134"/>
      <c r="T374" s="134"/>
      <c r="U374" s="134"/>
      <c r="V374" s="134"/>
      <c r="W374" s="134"/>
      <c r="X374" s="134"/>
      <c r="Y374" s="134"/>
      <c r="Z374" s="134"/>
    </row>
    <row r="375">
      <c r="A375" s="131"/>
      <c r="B375" s="164"/>
      <c r="C375" s="165"/>
      <c r="D375" s="171"/>
      <c r="E375" s="164"/>
      <c r="F375" s="170"/>
      <c r="G375" s="134"/>
      <c r="H375" s="134"/>
      <c r="I375" s="134"/>
      <c r="J375" s="134"/>
      <c r="K375" s="134"/>
      <c r="L375" s="134"/>
      <c r="M375" s="134"/>
      <c r="N375" s="134"/>
      <c r="O375" s="134"/>
      <c r="P375" s="134"/>
      <c r="Q375" s="134"/>
      <c r="R375" s="134"/>
      <c r="S375" s="134"/>
      <c r="T375" s="134"/>
      <c r="U375" s="134"/>
      <c r="V375" s="134"/>
      <c r="W375" s="134"/>
      <c r="X375" s="134"/>
      <c r="Y375" s="134"/>
      <c r="Z375" s="134"/>
    </row>
    <row r="376">
      <c r="A376" s="131"/>
      <c r="B376" s="164"/>
      <c r="C376" s="165"/>
      <c r="D376" s="171"/>
      <c r="E376" s="164"/>
      <c r="F376" s="170"/>
      <c r="G376" s="134"/>
      <c r="H376" s="134"/>
      <c r="I376" s="134"/>
      <c r="J376" s="134"/>
      <c r="K376" s="134"/>
      <c r="L376" s="134"/>
      <c r="M376" s="134"/>
      <c r="N376" s="134"/>
      <c r="O376" s="134"/>
      <c r="P376" s="134"/>
      <c r="Q376" s="134"/>
      <c r="R376" s="134"/>
      <c r="S376" s="134"/>
      <c r="T376" s="134"/>
      <c r="U376" s="134"/>
      <c r="V376" s="134"/>
      <c r="W376" s="134"/>
      <c r="X376" s="134"/>
      <c r="Y376" s="134"/>
      <c r="Z376" s="134"/>
    </row>
    <row r="377">
      <c r="A377" s="131"/>
      <c r="B377" s="164"/>
      <c r="C377" s="165"/>
      <c r="D377" s="171"/>
      <c r="E377" s="164"/>
      <c r="F377" s="170"/>
      <c r="G377" s="134"/>
      <c r="H377" s="134"/>
      <c r="I377" s="134"/>
      <c r="J377" s="134"/>
      <c r="K377" s="134"/>
      <c r="L377" s="134"/>
      <c r="M377" s="134"/>
      <c r="N377" s="134"/>
      <c r="O377" s="134"/>
      <c r="P377" s="134"/>
      <c r="Q377" s="134"/>
      <c r="R377" s="134"/>
      <c r="S377" s="134"/>
      <c r="T377" s="134"/>
      <c r="U377" s="134"/>
      <c r="V377" s="134"/>
      <c r="W377" s="134"/>
      <c r="X377" s="134"/>
      <c r="Y377" s="134"/>
      <c r="Z377" s="134"/>
    </row>
    <row r="378">
      <c r="A378" s="131"/>
      <c r="B378" s="164"/>
      <c r="C378" s="165"/>
      <c r="D378" s="171"/>
      <c r="E378" s="164"/>
      <c r="F378" s="170"/>
      <c r="G378" s="134"/>
      <c r="H378" s="134"/>
      <c r="I378" s="134"/>
      <c r="J378" s="134"/>
      <c r="K378" s="134"/>
      <c r="L378" s="134"/>
      <c r="M378" s="134"/>
      <c r="N378" s="134"/>
      <c r="O378" s="134"/>
      <c r="P378" s="134"/>
      <c r="Q378" s="134"/>
      <c r="R378" s="134"/>
      <c r="S378" s="134"/>
      <c r="T378" s="134"/>
      <c r="U378" s="134"/>
      <c r="V378" s="134"/>
      <c r="W378" s="134"/>
      <c r="X378" s="134"/>
      <c r="Y378" s="134"/>
      <c r="Z378" s="134"/>
    </row>
    <row r="379">
      <c r="A379" s="131"/>
      <c r="B379" s="164"/>
      <c r="C379" s="165"/>
      <c r="D379" s="171"/>
      <c r="E379" s="164"/>
      <c r="F379" s="170"/>
      <c r="G379" s="134"/>
      <c r="H379" s="134"/>
      <c r="I379" s="134"/>
      <c r="J379" s="134"/>
      <c r="K379" s="134"/>
      <c r="L379" s="134"/>
      <c r="M379" s="134"/>
      <c r="N379" s="134"/>
      <c r="O379" s="134"/>
      <c r="P379" s="134"/>
      <c r="Q379" s="134"/>
      <c r="R379" s="134"/>
      <c r="S379" s="134"/>
      <c r="T379" s="134"/>
      <c r="U379" s="134"/>
      <c r="V379" s="134"/>
      <c r="W379" s="134"/>
      <c r="X379" s="134"/>
      <c r="Y379" s="134"/>
      <c r="Z379" s="134"/>
    </row>
    <row r="380">
      <c r="A380" s="131"/>
      <c r="B380" s="164"/>
      <c r="C380" s="165"/>
      <c r="D380" s="171"/>
      <c r="E380" s="164"/>
      <c r="F380" s="170"/>
      <c r="G380" s="134"/>
      <c r="H380" s="134"/>
      <c r="I380" s="134"/>
      <c r="J380" s="134"/>
      <c r="K380" s="134"/>
      <c r="L380" s="134"/>
      <c r="M380" s="134"/>
      <c r="N380" s="134"/>
      <c r="O380" s="134"/>
      <c r="P380" s="134"/>
      <c r="Q380" s="134"/>
      <c r="R380" s="134"/>
      <c r="S380" s="134"/>
      <c r="T380" s="134"/>
      <c r="U380" s="134"/>
      <c r="V380" s="134"/>
      <c r="W380" s="134"/>
      <c r="X380" s="134"/>
      <c r="Y380" s="134"/>
      <c r="Z380" s="134"/>
    </row>
    <row r="381">
      <c r="A381" s="131"/>
      <c r="B381" s="164"/>
      <c r="C381" s="165"/>
      <c r="D381" s="171"/>
      <c r="E381" s="164"/>
      <c r="F381" s="170"/>
      <c r="G381" s="134"/>
      <c r="H381" s="134"/>
      <c r="I381" s="134"/>
      <c r="J381" s="134"/>
      <c r="K381" s="134"/>
      <c r="L381" s="134"/>
      <c r="M381" s="134"/>
      <c r="N381" s="134"/>
      <c r="O381" s="134"/>
      <c r="P381" s="134"/>
      <c r="Q381" s="134"/>
      <c r="R381" s="134"/>
      <c r="S381" s="134"/>
      <c r="T381" s="134"/>
      <c r="U381" s="134"/>
      <c r="V381" s="134"/>
      <c r="W381" s="134"/>
      <c r="X381" s="134"/>
      <c r="Y381" s="134"/>
      <c r="Z381" s="134"/>
    </row>
    <row r="382">
      <c r="A382" s="131"/>
      <c r="B382" s="164"/>
      <c r="C382" s="165"/>
      <c r="D382" s="171"/>
      <c r="E382" s="164"/>
      <c r="F382" s="170"/>
      <c r="G382" s="134"/>
      <c r="H382" s="134"/>
      <c r="I382" s="134"/>
      <c r="J382" s="134"/>
      <c r="K382" s="134"/>
      <c r="L382" s="134"/>
      <c r="M382" s="134"/>
      <c r="N382" s="134"/>
      <c r="O382" s="134"/>
      <c r="P382" s="134"/>
      <c r="Q382" s="134"/>
      <c r="R382" s="134"/>
      <c r="S382" s="134"/>
      <c r="T382" s="134"/>
      <c r="U382" s="134"/>
      <c r="V382" s="134"/>
      <c r="W382" s="134"/>
      <c r="X382" s="134"/>
      <c r="Y382" s="134"/>
      <c r="Z382" s="134"/>
    </row>
    <row r="383">
      <c r="A383" s="131"/>
      <c r="B383" s="164"/>
      <c r="C383" s="165"/>
      <c r="D383" s="171"/>
      <c r="E383" s="164"/>
      <c r="F383" s="170"/>
      <c r="G383" s="134"/>
      <c r="H383" s="134"/>
      <c r="I383" s="134"/>
      <c r="J383" s="134"/>
      <c r="K383" s="134"/>
      <c r="L383" s="134"/>
      <c r="M383" s="134"/>
      <c r="N383" s="134"/>
      <c r="O383" s="134"/>
      <c r="P383" s="134"/>
      <c r="Q383" s="134"/>
      <c r="R383" s="134"/>
      <c r="S383" s="134"/>
      <c r="T383" s="134"/>
      <c r="U383" s="134"/>
      <c r="V383" s="134"/>
      <c r="W383" s="134"/>
      <c r="X383" s="134"/>
      <c r="Y383" s="134"/>
      <c r="Z383" s="134"/>
    </row>
    <row r="384">
      <c r="A384" s="131"/>
      <c r="B384" s="164"/>
      <c r="C384" s="165"/>
      <c r="D384" s="171"/>
      <c r="E384" s="164"/>
      <c r="F384" s="170"/>
      <c r="G384" s="134"/>
      <c r="H384" s="134"/>
      <c r="I384" s="134"/>
      <c r="J384" s="134"/>
      <c r="K384" s="134"/>
      <c r="L384" s="134"/>
      <c r="M384" s="134"/>
      <c r="N384" s="134"/>
      <c r="O384" s="134"/>
      <c r="P384" s="134"/>
      <c r="Q384" s="134"/>
      <c r="R384" s="134"/>
      <c r="S384" s="134"/>
      <c r="T384" s="134"/>
      <c r="U384" s="134"/>
      <c r="V384" s="134"/>
      <c r="W384" s="134"/>
      <c r="X384" s="134"/>
      <c r="Y384" s="134"/>
      <c r="Z384" s="134"/>
    </row>
    <row r="385">
      <c r="A385" s="131"/>
      <c r="B385" s="164"/>
      <c r="C385" s="165"/>
      <c r="D385" s="171"/>
      <c r="E385" s="164"/>
      <c r="F385" s="170"/>
      <c r="G385" s="134"/>
      <c r="H385" s="134"/>
      <c r="I385" s="134"/>
      <c r="J385" s="134"/>
      <c r="K385" s="134"/>
      <c r="L385" s="134"/>
      <c r="M385" s="134"/>
      <c r="N385" s="134"/>
      <c r="O385" s="134"/>
      <c r="P385" s="134"/>
      <c r="Q385" s="134"/>
      <c r="R385" s="134"/>
      <c r="S385" s="134"/>
      <c r="T385" s="134"/>
      <c r="U385" s="134"/>
      <c r="V385" s="134"/>
      <c r="W385" s="134"/>
      <c r="X385" s="134"/>
      <c r="Y385" s="134"/>
      <c r="Z385" s="134"/>
    </row>
    <row r="386">
      <c r="A386" s="131"/>
      <c r="B386" s="164"/>
      <c r="C386" s="165"/>
      <c r="D386" s="171"/>
      <c r="E386" s="164"/>
      <c r="F386" s="170"/>
      <c r="G386" s="134"/>
      <c r="H386" s="134"/>
      <c r="I386" s="134"/>
      <c r="J386" s="134"/>
      <c r="K386" s="134"/>
      <c r="L386" s="134"/>
      <c r="M386" s="134"/>
      <c r="N386" s="134"/>
      <c r="O386" s="134"/>
      <c r="P386" s="134"/>
      <c r="Q386" s="134"/>
      <c r="R386" s="134"/>
      <c r="S386" s="134"/>
      <c r="T386" s="134"/>
      <c r="U386" s="134"/>
      <c r="V386" s="134"/>
      <c r="W386" s="134"/>
      <c r="X386" s="134"/>
      <c r="Y386" s="134"/>
      <c r="Z386" s="134"/>
    </row>
    <row r="387">
      <c r="A387" s="131"/>
      <c r="B387" s="164"/>
      <c r="C387" s="165"/>
      <c r="D387" s="171"/>
      <c r="E387" s="164"/>
      <c r="F387" s="170"/>
      <c r="G387" s="134"/>
      <c r="H387" s="134"/>
      <c r="I387" s="134"/>
      <c r="J387" s="134"/>
      <c r="K387" s="134"/>
      <c r="L387" s="134"/>
      <c r="M387" s="134"/>
      <c r="N387" s="134"/>
      <c r="O387" s="134"/>
      <c r="P387" s="134"/>
      <c r="Q387" s="134"/>
      <c r="R387" s="134"/>
      <c r="S387" s="134"/>
      <c r="T387" s="134"/>
      <c r="U387" s="134"/>
      <c r="V387" s="134"/>
      <c r="W387" s="134"/>
      <c r="X387" s="134"/>
      <c r="Y387" s="134"/>
      <c r="Z387" s="134"/>
    </row>
    <row r="388">
      <c r="A388" s="131"/>
      <c r="B388" s="164"/>
      <c r="C388" s="165"/>
      <c r="D388" s="171"/>
      <c r="E388" s="164"/>
      <c r="F388" s="170"/>
      <c r="G388" s="134"/>
      <c r="H388" s="134"/>
      <c r="I388" s="134"/>
      <c r="J388" s="134"/>
      <c r="K388" s="134"/>
      <c r="L388" s="134"/>
      <c r="M388" s="134"/>
      <c r="N388" s="134"/>
      <c r="O388" s="134"/>
      <c r="P388" s="134"/>
      <c r="Q388" s="134"/>
      <c r="R388" s="134"/>
      <c r="S388" s="134"/>
      <c r="T388" s="134"/>
      <c r="U388" s="134"/>
      <c r="V388" s="134"/>
      <c r="W388" s="134"/>
      <c r="X388" s="134"/>
      <c r="Y388" s="134"/>
      <c r="Z388" s="134"/>
    </row>
    <row r="389">
      <c r="A389" s="131"/>
      <c r="B389" s="164"/>
      <c r="C389" s="165"/>
      <c r="D389" s="171"/>
      <c r="E389" s="164"/>
      <c r="F389" s="170"/>
      <c r="G389" s="134"/>
      <c r="H389" s="134"/>
      <c r="I389" s="134"/>
      <c r="J389" s="134"/>
      <c r="K389" s="134"/>
      <c r="L389" s="134"/>
      <c r="M389" s="134"/>
      <c r="N389" s="134"/>
      <c r="O389" s="134"/>
      <c r="P389" s="134"/>
      <c r="Q389" s="134"/>
      <c r="R389" s="134"/>
      <c r="S389" s="134"/>
      <c r="T389" s="134"/>
      <c r="U389" s="134"/>
      <c r="V389" s="134"/>
      <c r="W389" s="134"/>
      <c r="X389" s="134"/>
      <c r="Y389" s="134"/>
      <c r="Z389" s="134"/>
    </row>
    <row r="390">
      <c r="A390" s="131"/>
      <c r="B390" s="164"/>
      <c r="C390" s="165"/>
      <c r="D390" s="171"/>
      <c r="E390" s="164"/>
      <c r="F390" s="170"/>
      <c r="G390" s="134"/>
      <c r="H390" s="134"/>
      <c r="I390" s="134"/>
      <c r="J390" s="134"/>
      <c r="K390" s="134"/>
      <c r="L390" s="134"/>
      <c r="M390" s="134"/>
      <c r="N390" s="134"/>
      <c r="O390" s="134"/>
      <c r="P390" s="134"/>
      <c r="Q390" s="134"/>
      <c r="R390" s="134"/>
      <c r="S390" s="134"/>
      <c r="T390" s="134"/>
      <c r="U390" s="134"/>
      <c r="V390" s="134"/>
      <c r="W390" s="134"/>
      <c r="X390" s="134"/>
      <c r="Y390" s="134"/>
      <c r="Z390" s="134"/>
    </row>
    <row r="391">
      <c r="A391" s="131"/>
      <c r="B391" s="164"/>
      <c r="C391" s="165"/>
      <c r="D391" s="171"/>
      <c r="E391" s="164"/>
      <c r="F391" s="170"/>
      <c r="G391" s="134"/>
      <c r="H391" s="134"/>
      <c r="I391" s="134"/>
      <c r="J391" s="134"/>
      <c r="K391" s="134"/>
      <c r="L391" s="134"/>
      <c r="M391" s="134"/>
      <c r="N391" s="134"/>
      <c r="O391" s="134"/>
      <c r="P391" s="134"/>
      <c r="Q391" s="134"/>
      <c r="R391" s="134"/>
      <c r="S391" s="134"/>
      <c r="T391" s="134"/>
      <c r="U391" s="134"/>
      <c r="V391" s="134"/>
      <c r="W391" s="134"/>
      <c r="X391" s="134"/>
      <c r="Y391" s="134"/>
      <c r="Z391" s="134"/>
    </row>
    <row r="392">
      <c r="A392" s="131"/>
      <c r="B392" s="164"/>
      <c r="C392" s="165"/>
      <c r="D392" s="171"/>
      <c r="E392" s="164"/>
      <c r="F392" s="170"/>
      <c r="G392" s="134"/>
      <c r="H392" s="134"/>
      <c r="I392" s="134"/>
      <c r="J392" s="134"/>
      <c r="K392" s="134"/>
      <c r="L392" s="134"/>
      <c r="M392" s="134"/>
      <c r="N392" s="134"/>
      <c r="O392" s="134"/>
      <c r="P392" s="134"/>
      <c r="Q392" s="134"/>
      <c r="R392" s="134"/>
      <c r="S392" s="134"/>
      <c r="T392" s="134"/>
      <c r="U392" s="134"/>
      <c r="V392" s="134"/>
      <c r="W392" s="134"/>
      <c r="X392" s="134"/>
      <c r="Y392" s="134"/>
      <c r="Z392" s="134"/>
    </row>
    <row r="393">
      <c r="A393" s="131"/>
      <c r="B393" s="164"/>
      <c r="C393" s="165"/>
      <c r="D393" s="171"/>
      <c r="E393" s="164"/>
      <c r="F393" s="170"/>
      <c r="G393" s="134"/>
      <c r="H393" s="134"/>
      <c r="I393" s="134"/>
      <c r="J393" s="134"/>
      <c r="K393" s="134"/>
      <c r="L393" s="134"/>
      <c r="M393" s="134"/>
      <c r="N393" s="134"/>
      <c r="O393" s="134"/>
      <c r="P393" s="134"/>
      <c r="Q393" s="134"/>
      <c r="R393" s="134"/>
      <c r="S393" s="134"/>
      <c r="T393" s="134"/>
      <c r="U393" s="134"/>
      <c r="V393" s="134"/>
      <c r="W393" s="134"/>
      <c r="X393" s="134"/>
      <c r="Y393" s="134"/>
      <c r="Z393" s="134"/>
    </row>
    <row r="394">
      <c r="A394" s="131"/>
      <c r="B394" s="164"/>
      <c r="C394" s="165"/>
      <c r="D394" s="171"/>
      <c r="E394" s="164"/>
      <c r="F394" s="170"/>
      <c r="G394" s="134"/>
      <c r="H394" s="134"/>
      <c r="I394" s="134"/>
      <c r="J394" s="134"/>
      <c r="K394" s="134"/>
      <c r="L394" s="134"/>
      <c r="M394" s="134"/>
      <c r="N394" s="134"/>
      <c r="O394" s="134"/>
      <c r="P394" s="134"/>
      <c r="Q394" s="134"/>
      <c r="R394" s="134"/>
      <c r="S394" s="134"/>
      <c r="T394" s="134"/>
      <c r="U394" s="134"/>
      <c r="V394" s="134"/>
      <c r="W394" s="134"/>
      <c r="X394" s="134"/>
      <c r="Y394" s="134"/>
      <c r="Z394" s="134"/>
    </row>
    <row r="395">
      <c r="A395" s="131"/>
      <c r="B395" s="164"/>
      <c r="C395" s="165"/>
      <c r="D395" s="171"/>
      <c r="E395" s="164"/>
      <c r="F395" s="170"/>
      <c r="G395" s="134"/>
      <c r="H395" s="134"/>
      <c r="I395" s="134"/>
      <c r="J395" s="134"/>
      <c r="K395" s="134"/>
      <c r="L395" s="134"/>
      <c r="M395" s="134"/>
      <c r="N395" s="134"/>
      <c r="O395" s="134"/>
      <c r="P395" s="134"/>
      <c r="Q395" s="134"/>
      <c r="R395" s="134"/>
      <c r="S395" s="134"/>
      <c r="T395" s="134"/>
      <c r="U395" s="134"/>
      <c r="V395" s="134"/>
      <c r="W395" s="134"/>
      <c r="X395" s="134"/>
      <c r="Y395" s="134"/>
      <c r="Z395" s="134"/>
    </row>
    <row r="396">
      <c r="A396" s="131"/>
      <c r="B396" s="164"/>
      <c r="C396" s="165"/>
      <c r="D396" s="171"/>
      <c r="E396" s="164"/>
      <c r="F396" s="170"/>
      <c r="G396" s="134"/>
      <c r="H396" s="134"/>
      <c r="I396" s="134"/>
      <c r="J396" s="134"/>
      <c r="K396" s="134"/>
      <c r="L396" s="134"/>
      <c r="M396" s="134"/>
      <c r="N396" s="134"/>
      <c r="O396" s="134"/>
      <c r="P396" s="134"/>
      <c r="Q396" s="134"/>
      <c r="R396" s="134"/>
      <c r="S396" s="134"/>
      <c r="T396" s="134"/>
      <c r="U396" s="134"/>
      <c r="V396" s="134"/>
      <c r="W396" s="134"/>
      <c r="X396" s="134"/>
      <c r="Y396" s="134"/>
      <c r="Z396" s="134"/>
    </row>
    <row r="397">
      <c r="A397" s="131"/>
      <c r="B397" s="164"/>
      <c r="C397" s="165"/>
      <c r="D397" s="171"/>
      <c r="E397" s="164"/>
      <c r="F397" s="170"/>
      <c r="G397" s="134"/>
      <c r="H397" s="134"/>
      <c r="I397" s="134"/>
      <c r="J397" s="134"/>
      <c r="K397" s="134"/>
      <c r="L397" s="134"/>
      <c r="M397" s="134"/>
      <c r="N397" s="134"/>
      <c r="O397" s="134"/>
      <c r="P397" s="134"/>
      <c r="Q397" s="134"/>
      <c r="R397" s="134"/>
      <c r="S397" s="134"/>
      <c r="T397" s="134"/>
      <c r="U397" s="134"/>
      <c r="V397" s="134"/>
      <c r="W397" s="134"/>
      <c r="X397" s="134"/>
      <c r="Y397" s="134"/>
      <c r="Z397" s="134"/>
    </row>
    <row r="398">
      <c r="A398" s="131"/>
      <c r="B398" s="164"/>
      <c r="C398" s="165"/>
      <c r="D398" s="171"/>
      <c r="E398" s="164"/>
      <c r="F398" s="170"/>
      <c r="G398" s="134"/>
      <c r="H398" s="134"/>
      <c r="I398" s="134"/>
      <c r="J398" s="134"/>
      <c r="K398" s="134"/>
      <c r="L398" s="134"/>
      <c r="M398" s="134"/>
      <c r="N398" s="134"/>
      <c r="O398" s="134"/>
      <c r="P398" s="134"/>
      <c r="Q398" s="134"/>
      <c r="R398" s="134"/>
      <c r="S398" s="134"/>
      <c r="T398" s="134"/>
      <c r="U398" s="134"/>
      <c r="V398" s="134"/>
      <c r="W398" s="134"/>
      <c r="X398" s="134"/>
      <c r="Y398" s="134"/>
      <c r="Z398" s="134"/>
    </row>
    <row r="399">
      <c r="A399" s="131"/>
      <c r="B399" s="164"/>
      <c r="C399" s="165"/>
      <c r="D399" s="171"/>
      <c r="E399" s="164"/>
      <c r="F399" s="170"/>
      <c r="G399" s="134"/>
      <c r="H399" s="134"/>
      <c r="I399" s="134"/>
      <c r="J399" s="134"/>
      <c r="K399" s="134"/>
      <c r="L399" s="134"/>
      <c r="M399" s="134"/>
      <c r="N399" s="134"/>
      <c r="O399" s="134"/>
      <c r="P399" s="134"/>
      <c r="Q399" s="134"/>
      <c r="R399" s="134"/>
      <c r="S399" s="134"/>
      <c r="T399" s="134"/>
      <c r="U399" s="134"/>
      <c r="V399" s="134"/>
      <c r="W399" s="134"/>
      <c r="X399" s="134"/>
      <c r="Y399" s="134"/>
      <c r="Z399" s="134"/>
    </row>
    <row r="400">
      <c r="A400" s="131"/>
      <c r="B400" s="164"/>
      <c r="C400" s="165"/>
      <c r="D400" s="171"/>
      <c r="E400" s="164"/>
      <c r="F400" s="170"/>
      <c r="G400" s="134"/>
      <c r="H400" s="134"/>
      <c r="I400" s="134"/>
      <c r="J400" s="134"/>
      <c r="K400" s="134"/>
      <c r="L400" s="134"/>
      <c r="M400" s="134"/>
      <c r="N400" s="134"/>
      <c r="O400" s="134"/>
      <c r="P400" s="134"/>
      <c r="Q400" s="134"/>
      <c r="R400" s="134"/>
      <c r="S400" s="134"/>
      <c r="T400" s="134"/>
      <c r="U400" s="134"/>
      <c r="V400" s="134"/>
      <c r="W400" s="134"/>
      <c r="X400" s="134"/>
      <c r="Y400" s="134"/>
      <c r="Z400" s="134"/>
    </row>
    <row r="401">
      <c r="A401" s="131"/>
      <c r="B401" s="164"/>
      <c r="C401" s="165"/>
      <c r="D401" s="171"/>
      <c r="E401" s="164"/>
      <c r="F401" s="170"/>
      <c r="G401" s="134"/>
      <c r="H401" s="134"/>
      <c r="I401" s="134"/>
      <c r="J401" s="134"/>
      <c r="K401" s="134"/>
      <c r="L401" s="134"/>
      <c r="M401" s="134"/>
      <c r="N401" s="134"/>
      <c r="O401" s="134"/>
      <c r="P401" s="134"/>
      <c r="Q401" s="134"/>
      <c r="R401" s="134"/>
      <c r="S401" s="134"/>
      <c r="T401" s="134"/>
      <c r="U401" s="134"/>
      <c r="V401" s="134"/>
      <c r="W401" s="134"/>
      <c r="X401" s="134"/>
      <c r="Y401" s="134"/>
      <c r="Z401" s="134"/>
    </row>
    <row r="402">
      <c r="A402" s="131"/>
      <c r="B402" s="164"/>
      <c r="C402" s="165"/>
      <c r="D402" s="171"/>
      <c r="E402" s="164"/>
      <c r="F402" s="170"/>
      <c r="G402" s="134"/>
      <c r="H402" s="134"/>
      <c r="I402" s="134"/>
      <c r="J402" s="134"/>
      <c r="K402" s="134"/>
      <c r="L402" s="134"/>
      <c r="M402" s="134"/>
      <c r="N402" s="134"/>
      <c r="O402" s="134"/>
      <c r="P402" s="134"/>
      <c r="Q402" s="134"/>
      <c r="R402" s="134"/>
      <c r="S402" s="134"/>
      <c r="T402" s="134"/>
      <c r="U402" s="134"/>
      <c r="V402" s="134"/>
      <c r="W402" s="134"/>
      <c r="X402" s="134"/>
      <c r="Y402" s="134"/>
      <c r="Z402" s="134"/>
    </row>
    <row r="403">
      <c r="A403" s="131"/>
      <c r="B403" s="164"/>
      <c r="C403" s="165"/>
      <c r="D403" s="171"/>
      <c r="E403" s="164"/>
      <c r="F403" s="170"/>
      <c r="G403" s="134"/>
      <c r="H403" s="134"/>
      <c r="I403" s="134"/>
      <c r="J403" s="134"/>
      <c r="K403" s="134"/>
      <c r="L403" s="134"/>
      <c r="M403" s="134"/>
      <c r="N403" s="134"/>
      <c r="O403" s="134"/>
      <c r="P403" s="134"/>
      <c r="Q403" s="134"/>
      <c r="R403" s="134"/>
      <c r="S403" s="134"/>
      <c r="T403" s="134"/>
      <c r="U403" s="134"/>
      <c r="V403" s="134"/>
      <c r="W403" s="134"/>
      <c r="X403" s="134"/>
      <c r="Y403" s="134"/>
      <c r="Z403" s="134"/>
    </row>
    <row r="404">
      <c r="A404" s="131"/>
      <c r="B404" s="164"/>
      <c r="C404" s="165"/>
      <c r="D404" s="171"/>
      <c r="E404" s="164"/>
      <c r="F404" s="170"/>
      <c r="G404" s="134"/>
      <c r="H404" s="134"/>
      <c r="I404" s="134"/>
      <c r="J404" s="134"/>
      <c r="K404" s="134"/>
      <c r="L404" s="134"/>
      <c r="M404" s="134"/>
      <c r="N404" s="134"/>
      <c r="O404" s="134"/>
      <c r="P404" s="134"/>
      <c r="Q404" s="134"/>
      <c r="R404" s="134"/>
      <c r="S404" s="134"/>
      <c r="T404" s="134"/>
      <c r="U404" s="134"/>
      <c r="V404" s="134"/>
      <c r="W404" s="134"/>
      <c r="X404" s="134"/>
      <c r="Y404" s="134"/>
      <c r="Z404" s="134"/>
    </row>
    <row r="405">
      <c r="A405" s="131"/>
      <c r="B405" s="164"/>
      <c r="C405" s="165"/>
      <c r="D405" s="171"/>
      <c r="E405" s="164"/>
      <c r="F405" s="170"/>
      <c r="G405" s="134"/>
      <c r="H405" s="134"/>
      <c r="I405" s="134"/>
      <c r="J405" s="134"/>
      <c r="K405" s="134"/>
      <c r="L405" s="134"/>
      <c r="M405" s="134"/>
      <c r="N405" s="134"/>
      <c r="O405" s="134"/>
      <c r="P405" s="134"/>
      <c r="Q405" s="134"/>
      <c r="R405" s="134"/>
      <c r="S405" s="134"/>
      <c r="T405" s="134"/>
      <c r="U405" s="134"/>
      <c r="V405" s="134"/>
      <c r="W405" s="134"/>
      <c r="X405" s="134"/>
      <c r="Y405" s="134"/>
      <c r="Z405" s="134"/>
    </row>
    <row r="406">
      <c r="A406" s="131"/>
      <c r="B406" s="164"/>
      <c r="C406" s="165"/>
      <c r="D406" s="171"/>
      <c r="E406" s="164"/>
      <c r="F406" s="170"/>
      <c r="G406" s="134"/>
      <c r="H406" s="134"/>
      <c r="I406" s="134"/>
      <c r="J406" s="134"/>
      <c r="K406" s="134"/>
      <c r="L406" s="134"/>
      <c r="M406" s="134"/>
      <c r="N406" s="134"/>
      <c r="O406" s="134"/>
      <c r="P406" s="134"/>
      <c r="Q406" s="134"/>
      <c r="R406" s="134"/>
      <c r="S406" s="134"/>
      <c r="T406" s="134"/>
      <c r="U406" s="134"/>
      <c r="V406" s="134"/>
      <c r="W406" s="134"/>
      <c r="X406" s="134"/>
      <c r="Y406" s="134"/>
      <c r="Z406" s="134"/>
    </row>
    <row r="407">
      <c r="A407" s="131"/>
      <c r="B407" s="164"/>
      <c r="C407" s="165"/>
      <c r="D407" s="171"/>
      <c r="E407" s="164"/>
      <c r="F407" s="170"/>
      <c r="G407" s="134"/>
      <c r="H407" s="134"/>
      <c r="I407" s="134"/>
      <c r="J407" s="134"/>
      <c r="K407" s="134"/>
      <c r="L407" s="134"/>
      <c r="M407" s="134"/>
      <c r="N407" s="134"/>
      <c r="O407" s="134"/>
      <c r="P407" s="134"/>
      <c r="Q407" s="134"/>
      <c r="R407" s="134"/>
      <c r="S407" s="134"/>
      <c r="T407" s="134"/>
      <c r="U407" s="134"/>
      <c r="V407" s="134"/>
      <c r="W407" s="134"/>
      <c r="X407" s="134"/>
      <c r="Y407" s="134"/>
      <c r="Z407" s="134"/>
    </row>
    <row r="408">
      <c r="A408" s="131"/>
      <c r="B408" s="164"/>
      <c r="C408" s="165"/>
      <c r="D408" s="171"/>
      <c r="E408" s="164"/>
      <c r="F408" s="170"/>
      <c r="G408" s="134"/>
      <c r="H408" s="134"/>
      <c r="I408" s="134"/>
      <c r="J408" s="134"/>
      <c r="K408" s="134"/>
      <c r="L408" s="134"/>
      <c r="M408" s="134"/>
      <c r="N408" s="134"/>
      <c r="O408" s="134"/>
      <c r="P408" s="134"/>
      <c r="Q408" s="134"/>
      <c r="R408" s="134"/>
      <c r="S408" s="134"/>
      <c r="T408" s="134"/>
      <c r="U408" s="134"/>
      <c r="V408" s="134"/>
      <c r="W408" s="134"/>
      <c r="X408" s="134"/>
      <c r="Y408" s="134"/>
      <c r="Z408" s="134"/>
    </row>
    <row r="409">
      <c r="A409" s="131"/>
      <c r="B409" s="164"/>
      <c r="C409" s="165"/>
      <c r="D409" s="171"/>
      <c r="E409" s="164"/>
      <c r="F409" s="170"/>
      <c r="G409" s="134"/>
      <c r="H409" s="134"/>
      <c r="I409" s="134"/>
      <c r="J409" s="134"/>
      <c r="K409" s="134"/>
      <c r="L409" s="134"/>
      <c r="M409" s="134"/>
      <c r="N409" s="134"/>
      <c r="O409" s="134"/>
      <c r="P409" s="134"/>
      <c r="Q409" s="134"/>
      <c r="R409" s="134"/>
      <c r="S409" s="134"/>
      <c r="T409" s="134"/>
      <c r="U409" s="134"/>
      <c r="V409" s="134"/>
      <c r="W409" s="134"/>
      <c r="X409" s="134"/>
      <c r="Y409" s="134"/>
      <c r="Z409" s="134"/>
    </row>
    <row r="410">
      <c r="A410" s="131"/>
      <c r="B410" s="164"/>
      <c r="C410" s="165"/>
      <c r="D410" s="171"/>
      <c r="E410" s="164"/>
      <c r="F410" s="170"/>
      <c r="G410" s="134"/>
      <c r="H410" s="134"/>
      <c r="I410" s="134"/>
      <c r="J410" s="134"/>
      <c r="K410" s="134"/>
      <c r="L410" s="134"/>
      <c r="M410" s="134"/>
      <c r="N410" s="134"/>
      <c r="O410" s="134"/>
      <c r="P410" s="134"/>
      <c r="Q410" s="134"/>
      <c r="R410" s="134"/>
      <c r="S410" s="134"/>
      <c r="T410" s="134"/>
      <c r="U410" s="134"/>
      <c r="V410" s="134"/>
      <c r="W410" s="134"/>
      <c r="X410" s="134"/>
      <c r="Y410" s="134"/>
      <c r="Z410" s="134"/>
    </row>
    <row r="411">
      <c r="A411" s="131"/>
      <c r="B411" s="164"/>
      <c r="C411" s="165"/>
      <c r="D411" s="171"/>
      <c r="E411" s="164"/>
      <c r="F411" s="170"/>
      <c r="G411" s="134"/>
      <c r="H411" s="134"/>
      <c r="I411" s="134"/>
      <c r="J411" s="134"/>
      <c r="K411" s="134"/>
      <c r="L411" s="134"/>
      <c r="M411" s="134"/>
      <c r="N411" s="134"/>
      <c r="O411" s="134"/>
      <c r="P411" s="134"/>
      <c r="Q411" s="134"/>
      <c r="R411" s="134"/>
      <c r="S411" s="134"/>
      <c r="T411" s="134"/>
      <c r="U411" s="134"/>
      <c r="V411" s="134"/>
      <c r="W411" s="134"/>
      <c r="X411" s="134"/>
      <c r="Y411" s="134"/>
      <c r="Z411" s="134"/>
    </row>
    <row r="412">
      <c r="A412" s="131"/>
      <c r="B412" s="164"/>
      <c r="C412" s="165"/>
      <c r="D412" s="171"/>
      <c r="E412" s="164"/>
      <c r="F412" s="170"/>
      <c r="G412" s="134"/>
      <c r="H412" s="134"/>
      <c r="I412" s="134"/>
      <c r="J412" s="134"/>
      <c r="K412" s="134"/>
      <c r="L412" s="134"/>
      <c r="M412" s="134"/>
      <c r="N412" s="134"/>
      <c r="O412" s="134"/>
      <c r="P412" s="134"/>
      <c r="Q412" s="134"/>
      <c r="R412" s="134"/>
      <c r="S412" s="134"/>
      <c r="T412" s="134"/>
      <c r="U412" s="134"/>
      <c r="V412" s="134"/>
      <c r="W412" s="134"/>
      <c r="X412" s="134"/>
      <c r="Y412" s="134"/>
      <c r="Z412" s="134"/>
    </row>
    <row r="413">
      <c r="A413" s="131"/>
      <c r="B413" s="164"/>
      <c r="C413" s="165"/>
      <c r="D413" s="171"/>
      <c r="E413" s="164"/>
      <c r="F413" s="170"/>
      <c r="G413" s="134"/>
      <c r="H413" s="134"/>
      <c r="I413" s="134"/>
      <c r="J413" s="134"/>
      <c r="K413" s="134"/>
      <c r="L413" s="134"/>
      <c r="M413" s="134"/>
      <c r="N413" s="134"/>
      <c r="O413" s="134"/>
      <c r="P413" s="134"/>
      <c r="Q413" s="134"/>
      <c r="R413" s="134"/>
      <c r="S413" s="134"/>
      <c r="T413" s="134"/>
      <c r="U413" s="134"/>
      <c r="V413" s="134"/>
      <c r="W413" s="134"/>
      <c r="X413" s="134"/>
      <c r="Y413" s="134"/>
      <c r="Z413" s="134"/>
    </row>
    <row r="414">
      <c r="A414" s="131"/>
      <c r="B414" s="164"/>
      <c r="C414" s="165"/>
      <c r="D414" s="171"/>
      <c r="E414" s="164"/>
      <c r="F414" s="170"/>
      <c r="G414" s="134"/>
      <c r="H414" s="134"/>
      <c r="I414" s="134"/>
      <c r="J414" s="134"/>
      <c r="K414" s="134"/>
      <c r="L414" s="134"/>
      <c r="M414" s="134"/>
      <c r="N414" s="134"/>
      <c r="O414" s="134"/>
      <c r="P414" s="134"/>
      <c r="Q414" s="134"/>
      <c r="R414" s="134"/>
      <c r="S414" s="134"/>
      <c r="T414" s="134"/>
      <c r="U414" s="134"/>
      <c r="V414" s="134"/>
      <c r="W414" s="134"/>
      <c r="X414" s="134"/>
      <c r="Y414" s="134"/>
      <c r="Z414" s="134"/>
    </row>
    <row r="415">
      <c r="A415" s="131"/>
      <c r="B415" s="164"/>
      <c r="C415" s="165"/>
      <c r="D415" s="171"/>
      <c r="E415" s="164"/>
      <c r="F415" s="170"/>
      <c r="G415" s="134"/>
      <c r="H415" s="134"/>
      <c r="I415" s="134"/>
      <c r="J415" s="134"/>
      <c r="K415" s="134"/>
      <c r="L415" s="134"/>
      <c r="M415" s="134"/>
      <c r="N415" s="134"/>
      <c r="O415" s="134"/>
      <c r="P415" s="134"/>
      <c r="Q415" s="134"/>
      <c r="R415" s="134"/>
      <c r="S415" s="134"/>
      <c r="T415" s="134"/>
      <c r="U415" s="134"/>
      <c r="V415" s="134"/>
      <c r="W415" s="134"/>
      <c r="X415" s="134"/>
      <c r="Y415" s="134"/>
      <c r="Z415" s="134"/>
    </row>
    <row r="416">
      <c r="A416" s="131"/>
      <c r="B416" s="164"/>
      <c r="C416" s="165"/>
      <c r="D416" s="171"/>
      <c r="E416" s="164"/>
      <c r="F416" s="170"/>
      <c r="G416" s="134"/>
      <c r="H416" s="134"/>
      <c r="I416" s="134"/>
      <c r="J416" s="134"/>
      <c r="K416" s="134"/>
      <c r="L416" s="134"/>
      <c r="M416" s="134"/>
      <c r="N416" s="134"/>
      <c r="O416" s="134"/>
      <c r="P416" s="134"/>
      <c r="Q416" s="134"/>
      <c r="R416" s="134"/>
      <c r="S416" s="134"/>
      <c r="T416" s="134"/>
      <c r="U416" s="134"/>
      <c r="V416" s="134"/>
      <c r="W416" s="134"/>
      <c r="X416" s="134"/>
      <c r="Y416" s="134"/>
      <c r="Z416" s="134"/>
    </row>
    <row r="417">
      <c r="A417" s="131"/>
      <c r="B417" s="164"/>
      <c r="C417" s="165"/>
      <c r="D417" s="171"/>
      <c r="E417" s="164"/>
      <c r="F417" s="170"/>
      <c r="G417" s="134"/>
      <c r="H417" s="134"/>
      <c r="I417" s="134"/>
      <c r="J417" s="134"/>
      <c r="K417" s="134"/>
      <c r="L417" s="134"/>
      <c r="M417" s="134"/>
      <c r="N417" s="134"/>
      <c r="O417" s="134"/>
      <c r="P417" s="134"/>
      <c r="Q417" s="134"/>
      <c r="R417" s="134"/>
      <c r="S417" s="134"/>
      <c r="T417" s="134"/>
      <c r="U417" s="134"/>
      <c r="V417" s="134"/>
      <c r="W417" s="134"/>
      <c r="X417" s="134"/>
      <c r="Y417" s="134"/>
      <c r="Z417" s="134"/>
    </row>
    <row r="418">
      <c r="A418" s="131"/>
      <c r="B418" s="164"/>
      <c r="C418" s="165"/>
      <c r="D418" s="171"/>
      <c r="E418" s="164"/>
      <c r="F418" s="170"/>
      <c r="G418" s="134"/>
      <c r="H418" s="134"/>
      <c r="I418" s="134"/>
      <c r="J418" s="134"/>
      <c r="K418" s="134"/>
      <c r="L418" s="134"/>
      <c r="M418" s="134"/>
      <c r="N418" s="134"/>
      <c r="O418" s="134"/>
      <c r="P418" s="134"/>
      <c r="Q418" s="134"/>
      <c r="R418" s="134"/>
      <c r="S418" s="134"/>
      <c r="T418" s="134"/>
      <c r="U418" s="134"/>
      <c r="V418" s="134"/>
      <c r="W418" s="134"/>
      <c r="X418" s="134"/>
      <c r="Y418" s="134"/>
      <c r="Z418" s="134"/>
    </row>
    <row r="419">
      <c r="A419" s="131"/>
      <c r="B419" s="164"/>
      <c r="C419" s="165"/>
      <c r="D419" s="171"/>
      <c r="E419" s="164"/>
      <c r="F419" s="170"/>
      <c r="G419" s="134"/>
      <c r="H419" s="134"/>
      <c r="I419" s="134"/>
      <c r="J419" s="134"/>
      <c r="K419" s="134"/>
      <c r="L419" s="134"/>
      <c r="M419" s="134"/>
      <c r="N419" s="134"/>
      <c r="O419" s="134"/>
      <c r="P419" s="134"/>
      <c r="Q419" s="134"/>
      <c r="R419" s="134"/>
      <c r="S419" s="134"/>
      <c r="T419" s="134"/>
      <c r="U419" s="134"/>
      <c r="V419" s="134"/>
      <c r="W419" s="134"/>
      <c r="X419" s="134"/>
      <c r="Y419" s="134"/>
      <c r="Z419" s="134"/>
    </row>
    <row r="420">
      <c r="A420" s="131"/>
      <c r="B420" s="164"/>
      <c r="C420" s="165"/>
      <c r="D420" s="171"/>
      <c r="E420" s="164"/>
      <c r="F420" s="170"/>
      <c r="G420" s="134"/>
      <c r="H420" s="134"/>
      <c r="I420" s="134"/>
      <c r="J420" s="134"/>
      <c r="K420" s="134"/>
      <c r="L420" s="134"/>
      <c r="M420" s="134"/>
      <c r="N420" s="134"/>
      <c r="O420" s="134"/>
      <c r="P420" s="134"/>
      <c r="Q420" s="134"/>
      <c r="R420" s="134"/>
      <c r="S420" s="134"/>
      <c r="T420" s="134"/>
      <c r="U420" s="134"/>
      <c r="V420" s="134"/>
      <c r="W420" s="134"/>
      <c r="X420" s="134"/>
      <c r="Y420" s="134"/>
      <c r="Z420" s="134"/>
    </row>
    <row r="421">
      <c r="A421" s="131"/>
      <c r="B421" s="164"/>
      <c r="C421" s="165"/>
      <c r="D421" s="171"/>
      <c r="E421" s="164"/>
      <c r="F421" s="170"/>
      <c r="G421" s="134"/>
      <c r="H421" s="134"/>
      <c r="I421" s="134"/>
      <c r="J421" s="134"/>
      <c r="K421" s="134"/>
      <c r="L421" s="134"/>
      <c r="M421" s="134"/>
      <c r="N421" s="134"/>
      <c r="O421" s="134"/>
      <c r="P421" s="134"/>
      <c r="Q421" s="134"/>
      <c r="R421" s="134"/>
      <c r="S421" s="134"/>
      <c r="T421" s="134"/>
      <c r="U421" s="134"/>
      <c r="V421" s="134"/>
      <c r="W421" s="134"/>
      <c r="X421" s="134"/>
      <c r="Y421" s="134"/>
      <c r="Z421" s="134"/>
    </row>
    <row r="422">
      <c r="A422" s="131"/>
      <c r="B422" s="164"/>
      <c r="C422" s="165"/>
      <c r="D422" s="171"/>
      <c r="E422" s="164"/>
      <c r="F422" s="170"/>
      <c r="G422" s="134"/>
      <c r="H422" s="134"/>
      <c r="I422" s="134"/>
      <c r="J422" s="134"/>
      <c r="K422" s="134"/>
      <c r="L422" s="134"/>
      <c r="M422" s="134"/>
      <c r="N422" s="134"/>
      <c r="O422" s="134"/>
      <c r="P422" s="134"/>
      <c r="Q422" s="134"/>
      <c r="R422" s="134"/>
      <c r="S422" s="134"/>
      <c r="T422" s="134"/>
      <c r="U422" s="134"/>
      <c r="V422" s="134"/>
      <c r="W422" s="134"/>
      <c r="X422" s="134"/>
      <c r="Y422" s="134"/>
      <c r="Z422" s="134"/>
    </row>
    <row r="423">
      <c r="A423" s="131"/>
      <c r="B423" s="164"/>
      <c r="C423" s="165"/>
      <c r="D423" s="171"/>
      <c r="E423" s="164"/>
      <c r="F423" s="170"/>
      <c r="G423" s="134"/>
      <c r="H423" s="134"/>
      <c r="I423" s="134"/>
      <c r="J423" s="134"/>
      <c r="K423" s="134"/>
      <c r="L423" s="134"/>
      <c r="M423" s="134"/>
      <c r="N423" s="134"/>
      <c r="O423" s="134"/>
      <c r="P423" s="134"/>
      <c r="Q423" s="134"/>
      <c r="R423" s="134"/>
      <c r="S423" s="134"/>
      <c r="T423" s="134"/>
      <c r="U423" s="134"/>
      <c r="V423" s="134"/>
      <c r="W423" s="134"/>
      <c r="X423" s="134"/>
      <c r="Y423" s="134"/>
      <c r="Z423" s="134"/>
    </row>
    <row r="424">
      <c r="A424" s="131"/>
      <c r="B424" s="164"/>
      <c r="C424" s="165"/>
      <c r="D424" s="171"/>
      <c r="E424" s="164"/>
      <c r="F424" s="170"/>
      <c r="G424" s="134"/>
      <c r="H424" s="134"/>
      <c r="I424" s="134"/>
      <c r="J424" s="134"/>
      <c r="K424" s="134"/>
      <c r="L424" s="134"/>
      <c r="M424" s="134"/>
      <c r="N424" s="134"/>
      <c r="O424" s="134"/>
      <c r="P424" s="134"/>
      <c r="Q424" s="134"/>
      <c r="R424" s="134"/>
      <c r="S424" s="134"/>
      <c r="T424" s="134"/>
      <c r="U424" s="134"/>
      <c r="V424" s="134"/>
      <c r="W424" s="134"/>
      <c r="X424" s="134"/>
      <c r="Y424" s="134"/>
      <c r="Z424" s="134"/>
    </row>
    <row r="425">
      <c r="A425" s="131"/>
      <c r="B425" s="164"/>
      <c r="C425" s="165"/>
      <c r="D425" s="171"/>
      <c r="E425" s="164"/>
      <c r="F425" s="170"/>
      <c r="G425" s="134"/>
      <c r="H425" s="134"/>
      <c r="I425" s="134"/>
      <c r="J425" s="134"/>
      <c r="K425" s="134"/>
      <c r="L425" s="134"/>
      <c r="M425" s="134"/>
      <c r="N425" s="134"/>
      <c r="O425" s="134"/>
      <c r="P425" s="134"/>
      <c r="Q425" s="134"/>
      <c r="R425" s="134"/>
      <c r="S425" s="134"/>
      <c r="T425" s="134"/>
      <c r="U425" s="134"/>
      <c r="V425" s="134"/>
      <c r="W425" s="134"/>
      <c r="X425" s="134"/>
      <c r="Y425" s="134"/>
      <c r="Z425" s="134"/>
    </row>
    <row r="426">
      <c r="A426" s="131"/>
      <c r="B426" s="164"/>
      <c r="C426" s="165"/>
      <c r="D426" s="171"/>
      <c r="E426" s="164"/>
      <c r="F426" s="170"/>
      <c r="G426" s="134"/>
      <c r="H426" s="134"/>
      <c r="I426" s="134"/>
      <c r="J426" s="134"/>
      <c r="K426" s="134"/>
      <c r="L426" s="134"/>
      <c r="M426" s="134"/>
      <c r="N426" s="134"/>
      <c r="O426" s="134"/>
      <c r="P426" s="134"/>
      <c r="Q426" s="134"/>
      <c r="R426" s="134"/>
      <c r="S426" s="134"/>
      <c r="T426" s="134"/>
      <c r="U426" s="134"/>
      <c r="V426" s="134"/>
      <c r="W426" s="134"/>
      <c r="X426" s="134"/>
      <c r="Y426" s="134"/>
      <c r="Z426" s="134"/>
    </row>
    <row r="427">
      <c r="A427" s="131"/>
      <c r="B427" s="164"/>
      <c r="C427" s="165"/>
      <c r="D427" s="171"/>
      <c r="E427" s="164"/>
      <c r="F427" s="170"/>
      <c r="G427" s="134"/>
      <c r="H427" s="134"/>
      <c r="I427" s="134"/>
      <c r="J427" s="134"/>
      <c r="K427" s="134"/>
      <c r="L427" s="134"/>
      <c r="M427" s="134"/>
      <c r="N427" s="134"/>
      <c r="O427" s="134"/>
      <c r="P427" s="134"/>
      <c r="Q427" s="134"/>
      <c r="R427" s="134"/>
      <c r="S427" s="134"/>
      <c r="T427" s="134"/>
      <c r="U427" s="134"/>
      <c r="V427" s="134"/>
      <c r="W427" s="134"/>
      <c r="X427" s="134"/>
      <c r="Y427" s="134"/>
      <c r="Z427" s="134"/>
    </row>
    <row r="428">
      <c r="A428" s="131"/>
      <c r="B428" s="164"/>
      <c r="C428" s="165"/>
      <c r="D428" s="171"/>
      <c r="E428" s="164"/>
      <c r="F428" s="170"/>
      <c r="G428" s="134"/>
      <c r="H428" s="134"/>
      <c r="I428" s="134"/>
      <c r="J428" s="134"/>
      <c r="K428" s="134"/>
      <c r="L428" s="134"/>
      <c r="M428" s="134"/>
      <c r="N428" s="134"/>
      <c r="O428" s="134"/>
      <c r="P428" s="134"/>
      <c r="Q428" s="134"/>
      <c r="R428" s="134"/>
      <c r="S428" s="134"/>
      <c r="T428" s="134"/>
      <c r="U428" s="134"/>
      <c r="V428" s="134"/>
      <c r="W428" s="134"/>
      <c r="X428" s="134"/>
      <c r="Y428" s="134"/>
      <c r="Z428" s="134"/>
    </row>
    <row r="429">
      <c r="A429" s="131"/>
      <c r="B429" s="164"/>
      <c r="C429" s="165"/>
      <c r="D429" s="171"/>
      <c r="E429" s="164"/>
      <c r="F429" s="170"/>
      <c r="G429" s="134"/>
      <c r="H429" s="134"/>
      <c r="I429" s="134"/>
      <c r="J429" s="134"/>
      <c r="K429" s="134"/>
      <c r="L429" s="134"/>
      <c r="M429" s="134"/>
      <c r="N429" s="134"/>
      <c r="O429" s="134"/>
      <c r="P429" s="134"/>
      <c r="Q429" s="134"/>
      <c r="R429" s="134"/>
      <c r="S429" s="134"/>
      <c r="T429" s="134"/>
      <c r="U429" s="134"/>
      <c r="V429" s="134"/>
      <c r="W429" s="134"/>
      <c r="X429" s="134"/>
      <c r="Y429" s="134"/>
      <c r="Z429" s="134"/>
    </row>
    <row r="430">
      <c r="A430" s="131"/>
      <c r="B430" s="164"/>
      <c r="C430" s="165"/>
      <c r="D430" s="171"/>
      <c r="E430" s="164"/>
      <c r="F430" s="170"/>
      <c r="G430" s="134"/>
      <c r="H430" s="134"/>
      <c r="I430" s="134"/>
      <c r="J430" s="134"/>
      <c r="K430" s="134"/>
      <c r="L430" s="134"/>
      <c r="M430" s="134"/>
      <c r="N430" s="134"/>
      <c r="O430" s="134"/>
      <c r="P430" s="134"/>
      <c r="Q430" s="134"/>
      <c r="R430" s="134"/>
      <c r="S430" s="134"/>
      <c r="T430" s="134"/>
      <c r="U430" s="134"/>
      <c r="V430" s="134"/>
      <c r="W430" s="134"/>
      <c r="X430" s="134"/>
      <c r="Y430" s="134"/>
      <c r="Z430" s="134"/>
    </row>
    <row r="431">
      <c r="A431" s="131"/>
      <c r="B431" s="164"/>
      <c r="C431" s="165"/>
      <c r="D431" s="171"/>
      <c r="E431" s="164"/>
      <c r="F431" s="170"/>
      <c r="G431" s="134"/>
      <c r="H431" s="134"/>
      <c r="I431" s="134"/>
      <c r="J431" s="134"/>
      <c r="K431" s="134"/>
      <c r="L431" s="134"/>
      <c r="M431" s="134"/>
      <c r="N431" s="134"/>
      <c r="O431" s="134"/>
      <c r="P431" s="134"/>
      <c r="Q431" s="134"/>
      <c r="R431" s="134"/>
      <c r="S431" s="134"/>
      <c r="T431" s="134"/>
      <c r="U431" s="134"/>
      <c r="V431" s="134"/>
      <c r="W431" s="134"/>
      <c r="X431" s="134"/>
      <c r="Y431" s="134"/>
      <c r="Z431" s="134"/>
    </row>
    <row r="432">
      <c r="A432" s="131"/>
      <c r="B432" s="164"/>
      <c r="C432" s="165"/>
      <c r="D432" s="171"/>
      <c r="E432" s="164"/>
      <c r="F432" s="170"/>
      <c r="G432" s="134"/>
      <c r="H432" s="134"/>
      <c r="I432" s="134"/>
      <c r="J432" s="134"/>
      <c r="K432" s="134"/>
      <c r="L432" s="134"/>
      <c r="M432" s="134"/>
      <c r="N432" s="134"/>
      <c r="O432" s="134"/>
      <c r="P432" s="134"/>
      <c r="Q432" s="134"/>
      <c r="R432" s="134"/>
      <c r="S432" s="134"/>
      <c r="T432" s="134"/>
      <c r="U432" s="134"/>
      <c r="V432" s="134"/>
      <c r="W432" s="134"/>
      <c r="X432" s="134"/>
      <c r="Y432" s="134"/>
      <c r="Z432" s="134"/>
    </row>
    <row r="433">
      <c r="A433" s="131"/>
      <c r="B433" s="164"/>
      <c r="C433" s="165"/>
      <c r="D433" s="171"/>
      <c r="E433" s="164"/>
      <c r="F433" s="170"/>
      <c r="G433" s="134"/>
      <c r="H433" s="134"/>
      <c r="I433" s="134"/>
      <c r="J433" s="134"/>
      <c r="K433" s="134"/>
      <c r="L433" s="134"/>
      <c r="M433" s="134"/>
      <c r="N433" s="134"/>
      <c r="O433" s="134"/>
      <c r="P433" s="134"/>
      <c r="Q433" s="134"/>
      <c r="R433" s="134"/>
      <c r="S433" s="134"/>
      <c r="T433" s="134"/>
      <c r="U433" s="134"/>
      <c r="V433" s="134"/>
      <c r="W433" s="134"/>
      <c r="X433" s="134"/>
      <c r="Y433" s="134"/>
      <c r="Z433" s="134"/>
    </row>
    <row r="434">
      <c r="A434" s="131"/>
      <c r="B434" s="164"/>
      <c r="C434" s="165"/>
      <c r="D434" s="171"/>
      <c r="E434" s="164"/>
      <c r="F434" s="170"/>
      <c r="G434" s="134"/>
      <c r="H434" s="134"/>
      <c r="I434" s="134"/>
      <c r="J434" s="134"/>
      <c r="K434" s="134"/>
      <c r="L434" s="134"/>
      <c r="M434" s="134"/>
      <c r="N434" s="134"/>
      <c r="O434" s="134"/>
      <c r="P434" s="134"/>
      <c r="Q434" s="134"/>
      <c r="R434" s="134"/>
      <c r="S434" s="134"/>
      <c r="T434" s="134"/>
      <c r="U434" s="134"/>
      <c r="V434" s="134"/>
      <c r="W434" s="134"/>
      <c r="X434" s="134"/>
      <c r="Y434" s="134"/>
      <c r="Z434" s="134"/>
    </row>
    <row r="435">
      <c r="A435" s="131"/>
      <c r="B435" s="164"/>
      <c r="C435" s="165"/>
      <c r="D435" s="171"/>
      <c r="E435" s="164"/>
      <c r="F435" s="170"/>
      <c r="G435" s="134"/>
      <c r="H435" s="134"/>
      <c r="I435" s="134"/>
      <c r="J435" s="134"/>
      <c r="K435" s="134"/>
      <c r="L435" s="134"/>
      <c r="M435" s="134"/>
      <c r="N435" s="134"/>
      <c r="O435" s="134"/>
      <c r="P435" s="134"/>
      <c r="Q435" s="134"/>
      <c r="R435" s="134"/>
      <c r="S435" s="134"/>
      <c r="T435" s="134"/>
      <c r="U435" s="134"/>
      <c r="V435" s="134"/>
      <c r="W435" s="134"/>
      <c r="X435" s="134"/>
      <c r="Y435" s="134"/>
      <c r="Z435" s="134"/>
    </row>
    <row r="436">
      <c r="A436" s="131"/>
      <c r="B436" s="164"/>
      <c r="C436" s="165"/>
      <c r="D436" s="171"/>
      <c r="E436" s="164"/>
      <c r="F436" s="170"/>
      <c r="G436" s="134"/>
      <c r="H436" s="134"/>
      <c r="I436" s="134"/>
      <c r="J436" s="134"/>
      <c r="K436" s="134"/>
      <c r="L436" s="134"/>
      <c r="M436" s="134"/>
      <c r="N436" s="134"/>
      <c r="O436" s="134"/>
      <c r="P436" s="134"/>
      <c r="Q436" s="134"/>
      <c r="R436" s="134"/>
      <c r="S436" s="134"/>
      <c r="T436" s="134"/>
      <c r="U436" s="134"/>
      <c r="V436" s="134"/>
      <c r="W436" s="134"/>
      <c r="X436" s="134"/>
      <c r="Y436" s="134"/>
      <c r="Z436" s="134"/>
    </row>
    <row r="437">
      <c r="A437" s="131"/>
      <c r="B437" s="164"/>
      <c r="C437" s="165"/>
      <c r="D437" s="171"/>
      <c r="E437" s="164"/>
      <c r="F437" s="170"/>
      <c r="G437" s="134"/>
      <c r="H437" s="134"/>
      <c r="I437" s="134"/>
      <c r="J437" s="134"/>
      <c r="K437" s="134"/>
      <c r="L437" s="134"/>
      <c r="M437" s="134"/>
      <c r="N437" s="134"/>
      <c r="O437" s="134"/>
      <c r="P437" s="134"/>
      <c r="Q437" s="134"/>
      <c r="R437" s="134"/>
      <c r="S437" s="134"/>
      <c r="T437" s="134"/>
      <c r="U437" s="134"/>
      <c r="V437" s="134"/>
      <c r="W437" s="134"/>
      <c r="X437" s="134"/>
      <c r="Y437" s="134"/>
      <c r="Z437" s="134"/>
    </row>
    <row r="438">
      <c r="A438" s="131"/>
      <c r="B438" s="164"/>
      <c r="C438" s="165"/>
      <c r="D438" s="171"/>
      <c r="E438" s="164"/>
      <c r="F438" s="170"/>
      <c r="G438" s="134"/>
      <c r="H438" s="134"/>
      <c r="I438" s="134"/>
      <c r="J438" s="134"/>
      <c r="K438" s="134"/>
      <c r="L438" s="134"/>
      <c r="M438" s="134"/>
      <c r="N438" s="134"/>
      <c r="O438" s="134"/>
      <c r="P438" s="134"/>
      <c r="Q438" s="134"/>
      <c r="R438" s="134"/>
      <c r="S438" s="134"/>
      <c r="T438" s="134"/>
      <c r="U438" s="134"/>
      <c r="V438" s="134"/>
      <c r="W438" s="134"/>
      <c r="X438" s="134"/>
      <c r="Y438" s="134"/>
      <c r="Z438" s="134"/>
    </row>
    <row r="439">
      <c r="A439" s="131"/>
      <c r="B439" s="164"/>
      <c r="C439" s="165"/>
      <c r="D439" s="171"/>
      <c r="E439" s="164"/>
      <c r="F439" s="170"/>
      <c r="G439" s="134"/>
      <c r="H439" s="134"/>
      <c r="I439" s="134"/>
      <c r="J439" s="134"/>
      <c r="K439" s="134"/>
      <c r="L439" s="134"/>
      <c r="M439" s="134"/>
      <c r="N439" s="134"/>
      <c r="O439" s="134"/>
      <c r="P439" s="134"/>
      <c r="Q439" s="134"/>
      <c r="R439" s="134"/>
      <c r="S439" s="134"/>
      <c r="T439" s="134"/>
      <c r="U439" s="134"/>
      <c r="V439" s="134"/>
      <c r="W439" s="134"/>
      <c r="X439" s="134"/>
      <c r="Y439" s="134"/>
      <c r="Z439" s="134"/>
    </row>
    <row r="440">
      <c r="A440" s="131"/>
      <c r="B440" s="164"/>
      <c r="C440" s="165"/>
      <c r="D440" s="171"/>
      <c r="E440" s="164"/>
      <c r="F440" s="170"/>
      <c r="G440" s="134"/>
      <c r="H440" s="134"/>
      <c r="I440" s="134"/>
      <c r="J440" s="134"/>
      <c r="K440" s="134"/>
      <c r="L440" s="134"/>
      <c r="M440" s="134"/>
      <c r="N440" s="134"/>
      <c r="O440" s="134"/>
      <c r="P440" s="134"/>
      <c r="Q440" s="134"/>
      <c r="R440" s="134"/>
      <c r="S440" s="134"/>
      <c r="T440" s="134"/>
      <c r="U440" s="134"/>
      <c r="V440" s="134"/>
      <c r="W440" s="134"/>
      <c r="X440" s="134"/>
      <c r="Y440" s="134"/>
      <c r="Z440" s="134"/>
    </row>
    <row r="441">
      <c r="A441" s="131"/>
      <c r="B441" s="164"/>
      <c r="C441" s="165"/>
      <c r="D441" s="171"/>
      <c r="E441" s="164"/>
      <c r="F441" s="170"/>
      <c r="G441" s="134"/>
      <c r="H441" s="134"/>
      <c r="I441" s="134"/>
      <c r="J441" s="134"/>
      <c r="K441" s="134"/>
      <c r="L441" s="134"/>
      <c r="M441" s="134"/>
      <c r="N441" s="134"/>
      <c r="O441" s="134"/>
      <c r="P441" s="134"/>
      <c r="Q441" s="134"/>
      <c r="R441" s="134"/>
      <c r="S441" s="134"/>
      <c r="T441" s="134"/>
      <c r="U441" s="134"/>
      <c r="V441" s="134"/>
      <c r="W441" s="134"/>
      <c r="X441" s="134"/>
      <c r="Y441" s="134"/>
      <c r="Z441" s="134"/>
    </row>
    <row r="442">
      <c r="A442" s="131"/>
      <c r="B442" s="164"/>
      <c r="C442" s="165"/>
      <c r="D442" s="171"/>
      <c r="E442" s="164"/>
      <c r="F442" s="170"/>
      <c r="G442" s="134"/>
      <c r="H442" s="134"/>
      <c r="I442" s="134"/>
      <c r="J442" s="134"/>
      <c r="K442" s="134"/>
      <c r="L442" s="134"/>
      <c r="M442" s="134"/>
      <c r="N442" s="134"/>
      <c r="O442" s="134"/>
      <c r="P442" s="134"/>
      <c r="Q442" s="134"/>
      <c r="R442" s="134"/>
      <c r="S442" s="134"/>
      <c r="T442" s="134"/>
      <c r="U442" s="134"/>
      <c r="V442" s="134"/>
      <c r="W442" s="134"/>
      <c r="X442" s="134"/>
      <c r="Y442" s="134"/>
      <c r="Z442" s="134"/>
    </row>
    <row r="443">
      <c r="A443" s="131"/>
      <c r="B443" s="164"/>
      <c r="C443" s="165"/>
      <c r="D443" s="171"/>
      <c r="E443" s="164"/>
      <c r="F443" s="170"/>
      <c r="G443" s="134"/>
      <c r="H443" s="134"/>
      <c r="I443" s="134"/>
      <c r="J443" s="134"/>
      <c r="K443" s="134"/>
      <c r="L443" s="134"/>
      <c r="M443" s="134"/>
      <c r="N443" s="134"/>
      <c r="O443" s="134"/>
      <c r="P443" s="134"/>
      <c r="Q443" s="134"/>
      <c r="R443" s="134"/>
      <c r="S443" s="134"/>
      <c r="T443" s="134"/>
      <c r="U443" s="134"/>
      <c r="V443" s="134"/>
      <c r="W443" s="134"/>
      <c r="X443" s="134"/>
      <c r="Y443" s="134"/>
      <c r="Z443" s="134"/>
    </row>
    <row r="444">
      <c r="A444" s="131"/>
      <c r="B444" s="164"/>
      <c r="C444" s="165"/>
      <c r="D444" s="171"/>
      <c r="E444" s="164"/>
      <c r="F444" s="170"/>
      <c r="G444" s="134"/>
      <c r="H444" s="134"/>
      <c r="I444" s="134"/>
      <c r="J444" s="134"/>
      <c r="K444" s="134"/>
      <c r="L444" s="134"/>
      <c r="M444" s="134"/>
      <c r="N444" s="134"/>
      <c r="O444" s="134"/>
      <c r="P444" s="134"/>
      <c r="Q444" s="134"/>
      <c r="R444" s="134"/>
      <c r="S444" s="134"/>
      <c r="T444" s="134"/>
      <c r="U444" s="134"/>
      <c r="V444" s="134"/>
      <c r="W444" s="134"/>
      <c r="X444" s="134"/>
      <c r="Y444" s="134"/>
      <c r="Z444" s="134"/>
    </row>
    <row r="445">
      <c r="A445" s="131"/>
      <c r="B445" s="164"/>
      <c r="C445" s="165"/>
      <c r="D445" s="171"/>
      <c r="E445" s="164"/>
      <c r="F445" s="170"/>
      <c r="G445" s="134"/>
      <c r="H445" s="134"/>
      <c r="I445" s="134"/>
      <c r="J445" s="134"/>
      <c r="K445" s="134"/>
      <c r="L445" s="134"/>
      <c r="M445" s="134"/>
      <c r="N445" s="134"/>
      <c r="O445" s="134"/>
      <c r="P445" s="134"/>
      <c r="Q445" s="134"/>
      <c r="R445" s="134"/>
      <c r="S445" s="134"/>
      <c r="T445" s="134"/>
      <c r="U445" s="134"/>
      <c r="V445" s="134"/>
      <c r="W445" s="134"/>
      <c r="X445" s="134"/>
      <c r="Y445" s="134"/>
      <c r="Z445" s="134"/>
    </row>
    <row r="446">
      <c r="A446" s="131"/>
      <c r="B446" s="164"/>
      <c r="C446" s="165"/>
      <c r="D446" s="171"/>
      <c r="E446" s="164"/>
      <c r="F446" s="170"/>
      <c r="G446" s="134"/>
      <c r="H446" s="134"/>
      <c r="I446" s="134"/>
      <c r="J446" s="134"/>
      <c r="K446" s="134"/>
      <c r="L446" s="134"/>
      <c r="M446" s="134"/>
      <c r="N446" s="134"/>
      <c r="O446" s="134"/>
      <c r="P446" s="134"/>
      <c r="Q446" s="134"/>
      <c r="R446" s="134"/>
      <c r="S446" s="134"/>
      <c r="T446" s="134"/>
      <c r="U446" s="134"/>
      <c r="V446" s="134"/>
      <c r="W446" s="134"/>
      <c r="X446" s="134"/>
      <c r="Y446" s="134"/>
      <c r="Z446" s="134"/>
    </row>
    <row r="447">
      <c r="A447" s="131"/>
      <c r="B447" s="164"/>
      <c r="C447" s="165"/>
      <c r="D447" s="171"/>
      <c r="E447" s="164"/>
      <c r="F447" s="170"/>
      <c r="G447" s="134"/>
      <c r="H447" s="134"/>
      <c r="I447" s="134"/>
      <c r="J447" s="134"/>
      <c r="K447" s="134"/>
      <c r="L447" s="134"/>
      <c r="M447" s="134"/>
      <c r="N447" s="134"/>
      <c r="O447" s="134"/>
      <c r="P447" s="134"/>
      <c r="Q447" s="134"/>
      <c r="R447" s="134"/>
      <c r="S447" s="134"/>
      <c r="T447" s="134"/>
      <c r="U447" s="134"/>
      <c r="V447" s="134"/>
      <c r="W447" s="134"/>
      <c r="X447" s="134"/>
      <c r="Y447" s="134"/>
      <c r="Z447" s="134"/>
    </row>
    <row r="448">
      <c r="A448" s="131"/>
      <c r="B448" s="164"/>
      <c r="C448" s="165"/>
      <c r="D448" s="171"/>
      <c r="E448" s="164"/>
      <c r="F448" s="170"/>
      <c r="G448" s="134"/>
      <c r="H448" s="134"/>
      <c r="I448" s="134"/>
      <c r="J448" s="134"/>
      <c r="K448" s="134"/>
      <c r="L448" s="134"/>
      <c r="M448" s="134"/>
      <c r="N448" s="134"/>
      <c r="O448" s="134"/>
      <c r="P448" s="134"/>
      <c r="Q448" s="134"/>
      <c r="R448" s="134"/>
      <c r="S448" s="134"/>
      <c r="T448" s="134"/>
      <c r="U448" s="134"/>
      <c r="V448" s="134"/>
      <c r="W448" s="134"/>
      <c r="X448" s="134"/>
      <c r="Y448" s="134"/>
      <c r="Z448" s="134"/>
    </row>
    <row r="449">
      <c r="A449" s="131"/>
      <c r="B449" s="164"/>
      <c r="C449" s="165"/>
      <c r="D449" s="171"/>
      <c r="E449" s="164"/>
      <c r="F449" s="170"/>
      <c r="G449" s="134"/>
      <c r="H449" s="134"/>
      <c r="I449" s="134"/>
      <c r="J449" s="134"/>
      <c r="K449" s="134"/>
      <c r="L449" s="134"/>
      <c r="M449" s="134"/>
      <c r="N449" s="134"/>
      <c r="O449" s="134"/>
      <c r="P449" s="134"/>
      <c r="Q449" s="134"/>
      <c r="R449" s="134"/>
      <c r="S449" s="134"/>
      <c r="T449" s="134"/>
      <c r="U449" s="134"/>
      <c r="V449" s="134"/>
      <c r="W449" s="134"/>
      <c r="X449" s="134"/>
      <c r="Y449" s="134"/>
      <c r="Z449" s="134"/>
    </row>
    <row r="450">
      <c r="A450" s="131"/>
      <c r="B450" s="164"/>
      <c r="C450" s="165"/>
      <c r="D450" s="171"/>
      <c r="E450" s="164"/>
      <c r="F450" s="170"/>
      <c r="G450" s="134"/>
      <c r="H450" s="134"/>
      <c r="I450" s="134"/>
      <c r="J450" s="134"/>
      <c r="K450" s="134"/>
      <c r="L450" s="134"/>
      <c r="M450" s="134"/>
      <c r="N450" s="134"/>
      <c r="O450" s="134"/>
      <c r="P450" s="134"/>
      <c r="Q450" s="134"/>
      <c r="R450" s="134"/>
      <c r="S450" s="134"/>
      <c r="T450" s="134"/>
      <c r="U450" s="134"/>
      <c r="V450" s="134"/>
      <c r="W450" s="134"/>
      <c r="X450" s="134"/>
      <c r="Y450" s="134"/>
      <c r="Z450" s="134"/>
    </row>
    <row r="451">
      <c r="A451" s="131"/>
      <c r="B451" s="164"/>
      <c r="C451" s="165"/>
      <c r="D451" s="171"/>
      <c r="E451" s="164"/>
      <c r="F451" s="170"/>
      <c r="G451" s="134"/>
      <c r="H451" s="134"/>
      <c r="I451" s="134"/>
      <c r="J451" s="134"/>
      <c r="K451" s="134"/>
      <c r="L451" s="134"/>
      <c r="M451" s="134"/>
      <c r="N451" s="134"/>
      <c r="O451" s="134"/>
      <c r="P451" s="134"/>
      <c r="Q451" s="134"/>
      <c r="R451" s="134"/>
      <c r="S451" s="134"/>
      <c r="T451" s="134"/>
      <c r="U451" s="134"/>
      <c r="V451" s="134"/>
      <c r="W451" s="134"/>
      <c r="X451" s="134"/>
      <c r="Y451" s="134"/>
      <c r="Z451" s="134"/>
    </row>
    <row r="452">
      <c r="A452" s="131"/>
      <c r="B452" s="164"/>
      <c r="C452" s="165"/>
      <c r="D452" s="171"/>
      <c r="E452" s="164"/>
      <c r="F452" s="170"/>
      <c r="G452" s="134"/>
      <c r="H452" s="134"/>
      <c r="I452" s="134"/>
      <c r="J452" s="134"/>
      <c r="K452" s="134"/>
      <c r="L452" s="134"/>
      <c r="M452" s="134"/>
      <c r="N452" s="134"/>
      <c r="O452" s="134"/>
      <c r="P452" s="134"/>
      <c r="Q452" s="134"/>
      <c r="R452" s="134"/>
      <c r="S452" s="134"/>
      <c r="T452" s="134"/>
      <c r="U452" s="134"/>
      <c r="V452" s="134"/>
      <c r="W452" s="134"/>
      <c r="X452" s="134"/>
      <c r="Y452" s="134"/>
      <c r="Z452" s="134"/>
    </row>
    <row r="453">
      <c r="A453" s="131"/>
      <c r="B453" s="164"/>
      <c r="C453" s="165"/>
      <c r="D453" s="171"/>
      <c r="E453" s="164"/>
      <c r="F453" s="170"/>
      <c r="G453" s="134"/>
      <c r="H453" s="134"/>
      <c r="I453" s="134"/>
      <c r="J453" s="134"/>
      <c r="K453" s="134"/>
      <c r="L453" s="134"/>
      <c r="M453" s="134"/>
      <c r="N453" s="134"/>
      <c r="O453" s="134"/>
      <c r="P453" s="134"/>
      <c r="Q453" s="134"/>
      <c r="R453" s="134"/>
      <c r="S453" s="134"/>
      <c r="T453" s="134"/>
      <c r="U453" s="134"/>
      <c r="V453" s="134"/>
      <c r="W453" s="134"/>
      <c r="X453" s="134"/>
      <c r="Y453" s="134"/>
      <c r="Z453" s="134"/>
    </row>
    <row r="454">
      <c r="A454" s="131"/>
      <c r="B454" s="164"/>
      <c r="C454" s="165"/>
      <c r="D454" s="171"/>
      <c r="E454" s="164"/>
      <c r="F454" s="170"/>
      <c r="G454" s="134"/>
      <c r="H454" s="134"/>
      <c r="I454" s="134"/>
      <c r="J454" s="134"/>
      <c r="K454" s="134"/>
      <c r="L454" s="134"/>
      <c r="M454" s="134"/>
      <c r="N454" s="134"/>
      <c r="O454" s="134"/>
      <c r="P454" s="134"/>
      <c r="Q454" s="134"/>
      <c r="R454" s="134"/>
      <c r="S454" s="134"/>
      <c r="T454" s="134"/>
      <c r="U454" s="134"/>
      <c r="V454" s="134"/>
      <c r="W454" s="134"/>
      <c r="X454" s="134"/>
      <c r="Y454" s="134"/>
      <c r="Z454" s="134"/>
    </row>
    <row r="455">
      <c r="A455" s="131"/>
      <c r="B455" s="164"/>
      <c r="C455" s="165"/>
      <c r="D455" s="171"/>
      <c r="E455" s="164"/>
      <c r="F455" s="170"/>
      <c r="G455" s="134"/>
      <c r="H455" s="134"/>
      <c r="I455" s="134"/>
      <c r="J455" s="134"/>
      <c r="K455" s="134"/>
      <c r="L455" s="134"/>
      <c r="M455" s="134"/>
      <c r="N455" s="134"/>
      <c r="O455" s="134"/>
      <c r="P455" s="134"/>
      <c r="Q455" s="134"/>
      <c r="R455" s="134"/>
      <c r="S455" s="134"/>
      <c r="T455" s="134"/>
      <c r="U455" s="134"/>
      <c r="V455" s="134"/>
      <c r="W455" s="134"/>
      <c r="X455" s="134"/>
      <c r="Y455" s="134"/>
      <c r="Z455" s="134"/>
    </row>
    <row r="456">
      <c r="A456" s="131"/>
      <c r="B456" s="164"/>
      <c r="C456" s="165"/>
      <c r="D456" s="171"/>
      <c r="E456" s="164"/>
      <c r="F456" s="170"/>
      <c r="G456" s="134"/>
      <c r="H456" s="134"/>
      <c r="I456" s="134"/>
      <c r="J456" s="134"/>
      <c r="K456" s="134"/>
      <c r="L456" s="134"/>
      <c r="M456" s="134"/>
      <c r="N456" s="134"/>
      <c r="O456" s="134"/>
      <c r="P456" s="134"/>
      <c r="Q456" s="134"/>
      <c r="R456" s="134"/>
      <c r="S456" s="134"/>
      <c r="T456" s="134"/>
      <c r="U456" s="134"/>
      <c r="V456" s="134"/>
      <c r="W456" s="134"/>
      <c r="X456" s="134"/>
      <c r="Y456" s="134"/>
      <c r="Z456" s="134"/>
    </row>
    <row r="457">
      <c r="A457" s="131"/>
      <c r="B457" s="164"/>
      <c r="C457" s="165"/>
      <c r="D457" s="171"/>
      <c r="E457" s="164"/>
      <c r="F457" s="170"/>
      <c r="G457" s="134"/>
      <c r="H457" s="134"/>
      <c r="I457" s="134"/>
      <c r="J457" s="134"/>
      <c r="K457" s="134"/>
      <c r="L457" s="134"/>
      <c r="M457" s="134"/>
      <c r="N457" s="134"/>
      <c r="O457" s="134"/>
      <c r="P457" s="134"/>
      <c r="Q457" s="134"/>
      <c r="R457" s="134"/>
      <c r="S457" s="134"/>
      <c r="T457" s="134"/>
      <c r="U457" s="134"/>
      <c r="V457" s="134"/>
      <c r="W457" s="134"/>
      <c r="X457" s="134"/>
      <c r="Y457" s="134"/>
      <c r="Z457" s="134"/>
    </row>
    <row r="458">
      <c r="A458" s="131"/>
      <c r="B458" s="164"/>
      <c r="C458" s="165"/>
      <c r="D458" s="171"/>
      <c r="E458" s="164"/>
      <c r="F458" s="170"/>
      <c r="G458" s="134"/>
      <c r="H458" s="134"/>
      <c r="I458" s="134"/>
      <c r="J458" s="134"/>
      <c r="K458" s="134"/>
      <c r="L458" s="134"/>
      <c r="M458" s="134"/>
      <c r="N458" s="134"/>
      <c r="O458" s="134"/>
      <c r="P458" s="134"/>
      <c r="Q458" s="134"/>
      <c r="R458" s="134"/>
      <c r="S458" s="134"/>
      <c r="T458" s="134"/>
      <c r="U458" s="134"/>
      <c r="V458" s="134"/>
      <c r="W458" s="134"/>
      <c r="X458" s="134"/>
      <c r="Y458" s="134"/>
      <c r="Z458" s="134"/>
    </row>
    <row r="459">
      <c r="A459" s="131"/>
      <c r="B459" s="164"/>
      <c r="C459" s="165"/>
      <c r="D459" s="171"/>
      <c r="E459" s="164"/>
      <c r="F459" s="170"/>
      <c r="G459" s="134"/>
      <c r="H459" s="134"/>
      <c r="I459" s="134"/>
      <c r="J459" s="134"/>
      <c r="K459" s="134"/>
      <c r="L459" s="134"/>
      <c r="M459" s="134"/>
      <c r="N459" s="134"/>
      <c r="O459" s="134"/>
      <c r="P459" s="134"/>
      <c r="Q459" s="134"/>
      <c r="R459" s="134"/>
      <c r="S459" s="134"/>
      <c r="T459" s="134"/>
      <c r="U459" s="134"/>
      <c r="V459" s="134"/>
      <c r="W459" s="134"/>
      <c r="X459" s="134"/>
      <c r="Y459" s="134"/>
      <c r="Z459" s="134"/>
    </row>
    <row r="460">
      <c r="A460" s="131"/>
      <c r="B460" s="164"/>
      <c r="C460" s="165"/>
      <c r="D460" s="171"/>
      <c r="E460" s="164"/>
      <c r="F460" s="170"/>
      <c r="G460" s="134"/>
      <c r="H460" s="134"/>
      <c r="I460" s="134"/>
      <c r="J460" s="134"/>
      <c r="K460" s="134"/>
      <c r="L460" s="134"/>
      <c r="M460" s="134"/>
      <c r="N460" s="134"/>
      <c r="O460" s="134"/>
      <c r="P460" s="134"/>
      <c r="Q460" s="134"/>
      <c r="R460" s="134"/>
      <c r="S460" s="134"/>
      <c r="T460" s="134"/>
      <c r="U460" s="134"/>
      <c r="V460" s="134"/>
      <c r="W460" s="134"/>
      <c r="X460" s="134"/>
      <c r="Y460" s="134"/>
      <c r="Z460" s="134"/>
    </row>
    <row r="461">
      <c r="A461" s="131"/>
      <c r="B461" s="164"/>
      <c r="C461" s="165"/>
      <c r="D461" s="171"/>
      <c r="E461" s="164"/>
      <c r="F461" s="170"/>
      <c r="G461" s="134"/>
      <c r="H461" s="134"/>
      <c r="I461" s="134"/>
      <c r="J461" s="134"/>
      <c r="K461" s="134"/>
      <c r="L461" s="134"/>
      <c r="M461" s="134"/>
      <c r="N461" s="134"/>
      <c r="O461" s="134"/>
      <c r="P461" s="134"/>
      <c r="Q461" s="134"/>
      <c r="R461" s="134"/>
      <c r="S461" s="134"/>
      <c r="T461" s="134"/>
      <c r="U461" s="134"/>
      <c r="V461" s="134"/>
      <c r="W461" s="134"/>
      <c r="X461" s="134"/>
      <c r="Y461" s="134"/>
      <c r="Z461" s="134"/>
    </row>
    <row r="462">
      <c r="A462" s="131"/>
      <c r="B462" s="164"/>
      <c r="C462" s="165"/>
      <c r="D462" s="171"/>
      <c r="E462" s="164"/>
      <c r="F462" s="170"/>
      <c r="G462" s="134"/>
      <c r="H462" s="134"/>
      <c r="I462" s="134"/>
      <c r="J462" s="134"/>
      <c r="K462" s="134"/>
      <c r="L462" s="134"/>
      <c r="M462" s="134"/>
      <c r="N462" s="134"/>
      <c r="O462" s="134"/>
      <c r="P462" s="134"/>
      <c r="Q462" s="134"/>
      <c r="R462" s="134"/>
      <c r="S462" s="134"/>
      <c r="T462" s="134"/>
      <c r="U462" s="134"/>
      <c r="V462" s="134"/>
      <c r="W462" s="134"/>
      <c r="X462" s="134"/>
      <c r="Y462" s="134"/>
      <c r="Z462" s="134"/>
    </row>
    <row r="463">
      <c r="A463" s="131"/>
      <c r="B463" s="164"/>
      <c r="C463" s="165"/>
      <c r="D463" s="171"/>
      <c r="E463" s="164"/>
      <c r="F463" s="170"/>
      <c r="G463" s="134"/>
      <c r="H463" s="134"/>
      <c r="I463" s="134"/>
      <c r="J463" s="134"/>
      <c r="K463" s="134"/>
      <c r="L463" s="134"/>
      <c r="M463" s="134"/>
      <c r="N463" s="134"/>
      <c r="O463" s="134"/>
      <c r="P463" s="134"/>
      <c r="Q463" s="134"/>
      <c r="R463" s="134"/>
      <c r="S463" s="134"/>
      <c r="T463" s="134"/>
      <c r="U463" s="134"/>
      <c r="V463" s="134"/>
      <c r="W463" s="134"/>
      <c r="X463" s="134"/>
      <c r="Y463" s="134"/>
      <c r="Z463" s="134"/>
    </row>
    <row r="464">
      <c r="A464" s="131"/>
      <c r="B464" s="164"/>
      <c r="C464" s="165"/>
      <c r="D464" s="171"/>
      <c r="E464" s="164"/>
      <c r="F464" s="170"/>
      <c r="G464" s="134"/>
      <c r="H464" s="134"/>
      <c r="I464" s="134"/>
      <c r="J464" s="134"/>
      <c r="K464" s="134"/>
      <c r="L464" s="134"/>
      <c r="M464" s="134"/>
      <c r="N464" s="134"/>
      <c r="O464" s="134"/>
      <c r="P464" s="134"/>
      <c r="Q464" s="134"/>
      <c r="R464" s="134"/>
      <c r="S464" s="134"/>
      <c r="T464" s="134"/>
      <c r="U464" s="134"/>
      <c r="V464" s="134"/>
      <c r="W464" s="134"/>
      <c r="X464" s="134"/>
      <c r="Y464" s="134"/>
      <c r="Z464" s="134"/>
    </row>
    <row r="465">
      <c r="A465" s="131"/>
      <c r="B465" s="164"/>
      <c r="C465" s="165"/>
      <c r="D465" s="171"/>
      <c r="E465" s="164"/>
      <c r="F465" s="170"/>
      <c r="G465" s="134"/>
      <c r="H465" s="134"/>
      <c r="I465" s="134"/>
      <c r="J465" s="134"/>
      <c r="K465" s="134"/>
      <c r="L465" s="134"/>
      <c r="M465" s="134"/>
      <c r="N465" s="134"/>
      <c r="O465" s="134"/>
      <c r="P465" s="134"/>
      <c r="Q465" s="134"/>
      <c r="R465" s="134"/>
      <c r="S465" s="134"/>
      <c r="T465" s="134"/>
      <c r="U465" s="134"/>
      <c r="V465" s="134"/>
      <c r="W465" s="134"/>
      <c r="X465" s="134"/>
      <c r="Y465" s="134"/>
      <c r="Z465" s="134"/>
    </row>
    <row r="466">
      <c r="A466" s="131"/>
      <c r="B466" s="164"/>
      <c r="C466" s="165"/>
      <c r="D466" s="171"/>
      <c r="E466" s="164"/>
      <c r="F466" s="170"/>
      <c r="G466" s="134"/>
      <c r="H466" s="134"/>
      <c r="I466" s="134"/>
      <c r="J466" s="134"/>
      <c r="K466" s="134"/>
      <c r="L466" s="134"/>
      <c r="M466" s="134"/>
      <c r="N466" s="134"/>
      <c r="O466" s="134"/>
      <c r="P466" s="134"/>
      <c r="Q466" s="134"/>
      <c r="R466" s="134"/>
      <c r="S466" s="134"/>
      <c r="T466" s="134"/>
      <c r="U466" s="134"/>
      <c r="V466" s="134"/>
      <c r="W466" s="134"/>
      <c r="X466" s="134"/>
      <c r="Y466" s="134"/>
      <c r="Z466" s="134"/>
    </row>
    <row r="467">
      <c r="A467" s="131"/>
      <c r="B467" s="164"/>
      <c r="C467" s="165"/>
      <c r="D467" s="171"/>
      <c r="E467" s="164"/>
      <c r="F467" s="170"/>
      <c r="G467" s="134"/>
      <c r="H467" s="134"/>
      <c r="I467" s="134"/>
      <c r="J467" s="134"/>
      <c r="K467" s="134"/>
      <c r="L467" s="134"/>
      <c r="M467" s="134"/>
      <c r="N467" s="134"/>
      <c r="O467" s="134"/>
      <c r="P467" s="134"/>
      <c r="Q467" s="134"/>
      <c r="R467" s="134"/>
      <c r="S467" s="134"/>
      <c r="T467" s="134"/>
      <c r="U467" s="134"/>
      <c r="V467" s="134"/>
      <c r="W467" s="134"/>
      <c r="X467" s="134"/>
      <c r="Y467" s="134"/>
      <c r="Z467" s="134"/>
    </row>
    <row r="468">
      <c r="A468" s="131"/>
      <c r="B468" s="164"/>
      <c r="C468" s="165"/>
      <c r="D468" s="171"/>
      <c r="E468" s="164"/>
      <c r="F468" s="170"/>
      <c r="G468" s="134"/>
      <c r="H468" s="134"/>
      <c r="I468" s="134"/>
      <c r="J468" s="134"/>
      <c r="K468" s="134"/>
      <c r="L468" s="134"/>
      <c r="M468" s="134"/>
      <c r="N468" s="134"/>
      <c r="O468" s="134"/>
      <c r="P468" s="134"/>
      <c r="Q468" s="134"/>
      <c r="R468" s="134"/>
      <c r="S468" s="134"/>
      <c r="T468" s="134"/>
      <c r="U468" s="134"/>
      <c r="V468" s="134"/>
      <c r="W468" s="134"/>
      <c r="X468" s="134"/>
      <c r="Y468" s="134"/>
      <c r="Z468" s="134"/>
    </row>
    <row r="469">
      <c r="A469" s="131"/>
      <c r="B469" s="164"/>
      <c r="C469" s="165"/>
      <c r="D469" s="171"/>
      <c r="E469" s="164"/>
      <c r="F469" s="170"/>
      <c r="G469" s="134"/>
      <c r="H469" s="134"/>
      <c r="I469" s="134"/>
      <c r="J469" s="134"/>
      <c r="K469" s="134"/>
      <c r="L469" s="134"/>
      <c r="M469" s="134"/>
      <c r="N469" s="134"/>
      <c r="O469" s="134"/>
      <c r="P469" s="134"/>
      <c r="Q469" s="134"/>
      <c r="R469" s="134"/>
      <c r="S469" s="134"/>
      <c r="T469" s="134"/>
      <c r="U469" s="134"/>
      <c r="V469" s="134"/>
      <c r="W469" s="134"/>
      <c r="X469" s="134"/>
      <c r="Y469" s="134"/>
      <c r="Z469" s="134"/>
    </row>
    <row r="470">
      <c r="A470" s="131"/>
      <c r="B470" s="164"/>
      <c r="C470" s="165"/>
      <c r="D470" s="171"/>
      <c r="E470" s="164"/>
      <c r="F470" s="170"/>
      <c r="G470" s="134"/>
      <c r="H470" s="134"/>
      <c r="I470" s="134"/>
      <c r="J470" s="134"/>
      <c r="K470" s="134"/>
      <c r="L470" s="134"/>
      <c r="M470" s="134"/>
      <c r="N470" s="134"/>
      <c r="O470" s="134"/>
      <c r="P470" s="134"/>
      <c r="Q470" s="134"/>
      <c r="R470" s="134"/>
      <c r="S470" s="134"/>
      <c r="T470" s="134"/>
      <c r="U470" s="134"/>
      <c r="V470" s="134"/>
      <c r="W470" s="134"/>
      <c r="X470" s="134"/>
      <c r="Y470" s="134"/>
      <c r="Z470" s="134"/>
    </row>
    <row r="471">
      <c r="A471" s="131"/>
      <c r="B471" s="164"/>
      <c r="C471" s="165"/>
      <c r="D471" s="171"/>
      <c r="E471" s="164"/>
      <c r="F471" s="170"/>
      <c r="G471" s="134"/>
      <c r="H471" s="134"/>
      <c r="I471" s="134"/>
      <c r="J471" s="134"/>
      <c r="K471" s="134"/>
      <c r="L471" s="134"/>
      <c r="M471" s="134"/>
      <c r="N471" s="134"/>
      <c r="O471" s="134"/>
      <c r="P471" s="134"/>
      <c r="Q471" s="134"/>
      <c r="R471" s="134"/>
      <c r="S471" s="134"/>
      <c r="T471" s="134"/>
      <c r="U471" s="134"/>
      <c r="V471" s="134"/>
      <c r="W471" s="134"/>
      <c r="X471" s="134"/>
      <c r="Y471" s="134"/>
      <c r="Z471" s="134"/>
    </row>
    <row r="472">
      <c r="A472" s="131"/>
      <c r="B472" s="164"/>
      <c r="C472" s="165"/>
      <c r="D472" s="171"/>
      <c r="E472" s="164"/>
      <c r="F472" s="170"/>
      <c r="G472" s="134"/>
      <c r="H472" s="134"/>
      <c r="I472" s="134"/>
      <c r="J472" s="134"/>
      <c r="K472" s="134"/>
      <c r="L472" s="134"/>
      <c r="M472" s="134"/>
      <c r="N472" s="134"/>
      <c r="O472" s="134"/>
      <c r="P472" s="134"/>
      <c r="Q472" s="134"/>
      <c r="R472" s="134"/>
      <c r="S472" s="134"/>
      <c r="T472" s="134"/>
      <c r="U472" s="134"/>
      <c r="V472" s="134"/>
      <c r="W472" s="134"/>
      <c r="X472" s="134"/>
      <c r="Y472" s="134"/>
      <c r="Z472" s="134"/>
    </row>
    <row r="473">
      <c r="A473" s="131"/>
      <c r="B473" s="164"/>
      <c r="C473" s="165"/>
      <c r="D473" s="171"/>
      <c r="E473" s="164"/>
      <c r="F473" s="170"/>
      <c r="G473" s="134"/>
      <c r="H473" s="134"/>
      <c r="I473" s="134"/>
      <c r="J473" s="134"/>
      <c r="K473" s="134"/>
      <c r="L473" s="134"/>
      <c r="M473" s="134"/>
      <c r="N473" s="134"/>
      <c r="O473" s="134"/>
      <c r="P473" s="134"/>
      <c r="Q473" s="134"/>
      <c r="R473" s="134"/>
      <c r="S473" s="134"/>
      <c r="T473" s="134"/>
      <c r="U473" s="134"/>
      <c r="V473" s="134"/>
      <c r="W473" s="134"/>
      <c r="X473" s="134"/>
      <c r="Y473" s="134"/>
      <c r="Z473" s="134"/>
    </row>
    <row r="474">
      <c r="A474" s="131"/>
      <c r="B474" s="164"/>
      <c r="C474" s="165"/>
      <c r="D474" s="171"/>
      <c r="E474" s="164"/>
      <c r="F474" s="170"/>
      <c r="G474" s="134"/>
      <c r="H474" s="134"/>
      <c r="I474" s="134"/>
      <c r="J474" s="134"/>
      <c r="K474" s="134"/>
      <c r="L474" s="134"/>
      <c r="M474" s="134"/>
      <c r="N474" s="134"/>
      <c r="O474" s="134"/>
      <c r="P474" s="134"/>
      <c r="Q474" s="134"/>
      <c r="R474" s="134"/>
      <c r="S474" s="134"/>
      <c r="T474" s="134"/>
      <c r="U474" s="134"/>
      <c r="V474" s="134"/>
      <c r="W474" s="134"/>
      <c r="X474" s="134"/>
      <c r="Y474" s="134"/>
      <c r="Z474" s="134"/>
    </row>
    <row r="475">
      <c r="A475" s="131"/>
      <c r="B475" s="164"/>
      <c r="C475" s="165"/>
      <c r="D475" s="171"/>
      <c r="E475" s="164"/>
      <c r="F475" s="170"/>
      <c r="G475" s="134"/>
      <c r="H475" s="134"/>
      <c r="I475" s="134"/>
      <c r="J475" s="134"/>
      <c r="K475" s="134"/>
      <c r="L475" s="134"/>
      <c r="M475" s="134"/>
      <c r="N475" s="134"/>
      <c r="O475" s="134"/>
      <c r="P475" s="134"/>
      <c r="Q475" s="134"/>
      <c r="R475" s="134"/>
      <c r="S475" s="134"/>
      <c r="T475" s="134"/>
      <c r="U475" s="134"/>
      <c r="V475" s="134"/>
      <c r="W475" s="134"/>
      <c r="X475" s="134"/>
      <c r="Y475" s="134"/>
      <c r="Z475" s="134"/>
    </row>
    <row r="476">
      <c r="A476" s="131"/>
      <c r="B476" s="164"/>
      <c r="C476" s="165"/>
      <c r="D476" s="171"/>
      <c r="E476" s="164"/>
      <c r="F476" s="170"/>
      <c r="G476" s="134"/>
      <c r="H476" s="134"/>
      <c r="I476" s="134"/>
      <c r="J476" s="134"/>
      <c r="K476" s="134"/>
      <c r="L476" s="134"/>
      <c r="M476" s="134"/>
      <c r="N476" s="134"/>
      <c r="O476" s="134"/>
      <c r="P476" s="134"/>
      <c r="Q476" s="134"/>
      <c r="R476" s="134"/>
      <c r="S476" s="134"/>
      <c r="T476" s="134"/>
      <c r="U476" s="134"/>
      <c r="V476" s="134"/>
      <c r="W476" s="134"/>
      <c r="X476" s="134"/>
      <c r="Y476" s="134"/>
      <c r="Z476" s="134"/>
    </row>
    <row r="477">
      <c r="A477" s="131"/>
      <c r="B477" s="164"/>
      <c r="C477" s="165"/>
      <c r="D477" s="171"/>
      <c r="E477" s="164"/>
      <c r="F477" s="170"/>
      <c r="G477" s="134"/>
      <c r="H477" s="134"/>
      <c r="I477" s="134"/>
      <c r="J477" s="134"/>
      <c r="K477" s="134"/>
      <c r="L477" s="134"/>
      <c r="M477" s="134"/>
      <c r="N477" s="134"/>
      <c r="O477" s="134"/>
      <c r="P477" s="134"/>
      <c r="Q477" s="134"/>
      <c r="R477" s="134"/>
      <c r="S477" s="134"/>
      <c r="T477" s="134"/>
      <c r="U477" s="134"/>
      <c r="V477" s="134"/>
      <c r="W477" s="134"/>
      <c r="X477" s="134"/>
      <c r="Y477" s="134"/>
      <c r="Z477" s="134"/>
    </row>
    <row r="478">
      <c r="A478" s="131"/>
      <c r="B478" s="164"/>
      <c r="C478" s="165"/>
      <c r="D478" s="171"/>
      <c r="E478" s="164"/>
      <c r="F478" s="170"/>
      <c r="G478" s="134"/>
      <c r="H478" s="134"/>
      <c r="I478" s="134"/>
      <c r="J478" s="134"/>
      <c r="K478" s="134"/>
      <c r="L478" s="134"/>
      <c r="M478" s="134"/>
      <c r="N478" s="134"/>
      <c r="O478" s="134"/>
      <c r="P478" s="134"/>
      <c r="Q478" s="134"/>
      <c r="R478" s="134"/>
      <c r="S478" s="134"/>
      <c r="T478" s="134"/>
      <c r="U478" s="134"/>
      <c r="V478" s="134"/>
      <c r="W478" s="134"/>
      <c r="X478" s="134"/>
      <c r="Y478" s="134"/>
      <c r="Z478" s="134"/>
    </row>
    <row r="479">
      <c r="A479" s="131"/>
      <c r="B479" s="164"/>
      <c r="C479" s="165"/>
      <c r="D479" s="171"/>
      <c r="E479" s="164"/>
      <c r="F479" s="170"/>
      <c r="G479" s="134"/>
      <c r="H479" s="134"/>
      <c r="I479" s="134"/>
      <c r="J479" s="134"/>
      <c r="K479" s="134"/>
      <c r="L479" s="134"/>
      <c r="M479" s="134"/>
      <c r="N479" s="134"/>
      <c r="O479" s="134"/>
      <c r="P479" s="134"/>
      <c r="Q479" s="134"/>
      <c r="R479" s="134"/>
      <c r="S479" s="134"/>
      <c r="T479" s="134"/>
      <c r="U479" s="134"/>
      <c r="V479" s="134"/>
      <c r="W479" s="134"/>
      <c r="X479" s="134"/>
      <c r="Y479" s="134"/>
      <c r="Z479" s="134"/>
    </row>
    <row r="480">
      <c r="A480" s="131"/>
      <c r="B480" s="164"/>
      <c r="C480" s="165"/>
      <c r="D480" s="171"/>
      <c r="E480" s="164"/>
      <c r="F480" s="170"/>
      <c r="G480" s="134"/>
      <c r="H480" s="134"/>
      <c r="I480" s="134"/>
      <c r="J480" s="134"/>
      <c r="K480" s="134"/>
      <c r="L480" s="134"/>
      <c r="M480" s="134"/>
      <c r="N480" s="134"/>
      <c r="O480" s="134"/>
      <c r="P480" s="134"/>
      <c r="Q480" s="134"/>
      <c r="R480" s="134"/>
      <c r="S480" s="134"/>
      <c r="T480" s="134"/>
      <c r="U480" s="134"/>
      <c r="V480" s="134"/>
      <c r="W480" s="134"/>
      <c r="X480" s="134"/>
      <c r="Y480" s="134"/>
      <c r="Z480" s="134"/>
    </row>
    <row r="481">
      <c r="A481" s="131"/>
      <c r="B481" s="164"/>
      <c r="C481" s="165"/>
      <c r="D481" s="171"/>
      <c r="E481" s="164"/>
      <c r="F481" s="170"/>
      <c r="G481" s="134"/>
      <c r="H481" s="134"/>
      <c r="I481" s="134"/>
      <c r="J481" s="134"/>
      <c r="K481" s="134"/>
      <c r="L481" s="134"/>
      <c r="M481" s="134"/>
      <c r="N481" s="134"/>
      <c r="O481" s="134"/>
      <c r="P481" s="134"/>
      <c r="Q481" s="134"/>
      <c r="R481" s="134"/>
      <c r="S481" s="134"/>
      <c r="T481" s="134"/>
      <c r="U481" s="134"/>
      <c r="V481" s="134"/>
      <c r="W481" s="134"/>
      <c r="X481" s="134"/>
      <c r="Y481" s="134"/>
      <c r="Z481" s="134"/>
    </row>
    <row r="482">
      <c r="A482" s="131"/>
      <c r="B482" s="164"/>
      <c r="C482" s="165"/>
      <c r="D482" s="171"/>
      <c r="E482" s="164"/>
      <c r="F482" s="170"/>
      <c r="G482" s="134"/>
      <c r="H482" s="134"/>
      <c r="I482" s="134"/>
      <c r="J482" s="134"/>
      <c r="K482" s="134"/>
      <c r="L482" s="134"/>
      <c r="M482" s="134"/>
      <c r="N482" s="134"/>
      <c r="O482" s="134"/>
      <c r="P482" s="134"/>
      <c r="Q482" s="134"/>
      <c r="R482" s="134"/>
      <c r="S482" s="134"/>
      <c r="T482" s="134"/>
      <c r="U482" s="134"/>
      <c r="V482" s="134"/>
      <c r="W482" s="134"/>
      <c r="X482" s="134"/>
      <c r="Y482" s="134"/>
      <c r="Z482" s="134"/>
    </row>
    <row r="483">
      <c r="A483" s="131"/>
      <c r="B483" s="164"/>
      <c r="C483" s="165"/>
      <c r="D483" s="171"/>
      <c r="E483" s="164"/>
      <c r="F483" s="170"/>
      <c r="G483" s="134"/>
      <c r="H483" s="134"/>
      <c r="I483" s="134"/>
      <c r="J483" s="134"/>
      <c r="K483" s="134"/>
      <c r="L483" s="134"/>
      <c r="M483" s="134"/>
      <c r="N483" s="134"/>
      <c r="O483" s="134"/>
      <c r="P483" s="134"/>
      <c r="Q483" s="134"/>
      <c r="R483" s="134"/>
      <c r="S483" s="134"/>
      <c r="T483" s="134"/>
      <c r="U483" s="134"/>
      <c r="V483" s="134"/>
      <c r="W483" s="134"/>
      <c r="X483" s="134"/>
      <c r="Y483" s="134"/>
      <c r="Z483" s="134"/>
    </row>
    <row r="484">
      <c r="A484" s="131"/>
      <c r="B484" s="164"/>
      <c r="C484" s="165"/>
      <c r="D484" s="171"/>
      <c r="E484" s="164"/>
      <c r="F484" s="170"/>
      <c r="G484" s="134"/>
      <c r="H484" s="134"/>
      <c r="I484" s="134"/>
      <c r="J484" s="134"/>
      <c r="K484" s="134"/>
      <c r="L484" s="134"/>
      <c r="M484" s="134"/>
      <c r="N484" s="134"/>
      <c r="O484" s="134"/>
      <c r="P484" s="134"/>
      <c r="Q484" s="134"/>
      <c r="R484" s="134"/>
      <c r="S484" s="134"/>
      <c r="T484" s="134"/>
      <c r="U484" s="134"/>
      <c r="V484" s="134"/>
      <c r="W484" s="134"/>
      <c r="X484" s="134"/>
      <c r="Y484" s="134"/>
      <c r="Z484" s="134"/>
    </row>
    <row r="485">
      <c r="A485" s="131"/>
      <c r="B485" s="164"/>
      <c r="C485" s="165"/>
      <c r="D485" s="171"/>
      <c r="E485" s="164"/>
      <c r="F485" s="170"/>
      <c r="G485" s="134"/>
      <c r="H485" s="134"/>
      <c r="I485" s="134"/>
      <c r="J485" s="134"/>
      <c r="K485" s="134"/>
      <c r="L485" s="134"/>
      <c r="M485" s="134"/>
      <c r="N485" s="134"/>
      <c r="O485" s="134"/>
      <c r="P485" s="134"/>
      <c r="Q485" s="134"/>
      <c r="R485" s="134"/>
      <c r="S485" s="134"/>
      <c r="T485" s="134"/>
      <c r="U485" s="134"/>
      <c r="V485" s="134"/>
      <c r="W485" s="134"/>
      <c r="X485" s="134"/>
      <c r="Y485" s="134"/>
      <c r="Z485" s="134"/>
    </row>
    <row r="486">
      <c r="A486" s="131"/>
      <c r="B486" s="164"/>
      <c r="C486" s="165"/>
      <c r="D486" s="171"/>
      <c r="E486" s="164"/>
      <c r="F486" s="170"/>
      <c r="G486" s="134"/>
      <c r="H486" s="134"/>
      <c r="I486" s="134"/>
      <c r="J486" s="134"/>
      <c r="K486" s="134"/>
      <c r="L486" s="134"/>
      <c r="M486" s="134"/>
      <c r="N486" s="134"/>
      <c r="O486" s="134"/>
      <c r="P486" s="134"/>
      <c r="Q486" s="134"/>
      <c r="R486" s="134"/>
      <c r="S486" s="134"/>
      <c r="T486" s="134"/>
      <c r="U486" s="134"/>
      <c r="V486" s="134"/>
      <c r="W486" s="134"/>
      <c r="X486" s="134"/>
      <c r="Y486" s="134"/>
      <c r="Z486" s="134"/>
    </row>
    <row r="487">
      <c r="A487" s="131"/>
      <c r="B487" s="164"/>
      <c r="C487" s="165"/>
      <c r="D487" s="171"/>
      <c r="E487" s="164"/>
      <c r="F487" s="170"/>
      <c r="G487" s="134"/>
      <c r="H487" s="134"/>
      <c r="I487" s="134"/>
      <c r="J487" s="134"/>
      <c r="K487" s="134"/>
      <c r="L487" s="134"/>
      <c r="M487" s="134"/>
      <c r="N487" s="134"/>
      <c r="O487" s="134"/>
      <c r="P487" s="134"/>
      <c r="Q487" s="134"/>
      <c r="R487" s="134"/>
      <c r="S487" s="134"/>
      <c r="T487" s="134"/>
      <c r="U487" s="134"/>
      <c r="V487" s="134"/>
      <c r="W487" s="134"/>
      <c r="X487" s="134"/>
      <c r="Y487" s="134"/>
      <c r="Z487" s="134"/>
    </row>
    <row r="488">
      <c r="A488" s="131"/>
      <c r="B488" s="164"/>
      <c r="C488" s="165"/>
      <c r="D488" s="171"/>
      <c r="E488" s="164"/>
      <c r="F488" s="170"/>
      <c r="G488" s="134"/>
      <c r="H488" s="134"/>
      <c r="I488" s="134"/>
      <c r="J488" s="134"/>
      <c r="K488" s="134"/>
      <c r="L488" s="134"/>
      <c r="M488" s="134"/>
      <c r="N488" s="134"/>
      <c r="O488" s="134"/>
      <c r="P488" s="134"/>
      <c r="Q488" s="134"/>
      <c r="R488" s="134"/>
      <c r="S488" s="134"/>
      <c r="T488" s="134"/>
      <c r="U488" s="134"/>
      <c r="V488" s="134"/>
      <c r="W488" s="134"/>
      <c r="X488" s="134"/>
      <c r="Y488" s="134"/>
      <c r="Z488" s="134"/>
    </row>
    <row r="489">
      <c r="A489" s="131"/>
      <c r="B489" s="164"/>
      <c r="C489" s="165"/>
      <c r="D489" s="171"/>
      <c r="E489" s="164"/>
      <c r="F489" s="170"/>
      <c r="G489" s="134"/>
      <c r="H489" s="134"/>
      <c r="I489" s="134"/>
      <c r="J489" s="134"/>
      <c r="K489" s="134"/>
      <c r="L489" s="134"/>
      <c r="M489" s="134"/>
      <c r="N489" s="134"/>
      <c r="O489" s="134"/>
      <c r="P489" s="134"/>
      <c r="Q489" s="134"/>
      <c r="R489" s="134"/>
      <c r="S489" s="134"/>
      <c r="T489" s="134"/>
      <c r="U489" s="134"/>
      <c r="V489" s="134"/>
      <c r="W489" s="134"/>
      <c r="X489" s="134"/>
      <c r="Y489" s="134"/>
      <c r="Z489" s="134"/>
    </row>
    <row r="490">
      <c r="A490" s="131"/>
      <c r="B490" s="164"/>
      <c r="C490" s="165"/>
      <c r="D490" s="171"/>
      <c r="E490" s="164"/>
      <c r="F490" s="170"/>
      <c r="G490" s="134"/>
      <c r="H490" s="134"/>
      <c r="I490" s="134"/>
      <c r="J490" s="134"/>
      <c r="K490" s="134"/>
      <c r="L490" s="134"/>
      <c r="M490" s="134"/>
      <c r="N490" s="134"/>
      <c r="O490" s="134"/>
      <c r="P490" s="134"/>
      <c r="Q490" s="134"/>
      <c r="R490" s="134"/>
      <c r="S490" s="134"/>
      <c r="T490" s="134"/>
      <c r="U490" s="134"/>
      <c r="V490" s="134"/>
      <c r="W490" s="134"/>
      <c r="X490" s="134"/>
      <c r="Y490" s="134"/>
      <c r="Z490" s="134"/>
    </row>
    <row r="491">
      <c r="A491" s="131"/>
      <c r="B491" s="164"/>
      <c r="C491" s="165"/>
      <c r="D491" s="171"/>
      <c r="E491" s="164"/>
      <c r="F491" s="170"/>
      <c r="G491" s="134"/>
      <c r="H491" s="134"/>
      <c r="I491" s="134"/>
      <c r="J491" s="134"/>
      <c r="K491" s="134"/>
      <c r="L491" s="134"/>
      <c r="M491" s="134"/>
      <c r="N491" s="134"/>
      <c r="O491" s="134"/>
      <c r="P491" s="134"/>
      <c r="Q491" s="134"/>
      <c r="R491" s="134"/>
      <c r="S491" s="134"/>
      <c r="T491" s="134"/>
      <c r="U491" s="134"/>
      <c r="V491" s="134"/>
      <c r="W491" s="134"/>
      <c r="X491" s="134"/>
      <c r="Y491" s="134"/>
      <c r="Z491" s="134"/>
    </row>
    <row r="492">
      <c r="A492" s="131"/>
      <c r="B492" s="164"/>
      <c r="C492" s="165"/>
      <c r="D492" s="171"/>
      <c r="E492" s="164"/>
      <c r="F492" s="170"/>
      <c r="G492" s="134"/>
      <c r="H492" s="134"/>
      <c r="I492" s="134"/>
      <c r="J492" s="134"/>
      <c r="K492" s="134"/>
      <c r="L492" s="134"/>
      <c r="M492" s="134"/>
      <c r="N492" s="134"/>
      <c r="O492" s="134"/>
      <c r="P492" s="134"/>
      <c r="Q492" s="134"/>
      <c r="R492" s="134"/>
      <c r="S492" s="134"/>
      <c r="T492" s="134"/>
      <c r="U492" s="134"/>
      <c r="V492" s="134"/>
      <c r="W492" s="134"/>
      <c r="X492" s="134"/>
      <c r="Y492" s="134"/>
      <c r="Z492" s="134"/>
    </row>
    <row r="493">
      <c r="A493" s="131"/>
      <c r="B493" s="164"/>
      <c r="C493" s="165"/>
      <c r="D493" s="171"/>
      <c r="E493" s="164"/>
      <c r="F493" s="170"/>
      <c r="G493" s="134"/>
      <c r="H493" s="134"/>
      <c r="I493" s="134"/>
      <c r="J493" s="134"/>
      <c r="K493" s="134"/>
      <c r="L493" s="134"/>
      <c r="M493" s="134"/>
      <c r="N493" s="134"/>
      <c r="O493" s="134"/>
      <c r="P493" s="134"/>
      <c r="Q493" s="134"/>
      <c r="R493" s="134"/>
      <c r="S493" s="134"/>
      <c r="T493" s="134"/>
      <c r="U493" s="134"/>
      <c r="V493" s="134"/>
      <c r="W493" s="134"/>
      <c r="X493" s="134"/>
      <c r="Y493" s="134"/>
      <c r="Z493" s="134"/>
    </row>
    <row r="494">
      <c r="A494" s="131"/>
      <c r="B494" s="164"/>
      <c r="C494" s="165"/>
      <c r="D494" s="171"/>
      <c r="E494" s="164"/>
      <c r="F494" s="170"/>
      <c r="G494" s="134"/>
      <c r="H494" s="134"/>
      <c r="I494" s="134"/>
      <c r="J494" s="134"/>
      <c r="K494" s="134"/>
      <c r="L494" s="134"/>
      <c r="M494" s="134"/>
      <c r="N494" s="134"/>
      <c r="O494" s="134"/>
      <c r="P494" s="134"/>
      <c r="Q494" s="134"/>
      <c r="R494" s="134"/>
      <c r="S494" s="134"/>
      <c r="T494" s="134"/>
      <c r="U494" s="134"/>
      <c r="V494" s="134"/>
      <c r="W494" s="134"/>
      <c r="X494" s="134"/>
      <c r="Y494" s="134"/>
      <c r="Z494" s="134"/>
    </row>
    <row r="495">
      <c r="A495" s="131"/>
      <c r="B495" s="164"/>
      <c r="C495" s="165"/>
      <c r="D495" s="171"/>
      <c r="E495" s="164"/>
      <c r="F495" s="170"/>
      <c r="G495" s="134"/>
      <c r="H495" s="134"/>
      <c r="I495" s="134"/>
      <c r="J495" s="134"/>
      <c r="K495" s="134"/>
      <c r="L495" s="134"/>
      <c r="M495" s="134"/>
      <c r="N495" s="134"/>
      <c r="O495" s="134"/>
      <c r="P495" s="134"/>
      <c r="Q495" s="134"/>
      <c r="R495" s="134"/>
      <c r="S495" s="134"/>
      <c r="T495" s="134"/>
      <c r="U495" s="134"/>
      <c r="V495" s="134"/>
      <c r="W495" s="134"/>
      <c r="X495" s="134"/>
      <c r="Y495" s="134"/>
      <c r="Z495" s="134"/>
    </row>
    <row r="496">
      <c r="A496" s="131"/>
      <c r="B496" s="164"/>
      <c r="C496" s="165"/>
      <c r="D496" s="171"/>
      <c r="E496" s="164"/>
      <c r="F496" s="170"/>
      <c r="G496" s="134"/>
      <c r="H496" s="134"/>
      <c r="I496" s="134"/>
      <c r="J496" s="134"/>
      <c r="K496" s="134"/>
      <c r="L496" s="134"/>
      <c r="M496" s="134"/>
      <c r="N496" s="134"/>
      <c r="O496" s="134"/>
      <c r="P496" s="134"/>
      <c r="Q496" s="134"/>
      <c r="R496" s="134"/>
      <c r="S496" s="134"/>
      <c r="T496" s="134"/>
      <c r="U496" s="134"/>
      <c r="V496" s="134"/>
      <c r="W496" s="134"/>
      <c r="X496" s="134"/>
      <c r="Y496" s="134"/>
      <c r="Z496" s="134"/>
    </row>
    <row r="497">
      <c r="A497" s="131"/>
      <c r="B497" s="164"/>
      <c r="C497" s="165"/>
      <c r="D497" s="171"/>
      <c r="E497" s="164"/>
      <c r="F497" s="170"/>
      <c r="G497" s="134"/>
      <c r="H497" s="134"/>
      <c r="I497" s="134"/>
      <c r="J497" s="134"/>
      <c r="K497" s="134"/>
      <c r="L497" s="134"/>
      <c r="M497" s="134"/>
      <c r="N497" s="134"/>
      <c r="O497" s="134"/>
      <c r="P497" s="134"/>
      <c r="Q497" s="134"/>
      <c r="R497" s="134"/>
      <c r="S497" s="134"/>
      <c r="T497" s="134"/>
      <c r="U497" s="134"/>
      <c r="V497" s="134"/>
      <c r="W497" s="134"/>
      <c r="X497" s="134"/>
      <c r="Y497" s="134"/>
      <c r="Z497" s="134"/>
    </row>
    <row r="498">
      <c r="A498" s="131"/>
      <c r="B498" s="164"/>
      <c r="C498" s="165"/>
      <c r="D498" s="171"/>
      <c r="E498" s="164"/>
      <c r="F498" s="170"/>
      <c r="G498" s="134"/>
      <c r="H498" s="134"/>
      <c r="I498" s="134"/>
      <c r="J498" s="134"/>
      <c r="K498" s="134"/>
      <c r="L498" s="134"/>
      <c r="M498" s="134"/>
      <c r="N498" s="134"/>
      <c r="O498" s="134"/>
      <c r="P498" s="134"/>
      <c r="Q498" s="134"/>
      <c r="R498" s="134"/>
      <c r="S498" s="134"/>
      <c r="T498" s="134"/>
      <c r="U498" s="134"/>
      <c r="V498" s="134"/>
      <c r="W498" s="134"/>
      <c r="X498" s="134"/>
      <c r="Y498" s="134"/>
      <c r="Z498" s="134"/>
    </row>
    <row r="499">
      <c r="A499" s="131"/>
      <c r="B499" s="164"/>
      <c r="C499" s="165"/>
      <c r="D499" s="171"/>
      <c r="E499" s="164"/>
      <c r="F499" s="170"/>
      <c r="G499" s="134"/>
      <c r="H499" s="134"/>
      <c r="I499" s="134"/>
      <c r="J499" s="134"/>
      <c r="K499" s="134"/>
      <c r="L499" s="134"/>
      <c r="M499" s="134"/>
      <c r="N499" s="134"/>
      <c r="O499" s="134"/>
      <c r="P499" s="134"/>
      <c r="Q499" s="134"/>
      <c r="R499" s="134"/>
      <c r="S499" s="134"/>
      <c r="T499" s="134"/>
      <c r="U499" s="134"/>
      <c r="V499" s="134"/>
      <c r="W499" s="134"/>
      <c r="X499" s="134"/>
      <c r="Y499" s="134"/>
      <c r="Z499" s="134"/>
    </row>
    <row r="500">
      <c r="A500" s="131"/>
      <c r="B500" s="164"/>
      <c r="C500" s="165"/>
      <c r="D500" s="171"/>
      <c r="E500" s="164"/>
      <c r="F500" s="170"/>
      <c r="G500" s="134"/>
      <c r="H500" s="134"/>
      <c r="I500" s="134"/>
      <c r="J500" s="134"/>
      <c r="K500" s="134"/>
      <c r="L500" s="134"/>
      <c r="M500" s="134"/>
      <c r="N500" s="134"/>
      <c r="O500" s="134"/>
      <c r="P500" s="134"/>
      <c r="Q500" s="134"/>
      <c r="R500" s="134"/>
      <c r="S500" s="134"/>
      <c r="T500" s="134"/>
      <c r="U500" s="134"/>
      <c r="V500" s="134"/>
      <c r="W500" s="134"/>
      <c r="X500" s="134"/>
      <c r="Y500" s="134"/>
      <c r="Z500" s="134"/>
    </row>
    <row r="501">
      <c r="A501" s="131"/>
      <c r="B501" s="164"/>
      <c r="C501" s="165"/>
      <c r="D501" s="171"/>
      <c r="E501" s="164"/>
      <c r="F501" s="170"/>
      <c r="G501" s="134"/>
      <c r="H501" s="134"/>
      <c r="I501" s="134"/>
      <c r="J501" s="134"/>
      <c r="K501" s="134"/>
      <c r="L501" s="134"/>
      <c r="M501" s="134"/>
      <c r="N501" s="134"/>
      <c r="O501" s="134"/>
      <c r="P501" s="134"/>
      <c r="Q501" s="134"/>
      <c r="R501" s="134"/>
      <c r="S501" s="134"/>
      <c r="T501" s="134"/>
      <c r="U501" s="134"/>
      <c r="V501" s="134"/>
      <c r="W501" s="134"/>
      <c r="X501" s="134"/>
      <c r="Y501" s="134"/>
      <c r="Z501" s="134"/>
    </row>
    <row r="502">
      <c r="A502" s="131"/>
      <c r="B502" s="164"/>
      <c r="C502" s="165"/>
      <c r="D502" s="171"/>
      <c r="E502" s="164"/>
      <c r="F502" s="170"/>
      <c r="G502" s="134"/>
      <c r="H502" s="134"/>
      <c r="I502" s="134"/>
      <c r="J502" s="134"/>
      <c r="K502" s="134"/>
      <c r="L502" s="134"/>
      <c r="M502" s="134"/>
      <c r="N502" s="134"/>
      <c r="O502" s="134"/>
      <c r="P502" s="134"/>
      <c r="Q502" s="134"/>
      <c r="R502" s="134"/>
      <c r="S502" s="134"/>
      <c r="T502" s="134"/>
      <c r="U502" s="134"/>
      <c r="V502" s="134"/>
      <c r="W502" s="134"/>
      <c r="X502" s="134"/>
      <c r="Y502" s="134"/>
      <c r="Z502" s="134"/>
    </row>
    <row r="503">
      <c r="A503" s="131"/>
      <c r="B503" s="164"/>
      <c r="C503" s="165"/>
      <c r="D503" s="171"/>
      <c r="E503" s="164"/>
      <c r="F503" s="170"/>
      <c r="G503" s="134"/>
      <c r="H503" s="134"/>
      <c r="I503" s="134"/>
      <c r="J503" s="134"/>
      <c r="K503" s="134"/>
      <c r="L503" s="134"/>
      <c r="M503" s="134"/>
      <c r="N503" s="134"/>
      <c r="O503" s="134"/>
      <c r="P503" s="134"/>
      <c r="Q503" s="134"/>
      <c r="R503" s="134"/>
      <c r="S503" s="134"/>
      <c r="T503" s="134"/>
      <c r="U503" s="134"/>
      <c r="V503" s="134"/>
      <c r="W503" s="134"/>
      <c r="X503" s="134"/>
      <c r="Y503" s="134"/>
      <c r="Z503" s="134"/>
    </row>
    <row r="504">
      <c r="A504" s="131"/>
      <c r="B504" s="164"/>
      <c r="C504" s="165"/>
      <c r="D504" s="171"/>
      <c r="E504" s="164"/>
      <c r="F504" s="170"/>
      <c r="G504" s="134"/>
      <c r="H504" s="134"/>
      <c r="I504" s="134"/>
      <c r="J504" s="134"/>
      <c r="K504" s="134"/>
      <c r="L504" s="134"/>
      <c r="M504" s="134"/>
      <c r="N504" s="134"/>
      <c r="O504" s="134"/>
      <c r="P504" s="134"/>
      <c r="Q504" s="134"/>
      <c r="R504" s="134"/>
      <c r="S504" s="134"/>
      <c r="T504" s="134"/>
      <c r="U504" s="134"/>
      <c r="V504" s="134"/>
      <c r="W504" s="134"/>
      <c r="X504" s="134"/>
      <c r="Y504" s="134"/>
      <c r="Z504" s="134"/>
    </row>
    <row r="505">
      <c r="A505" s="131"/>
      <c r="B505" s="164"/>
      <c r="C505" s="165"/>
      <c r="D505" s="171"/>
      <c r="E505" s="164"/>
      <c r="F505" s="170"/>
      <c r="G505" s="134"/>
      <c r="H505" s="134"/>
      <c r="I505" s="134"/>
      <c r="J505" s="134"/>
      <c r="K505" s="134"/>
      <c r="L505" s="134"/>
      <c r="M505" s="134"/>
      <c r="N505" s="134"/>
      <c r="O505" s="134"/>
      <c r="P505" s="134"/>
      <c r="Q505" s="134"/>
      <c r="R505" s="134"/>
      <c r="S505" s="134"/>
      <c r="T505" s="134"/>
      <c r="U505" s="134"/>
      <c r="V505" s="134"/>
      <c r="W505" s="134"/>
      <c r="X505" s="134"/>
      <c r="Y505" s="134"/>
      <c r="Z505" s="134"/>
    </row>
    <row r="506">
      <c r="A506" s="131"/>
      <c r="B506" s="164"/>
      <c r="C506" s="165"/>
      <c r="D506" s="171"/>
      <c r="E506" s="164"/>
      <c r="F506" s="170"/>
      <c r="G506" s="134"/>
      <c r="H506" s="134"/>
      <c r="I506" s="134"/>
      <c r="J506" s="134"/>
      <c r="K506" s="134"/>
      <c r="L506" s="134"/>
      <c r="M506" s="134"/>
      <c r="N506" s="134"/>
      <c r="O506" s="134"/>
      <c r="P506" s="134"/>
      <c r="Q506" s="134"/>
      <c r="R506" s="134"/>
      <c r="S506" s="134"/>
      <c r="T506" s="134"/>
      <c r="U506" s="134"/>
      <c r="V506" s="134"/>
      <c r="W506" s="134"/>
      <c r="X506" s="134"/>
      <c r="Y506" s="134"/>
      <c r="Z506" s="134"/>
    </row>
    <row r="507">
      <c r="A507" s="131"/>
      <c r="B507" s="164"/>
      <c r="C507" s="165"/>
      <c r="D507" s="171"/>
      <c r="E507" s="164"/>
      <c r="F507" s="170"/>
      <c r="G507" s="134"/>
      <c r="H507" s="134"/>
      <c r="I507" s="134"/>
      <c r="J507" s="134"/>
      <c r="K507" s="134"/>
      <c r="L507" s="134"/>
      <c r="M507" s="134"/>
      <c r="N507" s="134"/>
      <c r="O507" s="134"/>
      <c r="P507" s="134"/>
      <c r="Q507" s="134"/>
      <c r="R507" s="134"/>
      <c r="S507" s="134"/>
      <c r="T507" s="134"/>
      <c r="U507" s="134"/>
      <c r="V507" s="134"/>
      <c r="W507" s="134"/>
      <c r="X507" s="134"/>
      <c r="Y507" s="134"/>
      <c r="Z507" s="134"/>
    </row>
    <row r="508">
      <c r="A508" s="131"/>
      <c r="B508" s="164"/>
      <c r="C508" s="165"/>
      <c r="D508" s="171"/>
      <c r="E508" s="164"/>
      <c r="F508" s="170"/>
      <c r="G508" s="134"/>
      <c r="H508" s="134"/>
      <c r="I508" s="134"/>
      <c r="J508" s="134"/>
      <c r="K508" s="134"/>
      <c r="L508" s="134"/>
      <c r="M508" s="134"/>
      <c r="N508" s="134"/>
      <c r="O508" s="134"/>
      <c r="P508" s="134"/>
      <c r="Q508" s="134"/>
      <c r="R508" s="134"/>
      <c r="S508" s="134"/>
      <c r="T508" s="134"/>
      <c r="U508" s="134"/>
      <c r="V508" s="134"/>
      <c r="W508" s="134"/>
      <c r="X508" s="134"/>
      <c r="Y508" s="134"/>
      <c r="Z508" s="134"/>
    </row>
    <row r="509">
      <c r="A509" s="131"/>
      <c r="B509" s="164"/>
      <c r="C509" s="165"/>
      <c r="D509" s="171"/>
      <c r="E509" s="164"/>
      <c r="F509" s="170"/>
      <c r="G509" s="134"/>
      <c r="H509" s="134"/>
      <c r="I509" s="134"/>
      <c r="J509" s="134"/>
      <c r="K509" s="134"/>
      <c r="L509" s="134"/>
      <c r="M509" s="134"/>
      <c r="N509" s="134"/>
      <c r="O509" s="134"/>
      <c r="P509" s="134"/>
      <c r="Q509" s="134"/>
      <c r="R509" s="134"/>
      <c r="S509" s="134"/>
      <c r="T509" s="134"/>
      <c r="U509" s="134"/>
      <c r="V509" s="134"/>
      <c r="W509" s="134"/>
      <c r="X509" s="134"/>
      <c r="Y509" s="134"/>
      <c r="Z509" s="134"/>
    </row>
    <row r="510">
      <c r="A510" s="131"/>
      <c r="B510" s="164"/>
      <c r="C510" s="165"/>
      <c r="D510" s="171"/>
      <c r="E510" s="164"/>
      <c r="F510" s="170"/>
      <c r="G510" s="134"/>
      <c r="H510" s="134"/>
      <c r="I510" s="134"/>
      <c r="J510" s="134"/>
      <c r="K510" s="134"/>
      <c r="L510" s="134"/>
      <c r="M510" s="134"/>
      <c r="N510" s="134"/>
      <c r="O510" s="134"/>
      <c r="P510" s="134"/>
      <c r="Q510" s="134"/>
      <c r="R510" s="134"/>
      <c r="S510" s="134"/>
      <c r="T510" s="134"/>
      <c r="U510" s="134"/>
      <c r="V510" s="134"/>
      <c r="W510" s="134"/>
      <c r="X510" s="134"/>
      <c r="Y510" s="134"/>
      <c r="Z510" s="134"/>
    </row>
    <row r="511">
      <c r="A511" s="131"/>
      <c r="B511" s="164"/>
      <c r="C511" s="165"/>
      <c r="D511" s="171"/>
      <c r="E511" s="164"/>
      <c r="F511" s="170"/>
      <c r="G511" s="134"/>
      <c r="H511" s="134"/>
      <c r="I511" s="134"/>
      <c r="J511" s="134"/>
      <c r="K511" s="134"/>
      <c r="L511" s="134"/>
      <c r="M511" s="134"/>
      <c r="N511" s="134"/>
      <c r="O511" s="134"/>
      <c r="P511" s="134"/>
      <c r="Q511" s="134"/>
      <c r="R511" s="134"/>
      <c r="S511" s="134"/>
      <c r="T511" s="134"/>
      <c r="U511" s="134"/>
      <c r="V511" s="134"/>
      <c r="W511" s="134"/>
      <c r="X511" s="134"/>
      <c r="Y511" s="134"/>
      <c r="Z511" s="134"/>
    </row>
    <row r="512">
      <c r="A512" s="131"/>
      <c r="B512" s="164"/>
      <c r="C512" s="165"/>
      <c r="D512" s="171"/>
      <c r="E512" s="164"/>
      <c r="F512" s="170"/>
      <c r="G512" s="134"/>
      <c r="H512" s="134"/>
      <c r="I512" s="134"/>
      <c r="J512" s="134"/>
      <c r="K512" s="134"/>
      <c r="L512" s="134"/>
      <c r="M512" s="134"/>
      <c r="N512" s="134"/>
      <c r="O512" s="134"/>
      <c r="P512" s="134"/>
      <c r="Q512" s="134"/>
      <c r="R512" s="134"/>
      <c r="S512" s="134"/>
      <c r="T512" s="134"/>
      <c r="U512" s="134"/>
      <c r="V512" s="134"/>
      <c r="W512" s="134"/>
      <c r="X512" s="134"/>
      <c r="Y512" s="134"/>
      <c r="Z512" s="134"/>
    </row>
    <row r="513">
      <c r="A513" s="131"/>
      <c r="B513" s="164"/>
      <c r="C513" s="165"/>
      <c r="D513" s="171"/>
      <c r="E513" s="164"/>
      <c r="F513" s="170"/>
      <c r="G513" s="134"/>
      <c r="H513" s="134"/>
      <c r="I513" s="134"/>
      <c r="J513" s="134"/>
      <c r="K513" s="134"/>
      <c r="L513" s="134"/>
      <c r="M513" s="134"/>
      <c r="N513" s="134"/>
      <c r="O513" s="134"/>
      <c r="P513" s="134"/>
      <c r="Q513" s="134"/>
      <c r="R513" s="134"/>
      <c r="S513" s="134"/>
      <c r="T513" s="134"/>
      <c r="U513" s="134"/>
      <c r="V513" s="134"/>
      <c r="W513" s="134"/>
      <c r="X513" s="134"/>
      <c r="Y513" s="134"/>
      <c r="Z513" s="134"/>
    </row>
    <row r="514">
      <c r="A514" s="131"/>
      <c r="B514" s="164"/>
      <c r="C514" s="165"/>
      <c r="D514" s="171"/>
      <c r="E514" s="164"/>
      <c r="F514" s="170"/>
      <c r="G514" s="134"/>
      <c r="H514" s="134"/>
      <c r="I514" s="134"/>
      <c r="J514" s="134"/>
      <c r="K514" s="134"/>
      <c r="L514" s="134"/>
      <c r="M514" s="134"/>
      <c r="N514" s="134"/>
      <c r="O514" s="134"/>
      <c r="P514" s="134"/>
      <c r="Q514" s="134"/>
      <c r="R514" s="134"/>
      <c r="S514" s="134"/>
      <c r="T514" s="134"/>
      <c r="U514" s="134"/>
      <c r="V514" s="134"/>
      <c r="W514" s="134"/>
      <c r="X514" s="134"/>
      <c r="Y514" s="134"/>
      <c r="Z514" s="134"/>
    </row>
    <row r="515">
      <c r="A515" s="131"/>
      <c r="B515" s="164"/>
      <c r="C515" s="165"/>
      <c r="D515" s="171"/>
      <c r="E515" s="164"/>
      <c r="F515" s="170"/>
      <c r="G515" s="134"/>
      <c r="H515" s="134"/>
      <c r="I515" s="134"/>
      <c r="J515" s="134"/>
      <c r="K515" s="134"/>
      <c r="L515" s="134"/>
      <c r="M515" s="134"/>
      <c r="N515" s="134"/>
      <c r="O515" s="134"/>
      <c r="P515" s="134"/>
      <c r="Q515" s="134"/>
      <c r="R515" s="134"/>
      <c r="S515" s="134"/>
      <c r="T515" s="134"/>
      <c r="U515" s="134"/>
      <c r="V515" s="134"/>
      <c r="W515" s="134"/>
      <c r="X515" s="134"/>
      <c r="Y515" s="134"/>
      <c r="Z515" s="134"/>
    </row>
    <row r="516">
      <c r="A516" s="131"/>
      <c r="B516" s="164"/>
      <c r="C516" s="165"/>
      <c r="D516" s="171"/>
      <c r="E516" s="164"/>
      <c r="F516" s="170"/>
      <c r="G516" s="134"/>
      <c r="H516" s="134"/>
      <c r="I516" s="134"/>
      <c r="J516" s="134"/>
      <c r="K516" s="134"/>
      <c r="L516" s="134"/>
      <c r="M516" s="134"/>
      <c r="N516" s="134"/>
      <c r="O516" s="134"/>
      <c r="P516" s="134"/>
      <c r="Q516" s="134"/>
      <c r="R516" s="134"/>
      <c r="S516" s="134"/>
      <c r="T516" s="134"/>
      <c r="U516" s="134"/>
      <c r="V516" s="134"/>
      <c r="W516" s="134"/>
      <c r="X516" s="134"/>
      <c r="Y516" s="134"/>
      <c r="Z516" s="134"/>
    </row>
    <row r="517">
      <c r="A517" s="131"/>
      <c r="B517" s="164"/>
      <c r="C517" s="165"/>
      <c r="D517" s="171"/>
      <c r="E517" s="164"/>
      <c r="F517" s="170"/>
      <c r="G517" s="134"/>
      <c r="H517" s="134"/>
      <c r="I517" s="134"/>
      <c r="J517" s="134"/>
      <c r="K517" s="134"/>
      <c r="L517" s="134"/>
      <c r="M517" s="134"/>
      <c r="N517" s="134"/>
      <c r="O517" s="134"/>
      <c r="P517" s="134"/>
      <c r="Q517" s="134"/>
      <c r="R517" s="134"/>
      <c r="S517" s="134"/>
      <c r="T517" s="134"/>
      <c r="U517" s="134"/>
      <c r="V517" s="134"/>
      <c r="W517" s="134"/>
      <c r="X517" s="134"/>
      <c r="Y517" s="134"/>
      <c r="Z517" s="134"/>
    </row>
    <row r="518">
      <c r="A518" s="131"/>
      <c r="B518" s="164"/>
      <c r="C518" s="165"/>
      <c r="D518" s="171"/>
      <c r="E518" s="164"/>
      <c r="F518" s="170"/>
      <c r="G518" s="134"/>
      <c r="H518" s="134"/>
      <c r="I518" s="134"/>
      <c r="J518" s="134"/>
      <c r="K518" s="134"/>
      <c r="L518" s="134"/>
      <c r="M518" s="134"/>
      <c r="N518" s="134"/>
      <c r="O518" s="134"/>
      <c r="P518" s="134"/>
      <c r="Q518" s="134"/>
      <c r="R518" s="134"/>
      <c r="S518" s="134"/>
      <c r="T518" s="134"/>
      <c r="U518" s="134"/>
      <c r="V518" s="134"/>
      <c r="W518" s="134"/>
      <c r="X518" s="134"/>
      <c r="Y518" s="134"/>
      <c r="Z518" s="134"/>
    </row>
    <row r="519">
      <c r="A519" s="131"/>
      <c r="B519" s="164"/>
      <c r="C519" s="165"/>
      <c r="D519" s="171"/>
      <c r="E519" s="164"/>
      <c r="F519" s="170"/>
      <c r="G519" s="134"/>
      <c r="H519" s="134"/>
      <c r="I519" s="134"/>
      <c r="J519" s="134"/>
      <c r="K519" s="134"/>
      <c r="L519" s="134"/>
      <c r="M519" s="134"/>
      <c r="N519" s="134"/>
      <c r="O519" s="134"/>
      <c r="P519" s="134"/>
      <c r="Q519" s="134"/>
      <c r="R519" s="134"/>
      <c r="S519" s="134"/>
      <c r="T519" s="134"/>
      <c r="U519" s="134"/>
      <c r="V519" s="134"/>
      <c r="W519" s="134"/>
      <c r="X519" s="134"/>
      <c r="Y519" s="134"/>
      <c r="Z519" s="134"/>
    </row>
    <row r="520">
      <c r="A520" s="131"/>
      <c r="B520" s="164"/>
      <c r="C520" s="165"/>
      <c r="D520" s="171"/>
      <c r="E520" s="164"/>
      <c r="F520" s="170"/>
      <c r="G520" s="134"/>
      <c r="H520" s="134"/>
      <c r="I520" s="134"/>
      <c r="J520" s="134"/>
      <c r="K520" s="134"/>
      <c r="L520" s="134"/>
      <c r="M520" s="134"/>
      <c r="N520" s="134"/>
      <c r="O520" s="134"/>
      <c r="P520" s="134"/>
      <c r="Q520" s="134"/>
      <c r="R520" s="134"/>
      <c r="S520" s="134"/>
      <c r="T520" s="134"/>
      <c r="U520" s="134"/>
      <c r="V520" s="134"/>
      <c r="W520" s="134"/>
      <c r="X520" s="134"/>
      <c r="Y520" s="134"/>
      <c r="Z520" s="134"/>
    </row>
    <row r="521">
      <c r="A521" s="131"/>
      <c r="B521" s="164"/>
      <c r="C521" s="165"/>
      <c r="D521" s="171"/>
      <c r="E521" s="164"/>
      <c r="F521" s="170"/>
      <c r="G521" s="134"/>
      <c r="H521" s="134"/>
      <c r="I521" s="134"/>
      <c r="J521" s="134"/>
      <c r="K521" s="134"/>
      <c r="L521" s="134"/>
      <c r="M521" s="134"/>
      <c r="N521" s="134"/>
      <c r="O521" s="134"/>
      <c r="P521" s="134"/>
      <c r="Q521" s="134"/>
      <c r="R521" s="134"/>
      <c r="S521" s="134"/>
      <c r="T521" s="134"/>
      <c r="U521" s="134"/>
      <c r="V521" s="134"/>
      <c r="W521" s="134"/>
      <c r="X521" s="134"/>
      <c r="Y521" s="134"/>
      <c r="Z521" s="134"/>
    </row>
    <row r="522">
      <c r="A522" s="131"/>
      <c r="B522" s="164"/>
      <c r="C522" s="165"/>
      <c r="D522" s="171"/>
      <c r="E522" s="164"/>
      <c r="F522" s="170"/>
      <c r="G522" s="134"/>
      <c r="H522" s="134"/>
      <c r="I522" s="134"/>
      <c r="J522" s="134"/>
      <c r="K522" s="134"/>
      <c r="L522" s="134"/>
      <c r="M522" s="134"/>
      <c r="N522" s="134"/>
      <c r="O522" s="134"/>
      <c r="P522" s="134"/>
      <c r="Q522" s="134"/>
      <c r="R522" s="134"/>
      <c r="S522" s="134"/>
      <c r="T522" s="134"/>
      <c r="U522" s="134"/>
      <c r="V522" s="134"/>
      <c r="W522" s="134"/>
      <c r="X522" s="134"/>
      <c r="Y522" s="134"/>
      <c r="Z522" s="134"/>
    </row>
    <row r="523">
      <c r="A523" s="131"/>
      <c r="B523" s="164"/>
      <c r="C523" s="165"/>
      <c r="D523" s="171"/>
      <c r="E523" s="164"/>
      <c r="F523" s="170"/>
      <c r="G523" s="134"/>
      <c r="H523" s="134"/>
      <c r="I523" s="134"/>
      <c r="J523" s="134"/>
      <c r="K523" s="134"/>
      <c r="L523" s="134"/>
      <c r="M523" s="134"/>
      <c r="N523" s="134"/>
      <c r="O523" s="134"/>
      <c r="P523" s="134"/>
      <c r="Q523" s="134"/>
      <c r="R523" s="134"/>
      <c r="S523" s="134"/>
      <c r="T523" s="134"/>
      <c r="U523" s="134"/>
      <c r="V523" s="134"/>
      <c r="W523" s="134"/>
      <c r="X523" s="134"/>
      <c r="Y523" s="134"/>
      <c r="Z523" s="134"/>
    </row>
    <row r="524">
      <c r="A524" s="131"/>
      <c r="B524" s="164"/>
      <c r="C524" s="165"/>
      <c r="D524" s="171"/>
      <c r="E524" s="164"/>
      <c r="F524" s="170"/>
      <c r="G524" s="134"/>
      <c r="H524" s="134"/>
      <c r="I524" s="134"/>
      <c r="J524" s="134"/>
      <c r="K524" s="134"/>
      <c r="L524" s="134"/>
      <c r="M524" s="134"/>
      <c r="N524" s="134"/>
      <c r="O524" s="134"/>
      <c r="P524" s="134"/>
      <c r="Q524" s="134"/>
      <c r="R524" s="134"/>
      <c r="S524" s="134"/>
      <c r="T524" s="134"/>
      <c r="U524" s="134"/>
      <c r="V524" s="134"/>
      <c r="W524" s="134"/>
      <c r="X524" s="134"/>
      <c r="Y524" s="134"/>
      <c r="Z524" s="134"/>
    </row>
    <row r="525">
      <c r="A525" s="131"/>
      <c r="B525" s="164"/>
      <c r="C525" s="165"/>
      <c r="D525" s="171"/>
      <c r="E525" s="164"/>
      <c r="F525" s="170"/>
      <c r="G525" s="134"/>
      <c r="H525" s="134"/>
      <c r="I525" s="134"/>
      <c r="J525" s="134"/>
      <c r="K525" s="134"/>
      <c r="L525" s="134"/>
      <c r="M525" s="134"/>
      <c r="N525" s="134"/>
      <c r="O525" s="134"/>
      <c r="P525" s="134"/>
      <c r="Q525" s="134"/>
      <c r="R525" s="134"/>
      <c r="S525" s="134"/>
      <c r="T525" s="134"/>
      <c r="U525" s="134"/>
      <c r="V525" s="134"/>
      <c r="W525" s="134"/>
      <c r="X525" s="134"/>
      <c r="Y525" s="134"/>
      <c r="Z525" s="134"/>
    </row>
    <row r="526">
      <c r="A526" s="131"/>
      <c r="B526" s="164"/>
      <c r="C526" s="165"/>
      <c r="D526" s="171"/>
      <c r="E526" s="164"/>
      <c r="F526" s="170"/>
      <c r="G526" s="134"/>
      <c r="H526" s="134"/>
      <c r="I526" s="134"/>
      <c r="J526" s="134"/>
      <c r="K526" s="134"/>
      <c r="L526" s="134"/>
      <c r="M526" s="134"/>
      <c r="N526" s="134"/>
      <c r="O526" s="134"/>
      <c r="P526" s="134"/>
      <c r="Q526" s="134"/>
      <c r="R526" s="134"/>
      <c r="S526" s="134"/>
      <c r="T526" s="134"/>
      <c r="U526" s="134"/>
      <c r="V526" s="134"/>
      <c r="W526" s="134"/>
      <c r="X526" s="134"/>
      <c r="Y526" s="134"/>
      <c r="Z526" s="134"/>
    </row>
    <row r="527">
      <c r="A527" s="131"/>
      <c r="B527" s="164"/>
      <c r="C527" s="165"/>
      <c r="D527" s="171"/>
      <c r="E527" s="164"/>
      <c r="F527" s="170"/>
      <c r="G527" s="134"/>
      <c r="H527" s="134"/>
      <c r="I527" s="134"/>
      <c r="J527" s="134"/>
      <c r="K527" s="134"/>
      <c r="L527" s="134"/>
      <c r="M527" s="134"/>
      <c r="N527" s="134"/>
      <c r="O527" s="134"/>
      <c r="P527" s="134"/>
      <c r="Q527" s="134"/>
      <c r="R527" s="134"/>
      <c r="S527" s="134"/>
      <c r="T527" s="134"/>
      <c r="U527" s="134"/>
      <c r="V527" s="134"/>
      <c r="W527" s="134"/>
      <c r="X527" s="134"/>
      <c r="Y527" s="134"/>
      <c r="Z527" s="134"/>
    </row>
    <row r="528">
      <c r="A528" s="131"/>
      <c r="B528" s="164"/>
      <c r="C528" s="165"/>
      <c r="D528" s="171"/>
      <c r="E528" s="164"/>
      <c r="F528" s="170"/>
      <c r="G528" s="134"/>
      <c r="H528" s="134"/>
      <c r="I528" s="134"/>
      <c r="J528" s="134"/>
      <c r="K528" s="134"/>
      <c r="L528" s="134"/>
      <c r="M528" s="134"/>
      <c r="N528" s="134"/>
      <c r="O528" s="134"/>
      <c r="P528" s="134"/>
      <c r="Q528" s="134"/>
      <c r="R528" s="134"/>
      <c r="S528" s="134"/>
      <c r="T528" s="134"/>
      <c r="U528" s="134"/>
      <c r="V528" s="134"/>
      <c r="W528" s="134"/>
      <c r="X528" s="134"/>
      <c r="Y528" s="134"/>
      <c r="Z528" s="134"/>
    </row>
    <row r="529">
      <c r="A529" s="131"/>
      <c r="B529" s="164"/>
      <c r="C529" s="165"/>
      <c r="D529" s="171"/>
      <c r="E529" s="164"/>
      <c r="F529" s="170"/>
      <c r="G529" s="134"/>
      <c r="H529" s="134"/>
      <c r="I529" s="134"/>
      <c r="J529" s="134"/>
      <c r="K529" s="134"/>
      <c r="L529" s="134"/>
      <c r="M529" s="134"/>
      <c r="N529" s="134"/>
      <c r="O529" s="134"/>
      <c r="P529" s="134"/>
      <c r="Q529" s="134"/>
      <c r="R529" s="134"/>
      <c r="S529" s="134"/>
      <c r="T529" s="134"/>
      <c r="U529" s="134"/>
      <c r="V529" s="134"/>
      <c r="W529" s="134"/>
      <c r="X529" s="134"/>
      <c r="Y529" s="134"/>
      <c r="Z529" s="134"/>
    </row>
    <row r="530">
      <c r="A530" s="131"/>
      <c r="B530" s="164"/>
      <c r="C530" s="165"/>
      <c r="D530" s="171"/>
      <c r="E530" s="164"/>
      <c r="F530" s="170"/>
      <c r="G530" s="134"/>
      <c r="H530" s="134"/>
      <c r="I530" s="134"/>
      <c r="J530" s="134"/>
      <c r="K530" s="134"/>
      <c r="L530" s="134"/>
      <c r="M530" s="134"/>
      <c r="N530" s="134"/>
      <c r="O530" s="134"/>
      <c r="P530" s="134"/>
      <c r="Q530" s="134"/>
      <c r="R530" s="134"/>
      <c r="S530" s="134"/>
      <c r="T530" s="134"/>
      <c r="U530" s="134"/>
      <c r="V530" s="134"/>
      <c r="W530" s="134"/>
      <c r="X530" s="134"/>
      <c r="Y530" s="134"/>
      <c r="Z530" s="134"/>
    </row>
    <row r="531">
      <c r="A531" s="131"/>
      <c r="B531" s="164"/>
      <c r="C531" s="165"/>
      <c r="D531" s="171"/>
      <c r="E531" s="164"/>
      <c r="F531" s="170"/>
      <c r="G531" s="134"/>
      <c r="H531" s="134"/>
      <c r="I531" s="134"/>
      <c r="J531" s="134"/>
      <c r="K531" s="134"/>
      <c r="L531" s="134"/>
      <c r="M531" s="134"/>
      <c r="N531" s="134"/>
      <c r="O531" s="134"/>
      <c r="P531" s="134"/>
      <c r="Q531" s="134"/>
      <c r="R531" s="134"/>
      <c r="S531" s="134"/>
      <c r="T531" s="134"/>
      <c r="U531" s="134"/>
      <c r="V531" s="134"/>
      <c r="W531" s="134"/>
      <c r="X531" s="134"/>
      <c r="Y531" s="134"/>
      <c r="Z531" s="134"/>
    </row>
    <row r="532">
      <c r="A532" s="131"/>
      <c r="B532" s="164"/>
      <c r="C532" s="165"/>
      <c r="D532" s="171"/>
      <c r="E532" s="164"/>
      <c r="F532" s="170"/>
      <c r="G532" s="134"/>
      <c r="H532" s="134"/>
      <c r="I532" s="134"/>
      <c r="J532" s="134"/>
      <c r="K532" s="134"/>
      <c r="L532" s="134"/>
      <c r="M532" s="134"/>
      <c r="N532" s="134"/>
      <c r="O532" s="134"/>
      <c r="P532" s="134"/>
      <c r="Q532" s="134"/>
      <c r="R532" s="134"/>
      <c r="S532" s="134"/>
      <c r="T532" s="134"/>
      <c r="U532" s="134"/>
      <c r="V532" s="134"/>
      <c r="W532" s="134"/>
      <c r="X532" s="134"/>
      <c r="Y532" s="134"/>
      <c r="Z532" s="134"/>
    </row>
    <row r="533">
      <c r="A533" s="131"/>
      <c r="B533" s="164"/>
      <c r="C533" s="165"/>
      <c r="D533" s="171"/>
      <c r="E533" s="164"/>
      <c r="F533" s="170"/>
      <c r="G533" s="134"/>
      <c r="H533" s="134"/>
      <c r="I533" s="134"/>
      <c r="J533" s="134"/>
      <c r="K533" s="134"/>
      <c r="L533" s="134"/>
      <c r="M533" s="134"/>
      <c r="N533" s="134"/>
      <c r="O533" s="134"/>
      <c r="P533" s="134"/>
      <c r="Q533" s="134"/>
      <c r="R533" s="134"/>
      <c r="S533" s="134"/>
      <c r="T533" s="134"/>
      <c r="U533" s="134"/>
      <c r="V533" s="134"/>
      <c r="W533" s="134"/>
      <c r="X533" s="134"/>
      <c r="Y533" s="134"/>
      <c r="Z533" s="134"/>
    </row>
    <row r="534">
      <c r="A534" s="131"/>
      <c r="B534" s="164"/>
      <c r="C534" s="165"/>
      <c r="D534" s="171"/>
      <c r="E534" s="164"/>
      <c r="F534" s="170"/>
      <c r="G534" s="134"/>
      <c r="H534" s="134"/>
      <c r="I534" s="134"/>
      <c r="J534" s="134"/>
      <c r="K534" s="134"/>
      <c r="L534" s="134"/>
      <c r="M534" s="134"/>
      <c r="N534" s="134"/>
      <c r="O534" s="134"/>
      <c r="P534" s="134"/>
      <c r="Q534" s="134"/>
      <c r="R534" s="134"/>
      <c r="S534" s="134"/>
      <c r="T534" s="134"/>
      <c r="U534" s="134"/>
      <c r="V534" s="134"/>
      <c r="W534" s="134"/>
      <c r="X534" s="134"/>
      <c r="Y534" s="134"/>
      <c r="Z534" s="134"/>
    </row>
    <row r="535">
      <c r="A535" s="131"/>
      <c r="B535" s="164"/>
      <c r="C535" s="165"/>
      <c r="D535" s="171"/>
      <c r="E535" s="164"/>
      <c r="F535" s="170"/>
      <c r="G535" s="134"/>
      <c r="H535" s="134"/>
      <c r="I535" s="134"/>
      <c r="J535" s="134"/>
      <c r="K535" s="134"/>
      <c r="L535" s="134"/>
      <c r="M535" s="134"/>
      <c r="N535" s="134"/>
      <c r="O535" s="134"/>
      <c r="P535" s="134"/>
      <c r="Q535" s="134"/>
      <c r="R535" s="134"/>
      <c r="S535" s="134"/>
      <c r="T535" s="134"/>
      <c r="U535" s="134"/>
      <c r="V535" s="134"/>
      <c r="W535" s="134"/>
      <c r="X535" s="134"/>
      <c r="Y535" s="134"/>
      <c r="Z535" s="134"/>
    </row>
    <row r="536">
      <c r="A536" s="131"/>
      <c r="B536" s="164"/>
      <c r="C536" s="165"/>
      <c r="D536" s="171"/>
      <c r="E536" s="164"/>
      <c r="F536" s="170"/>
      <c r="G536" s="134"/>
      <c r="H536" s="134"/>
      <c r="I536" s="134"/>
      <c r="J536" s="134"/>
      <c r="K536" s="134"/>
      <c r="L536" s="134"/>
      <c r="M536" s="134"/>
      <c r="N536" s="134"/>
      <c r="O536" s="134"/>
      <c r="P536" s="134"/>
      <c r="Q536" s="134"/>
      <c r="R536" s="134"/>
      <c r="S536" s="134"/>
      <c r="T536" s="134"/>
      <c r="U536" s="134"/>
      <c r="V536" s="134"/>
      <c r="W536" s="134"/>
      <c r="X536" s="134"/>
      <c r="Y536" s="134"/>
      <c r="Z536" s="134"/>
    </row>
    <row r="537">
      <c r="A537" s="131"/>
      <c r="B537" s="164"/>
      <c r="C537" s="165"/>
      <c r="D537" s="171"/>
      <c r="E537" s="164"/>
      <c r="F537" s="170"/>
      <c r="G537" s="134"/>
      <c r="H537" s="134"/>
      <c r="I537" s="134"/>
      <c r="J537" s="134"/>
      <c r="K537" s="134"/>
      <c r="L537" s="134"/>
      <c r="M537" s="134"/>
      <c r="N537" s="134"/>
      <c r="O537" s="134"/>
      <c r="P537" s="134"/>
      <c r="Q537" s="134"/>
      <c r="R537" s="134"/>
      <c r="S537" s="134"/>
      <c r="T537" s="134"/>
      <c r="U537" s="134"/>
      <c r="V537" s="134"/>
      <c r="W537" s="134"/>
      <c r="X537" s="134"/>
      <c r="Y537" s="134"/>
      <c r="Z537" s="134"/>
    </row>
    <row r="538">
      <c r="A538" s="131"/>
      <c r="B538" s="164"/>
      <c r="C538" s="165"/>
      <c r="D538" s="171"/>
      <c r="E538" s="164"/>
      <c r="F538" s="170"/>
      <c r="G538" s="134"/>
      <c r="H538" s="134"/>
      <c r="I538" s="134"/>
      <c r="J538" s="134"/>
      <c r="K538" s="134"/>
      <c r="L538" s="134"/>
      <c r="M538" s="134"/>
      <c r="N538" s="134"/>
      <c r="O538" s="134"/>
      <c r="P538" s="134"/>
      <c r="Q538" s="134"/>
      <c r="R538" s="134"/>
      <c r="S538" s="134"/>
      <c r="T538" s="134"/>
      <c r="U538" s="134"/>
      <c r="V538" s="134"/>
      <c r="W538" s="134"/>
      <c r="X538" s="134"/>
      <c r="Y538" s="134"/>
      <c r="Z538" s="134"/>
    </row>
    <row r="539">
      <c r="A539" s="131"/>
      <c r="B539" s="164"/>
      <c r="C539" s="165"/>
      <c r="D539" s="171"/>
      <c r="E539" s="164"/>
      <c r="F539" s="170"/>
      <c r="G539" s="134"/>
      <c r="H539" s="134"/>
      <c r="I539" s="134"/>
      <c r="J539" s="134"/>
      <c r="K539" s="134"/>
      <c r="L539" s="134"/>
      <c r="M539" s="134"/>
      <c r="N539" s="134"/>
      <c r="O539" s="134"/>
      <c r="P539" s="134"/>
      <c r="Q539" s="134"/>
      <c r="R539" s="134"/>
      <c r="S539" s="134"/>
      <c r="T539" s="134"/>
      <c r="U539" s="134"/>
      <c r="V539" s="134"/>
      <c r="W539" s="134"/>
      <c r="X539" s="134"/>
      <c r="Y539" s="134"/>
      <c r="Z539" s="134"/>
    </row>
    <row r="540">
      <c r="A540" s="131"/>
      <c r="B540" s="164"/>
      <c r="C540" s="165"/>
      <c r="D540" s="171"/>
      <c r="E540" s="164"/>
      <c r="F540" s="170"/>
      <c r="G540" s="134"/>
      <c r="H540" s="134"/>
      <c r="I540" s="134"/>
      <c r="J540" s="134"/>
      <c r="K540" s="134"/>
      <c r="L540" s="134"/>
      <c r="M540" s="134"/>
      <c r="N540" s="134"/>
      <c r="O540" s="134"/>
      <c r="P540" s="134"/>
      <c r="Q540" s="134"/>
      <c r="R540" s="134"/>
      <c r="S540" s="134"/>
      <c r="T540" s="134"/>
      <c r="U540" s="134"/>
      <c r="V540" s="134"/>
      <c r="W540" s="134"/>
      <c r="X540" s="134"/>
      <c r="Y540" s="134"/>
      <c r="Z540" s="134"/>
    </row>
    <row r="541">
      <c r="A541" s="131"/>
      <c r="B541" s="164"/>
      <c r="C541" s="165"/>
      <c r="D541" s="171"/>
      <c r="E541" s="164"/>
      <c r="F541" s="170"/>
      <c r="G541" s="134"/>
      <c r="H541" s="134"/>
      <c r="I541" s="134"/>
      <c r="J541" s="134"/>
      <c r="K541" s="134"/>
      <c r="L541" s="134"/>
      <c r="M541" s="134"/>
      <c r="N541" s="134"/>
      <c r="O541" s="134"/>
      <c r="P541" s="134"/>
      <c r="Q541" s="134"/>
      <c r="R541" s="134"/>
      <c r="S541" s="134"/>
      <c r="T541" s="134"/>
      <c r="U541" s="134"/>
      <c r="V541" s="134"/>
      <c r="W541" s="134"/>
      <c r="X541" s="134"/>
      <c r="Y541" s="134"/>
      <c r="Z541" s="134"/>
    </row>
    <row r="542">
      <c r="A542" s="131"/>
      <c r="B542" s="164"/>
      <c r="C542" s="165"/>
      <c r="D542" s="171"/>
      <c r="E542" s="164"/>
      <c r="F542" s="170"/>
      <c r="G542" s="134"/>
      <c r="H542" s="134"/>
      <c r="I542" s="134"/>
      <c r="J542" s="134"/>
      <c r="K542" s="134"/>
      <c r="L542" s="134"/>
      <c r="M542" s="134"/>
      <c r="N542" s="134"/>
      <c r="O542" s="134"/>
      <c r="P542" s="134"/>
      <c r="Q542" s="134"/>
      <c r="R542" s="134"/>
      <c r="S542" s="134"/>
      <c r="T542" s="134"/>
      <c r="U542" s="134"/>
      <c r="V542" s="134"/>
      <c r="W542" s="134"/>
      <c r="X542" s="134"/>
      <c r="Y542" s="134"/>
      <c r="Z542" s="134"/>
    </row>
    <row r="543">
      <c r="A543" s="131"/>
      <c r="B543" s="164"/>
      <c r="C543" s="165"/>
      <c r="D543" s="171"/>
      <c r="E543" s="164"/>
      <c r="F543" s="170"/>
      <c r="G543" s="134"/>
      <c r="H543" s="134"/>
      <c r="I543" s="134"/>
      <c r="J543" s="134"/>
      <c r="K543" s="134"/>
      <c r="L543" s="134"/>
      <c r="M543" s="134"/>
      <c r="N543" s="134"/>
      <c r="O543" s="134"/>
      <c r="P543" s="134"/>
      <c r="Q543" s="134"/>
      <c r="R543" s="134"/>
      <c r="S543" s="134"/>
      <c r="T543" s="134"/>
      <c r="U543" s="134"/>
      <c r="V543" s="134"/>
      <c r="W543" s="134"/>
      <c r="X543" s="134"/>
      <c r="Y543" s="134"/>
      <c r="Z543" s="134"/>
    </row>
    <row r="544">
      <c r="A544" s="131"/>
      <c r="B544" s="164"/>
      <c r="C544" s="165"/>
      <c r="D544" s="171"/>
      <c r="E544" s="164"/>
      <c r="F544" s="170"/>
      <c r="G544" s="134"/>
      <c r="H544" s="134"/>
      <c r="I544" s="134"/>
      <c r="J544" s="134"/>
      <c r="K544" s="134"/>
      <c r="L544" s="134"/>
      <c r="M544" s="134"/>
      <c r="N544" s="134"/>
      <c r="O544" s="134"/>
      <c r="P544" s="134"/>
      <c r="Q544" s="134"/>
      <c r="R544" s="134"/>
      <c r="S544" s="134"/>
      <c r="T544" s="134"/>
      <c r="U544" s="134"/>
      <c r="V544" s="134"/>
      <c r="W544" s="134"/>
      <c r="X544" s="134"/>
      <c r="Y544" s="134"/>
      <c r="Z544" s="134"/>
    </row>
    <row r="545">
      <c r="A545" s="131"/>
      <c r="B545" s="164"/>
      <c r="C545" s="165"/>
      <c r="D545" s="171"/>
      <c r="E545" s="164"/>
      <c r="F545" s="170"/>
      <c r="G545" s="134"/>
      <c r="H545" s="134"/>
      <c r="I545" s="134"/>
      <c r="J545" s="134"/>
      <c r="K545" s="134"/>
      <c r="L545" s="134"/>
      <c r="M545" s="134"/>
      <c r="N545" s="134"/>
      <c r="O545" s="134"/>
      <c r="P545" s="134"/>
      <c r="Q545" s="134"/>
      <c r="R545" s="134"/>
      <c r="S545" s="134"/>
      <c r="T545" s="134"/>
      <c r="U545" s="134"/>
      <c r="V545" s="134"/>
      <c r="W545" s="134"/>
      <c r="X545" s="134"/>
      <c r="Y545" s="134"/>
      <c r="Z545" s="134"/>
    </row>
    <row r="546">
      <c r="A546" s="131"/>
      <c r="B546" s="164"/>
      <c r="C546" s="165"/>
      <c r="D546" s="171"/>
      <c r="E546" s="164"/>
      <c r="F546" s="170"/>
      <c r="G546" s="134"/>
      <c r="H546" s="134"/>
      <c r="I546" s="134"/>
      <c r="J546" s="134"/>
      <c r="K546" s="134"/>
      <c r="L546" s="134"/>
      <c r="M546" s="134"/>
      <c r="N546" s="134"/>
      <c r="O546" s="134"/>
      <c r="P546" s="134"/>
      <c r="Q546" s="134"/>
      <c r="R546" s="134"/>
      <c r="S546" s="134"/>
      <c r="T546" s="134"/>
      <c r="U546" s="134"/>
      <c r="V546" s="134"/>
      <c r="W546" s="134"/>
      <c r="X546" s="134"/>
      <c r="Y546" s="134"/>
      <c r="Z546" s="134"/>
    </row>
    <row r="547">
      <c r="A547" s="131"/>
      <c r="B547" s="164"/>
      <c r="C547" s="165"/>
      <c r="D547" s="171"/>
      <c r="E547" s="164"/>
      <c r="F547" s="170"/>
      <c r="G547" s="134"/>
      <c r="H547" s="134"/>
      <c r="I547" s="134"/>
      <c r="J547" s="134"/>
      <c r="K547" s="134"/>
      <c r="L547" s="134"/>
      <c r="M547" s="134"/>
      <c r="N547" s="134"/>
      <c r="O547" s="134"/>
      <c r="P547" s="134"/>
      <c r="Q547" s="134"/>
      <c r="R547" s="134"/>
      <c r="S547" s="134"/>
      <c r="T547" s="134"/>
      <c r="U547" s="134"/>
      <c r="V547" s="134"/>
      <c r="W547" s="134"/>
      <c r="X547" s="134"/>
      <c r="Y547" s="134"/>
      <c r="Z547" s="134"/>
    </row>
    <row r="548">
      <c r="A548" s="131"/>
      <c r="B548" s="164"/>
      <c r="C548" s="165"/>
      <c r="D548" s="171"/>
      <c r="E548" s="164"/>
      <c r="F548" s="170"/>
      <c r="G548" s="134"/>
      <c r="H548" s="134"/>
      <c r="I548" s="134"/>
      <c r="J548" s="134"/>
      <c r="K548" s="134"/>
      <c r="L548" s="134"/>
      <c r="M548" s="134"/>
      <c r="N548" s="134"/>
      <c r="O548" s="134"/>
      <c r="P548" s="134"/>
      <c r="Q548" s="134"/>
      <c r="R548" s="134"/>
      <c r="S548" s="134"/>
      <c r="T548" s="134"/>
      <c r="U548" s="134"/>
      <c r="V548" s="134"/>
      <c r="W548" s="134"/>
      <c r="X548" s="134"/>
      <c r="Y548" s="134"/>
      <c r="Z548" s="134"/>
    </row>
    <row r="549">
      <c r="A549" s="131"/>
      <c r="B549" s="164"/>
      <c r="C549" s="165"/>
      <c r="D549" s="171"/>
      <c r="E549" s="164"/>
      <c r="F549" s="170"/>
      <c r="G549" s="134"/>
      <c r="H549" s="134"/>
      <c r="I549" s="134"/>
      <c r="J549" s="134"/>
      <c r="K549" s="134"/>
      <c r="L549" s="134"/>
      <c r="M549" s="134"/>
      <c r="N549" s="134"/>
      <c r="O549" s="134"/>
      <c r="P549" s="134"/>
      <c r="Q549" s="134"/>
      <c r="R549" s="134"/>
      <c r="S549" s="134"/>
      <c r="T549" s="134"/>
      <c r="U549" s="134"/>
      <c r="V549" s="134"/>
      <c r="W549" s="134"/>
      <c r="X549" s="134"/>
      <c r="Y549" s="134"/>
      <c r="Z549" s="134"/>
    </row>
    <row r="550">
      <c r="A550" s="131"/>
      <c r="B550" s="164"/>
      <c r="C550" s="165"/>
      <c r="D550" s="171"/>
      <c r="E550" s="164"/>
      <c r="F550" s="170"/>
      <c r="G550" s="134"/>
      <c r="H550" s="134"/>
      <c r="I550" s="134"/>
      <c r="J550" s="134"/>
      <c r="K550" s="134"/>
      <c r="L550" s="134"/>
      <c r="M550" s="134"/>
      <c r="N550" s="134"/>
      <c r="O550" s="134"/>
      <c r="P550" s="134"/>
      <c r="Q550" s="134"/>
      <c r="R550" s="134"/>
      <c r="S550" s="134"/>
      <c r="T550" s="134"/>
      <c r="U550" s="134"/>
      <c r="V550" s="134"/>
      <c r="W550" s="134"/>
      <c r="X550" s="134"/>
      <c r="Y550" s="134"/>
      <c r="Z550" s="134"/>
    </row>
    <row r="551">
      <c r="A551" s="131"/>
      <c r="B551" s="164"/>
      <c r="C551" s="165"/>
      <c r="D551" s="171"/>
      <c r="E551" s="164"/>
      <c r="F551" s="170"/>
      <c r="G551" s="134"/>
      <c r="H551" s="134"/>
      <c r="I551" s="134"/>
      <c r="J551" s="134"/>
      <c r="K551" s="134"/>
      <c r="L551" s="134"/>
      <c r="M551" s="134"/>
      <c r="N551" s="134"/>
      <c r="O551" s="134"/>
      <c r="P551" s="134"/>
      <c r="Q551" s="134"/>
      <c r="R551" s="134"/>
      <c r="S551" s="134"/>
      <c r="T551" s="134"/>
      <c r="U551" s="134"/>
      <c r="V551" s="134"/>
      <c r="W551" s="134"/>
      <c r="X551" s="134"/>
      <c r="Y551" s="134"/>
      <c r="Z551" s="134"/>
    </row>
    <row r="552">
      <c r="A552" s="131"/>
      <c r="B552" s="164"/>
      <c r="C552" s="165"/>
      <c r="D552" s="171"/>
      <c r="E552" s="164"/>
      <c r="F552" s="170"/>
      <c r="G552" s="134"/>
      <c r="H552" s="134"/>
      <c r="I552" s="134"/>
      <c r="J552" s="134"/>
      <c r="K552" s="134"/>
      <c r="L552" s="134"/>
      <c r="M552" s="134"/>
      <c r="N552" s="134"/>
      <c r="O552" s="134"/>
      <c r="P552" s="134"/>
      <c r="Q552" s="134"/>
      <c r="R552" s="134"/>
      <c r="S552" s="134"/>
      <c r="T552" s="134"/>
      <c r="U552" s="134"/>
      <c r="V552" s="134"/>
      <c r="W552" s="134"/>
      <c r="X552" s="134"/>
      <c r="Y552" s="134"/>
      <c r="Z552" s="134"/>
    </row>
    <row r="553">
      <c r="A553" s="131"/>
      <c r="B553" s="164"/>
      <c r="C553" s="165"/>
      <c r="D553" s="171"/>
      <c r="E553" s="164"/>
      <c r="F553" s="170"/>
      <c r="G553" s="134"/>
      <c r="H553" s="134"/>
      <c r="I553" s="134"/>
      <c r="J553" s="134"/>
      <c r="K553" s="134"/>
      <c r="L553" s="134"/>
      <c r="M553" s="134"/>
      <c r="N553" s="134"/>
      <c r="O553" s="134"/>
      <c r="P553" s="134"/>
      <c r="Q553" s="134"/>
      <c r="R553" s="134"/>
      <c r="S553" s="134"/>
      <c r="T553" s="134"/>
      <c r="U553" s="134"/>
      <c r="V553" s="134"/>
      <c r="W553" s="134"/>
      <c r="X553" s="134"/>
      <c r="Y553" s="134"/>
      <c r="Z553" s="134"/>
    </row>
    <row r="554">
      <c r="A554" s="131"/>
      <c r="B554" s="164"/>
      <c r="C554" s="165"/>
      <c r="D554" s="171"/>
      <c r="E554" s="164"/>
      <c r="F554" s="170"/>
      <c r="G554" s="134"/>
      <c r="H554" s="134"/>
      <c r="I554" s="134"/>
      <c r="J554" s="134"/>
      <c r="K554" s="134"/>
      <c r="L554" s="134"/>
      <c r="M554" s="134"/>
      <c r="N554" s="134"/>
      <c r="O554" s="134"/>
      <c r="P554" s="134"/>
      <c r="Q554" s="134"/>
      <c r="R554" s="134"/>
      <c r="S554" s="134"/>
      <c r="T554" s="134"/>
      <c r="U554" s="134"/>
      <c r="V554" s="134"/>
      <c r="W554" s="134"/>
      <c r="X554" s="134"/>
      <c r="Y554" s="134"/>
      <c r="Z554" s="134"/>
    </row>
    <row r="555">
      <c r="A555" s="131"/>
      <c r="B555" s="164"/>
      <c r="C555" s="165"/>
      <c r="D555" s="171"/>
      <c r="E555" s="164"/>
      <c r="F555" s="170"/>
      <c r="G555" s="134"/>
      <c r="H555" s="134"/>
      <c r="I555" s="134"/>
      <c r="J555" s="134"/>
      <c r="K555" s="134"/>
      <c r="L555" s="134"/>
      <c r="M555" s="134"/>
      <c r="N555" s="134"/>
      <c r="O555" s="134"/>
      <c r="P555" s="134"/>
      <c r="Q555" s="134"/>
      <c r="R555" s="134"/>
      <c r="S555" s="134"/>
      <c r="T555" s="134"/>
      <c r="U555" s="134"/>
      <c r="V555" s="134"/>
      <c r="W555" s="134"/>
      <c r="X555" s="134"/>
      <c r="Y555" s="134"/>
      <c r="Z555" s="134"/>
    </row>
    <row r="556">
      <c r="A556" s="131"/>
      <c r="B556" s="164"/>
      <c r="C556" s="165"/>
      <c r="D556" s="171"/>
      <c r="E556" s="164"/>
      <c r="F556" s="170"/>
      <c r="G556" s="134"/>
      <c r="H556" s="134"/>
      <c r="I556" s="134"/>
      <c r="J556" s="134"/>
      <c r="K556" s="134"/>
      <c r="L556" s="134"/>
      <c r="M556" s="134"/>
      <c r="N556" s="134"/>
      <c r="O556" s="134"/>
      <c r="P556" s="134"/>
      <c r="Q556" s="134"/>
      <c r="R556" s="134"/>
      <c r="S556" s="134"/>
      <c r="T556" s="134"/>
      <c r="U556" s="134"/>
      <c r="V556" s="134"/>
      <c r="W556" s="134"/>
      <c r="X556" s="134"/>
      <c r="Y556" s="134"/>
      <c r="Z556" s="134"/>
    </row>
    <row r="557">
      <c r="A557" s="131"/>
      <c r="B557" s="164"/>
      <c r="C557" s="165"/>
      <c r="D557" s="171"/>
      <c r="E557" s="164"/>
      <c r="F557" s="170"/>
      <c r="G557" s="134"/>
      <c r="H557" s="134"/>
      <c r="I557" s="134"/>
      <c r="J557" s="134"/>
      <c r="K557" s="134"/>
      <c r="L557" s="134"/>
      <c r="M557" s="134"/>
      <c r="N557" s="134"/>
      <c r="O557" s="134"/>
      <c r="P557" s="134"/>
      <c r="Q557" s="134"/>
      <c r="R557" s="134"/>
      <c r="S557" s="134"/>
      <c r="T557" s="134"/>
      <c r="U557" s="134"/>
      <c r="V557" s="134"/>
      <c r="W557" s="134"/>
      <c r="X557" s="134"/>
      <c r="Y557" s="134"/>
      <c r="Z557" s="134"/>
    </row>
    <row r="558">
      <c r="A558" s="131"/>
      <c r="B558" s="164"/>
      <c r="C558" s="165"/>
      <c r="D558" s="171"/>
      <c r="E558" s="164"/>
      <c r="F558" s="170"/>
      <c r="G558" s="134"/>
      <c r="H558" s="134"/>
      <c r="I558" s="134"/>
      <c r="J558" s="134"/>
      <c r="K558" s="134"/>
      <c r="L558" s="134"/>
      <c r="M558" s="134"/>
      <c r="N558" s="134"/>
      <c r="O558" s="134"/>
      <c r="P558" s="134"/>
      <c r="Q558" s="134"/>
      <c r="R558" s="134"/>
      <c r="S558" s="134"/>
      <c r="T558" s="134"/>
      <c r="U558" s="134"/>
      <c r="V558" s="134"/>
      <c r="W558" s="134"/>
      <c r="X558" s="134"/>
      <c r="Y558" s="134"/>
      <c r="Z558" s="134"/>
    </row>
    <row r="559">
      <c r="A559" s="131"/>
      <c r="B559" s="164"/>
      <c r="C559" s="165"/>
      <c r="D559" s="171"/>
      <c r="E559" s="164"/>
      <c r="F559" s="170"/>
      <c r="G559" s="134"/>
      <c r="H559" s="134"/>
      <c r="I559" s="134"/>
      <c r="J559" s="134"/>
      <c r="K559" s="134"/>
      <c r="L559" s="134"/>
      <c r="M559" s="134"/>
      <c r="N559" s="134"/>
      <c r="O559" s="134"/>
      <c r="P559" s="134"/>
      <c r="Q559" s="134"/>
      <c r="R559" s="134"/>
      <c r="S559" s="134"/>
      <c r="T559" s="134"/>
      <c r="U559" s="134"/>
      <c r="V559" s="134"/>
      <c r="W559" s="134"/>
      <c r="X559" s="134"/>
      <c r="Y559" s="134"/>
      <c r="Z559" s="134"/>
    </row>
    <row r="560">
      <c r="A560" s="131"/>
      <c r="B560" s="164"/>
      <c r="C560" s="165"/>
      <c r="D560" s="171"/>
      <c r="E560" s="164"/>
      <c r="F560" s="170"/>
      <c r="G560" s="134"/>
      <c r="H560" s="134"/>
      <c r="I560" s="134"/>
      <c r="J560" s="134"/>
      <c r="K560" s="134"/>
      <c r="L560" s="134"/>
      <c r="M560" s="134"/>
      <c r="N560" s="134"/>
      <c r="O560" s="134"/>
      <c r="P560" s="134"/>
      <c r="Q560" s="134"/>
      <c r="R560" s="134"/>
      <c r="S560" s="134"/>
      <c r="T560" s="134"/>
      <c r="U560" s="134"/>
      <c r="V560" s="134"/>
      <c r="W560" s="134"/>
      <c r="X560" s="134"/>
      <c r="Y560" s="134"/>
      <c r="Z560" s="134"/>
    </row>
    <row r="561">
      <c r="A561" s="131"/>
      <c r="B561" s="164"/>
      <c r="C561" s="165"/>
      <c r="D561" s="171"/>
      <c r="E561" s="164"/>
      <c r="F561" s="170"/>
      <c r="G561" s="134"/>
      <c r="H561" s="134"/>
      <c r="I561" s="134"/>
      <c r="J561" s="134"/>
      <c r="K561" s="134"/>
      <c r="L561" s="134"/>
      <c r="M561" s="134"/>
      <c r="N561" s="134"/>
      <c r="O561" s="134"/>
      <c r="P561" s="134"/>
      <c r="Q561" s="134"/>
      <c r="R561" s="134"/>
      <c r="S561" s="134"/>
      <c r="T561" s="134"/>
      <c r="U561" s="134"/>
      <c r="V561" s="134"/>
      <c r="W561" s="134"/>
      <c r="X561" s="134"/>
      <c r="Y561" s="134"/>
      <c r="Z561" s="134"/>
    </row>
    <row r="562">
      <c r="A562" s="131"/>
      <c r="B562" s="164"/>
      <c r="C562" s="165"/>
      <c r="D562" s="171"/>
      <c r="E562" s="164"/>
      <c r="F562" s="170"/>
      <c r="G562" s="134"/>
      <c r="H562" s="134"/>
      <c r="I562" s="134"/>
      <c r="J562" s="134"/>
      <c r="K562" s="134"/>
      <c r="L562" s="134"/>
      <c r="M562" s="134"/>
      <c r="N562" s="134"/>
      <c r="O562" s="134"/>
      <c r="P562" s="134"/>
      <c r="Q562" s="134"/>
      <c r="R562" s="134"/>
      <c r="S562" s="134"/>
      <c r="T562" s="134"/>
      <c r="U562" s="134"/>
      <c r="V562" s="134"/>
      <c r="W562" s="134"/>
      <c r="X562" s="134"/>
      <c r="Y562" s="134"/>
      <c r="Z562" s="134"/>
    </row>
    <row r="563">
      <c r="A563" s="131"/>
      <c r="B563" s="164"/>
      <c r="C563" s="165"/>
      <c r="D563" s="171"/>
      <c r="E563" s="164"/>
      <c r="F563" s="170"/>
      <c r="G563" s="134"/>
      <c r="H563" s="134"/>
      <c r="I563" s="134"/>
      <c r="J563" s="134"/>
      <c r="K563" s="134"/>
      <c r="L563" s="134"/>
      <c r="M563" s="134"/>
      <c r="N563" s="134"/>
      <c r="O563" s="134"/>
      <c r="P563" s="134"/>
      <c r="Q563" s="134"/>
      <c r="R563" s="134"/>
      <c r="S563" s="134"/>
      <c r="T563" s="134"/>
      <c r="U563" s="134"/>
      <c r="V563" s="134"/>
      <c r="W563" s="134"/>
      <c r="X563" s="134"/>
      <c r="Y563" s="134"/>
      <c r="Z563" s="134"/>
    </row>
    <row r="564">
      <c r="A564" s="131"/>
      <c r="B564" s="164"/>
      <c r="C564" s="165"/>
      <c r="D564" s="171"/>
      <c r="E564" s="164"/>
      <c r="F564" s="170"/>
      <c r="G564" s="134"/>
      <c r="H564" s="134"/>
      <c r="I564" s="134"/>
      <c r="J564" s="134"/>
      <c r="K564" s="134"/>
      <c r="L564" s="134"/>
      <c r="M564" s="134"/>
      <c r="N564" s="134"/>
      <c r="O564" s="134"/>
      <c r="P564" s="134"/>
      <c r="Q564" s="134"/>
      <c r="R564" s="134"/>
      <c r="S564" s="134"/>
      <c r="T564" s="134"/>
      <c r="U564" s="134"/>
      <c r="V564" s="134"/>
      <c r="W564" s="134"/>
      <c r="X564" s="134"/>
      <c r="Y564" s="134"/>
      <c r="Z564" s="134"/>
    </row>
    <row r="565">
      <c r="A565" s="131"/>
      <c r="B565" s="164"/>
      <c r="C565" s="165"/>
      <c r="D565" s="171"/>
      <c r="E565" s="164"/>
      <c r="F565" s="170"/>
      <c r="G565" s="134"/>
      <c r="H565" s="134"/>
      <c r="I565" s="134"/>
      <c r="J565" s="134"/>
      <c r="K565" s="134"/>
      <c r="L565" s="134"/>
      <c r="M565" s="134"/>
      <c r="N565" s="134"/>
      <c r="O565" s="134"/>
      <c r="P565" s="134"/>
      <c r="Q565" s="134"/>
      <c r="R565" s="134"/>
      <c r="S565" s="134"/>
      <c r="T565" s="134"/>
      <c r="U565" s="134"/>
      <c r="V565" s="134"/>
      <c r="W565" s="134"/>
      <c r="X565" s="134"/>
      <c r="Y565" s="134"/>
      <c r="Z565" s="134"/>
    </row>
    <row r="566">
      <c r="A566" s="131"/>
      <c r="B566" s="164"/>
      <c r="C566" s="165"/>
      <c r="D566" s="171"/>
      <c r="E566" s="164"/>
      <c r="F566" s="170"/>
      <c r="G566" s="134"/>
      <c r="H566" s="134"/>
      <c r="I566" s="134"/>
      <c r="J566" s="134"/>
      <c r="K566" s="134"/>
      <c r="L566" s="134"/>
      <c r="M566" s="134"/>
      <c r="N566" s="134"/>
      <c r="O566" s="134"/>
      <c r="P566" s="134"/>
      <c r="Q566" s="134"/>
      <c r="R566" s="134"/>
      <c r="S566" s="134"/>
      <c r="T566" s="134"/>
      <c r="U566" s="134"/>
      <c r="V566" s="134"/>
      <c r="W566" s="134"/>
      <c r="X566" s="134"/>
      <c r="Y566" s="134"/>
      <c r="Z566" s="134"/>
    </row>
    <row r="567">
      <c r="A567" s="131"/>
      <c r="B567" s="164"/>
      <c r="C567" s="165"/>
      <c r="D567" s="171"/>
      <c r="E567" s="164"/>
      <c r="F567" s="170"/>
      <c r="G567" s="134"/>
      <c r="H567" s="134"/>
      <c r="I567" s="134"/>
      <c r="J567" s="134"/>
      <c r="K567" s="134"/>
      <c r="L567" s="134"/>
      <c r="M567" s="134"/>
      <c r="N567" s="134"/>
      <c r="O567" s="134"/>
      <c r="P567" s="134"/>
      <c r="Q567" s="134"/>
      <c r="R567" s="134"/>
      <c r="S567" s="134"/>
      <c r="T567" s="134"/>
      <c r="U567" s="134"/>
      <c r="V567" s="134"/>
      <c r="W567" s="134"/>
      <c r="X567" s="134"/>
      <c r="Y567" s="134"/>
      <c r="Z567" s="134"/>
    </row>
    <row r="568">
      <c r="A568" s="131"/>
      <c r="B568" s="164"/>
      <c r="C568" s="165"/>
      <c r="D568" s="171"/>
      <c r="E568" s="164"/>
      <c r="F568" s="170"/>
      <c r="G568" s="134"/>
      <c r="H568" s="134"/>
      <c r="I568" s="134"/>
      <c r="J568" s="134"/>
      <c r="K568" s="134"/>
      <c r="L568" s="134"/>
      <c r="M568" s="134"/>
      <c r="N568" s="134"/>
      <c r="O568" s="134"/>
      <c r="P568" s="134"/>
      <c r="Q568" s="134"/>
      <c r="R568" s="134"/>
      <c r="S568" s="134"/>
      <c r="T568" s="134"/>
      <c r="U568" s="134"/>
      <c r="V568" s="134"/>
      <c r="W568" s="134"/>
      <c r="X568" s="134"/>
      <c r="Y568" s="134"/>
      <c r="Z568" s="134"/>
    </row>
    <row r="569">
      <c r="A569" s="131"/>
      <c r="B569" s="164"/>
      <c r="C569" s="165"/>
      <c r="D569" s="171"/>
      <c r="E569" s="164"/>
      <c r="F569" s="170"/>
      <c r="G569" s="134"/>
      <c r="H569" s="134"/>
      <c r="I569" s="134"/>
      <c r="J569" s="134"/>
      <c r="K569" s="134"/>
      <c r="L569" s="134"/>
      <c r="M569" s="134"/>
      <c r="N569" s="134"/>
      <c r="O569" s="134"/>
      <c r="P569" s="134"/>
      <c r="Q569" s="134"/>
      <c r="R569" s="134"/>
      <c r="S569" s="134"/>
      <c r="T569" s="134"/>
      <c r="U569" s="134"/>
      <c r="V569" s="134"/>
      <c r="W569" s="134"/>
      <c r="X569" s="134"/>
      <c r="Y569" s="134"/>
      <c r="Z569" s="134"/>
    </row>
    <row r="570">
      <c r="A570" s="131"/>
      <c r="B570" s="164"/>
      <c r="C570" s="165"/>
      <c r="D570" s="171"/>
      <c r="E570" s="164"/>
      <c r="F570" s="170"/>
      <c r="G570" s="134"/>
      <c r="H570" s="134"/>
      <c r="I570" s="134"/>
      <c r="J570" s="134"/>
      <c r="K570" s="134"/>
      <c r="L570" s="134"/>
      <c r="M570" s="134"/>
      <c r="N570" s="134"/>
      <c r="O570" s="134"/>
      <c r="P570" s="134"/>
      <c r="Q570" s="134"/>
      <c r="R570" s="134"/>
      <c r="S570" s="134"/>
      <c r="T570" s="134"/>
      <c r="U570" s="134"/>
      <c r="V570" s="134"/>
      <c r="W570" s="134"/>
      <c r="X570" s="134"/>
      <c r="Y570" s="134"/>
      <c r="Z570" s="134"/>
    </row>
    <row r="571">
      <c r="A571" s="131"/>
      <c r="B571" s="164"/>
      <c r="C571" s="165"/>
      <c r="D571" s="171"/>
      <c r="E571" s="164"/>
      <c r="F571" s="170"/>
      <c r="G571" s="134"/>
      <c r="H571" s="134"/>
      <c r="I571" s="134"/>
      <c r="J571" s="134"/>
      <c r="K571" s="134"/>
      <c r="L571" s="134"/>
      <c r="M571" s="134"/>
      <c r="N571" s="134"/>
      <c r="O571" s="134"/>
      <c r="P571" s="134"/>
      <c r="Q571" s="134"/>
      <c r="R571" s="134"/>
      <c r="S571" s="134"/>
      <c r="T571" s="134"/>
      <c r="U571" s="134"/>
      <c r="V571" s="134"/>
      <c r="W571" s="134"/>
      <c r="X571" s="134"/>
      <c r="Y571" s="134"/>
      <c r="Z571" s="134"/>
    </row>
    <row r="572">
      <c r="A572" s="131"/>
      <c r="B572" s="164"/>
      <c r="C572" s="165"/>
      <c r="D572" s="171"/>
      <c r="E572" s="164"/>
      <c r="F572" s="170"/>
      <c r="G572" s="134"/>
      <c r="H572" s="134"/>
      <c r="I572" s="134"/>
      <c r="J572" s="134"/>
      <c r="K572" s="134"/>
      <c r="L572" s="134"/>
      <c r="M572" s="134"/>
      <c r="N572" s="134"/>
      <c r="O572" s="134"/>
      <c r="P572" s="134"/>
      <c r="Q572" s="134"/>
      <c r="R572" s="134"/>
      <c r="S572" s="134"/>
      <c r="T572" s="134"/>
      <c r="U572" s="134"/>
      <c r="V572" s="134"/>
      <c r="W572" s="134"/>
      <c r="X572" s="134"/>
      <c r="Y572" s="134"/>
      <c r="Z572" s="134"/>
    </row>
    <row r="573">
      <c r="A573" s="131"/>
      <c r="B573" s="164"/>
      <c r="C573" s="165"/>
      <c r="D573" s="171"/>
      <c r="E573" s="164"/>
      <c r="F573" s="170"/>
      <c r="G573" s="134"/>
      <c r="H573" s="134"/>
      <c r="I573" s="134"/>
      <c r="J573" s="134"/>
      <c r="K573" s="134"/>
      <c r="L573" s="134"/>
      <c r="M573" s="134"/>
      <c r="N573" s="134"/>
      <c r="O573" s="134"/>
      <c r="P573" s="134"/>
      <c r="Q573" s="134"/>
      <c r="R573" s="134"/>
      <c r="S573" s="134"/>
      <c r="T573" s="134"/>
      <c r="U573" s="134"/>
      <c r="V573" s="134"/>
      <c r="W573" s="134"/>
      <c r="X573" s="134"/>
      <c r="Y573" s="134"/>
      <c r="Z573" s="134"/>
    </row>
    <row r="574">
      <c r="A574" s="131"/>
      <c r="B574" s="164"/>
      <c r="C574" s="165"/>
      <c r="D574" s="171"/>
      <c r="E574" s="164"/>
      <c r="F574" s="170"/>
      <c r="G574" s="134"/>
      <c r="H574" s="134"/>
      <c r="I574" s="134"/>
      <c r="J574" s="134"/>
      <c r="K574" s="134"/>
      <c r="L574" s="134"/>
      <c r="M574" s="134"/>
      <c r="N574" s="134"/>
      <c r="O574" s="134"/>
      <c r="P574" s="134"/>
      <c r="Q574" s="134"/>
      <c r="R574" s="134"/>
      <c r="S574" s="134"/>
      <c r="T574" s="134"/>
      <c r="U574" s="134"/>
      <c r="V574" s="134"/>
      <c r="W574" s="134"/>
      <c r="X574" s="134"/>
      <c r="Y574" s="134"/>
      <c r="Z574" s="134"/>
    </row>
    <row r="575">
      <c r="A575" s="131"/>
      <c r="B575" s="164"/>
      <c r="C575" s="165"/>
      <c r="D575" s="171"/>
      <c r="E575" s="164"/>
      <c r="F575" s="170"/>
      <c r="G575" s="134"/>
      <c r="H575" s="134"/>
      <c r="I575" s="134"/>
      <c r="J575" s="134"/>
      <c r="K575" s="134"/>
      <c r="L575" s="134"/>
      <c r="M575" s="134"/>
      <c r="N575" s="134"/>
      <c r="O575" s="134"/>
      <c r="P575" s="134"/>
      <c r="Q575" s="134"/>
      <c r="R575" s="134"/>
      <c r="S575" s="134"/>
      <c r="T575" s="134"/>
      <c r="U575" s="134"/>
      <c r="V575" s="134"/>
      <c r="W575" s="134"/>
      <c r="X575" s="134"/>
      <c r="Y575" s="134"/>
      <c r="Z575" s="134"/>
    </row>
    <row r="576">
      <c r="A576" s="131"/>
      <c r="B576" s="164"/>
      <c r="C576" s="165"/>
      <c r="D576" s="171"/>
      <c r="E576" s="164"/>
      <c r="F576" s="170"/>
      <c r="G576" s="134"/>
      <c r="H576" s="134"/>
      <c r="I576" s="134"/>
      <c r="J576" s="134"/>
      <c r="K576" s="134"/>
      <c r="L576" s="134"/>
      <c r="M576" s="134"/>
      <c r="N576" s="134"/>
      <c r="O576" s="134"/>
      <c r="P576" s="134"/>
      <c r="Q576" s="134"/>
      <c r="R576" s="134"/>
      <c r="S576" s="134"/>
      <c r="T576" s="134"/>
      <c r="U576" s="134"/>
      <c r="V576" s="134"/>
      <c r="W576" s="134"/>
      <c r="X576" s="134"/>
      <c r="Y576" s="134"/>
      <c r="Z576" s="134"/>
    </row>
    <row r="577">
      <c r="A577" s="131"/>
      <c r="B577" s="164"/>
      <c r="C577" s="165"/>
      <c r="D577" s="171"/>
      <c r="E577" s="164"/>
      <c r="F577" s="170"/>
      <c r="G577" s="134"/>
      <c r="H577" s="134"/>
      <c r="I577" s="134"/>
      <c r="J577" s="134"/>
      <c r="K577" s="134"/>
      <c r="L577" s="134"/>
      <c r="M577" s="134"/>
      <c r="N577" s="134"/>
      <c r="O577" s="134"/>
      <c r="P577" s="134"/>
      <c r="Q577" s="134"/>
      <c r="R577" s="134"/>
      <c r="S577" s="134"/>
      <c r="T577" s="134"/>
      <c r="U577" s="134"/>
      <c r="V577" s="134"/>
      <c r="W577" s="134"/>
      <c r="X577" s="134"/>
      <c r="Y577" s="134"/>
      <c r="Z577" s="134"/>
    </row>
    <row r="578">
      <c r="A578" s="131"/>
      <c r="B578" s="164"/>
      <c r="C578" s="165"/>
      <c r="D578" s="171"/>
      <c r="E578" s="164"/>
      <c r="F578" s="170"/>
      <c r="G578" s="134"/>
      <c r="H578" s="134"/>
      <c r="I578" s="134"/>
      <c r="J578" s="134"/>
      <c r="K578" s="134"/>
      <c r="L578" s="134"/>
      <c r="M578" s="134"/>
      <c r="N578" s="134"/>
      <c r="O578" s="134"/>
      <c r="P578" s="134"/>
      <c r="Q578" s="134"/>
      <c r="R578" s="134"/>
      <c r="S578" s="134"/>
      <c r="T578" s="134"/>
      <c r="U578" s="134"/>
      <c r="V578" s="134"/>
      <c r="W578" s="134"/>
      <c r="X578" s="134"/>
      <c r="Y578" s="134"/>
      <c r="Z578" s="134"/>
    </row>
    <row r="579">
      <c r="A579" s="131"/>
      <c r="B579" s="164"/>
      <c r="C579" s="165"/>
      <c r="D579" s="171"/>
      <c r="E579" s="164"/>
      <c r="F579" s="170"/>
      <c r="G579" s="134"/>
      <c r="H579" s="134"/>
      <c r="I579" s="134"/>
      <c r="J579" s="134"/>
      <c r="K579" s="134"/>
      <c r="L579" s="134"/>
      <c r="M579" s="134"/>
      <c r="N579" s="134"/>
      <c r="O579" s="134"/>
      <c r="P579" s="134"/>
      <c r="Q579" s="134"/>
      <c r="R579" s="134"/>
      <c r="S579" s="134"/>
      <c r="T579" s="134"/>
      <c r="U579" s="134"/>
      <c r="V579" s="134"/>
      <c r="W579" s="134"/>
      <c r="X579" s="134"/>
      <c r="Y579" s="134"/>
      <c r="Z579" s="134"/>
    </row>
    <row r="580">
      <c r="A580" s="131"/>
      <c r="B580" s="164"/>
      <c r="C580" s="165"/>
      <c r="D580" s="171"/>
      <c r="E580" s="164"/>
      <c r="F580" s="170"/>
      <c r="G580" s="134"/>
      <c r="H580" s="134"/>
      <c r="I580" s="134"/>
      <c r="J580" s="134"/>
      <c r="K580" s="134"/>
      <c r="L580" s="134"/>
      <c r="M580" s="134"/>
      <c r="N580" s="134"/>
      <c r="O580" s="134"/>
      <c r="P580" s="134"/>
      <c r="Q580" s="134"/>
      <c r="R580" s="134"/>
      <c r="S580" s="134"/>
      <c r="T580" s="134"/>
      <c r="U580" s="134"/>
      <c r="V580" s="134"/>
      <c r="W580" s="134"/>
      <c r="X580" s="134"/>
      <c r="Y580" s="134"/>
      <c r="Z580" s="134"/>
    </row>
    <row r="581">
      <c r="A581" s="131"/>
      <c r="B581" s="164"/>
      <c r="C581" s="165"/>
      <c r="D581" s="171"/>
      <c r="E581" s="164"/>
      <c r="F581" s="170"/>
      <c r="G581" s="134"/>
      <c r="H581" s="134"/>
      <c r="I581" s="134"/>
      <c r="J581" s="134"/>
      <c r="K581" s="134"/>
      <c r="L581" s="134"/>
      <c r="M581" s="134"/>
      <c r="N581" s="134"/>
      <c r="O581" s="134"/>
      <c r="P581" s="134"/>
      <c r="Q581" s="134"/>
      <c r="R581" s="134"/>
      <c r="S581" s="134"/>
      <c r="T581" s="134"/>
      <c r="U581" s="134"/>
      <c r="V581" s="134"/>
      <c r="W581" s="134"/>
      <c r="X581" s="134"/>
      <c r="Y581" s="134"/>
      <c r="Z581" s="134"/>
    </row>
    <row r="582">
      <c r="A582" s="131"/>
      <c r="B582" s="164"/>
      <c r="C582" s="165"/>
      <c r="D582" s="171"/>
      <c r="E582" s="164"/>
      <c r="F582" s="170"/>
      <c r="G582" s="134"/>
      <c r="H582" s="134"/>
      <c r="I582" s="134"/>
      <c r="J582" s="134"/>
      <c r="K582" s="134"/>
      <c r="L582" s="134"/>
      <c r="M582" s="134"/>
      <c r="N582" s="134"/>
      <c r="O582" s="134"/>
      <c r="P582" s="134"/>
      <c r="Q582" s="134"/>
      <c r="R582" s="134"/>
      <c r="S582" s="134"/>
      <c r="T582" s="134"/>
      <c r="U582" s="134"/>
      <c r="V582" s="134"/>
      <c r="W582" s="134"/>
      <c r="X582" s="134"/>
      <c r="Y582" s="134"/>
      <c r="Z582" s="134"/>
    </row>
    <row r="583">
      <c r="A583" s="131"/>
      <c r="B583" s="164"/>
      <c r="C583" s="165"/>
      <c r="D583" s="171"/>
      <c r="E583" s="164"/>
      <c r="F583" s="170"/>
      <c r="G583" s="134"/>
      <c r="H583" s="134"/>
      <c r="I583" s="134"/>
      <c r="J583" s="134"/>
      <c r="K583" s="134"/>
      <c r="L583" s="134"/>
      <c r="M583" s="134"/>
      <c r="N583" s="134"/>
      <c r="O583" s="134"/>
      <c r="P583" s="134"/>
      <c r="Q583" s="134"/>
      <c r="R583" s="134"/>
      <c r="S583" s="134"/>
      <c r="T583" s="134"/>
      <c r="U583" s="134"/>
      <c r="V583" s="134"/>
      <c r="W583" s="134"/>
      <c r="X583" s="134"/>
      <c r="Y583" s="134"/>
      <c r="Z583" s="134"/>
    </row>
    <row r="584">
      <c r="A584" s="131"/>
      <c r="B584" s="164"/>
      <c r="C584" s="165"/>
      <c r="D584" s="171"/>
      <c r="E584" s="164"/>
      <c r="F584" s="170"/>
      <c r="G584" s="134"/>
      <c r="H584" s="134"/>
      <c r="I584" s="134"/>
      <c r="J584" s="134"/>
      <c r="K584" s="134"/>
      <c r="L584" s="134"/>
      <c r="M584" s="134"/>
      <c r="N584" s="134"/>
      <c r="O584" s="134"/>
      <c r="P584" s="134"/>
      <c r="Q584" s="134"/>
      <c r="R584" s="134"/>
      <c r="S584" s="134"/>
      <c r="T584" s="134"/>
      <c r="U584" s="134"/>
      <c r="V584" s="134"/>
      <c r="W584" s="134"/>
      <c r="X584" s="134"/>
      <c r="Y584" s="134"/>
      <c r="Z584" s="134"/>
    </row>
    <row r="585">
      <c r="A585" s="131"/>
      <c r="B585" s="164"/>
      <c r="C585" s="165"/>
      <c r="D585" s="171"/>
      <c r="E585" s="164"/>
      <c r="F585" s="170"/>
      <c r="G585" s="134"/>
      <c r="H585" s="134"/>
      <c r="I585" s="134"/>
      <c r="J585" s="134"/>
      <c r="K585" s="134"/>
      <c r="L585" s="134"/>
      <c r="M585" s="134"/>
      <c r="N585" s="134"/>
      <c r="O585" s="134"/>
      <c r="P585" s="134"/>
      <c r="Q585" s="134"/>
      <c r="R585" s="134"/>
      <c r="S585" s="134"/>
      <c r="T585" s="134"/>
      <c r="U585" s="134"/>
      <c r="V585" s="134"/>
      <c r="W585" s="134"/>
      <c r="X585" s="134"/>
      <c r="Y585" s="134"/>
      <c r="Z585" s="134"/>
    </row>
    <row r="586">
      <c r="A586" s="131"/>
      <c r="B586" s="164"/>
      <c r="C586" s="165"/>
      <c r="D586" s="171"/>
      <c r="E586" s="164"/>
      <c r="F586" s="170"/>
      <c r="G586" s="134"/>
      <c r="H586" s="134"/>
      <c r="I586" s="134"/>
      <c r="J586" s="134"/>
      <c r="K586" s="134"/>
      <c r="L586" s="134"/>
      <c r="M586" s="134"/>
      <c r="N586" s="134"/>
      <c r="O586" s="134"/>
      <c r="P586" s="134"/>
      <c r="Q586" s="134"/>
      <c r="R586" s="134"/>
      <c r="S586" s="134"/>
      <c r="T586" s="134"/>
      <c r="U586" s="134"/>
      <c r="V586" s="134"/>
      <c r="W586" s="134"/>
      <c r="X586" s="134"/>
      <c r="Y586" s="134"/>
      <c r="Z586" s="134"/>
    </row>
    <row r="587">
      <c r="A587" s="131"/>
      <c r="B587" s="164"/>
      <c r="C587" s="165"/>
      <c r="D587" s="171"/>
      <c r="E587" s="164"/>
      <c r="F587" s="170"/>
      <c r="G587" s="134"/>
      <c r="H587" s="134"/>
      <c r="I587" s="134"/>
      <c r="J587" s="134"/>
      <c r="K587" s="134"/>
      <c r="L587" s="134"/>
      <c r="M587" s="134"/>
      <c r="N587" s="134"/>
      <c r="O587" s="134"/>
      <c r="P587" s="134"/>
      <c r="Q587" s="134"/>
      <c r="R587" s="134"/>
      <c r="S587" s="134"/>
      <c r="T587" s="134"/>
      <c r="U587" s="134"/>
      <c r="V587" s="134"/>
      <c r="W587" s="134"/>
      <c r="X587" s="134"/>
      <c r="Y587" s="134"/>
      <c r="Z587" s="134"/>
    </row>
    <row r="588">
      <c r="A588" s="131"/>
      <c r="B588" s="164"/>
      <c r="C588" s="165"/>
      <c r="D588" s="171"/>
      <c r="E588" s="164"/>
      <c r="F588" s="170"/>
      <c r="G588" s="134"/>
      <c r="H588" s="134"/>
      <c r="I588" s="134"/>
      <c r="J588" s="134"/>
      <c r="K588" s="134"/>
      <c r="L588" s="134"/>
      <c r="M588" s="134"/>
      <c r="N588" s="134"/>
      <c r="O588" s="134"/>
      <c r="P588" s="134"/>
      <c r="Q588" s="134"/>
      <c r="R588" s="134"/>
      <c r="S588" s="134"/>
      <c r="T588" s="134"/>
      <c r="U588" s="134"/>
      <c r="V588" s="134"/>
      <c r="W588" s="134"/>
      <c r="X588" s="134"/>
      <c r="Y588" s="134"/>
      <c r="Z588" s="134"/>
    </row>
    <row r="589">
      <c r="A589" s="131"/>
      <c r="B589" s="164"/>
      <c r="C589" s="165"/>
      <c r="D589" s="171"/>
      <c r="E589" s="164"/>
      <c r="F589" s="170"/>
      <c r="G589" s="134"/>
      <c r="H589" s="134"/>
      <c r="I589" s="134"/>
      <c r="J589" s="134"/>
      <c r="K589" s="134"/>
      <c r="L589" s="134"/>
      <c r="M589" s="134"/>
      <c r="N589" s="134"/>
      <c r="O589" s="134"/>
      <c r="P589" s="134"/>
      <c r="Q589" s="134"/>
      <c r="R589" s="134"/>
      <c r="S589" s="134"/>
      <c r="T589" s="134"/>
      <c r="U589" s="134"/>
      <c r="V589" s="134"/>
      <c r="W589" s="134"/>
      <c r="X589" s="134"/>
      <c r="Y589" s="134"/>
      <c r="Z589" s="134"/>
    </row>
    <row r="590">
      <c r="A590" s="131"/>
      <c r="B590" s="164"/>
      <c r="C590" s="165"/>
      <c r="D590" s="171"/>
      <c r="E590" s="164"/>
      <c r="F590" s="170"/>
      <c r="G590" s="134"/>
      <c r="H590" s="134"/>
      <c r="I590" s="134"/>
      <c r="J590" s="134"/>
      <c r="K590" s="134"/>
      <c r="L590" s="134"/>
      <c r="M590" s="134"/>
      <c r="N590" s="134"/>
      <c r="O590" s="134"/>
      <c r="P590" s="134"/>
      <c r="Q590" s="134"/>
      <c r="R590" s="134"/>
      <c r="S590" s="134"/>
      <c r="T590" s="134"/>
      <c r="U590" s="134"/>
      <c r="V590" s="134"/>
      <c r="W590" s="134"/>
      <c r="X590" s="134"/>
      <c r="Y590" s="134"/>
      <c r="Z590" s="134"/>
    </row>
    <row r="591">
      <c r="A591" s="131"/>
      <c r="B591" s="164"/>
      <c r="C591" s="165"/>
      <c r="D591" s="171"/>
      <c r="E591" s="164"/>
      <c r="F591" s="170"/>
      <c r="G591" s="134"/>
      <c r="H591" s="134"/>
      <c r="I591" s="134"/>
      <c r="J591" s="134"/>
      <c r="K591" s="134"/>
      <c r="L591" s="134"/>
      <c r="M591" s="134"/>
      <c r="N591" s="134"/>
      <c r="O591" s="134"/>
      <c r="P591" s="134"/>
      <c r="Q591" s="134"/>
      <c r="R591" s="134"/>
      <c r="S591" s="134"/>
      <c r="T591" s="134"/>
      <c r="U591" s="134"/>
      <c r="V591" s="134"/>
      <c r="W591" s="134"/>
      <c r="X591" s="134"/>
      <c r="Y591" s="134"/>
      <c r="Z591" s="134"/>
    </row>
    <row r="592">
      <c r="A592" s="131"/>
      <c r="B592" s="164"/>
      <c r="C592" s="165"/>
      <c r="D592" s="171"/>
      <c r="E592" s="164"/>
      <c r="F592" s="170"/>
      <c r="G592" s="134"/>
      <c r="H592" s="134"/>
      <c r="I592" s="134"/>
      <c r="J592" s="134"/>
      <c r="K592" s="134"/>
      <c r="L592" s="134"/>
      <c r="M592" s="134"/>
      <c r="N592" s="134"/>
      <c r="O592" s="134"/>
      <c r="P592" s="134"/>
      <c r="Q592" s="134"/>
      <c r="R592" s="134"/>
      <c r="S592" s="134"/>
      <c r="T592" s="134"/>
      <c r="U592" s="134"/>
      <c r="V592" s="134"/>
      <c r="W592" s="134"/>
      <c r="X592" s="134"/>
      <c r="Y592" s="134"/>
      <c r="Z592" s="134"/>
    </row>
    <row r="593">
      <c r="A593" s="131"/>
      <c r="B593" s="164"/>
      <c r="C593" s="165"/>
      <c r="D593" s="171"/>
      <c r="E593" s="164"/>
      <c r="F593" s="170"/>
      <c r="G593" s="134"/>
      <c r="H593" s="134"/>
      <c r="I593" s="134"/>
      <c r="J593" s="134"/>
      <c r="K593" s="134"/>
      <c r="L593" s="134"/>
      <c r="M593" s="134"/>
      <c r="N593" s="134"/>
      <c r="O593" s="134"/>
      <c r="P593" s="134"/>
      <c r="Q593" s="134"/>
      <c r="R593" s="134"/>
      <c r="S593" s="134"/>
      <c r="T593" s="134"/>
      <c r="U593" s="134"/>
      <c r="V593" s="134"/>
      <c r="W593" s="134"/>
      <c r="X593" s="134"/>
      <c r="Y593" s="134"/>
      <c r="Z593" s="134"/>
    </row>
    <row r="594">
      <c r="A594" s="131"/>
      <c r="B594" s="164"/>
      <c r="C594" s="165"/>
      <c r="D594" s="171"/>
      <c r="E594" s="164"/>
      <c r="F594" s="170"/>
      <c r="G594" s="134"/>
      <c r="H594" s="134"/>
      <c r="I594" s="134"/>
      <c r="J594" s="134"/>
      <c r="K594" s="134"/>
      <c r="L594" s="134"/>
      <c r="M594" s="134"/>
      <c r="N594" s="134"/>
      <c r="O594" s="134"/>
      <c r="P594" s="134"/>
      <c r="Q594" s="134"/>
      <c r="R594" s="134"/>
      <c r="S594" s="134"/>
      <c r="T594" s="134"/>
      <c r="U594" s="134"/>
      <c r="V594" s="134"/>
      <c r="W594" s="134"/>
      <c r="X594" s="134"/>
      <c r="Y594" s="134"/>
      <c r="Z594" s="134"/>
    </row>
    <row r="595">
      <c r="A595" s="131"/>
      <c r="B595" s="164"/>
      <c r="C595" s="165"/>
      <c r="D595" s="171"/>
      <c r="E595" s="164"/>
      <c r="F595" s="170"/>
      <c r="G595" s="134"/>
      <c r="H595" s="134"/>
      <c r="I595" s="134"/>
      <c r="J595" s="134"/>
      <c r="K595" s="134"/>
      <c r="L595" s="134"/>
      <c r="M595" s="134"/>
      <c r="N595" s="134"/>
      <c r="O595" s="134"/>
      <c r="P595" s="134"/>
      <c r="Q595" s="134"/>
      <c r="R595" s="134"/>
      <c r="S595" s="134"/>
      <c r="T595" s="134"/>
      <c r="U595" s="134"/>
      <c r="V595" s="134"/>
      <c r="W595" s="134"/>
      <c r="X595" s="134"/>
      <c r="Y595" s="134"/>
      <c r="Z595" s="134"/>
    </row>
    <row r="596">
      <c r="A596" s="131"/>
      <c r="B596" s="164"/>
      <c r="C596" s="165"/>
      <c r="D596" s="171"/>
      <c r="E596" s="164"/>
      <c r="F596" s="170"/>
      <c r="G596" s="134"/>
      <c r="H596" s="134"/>
      <c r="I596" s="134"/>
      <c r="J596" s="134"/>
      <c r="K596" s="134"/>
      <c r="L596" s="134"/>
      <c r="M596" s="134"/>
      <c r="N596" s="134"/>
      <c r="O596" s="134"/>
      <c r="P596" s="134"/>
      <c r="Q596" s="134"/>
      <c r="R596" s="134"/>
      <c r="S596" s="134"/>
      <c r="T596" s="134"/>
      <c r="U596" s="134"/>
      <c r="V596" s="134"/>
      <c r="W596" s="134"/>
      <c r="X596" s="134"/>
      <c r="Y596" s="134"/>
      <c r="Z596" s="134"/>
    </row>
    <row r="597">
      <c r="A597" s="131"/>
      <c r="B597" s="164"/>
      <c r="C597" s="165"/>
      <c r="D597" s="171"/>
      <c r="E597" s="164"/>
      <c r="F597" s="170"/>
      <c r="G597" s="134"/>
      <c r="H597" s="134"/>
      <c r="I597" s="134"/>
      <c r="J597" s="134"/>
      <c r="K597" s="134"/>
      <c r="L597" s="134"/>
      <c r="M597" s="134"/>
      <c r="N597" s="134"/>
      <c r="O597" s="134"/>
      <c r="P597" s="134"/>
      <c r="Q597" s="134"/>
      <c r="R597" s="134"/>
      <c r="S597" s="134"/>
      <c r="T597" s="134"/>
      <c r="U597" s="134"/>
      <c r="V597" s="134"/>
      <c r="W597" s="134"/>
      <c r="X597" s="134"/>
      <c r="Y597" s="134"/>
      <c r="Z597" s="134"/>
    </row>
    <row r="598">
      <c r="A598" s="131"/>
      <c r="B598" s="164"/>
      <c r="C598" s="165"/>
      <c r="D598" s="171"/>
      <c r="E598" s="164"/>
      <c r="F598" s="170"/>
      <c r="G598" s="134"/>
      <c r="H598" s="134"/>
      <c r="I598" s="134"/>
      <c r="J598" s="134"/>
      <c r="K598" s="134"/>
      <c r="L598" s="134"/>
      <c r="M598" s="134"/>
      <c r="N598" s="134"/>
      <c r="O598" s="134"/>
      <c r="P598" s="134"/>
      <c r="Q598" s="134"/>
      <c r="R598" s="134"/>
      <c r="S598" s="134"/>
      <c r="T598" s="134"/>
      <c r="U598" s="134"/>
      <c r="V598" s="134"/>
      <c r="W598" s="134"/>
      <c r="X598" s="134"/>
      <c r="Y598" s="134"/>
      <c r="Z598" s="134"/>
    </row>
    <row r="599">
      <c r="A599" s="131"/>
      <c r="B599" s="164"/>
      <c r="C599" s="165"/>
      <c r="D599" s="171"/>
      <c r="E599" s="164"/>
      <c r="F599" s="170"/>
      <c r="G599" s="134"/>
      <c r="H599" s="134"/>
      <c r="I599" s="134"/>
      <c r="J599" s="134"/>
      <c r="K599" s="134"/>
      <c r="L599" s="134"/>
      <c r="M599" s="134"/>
      <c r="N599" s="134"/>
      <c r="O599" s="134"/>
      <c r="P599" s="134"/>
      <c r="Q599" s="134"/>
      <c r="R599" s="134"/>
      <c r="S599" s="134"/>
      <c r="T599" s="134"/>
      <c r="U599" s="134"/>
      <c r="V599" s="134"/>
      <c r="W599" s="134"/>
      <c r="X599" s="134"/>
      <c r="Y599" s="134"/>
      <c r="Z599" s="134"/>
    </row>
    <row r="600">
      <c r="A600" s="131"/>
      <c r="B600" s="164"/>
      <c r="C600" s="165"/>
      <c r="D600" s="171"/>
      <c r="E600" s="164"/>
      <c r="F600" s="170"/>
      <c r="G600" s="134"/>
      <c r="H600" s="134"/>
      <c r="I600" s="134"/>
      <c r="J600" s="134"/>
      <c r="K600" s="134"/>
      <c r="L600" s="134"/>
      <c r="M600" s="134"/>
      <c r="N600" s="134"/>
      <c r="O600" s="134"/>
      <c r="P600" s="134"/>
      <c r="Q600" s="134"/>
      <c r="R600" s="134"/>
      <c r="S600" s="134"/>
      <c r="T600" s="134"/>
      <c r="U600" s="134"/>
      <c r="V600" s="134"/>
      <c r="W600" s="134"/>
      <c r="X600" s="134"/>
      <c r="Y600" s="134"/>
      <c r="Z600" s="134"/>
    </row>
    <row r="601">
      <c r="A601" s="131"/>
      <c r="B601" s="164"/>
      <c r="C601" s="165"/>
      <c r="D601" s="171"/>
      <c r="E601" s="164"/>
      <c r="F601" s="170"/>
      <c r="G601" s="134"/>
      <c r="H601" s="134"/>
      <c r="I601" s="134"/>
      <c r="J601" s="134"/>
      <c r="K601" s="134"/>
      <c r="L601" s="134"/>
      <c r="M601" s="134"/>
      <c r="N601" s="134"/>
      <c r="O601" s="134"/>
      <c r="P601" s="134"/>
      <c r="Q601" s="134"/>
      <c r="R601" s="134"/>
      <c r="S601" s="134"/>
      <c r="T601" s="134"/>
      <c r="U601" s="134"/>
      <c r="V601" s="134"/>
      <c r="W601" s="134"/>
      <c r="X601" s="134"/>
      <c r="Y601" s="134"/>
      <c r="Z601" s="134"/>
    </row>
    <row r="602">
      <c r="A602" s="131"/>
      <c r="B602" s="164"/>
      <c r="C602" s="165"/>
      <c r="D602" s="171"/>
      <c r="E602" s="164"/>
      <c r="F602" s="170"/>
      <c r="G602" s="134"/>
      <c r="H602" s="134"/>
      <c r="I602" s="134"/>
      <c r="J602" s="134"/>
      <c r="K602" s="134"/>
      <c r="L602" s="134"/>
      <c r="M602" s="134"/>
      <c r="N602" s="134"/>
      <c r="O602" s="134"/>
      <c r="P602" s="134"/>
      <c r="Q602" s="134"/>
      <c r="R602" s="134"/>
      <c r="S602" s="134"/>
      <c r="T602" s="134"/>
      <c r="U602" s="134"/>
      <c r="V602" s="134"/>
      <c r="W602" s="134"/>
      <c r="X602" s="134"/>
      <c r="Y602" s="134"/>
      <c r="Z602" s="134"/>
    </row>
    <row r="603">
      <c r="A603" s="131"/>
      <c r="B603" s="164"/>
      <c r="C603" s="165"/>
      <c r="D603" s="171"/>
      <c r="E603" s="164"/>
      <c r="F603" s="170"/>
      <c r="G603" s="134"/>
      <c r="H603" s="134"/>
      <c r="I603" s="134"/>
      <c r="J603" s="134"/>
      <c r="K603" s="134"/>
      <c r="L603" s="134"/>
      <c r="M603" s="134"/>
      <c r="N603" s="134"/>
      <c r="O603" s="134"/>
      <c r="P603" s="134"/>
      <c r="Q603" s="134"/>
      <c r="R603" s="134"/>
      <c r="S603" s="134"/>
      <c r="T603" s="134"/>
      <c r="U603" s="134"/>
      <c r="V603" s="134"/>
      <c r="W603" s="134"/>
      <c r="X603" s="134"/>
      <c r="Y603" s="134"/>
      <c r="Z603" s="134"/>
    </row>
    <row r="604">
      <c r="A604" s="131"/>
      <c r="B604" s="164"/>
      <c r="C604" s="165"/>
      <c r="D604" s="171"/>
      <c r="E604" s="164"/>
      <c r="F604" s="170"/>
      <c r="G604" s="134"/>
      <c r="H604" s="134"/>
      <c r="I604" s="134"/>
      <c r="J604" s="134"/>
      <c r="K604" s="134"/>
      <c r="L604" s="134"/>
      <c r="M604" s="134"/>
      <c r="N604" s="134"/>
      <c r="O604" s="134"/>
      <c r="P604" s="134"/>
      <c r="Q604" s="134"/>
      <c r="R604" s="134"/>
      <c r="S604" s="134"/>
      <c r="T604" s="134"/>
      <c r="U604" s="134"/>
      <c r="V604" s="134"/>
      <c r="W604" s="134"/>
      <c r="X604" s="134"/>
      <c r="Y604" s="134"/>
      <c r="Z604" s="134"/>
    </row>
    <row r="605">
      <c r="A605" s="131"/>
      <c r="B605" s="164"/>
      <c r="C605" s="165"/>
      <c r="D605" s="171"/>
      <c r="E605" s="164"/>
      <c r="F605" s="170"/>
      <c r="G605" s="134"/>
      <c r="H605" s="134"/>
      <c r="I605" s="134"/>
      <c r="J605" s="134"/>
      <c r="K605" s="134"/>
      <c r="L605" s="134"/>
      <c r="M605" s="134"/>
      <c r="N605" s="134"/>
      <c r="O605" s="134"/>
      <c r="P605" s="134"/>
      <c r="Q605" s="134"/>
      <c r="R605" s="134"/>
      <c r="S605" s="134"/>
      <c r="T605" s="134"/>
      <c r="U605" s="134"/>
      <c r="V605" s="134"/>
      <c r="W605" s="134"/>
      <c r="X605" s="134"/>
      <c r="Y605" s="134"/>
      <c r="Z605" s="134"/>
    </row>
    <row r="606">
      <c r="A606" s="131"/>
      <c r="B606" s="164"/>
      <c r="C606" s="165"/>
      <c r="D606" s="171"/>
      <c r="E606" s="164"/>
      <c r="F606" s="170"/>
      <c r="G606" s="134"/>
      <c r="H606" s="134"/>
      <c r="I606" s="134"/>
      <c r="J606" s="134"/>
      <c r="K606" s="134"/>
      <c r="L606" s="134"/>
      <c r="M606" s="134"/>
      <c r="N606" s="134"/>
      <c r="O606" s="134"/>
      <c r="P606" s="134"/>
      <c r="Q606" s="134"/>
      <c r="R606" s="134"/>
      <c r="S606" s="134"/>
      <c r="T606" s="134"/>
      <c r="U606" s="134"/>
      <c r="V606" s="134"/>
      <c r="W606" s="134"/>
      <c r="X606" s="134"/>
      <c r="Y606" s="134"/>
      <c r="Z606" s="134"/>
    </row>
    <row r="607">
      <c r="A607" s="131"/>
      <c r="B607" s="164"/>
      <c r="C607" s="165"/>
      <c r="D607" s="171"/>
      <c r="E607" s="164"/>
      <c r="F607" s="170"/>
      <c r="G607" s="134"/>
      <c r="H607" s="134"/>
      <c r="I607" s="134"/>
      <c r="J607" s="134"/>
      <c r="K607" s="134"/>
      <c r="L607" s="134"/>
      <c r="M607" s="134"/>
      <c r="N607" s="134"/>
      <c r="O607" s="134"/>
      <c r="P607" s="134"/>
      <c r="Q607" s="134"/>
      <c r="R607" s="134"/>
      <c r="S607" s="134"/>
      <c r="T607" s="134"/>
      <c r="U607" s="134"/>
      <c r="V607" s="134"/>
      <c r="W607" s="134"/>
      <c r="X607" s="134"/>
      <c r="Y607" s="134"/>
      <c r="Z607" s="134"/>
    </row>
    <row r="608">
      <c r="A608" s="131"/>
      <c r="B608" s="164"/>
      <c r="C608" s="165"/>
      <c r="D608" s="171"/>
      <c r="E608" s="164"/>
      <c r="F608" s="170"/>
      <c r="G608" s="134"/>
      <c r="H608" s="134"/>
      <c r="I608" s="134"/>
      <c r="J608" s="134"/>
      <c r="K608" s="134"/>
      <c r="L608" s="134"/>
      <c r="M608" s="134"/>
      <c r="N608" s="134"/>
      <c r="O608" s="134"/>
      <c r="P608" s="134"/>
      <c r="Q608" s="134"/>
      <c r="R608" s="134"/>
      <c r="S608" s="134"/>
      <c r="T608" s="134"/>
      <c r="U608" s="134"/>
      <c r="V608" s="134"/>
      <c r="W608" s="134"/>
      <c r="X608" s="134"/>
      <c r="Y608" s="134"/>
      <c r="Z608" s="134"/>
    </row>
    <row r="609">
      <c r="A609" s="131"/>
      <c r="B609" s="164"/>
      <c r="C609" s="165"/>
      <c r="D609" s="171"/>
      <c r="E609" s="164"/>
      <c r="F609" s="170"/>
      <c r="G609" s="134"/>
      <c r="H609" s="134"/>
      <c r="I609" s="134"/>
      <c r="J609" s="134"/>
      <c r="K609" s="134"/>
      <c r="L609" s="134"/>
      <c r="M609" s="134"/>
      <c r="N609" s="134"/>
      <c r="O609" s="134"/>
      <c r="P609" s="134"/>
      <c r="Q609" s="134"/>
      <c r="R609" s="134"/>
      <c r="S609" s="134"/>
      <c r="T609" s="134"/>
      <c r="U609" s="134"/>
      <c r="V609" s="134"/>
      <c r="W609" s="134"/>
      <c r="X609" s="134"/>
      <c r="Y609" s="134"/>
      <c r="Z609" s="134"/>
    </row>
    <row r="610">
      <c r="A610" s="131"/>
      <c r="B610" s="164"/>
      <c r="C610" s="165"/>
      <c r="D610" s="171"/>
      <c r="E610" s="164"/>
      <c r="F610" s="170"/>
      <c r="G610" s="134"/>
      <c r="H610" s="134"/>
      <c r="I610" s="134"/>
      <c r="J610" s="134"/>
      <c r="K610" s="134"/>
      <c r="L610" s="134"/>
      <c r="M610" s="134"/>
      <c r="N610" s="134"/>
      <c r="O610" s="134"/>
      <c r="P610" s="134"/>
      <c r="Q610" s="134"/>
      <c r="R610" s="134"/>
      <c r="S610" s="134"/>
      <c r="T610" s="134"/>
      <c r="U610" s="134"/>
      <c r="V610" s="134"/>
      <c r="W610" s="134"/>
      <c r="X610" s="134"/>
      <c r="Y610" s="134"/>
      <c r="Z610" s="134"/>
    </row>
    <row r="611">
      <c r="A611" s="131"/>
      <c r="B611" s="164"/>
      <c r="C611" s="165"/>
      <c r="D611" s="171"/>
      <c r="E611" s="164"/>
      <c r="F611" s="170"/>
      <c r="G611" s="134"/>
      <c r="H611" s="134"/>
      <c r="I611" s="134"/>
      <c r="J611" s="134"/>
      <c r="K611" s="134"/>
      <c r="L611" s="134"/>
      <c r="M611" s="134"/>
      <c r="N611" s="134"/>
      <c r="O611" s="134"/>
      <c r="P611" s="134"/>
      <c r="Q611" s="134"/>
      <c r="R611" s="134"/>
      <c r="S611" s="134"/>
      <c r="T611" s="134"/>
      <c r="U611" s="134"/>
      <c r="V611" s="134"/>
      <c r="W611" s="134"/>
      <c r="X611" s="134"/>
      <c r="Y611" s="134"/>
      <c r="Z611" s="134"/>
    </row>
    <row r="612">
      <c r="A612" s="131"/>
      <c r="B612" s="164"/>
      <c r="C612" s="165"/>
      <c r="D612" s="171"/>
      <c r="E612" s="164"/>
      <c r="F612" s="170"/>
      <c r="G612" s="134"/>
      <c r="H612" s="134"/>
      <c r="I612" s="134"/>
      <c r="J612" s="134"/>
      <c r="K612" s="134"/>
      <c r="L612" s="134"/>
      <c r="M612" s="134"/>
      <c r="N612" s="134"/>
      <c r="O612" s="134"/>
      <c r="P612" s="134"/>
      <c r="Q612" s="134"/>
      <c r="R612" s="134"/>
      <c r="S612" s="134"/>
      <c r="T612" s="134"/>
      <c r="U612" s="134"/>
      <c r="V612" s="134"/>
      <c r="W612" s="134"/>
      <c r="X612" s="134"/>
      <c r="Y612" s="134"/>
      <c r="Z612" s="134"/>
    </row>
    <row r="613">
      <c r="A613" s="131"/>
      <c r="B613" s="164"/>
      <c r="C613" s="165"/>
      <c r="D613" s="171"/>
      <c r="E613" s="164"/>
      <c r="F613" s="170"/>
      <c r="G613" s="134"/>
      <c r="H613" s="134"/>
      <c r="I613" s="134"/>
      <c r="J613" s="134"/>
      <c r="K613" s="134"/>
      <c r="L613" s="134"/>
      <c r="M613" s="134"/>
      <c r="N613" s="134"/>
      <c r="O613" s="134"/>
      <c r="P613" s="134"/>
      <c r="Q613" s="134"/>
      <c r="R613" s="134"/>
      <c r="S613" s="134"/>
      <c r="T613" s="134"/>
      <c r="U613" s="134"/>
      <c r="V613" s="134"/>
      <c r="W613" s="134"/>
      <c r="X613" s="134"/>
      <c r="Y613" s="134"/>
      <c r="Z613" s="134"/>
    </row>
    <row r="614">
      <c r="A614" s="131"/>
      <c r="B614" s="164"/>
      <c r="C614" s="165"/>
      <c r="D614" s="171"/>
      <c r="E614" s="164"/>
      <c r="F614" s="170"/>
      <c r="G614" s="134"/>
      <c r="H614" s="134"/>
      <c r="I614" s="134"/>
      <c r="J614" s="134"/>
      <c r="K614" s="134"/>
      <c r="L614" s="134"/>
      <c r="M614" s="134"/>
      <c r="N614" s="134"/>
      <c r="O614" s="134"/>
      <c r="P614" s="134"/>
      <c r="Q614" s="134"/>
      <c r="R614" s="134"/>
      <c r="S614" s="134"/>
      <c r="T614" s="134"/>
      <c r="U614" s="134"/>
      <c r="V614" s="134"/>
      <c r="W614" s="134"/>
      <c r="X614" s="134"/>
      <c r="Y614" s="134"/>
      <c r="Z614" s="134"/>
    </row>
    <row r="615">
      <c r="A615" s="131"/>
      <c r="B615" s="164"/>
      <c r="C615" s="165"/>
      <c r="D615" s="171"/>
      <c r="E615" s="164"/>
      <c r="F615" s="170"/>
      <c r="G615" s="134"/>
      <c r="H615" s="134"/>
      <c r="I615" s="134"/>
      <c r="J615" s="134"/>
      <c r="K615" s="134"/>
      <c r="L615" s="134"/>
      <c r="M615" s="134"/>
      <c r="N615" s="134"/>
      <c r="O615" s="134"/>
      <c r="P615" s="134"/>
      <c r="Q615" s="134"/>
      <c r="R615" s="134"/>
      <c r="S615" s="134"/>
      <c r="T615" s="134"/>
      <c r="U615" s="134"/>
      <c r="V615" s="134"/>
      <c r="W615" s="134"/>
      <c r="X615" s="134"/>
      <c r="Y615" s="134"/>
      <c r="Z615" s="134"/>
    </row>
    <row r="616">
      <c r="A616" s="131"/>
      <c r="B616" s="164"/>
      <c r="C616" s="165"/>
      <c r="D616" s="171"/>
      <c r="E616" s="164"/>
      <c r="F616" s="170"/>
      <c r="G616" s="134"/>
      <c r="H616" s="134"/>
      <c r="I616" s="134"/>
      <c r="J616" s="134"/>
      <c r="K616" s="134"/>
      <c r="L616" s="134"/>
      <c r="M616" s="134"/>
      <c r="N616" s="134"/>
      <c r="O616" s="134"/>
      <c r="P616" s="134"/>
      <c r="Q616" s="134"/>
      <c r="R616" s="134"/>
      <c r="S616" s="134"/>
      <c r="T616" s="134"/>
      <c r="U616" s="134"/>
      <c r="V616" s="134"/>
      <c r="W616" s="134"/>
      <c r="X616" s="134"/>
      <c r="Y616" s="134"/>
      <c r="Z616" s="134"/>
    </row>
    <row r="617">
      <c r="A617" s="131"/>
      <c r="B617" s="164"/>
      <c r="C617" s="165"/>
      <c r="D617" s="171"/>
      <c r="E617" s="164"/>
      <c r="F617" s="170"/>
      <c r="G617" s="134"/>
      <c r="H617" s="134"/>
      <c r="I617" s="134"/>
      <c r="J617" s="134"/>
      <c r="K617" s="134"/>
      <c r="L617" s="134"/>
      <c r="M617" s="134"/>
      <c r="N617" s="134"/>
      <c r="O617" s="134"/>
      <c r="P617" s="134"/>
      <c r="Q617" s="134"/>
      <c r="R617" s="134"/>
      <c r="S617" s="134"/>
      <c r="T617" s="134"/>
      <c r="U617" s="134"/>
      <c r="V617" s="134"/>
      <c r="W617" s="134"/>
      <c r="X617" s="134"/>
      <c r="Y617" s="134"/>
      <c r="Z617" s="134"/>
    </row>
    <row r="618">
      <c r="A618" s="131"/>
      <c r="B618" s="164"/>
      <c r="C618" s="165"/>
      <c r="D618" s="171"/>
      <c r="E618" s="164"/>
      <c r="F618" s="170"/>
      <c r="G618" s="134"/>
      <c r="H618" s="134"/>
      <c r="I618" s="134"/>
      <c r="J618" s="134"/>
      <c r="K618" s="134"/>
      <c r="L618" s="134"/>
      <c r="M618" s="134"/>
      <c r="N618" s="134"/>
      <c r="O618" s="134"/>
      <c r="P618" s="134"/>
      <c r="Q618" s="134"/>
      <c r="R618" s="134"/>
      <c r="S618" s="134"/>
      <c r="T618" s="134"/>
      <c r="U618" s="134"/>
      <c r="V618" s="134"/>
      <c r="W618" s="134"/>
      <c r="X618" s="134"/>
      <c r="Y618" s="134"/>
      <c r="Z618" s="134"/>
    </row>
    <row r="619">
      <c r="A619" s="131"/>
      <c r="B619" s="164"/>
      <c r="C619" s="165"/>
      <c r="D619" s="171"/>
      <c r="E619" s="164"/>
      <c r="F619" s="170"/>
      <c r="G619" s="134"/>
      <c r="H619" s="134"/>
      <c r="I619" s="134"/>
      <c r="J619" s="134"/>
      <c r="K619" s="134"/>
      <c r="L619" s="134"/>
      <c r="M619" s="134"/>
      <c r="N619" s="134"/>
      <c r="O619" s="134"/>
      <c r="P619" s="134"/>
      <c r="Q619" s="134"/>
      <c r="R619" s="134"/>
      <c r="S619" s="134"/>
      <c r="T619" s="134"/>
      <c r="U619" s="134"/>
      <c r="V619" s="134"/>
      <c r="W619" s="134"/>
      <c r="X619" s="134"/>
      <c r="Y619" s="134"/>
      <c r="Z619" s="134"/>
    </row>
    <row r="620">
      <c r="A620" s="131"/>
      <c r="B620" s="164"/>
      <c r="C620" s="165"/>
      <c r="D620" s="171"/>
      <c r="E620" s="164"/>
      <c r="F620" s="170"/>
      <c r="G620" s="134"/>
      <c r="H620" s="134"/>
      <c r="I620" s="134"/>
      <c r="J620" s="134"/>
      <c r="K620" s="134"/>
      <c r="L620" s="134"/>
      <c r="M620" s="134"/>
      <c r="N620" s="134"/>
      <c r="O620" s="134"/>
      <c r="P620" s="134"/>
      <c r="Q620" s="134"/>
      <c r="R620" s="134"/>
      <c r="S620" s="134"/>
      <c r="T620" s="134"/>
      <c r="U620" s="134"/>
      <c r="V620" s="134"/>
      <c r="W620" s="134"/>
      <c r="X620" s="134"/>
      <c r="Y620" s="134"/>
      <c r="Z620" s="134"/>
    </row>
    <row r="621">
      <c r="A621" s="131"/>
      <c r="B621" s="164"/>
      <c r="C621" s="165"/>
      <c r="D621" s="171"/>
      <c r="E621" s="164"/>
      <c r="F621" s="170"/>
      <c r="G621" s="134"/>
      <c r="H621" s="134"/>
      <c r="I621" s="134"/>
      <c r="J621" s="134"/>
      <c r="K621" s="134"/>
      <c r="L621" s="134"/>
      <c r="M621" s="134"/>
      <c r="N621" s="134"/>
      <c r="O621" s="134"/>
      <c r="P621" s="134"/>
      <c r="Q621" s="134"/>
      <c r="R621" s="134"/>
      <c r="S621" s="134"/>
      <c r="T621" s="134"/>
      <c r="U621" s="134"/>
      <c r="V621" s="134"/>
      <c r="W621" s="134"/>
      <c r="X621" s="134"/>
      <c r="Y621" s="134"/>
      <c r="Z621" s="134"/>
    </row>
    <row r="622">
      <c r="A622" s="131"/>
      <c r="B622" s="164"/>
      <c r="C622" s="165"/>
      <c r="D622" s="171"/>
      <c r="E622" s="164"/>
      <c r="F622" s="170"/>
      <c r="G622" s="134"/>
      <c r="H622" s="134"/>
      <c r="I622" s="134"/>
      <c r="J622" s="134"/>
      <c r="K622" s="134"/>
      <c r="L622" s="134"/>
      <c r="M622" s="134"/>
      <c r="N622" s="134"/>
      <c r="O622" s="134"/>
      <c r="P622" s="134"/>
      <c r="Q622" s="134"/>
      <c r="R622" s="134"/>
      <c r="S622" s="134"/>
      <c r="T622" s="134"/>
      <c r="U622" s="134"/>
      <c r="V622" s="134"/>
      <c r="W622" s="134"/>
      <c r="X622" s="134"/>
      <c r="Y622" s="134"/>
      <c r="Z622" s="134"/>
    </row>
    <row r="623">
      <c r="A623" s="131"/>
      <c r="B623" s="164"/>
      <c r="C623" s="165"/>
      <c r="D623" s="171"/>
      <c r="E623" s="164"/>
      <c r="F623" s="170"/>
      <c r="G623" s="134"/>
      <c r="H623" s="134"/>
      <c r="I623" s="134"/>
      <c r="J623" s="134"/>
      <c r="K623" s="134"/>
      <c r="L623" s="134"/>
      <c r="M623" s="134"/>
      <c r="N623" s="134"/>
      <c r="O623" s="134"/>
      <c r="P623" s="134"/>
      <c r="Q623" s="134"/>
      <c r="R623" s="134"/>
      <c r="S623" s="134"/>
      <c r="T623" s="134"/>
      <c r="U623" s="134"/>
      <c r="V623" s="134"/>
      <c r="W623" s="134"/>
      <c r="X623" s="134"/>
      <c r="Y623" s="134"/>
      <c r="Z623" s="134"/>
    </row>
    <row r="624">
      <c r="A624" s="131"/>
      <c r="B624" s="164"/>
      <c r="C624" s="165"/>
      <c r="D624" s="171"/>
      <c r="E624" s="164"/>
      <c r="F624" s="170"/>
      <c r="G624" s="134"/>
      <c r="H624" s="134"/>
      <c r="I624" s="134"/>
      <c r="J624" s="134"/>
      <c r="K624" s="134"/>
      <c r="L624" s="134"/>
      <c r="M624" s="134"/>
      <c r="N624" s="134"/>
      <c r="O624" s="134"/>
      <c r="P624" s="134"/>
      <c r="Q624" s="134"/>
      <c r="R624" s="134"/>
      <c r="S624" s="134"/>
      <c r="T624" s="134"/>
      <c r="U624" s="134"/>
      <c r="V624" s="134"/>
      <c r="W624" s="134"/>
      <c r="X624" s="134"/>
      <c r="Y624" s="134"/>
      <c r="Z624" s="134"/>
    </row>
    <row r="625">
      <c r="A625" s="131"/>
      <c r="B625" s="164"/>
      <c r="C625" s="165"/>
      <c r="D625" s="171"/>
      <c r="E625" s="164"/>
      <c r="F625" s="170"/>
      <c r="G625" s="134"/>
      <c r="H625" s="134"/>
      <c r="I625" s="134"/>
      <c r="J625" s="134"/>
      <c r="K625" s="134"/>
      <c r="L625" s="134"/>
      <c r="M625" s="134"/>
      <c r="N625" s="134"/>
      <c r="O625" s="134"/>
      <c r="P625" s="134"/>
      <c r="Q625" s="134"/>
      <c r="R625" s="134"/>
      <c r="S625" s="134"/>
      <c r="T625" s="134"/>
      <c r="U625" s="134"/>
      <c r="V625" s="134"/>
      <c r="W625" s="134"/>
      <c r="X625" s="134"/>
      <c r="Y625" s="134"/>
      <c r="Z625" s="134"/>
    </row>
    <row r="626">
      <c r="A626" s="131"/>
      <c r="B626" s="164"/>
      <c r="C626" s="165"/>
      <c r="D626" s="171"/>
      <c r="E626" s="164"/>
      <c r="F626" s="170"/>
      <c r="G626" s="134"/>
      <c r="H626" s="134"/>
      <c r="I626" s="134"/>
      <c r="J626" s="134"/>
      <c r="K626" s="134"/>
      <c r="L626" s="134"/>
      <c r="M626" s="134"/>
      <c r="N626" s="134"/>
      <c r="O626" s="134"/>
      <c r="P626" s="134"/>
      <c r="Q626" s="134"/>
      <c r="R626" s="134"/>
      <c r="S626" s="134"/>
      <c r="T626" s="134"/>
      <c r="U626" s="134"/>
      <c r="V626" s="134"/>
      <c r="W626" s="134"/>
      <c r="X626" s="134"/>
      <c r="Y626" s="134"/>
      <c r="Z626" s="134"/>
    </row>
    <row r="627">
      <c r="A627" s="131"/>
      <c r="B627" s="164"/>
      <c r="C627" s="165"/>
      <c r="D627" s="171"/>
      <c r="E627" s="164"/>
      <c r="F627" s="170"/>
      <c r="G627" s="134"/>
      <c r="H627" s="134"/>
      <c r="I627" s="134"/>
      <c r="J627" s="134"/>
      <c r="K627" s="134"/>
      <c r="L627" s="134"/>
      <c r="M627" s="134"/>
      <c r="N627" s="134"/>
      <c r="O627" s="134"/>
      <c r="P627" s="134"/>
      <c r="Q627" s="134"/>
      <c r="R627" s="134"/>
      <c r="S627" s="134"/>
      <c r="T627" s="134"/>
      <c r="U627" s="134"/>
      <c r="V627" s="134"/>
      <c r="W627" s="134"/>
      <c r="X627" s="134"/>
      <c r="Y627" s="134"/>
      <c r="Z627" s="134"/>
    </row>
    <row r="628">
      <c r="A628" s="131"/>
      <c r="B628" s="164"/>
      <c r="C628" s="165"/>
      <c r="D628" s="171"/>
      <c r="E628" s="164"/>
      <c r="F628" s="170"/>
      <c r="G628" s="134"/>
      <c r="H628" s="134"/>
      <c r="I628" s="134"/>
      <c r="J628" s="134"/>
      <c r="K628" s="134"/>
      <c r="L628" s="134"/>
      <c r="M628" s="134"/>
      <c r="N628" s="134"/>
      <c r="O628" s="134"/>
      <c r="P628" s="134"/>
      <c r="Q628" s="134"/>
      <c r="R628" s="134"/>
      <c r="S628" s="134"/>
      <c r="T628" s="134"/>
      <c r="U628" s="134"/>
      <c r="V628" s="134"/>
      <c r="W628" s="134"/>
      <c r="X628" s="134"/>
      <c r="Y628" s="134"/>
      <c r="Z628" s="134"/>
    </row>
    <row r="629">
      <c r="A629" s="131"/>
      <c r="B629" s="164"/>
      <c r="C629" s="165"/>
      <c r="D629" s="171"/>
      <c r="E629" s="164"/>
      <c r="F629" s="170"/>
      <c r="G629" s="134"/>
      <c r="H629" s="134"/>
      <c r="I629" s="134"/>
      <c r="J629" s="134"/>
      <c r="K629" s="134"/>
      <c r="L629" s="134"/>
      <c r="M629" s="134"/>
      <c r="N629" s="134"/>
      <c r="O629" s="134"/>
      <c r="P629" s="134"/>
      <c r="Q629" s="134"/>
      <c r="R629" s="134"/>
      <c r="S629" s="134"/>
      <c r="T629" s="134"/>
      <c r="U629" s="134"/>
      <c r="V629" s="134"/>
      <c r="W629" s="134"/>
      <c r="X629" s="134"/>
      <c r="Y629" s="134"/>
      <c r="Z629" s="134"/>
    </row>
    <row r="630">
      <c r="A630" s="131"/>
      <c r="B630" s="164"/>
      <c r="C630" s="165"/>
      <c r="D630" s="171"/>
      <c r="E630" s="164"/>
      <c r="F630" s="170"/>
      <c r="G630" s="134"/>
      <c r="H630" s="134"/>
      <c r="I630" s="134"/>
      <c r="J630" s="134"/>
      <c r="K630" s="134"/>
      <c r="L630" s="134"/>
      <c r="M630" s="134"/>
      <c r="N630" s="134"/>
      <c r="O630" s="134"/>
      <c r="P630" s="134"/>
      <c r="Q630" s="134"/>
      <c r="R630" s="134"/>
      <c r="S630" s="134"/>
      <c r="T630" s="134"/>
      <c r="U630" s="134"/>
      <c r="V630" s="134"/>
      <c r="W630" s="134"/>
      <c r="X630" s="134"/>
      <c r="Y630" s="134"/>
      <c r="Z630" s="134"/>
    </row>
    <row r="631">
      <c r="A631" s="131"/>
      <c r="B631" s="164"/>
      <c r="C631" s="165"/>
      <c r="D631" s="171"/>
      <c r="E631" s="164"/>
      <c r="F631" s="170"/>
      <c r="G631" s="134"/>
      <c r="H631" s="134"/>
      <c r="I631" s="134"/>
      <c r="J631" s="134"/>
      <c r="K631" s="134"/>
      <c r="L631" s="134"/>
      <c r="M631" s="134"/>
      <c r="N631" s="134"/>
      <c r="O631" s="134"/>
      <c r="P631" s="134"/>
      <c r="Q631" s="134"/>
      <c r="R631" s="134"/>
      <c r="S631" s="134"/>
      <c r="T631" s="134"/>
      <c r="U631" s="134"/>
      <c r="V631" s="134"/>
      <c r="W631" s="134"/>
      <c r="X631" s="134"/>
      <c r="Y631" s="134"/>
      <c r="Z631" s="134"/>
    </row>
    <row r="632">
      <c r="A632" s="131"/>
      <c r="B632" s="164"/>
      <c r="C632" s="165"/>
      <c r="D632" s="171"/>
      <c r="E632" s="164"/>
      <c r="F632" s="170"/>
      <c r="G632" s="134"/>
      <c r="H632" s="134"/>
      <c r="I632" s="134"/>
      <c r="J632" s="134"/>
      <c r="K632" s="134"/>
      <c r="L632" s="134"/>
      <c r="M632" s="134"/>
      <c r="N632" s="134"/>
      <c r="O632" s="134"/>
      <c r="P632" s="134"/>
      <c r="Q632" s="134"/>
      <c r="R632" s="134"/>
      <c r="S632" s="134"/>
      <c r="T632" s="134"/>
      <c r="U632" s="134"/>
      <c r="V632" s="134"/>
      <c r="W632" s="134"/>
      <c r="X632" s="134"/>
      <c r="Y632" s="134"/>
      <c r="Z632" s="134"/>
    </row>
    <row r="633">
      <c r="A633" s="131"/>
      <c r="B633" s="164"/>
      <c r="C633" s="165"/>
      <c r="D633" s="171"/>
      <c r="E633" s="164"/>
      <c r="F633" s="170"/>
      <c r="G633" s="134"/>
      <c r="H633" s="134"/>
      <c r="I633" s="134"/>
      <c r="J633" s="134"/>
      <c r="K633" s="134"/>
      <c r="L633" s="134"/>
      <c r="M633" s="134"/>
      <c r="N633" s="134"/>
      <c r="O633" s="134"/>
      <c r="P633" s="134"/>
      <c r="Q633" s="134"/>
      <c r="R633" s="134"/>
      <c r="S633" s="134"/>
      <c r="T633" s="134"/>
      <c r="U633" s="134"/>
      <c r="V633" s="134"/>
      <c r="W633" s="134"/>
      <c r="X633" s="134"/>
      <c r="Y633" s="134"/>
      <c r="Z633" s="134"/>
    </row>
    <row r="634">
      <c r="A634" s="131"/>
      <c r="B634" s="164"/>
      <c r="C634" s="165"/>
      <c r="D634" s="171"/>
      <c r="E634" s="164"/>
      <c r="F634" s="170"/>
      <c r="G634" s="134"/>
      <c r="H634" s="134"/>
      <c r="I634" s="134"/>
      <c r="J634" s="134"/>
      <c r="K634" s="134"/>
      <c r="L634" s="134"/>
      <c r="M634" s="134"/>
      <c r="N634" s="134"/>
      <c r="O634" s="134"/>
      <c r="P634" s="134"/>
      <c r="Q634" s="134"/>
      <c r="R634" s="134"/>
      <c r="S634" s="134"/>
      <c r="T634" s="134"/>
      <c r="U634" s="134"/>
      <c r="V634" s="134"/>
      <c r="W634" s="134"/>
      <c r="X634" s="134"/>
      <c r="Y634" s="134"/>
      <c r="Z634" s="134"/>
    </row>
    <row r="635">
      <c r="A635" s="131"/>
      <c r="B635" s="164"/>
      <c r="C635" s="165"/>
      <c r="D635" s="171"/>
      <c r="E635" s="164"/>
      <c r="F635" s="170"/>
      <c r="G635" s="134"/>
      <c r="H635" s="134"/>
      <c r="I635" s="134"/>
      <c r="J635" s="134"/>
      <c r="K635" s="134"/>
      <c r="L635" s="134"/>
      <c r="M635" s="134"/>
      <c r="N635" s="134"/>
      <c r="O635" s="134"/>
      <c r="P635" s="134"/>
      <c r="Q635" s="134"/>
      <c r="R635" s="134"/>
      <c r="S635" s="134"/>
      <c r="T635" s="134"/>
      <c r="U635" s="134"/>
      <c r="V635" s="134"/>
      <c r="W635" s="134"/>
      <c r="X635" s="134"/>
      <c r="Y635" s="134"/>
      <c r="Z635" s="134"/>
    </row>
    <row r="636">
      <c r="A636" s="131"/>
      <c r="B636" s="164"/>
      <c r="C636" s="165"/>
      <c r="D636" s="171"/>
      <c r="E636" s="164"/>
      <c r="F636" s="170"/>
      <c r="G636" s="134"/>
      <c r="H636" s="134"/>
      <c r="I636" s="134"/>
      <c r="J636" s="134"/>
      <c r="K636" s="134"/>
      <c r="L636" s="134"/>
      <c r="M636" s="134"/>
      <c r="N636" s="134"/>
      <c r="O636" s="134"/>
      <c r="P636" s="134"/>
      <c r="Q636" s="134"/>
      <c r="R636" s="134"/>
      <c r="S636" s="134"/>
      <c r="T636" s="134"/>
      <c r="U636" s="134"/>
      <c r="V636" s="134"/>
      <c r="W636" s="134"/>
      <c r="X636" s="134"/>
      <c r="Y636" s="134"/>
      <c r="Z636" s="134"/>
    </row>
    <row r="637">
      <c r="A637" s="131"/>
      <c r="B637" s="164"/>
      <c r="C637" s="165"/>
      <c r="D637" s="171"/>
      <c r="E637" s="164"/>
      <c r="F637" s="170"/>
      <c r="G637" s="134"/>
      <c r="H637" s="134"/>
      <c r="I637" s="134"/>
      <c r="J637" s="134"/>
      <c r="K637" s="134"/>
      <c r="L637" s="134"/>
      <c r="M637" s="134"/>
      <c r="N637" s="134"/>
      <c r="O637" s="134"/>
      <c r="P637" s="134"/>
      <c r="Q637" s="134"/>
      <c r="R637" s="134"/>
      <c r="S637" s="134"/>
      <c r="T637" s="134"/>
      <c r="U637" s="134"/>
      <c r="V637" s="134"/>
      <c r="W637" s="134"/>
      <c r="X637" s="134"/>
      <c r="Y637" s="134"/>
      <c r="Z637" s="134"/>
    </row>
    <row r="638">
      <c r="A638" s="131"/>
      <c r="B638" s="164"/>
      <c r="C638" s="165"/>
      <c r="D638" s="171"/>
      <c r="E638" s="164"/>
      <c r="F638" s="170"/>
      <c r="G638" s="134"/>
      <c r="H638" s="134"/>
      <c r="I638" s="134"/>
      <c r="J638" s="134"/>
      <c r="K638" s="134"/>
      <c r="L638" s="134"/>
      <c r="M638" s="134"/>
      <c r="N638" s="134"/>
      <c r="O638" s="134"/>
      <c r="P638" s="134"/>
      <c r="Q638" s="134"/>
      <c r="R638" s="134"/>
      <c r="S638" s="134"/>
      <c r="T638" s="134"/>
      <c r="U638" s="134"/>
      <c r="V638" s="134"/>
      <c r="W638" s="134"/>
      <c r="X638" s="134"/>
      <c r="Y638" s="134"/>
      <c r="Z638" s="134"/>
    </row>
    <row r="639">
      <c r="A639" s="131"/>
      <c r="B639" s="164"/>
      <c r="C639" s="165"/>
      <c r="D639" s="171"/>
      <c r="E639" s="164"/>
      <c r="F639" s="170"/>
      <c r="G639" s="134"/>
      <c r="H639" s="134"/>
      <c r="I639" s="134"/>
      <c r="J639" s="134"/>
      <c r="K639" s="134"/>
      <c r="L639" s="134"/>
      <c r="M639" s="134"/>
      <c r="N639" s="134"/>
      <c r="O639" s="134"/>
      <c r="P639" s="134"/>
      <c r="Q639" s="134"/>
      <c r="R639" s="134"/>
      <c r="S639" s="134"/>
      <c r="T639" s="134"/>
      <c r="U639" s="134"/>
      <c r="V639" s="134"/>
      <c r="W639" s="134"/>
      <c r="X639" s="134"/>
      <c r="Y639" s="134"/>
      <c r="Z639" s="134"/>
    </row>
    <row r="640">
      <c r="A640" s="131"/>
      <c r="B640" s="164"/>
      <c r="C640" s="165"/>
      <c r="D640" s="171"/>
      <c r="E640" s="164"/>
      <c r="F640" s="170"/>
      <c r="G640" s="134"/>
      <c r="H640" s="134"/>
      <c r="I640" s="134"/>
      <c r="J640" s="134"/>
      <c r="K640" s="134"/>
      <c r="L640" s="134"/>
      <c r="M640" s="134"/>
      <c r="N640" s="134"/>
      <c r="O640" s="134"/>
      <c r="P640" s="134"/>
      <c r="Q640" s="134"/>
      <c r="R640" s="134"/>
      <c r="S640" s="134"/>
      <c r="T640" s="134"/>
      <c r="U640" s="134"/>
      <c r="V640" s="134"/>
      <c r="W640" s="134"/>
      <c r="X640" s="134"/>
      <c r="Y640" s="134"/>
      <c r="Z640" s="134"/>
    </row>
    <row r="641">
      <c r="A641" s="131"/>
      <c r="B641" s="164"/>
      <c r="C641" s="165"/>
      <c r="D641" s="171"/>
      <c r="E641" s="164"/>
      <c r="F641" s="170"/>
      <c r="G641" s="134"/>
      <c r="H641" s="134"/>
      <c r="I641" s="134"/>
      <c r="J641" s="134"/>
      <c r="K641" s="134"/>
      <c r="L641" s="134"/>
      <c r="M641" s="134"/>
      <c r="N641" s="134"/>
      <c r="O641" s="134"/>
      <c r="P641" s="134"/>
      <c r="Q641" s="134"/>
      <c r="R641" s="134"/>
      <c r="S641" s="134"/>
      <c r="T641" s="134"/>
      <c r="U641" s="134"/>
      <c r="V641" s="134"/>
      <c r="W641" s="134"/>
      <c r="X641" s="134"/>
      <c r="Y641" s="134"/>
      <c r="Z641" s="134"/>
    </row>
    <row r="642">
      <c r="A642" s="131"/>
      <c r="B642" s="164"/>
      <c r="C642" s="165"/>
      <c r="D642" s="171"/>
      <c r="E642" s="164"/>
      <c r="F642" s="170"/>
      <c r="G642" s="134"/>
      <c r="H642" s="134"/>
      <c r="I642" s="134"/>
      <c r="J642" s="134"/>
      <c r="K642" s="134"/>
      <c r="L642" s="134"/>
      <c r="M642" s="134"/>
      <c r="N642" s="134"/>
      <c r="O642" s="134"/>
      <c r="P642" s="134"/>
      <c r="Q642" s="134"/>
      <c r="R642" s="134"/>
      <c r="S642" s="134"/>
      <c r="T642" s="134"/>
      <c r="U642" s="134"/>
      <c r="V642" s="134"/>
      <c r="W642" s="134"/>
      <c r="X642" s="134"/>
      <c r="Y642" s="134"/>
      <c r="Z642" s="134"/>
    </row>
    <row r="643">
      <c r="A643" s="131"/>
      <c r="B643" s="164"/>
      <c r="C643" s="165"/>
      <c r="D643" s="171"/>
      <c r="E643" s="164"/>
      <c r="F643" s="170"/>
      <c r="G643" s="134"/>
      <c r="H643" s="134"/>
      <c r="I643" s="134"/>
      <c r="J643" s="134"/>
      <c r="K643" s="134"/>
      <c r="L643" s="134"/>
      <c r="M643" s="134"/>
      <c r="N643" s="134"/>
      <c r="O643" s="134"/>
      <c r="P643" s="134"/>
      <c r="Q643" s="134"/>
      <c r="R643" s="134"/>
      <c r="S643" s="134"/>
      <c r="T643" s="134"/>
      <c r="U643" s="134"/>
      <c r="V643" s="134"/>
      <c r="W643" s="134"/>
      <c r="X643" s="134"/>
      <c r="Y643" s="134"/>
      <c r="Z643" s="134"/>
    </row>
    <row r="644">
      <c r="A644" s="131"/>
      <c r="B644" s="164"/>
      <c r="C644" s="165"/>
      <c r="D644" s="171"/>
      <c r="E644" s="164"/>
      <c r="F644" s="170"/>
      <c r="G644" s="134"/>
      <c r="H644" s="134"/>
      <c r="I644" s="134"/>
      <c r="J644" s="134"/>
      <c r="K644" s="134"/>
      <c r="L644" s="134"/>
      <c r="M644" s="134"/>
      <c r="N644" s="134"/>
      <c r="O644" s="134"/>
      <c r="P644" s="134"/>
      <c r="Q644" s="134"/>
      <c r="R644" s="134"/>
      <c r="S644" s="134"/>
      <c r="T644" s="134"/>
      <c r="U644" s="134"/>
      <c r="V644" s="134"/>
      <c r="W644" s="134"/>
      <c r="X644" s="134"/>
      <c r="Y644" s="134"/>
      <c r="Z644" s="134"/>
    </row>
    <row r="645">
      <c r="A645" s="131"/>
      <c r="B645" s="164"/>
      <c r="C645" s="165"/>
      <c r="D645" s="171"/>
      <c r="E645" s="164"/>
      <c r="F645" s="170"/>
      <c r="G645" s="134"/>
      <c r="H645" s="134"/>
      <c r="I645" s="134"/>
      <c r="J645" s="134"/>
      <c r="K645" s="134"/>
      <c r="L645" s="134"/>
      <c r="M645" s="134"/>
      <c r="N645" s="134"/>
      <c r="O645" s="134"/>
      <c r="P645" s="134"/>
      <c r="Q645" s="134"/>
      <c r="R645" s="134"/>
      <c r="S645" s="134"/>
      <c r="T645" s="134"/>
      <c r="U645" s="134"/>
      <c r="V645" s="134"/>
      <c r="W645" s="134"/>
      <c r="X645" s="134"/>
      <c r="Y645" s="134"/>
      <c r="Z645" s="134"/>
    </row>
    <row r="646">
      <c r="A646" s="131"/>
      <c r="B646" s="164"/>
      <c r="C646" s="165"/>
      <c r="D646" s="171"/>
      <c r="E646" s="164"/>
      <c r="F646" s="170"/>
      <c r="G646" s="134"/>
      <c r="H646" s="134"/>
      <c r="I646" s="134"/>
      <c r="J646" s="134"/>
      <c r="K646" s="134"/>
      <c r="L646" s="134"/>
      <c r="M646" s="134"/>
      <c r="N646" s="134"/>
      <c r="O646" s="134"/>
      <c r="P646" s="134"/>
      <c r="Q646" s="134"/>
      <c r="R646" s="134"/>
      <c r="S646" s="134"/>
      <c r="T646" s="134"/>
      <c r="U646" s="134"/>
      <c r="V646" s="134"/>
      <c r="W646" s="134"/>
      <c r="X646" s="134"/>
      <c r="Y646" s="134"/>
      <c r="Z646" s="134"/>
    </row>
    <row r="647">
      <c r="A647" s="131"/>
      <c r="B647" s="164"/>
      <c r="C647" s="165"/>
      <c r="D647" s="171"/>
      <c r="E647" s="164"/>
      <c r="F647" s="170"/>
      <c r="G647" s="134"/>
      <c r="H647" s="134"/>
      <c r="I647" s="134"/>
      <c r="J647" s="134"/>
      <c r="K647" s="134"/>
      <c r="L647" s="134"/>
      <c r="M647" s="134"/>
      <c r="N647" s="134"/>
      <c r="O647" s="134"/>
      <c r="P647" s="134"/>
      <c r="Q647" s="134"/>
      <c r="R647" s="134"/>
      <c r="S647" s="134"/>
      <c r="T647" s="134"/>
      <c r="U647" s="134"/>
      <c r="V647" s="134"/>
      <c r="W647" s="134"/>
      <c r="X647" s="134"/>
      <c r="Y647" s="134"/>
      <c r="Z647" s="134"/>
    </row>
    <row r="648">
      <c r="A648" s="131"/>
      <c r="B648" s="164"/>
      <c r="C648" s="165"/>
      <c r="D648" s="171"/>
      <c r="E648" s="164"/>
      <c r="F648" s="170"/>
      <c r="G648" s="134"/>
      <c r="H648" s="134"/>
      <c r="I648" s="134"/>
      <c r="J648" s="134"/>
      <c r="K648" s="134"/>
      <c r="L648" s="134"/>
      <c r="M648" s="134"/>
      <c r="N648" s="134"/>
      <c r="O648" s="134"/>
      <c r="P648" s="134"/>
      <c r="Q648" s="134"/>
      <c r="R648" s="134"/>
      <c r="S648" s="134"/>
      <c r="T648" s="134"/>
      <c r="U648" s="134"/>
      <c r="V648" s="134"/>
      <c r="W648" s="134"/>
      <c r="X648" s="134"/>
      <c r="Y648" s="134"/>
      <c r="Z648" s="134"/>
    </row>
    <row r="649">
      <c r="A649" s="131"/>
      <c r="B649" s="164"/>
      <c r="C649" s="165"/>
      <c r="D649" s="171"/>
      <c r="E649" s="164"/>
      <c r="F649" s="170"/>
      <c r="G649" s="134"/>
      <c r="H649" s="134"/>
      <c r="I649" s="134"/>
      <c r="J649" s="134"/>
      <c r="K649" s="134"/>
      <c r="L649" s="134"/>
      <c r="M649" s="134"/>
      <c r="N649" s="134"/>
      <c r="O649" s="134"/>
      <c r="P649" s="134"/>
      <c r="Q649" s="134"/>
      <c r="R649" s="134"/>
      <c r="S649" s="134"/>
      <c r="T649" s="134"/>
      <c r="U649" s="134"/>
      <c r="V649" s="134"/>
      <c r="W649" s="134"/>
      <c r="X649" s="134"/>
      <c r="Y649" s="134"/>
      <c r="Z649" s="134"/>
    </row>
    <row r="650">
      <c r="A650" s="131"/>
      <c r="B650" s="164"/>
      <c r="C650" s="165"/>
      <c r="D650" s="171"/>
      <c r="E650" s="164"/>
      <c r="F650" s="170"/>
      <c r="G650" s="134"/>
      <c r="H650" s="134"/>
      <c r="I650" s="134"/>
      <c r="J650" s="134"/>
      <c r="K650" s="134"/>
      <c r="L650" s="134"/>
      <c r="M650" s="134"/>
      <c r="N650" s="134"/>
      <c r="O650" s="134"/>
      <c r="P650" s="134"/>
      <c r="Q650" s="134"/>
      <c r="R650" s="134"/>
      <c r="S650" s="134"/>
      <c r="T650" s="134"/>
      <c r="U650" s="134"/>
      <c r="V650" s="134"/>
      <c r="W650" s="134"/>
      <c r="X650" s="134"/>
      <c r="Y650" s="134"/>
      <c r="Z650" s="134"/>
    </row>
    <row r="651">
      <c r="A651" s="131"/>
      <c r="B651" s="164"/>
      <c r="C651" s="165"/>
      <c r="D651" s="171"/>
      <c r="E651" s="164"/>
      <c r="F651" s="170"/>
      <c r="G651" s="134"/>
      <c r="H651" s="134"/>
      <c r="I651" s="134"/>
      <c r="J651" s="134"/>
      <c r="K651" s="134"/>
      <c r="L651" s="134"/>
      <c r="M651" s="134"/>
      <c r="N651" s="134"/>
      <c r="O651" s="134"/>
      <c r="P651" s="134"/>
      <c r="Q651" s="134"/>
      <c r="R651" s="134"/>
      <c r="S651" s="134"/>
      <c r="T651" s="134"/>
      <c r="U651" s="134"/>
      <c r="V651" s="134"/>
      <c r="W651" s="134"/>
      <c r="X651" s="134"/>
      <c r="Y651" s="134"/>
      <c r="Z651" s="134"/>
    </row>
    <row r="652">
      <c r="A652" s="131"/>
      <c r="B652" s="164"/>
      <c r="C652" s="165"/>
      <c r="D652" s="171"/>
      <c r="E652" s="164"/>
      <c r="F652" s="170"/>
      <c r="G652" s="134"/>
      <c r="H652" s="134"/>
      <c r="I652" s="134"/>
      <c r="J652" s="134"/>
      <c r="K652" s="134"/>
      <c r="L652" s="134"/>
      <c r="M652" s="134"/>
      <c r="N652" s="134"/>
      <c r="O652" s="134"/>
      <c r="P652" s="134"/>
      <c r="Q652" s="134"/>
      <c r="R652" s="134"/>
      <c r="S652" s="134"/>
      <c r="T652" s="134"/>
      <c r="U652" s="134"/>
      <c r="V652" s="134"/>
      <c r="W652" s="134"/>
      <c r="X652" s="134"/>
      <c r="Y652" s="134"/>
      <c r="Z652" s="134"/>
    </row>
    <row r="653">
      <c r="A653" s="131"/>
      <c r="B653" s="164"/>
      <c r="C653" s="165"/>
      <c r="D653" s="171"/>
      <c r="E653" s="164"/>
      <c r="F653" s="170"/>
      <c r="G653" s="134"/>
      <c r="H653" s="134"/>
      <c r="I653" s="134"/>
      <c r="J653" s="134"/>
      <c r="K653" s="134"/>
      <c r="L653" s="134"/>
      <c r="M653" s="134"/>
      <c r="N653" s="134"/>
      <c r="O653" s="134"/>
      <c r="P653" s="134"/>
      <c r="Q653" s="134"/>
      <c r="R653" s="134"/>
      <c r="S653" s="134"/>
      <c r="T653" s="134"/>
      <c r="U653" s="134"/>
      <c r="V653" s="134"/>
      <c r="W653" s="134"/>
      <c r="X653" s="134"/>
      <c r="Y653" s="134"/>
      <c r="Z653" s="134"/>
    </row>
    <row r="654">
      <c r="A654" s="131"/>
      <c r="B654" s="164"/>
      <c r="C654" s="165"/>
      <c r="D654" s="171"/>
      <c r="E654" s="164"/>
      <c r="F654" s="170"/>
      <c r="G654" s="134"/>
      <c r="H654" s="134"/>
      <c r="I654" s="134"/>
      <c r="J654" s="134"/>
      <c r="K654" s="134"/>
      <c r="L654" s="134"/>
      <c r="M654" s="134"/>
      <c r="N654" s="134"/>
      <c r="O654" s="134"/>
      <c r="P654" s="134"/>
      <c r="Q654" s="134"/>
      <c r="R654" s="134"/>
      <c r="S654" s="134"/>
      <c r="T654" s="134"/>
      <c r="U654" s="134"/>
      <c r="V654" s="134"/>
      <c r="W654" s="134"/>
      <c r="X654" s="134"/>
      <c r="Y654" s="134"/>
      <c r="Z654" s="134"/>
    </row>
    <row r="655">
      <c r="A655" s="131"/>
      <c r="B655" s="164"/>
      <c r="C655" s="165"/>
      <c r="D655" s="171"/>
      <c r="E655" s="164"/>
      <c r="F655" s="170"/>
      <c r="G655" s="134"/>
      <c r="H655" s="134"/>
      <c r="I655" s="134"/>
      <c r="J655" s="134"/>
      <c r="K655" s="134"/>
      <c r="L655" s="134"/>
      <c r="M655" s="134"/>
      <c r="N655" s="134"/>
      <c r="O655" s="134"/>
      <c r="P655" s="134"/>
      <c r="Q655" s="134"/>
      <c r="R655" s="134"/>
      <c r="S655" s="134"/>
      <c r="T655" s="134"/>
      <c r="U655" s="134"/>
      <c r="V655" s="134"/>
      <c r="W655" s="134"/>
      <c r="X655" s="134"/>
      <c r="Y655" s="134"/>
      <c r="Z655" s="134"/>
    </row>
    <row r="656">
      <c r="A656" s="131"/>
      <c r="B656" s="164"/>
      <c r="C656" s="165"/>
      <c r="D656" s="171"/>
      <c r="E656" s="164"/>
      <c r="F656" s="170"/>
      <c r="G656" s="134"/>
      <c r="H656" s="134"/>
      <c r="I656" s="134"/>
      <c r="J656" s="134"/>
      <c r="K656" s="134"/>
      <c r="L656" s="134"/>
      <c r="M656" s="134"/>
      <c r="N656" s="134"/>
      <c r="O656" s="134"/>
      <c r="P656" s="134"/>
      <c r="Q656" s="134"/>
      <c r="R656" s="134"/>
      <c r="S656" s="134"/>
      <c r="T656" s="134"/>
      <c r="U656" s="134"/>
      <c r="V656" s="134"/>
      <c r="W656" s="134"/>
      <c r="X656" s="134"/>
      <c r="Y656" s="134"/>
      <c r="Z656" s="134"/>
    </row>
    <row r="657">
      <c r="A657" s="131"/>
      <c r="B657" s="164"/>
      <c r="C657" s="165"/>
      <c r="D657" s="171"/>
      <c r="E657" s="164"/>
      <c r="F657" s="170"/>
      <c r="G657" s="134"/>
      <c r="H657" s="134"/>
      <c r="I657" s="134"/>
      <c r="J657" s="134"/>
      <c r="K657" s="134"/>
      <c r="L657" s="134"/>
      <c r="M657" s="134"/>
      <c r="N657" s="134"/>
      <c r="O657" s="134"/>
      <c r="P657" s="134"/>
      <c r="Q657" s="134"/>
      <c r="R657" s="134"/>
      <c r="S657" s="134"/>
      <c r="T657" s="134"/>
      <c r="U657" s="134"/>
      <c r="V657" s="134"/>
      <c r="W657" s="134"/>
      <c r="X657" s="134"/>
      <c r="Y657" s="134"/>
      <c r="Z657" s="134"/>
    </row>
    <row r="658">
      <c r="A658" s="131"/>
      <c r="B658" s="164"/>
      <c r="C658" s="165"/>
      <c r="D658" s="171"/>
      <c r="E658" s="164"/>
      <c r="F658" s="170"/>
      <c r="G658" s="134"/>
      <c r="H658" s="134"/>
      <c r="I658" s="134"/>
      <c r="J658" s="134"/>
      <c r="K658" s="134"/>
      <c r="L658" s="134"/>
      <c r="M658" s="134"/>
      <c r="N658" s="134"/>
      <c r="O658" s="134"/>
      <c r="P658" s="134"/>
      <c r="Q658" s="134"/>
      <c r="R658" s="134"/>
      <c r="S658" s="134"/>
      <c r="T658" s="134"/>
      <c r="U658" s="134"/>
      <c r="V658" s="134"/>
      <c r="W658" s="134"/>
      <c r="X658" s="134"/>
      <c r="Y658" s="134"/>
      <c r="Z658" s="134"/>
    </row>
    <row r="659">
      <c r="A659" s="131"/>
      <c r="B659" s="164"/>
      <c r="C659" s="165"/>
      <c r="D659" s="171"/>
      <c r="E659" s="164"/>
      <c r="F659" s="170"/>
      <c r="G659" s="134"/>
      <c r="H659" s="134"/>
      <c r="I659" s="134"/>
      <c r="J659" s="134"/>
      <c r="K659" s="134"/>
      <c r="L659" s="134"/>
      <c r="M659" s="134"/>
      <c r="N659" s="134"/>
      <c r="O659" s="134"/>
      <c r="P659" s="134"/>
      <c r="Q659" s="134"/>
      <c r="R659" s="134"/>
      <c r="S659" s="134"/>
      <c r="T659" s="134"/>
      <c r="U659" s="134"/>
      <c r="V659" s="134"/>
      <c r="W659" s="134"/>
      <c r="X659" s="134"/>
      <c r="Y659" s="134"/>
      <c r="Z659" s="134"/>
    </row>
    <row r="660">
      <c r="A660" s="131"/>
      <c r="B660" s="164"/>
      <c r="C660" s="165"/>
      <c r="D660" s="171"/>
      <c r="E660" s="164"/>
      <c r="F660" s="170"/>
      <c r="G660" s="134"/>
      <c r="H660" s="134"/>
      <c r="I660" s="134"/>
      <c r="J660" s="134"/>
      <c r="K660" s="134"/>
      <c r="L660" s="134"/>
      <c r="M660" s="134"/>
      <c r="N660" s="134"/>
      <c r="O660" s="134"/>
      <c r="P660" s="134"/>
      <c r="Q660" s="134"/>
      <c r="R660" s="134"/>
      <c r="S660" s="134"/>
      <c r="T660" s="134"/>
      <c r="U660" s="134"/>
      <c r="V660" s="134"/>
      <c r="W660" s="134"/>
      <c r="X660" s="134"/>
      <c r="Y660" s="134"/>
      <c r="Z660" s="134"/>
    </row>
    <row r="661">
      <c r="A661" s="131"/>
      <c r="B661" s="164"/>
      <c r="C661" s="165"/>
      <c r="D661" s="171"/>
      <c r="E661" s="164"/>
      <c r="F661" s="170"/>
      <c r="G661" s="134"/>
      <c r="H661" s="134"/>
      <c r="I661" s="134"/>
      <c r="J661" s="134"/>
      <c r="K661" s="134"/>
      <c r="L661" s="134"/>
      <c r="M661" s="134"/>
      <c r="N661" s="134"/>
      <c r="O661" s="134"/>
      <c r="P661" s="134"/>
      <c r="Q661" s="134"/>
      <c r="R661" s="134"/>
      <c r="S661" s="134"/>
      <c r="T661" s="134"/>
      <c r="U661" s="134"/>
      <c r="V661" s="134"/>
      <c r="W661" s="134"/>
      <c r="X661" s="134"/>
      <c r="Y661" s="134"/>
      <c r="Z661" s="134"/>
    </row>
    <row r="662">
      <c r="A662" s="131"/>
      <c r="B662" s="164"/>
      <c r="C662" s="165"/>
      <c r="D662" s="171"/>
      <c r="E662" s="164"/>
      <c r="F662" s="170"/>
      <c r="G662" s="134"/>
      <c r="H662" s="134"/>
      <c r="I662" s="134"/>
      <c r="J662" s="134"/>
      <c r="K662" s="134"/>
      <c r="L662" s="134"/>
      <c r="M662" s="134"/>
      <c r="N662" s="134"/>
      <c r="O662" s="134"/>
      <c r="P662" s="134"/>
      <c r="Q662" s="134"/>
      <c r="R662" s="134"/>
      <c r="S662" s="134"/>
      <c r="T662" s="134"/>
      <c r="U662" s="134"/>
      <c r="V662" s="134"/>
      <c r="W662" s="134"/>
      <c r="X662" s="134"/>
      <c r="Y662" s="134"/>
      <c r="Z662" s="134"/>
    </row>
    <row r="663">
      <c r="A663" s="131"/>
      <c r="B663" s="164"/>
      <c r="C663" s="165"/>
      <c r="D663" s="171"/>
      <c r="E663" s="164"/>
      <c r="F663" s="170"/>
      <c r="G663" s="134"/>
      <c r="H663" s="134"/>
      <c r="I663" s="134"/>
      <c r="J663" s="134"/>
      <c r="K663" s="134"/>
      <c r="L663" s="134"/>
      <c r="M663" s="134"/>
      <c r="N663" s="134"/>
      <c r="O663" s="134"/>
      <c r="P663" s="134"/>
      <c r="Q663" s="134"/>
      <c r="R663" s="134"/>
      <c r="S663" s="134"/>
      <c r="T663" s="134"/>
      <c r="U663" s="134"/>
      <c r="V663" s="134"/>
      <c r="W663" s="134"/>
      <c r="X663" s="134"/>
      <c r="Y663" s="134"/>
      <c r="Z663" s="134"/>
    </row>
    <row r="664">
      <c r="A664" s="131"/>
      <c r="B664" s="164"/>
      <c r="C664" s="165"/>
      <c r="D664" s="171"/>
      <c r="E664" s="164"/>
      <c r="F664" s="170"/>
      <c r="G664" s="134"/>
      <c r="H664" s="134"/>
      <c r="I664" s="134"/>
      <c r="J664" s="134"/>
      <c r="K664" s="134"/>
      <c r="L664" s="134"/>
      <c r="M664" s="134"/>
      <c r="N664" s="134"/>
      <c r="O664" s="134"/>
      <c r="P664" s="134"/>
      <c r="Q664" s="134"/>
      <c r="R664" s="134"/>
      <c r="S664" s="134"/>
      <c r="T664" s="134"/>
      <c r="U664" s="134"/>
      <c r="V664" s="134"/>
      <c r="W664" s="134"/>
      <c r="X664" s="134"/>
      <c r="Y664" s="134"/>
      <c r="Z664" s="134"/>
    </row>
    <row r="665">
      <c r="A665" s="131"/>
      <c r="B665" s="164"/>
      <c r="C665" s="165"/>
      <c r="D665" s="171"/>
      <c r="E665" s="164"/>
      <c r="F665" s="170"/>
      <c r="G665" s="134"/>
      <c r="H665" s="134"/>
      <c r="I665" s="134"/>
      <c r="J665" s="134"/>
      <c r="K665" s="134"/>
      <c r="L665" s="134"/>
      <c r="M665" s="134"/>
      <c r="N665" s="134"/>
      <c r="O665" s="134"/>
      <c r="P665" s="134"/>
      <c r="Q665" s="134"/>
      <c r="R665" s="134"/>
      <c r="S665" s="134"/>
      <c r="T665" s="134"/>
      <c r="U665" s="134"/>
      <c r="V665" s="134"/>
      <c r="W665" s="134"/>
      <c r="X665" s="134"/>
      <c r="Y665" s="134"/>
      <c r="Z665" s="134"/>
    </row>
    <row r="666">
      <c r="A666" s="131"/>
      <c r="B666" s="164"/>
      <c r="C666" s="165"/>
      <c r="D666" s="171"/>
      <c r="E666" s="164"/>
      <c r="F666" s="170"/>
      <c r="G666" s="134"/>
      <c r="H666" s="134"/>
      <c r="I666" s="134"/>
      <c r="J666" s="134"/>
      <c r="K666" s="134"/>
      <c r="L666" s="134"/>
      <c r="M666" s="134"/>
      <c r="N666" s="134"/>
      <c r="O666" s="134"/>
      <c r="P666" s="134"/>
      <c r="Q666" s="134"/>
      <c r="R666" s="134"/>
      <c r="S666" s="134"/>
      <c r="T666" s="134"/>
      <c r="U666" s="134"/>
      <c r="V666" s="134"/>
      <c r="W666" s="134"/>
      <c r="X666" s="134"/>
      <c r="Y666" s="134"/>
      <c r="Z666" s="134"/>
    </row>
    <row r="667">
      <c r="A667" s="131"/>
      <c r="B667" s="164"/>
      <c r="C667" s="165"/>
      <c r="D667" s="171"/>
      <c r="E667" s="164"/>
      <c r="F667" s="170"/>
      <c r="G667" s="134"/>
      <c r="H667" s="134"/>
      <c r="I667" s="134"/>
      <c r="J667" s="134"/>
      <c r="K667" s="134"/>
      <c r="L667" s="134"/>
      <c r="M667" s="134"/>
      <c r="N667" s="134"/>
      <c r="O667" s="134"/>
      <c r="P667" s="134"/>
      <c r="Q667" s="134"/>
      <c r="R667" s="134"/>
      <c r="S667" s="134"/>
      <c r="T667" s="134"/>
      <c r="U667" s="134"/>
      <c r="V667" s="134"/>
      <c r="W667" s="134"/>
      <c r="X667" s="134"/>
      <c r="Y667" s="134"/>
      <c r="Z667" s="134"/>
    </row>
    <row r="668">
      <c r="A668" s="131"/>
      <c r="B668" s="164"/>
      <c r="C668" s="165"/>
      <c r="D668" s="171"/>
      <c r="E668" s="164"/>
      <c r="F668" s="170"/>
      <c r="G668" s="134"/>
      <c r="H668" s="134"/>
      <c r="I668" s="134"/>
      <c r="J668" s="134"/>
      <c r="K668" s="134"/>
      <c r="L668" s="134"/>
      <c r="M668" s="134"/>
      <c r="N668" s="134"/>
      <c r="O668" s="134"/>
      <c r="P668" s="134"/>
      <c r="Q668" s="134"/>
      <c r="R668" s="134"/>
      <c r="S668" s="134"/>
      <c r="T668" s="134"/>
      <c r="U668" s="134"/>
      <c r="V668" s="134"/>
      <c r="W668" s="134"/>
      <c r="X668" s="134"/>
      <c r="Y668" s="134"/>
      <c r="Z668" s="134"/>
    </row>
    <row r="669">
      <c r="A669" s="131"/>
      <c r="B669" s="164"/>
      <c r="C669" s="165"/>
      <c r="D669" s="171"/>
      <c r="E669" s="164"/>
      <c r="F669" s="170"/>
      <c r="G669" s="134"/>
      <c r="H669" s="134"/>
      <c r="I669" s="134"/>
      <c r="J669" s="134"/>
      <c r="K669" s="134"/>
      <c r="L669" s="134"/>
      <c r="M669" s="134"/>
      <c r="N669" s="134"/>
      <c r="O669" s="134"/>
      <c r="P669" s="134"/>
      <c r="Q669" s="134"/>
      <c r="R669" s="134"/>
      <c r="S669" s="134"/>
      <c r="T669" s="134"/>
      <c r="U669" s="134"/>
      <c r="V669" s="134"/>
      <c r="W669" s="134"/>
      <c r="X669" s="134"/>
      <c r="Y669" s="134"/>
      <c r="Z669" s="134"/>
    </row>
    <row r="670">
      <c r="A670" s="131"/>
      <c r="B670" s="164"/>
      <c r="C670" s="165"/>
      <c r="D670" s="171"/>
      <c r="E670" s="164"/>
      <c r="F670" s="170"/>
      <c r="G670" s="134"/>
      <c r="H670" s="134"/>
      <c r="I670" s="134"/>
      <c r="J670" s="134"/>
      <c r="K670" s="134"/>
      <c r="L670" s="134"/>
      <c r="M670" s="134"/>
      <c r="N670" s="134"/>
      <c r="O670" s="134"/>
      <c r="P670" s="134"/>
      <c r="Q670" s="134"/>
      <c r="R670" s="134"/>
      <c r="S670" s="134"/>
      <c r="T670" s="134"/>
      <c r="U670" s="134"/>
      <c r="V670" s="134"/>
      <c r="W670" s="134"/>
      <c r="X670" s="134"/>
      <c r="Y670" s="134"/>
      <c r="Z670" s="134"/>
    </row>
    <row r="671">
      <c r="A671" s="131"/>
      <c r="B671" s="164"/>
      <c r="C671" s="165"/>
      <c r="D671" s="171"/>
      <c r="E671" s="164"/>
      <c r="F671" s="170"/>
      <c r="G671" s="134"/>
      <c r="H671" s="134"/>
      <c r="I671" s="134"/>
      <c r="J671" s="134"/>
      <c r="K671" s="134"/>
      <c r="L671" s="134"/>
      <c r="M671" s="134"/>
      <c r="N671" s="134"/>
      <c r="O671" s="134"/>
      <c r="P671" s="134"/>
      <c r="Q671" s="134"/>
      <c r="R671" s="134"/>
      <c r="S671" s="134"/>
      <c r="T671" s="134"/>
      <c r="U671" s="134"/>
      <c r="V671" s="134"/>
      <c r="W671" s="134"/>
      <c r="X671" s="134"/>
      <c r="Y671" s="134"/>
      <c r="Z671" s="134"/>
    </row>
    <row r="672">
      <c r="A672" s="131"/>
      <c r="B672" s="164"/>
      <c r="C672" s="165"/>
      <c r="D672" s="171"/>
      <c r="E672" s="164"/>
      <c r="F672" s="170"/>
      <c r="G672" s="134"/>
      <c r="H672" s="134"/>
      <c r="I672" s="134"/>
      <c r="J672" s="134"/>
      <c r="K672" s="134"/>
      <c r="L672" s="134"/>
      <c r="M672" s="134"/>
      <c r="N672" s="134"/>
      <c r="O672" s="134"/>
      <c r="P672" s="134"/>
      <c r="Q672" s="134"/>
      <c r="R672" s="134"/>
      <c r="S672" s="134"/>
      <c r="T672" s="134"/>
      <c r="U672" s="134"/>
      <c r="V672" s="134"/>
      <c r="W672" s="134"/>
      <c r="X672" s="134"/>
      <c r="Y672" s="134"/>
      <c r="Z672" s="134"/>
    </row>
    <row r="673">
      <c r="A673" s="131"/>
      <c r="B673" s="164"/>
      <c r="C673" s="165"/>
      <c r="D673" s="171"/>
      <c r="E673" s="164"/>
      <c r="F673" s="170"/>
      <c r="G673" s="134"/>
      <c r="H673" s="134"/>
      <c r="I673" s="134"/>
      <c r="J673" s="134"/>
      <c r="K673" s="134"/>
      <c r="L673" s="134"/>
      <c r="M673" s="134"/>
      <c r="N673" s="134"/>
      <c r="O673" s="134"/>
      <c r="P673" s="134"/>
      <c r="Q673" s="134"/>
      <c r="R673" s="134"/>
      <c r="S673" s="134"/>
      <c r="T673" s="134"/>
      <c r="U673" s="134"/>
      <c r="V673" s="134"/>
      <c r="W673" s="134"/>
      <c r="X673" s="134"/>
      <c r="Y673" s="134"/>
      <c r="Z673" s="134"/>
    </row>
    <row r="674">
      <c r="A674" s="131"/>
      <c r="B674" s="164"/>
      <c r="C674" s="165"/>
      <c r="D674" s="171"/>
      <c r="E674" s="164"/>
      <c r="F674" s="170"/>
      <c r="G674" s="134"/>
      <c r="H674" s="134"/>
      <c r="I674" s="134"/>
      <c r="J674" s="134"/>
      <c r="K674" s="134"/>
      <c r="L674" s="134"/>
      <c r="M674" s="134"/>
      <c r="N674" s="134"/>
      <c r="O674" s="134"/>
      <c r="P674" s="134"/>
      <c r="Q674" s="134"/>
      <c r="R674" s="134"/>
      <c r="S674" s="134"/>
      <c r="T674" s="134"/>
      <c r="U674" s="134"/>
      <c r="V674" s="134"/>
      <c r="W674" s="134"/>
      <c r="X674" s="134"/>
      <c r="Y674" s="134"/>
      <c r="Z674" s="134"/>
    </row>
    <row r="675">
      <c r="A675" s="131"/>
      <c r="B675" s="164"/>
      <c r="C675" s="165"/>
      <c r="D675" s="171"/>
      <c r="E675" s="164"/>
      <c r="F675" s="170"/>
      <c r="G675" s="134"/>
      <c r="H675" s="134"/>
      <c r="I675" s="134"/>
      <c r="J675" s="134"/>
      <c r="K675" s="134"/>
      <c r="L675" s="134"/>
      <c r="M675" s="134"/>
      <c r="N675" s="134"/>
      <c r="O675" s="134"/>
      <c r="P675" s="134"/>
      <c r="Q675" s="134"/>
      <c r="R675" s="134"/>
      <c r="S675" s="134"/>
      <c r="T675" s="134"/>
      <c r="U675" s="134"/>
      <c r="V675" s="134"/>
      <c r="W675" s="134"/>
      <c r="X675" s="134"/>
      <c r="Y675" s="134"/>
      <c r="Z675" s="134"/>
    </row>
    <row r="676">
      <c r="A676" s="131"/>
      <c r="B676" s="164"/>
      <c r="C676" s="165"/>
      <c r="D676" s="171"/>
      <c r="E676" s="164"/>
      <c r="F676" s="170"/>
      <c r="G676" s="134"/>
      <c r="H676" s="134"/>
      <c r="I676" s="134"/>
      <c r="J676" s="134"/>
      <c r="K676" s="134"/>
      <c r="L676" s="134"/>
      <c r="M676" s="134"/>
      <c r="N676" s="134"/>
      <c r="O676" s="134"/>
      <c r="P676" s="134"/>
      <c r="Q676" s="134"/>
      <c r="R676" s="134"/>
      <c r="S676" s="134"/>
      <c r="T676" s="134"/>
      <c r="U676" s="134"/>
      <c r="V676" s="134"/>
      <c r="W676" s="134"/>
      <c r="X676" s="134"/>
      <c r="Y676" s="134"/>
      <c r="Z676" s="134"/>
    </row>
    <row r="677">
      <c r="A677" s="131"/>
      <c r="B677" s="164"/>
      <c r="C677" s="165"/>
      <c r="D677" s="171"/>
      <c r="E677" s="164"/>
      <c r="F677" s="170"/>
      <c r="G677" s="134"/>
      <c r="H677" s="134"/>
      <c r="I677" s="134"/>
      <c r="J677" s="134"/>
      <c r="K677" s="134"/>
      <c r="L677" s="134"/>
      <c r="M677" s="134"/>
      <c r="N677" s="134"/>
      <c r="O677" s="134"/>
      <c r="P677" s="134"/>
      <c r="Q677" s="134"/>
      <c r="R677" s="134"/>
      <c r="S677" s="134"/>
      <c r="T677" s="134"/>
      <c r="U677" s="134"/>
      <c r="V677" s="134"/>
      <c r="W677" s="134"/>
      <c r="X677" s="134"/>
      <c r="Y677" s="134"/>
      <c r="Z677" s="134"/>
    </row>
    <row r="678">
      <c r="A678" s="131"/>
      <c r="B678" s="164"/>
      <c r="C678" s="165"/>
      <c r="D678" s="171"/>
      <c r="E678" s="164"/>
      <c r="F678" s="170"/>
      <c r="G678" s="134"/>
      <c r="H678" s="134"/>
      <c r="I678" s="134"/>
      <c r="J678" s="134"/>
      <c r="K678" s="134"/>
      <c r="L678" s="134"/>
      <c r="M678" s="134"/>
      <c r="N678" s="134"/>
      <c r="O678" s="134"/>
      <c r="P678" s="134"/>
      <c r="Q678" s="134"/>
      <c r="R678" s="134"/>
      <c r="S678" s="134"/>
      <c r="T678" s="134"/>
      <c r="U678" s="134"/>
      <c r="V678" s="134"/>
      <c r="W678" s="134"/>
      <c r="X678" s="134"/>
      <c r="Y678" s="134"/>
      <c r="Z678" s="134"/>
    </row>
    <row r="679">
      <c r="A679" s="131"/>
      <c r="B679" s="164"/>
      <c r="C679" s="165"/>
      <c r="D679" s="171"/>
      <c r="E679" s="164"/>
      <c r="F679" s="170"/>
      <c r="G679" s="134"/>
      <c r="H679" s="134"/>
      <c r="I679" s="134"/>
      <c r="J679" s="134"/>
      <c r="K679" s="134"/>
      <c r="L679" s="134"/>
      <c r="M679" s="134"/>
      <c r="N679" s="134"/>
      <c r="O679" s="134"/>
      <c r="P679" s="134"/>
      <c r="Q679" s="134"/>
      <c r="R679" s="134"/>
      <c r="S679" s="134"/>
      <c r="T679" s="134"/>
      <c r="U679" s="134"/>
      <c r="V679" s="134"/>
      <c r="W679" s="134"/>
      <c r="X679" s="134"/>
      <c r="Y679" s="134"/>
      <c r="Z679" s="134"/>
    </row>
    <row r="680">
      <c r="A680" s="131"/>
      <c r="B680" s="164"/>
      <c r="C680" s="165"/>
      <c r="D680" s="171"/>
      <c r="E680" s="164"/>
      <c r="F680" s="170"/>
      <c r="G680" s="134"/>
      <c r="H680" s="134"/>
      <c r="I680" s="134"/>
      <c r="J680" s="134"/>
      <c r="K680" s="134"/>
      <c r="L680" s="134"/>
      <c r="M680" s="134"/>
      <c r="N680" s="134"/>
      <c r="O680" s="134"/>
      <c r="P680" s="134"/>
      <c r="Q680" s="134"/>
      <c r="R680" s="134"/>
      <c r="S680" s="134"/>
      <c r="T680" s="134"/>
      <c r="U680" s="134"/>
      <c r="V680" s="134"/>
      <c r="W680" s="134"/>
      <c r="X680" s="134"/>
      <c r="Y680" s="134"/>
      <c r="Z680" s="134"/>
    </row>
    <row r="681">
      <c r="A681" s="131"/>
      <c r="B681" s="164"/>
      <c r="C681" s="165"/>
      <c r="D681" s="171"/>
      <c r="E681" s="164"/>
      <c r="F681" s="170"/>
      <c r="G681" s="134"/>
      <c r="H681" s="134"/>
      <c r="I681" s="134"/>
      <c r="J681" s="134"/>
      <c r="K681" s="134"/>
      <c r="L681" s="134"/>
      <c r="M681" s="134"/>
      <c r="N681" s="134"/>
      <c r="O681" s="134"/>
      <c r="P681" s="134"/>
      <c r="Q681" s="134"/>
      <c r="R681" s="134"/>
      <c r="S681" s="134"/>
      <c r="T681" s="134"/>
      <c r="U681" s="134"/>
      <c r="V681" s="134"/>
      <c r="W681" s="134"/>
      <c r="X681" s="134"/>
      <c r="Y681" s="134"/>
      <c r="Z681" s="134"/>
    </row>
    <row r="682">
      <c r="A682" s="131"/>
      <c r="B682" s="164"/>
      <c r="C682" s="165"/>
      <c r="D682" s="171"/>
      <c r="E682" s="164"/>
      <c r="F682" s="170"/>
      <c r="G682" s="134"/>
      <c r="H682" s="134"/>
      <c r="I682" s="134"/>
      <c r="J682" s="134"/>
      <c r="K682" s="134"/>
      <c r="L682" s="134"/>
      <c r="M682" s="134"/>
      <c r="N682" s="134"/>
      <c r="O682" s="134"/>
      <c r="P682" s="134"/>
      <c r="Q682" s="134"/>
      <c r="R682" s="134"/>
      <c r="S682" s="134"/>
      <c r="T682" s="134"/>
      <c r="U682" s="134"/>
      <c r="V682" s="134"/>
      <c r="W682" s="134"/>
      <c r="X682" s="134"/>
      <c r="Y682" s="134"/>
      <c r="Z682" s="134"/>
    </row>
    <row r="683">
      <c r="A683" s="131"/>
      <c r="B683" s="164"/>
      <c r="C683" s="165"/>
      <c r="D683" s="171"/>
      <c r="E683" s="164"/>
      <c r="F683" s="170"/>
      <c r="G683" s="134"/>
      <c r="H683" s="134"/>
      <c r="I683" s="134"/>
      <c r="J683" s="134"/>
      <c r="K683" s="134"/>
      <c r="L683" s="134"/>
      <c r="M683" s="134"/>
      <c r="N683" s="134"/>
      <c r="O683" s="134"/>
      <c r="P683" s="134"/>
      <c r="Q683" s="134"/>
      <c r="R683" s="134"/>
      <c r="S683" s="134"/>
      <c r="T683" s="134"/>
      <c r="U683" s="134"/>
      <c r="V683" s="134"/>
      <c r="W683" s="134"/>
      <c r="X683" s="134"/>
      <c r="Y683" s="134"/>
      <c r="Z683" s="134"/>
    </row>
    <row r="684">
      <c r="A684" s="131"/>
      <c r="B684" s="164"/>
      <c r="C684" s="165"/>
      <c r="D684" s="171"/>
      <c r="E684" s="164"/>
      <c r="F684" s="170"/>
      <c r="G684" s="134"/>
      <c r="H684" s="134"/>
      <c r="I684" s="134"/>
      <c r="J684" s="134"/>
      <c r="K684" s="134"/>
      <c r="L684" s="134"/>
      <c r="M684" s="134"/>
      <c r="N684" s="134"/>
      <c r="O684" s="134"/>
      <c r="P684" s="134"/>
      <c r="Q684" s="134"/>
      <c r="R684" s="134"/>
      <c r="S684" s="134"/>
      <c r="T684" s="134"/>
      <c r="U684" s="134"/>
      <c r="V684" s="134"/>
      <c r="W684" s="134"/>
      <c r="X684" s="134"/>
      <c r="Y684" s="134"/>
      <c r="Z684" s="134"/>
    </row>
    <row r="685">
      <c r="A685" s="131"/>
      <c r="B685" s="164"/>
      <c r="C685" s="165"/>
      <c r="D685" s="171"/>
      <c r="E685" s="164"/>
      <c r="F685" s="170"/>
      <c r="G685" s="134"/>
      <c r="H685" s="134"/>
      <c r="I685" s="134"/>
      <c r="J685" s="134"/>
      <c r="K685" s="134"/>
      <c r="L685" s="134"/>
      <c r="M685" s="134"/>
      <c r="N685" s="134"/>
      <c r="O685" s="134"/>
      <c r="P685" s="134"/>
      <c r="Q685" s="134"/>
      <c r="R685" s="134"/>
      <c r="S685" s="134"/>
      <c r="T685" s="134"/>
      <c r="U685" s="134"/>
      <c r="V685" s="134"/>
      <c r="W685" s="134"/>
      <c r="X685" s="134"/>
      <c r="Y685" s="134"/>
      <c r="Z685" s="134"/>
    </row>
    <row r="686">
      <c r="A686" s="131"/>
      <c r="B686" s="164"/>
      <c r="C686" s="165"/>
      <c r="D686" s="171"/>
      <c r="E686" s="164"/>
      <c r="F686" s="170"/>
      <c r="G686" s="134"/>
      <c r="H686" s="134"/>
      <c r="I686" s="134"/>
      <c r="J686" s="134"/>
      <c r="K686" s="134"/>
      <c r="L686" s="134"/>
      <c r="M686" s="134"/>
      <c r="N686" s="134"/>
      <c r="O686" s="134"/>
      <c r="P686" s="134"/>
      <c r="Q686" s="134"/>
      <c r="R686" s="134"/>
      <c r="S686" s="134"/>
      <c r="T686" s="134"/>
      <c r="U686" s="134"/>
      <c r="V686" s="134"/>
      <c r="W686" s="134"/>
      <c r="X686" s="134"/>
      <c r="Y686" s="134"/>
      <c r="Z686" s="134"/>
    </row>
    <row r="687">
      <c r="A687" s="131"/>
      <c r="B687" s="164"/>
      <c r="C687" s="165"/>
      <c r="D687" s="171"/>
      <c r="E687" s="164"/>
      <c r="F687" s="170"/>
      <c r="G687" s="134"/>
      <c r="H687" s="134"/>
      <c r="I687" s="134"/>
      <c r="J687" s="134"/>
      <c r="K687" s="134"/>
      <c r="L687" s="134"/>
      <c r="M687" s="134"/>
      <c r="N687" s="134"/>
      <c r="O687" s="134"/>
      <c r="P687" s="134"/>
      <c r="Q687" s="134"/>
      <c r="R687" s="134"/>
      <c r="S687" s="134"/>
      <c r="T687" s="134"/>
      <c r="U687" s="134"/>
      <c r="V687" s="134"/>
      <c r="W687" s="134"/>
      <c r="X687" s="134"/>
      <c r="Y687" s="134"/>
      <c r="Z687" s="134"/>
    </row>
    <row r="688">
      <c r="A688" s="131"/>
      <c r="B688" s="164"/>
      <c r="C688" s="165"/>
      <c r="D688" s="171"/>
      <c r="E688" s="164"/>
      <c r="F688" s="170"/>
      <c r="G688" s="134"/>
      <c r="H688" s="134"/>
      <c r="I688" s="134"/>
      <c r="J688" s="134"/>
      <c r="K688" s="134"/>
      <c r="L688" s="134"/>
      <c r="M688" s="134"/>
      <c r="N688" s="134"/>
      <c r="O688" s="134"/>
      <c r="P688" s="134"/>
      <c r="Q688" s="134"/>
      <c r="R688" s="134"/>
      <c r="S688" s="134"/>
      <c r="T688" s="134"/>
      <c r="U688" s="134"/>
      <c r="V688" s="134"/>
      <c r="W688" s="134"/>
      <c r="X688" s="134"/>
      <c r="Y688" s="134"/>
      <c r="Z688" s="134"/>
    </row>
    <row r="689">
      <c r="A689" s="131"/>
      <c r="B689" s="164"/>
      <c r="C689" s="165"/>
      <c r="D689" s="171"/>
      <c r="E689" s="164"/>
      <c r="F689" s="170"/>
      <c r="G689" s="134"/>
      <c r="H689" s="134"/>
      <c r="I689" s="134"/>
      <c r="J689" s="134"/>
      <c r="K689" s="134"/>
      <c r="L689" s="134"/>
      <c r="M689" s="134"/>
      <c r="N689" s="134"/>
      <c r="O689" s="134"/>
      <c r="P689" s="134"/>
      <c r="Q689" s="134"/>
      <c r="R689" s="134"/>
      <c r="S689" s="134"/>
      <c r="T689" s="134"/>
      <c r="U689" s="134"/>
      <c r="V689" s="134"/>
      <c r="W689" s="134"/>
      <c r="X689" s="134"/>
      <c r="Y689" s="134"/>
      <c r="Z689" s="134"/>
    </row>
    <row r="690">
      <c r="A690" s="131"/>
      <c r="B690" s="164"/>
      <c r="C690" s="165"/>
      <c r="D690" s="171"/>
      <c r="E690" s="164"/>
      <c r="F690" s="170"/>
      <c r="G690" s="134"/>
      <c r="H690" s="134"/>
      <c r="I690" s="134"/>
      <c r="J690" s="134"/>
      <c r="K690" s="134"/>
      <c r="L690" s="134"/>
      <c r="M690" s="134"/>
      <c r="N690" s="134"/>
      <c r="O690" s="134"/>
      <c r="P690" s="134"/>
      <c r="Q690" s="134"/>
      <c r="R690" s="134"/>
      <c r="S690" s="134"/>
      <c r="T690" s="134"/>
      <c r="U690" s="134"/>
      <c r="V690" s="134"/>
      <c r="W690" s="134"/>
      <c r="X690" s="134"/>
      <c r="Y690" s="134"/>
      <c r="Z690" s="134"/>
    </row>
    <row r="691">
      <c r="A691" s="131"/>
      <c r="B691" s="164"/>
      <c r="C691" s="165"/>
      <c r="D691" s="171"/>
      <c r="E691" s="164"/>
      <c r="F691" s="170"/>
      <c r="G691" s="134"/>
      <c r="H691" s="134"/>
      <c r="I691" s="134"/>
      <c r="J691" s="134"/>
      <c r="K691" s="134"/>
      <c r="L691" s="134"/>
      <c r="M691" s="134"/>
      <c r="N691" s="134"/>
      <c r="O691" s="134"/>
      <c r="P691" s="134"/>
      <c r="Q691" s="134"/>
      <c r="R691" s="134"/>
      <c r="S691" s="134"/>
      <c r="T691" s="134"/>
      <c r="U691" s="134"/>
      <c r="V691" s="134"/>
      <c r="W691" s="134"/>
      <c r="X691" s="134"/>
      <c r="Y691" s="134"/>
      <c r="Z691" s="134"/>
    </row>
    <row r="692">
      <c r="A692" s="131"/>
      <c r="B692" s="164"/>
      <c r="C692" s="165"/>
      <c r="D692" s="171"/>
      <c r="E692" s="164"/>
      <c r="F692" s="170"/>
      <c r="G692" s="134"/>
      <c r="H692" s="134"/>
      <c r="I692" s="134"/>
      <c r="J692" s="134"/>
      <c r="K692" s="134"/>
      <c r="L692" s="134"/>
      <c r="M692" s="134"/>
      <c r="N692" s="134"/>
      <c r="O692" s="134"/>
      <c r="P692" s="134"/>
      <c r="Q692" s="134"/>
      <c r="R692" s="134"/>
      <c r="S692" s="134"/>
      <c r="T692" s="134"/>
      <c r="U692" s="134"/>
      <c r="V692" s="134"/>
      <c r="W692" s="134"/>
      <c r="X692" s="134"/>
      <c r="Y692" s="134"/>
      <c r="Z692" s="134"/>
    </row>
    <row r="693">
      <c r="A693" s="131"/>
      <c r="B693" s="164"/>
      <c r="C693" s="165"/>
      <c r="D693" s="171"/>
      <c r="E693" s="164"/>
      <c r="F693" s="170"/>
      <c r="G693" s="134"/>
      <c r="H693" s="134"/>
      <c r="I693" s="134"/>
      <c r="J693" s="134"/>
      <c r="K693" s="134"/>
      <c r="L693" s="134"/>
      <c r="M693" s="134"/>
      <c r="N693" s="134"/>
      <c r="O693" s="134"/>
      <c r="P693" s="134"/>
      <c r="Q693" s="134"/>
      <c r="R693" s="134"/>
      <c r="S693" s="134"/>
      <c r="T693" s="134"/>
      <c r="U693" s="134"/>
      <c r="V693" s="134"/>
      <c r="W693" s="134"/>
      <c r="X693" s="134"/>
      <c r="Y693" s="134"/>
      <c r="Z693" s="134"/>
    </row>
    <row r="694">
      <c r="A694" s="131"/>
      <c r="B694" s="164"/>
      <c r="C694" s="165"/>
      <c r="D694" s="171"/>
      <c r="E694" s="164"/>
      <c r="F694" s="170"/>
      <c r="G694" s="134"/>
      <c r="H694" s="134"/>
      <c r="I694" s="134"/>
      <c r="J694" s="134"/>
      <c r="K694" s="134"/>
      <c r="L694" s="134"/>
      <c r="M694" s="134"/>
      <c r="N694" s="134"/>
      <c r="O694" s="134"/>
      <c r="P694" s="134"/>
      <c r="Q694" s="134"/>
      <c r="R694" s="134"/>
      <c r="S694" s="134"/>
      <c r="T694" s="134"/>
      <c r="U694" s="134"/>
      <c r="V694" s="134"/>
      <c r="W694" s="134"/>
      <c r="X694" s="134"/>
      <c r="Y694" s="134"/>
      <c r="Z694" s="134"/>
    </row>
    <row r="695">
      <c r="A695" s="131"/>
      <c r="B695" s="164"/>
      <c r="C695" s="165"/>
      <c r="D695" s="171"/>
      <c r="E695" s="164"/>
      <c r="F695" s="170"/>
      <c r="G695" s="134"/>
      <c r="H695" s="134"/>
      <c r="I695" s="134"/>
      <c r="J695" s="134"/>
      <c r="K695" s="134"/>
      <c r="L695" s="134"/>
      <c r="M695" s="134"/>
      <c r="N695" s="134"/>
      <c r="O695" s="134"/>
      <c r="P695" s="134"/>
      <c r="Q695" s="134"/>
      <c r="R695" s="134"/>
      <c r="S695" s="134"/>
      <c r="T695" s="134"/>
      <c r="U695" s="134"/>
      <c r="V695" s="134"/>
      <c r="W695" s="134"/>
      <c r="X695" s="134"/>
      <c r="Y695" s="134"/>
      <c r="Z695" s="134"/>
    </row>
    <row r="696">
      <c r="A696" s="131"/>
      <c r="B696" s="164"/>
      <c r="C696" s="165"/>
      <c r="D696" s="171"/>
      <c r="E696" s="164"/>
      <c r="F696" s="170"/>
      <c r="G696" s="134"/>
      <c r="H696" s="134"/>
      <c r="I696" s="134"/>
      <c r="J696" s="134"/>
      <c r="K696" s="134"/>
      <c r="L696" s="134"/>
      <c r="M696" s="134"/>
      <c r="N696" s="134"/>
      <c r="O696" s="134"/>
      <c r="P696" s="134"/>
      <c r="Q696" s="134"/>
      <c r="R696" s="134"/>
      <c r="S696" s="134"/>
      <c r="T696" s="134"/>
      <c r="U696" s="134"/>
      <c r="V696" s="134"/>
      <c r="W696" s="134"/>
      <c r="X696" s="134"/>
      <c r="Y696" s="134"/>
      <c r="Z696" s="134"/>
    </row>
    <row r="697">
      <c r="A697" s="131"/>
      <c r="B697" s="164"/>
      <c r="C697" s="165"/>
      <c r="D697" s="171"/>
      <c r="E697" s="164"/>
      <c r="F697" s="170"/>
      <c r="G697" s="134"/>
      <c r="H697" s="134"/>
      <c r="I697" s="134"/>
      <c r="J697" s="134"/>
      <c r="K697" s="134"/>
      <c r="L697" s="134"/>
      <c r="M697" s="134"/>
      <c r="N697" s="134"/>
      <c r="O697" s="134"/>
      <c r="P697" s="134"/>
      <c r="Q697" s="134"/>
      <c r="R697" s="134"/>
      <c r="S697" s="134"/>
      <c r="T697" s="134"/>
      <c r="U697" s="134"/>
      <c r="V697" s="134"/>
      <c r="W697" s="134"/>
      <c r="X697" s="134"/>
      <c r="Y697" s="134"/>
      <c r="Z697" s="134"/>
    </row>
    <row r="698">
      <c r="A698" s="131"/>
      <c r="B698" s="164"/>
      <c r="C698" s="165"/>
      <c r="D698" s="171"/>
      <c r="E698" s="164"/>
      <c r="F698" s="170"/>
      <c r="G698" s="134"/>
      <c r="H698" s="134"/>
      <c r="I698" s="134"/>
      <c r="J698" s="134"/>
      <c r="K698" s="134"/>
      <c r="L698" s="134"/>
      <c r="M698" s="134"/>
      <c r="N698" s="134"/>
      <c r="O698" s="134"/>
      <c r="P698" s="134"/>
      <c r="Q698" s="134"/>
      <c r="R698" s="134"/>
      <c r="S698" s="134"/>
      <c r="T698" s="134"/>
      <c r="U698" s="134"/>
      <c r="V698" s="134"/>
      <c r="W698" s="134"/>
      <c r="X698" s="134"/>
      <c r="Y698" s="134"/>
      <c r="Z698" s="134"/>
    </row>
    <row r="699">
      <c r="A699" s="131"/>
      <c r="B699" s="164"/>
      <c r="C699" s="165"/>
      <c r="D699" s="171"/>
      <c r="E699" s="164"/>
      <c r="F699" s="170"/>
      <c r="G699" s="134"/>
      <c r="H699" s="134"/>
      <c r="I699" s="134"/>
      <c r="J699" s="134"/>
      <c r="K699" s="134"/>
      <c r="L699" s="134"/>
      <c r="M699" s="134"/>
      <c r="N699" s="134"/>
      <c r="O699" s="134"/>
      <c r="P699" s="134"/>
      <c r="Q699" s="134"/>
      <c r="R699" s="134"/>
      <c r="S699" s="134"/>
      <c r="T699" s="134"/>
      <c r="U699" s="134"/>
      <c r="V699" s="134"/>
      <c r="W699" s="134"/>
      <c r="X699" s="134"/>
      <c r="Y699" s="134"/>
      <c r="Z699" s="134"/>
    </row>
    <row r="700">
      <c r="A700" s="131"/>
      <c r="B700" s="164"/>
      <c r="C700" s="165"/>
      <c r="D700" s="171"/>
      <c r="E700" s="164"/>
      <c r="F700" s="170"/>
      <c r="G700" s="134"/>
      <c r="H700" s="134"/>
      <c r="I700" s="134"/>
      <c r="J700" s="134"/>
      <c r="K700" s="134"/>
      <c r="L700" s="134"/>
      <c r="M700" s="134"/>
      <c r="N700" s="134"/>
      <c r="O700" s="134"/>
      <c r="P700" s="134"/>
      <c r="Q700" s="134"/>
      <c r="R700" s="134"/>
      <c r="S700" s="134"/>
      <c r="T700" s="134"/>
      <c r="U700" s="134"/>
      <c r="V700" s="134"/>
      <c r="W700" s="134"/>
      <c r="X700" s="134"/>
      <c r="Y700" s="134"/>
      <c r="Z700" s="134"/>
    </row>
    <row r="701">
      <c r="A701" s="131"/>
      <c r="B701" s="164"/>
      <c r="C701" s="165"/>
      <c r="D701" s="171"/>
      <c r="E701" s="164"/>
      <c r="F701" s="170"/>
      <c r="G701" s="134"/>
      <c r="H701" s="134"/>
      <c r="I701" s="134"/>
      <c r="J701" s="134"/>
      <c r="K701" s="134"/>
      <c r="L701" s="134"/>
      <c r="M701" s="134"/>
      <c r="N701" s="134"/>
      <c r="O701" s="134"/>
      <c r="P701" s="134"/>
      <c r="Q701" s="134"/>
      <c r="R701" s="134"/>
      <c r="S701" s="134"/>
      <c r="T701" s="134"/>
      <c r="U701" s="134"/>
      <c r="V701" s="134"/>
      <c r="W701" s="134"/>
      <c r="X701" s="134"/>
      <c r="Y701" s="134"/>
      <c r="Z701" s="134"/>
    </row>
    <row r="702">
      <c r="A702" s="131"/>
      <c r="B702" s="164"/>
      <c r="C702" s="165"/>
      <c r="D702" s="171"/>
      <c r="E702" s="164"/>
      <c r="F702" s="170"/>
      <c r="G702" s="134"/>
      <c r="H702" s="134"/>
      <c r="I702" s="134"/>
      <c r="J702" s="134"/>
      <c r="K702" s="134"/>
      <c r="L702" s="134"/>
      <c r="M702" s="134"/>
      <c r="N702" s="134"/>
      <c r="O702" s="134"/>
      <c r="P702" s="134"/>
      <c r="Q702" s="134"/>
      <c r="R702" s="134"/>
      <c r="S702" s="134"/>
      <c r="T702" s="134"/>
      <c r="U702" s="134"/>
      <c r="V702" s="134"/>
      <c r="W702" s="134"/>
      <c r="X702" s="134"/>
      <c r="Y702" s="134"/>
      <c r="Z702" s="134"/>
    </row>
    <row r="703">
      <c r="A703" s="131"/>
      <c r="B703" s="164"/>
      <c r="C703" s="165"/>
      <c r="D703" s="171"/>
      <c r="E703" s="164"/>
      <c r="F703" s="170"/>
      <c r="G703" s="134"/>
      <c r="H703" s="134"/>
      <c r="I703" s="134"/>
      <c r="J703" s="134"/>
      <c r="K703" s="134"/>
      <c r="L703" s="134"/>
      <c r="M703" s="134"/>
      <c r="N703" s="134"/>
      <c r="O703" s="134"/>
      <c r="P703" s="134"/>
      <c r="Q703" s="134"/>
      <c r="R703" s="134"/>
      <c r="S703" s="134"/>
      <c r="T703" s="134"/>
      <c r="U703" s="134"/>
      <c r="V703" s="134"/>
      <c r="W703" s="134"/>
      <c r="X703" s="134"/>
      <c r="Y703" s="134"/>
      <c r="Z703" s="134"/>
    </row>
    <row r="704">
      <c r="A704" s="131"/>
      <c r="B704" s="164"/>
      <c r="C704" s="165"/>
      <c r="D704" s="171"/>
      <c r="E704" s="164"/>
      <c r="F704" s="170"/>
      <c r="G704" s="134"/>
      <c r="H704" s="134"/>
      <c r="I704" s="134"/>
      <c r="J704" s="134"/>
      <c r="K704" s="134"/>
      <c r="L704" s="134"/>
      <c r="M704" s="134"/>
      <c r="N704" s="134"/>
      <c r="O704" s="134"/>
      <c r="P704" s="134"/>
      <c r="Q704" s="134"/>
      <c r="R704" s="134"/>
      <c r="S704" s="134"/>
      <c r="T704" s="134"/>
      <c r="U704" s="134"/>
      <c r="V704" s="134"/>
      <c r="W704" s="134"/>
      <c r="X704" s="134"/>
      <c r="Y704" s="134"/>
      <c r="Z704" s="134"/>
    </row>
    <row r="705">
      <c r="A705" s="131"/>
      <c r="B705" s="164"/>
      <c r="C705" s="165"/>
      <c r="D705" s="171"/>
      <c r="E705" s="164"/>
      <c r="F705" s="170"/>
      <c r="G705" s="134"/>
      <c r="H705" s="134"/>
      <c r="I705" s="134"/>
      <c r="J705" s="134"/>
      <c r="K705" s="134"/>
      <c r="L705" s="134"/>
      <c r="M705" s="134"/>
      <c r="N705" s="134"/>
      <c r="O705" s="134"/>
      <c r="P705" s="134"/>
      <c r="Q705" s="134"/>
      <c r="R705" s="134"/>
      <c r="S705" s="134"/>
      <c r="T705" s="134"/>
      <c r="U705" s="134"/>
      <c r="V705" s="134"/>
      <c r="W705" s="134"/>
      <c r="X705" s="134"/>
      <c r="Y705" s="134"/>
      <c r="Z705" s="134"/>
    </row>
    <row r="706">
      <c r="A706" s="131"/>
      <c r="B706" s="164"/>
      <c r="C706" s="165"/>
      <c r="D706" s="171"/>
      <c r="E706" s="164"/>
      <c r="F706" s="170"/>
      <c r="G706" s="134"/>
      <c r="H706" s="134"/>
      <c r="I706" s="134"/>
      <c r="J706" s="134"/>
      <c r="K706" s="134"/>
      <c r="L706" s="134"/>
      <c r="M706" s="134"/>
      <c r="N706" s="134"/>
      <c r="O706" s="134"/>
      <c r="P706" s="134"/>
      <c r="Q706" s="134"/>
      <c r="R706" s="134"/>
      <c r="S706" s="134"/>
      <c r="T706" s="134"/>
      <c r="U706" s="134"/>
      <c r="V706" s="134"/>
      <c r="W706" s="134"/>
      <c r="X706" s="134"/>
      <c r="Y706" s="134"/>
      <c r="Z706" s="134"/>
    </row>
    <row r="707">
      <c r="A707" s="131"/>
      <c r="B707" s="164"/>
      <c r="C707" s="165"/>
      <c r="D707" s="171"/>
      <c r="E707" s="164"/>
      <c r="F707" s="170"/>
      <c r="G707" s="134"/>
      <c r="H707" s="134"/>
      <c r="I707" s="134"/>
      <c r="J707" s="134"/>
      <c r="K707" s="134"/>
      <c r="L707" s="134"/>
      <c r="M707" s="134"/>
      <c r="N707" s="134"/>
      <c r="O707" s="134"/>
      <c r="P707" s="134"/>
      <c r="Q707" s="134"/>
      <c r="R707" s="134"/>
      <c r="S707" s="134"/>
      <c r="T707" s="134"/>
      <c r="U707" s="134"/>
      <c r="V707" s="134"/>
      <c r="W707" s="134"/>
      <c r="X707" s="134"/>
      <c r="Y707" s="134"/>
      <c r="Z707" s="134"/>
    </row>
    <row r="708">
      <c r="A708" s="131"/>
      <c r="B708" s="164"/>
      <c r="C708" s="165"/>
      <c r="D708" s="171"/>
      <c r="E708" s="164"/>
      <c r="F708" s="170"/>
      <c r="G708" s="134"/>
      <c r="H708" s="134"/>
      <c r="I708" s="134"/>
      <c r="J708" s="134"/>
      <c r="K708" s="134"/>
      <c r="L708" s="134"/>
      <c r="M708" s="134"/>
      <c r="N708" s="134"/>
      <c r="O708" s="134"/>
      <c r="P708" s="134"/>
      <c r="Q708" s="134"/>
      <c r="R708" s="134"/>
      <c r="S708" s="134"/>
      <c r="T708" s="134"/>
      <c r="U708" s="134"/>
      <c r="V708" s="134"/>
      <c r="W708" s="134"/>
      <c r="X708" s="134"/>
      <c r="Y708" s="134"/>
      <c r="Z708" s="134"/>
    </row>
    <row r="709">
      <c r="A709" s="131"/>
      <c r="B709" s="164"/>
      <c r="C709" s="165"/>
      <c r="D709" s="171"/>
      <c r="E709" s="164"/>
      <c r="F709" s="170"/>
      <c r="G709" s="134"/>
      <c r="H709" s="134"/>
      <c r="I709" s="134"/>
      <c r="J709" s="134"/>
      <c r="K709" s="134"/>
      <c r="L709" s="134"/>
      <c r="M709" s="134"/>
      <c r="N709" s="134"/>
      <c r="O709" s="134"/>
      <c r="P709" s="134"/>
      <c r="Q709" s="134"/>
      <c r="R709" s="134"/>
      <c r="S709" s="134"/>
      <c r="T709" s="134"/>
      <c r="U709" s="134"/>
      <c r="V709" s="134"/>
      <c r="W709" s="134"/>
      <c r="X709" s="134"/>
      <c r="Y709" s="134"/>
      <c r="Z709" s="134"/>
    </row>
    <row r="710">
      <c r="A710" s="131"/>
      <c r="B710" s="164"/>
      <c r="C710" s="165"/>
      <c r="D710" s="171"/>
      <c r="E710" s="164"/>
      <c r="F710" s="170"/>
      <c r="G710" s="134"/>
      <c r="H710" s="134"/>
      <c r="I710" s="134"/>
      <c r="J710" s="134"/>
      <c r="K710" s="134"/>
      <c r="L710" s="134"/>
      <c r="M710" s="134"/>
      <c r="N710" s="134"/>
      <c r="O710" s="134"/>
      <c r="P710" s="134"/>
      <c r="Q710" s="134"/>
      <c r="R710" s="134"/>
      <c r="S710" s="134"/>
      <c r="T710" s="134"/>
      <c r="U710" s="134"/>
      <c r="V710" s="134"/>
      <c r="W710" s="134"/>
      <c r="X710" s="134"/>
      <c r="Y710" s="134"/>
      <c r="Z710" s="134"/>
    </row>
    <row r="711">
      <c r="A711" s="131"/>
      <c r="B711" s="164"/>
      <c r="C711" s="165"/>
      <c r="D711" s="171"/>
      <c r="E711" s="164"/>
      <c r="F711" s="170"/>
      <c r="G711" s="134"/>
      <c r="H711" s="134"/>
      <c r="I711" s="134"/>
      <c r="J711" s="134"/>
      <c r="K711" s="134"/>
      <c r="L711" s="134"/>
      <c r="M711" s="134"/>
      <c r="N711" s="134"/>
      <c r="O711" s="134"/>
      <c r="P711" s="134"/>
      <c r="Q711" s="134"/>
      <c r="R711" s="134"/>
      <c r="S711" s="134"/>
      <c r="T711" s="134"/>
      <c r="U711" s="134"/>
      <c r="V711" s="134"/>
      <c r="W711" s="134"/>
      <c r="X711" s="134"/>
      <c r="Y711" s="134"/>
      <c r="Z711" s="134"/>
    </row>
    <row r="712">
      <c r="A712" s="131"/>
      <c r="B712" s="164"/>
      <c r="C712" s="165"/>
      <c r="D712" s="171"/>
      <c r="E712" s="164"/>
      <c r="F712" s="170"/>
      <c r="G712" s="134"/>
      <c r="H712" s="134"/>
      <c r="I712" s="134"/>
      <c r="J712" s="134"/>
      <c r="K712" s="134"/>
      <c r="L712" s="134"/>
      <c r="M712" s="134"/>
      <c r="N712" s="134"/>
      <c r="O712" s="134"/>
      <c r="P712" s="134"/>
      <c r="Q712" s="134"/>
      <c r="R712" s="134"/>
      <c r="S712" s="134"/>
      <c r="T712" s="134"/>
      <c r="U712" s="134"/>
      <c r="V712" s="134"/>
      <c r="W712" s="134"/>
      <c r="X712" s="134"/>
      <c r="Y712" s="134"/>
      <c r="Z712" s="134"/>
    </row>
    <row r="713">
      <c r="A713" s="131"/>
      <c r="B713" s="164"/>
      <c r="C713" s="165"/>
      <c r="D713" s="171"/>
      <c r="E713" s="164"/>
      <c r="F713" s="170"/>
      <c r="G713" s="134"/>
      <c r="H713" s="134"/>
      <c r="I713" s="134"/>
      <c r="J713" s="134"/>
      <c r="K713" s="134"/>
      <c r="L713" s="134"/>
      <c r="M713" s="134"/>
      <c r="N713" s="134"/>
      <c r="O713" s="134"/>
      <c r="P713" s="134"/>
      <c r="Q713" s="134"/>
      <c r="R713" s="134"/>
      <c r="S713" s="134"/>
      <c r="T713" s="134"/>
      <c r="U713" s="134"/>
      <c r="V713" s="134"/>
      <c r="W713" s="134"/>
      <c r="X713" s="134"/>
      <c r="Y713" s="134"/>
      <c r="Z713" s="134"/>
    </row>
    <row r="714">
      <c r="A714" s="131"/>
      <c r="B714" s="164"/>
      <c r="C714" s="165"/>
      <c r="D714" s="171"/>
      <c r="E714" s="164"/>
      <c r="F714" s="170"/>
      <c r="G714" s="134"/>
      <c r="H714" s="134"/>
      <c r="I714" s="134"/>
      <c r="J714" s="134"/>
      <c r="K714" s="134"/>
      <c r="L714" s="134"/>
      <c r="M714" s="134"/>
      <c r="N714" s="134"/>
      <c r="O714" s="134"/>
      <c r="P714" s="134"/>
      <c r="Q714" s="134"/>
      <c r="R714" s="134"/>
      <c r="S714" s="134"/>
      <c r="T714" s="134"/>
      <c r="U714" s="134"/>
      <c r="V714" s="134"/>
      <c r="W714" s="134"/>
      <c r="X714" s="134"/>
      <c r="Y714" s="134"/>
      <c r="Z714" s="134"/>
    </row>
    <row r="715">
      <c r="A715" s="131"/>
      <c r="B715" s="164"/>
      <c r="C715" s="165"/>
      <c r="D715" s="171"/>
      <c r="E715" s="164"/>
      <c r="F715" s="170"/>
      <c r="G715" s="134"/>
      <c r="H715" s="134"/>
      <c r="I715" s="134"/>
      <c r="J715" s="134"/>
      <c r="K715" s="134"/>
      <c r="L715" s="134"/>
      <c r="M715" s="134"/>
      <c r="N715" s="134"/>
      <c r="O715" s="134"/>
      <c r="P715" s="134"/>
      <c r="Q715" s="134"/>
      <c r="R715" s="134"/>
      <c r="S715" s="134"/>
      <c r="T715" s="134"/>
      <c r="U715" s="134"/>
      <c r="V715" s="134"/>
      <c r="W715" s="134"/>
      <c r="X715" s="134"/>
      <c r="Y715" s="134"/>
      <c r="Z715" s="134"/>
    </row>
    <row r="716">
      <c r="A716" s="131"/>
      <c r="B716" s="164"/>
      <c r="C716" s="165"/>
      <c r="D716" s="171"/>
      <c r="E716" s="164"/>
      <c r="F716" s="170"/>
      <c r="G716" s="134"/>
      <c r="H716" s="134"/>
      <c r="I716" s="134"/>
      <c r="J716" s="134"/>
      <c r="K716" s="134"/>
      <c r="L716" s="134"/>
      <c r="M716" s="134"/>
      <c r="N716" s="134"/>
      <c r="O716" s="134"/>
      <c r="P716" s="134"/>
      <c r="Q716" s="134"/>
      <c r="R716" s="134"/>
      <c r="S716" s="134"/>
      <c r="T716" s="134"/>
      <c r="U716" s="134"/>
      <c r="V716" s="134"/>
      <c r="W716" s="134"/>
      <c r="X716" s="134"/>
      <c r="Y716" s="134"/>
      <c r="Z716" s="134"/>
    </row>
    <row r="717">
      <c r="A717" s="131"/>
      <c r="B717" s="164"/>
      <c r="C717" s="165"/>
      <c r="D717" s="171"/>
      <c r="E717" s="164"/>
      <c r="F717" s="170"/>
      <c r="G717" s="134"/>
      <c r="H717" s="134"/>
      <c r="I717" s="134"/>
      <c r="J717" s="134"/>
      <c r="K717" s="134"/>
      <c r="L717" s="134"/>
      <c r="M717" s="134"/>
      <c r="N717" s="134"/>
      <c r="O717" s="134"/>
      <c r="P717" s="134"/>
      <c r="Q717" s="134"/>
      <c r="R717" s="134"/>
      <c r="S717" s="134"/>
      <c r="T717" s="134"/>
      <c r="U717" s="134"/>
      <c r="V717" s="134"/>
      <c r="W717" s="134"/>
      <c r="X717" s="134"/>
      <c r="Y717" s="134"/>
      <c r="Z717" s="134"/>
    </row>
    <row r="718">
      <c r="A718" s="131"/>
      <c r="B718" s="164"/>
      <c r="C718" s="165"/>
      <c r="D718" s="171"/>
      <c r="E718" s="164"/>
      <c r="F718" s="170"/>
      <c r="G718" s="134"/>
      <c r="H718" s="134"/>
      <c r="I718" s="134"/>
      <c r="J718" s="134"/>
      <c r="K718" s="134"/>
      <c r="L718" s="134"/>
      <c r="M718" s="134"/>
      <c r="N718" s="134"/>
      <c r="O718" s="134"/>
      <c r="P718" s="134"/>
      <c r="Q718" s="134"/>
      <c r="R718" s="134"/>
      <c r="S718" s="134"/>
      <c r="T718" s="134"/>
      <c r="U718" s="134"/>
      <c r="V718" s="134"/>
      <c r="W718" s="134"/>
      <c r="X718" s="134"/>
      <c r="Y718" s="134"/>
      <c r="Z718" s="134"/>
    </row>
    <row r="719">
      <c r="A719" s="131"/>
      <c r="B719" s="164"/>
      <c r="C719" s="165"/>
      <c r="D719" s="171"/>
      <c r="E719" s="164"/>
      <c r="F719" s="170"/>
      <c r="G719" s="134"/>
      <c r="H719" s="134"/>
      <c r="I719" s="134"/>
      <c r="J719" s="134"/>
      <c r="K719" s="134"/>
      <c r="L719" s="134"/>
      <c r="M719" s="134"/>
      <c r="N719" s="134"/>
      <c r="O719" s="134"/>
      <c r="P719" s="134"/>
      <c r="Q719" s="134"/>
      <c r="R719" s="134"/>
      <c r="S719" s="134"/>
      <c r="T719" s="134"/>
      <c r="U719" s="134"/>
      <c r="V719" s="134"/>
      <c r="W719" s="134"/>
      <c r="X719" s="134"/>
      <c r="Y719" s="134"/>
      <c r="Z719" s="134"/>
    </row>
    <row r="720">
      <c r="A720" s="131"/>
      <c r="B720" s="164"/>
      <c r="C720" s="165"/>
      <c r="D720" s="171"/>
      <c r="E720" s="164"/>
      <c r="F720" s="170"/>
      <c r="G720" s="134"/>
      <c r="H720" s="134"/>
      <c r="I720" s="134"/>
      <c r="J720" s="134"/>
      <c r="K720" s="134"/>
      <c r="L720" s="134"/>
      <c r="M720" s="134"/>
      <c r="N720" s="134"/>
      <c r="O720" s="134"/>
      <c r="P720" s="134"/>
      <c r="Q720" s="134"/>
      <c r="R720" s="134"/>
      <c r="S720" s="134"/>
      <c r="T720" s="134"/>
      <c r="U720" s="134"/>
      <c r="V720" s="134"/>
      <c r="W720" s="134"/>
      <c r="X720" s="134"/>
      <c r="Y720" s="134"/>
      <c r="Z720" s="134"/>
    </row>
    <row r="721">
      <c r="A721" s="131"/>
      <c r="B721" s="164"/>
      <c r="C721" s="165"/>
      <c r="D721" s="171"/>
      <c r="E721" s="164"/>
      <c r="F721" s="170"/>
      <c r="G721" s="134"/>
      <c r="H721" s="134"/>
      <c r="I721" s="134"/>
      <c r="J721" s="134"/>
      <c r="K721" s="134"/>
      <c r="L721" s="134"/>
      <c r="M721" s="134"/>
      <c r="N721" s="134"/>
      <c r="O721" s="134"/>
      <c r="P721" s="134"/>
      <c r="Q721" s="134"/>
      <c r="R721" s="134"/>
      <c r="S721" s="134"/>
      <c r="T721" s="134"/>
      <c r="U721" s="134"/>
      <c r="V721" s="134"/>
      <c r="W721" s="134"/>
      <c r="X721" s="134"/>
      <c r="Y721" s="134"/>
      <c r="Z721" s="134"/>
    </row>
    <row r="722">
      <c r="A722" s="131"/>
      <c r="B722" s="164"/>
      <c r="C722" s="165"/>
      <c r="D722" s="171"/>
      <c r="E722" s="164"/>
      <c r="F722" s="170"/>
      <c r="G722" s="134"/>
      <c r="H722" s="134"/>
      <c r="I722" s="134"/>
      <c r="J722" s="134"/>
      <c r="K722" s="134"/>
      <c r="L722" s="134"/>
      <c r="M722" s="134"/>
      <c r="N722" s="134"/>
      <c r="O722" s="134"/>
      <c r="P722" s="134"/>
      <c r="Q722" s="134"/>
      <c r="R722" s="134"/>
      <c r="S722" s="134"/>
      <c r="T722" s="134"/>
      <c r="U722" s="134"/>
      <c r="V722" s="134"/>
      <c r="W722" s="134"/>
      <c r="X722" s="134"/>
      <c r="Y722" s="134"/>
      <c r="Z722" s="134"/>
    </row>
    <row r="723">
      <c r="A723" s="131"/>
      <c r="B723" s="164"/>
      <c r="C723" s="165"/>
      <c r="D723" s="171"/>
      <c r="E723" s="164"/>
      <c r="F723" s="170"/>
      <c r="G723" s="134"/>
      <c r="H723" s="134"/>
      <c r="I723" s="134"/>
      <c r="J723" s="134"/>
      <c r="K723" s="134"/>
      <c r="L723" s="134"/>
      <c r="M723" s="134"/>
      <c r="N723" s="134"/>
      <c r="O723" s="134"/>
      <c r="P723" s="134"/>
      <c r="Q723" s="134"/>
      <c r="R723" s="134"/>
      <c r="S723" s="134"/>
      <c r="T723" s="134"/>
      <c r="U723" s="134"/>
      <c r="V723" s="134"/>
      <c r="W723" s="134"/>
      <c r="X723" s="134"/>
      <c r="Y723" s="134"/>
      <c r="Z723" s="134"/>
    </row>
    <row r="724">
      <c r="A724" s="131"/>
      <c r="B724" s="164"/>
      <c r="C724" s="165"/>
      <c r="D724" s="171"/>
      <c r="E724" s="164"/>
      <c r="F724" s="170"/>
      <c r="G724" s="134"/>
      <c r="H724" s="134"/>
      <c r="I724" s="134"/>
      <c r="J724" s="134"/>
      <c r="K724" s="134"/>
      <c r="L724" s="134"/>
      <c r="M724" s="134"/>
      <c r="N724" s="134"/>
      <c r="O724" s="134"/>
      <c r="P724" s="134"/>
      <c r="Q724" s="134"/>
      <c r="R724" s="134"/>
      <c r="S724" s="134"/>
      <c r="T724" s="134"/>
      <c r="U724" s="134"/>
      <c r="V724" s="134"/>
      <c r="W724" s="134"/>
      <c r="X724" s="134"/>
      <c r="Y724" s="134"/>
      <c r="Z724" s="134"/>
    </row>
    <row r="725">
      <c r="A725" s="131"/>
      <c r="B725" s="164"/>
      <c r="C725" s="165"/>
      <c r="D725" s="171"/>
      <c r="E725" s="164"/>
      <c r="F725" s="170"/>
      <c r="G725" s="134"/>
      <c r="H725" s="134"/>
      <c r="I725" s="134"/>
      <c r="J725" s="134"/>
      <c r="K725" s="134"/>
      <c r="L725" s="134"/>
      <c r="M725" s="134"/>
      <c r="N725" s="134"/>
      <c r="O725" s="134"/>
      <c r="P725" s="134"/>
      <c r="Q725" s="134"/>
      <c r="R725" s="134"/>
      <c r="S725" s="134"/>
      <c r="T725" s="134"/>
      <c r="U725" s="134"/>
      <c r="V725" s="134"/>
      <c r="W725" s="134"/>
      <c r="X725" s="134"/>
      <c r="Y725" s="134"/>
      <c r="Z725" s="134"/>
    </row>
    <row r="726">
      <c r="A726" s="131"/>
      <c r="B726" s="164"/>
      <c r="C726" s="165"/>
      <c r="D726" s="171"/>
      <c r="E726" s="164"/>
      <c r="F726" s="170"/>
      <c r="G726" s="134"/>
      <c r="H726" s="134"/>
      <c r="I726" s="134"/>
      <c r="J726" s="134"/>
      <c r="K726" s="134"/>
      <c r="L726" s="134"/>
      <c r="M726" s="134"/>
      <c r="N726" s="134"/>
      <c r="O726" s="134"/>
      <c r="P726" s="134"/>
      <c r="Q726" s="134"/>
      <c r="R726" s="134"/>
      <c r="S726" s="134"/>
      <c r="T726" s="134"/>
      <c r="U726" s="134"/>
      <c r="V726" s="134"/>
      <c r="W726" s="134"/>
      <c r="X726" s="134"/>
      <c r="Y726" s="134"/>
      <c r="Z726" s="134"/>
    </row>
    <row r="727">
      <c r="A727" s="131"/>
      <c r="B727" s="164"/>
      <c r="C727" s="165"/>
      <c r="D727" s="171"/>
      <c r="E727" s="164"/>
      <c r="F727" s="170"/>
      <c r="G727" s="134"/>
      <c r="H727" s="134"/>
      <c r="I727" s="134"/>
      <c r="J727" s="134"/>
      <c r="K727" s="134"/>
      <c r="L727" s="134"/>
      <c r="M727" s="134"/>
      <c r="N727" s="134"/>
      <c r="O727" s="134"/>
      <c r="P727" s="134"/>
      <c r="Q727" s="134"/>
      <c r="R727" s="134"/>
      <c r="S727" s="134"/>
      <c r="T727" s="134"/>
      <c r="U727" s="134"/>
      <c r="V727" s="134"/>
      <c r="W727" s="134"/>
      <c r="X727" s="134"/>
      <c r="Y727" s="134"/>
      <c r="Z727" s="134"/>
    </row>
    <row r="728">
      <c r="A728" s="131"/>
      <c r="B728" s="164"/>
      <c r="C728" s="165"/>
      <c r="D728" s="171"/>
      <c r="E728" s="164"/>
      <c r="F728" s="170"/>
      <c r="G728" s="134"/>
      <c r="H728" s="134"/>
      <c r="I728" s="134"/>
      <c r="J728" s="134"/>
      <c r="K728" s="134"/>
      <c r="L728" s="134"/>
      <c r="M728" s="134"/>
      <c r="N728" s="134"/>
      <c r="O728" s="134"/>
      <c r="P728" s="134"/>
      <c r="Q728" s="134"/>
      <c r="R728" s="134"/>
      <c r="S728" s="134"/>
      <c r="T728" s="134"/>
      <c r="U728" s="134"/>
      <c r="V728" s="134"/>
      <c r="W728" s="134"/>
      <c r="X728" s="134"/>
      <c r="Y728" s="134"/>
      <c r="Z728" s="134"/>
    </row>
    <row r="729">
      <c r="A729" s="131"/>
      <c r="B729" s="164"/>
      <c r="C729" s="165"/>
      <c r="D729" s="171"/>
      <c r="E729" s="164"/>
      <c r="F729" s="170"/>
      <c r="G729" s="134"/>
      <c r="H729" s="134"/>
      <c r="I729" s="134"/>
      <c r="J729" s="134"/>
      <c r="K729" s="134"/>
      <c r="L729" s="134"/>
      <c r="M729" s="134"/>
      <c r="N729" s="134"/>
      <c r="O729" s="134"/>
      <c r="P729" s="134"/>
      <c r="Q729" s="134"/>
      <c r="R729" s="134"/>
      <c r="S729" s="134"/>
      <c r="T729" s="134"/>
      <c r="U729" s="134"/>
      <c r="V729" s="134"/>
      <c r="W729" s="134"/>
      <c r="X729" s="134"/>
      <c r="Y729" s="134"/>
      <c r="Z729" s="134"/>
    </row>
    <row r="730">
      <c r="A730" s="131"/>
      <c r="B730" s="164"/>
      <c r="C730" s="165"/>
      <c r="D730" s="171"/>
      <c r="E730" s="164"/>
      <c r="F730" s="170"/>
      <c r="G730" s="134"/>
      <c r="H730" s="134"/>
      <c r="I730" s="134"/>
      <c r="J730" s="134"/>
      <c r="K730" s="134"/>
      <c r="L730" s="134"/>
      <c r="M730" s="134"/>
      <c r="N730" s="134"/>
      <c r="O730" s="134"/>
      <c r="P730" s="134"/>
      <c r="Q730" s="134"/>
      <c r="R730" s="134"/>
      <c r="S730" s="134"/>
      <c r="T730" s="134"/>
      <c r="U730" s="134"/>
      <c r="V730" s="134"/>
      <c r="W730" s="134"/>
      <c r="X730" s="134"/>
      <c r="Y730" s="134"/>
      <c r="Z730" s="134"/>
    </row>
    <row r="731">
      <c r="A731" s="131"/>
      <c r="B731" s="164"/>
      <c r="C731" s="165"/>
      <c r="D731" s="171"/>
      <c r="E731" s="164"/>
      <c r="F731" s="170"/>
      <c r="G731" s="134"/>
      <c r="H731" s="134"/>
      <c r="I731" s="134"/>
      <c r="J731" s="134"/>
      <c r="K731" s="134"/>
      <c r="L731" s="134"/>
      <c r="M731" s="134"/>
      <c r="N731" s="134"/>
      <c r="O731" s="134"/>
      <c r="P731" s="134"/>
      <c r="Q731" s="134"/>
      <c r="R731" s="134"/>
      <c r="S731" s="134"/>
      <c r="T731" s="134"/>
      <c r="U731" s="134"/>
      <c r="V731" s="134"/>
      <c r="W731" s="134"/>
      <c r="X731" s="134"/>
      <c r="Y731" s="134"/>
      <c r="Z731" s="134"/>
    </row>
    <row r="732">
      <c r="A732" s="131"/>
      <c r="B732" s="164"/>
      <c r="C732" s="165"/>
      <c r="D732" s="171"/>
      <c r="E732" s="164"/>
      <c r="F732" s="170"/>
      <c r="G732" s="134"/>
      <c r="H732" s="134"/>
      <c r="I732" s="134"/>
      <c r="J732" s="134"/>
      <c r="K732" s="134"/>
      <c r="L732" s="134"/>
      <c r="M732" s="134"/>
      <c r="N732" s="134"/>
      <c r="O732" s="134"/>
      <c r="P732" s="134"/>
      <c r="Q732" s="134"/>
      <c r="R732" s="134"/>
      <c r="S732" s="134"/>
      <c r="T732" s="134"/>
      <c r="U732" s="134"/>
      <c r="V732" s="134"/>
      <c r="W732" s="134"/>
      <c r="X732" s="134"/>
      <c r="Y732" s="134"/>
      <c r="Z732" s="134"/>
    </row>
    <row r="733">
      <c r="A733" s="131"/>
      <c r="B733" s="164"/>
      <c r="C733" s="165"/>
      <c r="D733" s="171"/>
      <c r="E733" s="164"/>
      <c r="F733" s="170"/>
      <c r="G733" s="134"/>
      <c r="H733" s="134"/>
      <c r="I733" s="134"/>
      <c r="J733" s="134"/>
      <c r="K733" s="134"/>
      <c r="L733" s="134"/>
      <c r="M733" s="134"/>
      <c r="N733" s="134"/>
      <c r="O733" s="134"/>
      <c r="P733" s="134"/>
      <c r="Q733" s="134"/>
      <c r="R733" s="134"/>
      <c r="S733" s="134"/>
      <c r="T733" s="134"/>
      <c r="U733" s="134"/>
      <c r="V733" s="134"/>
      <c r="W733" s="134"/>
      <c r="X733" s="134"/>
      <c r="Y733" s="134"/>
      <c r="Z733" s="134"/>
    </row>
    <row r="734">
      <c r="A734" s="131"/>
      <c r="B734" s="164"/>
      <c r="C734" s="165"/>
      <c r="D734" s="171"/>
      <c r="E734" s="164"/>
      <c r="F734" s="170"/>
      <c r="G734" s="134"/>
      <c r="H734" s="134"/>
      <c r="I734" s="134"/>
      <c r="J734" s="134"/>
      <c r="K734" s="134"/>
      <c r="L734" s="134"/>
      <c r="M734" s="134"/>
      <c r="N734" s="134"/>
      <c r="O734" s="134"/>
      <c r="P734" s="134"/>
      <c r="Q734" s="134"/>
      <c r="R734" s="134"/>
      <c r="S734" s="134"/>
      <c r="T734" s="134"/>
      <c r="U734" s="134"/>
      <c r="V734" s="134"/>
      <c r="W734" s="134"/>
      <c r="X734" s="134"/>
      <c r="Y734" s="134"/>
      <c r="Z734" s="134"/>
    </row>
    <row r="735">
      <c r="A735" s="131"/>
      <c r="B735" s="164"/>
      <c r="C735" s="165"/>
      <c r="D735" s="171"/>
      <c r="E735" s="164"/>
      <c r="F735" s="170"/>
      <c r="G735" s="134"/>
      <c r="H735" s="134"/>
      <c r="I735" s="134"/>
      <c r="J735" s="134"/>
      <c r="K735" s="134"/>
      <c r="L735" s="134"/>
      <c r="M735" s="134"/>
      <c r="N735" s="134"/>
      <c r="O735" s="134"/>
      <c r="P735" s="134"/>
      <c r="Q735" s="134"/>
      <c r="R735" s="134"/>
      <c r="S735" s="134"/>
      <c r="T735" s="134"/>
      <c r="U735" s="134"/>
      <c r="V735" s="134"/>
      <c r="W735" s="134"/>
      <c r="X735" s="134"/>
      <c r="Y735" s="134"/>
      <c r="Z735" s="134"/>
    </row>
    <row r="736">
      <c r="A736" s="131"/>
      <c r="B736" s="164"/>
      <c r="C736" s="165"/>
      <c r="D736" s="171"/>
      <c r="E736" s="164"/>
      <c r="F736" s="170"/>
      <c r="G736" s="134"/>
      <c r="H736" s="134"/>
      <c r="I736" s="134"/>
      <c r="J736" s="134"/>
      <c r="K736" s="134"/>
      <c r="L736" s="134"/>
      <c r="M736" s="134"/>
      <c r="N736" s="134"/>
      <c r="O736" s="134"/>
      <c r="P736" s="134"/>
      <c r="Q736" s="134"/>
      <c r="R736" s="134"/>
      <c r="S736" s="134"/>
      <c r="T736" s="134"/>
      <c r="U736" s="134"/>
      <c r="V736" s="134"/>
      <c r="W736" s="134"/>
      <c r="X736" s="134"/>
      <c r="Y736" s="134"/>
      <c r="Z736" s="134"/>
    </row>
    <row r="737">
      <c r="A737" s="131"/>
      <c r="B737" s="164"/>
      <c r="C737" s="165"/>
      <c r="D737" s="171"/>
      <c r="E737" s="164"/>
      <c r="F737" s="170"/>
      <c r="G737" s="134"/>
      <c r="H737" s="134"/>
      <c r="I737" s="134"/>
      <c r="J737" s="134"/>
      <c r="K737" s="134"/>
      <c r="L737" s="134"/>
      <c r="M737" s="134"/>
      <c r="N737" s="134"/>
      <c r="O737" s="134"/>
      <c r="P737" s="134"/>
      <c r="Q737" s="134"/>
      <c r="R737" s="134"/>
      <c r="S737" s="134"/>
      <c r="T737" s="134"/>
      <c r="U737" s="134"/>
      <c r="V737" s="134"/>
      <c r="W737" s="134"/>
      <c r="X737" s="134"/>
      <c r="Y737" s="134"/>
      <c r="Z737" s="134"/>
    </row>
    <row r="738">
      <c r="A738" s="131"/>
      <c r="B738" s="164"/>
      <c r="C738" s="165"/>
      <c r="D738" s="171"/>
      <c r="E738" s="164"/>
      <c r="F738" s="170"/>
      <c r="G738" s="134"/>
      <c r="H738" s="134"/>
      <c r="I738" s="134"/>
      <c r="J738" s="134"/>
      <c r="K738" s="134"/>
      <c r="L738" s="134"/>
      <c r="M738" s="134"/>
      <c r="N738" s="134"/>
      <c r="O738" s="134"/>
      <c r="P738" s="134"/>
      <c r="Q738" s="134"/>
      <c r="R738" s="134"/>
      <c r="S738" s="134"/>
      <c r="T738" s="134"/>
      <c r="U738" s="134"/>
      <c r="V738" s="134"/>
      <c r="W738" s="134"/>
      <c r="X738" s="134"/>
      <c r="Y738" s="134"/>
      <c r="Z738" s="134"/>
    </row>
    <row r="739">
      <c r="A739" s="131"/>
      <c r="B739" s="164"/>
      <c r="C739" s="165"/>
      <c r="D739" s="171"/>
      <c r="E739" s="164"/>
      <c r="F739" s="170"/>
      <c r="G739" s="134"/>
      <c r="H739" s="134"/>
      <c r="I739" s="134"/>
      <c r="J739" s="134"/>
      <c r="K739" s="134"/>
      <c r="L739" s="134"/>
      <c r="M739" s="134"/>
      <c r="N739" s="134"/>
      <c r="O739" s="134"/>
      <c r="P739" s="134"/>
      <c r="Q739" s="134"/>
      <c r="R739" s="134"/>
      <c r="S739" s="134"/>
      <c r="T739" s="134"/>
      <c r="U739" s="134"/>
      <c r="V739" s="134"/>
      <c r="W739" s="134"/>
      <c r="X739" s="134"/>
      <c r="Y739" s="134"/>
      <c r="Z739" s="134"/>
    </row>
    <row r="740">
      <c r="A740" s="131"/>
      <c r="B740" s="164"/>
      <c r="C740" s="165"/>
      <c r="D740" s="171"/>
      <c r="E740" s="164"/>
      <c r="F740" s="170"/>
      <c r="G740" s="134"/>
      <c r="H740" s="134"/>
      <c r="I740" s="134"/>
      <c r="J740" s="134"/>
      <c r="K740" s="134"/>
      <c r="L740" s="134"/>
      <c r="M740" s="134"/>
      <c r="N740" s="134"/>
      <c r="O740" s="134"/>
      <c r="P740" s="134"/>
      <c r="Q740" s="134"/>
      <c r="R740" s="134"/>
      <c r="S740" s="134"/>
      <c r="T740" s="134"/>
      <c r="U740" s="134"/>
      <c r="V740" s="134"/>
      <c r="W740" s="134"/>
      <c r="X740" s="134"/>
      <c r="Y740" s="134"/>
      <c r="Z740" s="134"/>
    </row>
    <row r="741">
      <c r="A741" s="131"/>
      <c r="B741" s="164"/>
      <c r="C741" s="165"/>
      <c r="D741" s="171"/>
      <c r="E741" s="164"/>
      <c r="F741" s="170"/>
      <c r="G741" s="134"/>
      <c r="H741" s="134"/>
      <c r="I741" s="134"/>
      <c r="J741" s="134"/>
      <c r="K741" s="134"/>
      <c r="L741" s="134"/>
      <c r="M741" s="134"/>
      <c r="N741" s="134"/>
      <c r="O741" s="134"/>
      <c r="P741" s="134"/>
      <c r="Q741" s="134"/>
      <c r="R741" s="134"/>
      <c r="S741" s="134"/>
      <c r="T741" s="134"/>
      <c r="U741" s="134"/>
      <c r="V741" s="134"/>
      <c r="W741" s="134"/>
      <c r="X741" s="134"/>
      <c r="Y741" s="134"/>
      <c r="Z741" s="134"/>
    </row>
    <row r="742">
      <c r="A742" s="131"/>
      <c r="B742" s="164"/>
      <c r="C742" s="165"/>
      <c r="D742" s="171"/>
      <c r="E742" s="164"/>
      <c r="F742" s="170"/>
      <c r="G742" s="134"/>
      <c r="H742" s="134"/>
      <c r="I742" s="134"/>
      <c r="J742" s="134"/>
      <c r="K742" s="134"/>
      <c r="L742" s="134"/>
      <c r="M742" s="134"/>
      <c r="N742" s="134"/>
      <c r="O742" s="134"/>
      <c r="P742" s="134"/>
      <c r="Q742" s="134"/>
      <c r="R742" s="134"/>
      <c r="S742" s="134"/>
      <c r="T742" s="134"/>
      <c r="U742" s="134"/>
      <c r="V742" s="134"/>
      <c r="W742" s="134"/>
      <c r="X742" s="134"/>
      <c r="Y742" s="134"/>
      <c r="Z742" s="134"/>
    </row>
    <row r="743">
      <c r="A743" s="131"/>
      <c r="B743" s="164"/>
      <c r="C743" s="165"/>
      <c r="D743" s="171"/>
      <c r="E743" s="164"/>
      <c r="F743" s="170"/>
      <c r="G743" s="134"/>
      <c r="H743" s="134"/>
      <c r="I743" s="134"/>
      <c r="J743" s="134"/>
      <c r="K743" s="134"/>
      <c r="L743" s="134"/>
      <c r="M743" s="134"/>
      <c r="N743" s="134"/>
      <c r="O743" s="134"/>
      <c r="P743" s="134"/>
      <c r="Q743" s="134"/>
      <c r="R743" s="134"/>
      <c r="S743" s="134"/>
      <c r="T743" s="134"/>
      <c r="U743" s="134"/>
      <c r="V743" s="134"/>
      <c r="W743" s="134"/>
      <c r="X743" s="134"/>
      <c r="Y743" s="134"/>
      <c r="Z743" s="134"/>
    </row>
    <row r="744">
      <c r="A744" s="131"/>
      <c r="B744" s="164"/>
      <c r="C744" s="165"/>
      <c r="D744" s="171"/>
      <c r="E744" s="164"/>
      <c r="F744" s="170"/>
      <c r="G744" s="134"/>
      <c r="H744" s="134"/>
      <c r="I744" s="134"/>
      <c r="J744" s="134"/>
      <c r="K744" s="134"/>
      <c r="L744" s="134"/>
      <c r="M744" s="134"/>
      <c r="N744" s="134"/>
      <c r="O744" s="134"/>
      <c r="P744" s="134"/>
      <c r="Q744" s="134"/>
      <c r="R744" s="134"/>
      <c r="S744" s="134"/>
      <c r="T744" s="134"/>
      <c r="U744" s="134"/>
      <c r="V744" s="134"/>
      <c r="W744" s="134"/>
      <c r="X744" s="134"/>
      <c r="Y744" s="134"/>
      <c r="Z744" s="134"/>
    </row>
    <row r="745">
      <c r="A745" s="131"/>
      <c r="B745" s="164"/>
      <c r="C745" s="165"/>
      <c r="D745" s="171"/>
      <c r="E745" s="164"/>
      <c r="F745" s="170"/>
      <c r="G745" s="134"/>
      <c r="H745" s="134"/>
      <c r="I745" s="134"/>
      <c r="J745" s="134"/>
      <c r="K745" s="134"/>
      <c r="L745" s="134"/>
      <c r="M745" s="134"/>
      <c r="N745" s="134"/>
      <c r="O745" s="134"/>
      <c r="P745" s="134"/>
      <c r="Q745" s="134"/>
      <c r="R745" s="134"/>
      <c r="S745" s="134"/>
      <c r="T745" s="134"/>
      <c r="U745" s="134"/>
      <c r="V745" s="134"/>
      <c r="W745" s="134"/>
      <c r="X745" s="134"/>
      <c r="Y745" s="134"/>
      <c r="Z745" s="134"/>
    </row>
    <row r="746">
      <c r="A746" s="131"/>
      <c r="B746" s="164"/>
      <c r="C746" s="165"/>
      <c r="D746" s="171"/>
      <c r="E746" s="164"/>
      <c r="F746" s="170"/>
      <c r="G746" s="134"/>
      <c r="H746" s="134"/>
      <c r="I746" s="134"/>
      <c r="J746" s="134"/>
      <c r="K746" s="134"/>
      <c r="L746" s="134"/>
      <c r="M746" s="134"/>
      <c r="N746" s="134"/>
      <c r="O746" s="134"/>
      <c r="P746" s="134"/>
      <c r="Q746" s="134"/>
      <c r="R746" s="134"/>
      <c r="S746" s="134"/>
      <c r="T746" s="134"/>
      <c r="U746" s="134"/>
      <c r="V746" s="134"/>
      <c r="W746" s="134"/>
      <c r="X746" s="134"/>
      <c r="Y746" s="134"/>
      <c r="Z746" s="134"/>
    </row>
    <row r="747">
      <c r="A747" s="131"/>
      <c r="B747" s="164"/>
      <c r="C747" s="165"/>
      <c r="D747" s="171"/>
      <c r="E747" s="164"/>
      <c r="F747" s="170"/>
      <c r="G747" s="134"/>
      <c r="H747" s="134"/>
      <c r="I747" s="134"/>
      <c r="J747" s="134"/>
      <c r="K747" s="134"/>
      <c r="L747" s="134"/>
      <c r="M747" s="134"/>
      <c r="N747" s="134"/>
      <c r="O747" s="134"/>
      <c r="P747" s="134"/>
      <c r="Q747" s="134"/>
      <c r="R747" s="134"/>
      <c r="S747" s="134"/>
      <c r="T747" s="134"/>
      <c r="U747" s="134"/>
      <c r="V747" s="134"/>
      <c r="W747" s="134"/>
      <c r="X747" s="134"/>
      <c r="Y747" s="134"/>
      <c r="Z747" s="134"/>
    </row>
    <row r="748">
      <c r="A748" s="131"/>
      <c r="B748" s="164"/>
      <c r="C748" s="165"/>
      <c r="D748" s="171"/>
      <c r="E748" s="164"/>
      <c r="F748" s="170"/>
      <c r="G748" s="134"/>
      <c r="H748" s="134"/>
      <c r="I748" s="134"/>
      <c r="J748" s="134"/>
      <c r="K748" s="134"/>
      <c r="L748" s="134"/>
      <c r="M748" s="134"/>
      <c r="N748" s="134"/>
      <c r="O748" s="134"/>
      <c r="P748" s="134"/>
      <c r="Q748" s="134"/>
      <c r="R748" s="134"/>
      <c r="S748" s="134"/>
      <c r="T748" s="134"/>
      <c r="U748" s="134"/>
      <c r="V748" s="134"/>
      <c r="W748" s="134"/>
      <c r="X748" s="134"/>
      <c r="Y748" s="134"/>
      <c r="Z748" s="134"/>
    </row>
    <row r="749">
      <c r="A749" s="131"/>
      <c r="B749" s="164"/>
      <c r="C749" s="165"/>
      <c r="D749" s="171"/>
      <c r="E749" s="164"/>
      <c r="F749" s="170"/>
      <c r="G749" s="134"/>
      <c r="H749" s="134"/>
      <c r="I749" s="134"/>
      <c r="J749" s="134"/>
      <c r="K749" s="134"/>
      <c r="L749" s="134"/>
      <c r="M749" s="134"/>
      <c r="N749" s="134"/>
      <c r="O749" s="134"/>
      <c r="P749" s="134"/>
      <c r="Q749" s="134"/>
      <c r="R749" s="134"/>
      <c r="S749" s="134"/>
      <c r="T749" s="134"/>
      <c r="U749" s="134"/>
      <c r="V749" s="134"/>
      <c r="W749" s="134"/>
      <c r="X749" s="134"/>
      <c r="Y749" s="134"/>
      <c r="Z749" s="134"/>
    </row>
    <row r="750">
      <c r="A750" s="131"/>
      <c r="B750" s="164"/>
      <c r="C750" s="165"/>
      <c r="D750" s="171"/>
      <c r="E750" s="164"/>
      <c r="F750" s="170"/>
      <c r="G750" s="134"/>
      <c r="H750" s="134"/>
      <c r="I750" s="134"/>
      <c r="J750" s="134"/>
      <c r="K750" s="134"/>
      <c r="L750" s="134"/>
      <c r="M750" s="134"/>
      <c r="N750" s="134"/>
      <c r="O750" s="134"/>
      <c r="P750" s="134"/>
      <c r="Q750" s="134"/>
      <c r="R750" s="134"/>
      <c r="S750" s="134"/>
      <c r="T750" s="134"/>
      <c r="U750" s="134"/>
      <c r="V750" s="134"/>
      <c r="W750" s="134"/>
      <c r="X750" s="134"/>
      <c r="Y750" s="134"/>
      <c r="Z750" s="134"/>
    </row>
    <row r="751">
      <c r="A751" s="131"/>
      <c r="B751" s="164"/>
      <c r="C751" s="165"/>
      <c r="D751" s="171"/>
      <c r="E751" s="164"/>
      <c r="F751" s="170"/>
      <c r="G751" s="134"/>
      <c r="H751" s="134"/>
      <c r="I751" s="134"/>
      <c r="J751" s="134"/>
      <c r="K751" s="134"/>
      <c r="L751" s="134"/>
      <c r="M751" s="134"/>
      <c r="N751" s="134"/>
      <c r="O751" s="134"/>
      <c r="P751" s="134"/>
      <c r="Q751" s="134"/>
      <c r="R751" s="134"/>
      <c r="S751" s="134"/>
      <c r="T751" s="134"/>
      <c r="U751" s="134"/>
      <c r="V751" s="134"/>
      <c r="W751" s="134"/>
      <c r="X751" s="134"/>
      <c r="Y751" s="134"/>
      <c r="Z751" s="134"/>
    </row>
    <row r="752">
      <c r="A752" s="131"/>
      <c r="B752" s="164"/>
      <c r="C752" s="165"/>
      <c r="D752" s="171"/>
      <c r="E752" s="164"/>
      <c r="F752" s="170"/>
      <c r="G752" s="134"/>
      <c r="H752" s="134"/>
      <c r="I752" s="134"/>
      <c r="J752" s="134"/>
      <c r="K752" s="134"/>
      <c r="L752" s="134"/>
      <c r="M752" s="134"/>
      <c r="N752" s="134"/>
      <c r="O752" s="134"/>
      <c r="P752" s="134"/>
      <c r="Q752" s="134"/>
      <c r="R752" s="134"/>
      <c r="S752" s="134"/>
      <c r="T752" s="134"/>
      <c r="U752" s="134"/>
      <c r="V752" s="134"/>
      <c r="W752" s="134"/>
      <c r="X752" s="134"/>
      <c r="Y752" s="134"/>
      <c r="Z752" s="134"/>
    </row>
    <row r="753">
      <c r="A753" s="131"/>
      <c r="B753" s="164"/>
      <c r="C753" s="165"/>
      <c r="D753" s="171"/>
      <c r="E753" s="164"/>
      <c r="F753" s="170"/>
      <c r="G753" s="134"/>
      <c r="H753" s="134"/>
      <c r="I753" s="134"/>
      <c r="J753" s="134"/>
      <c r="K753" s="134"/>
      <c r="L753" s="134"/>
      <c r="M753" s="134"/>
      <c r="N753" s="134"/>
      <c r="O753" s="134"/>
      <c r="P753" s="134"/>
      <c r="Q753" s="134"/>
      <c r="R753" s="134"/>
      <c r="S753" s="134"/>
      <c r="T753" s="134"/>
      <c r="U753" s="134"/>
      <c r="V753" s="134"/>
      <c r="W753" s="134"/>
      <c r="X753" s="134"/>
      <c r="Y753" s="134"/>
      <c r="Z753" s="134"/>
    </row>
    <row r="754">
      <c r="A754" s="131"/>
      <c r="B754" s="164"/>
      <c r="C754" s="165"/>
      <c r="D754" s="171"/>
      <c r="E754" s="164"/>
      <c r="F754" s="170"/>
      <c r="G754" s="134"/>
      <c r="H754" s="134"/>
      <c r="I754" s="134"/>
      <c r="J754" s="134"/>
      <c r="K754" s="134"/>
      <c r="L754" s="134"/>
      <c r="M754" s="134"/>
      <c r="N754" s="134"/>
      <c r="O754" s="134"/>
      <c r="P754" s="134"/>
      <c r="Q754" s="134"/>
      <c r="R754" s="134"/>
      <c r="S754" s="134"/>
      <c r="T754" s="134"/>
      <c r="U754" s="134"/>
      <c r="V754" s="134"/>
      <c r="W754" s="134"/>
      <c r="X754" s="134"/>
      <c r="Y754" s="134"/>
      <c r="Z754" s="134"/>
    </row>
    <row r="755">
      <c r="A755" s="131"/>
      <c r="B755" s="164"/>
      <c r="C755" s="165"/>
      <c r="D755" s="171"/>
      <c r="E755" s="164"/>
      <c r="F755" s="170"/>
      <c r="G755" s="134"/>
      <c r="H755" s="134"/>
      <c r="I755" s="134"/>
      <c r="J755" s="134"/>
      <c r="K755" s="134"/>
      <c r="L755" s="134"/>
      <c r="M755" s="134"/>
      <c r="N755" s="134"/>
      <c r="O755" s="134"/>
      <c r="P755" s="134"/>
      <c r="Q755" s="134"/>
      <c r="R755" s="134"/>
      <c r="S755" s="134"/>
      <c r="T755" s="134"/>
      <c r="U755" s="134"/>
      <c r="V755" s="134"/>
      <c r="W755" s="134"/>
      <c r="X755" s="134"/>
      <c r="Y755" s="134"/>
      <c r="Z755" s="134"/>
    </row>
    <row r="756">
      <c r="A756" s="131"/>
      <c r="B756" s="164"/>
      <c r="C756" s="165"/>
      <c r="D756" s="171"/>
      <c r="E756" s="164"/>
      <c r="F756" s="170"/>
      <c r="G756" s="134"/>
      <c r="H756" s="134"/>
      <c r="I756" s="134"/>
      <c r="J756" s="134"/>
      <c r="K756" s="134"/>
      <c r="L756" s="134"/>
      <c r="M756" s="134"/>
      <c r="N756" s="134"/>
      <c r="O756" s="134"/>
      <c r="P756" s="134"/>
      <c r="Q756" s="134"/>
      <c r="R756" s="134"/>
      <c r="S756" s="134"/>
      <c r="T756" s="134"/>
      <c r="U756" s="134"/>
      <c r="V756" s="134"/>
      <c r="W756" s="134"/>
      <c r="X756" s="134"/>
      <c r="Y756" s="134"/>
      <c r="Z756" s="134"/>
    </row>
    <row r="757">
      <c r="A757" s="131"/>
      <c r="B757" s="164"/>
      <c r="C757" s="165"/>
      <c r="D757" s="171"/>
      <c r="E757" s="164"/>
      <c r="F757" s="170"/>
      <c r="G757" s="134"/>
      <c r="H757" s="134"/>
      <c r="I757" s="134"/>
      <c r="J757" s="134"/>
      <c r="K757" s="134"/>
      <c r="L757" s="134"/>
      <c r="M757" s="134"/>
      <c r="N757" s="134"/>
      <c r="O757" s="134"/>
      <c r="P757" s="134"/>
      <c r="Q757" s="134"/>
      <c r="R757" s="134"/>
      <c r="S757" s="134"/>
      <c r="T757" s="134"/>
      <c r="U757" s="134"/>
      <c r="V757" s="134"/>
      <c r="W757" s="134"/>
      <c r="X757" s="134"/>
      <c r="Y757" s="134"/>
      <c r="Z757" s="134"/>
    </row>
    <row r="758">
      <c r="A758" s="131"/>
      <c r="B758" s="164"/>
      <c r="C758" s="165"/>
      <c r="D758" s="171"/>
      <c r="E758" s="164"/>
      <c r="F758" s="170"/>
      <c r="G758" s="134"/>
      <c r="H758" s="134"/>
      <c r="I758" s="134"/>
      <c r="J758" s="134"/>
      <c r="K758" s="134"/>
      <c r="L758" s="134"/>
      <c r="M758" s="134"/>
      <c r="N758" s="134"/>
      <c r="O758" s="134"/>
      <c r="P758" s="134"/>
      <c r="Q758" s="134"/>
      <c r="R758" s="134"/>
      <c r="S758" s="134"/>
      <c r="T758" s="134"/>
      <c r="U758" s="134"/>
      <c r="V758" s="134"/>
      <c r="W758" s="134"/>
      <c r="X758" s="134"/>
      <c r="Y758" s="134"/>
      <c r="Z758" s="134"/>
    </row>
    <row r="759">
      <c r="A759" s="131"/>
      <c r="B759" s="164"/>
      <c r="C759" s="165"/>
      <c r="D759" s="171"/>
      <c r="E759" s="164"/>
      <c r="F759" s="170"/>
      <c r="G759" s="134"/>
      <c r="H759" s="134"/>
      <c r="I759" s="134"/>
      <c r="J759" s="134"/>
      <c r="K759" s="134"/>
      <c r="L759" s="134"/>
      <c r="M759" s="134"/>
      <c r="N759" s="134"/>
      <c r="O759" s="134"/>
      <c r="P759" s="134"/>
      <c r="Q759" s="134"/>
      <c r="R759" s="134"/>
      <c r="S759" s="134"/>
      <c r="T759" s="134"/>
      <c r="U759" s="134"/>
      <c r="V759" s="134"/>
      <c r="W759" s="134"/>
      <c r="X759" s="134"/>
      <c r="Y759" s="134"/>
      <c r="Z759" s="134"/>
    </row>
    <row r="760">
      <c r="A760" s="131"/>
      <c r="B760" s="164"/>
      <c r="C760" s="165"/>
      <c r="D760" s="171"/>
      <c r="E760" s="164"/>
      <c r="F760" s="170"/>
      <c r="G760" s="134"/>
      <c r="H760" s="134"/>
      <c r="I760" s="134"/>
      <c r="J760" s="134"/>
      <c r="K760" s="134"/>
      <c r="L760" s="134"/>
      <c r="M760" s="134"/>
      <c r="N760" s="134"/>
      <c r="O760" s="134"/>
      <c r="P760" s="134"/>
      <c r="Q760" s="134"/>
      <c r="R760" s="134"/>
      <c r="S760" s="134"/>
      <c r="T760" s="134"/>
      <c r="U760" s="134"/>
      <c r="V760" s="134"/>
      <c r="W760" s="134"/>
      <c r="X760" s="134"/>
      <c r="Y760" s="134"/>
      <c r="Z760" s="134"/>
    </row>
    <row r="761">
      <c r="A761" s="131"/>
      <c r="B761" s="164"/>
      <c r="C761" s="165"/>
      <c r="D761" s="171"/>
      <c r="E761" s="164"/>
      <c r="F761" s="170"/>
      <c r="G761" s="134"/>
      <c r="H761" s="134"/>
      <c r="I761" s="134"/>
      <c r="J761" s="134"/>
      <c r="K761" s="134"/>
      <c r="L761" s="134"/>
      <c r="M761" s="134"/>
      <c r="N761" s="134"/>
      <c r="O761" s="134"/>
      <c r="P761" s="134"/>
      <c r="Q761" s="134"/>
      <c r="R761" s="134"/>
      <c r="S761" s="134"/>
      <c r="T761" s="134"/>
      <c r="U761" s="134"/>
      <c r="V761" s="134"/>
      <c r="W761" s="134"/>
      <c r="X761" s="134"/>
      <c r="Y761" s="134"/>
      <c r="Z761" s="134"/>
    </row>
    <row r="762">
      <c r="A762" s="131"/>
      <c r="B762" s="164"/>
      <c r="C762" s="165"/>
      <c r="D762" s="171"/>
      <c r="E762" s="164"/>
      <c r="F762" s="170"/>
      <c r="G762" s="134"/>
      <c r="H762" s="134"/>
      <c r="I762" s="134"/>
      <c r="J762" s="134"/>
      <c r="K762" s="134"/>
      <c r="L762" s="134"/>
      <c r="M762" s="134"/>
      <c r="N762" s="134"/>
      <c r="O762" s="134"/>
      <c r="P762" s="134"/>
      <c r="Q762" s="134"/>
      <c r="R762" s="134"/>
      <c r="S762" s="134"/>
      <c r="T762" s="134"/>
      <c r="U762" s="134"/>
      <c r="V762" s="134"/>
      <c r="W762" s="134"/>
      <c r="X762" s="134"/>
      <c r="Y762" s="134"/>
      <c r="Z762" s="134"/>
    </row>
    <row r="763">
      <c r="A763" s="131"/>
      <c r="B763" s="164"/>
      <c r="C763" s="165"/>
      <c r="D763" s="171"/>
      <c r="E763" s="164"/>
      <c r="F763" s="170"/>
      <c r="G763" s="134"/>
      <c r="H763" s="134"/>
      <c r="I763" s="134"/>
      <c r="J763" s="134"/>
      <c r="K763" s="134"/>
      <c r="L763" s="134"/>
      <c r="M763" s="134"/>
      <c r="N763" s="134"/>
      <c r="O763" s="134"/>
      <c r="P763" s="134"/>
      <c r="Q763" s="134"/>
      <c r="R763" s="134"/>
      <c r="S763" s="134"/>
      <c r="T763" s="134"/>
      <c r="U763" s="134"/>
      <c r="V763" s="134"/>
      <c r="W763" s="134"/>
      <c r="X763" s="134"/>
      <c r="Y763" s="134"/>
      <c r="Z763" s="134"/>
    </row>
    <row r="764">
      <c r="A764" s="131"/>
      <c r="B764" s="164"/>
      <c r="C764" s="165"/>
      <c r="D764" s="171"/>
      <c r="E764" s="164"/>
      <c r="F764" s="170"/>
      <c r="G764" s="134"/>
      <c r="H764" s="134"/>
      <c r="I764" s="134"/>
      <c r="J764" s="134"/>
      <c r="K764" s="134"/>
      <c r="L764" s="134"/>
      <c r="M764" s="134"/>
      <c r="N764" s="134"/>
      <c r="O764" s="134"/>
      <c r="P764" s="134"/>
      <c r="Q764" s="134"/>
      <c r="R764" s="134"/>
      <c r="S764" s="134"/>
      <c r="T764" s="134"/>
      <c r="U764" s="134"/>
      <c r="V764" s="134"/>
      <c r="W764" s="134"/>
      <c r="X764" s="134"/>
      <c r="Y764" s="134"/>
      <c r="Z764" s="134"/>
    </row>
    <row r="765">
      <c r="A765" s="131"/>
      <c r="B765" s="164"/>
      <c r="C765" s="165"/>
      <c r="D765" s="171"/>
      <c r="E765" s="164"/>
      <c r="F765" s="170"/>
      <c r="G765" s="134"/>
      <c r="H765" s="134"/>
      <c r="I765" s="134"/>
      <c r="J765" s="134"/>
      <c r="K765" s="134"/>
      <c r="L765" s="134"/>
      <c r="M765" s="134"/>
      <c r="N765" s="134"/>
      <c r="O765" s="134"/>
      <c r="P765" s="134"/>
      <c r="Q765" s="134"/>
      <c r="R765" s="134"/>
      <c r="S765" s="134"/>
      <c r="T765" s="134"/>
      <c r="U765" s="134"/>
      <c r="V765" s="134"/>
      <c r="W765" s="134"/>
      <c r="X765" s="134"/>
      <c r="Y765" s="134"/>
      <c r="Z765" s="134"/>
    </row>
    <row r="766">
      <c r="A766" s="131"/>
      <c r="B766" s="164"/>
      <c r="C766" s="165"/>
      <c r="D766" s="171"/>
      <c r="E766" s="164"/>
      <c r="F766" s="170"/>
      <c r="G766" s="134"/>
      <c r="H766" s="134"/>
      <c r="I766" s="134"/>
      <c r="J766" s="134"/>
      <c r="K766" s="134"/>
      <c r="L766" s="134"/>
      <c r="M766" s="134"/>
      <c r="N766" s="134"/>
      <c r="O766" s="134"/>
      <c r="P766" s="134"/>
      <c r="Q766" s="134"/>
      <c r="R766" s="134"/>
      <c r="S766" s="134"/>
      <c r="T766" s="134"/>
      <c r="U766" s="134"/>
      <c r="V766" s="134"/>
      <c r="W766" s="134"/>
      <c r="X766" s="134"/>
      <c r="Y766" s="134"/>
      <c r="Z766" s="134"/>
    </row>
    <row r="767">
      <c r="A767" s="131"/>
      <c r="B767" s="164"/>
      <c r="C767" s="165"/>
      <c r="D767" s="171"/>
      <c r="E767" s="164"/>
      <c r="F767" s="170"/>
      <c r="G767" s="134"/>
      <c r="H767" s="134"/>
      <c r="I767" s="134"/>
      <c r="J767" s="134"/>
      <c r="K767" s="134"/>
      <c r="L767" s="134"/>
      <c r="M767" s="134"/>
      <c r="N767" s="134"/>
      <c r="O767" s="134"/>
      <c r="P767" s="134"/>
      <c r="Q767" s="134"/>
      <c r="R767" s="134"/>
      <c r="S767" s="134"/>
      <c r="T767" s="134"/>
      <c r="U767" s="134"/>
      <c r="V767" s="134"/>
      <c r="W767" s="134"/>
      <c r="X767" s="134"/>
      <c r="Y767" s="134"/>
      <c r="Z767" s="134"/>
    </row>
    <row r="768">
      <c r="A768" s="131"/>
      <c r="B768" s="164"/>
      <c r="C768" s="165"/>
      <c r="D768" s="171"/>
      <c r="E768" s="164"/>
      <c r="F768" s="170"/>
      <c r="G768" s="134"/>
      <c r="H768" s="134"/>
      <c r="I768" s="134"/>
      <c r="J768" s="134"/>
      <c r="K768" s="134"/>
      <c r="L768" s="134"/>
      <c r="M768" s="134"/>
      <c r="N768" s="134"/>
      <c r="O768" s="134"/>
      <c r="P768" s="134"/>
      <c r="Q768" s="134"/>
      <c r="R768" s="134"/>
      <c r="S768" s="134"/>
      <c r="T768" s="134"/>
      <c r="U768" s="134"/>
      <c r="V768" s="134"/>
      <c r="W768" s="134"/>
      <c r="X768" s="134"/>
      <c r="Y768" s="134"/>
      <c r="Z768" s="134"/>
    </row>
    <row r="769">
      <c r="A769" s="131"/>
      <c r="B769" s="164"/>
      <c r="C769" s="165"/>
      <c r="D769" s="171"/>
      <c r="E769" s="164"/>
      <c r="F769" s="170"/>
      <c r="G769" s="134"/>
      <c r="H769" s="134"/>
      <c r="I769" s="134"/>
      <c r="J769" s="134"/>
      <c r="K769" s="134"/>
      <c r="L769" s="134"/>
      <c r="M769" s="134"/>
      <c r="N769" s="134"/>
      <c r="O769" s="134"/>
      <c r="P769" s="134"/>
      <c r="Q769" s="134"/>
      <c r="R769" s="134"/>
      <c r="S769" s="134"/>
      <c r="T769" s="134"/>
      <c r="U769" s="134"/>
      <c r="V769" s="134"/>
      <c r="W769" s="134"/>
      <c r="X769" s="134"/>
      <c r="Y769" s="134"/>
      <c r="Z769" s="134"/>
    </row>
    <row r="770">
      <c r="A770" s="131"/>
      <c r="B770" s="164"/>
      <c r="C770" s="165"/>
      <c r="D770" s="171"/>
      <c r="E770" s="164"/>
      <c r="F770" s="170"/>
      <c r="G770" s="134"/>
      <c r="H770" s="134"/>
      <c r="I770" s="134"/>
      <c r="J770" s="134"/>
      <c r="K770" s="134"/>
      <c r="L770" s="134"/>
      <c r="M770" s="134"/>
      <c r="N770" s="134"/>
      <c r="O770" s="134"/>
      <c r="P770" s="134"/>
      <c r="Q770" s="134"/>
      <c r="R770" s="134"/>
      <c r="S770" s="134"/>
      <c r="T770" s="134"/>
      <c r="U770" s="134"/>
      <c r="V770" s="134"/>
      <c r="W770" s="134"/>
      <c r="X770" s="134"/>
      <c r="Y770" s="134"/>
      <c r="Z770" s="134"/>
    </row>
    <row r="771">
      <c r="A771" s="131"/>
      <c r="B771" s="164"/>
      <c r="C771" s="165"/>
      <c r="D771" s="171"/>
      <c r="E771" s="164"/>
      <c r="F771" s="170"/>
      <c r="G771" s="134"/>
      <c r="H771" s="134"/>
      <c r="I771" s="134"/>
      <c r="J771" s="134"/>
      <c r="K771" s="134"/>
      <c r="L771" s="134"/>
      <c r="M771" s="134"/>
      <c r="N771" s="134"/>
      <c r="O771" s="134"/>
      <c r="P771" s="134"/>
      <c r="Q771" s="134"/>
      <c r="R771" s="134"/>
      <c r="S771" s="134"/>
      <c r="T771" s="134"/>
      <c r="U771" s="134"/>
      <c r="V771" s="134"/>
      <c r="W771" s="134"/>
      <c r="X771" s="134"/>
      <c r="Y771" s="134"/>
      <c r="Z771" s="134"/>
    </row>
    <row r="772">
      <c r="A772" s="131"/>
      <c r="B772" s="164"/>
      <c r="C772" s="165"/>
      <c r="D772" s="171"/>
      <c r="E772" s="164"/>
      <c r="F772" s="170"/>
      <c r="G772" s="134"/>
      <c r="H772" s="134"/>
      <c r="I772" s="134"/>
      <c r="J772" s="134"/>
      <c r="K772" s="134"/>
      <c r="L772" s="134"/>
      <c r="M772" s="134"/>
      <c r="N772" s="134"/>
      <c r="O772" s="134"/>
      <c r="P772" s="134"/>
      <c r="Q772" s="134"/>
      <c r="R772" s="134"/>
      <c r="S772" s="134"/>
      <c r="T772" s="134"/>
      <c r="U772" s="134"/>
      <c r="V772" s="134"/>
      <c r="W772" s="134"/>
      <c r="X772" s="134"/>
      <c r="Y772" s="134"/>
      <c r="Z772" s="134"/>
    </row>
    <row r="773">
      <c r="A773" s="131"/>
      <c r="B773" s="164"/>
      <c r="C773" s="165"/>
      <c r="D773" s="171"/>
      <c r="E773" s="164"/>
      <c r="F773" s="170"/>
      <c r="G773" s="134"/>
      <c r="H773" s="134"/>
      <c r="I773" s="134"/>
      <c r="J773" s="134"/>
      <c r="K773" s="134"/>
      <c r="L773" s="134"/>
      <c r="M773" s="134"/>
      <c r="N773" s="134"/>
      <c r="O773" s="134"/>
      <c r="P773" s="134"/>
      <c r="Q773" s="134"/>
      <c r="R773" s="134"/>
      <c r="S773" s="134"/>
      <c r="T773" s="134"/>
      <c r="U773" s="134"/>
      <c r="V773" s="134"/>
      <c r="W773" s="134"/>
      <c r="X773" s="134"/>
      <c r="Y773" s="134"/>
      <c r="Z773" s="134"/>
    </row>
    <row r="774">
      <c r="A774" s="131"/>
      <c r="B774" s="164"/>
      <c r="C774" s="165"/>
      <c r="D774" s="171"/>
      <c r="E774" s="164"/>
      <c r="F774" s="170"/>
      <c r="G774" s="134"/>
      <c r="H774" s="134"/>
      <c r="I774" s="134"/>
      <c r="J774" s="134"/>
      <c r="K774" s="134"/>
      <c r="L774" s="134"/>
      <c r="M774" s="134"/>
      <c r="N774" s="134"/>
      <c r="O774" s="134"/>
      <c r="P774" s="134"/>
      <c r="Q774" s="134"/>
      <c r="R774" s="134"/>
      <c r="S774" s="134"/>
      <c r="T774" s="134"/>
      <c r="U774" s="134"/>
      <c r="V774" s="134"/>
      <c r="W774" s="134"/>
      <c r="X774" s="134"/>
      <c r="Y774" s="134"/>
      <c r="Z774" s="134"/>
    </row>
    <row r="775">
      <c r="A775" s="131"/>
      <c r="B775" s="164"/>
      <c r="C775" s="165"/>
      <c r="D775" s="171"/>
      <c r="E775" s="164"/>
      <c r="F775" s="170"/>
      <c r="G775" s="134"/>
      <c r="H775" s="134"/>
      <c r="I775" s="134"/>
      <c r="J775" s="134"/>
      <c r="K775" s="134"/>
      <c r="L775" s="134"/>
      <c r="M775" s="134"/>
      <c r="N775" s="134"/>
      <c r="O775" s="134"/>
      <c r="P775" s="134"/>
      <c r="Q775" s="134"/>
      <c r="R775" s="134"/>
      <c r="S775" s="134"/>
      <c r="T775" s="134"/>
      <c r="U775" s="134"/>
      <c r="V775" s="134"/>
      <c r="W775" s="134"/>
      <c r="X775" s="134"/>
      <c r="Y775" s="134"/>
      <c r="Z775" s="134"/>
    </row>
    <row r="776">
      <c r="A776" s="131"/>
      <c r="B776" s="164"/>
      <c r="C776" s="165"/>
      <c r="D776" s="171"/>
      <c r="E776" s="164"/>
      <c r="F776" s="170"/>
      <c r="G776" s="134"/>
      <c r="H776" s="134"/>
      <c r="I776" s="134"/>
      <c r="J776" s="134"/>
      <c r="K776" s="134"/>
      <c r="L776" s="134"/>
      <c r="M776" s="134"/>
      <c r="N776" s="134"/>
      <c r="O776" s="134"/>
      <c r="P776" s="134"/>
      <c r="Q776" s="134"/>
      <c r="R776" s="134"/>
      <c r="S776" s="134"/>
      <c r="T776" s="134"/>
      <c r="U776" s="134"/>
      <c r="V776" s="134"/>
      <c r="W776" s="134"/>
      <c r="X776" s="134"/>
      <c r="Y776" s="134"/>
      <c r="Z776" s="134"/>
    </row>
    <row r="777">
      <c r="A777" s="131"/>
      <c r="B777" s="164"/>
      <c r="C777" s="165"/>
      <c r="D777" s="171"/>
      <c r="E777" s="164"/>
      <c r="F777" s="170"/>
      <c r="G777" s="134"/>
      <c r="H777" s="134"/>
      <c r="I777" s="134"/>
      <c r="J777" s="134"/>
      <c r="K777" s="134"/>
      <c r="L777" s="134"/>
      <c r="M777" s="134"/>
      <c r="N777" s="134"/>
      <c r="O777" s="134"/>
      <c r="P777" s="134"/>
      <c r="Q777" s="134"/>
      <c r="R777" s="134"/>
      <c r="S777" s="134"/>
      <c r="T777" s="134"/>
      <c r="U777" s="134"/>
      <c r="V777" s="134"/>
      <c r="W777" s="134"/>
      <c r="X777" s="134"/>
      <c r="Y777" s="134"/>
      <c r="Z777" s="134"/>
    </row>
    <row r="778">
      <c r="A778" s="131"/>
      <c r="B778" s="164"/>
      <c r="C778" s="165"/>
      <c r="D778" s="171"/>
      <c r="E778" s="164"/>
      <c r="F778" s="170"/>
      <c r="G778" s="134"/>
      <c r="H778" s="134"/>
      <c r="I778" s="134"/>
      <c r="J778" s="134"/>
      <c r="K778" s="134"/>
      <c r="L778" s="134"/>
      <c r="M778" s="134"/>
      <c r="N778" s="134"/>
      <c r="O778" s="134"/>
      <c r="P778" s="134"/>
      <c r="Q778" s="134"/>
      <c r="R778" s="134"/>
      <c r="S778" s="134"/>
      <c r="T778" s="134"/>
      <c r="U778" s="134"/>
      <c r="V778" s="134"/>
      <c r="W778" s="134"/>
      <c r="X778" s="134"/>
      <c r="Y778" s="134"/>
      <c r="Z778" s="134"/>
    </row>
    <row r="779">
      <c r="A779" s="131"/>
      <c r="B779" s="164"/>
      <c r="C779" s="165"/>
      <c r="D779" s="171"/>
      <c r="E779" s="164"/>
      <c r="F779" s="170"/>
      <c r="G779" s="134"/>
      <c r="H779" s="134"/>
      <c r="I779" s="134"/>
      <c r="J779" s="134"/>
      <c r="K779" s="134"/>
      <c r="L779" s="134"/>
      <c r="M779" s="134"/>
      <c r="N779" s="134"/>
      <c r="O779" s="134"/>
      <c r="P779" s="134"/>
      <c r="Q779" s="134"/>
      <c r="R779" s="134"/>
      <c r="S779" s="134"/>
      <c r="T779" s="134"/>
      <c r="U779" s="134"/>
      <c r="V779" s="134"/>
      <c r="W779" s="134"/>
      <c r="X779" s="134"/>
      <c r="Y779" s="134"/>
      <c r="Z779" s="134"/>
    </row>
    <row r="780">
      <c r="A780" s="131"/>
      <c r="B780" s="164"/>
      <c r="C780" s="165"/>
      <c r="D780" s="171"/>
      <c r="E780" s="164"/>
      <c r="F780" s="170"/>
      <c r="G780" s="134"/>
      <c r="H780" s="134"/>
      <c r="I780" s="134"/>
      <c r="J780" s="134"/>
      <c r="K780" s="134"/>
      <c r="L780" s="134"/>
      <c r="M780" s="134"/>
      <c r="N780" s="134"/>
      <c r="O780" s="134"/>
      <c r="P780" s="134"/>
      <c r="Q780" s="134"/>
      <c r="R780" s="134"/>
      <c r="S780" s="134"/>
      <c r="T780" s="134"/>
      <c r="U780" s="134"/>
      <c r="V780" s="134"/>
      <c r="W780" s="134"/>
      <c r="X780" s="134"/>
      <c r="Y780" s="134"/>
      <c r="Z780" s="134"/>
    </row>
    <row r="781">
      <c r="A781" s="131"/>
      <c r="B781" s="164"/>
      <c r="C781" s="165"/>
      <c r="D781" s="171"/>
      <c r="E781" s="164"/>
      <c r="F781" s="170"/>
      <c r="G781" s="134"/>
      <c r="H781" s="134"/>
      <c r="I781" s="134"/>
      <c r="J781" s="134"/>
      <c r="K781" s="134"/>
      <c r="L781" s="134"/>
      <c r="M781" s="134"/>
      <c r="N781" s="134"/>
      <c r="O781" s="134"/>
      <c r="P781" s="134"/>
      <c r="Q781" s="134"/>
      <c r="R781" s="134"/>
      <c r="S781" s="134"/>
      <c r="T781" s="134"/>
      <c r="U781" s="134"/>
      <c r="V781" s="134"/>
      <c r="W781" s="134"/>
      <c r="X781" s="134"/>
      <c r="Y781" s="134"/>
      <c r="Z781" s="134"/>
    </row>
    <row r="782">
      <c r="A782" s="131"/>
      <c r="B782" s="164"/>
      <c r="C782" s="165"/>
      <c r="D782" s="171"/>
      <c r="E782" s="164"/>
      <c r="F782" s="170"/>
      <c r="G782" s="134"/>
      <c r="H782" s="134"/>
      <c r="I782" s="134"/>
      <c r="J782" s="134"/>
      <c r="K782" s="134"/>
      <c r="L782" s="134"/>
      <c r="M782" s="134"/>
      <c r="N782" s="134"/>
      <c r="O782" s="134"/>
      <c r="P782" s="134"/>
      <c r="Q782" s="134"/>
      <c r="R782" s="134"/>
      <c r="S782" s="134"/>
      <c r="T782" s="134"/>
      <c r="U782" s="134"/>
      <c r="V782" s="134"/>
      <c r="W782" s="134"/>
      <c r="X782" s="134"/>
      <c r="Y782" s="134"/>
      <c r="Z782" s="134"/>
    </row>
    <row r="783">
      <c r="A783" s="131"/>
      <c r="B783" s="164"/>
      <c r="C783" s="165"/>
      <c r="D783" s="171"/>
      <c r="E783" s="164"/>
      <c r="F783" s="170"/>
      <c r="G783" s="134"/>
      <c r="H783" s="134"/>
      <c r="I783" s="134"/>
      <c r="J783" s="134"/>
      <c r="K783" s="134"/>
      <c r="L783" s="134"/>
      <c r="M783" s="134"/>
      <c r="N783" s="134"/>
      <c r="O783" s="134"/>
      <c r="P783" s="134"/>
      <c r="Q783" s="134"/>
      <c r="R783" s="134"/>
      <c r="S783" s="134"/>
      <c r="T783" s="134"/>
      <c r="U783" s="134"/>
      <c r="V783" s="134"/>
      <c r="W783" s="134"/>
      <c r="X783" s="134"/>
      <c r="Y783" s="134"/>
      <c r="Z783" s="134"/>
    </row>
    <row r="784">
      <c r="A784" s="131"/>
      <c r="B784" s="164"/>
      <c r="C784" s="165"/>
      <c r="D784" s="171"/>
      <c r="E784" s="164"/>
      <c r="F784" s="170"/>
      <c r="G784" s="134"/>
      <c r="H784" s="134"/>
      <c r="I784" s="134"/>
      <c r="J784" s="134"/>
      <c r="K784" s="134"/>
      <c r="L784" s="134"/>
      <c r="M784" s="134"/>
      <c r="N784" s="134"/>
      <c r="O784" s="134"/>
      <c r="P784" s="134"/>
      <c r="Q784" s="134"/>
      <c r="R784" s="134"/>
      <c r="S784" s="134"/>
      <c r="T784" s="134"/>
      <c r="U784" s="134"/>
      <c r="V784" s="134"/>
      <c r="W784" s="134"/>
      <c r="X784" s="134"/>
      <c r="Y784" s="134"/>
      <c r="Z784" s="134"/>
    </row>
    <row r="785">
      <c r="A785" s="131"/>
      <c r="B785" s="164"/>
      <c r="C785" s="165"/>
      <c r="D785" s="171"/>
      <c r="E785" s="164"/>
      <c r="F785" s="170"/>
      <c r="G785" s="134"/>
      <c r="H785" s="134"/>
      <c r="I785" s="134"/>
      <c r="J785" s="134"/>
      <c r="K785" s="134"/>
      <c r="L785" s="134"/>
      <c r="M785" s="134"/>
      <c r="N785" s="134"/>
      <c r="O785" s="134"/>
      <c r="P785" s="134"/>
      <c r="Q785" s="134"/>
      <c r="R785" s="134"/>
      <c r="S785" s="134"/>
      <c r="T785" s="134"/>
      <c r="U785" s="134"/>
      <c r="V785" s="134"/>
      <c r="W785" s="134"/>
      <c r="X785" s="134"/>
      <c r="Y785" s="134"/>
      <c r="Z785" s="134"/>
    </row>
    <row r="786">
      <c r="A786" s="131"/>
      <c r="B786" s="164"/>
      <c r="C786" s="165"/>
      <c r="D786" s="171"/>
      <c r="E786" s="164"/>
      <c r="F786" s="170"/>
      <c r="G786" s="134"/>
      <c r="H786" s="134"/>
      <c r="I786" s="134"/>
      <c r="J786" s="134"/>
      <c r="K786" s="134"/>
      <c r="L786" s="134"/>
      <c r="M786" s="134"/>
      <c r="N786" s="134"/>
      <c r="O786" s="134"/>
      <c r="P786" s="134"/>
      <c r="Q786" s="134"/>
      <c r="R786" s="134"/>
      <c r="S786" s="134"/>
      <c r="T786" s="134"/>
      <c r="U786" s="134"/>
      <c r="V786" s="134"/>
      <c r="W786" s="134"/>
      <c r="X786" s="134"/>
      <c r="Y786" s="134"/>
      <c r="Z786" s="134"/>
    </row>
    <row r="787">
      <c r="A787" s="131"/>
      <c r="B787" s="164"/>
      <c r="C787" s="165"/>
      <c r="D787" s="171"/>
      <c r="E787" s="164"/>
      <c r="F787" s="170"/>
      <c r="G787" s="134"/>
      <c r="H787" s="134"/>
      <c r="I787" s="134"/>
      <c r="J787" s="134"/>
      <c r="K787" s="134"/>
      <c r="L787" s="134"/>
      <c r="M787" s="134"/>
      <c r="N787" s="134"/>
      <c r="O787" s="134"/>
      <c r="P787" s="134"/>
      <c r="Q787" s="134"/>
      <c r="R787" s="134"/>
      <c r="S787" s="134"/>
      <c r="T787" s="134"/>
      <c r="U787" s="134"/>
      <c r="V787" s="134"/>
      <c r="W787" s="134"/>
      <c r="X787" s="134"/>
      <c r="Y787" s="134"/>
      <c r="Z787" s="134"/>
    </row>
    <row r="788">
      <c r="A788" s="131"/>
      <c r="B788" s="164"/>
      <c r="C788" s="165"/>
      <c r="D788" s="171"/>
      <c r="E788" s="164"/>
      <c r="F788" s="170"/>
      <c r="G788" s="134"/>
      <c r="H788" s="134"/>
      <c r="I788" s="134"/>
      <c r="J788" s="134"/>
      <c r="K788" s="134"/>
      <c r="L788" s="134"/>
      <c r="M788" s="134"/>
      <c r="N788" s="134"/>
      <c r="O788" s="134"/>
      <c r="P788" s="134"/>
      <c r="Q788" s="134"/>
      <c r="R788" s="134"/>
      <c r="S788" s="134"/>
      <c r="T788" s="134"/>
      <c r="U788" s="134"/>
      <c r="V788" s="134"/>
      <c r="W788" s="134"/>
      <c r="X788" s="134"/>
      <c r="Y788" s="134"/>
      <c r="Z788" s="134"/>
    </row>
    <row r="789">
      <c r="A789" s="131"/>
      <c r="B789" s="164"/>
      <c r="C789" s="165"/>
      <c r="D789" s="171"/>
      <c r="E789" s="164"/>
      <c r="F789" s="170"/>
      <c r="G789" s="134"/>
      <c r="H789" s="134"/>
      <c r="I789" s="134"/>
      <c r="J789" s="134"/>
      <c r="K789" s="134"/>
      <c r="L789" s="134"/>
      <c r="M789" s="134"/>
      <c r="N789" s="134"/>
      <c r="O789" s="134"/>
      <c r="P789" s="134"/>
      <c r="Q789" s="134"/>
      <c r="R789" s="134"/>
      <c r="S789" s="134"/>
      <c r="T789" s="134"/>
      <c r="U789" s="134"/>
      <c r="V789" s="134"/>
      <c r="W789" s="134"/>
      <c r="X789" s="134"/>
      <c r="Y789" s="134"/>
      <c r="Z789" s="134"/>
    </row>
    <row r="790">
      <c r="A790" s="131"/>
      <c r="B790" s="164"/>
      <c r="C790" s="165"/>
      <c r="D790" s="171"/>
      <c r="E790" s="164"/>
      <c r="F790" s="170"/>
      <c r="G790" s="134"/>
      <c r="H790" s="134"/>
      <c r="I790" s="134"/>
      <c r="J790" s="134"/>
      <c r="K790" s="134"/>
      <c r="L790" s="134"/>
      <c r="M790" s="134"/>
      <c r="N790" s="134"/>
      <c r="O790" s="134"/>
      <c r="P790" s="134"/>
      <c r="Q790" s="134"/>
      <c r="R790" s="134"/>
      <c r="S790" s="134"/>
      <c r="T790" s="134"/>
      <c r="U790" s="134"/>
      <c r="V790" s="134"/>
      <c r="W790" s="134"/>
      <c r="X790" s="134"/>
      <c r="Y790" s="134"/>
      <c r="Z790" s="134"/>
    </row>
    <row r="791">
      <c r="A791" s="131"/>
      <c r="B791" s="164"/>
      <c r="C791" s="165"/>
      <c r="D791" s="171"/>
      <c r="E791" s="164"/>
      <c r="F791" s="170"/>
      <c r="G791" s="134"/>
      <c r="H791" s="134"/>
      <c r="I791" s="134"/>
      <c r="J791" s="134"/>
      <c r="K791" s="134"/>
      <c r="L791" s="134"/>
      <c r="M791" s="134"/>
      <c r="N791" s="134"/>
      <c r="O791" s="134"/>
      <c r="P791" s="134"/>
      <c r="Q791" s="134"/>
      <c r="R791" s="134"/>
      <c r="S791" s="134"/>
      <c r="T791" s="134"/>
      <c r="U791" s="134"/>
      <c r="V791" s="134"/>
      <c r="W791" s="134"/>
      <c r="X791" s="134"/>
      <c r="Y791" s="134"/>
      <c r="Z791" s="134"/>
    </row>
    <row r="792">
      <c r="A792" s="131"/>
      <c r="B792" s="164"/>
      <c r="C792" s="165"/>
      <c r="D792" s="171"/>
      <c r="E792" s="164"/>
      <c r="F792" s="170"/>
      <c r="G792" s="134"/>
      <c r="H792" s="134"/>
      <c r="I792" s="134"/>
      <c r="J792" s="134"/>
      <c r="K792" s="134"/>
      <c r="L792" s="134"/>
      <c r="M792" s="134"/>
      <c r="N792" s="134"/>
      <c r="O792" s="134"/>
      <c r="P792" s="134"/>
      <c r="Q792" s="134"/>
      <c r="R792" s="134"/>
      <c r="S792" s="134"/>
      <c r="T792" s="134"/>
      <c r="U792" s="134"/>
      <c r="V792" s="134"/>
      <c r="W792" s="134"/>
      <c r="X792" s="134"/>
      <c r="Y792" s="134"/>
      <c r="Z792" s="134"/>
    </row>
    <row r="793">
      <c r="A793" s="131"/>
      <c r="B793" s="164"/>
      <c r="C793" s="165"/>
      <c r="D793" s="171"/>
      <c r="E793" s="164"/>
      <c r="F793" s="170"/>
      <c r="G793" s="134"/>
      <c r="H793" s="134"/>
      <c r="I793" s="134"/>
      <c r="J793" s="134"/>
      <c r="K793" s="134"/>
      <c r="L793" s="134"/>
      <c r="M793" s="134"/>
      <c r="N793" s="134"/>
      <c r="O793" s="134"/>
      <c r="P793" s="134"/>
      <c r="Q793" s="134"/>
      <c r="R793" s="134"/>
      <c r="S793" s="134"/>
      <c r="T793" s="134"/>
      <c r="U793" s="134"/>
      <c r="V793" s="134"/>
      <c r="W793" s="134"/>
      <c r="X793" s="134"/>
      <c r="Y793" s="134"/>
      <c r="Z793" s="134"/>
    </row>
    <row r="794">
      <c r="A794" s="131"/>
      <c r="B794" s="164"/>
      <c r="C794" s="165"/>
      <c r="D794" s="171"/>
      <c r="E794" s="164"/>
      <c r="F794" s="170"/>
      <c r="G794" s="134"/>
      <c r="H794" s="134"/>
      <c r="I794" s="134"/>
      <c r="J794" s="134"/>
      <c r="K794" s="134"/>
      <c r="L794" s="134"/>
      <c r="M794" s="134"/>
      <c r="N794" s="134"/>
      <c r="O794" s="134"/>
      <c r="P794" s="134"/>
      <c r="Q794" s="134"/>
      <c r="R794" s="134"/>
      <c r="S794" s="134"/>
      <c r="T794" s="134"/>
      <c r="U794" s="134"/>
      <c r="V794" s="134"/>
      <c r="W794" s="134"/>
      <c r="X794" s="134"/>
      <c r="Y794" s="134"/>
      <c r="Z794" s="134"/>
    </row>
    <row r="795">
      <c r="A795" s="131"/>
      <c r="B795" s="164"/>
      <c r="C795" s="165"/>
      <c r="D795" s="171"/>
      <c r="E795" s="164"/>
      <c r="F795" s="170"/>
      <c r="G795" s="134"/>
      <c r="H795" s="134"/>
      <c r="I795" s="134"/>
      <c r="J795" s="134"/>
      <c r="K795" s="134"/>
      <c r="L795" s="134"/>
      <c r="M795" s="134"/>
      <c r="N795" s="134"/>
      <c r="O795" s="134"/>
      <c r="P795" s="134"/>
      <c r="Q795" s="134"/>
      <c r="R795" s="134"/>
      <c r="S795" s="134"/>
      <c r="T795" s="134"/>
      <c r="U795" s="134"/>
      <c r="V795" s="134"/>
      <c r="W795" s="134"/>
      <c r="X795" s="134"/>
      <c r="Y795" s="134"/>
      <c r="Z795" s="134"/>
    </row>
    <row r="796">
      <c r="A796" s="131"/>
      <c r="B796" s="164"/>
      <c r="C796" s="165"/>
      <c r="D796" s="171"/>
      <c r="E796" s="164"/>
      <c r="F796" s="170"/>
      <c r="G796" s="134"/>
      <c r="H796" s="134"/>
      <c r="I796" s="134"/>
      <c r="J796" s="134"/>
      <c r="K796" s="134"/>
      <c r="L796" s="134"/>
      <c r="M796" s="134"/>
      <c r="N796" s="134"/>
      <c r="O796" s="134"/>
      <c r="P796" s="134"/>
      <c r="Q796" s="134"/>
      <c r="R796" s="134"/>
      <c r="S796" s="134"/>
      <c r="T796" s="134"/>
      <c r="U796" s="134"/>
      <c r="V796" s="134"/>
      <c r="W796" s="134"/>
      <c r="X796" s="134"/>
      <c r="Y796" s="134"/>
      <c r="Z796" s="134"/>
    </row>
    <row r="797">
      <c r="A797" s="131"/>
      <c r="B797" s="164"/>
      <c r="C797" s="165"/>
      <c r="D797" s="171"/>
      <c r="E797" s="164"/>
      <c r="F797" s="170"/>
      <c r="G797" s="134"/>
      <c r="H797" s="134"/>
      <c r="I797" s="134"/>
      <c r="J797" s="134"/>
      <c r="K797" s="134"/>
      <c r="L797" s="134"/>
      <c r="M797" s="134"/>
      <c r="N797" s="134"/>
      <c r="O797" s="134"/>
      <c r="P797" s="134"/>
      <c r="Q797" s="134"/>
      <c r="R797" s="134"/>
      <c r="S797" s="134"/>
      <c r="T797" s="134"/>
      <c r="U797" s="134"/>
      <c r="V797" s="134"/>
      <c r="W797" s="134"/>
      <c r="X797" s="134"/>
      <c r="Y797" s="134"/>
      <c r="Z797" s="134"/>
    </row>
    <row r="798">
      <c r="A798" s="131"/>
      <c r="B798" s="164"/>
      <c r="C798" s="165"/>
      <c r="D798" s="171"/>
      <c r="E798" s="164"/>
      <c r="F798" s="170"/>
      <c r="G798" s="134"/>
      <c r="H798" s="134"/>
      <c r="I798" s="134"/>
      <c r="J798" s="134"/>
      <c r="K798" s="134"/>
      <c r="L798" s="134"/>
      <c r="M798" s="134"/>
      <c r="N798" s="134"/>
      <c r="O798" s="134"/>
      <c r="P798" s="134"/>
      <c r="Q798" s="134"/>
      <c r="R798" s="134"/>
      <c r="S798" s="134"/>
      <c r="T798" s="134"/>
      <c r="U798" s="134"/>
      <c r="V798" s="134"/>
      <c r="W798" s="134"/>
      <c r="X798" s="134"/>
      <c r="Y798" s="134"/>
      <c r="Z798" s="134"/>
    </row>
    <row r="799">
      <c r="A799" s="131"/>
      <c r="B799" s="164"/>
      <c r="C799" s="165"/>
      <c r="D799" s="171"/>
      <c r="E799" s="164"/>
      <c r="F799" s="170"/>
      <c r="G799" s="134"/>
      <c r="H799" s="134"/>
      <c r="I799" s="134"/>
      <c r="J799" s="134"/>
      <c r="K799" s="134"/>
      <c r="L799" s="134"/>
      <c r="M799" s="134"/>
      <c r="N799" s="134"/>
      <c r="O799" s="134"/>
      <c r="P799" s="134"/>
      <c r="Q799" s="134"/>
      <c r="R799" s="134"/>
      <c r="S799" s="134"/>
      <c r="T799" s="134"/>
      <c r="U799" s="134"/>
      <c r="V799" s="134"/>
      <c r="W799" s="134"/>
      <c r="X799" s="134"/>
      <c r="Y799" s="134"/>
      <c r="Z799" s="134"/>
    </row>
    <row r="800">
      <c r="A800" s="131"/>
      <c r="B800" s="164"/>
      <c r="C800" s="165"/>
      <c r="D800" s="171"/>
      <c r="E800" s="164"/>
      <c r="F800" s="170"/>
      <c r="G800" s="134"/>
      <c r="H800" s="134"/>
      <c r="I800" s="134"/>
      <c r="J800" s="134"/>
      <c r="K800" s="134"/>
      <c r="L800" s="134"/>
      <c r="M800" s="134"/>
      <c r="N800" s="134"/>
      <c r="O800" s="134"/>
      <c r="P800" s="134"/>
      <c r="Q800" s="134"/>
      <c r="R800" s="134"/>
      <c r="S800" s="134"/>
      <c r="T800" s="134"/>
      <c r="U800" s="134"/>
      <c r="V800" s="134"/>
      <c r="W800" s="134"/>
      <c r="X800" s="134"/>
      <c r="Y800" s="134"/>
      <c r="Z800" s="134"/>
    </row>
    <row r="801">
      <c r="A801" s="131"/>
      <c r="B801" s="164"/>
      <c r="C801" s="165"/>
      <c r="D801" s="171"/>
      <c r="E801" s="164"/>
      <c r="F801" s="170"/>
      <c r="G801" s="134"/>
      <c r="H801" s="134"/>
      <c r="I801" s="134"/>
      <c r="J801" s="134"/>
      <c r="K801" s="134"/>
      <c r="L801" s="134"/>
      <c r="M801" s="134"/>
      <c r="N801" s="134"/>
      <c r="O801" s="134"/>
      <c r="P801" s="134"/>
      <c r="Q801" s="134"/>
      <c r="R801" s="134"/>
      <c r="S801" s="134"/>
      <c r="T801" s="134"/>
      <c r="U801" s="134"/>
      <c r="V801" s="134"/>
      <c r="W801" s="134"/>
      <c r="X801" s="134"/>
      <c r="Y801" s="134"/>
      <c r="Z801" s="134"/>
    </row>
    <row r="802">
      <c r="A802" s="131"/>
      <c r="B802" s="164"/>
      <c r="C802" s="165"/>
      <c r="D802" s="171"/>
      <c r="E802" s="164"/>
      <c r="F802" s="170"/>
      <c r="G802" s="134"/>
      <c r="H802" s="134"/>
      <c r="I802" s="134"/>
      <c r="J802" s="134"/>
      <c r="K802" s="134"/>
      <c r="L802" s="134"/>
      <c r="M802" s="134"/>
      <c r="N802" s="134"/>
      <c r="O802" s="134"/>
      <c r="P802" s="134"/>
      <c r="Q802" s="134"/>
      <c r="R802" s="134"/>
      <c r="S802" s="134"/>
      <c r="T802" s="134"/>
      <c r="U802" s="134"/>
      <c r="V802" s="134"/>
      <c r="W802" s="134"/>
      <c r="X802" s="134"/>
      <c r="Y802" s="134"/>
      <c r="Z802" s="134"/>
    </row>
    <row r="803">
      <c r="A803" s="131"/>
      <c r="B803" s="164"/>
      <c r="C803" s="165"/>
      <c r="D803" s="171"/>
      <c r="E803" s="164"/>
      <c r="F803" s="170"/>
      <c r="G803" s="134"/>
      <c r="H803" s="134"/>
      <c r="I803" s="134"/>
      <c r="J803" s="134"/>
      <c r="K803" s="134"/>
      <c r="L803" s="134"/>
      <c r="M803" s="134"/>
      <c r="N803" s="134"/>
      <c r="O803" s="134"/>
      <c r="P803" s="134"/>
      <c r="Q803" s="134"/>
      <c r="R803" s="134"/>
      <c r="S803" s="134"/>
      <c r="T803" s="134"/>
      <c r="U803" s="134"/>
      <c r="V803" s="134"/>
      <c r="W803" s="134"/>
      <c r="X803" s="134"/>
      <c r="Y803" s="134"/>
      <c r="Z803" s="134"/>
    </row>
    <row r="804">
      <c r="A804" s="131"/>
      <c r="B804" s="164"/>
      <c r="C804" s="165"/>
      <c r="D804" s="171"/>
      <c r="E804" s="164"/>
      <c r="F804" s="170"/>
      <c r="G804" s="134"/>
      <c r="H804" s="134"/>
      <c r="I804" s="134"/>
      <c r="J804" s="134"/>
      <c r="K804" s="134"/>
      <c r="L804" s="134"/>
      <c r="M804" s="134"/>
      <c r="N804" s="134"/>
      <c r="O804" s="134"/>
      <c r="P804" s="134"/>
      <c r="Q804" s="134"/>
      <c r="R804" s="134"/>
      <c r="S804" s="134"/>
      <c r="T804" s="134"/>
      <c r="U804" s="134"/>
      <c r="V804" s="134"/>
      <c r="W804" s="134"/>
      <c r="X804" s="134"/>
      <c r="Y804" s="134"/>
      <c r="Z804" s="134"/>
    </row>
    <row r="805">
      <c r="A805" s="131"/>
      <c r="B805" s="164"/>
      <c r="C805" s="165"/>
      <c r="D805" s="171"/>
      <c r="E805" s="164"/>
      <c r="F805" s="170"/>
      <c r="G805" s="134"/>
      <c r="H805" s="134"/>
      <c r="I805" s="134"/>
      <c r="J805" s="134"/>
      <c r="K805" s="134"/>
      <c r="L805" s="134"/>
      <c r="M805" s="134"/>
      <c r="N805" s="134"/>
      <c r="O805" s="134"/>
      <c r="P805" s="134"/>
      <c r="Q805" s="134"/>
      <c r="R805" s="134"/>
      <c r="S805" s="134"/>
      <c r="T805" s="134"/>
      <c r="U805" s="134"/>
      <c r="V805" s="134"/>
      <c r="W805" s="134"/>
      <c r="X805" s="134"/>
      <c r="Y805" s="134"/>
      <c r="Z805" s="134"/>
    </row>
    <row r="806">
      <c r="A806" s="131"/>
      <c r="B806" s="164"/>
      <c r="C806" s="165"/>
      <c r="D806" s="171"/>
      <c r="E806" s="164"/>
      <c r="F806" s="170"/>
      <c r="G806" s="134"/>
      <c r="H806" s="134"/>
      <c r="I806" s="134"/>
      <c r="J806" s="134"/>
      <c r="K806" s="134"/>
      <c r="L806" s="134"/>
      <c r="M806" s="134"/>
      <c r="N806" s="134"/>
      <c r="O806" s="134"/>
      <c r="P806" s="134"/>
      <c r="Q806" s="134"/>
      <c r="R806" s="134"/>
      <c r="S806" s="134"/>
      <c r="T806" s="134"/>
      <c r="U806" s="134"/>
      <c r="V806" s="134"/>
      <c r="W806" s="134"/>
      <c r="X806" s="134"/>
      <c r="Y806" s="134"/>
      <c r="Z806" s="134"/>
    </row>
    <row r="807">
      <c r="A807" s="131"/>
      <c r="B807" s="164"/>
      <c r="C807" s="165"/>
      <c r="D807" s="171"/>
      <c r="E807" s="164"/>
      <c r="F807" s="170"/>
      <c r="G807" s="134"/>
      <c r="H807" s="134"/>
      <c r="I807" s="134"/>
      <c r="J807" s="134"/>
      <c r="K807" s="134"/>
      <c r="L807" s="134"/>
      <c r="M807" s="134"/>
      <c r="N807" s="134"/>
      <c r="O807" s="134"/>
      <c r="P807" s="134"/>
      <c r="Q807" s="134"/>
      <c r="R807" s="134"/>
      <c r="S807" s="134"/>
      <c r="T807" s="134"/>
      <c r="U807" s="134"/>
      <c r="V807" s="134"/>
      <c r="W807" s="134"/>
      <c r="X807" s="134"/>
      <c r="Y807" s="134"/>
      <c r="Z807" s="134"/>
    </row>
    <row r="808">
      <c r="A808" s="131"/>
      <c r="B808" s="164"/>
      <c r="C808" s="165"/>
      <c r="D808" s="171"/>
      <c r="E808" s="164"/>
      <c r="F808" s="170"/>
      <c r="G808" s="134"/>
      <c r="H808" s="134"/>
      <c r="I808" s="134"/>
      <c r="J808" s="134"/>
      <c r="K808" s="134"/>
      <c r="L808" s="134"/>
      <c r="M808" s="134"/>
      <c r="N808" s="134"/>
      <c r="O808" s="134"/>
      <c r="P808" s="134"/>
      <c r="Q808" s="134"/>
      <c r="R808" s="134"/>
      <c r="S808" s="134"/>
      <c r="T808" s="134"/>
      <c r="U808" s="134"/>
      <c r="V808" s="134"/>
      <c r="W808" s="134"/>
      <c r="X808" s="134"/>
      <c r="Y808" s="134"/>
      <c r="Z808" s="134"/>
    </row>
    <row r="809">
      <c r="A809" s="131"/>
      <c r="B809" s="164"/>
      <c r="C809" s="165"/>
      <c r="D809" s="171"/>
      <c r="E809" s="164"/>
      <c r="F809" s="170"/>
      <c r="G809" s="134"/>
      <c r="H809" s="134"/>
      <c r="I809" s="134"/>
      <c r="J809" s="134"/>
      <c r="K809" s="134"/>
      <c r="L809" s="134"/>
      <c r="M809" s="134"/>
      <c r="N809" s="134"/>
      <c r="O809" s="134"/>
      <c r="P809" s="134"/>
      <c r="Q809" s="134"/>
      <c r="R809" s="134"/>
      <c r="S809" s="134"/>
      <c r="T809" s="134"/>
      <c r="U809" s="134"/>
      <c r="V809" s="134"/>
      <c r="W809" s="134"/>
      <c r="X809" s="134"/>
      <c r="Y809" s="134"/>
      <c r="Z809" s="134"/>
    </row>
    <row r="810">
      <c r="A810" s="131"/>
      <c r="B810" s="164"/>
      <c r="C810" s="165"/>
      <c r="D810" s="171"/>
      <c r="E810" s="164"/>
      <c r="F810" s="170"/>
      <c r="G810" s="134"/>
      <c r="H810" s="134"/>
      <c r="I810" s="134"/>
      <c r="J810" s="134"/>
      <c r="K810" s="134"/>
      <c r="L810" s="134"/>
      <c r="M810" s="134"/>
      <c r="N810" s="134"/>
      <c r="O810" s="134"/>
      <c r="P810" s="134"/>
      <c r="Q810" s="134"/>
      <c r="R810" s="134"/>
      <c r="S810" s="134"/>
      <c r="T810" s="134"/>
      <c r="U810" s="134"/>
      <c r="V810" s="134"/>
      <c r="W810" s="134"/>
      <c r="X810" s="134"/>
      <c r="Y810" s="134"/>
      <c r="Z810" s="134"/>
    </row>
    <row r="811">
      <c r="A811" s="131"/>
      <c r="B811" s="164"/>
      <c r="C811" s="165"/>
      <c r="D811" s="171"/>
      <c r="E811" s="164"/>
      <c r="F811" s="170"/>
      <c r="G811" s="134"/>
      <c r="H811" s="134"/>
      <c r="I811" s="134"/>
      <c r="J811" s="134"/>
      <c r="K811" s="134"/>
      <c r="L811" s="134"/>
      <c r="M811" s="134"/>
      <c r="N811" s="134"/>
      <c r="O811" s="134"/>
      <c r="P811" s="134"/>
      <c r="Q811" s="134"/>
      <c r="R811" s="134"/>
      <c r="S811" s="134"/>
      <c r="T811" s="134"/>
      <c r="U811" s="134"/>
      <c r="V811" s="134"/>
      <c r="W811" s="134"/>
      <c r="X811" s="134"/>
      <c r="Y811" s="134"/>
      <c r="Z811" s="134"/>
    </row>
    <row r="812">
      <c r="A812" s="131"/>
      <c r="B812" s="164"/>
      <c r="C812" s="165"/>
      <c r="D812" s="171"/>
      <c r="E812" s="164"/>
      <c r="F812" s="170"/>
      <c r="G812" s="134"/>
      <c r="H812" s="134"/>
      <c r="I812" s="134"/>
      <c r="J812" s="134"/>
      <c r="K812" s="134"/>
      <c r="L812" s="134"/>
      <c r="M812" s="134"/>
      <c r="N812" s="134"/>
      <c r="O812" s="134"/>
      <c r="P812" s="134"/>
      <c r="Q812" s="134"/>
      <c r="R812" s="134"/>
      <c r="S812" s="134"/>
      <c r="T812" s="134"/>
      <c r="U812" s="134"/>
      <c r="V812" s="134"/>
      <c r="W812" s="134"/>
      <c r="X812" s="134"/>
      <c r="Y812" s="134"/>
      <c r="Z812" s="134"/>
    </row>
    <row r="813">
      <c r="A813" s="131"/>
      <c r="B813" s="164"/>
      <c r="C813" s="165"/>
      <c r="D813" s="171"/>
      <c r="E813" s="164"/>
      <c r="F813" s="170"/>
      <c r="G813" s="134"/>
      <c r="H813" s="134"/>
      <c r="I813" s="134"/>
      <c r="J813" s="134"/>
      <c r="K813" s="134"/>
      <c r="L813" s="134"/>
      <c r="M813" s="134"/>
      <c r="N813" s="134"/>
      <c r="O813" s="134"/>
      <c r="P813" s="134"/>
      <c r="Q813" s="134"/>
      <c r="R813" s="134"/>
      <c r="S813" s="134"/>
      <c r="T813" s="134"/>
      <c r="U813" s="134"/>
      <c r="V813" s="134"/>
      <c r="W813" s="134"/>
      <c r="X813" s="134"/>
      <c r="Y813" s="134"/>
      <c r="Z813" s="134"/>
    </row>
    <row r="814">
      <c r="A814" s="131"/>
      <c r="B814" s="164"/>
      <c r="C814" s="165"/>
      <c r="D814" s="171"/>
      <c r="E814" s="164"/>
      <c r="F814" s="170"/>
      <c r="G814" s="134"/>
      <c r="H814" s="134"/>
      <c r="I814" s="134"/>
      <c r="J814" s="134"/>
      <c r="K814" s="134"/>
      <c r="L814" s="134"/>
      <c r="M814" s="134"/>
      <c r="N814" s="134"/>
      <c r="O814" s="134"/>
      <c r="P814" s="134"/>
      <c r="Q814" s="134"/>
      <c r="R814" s="134"/>
      <c r="S814" s="134"/>
      <c r="T814" s="134"/>
      <c r="U814" s="134"/>
      <c r="V814" s="134"/>
      <c r="W814" s="134"/>
      <c r="X814" s="134"/>
      <c r="Y814" s="134"/>
      <c r="Z814" s="134"/>
    </row>
    <row r="815">
      <c r="A815" s="131"/>
      <c r="B815" s="164"/>
      <c r="C815" s="165"/>
      <c r="D815" s="171"/>
      <c r="E815" s="164"/>
      <c r="F815" s="170"/>
      <c r="G815" s="134"/>
      <c r="H815" s="134"/>
      <c r="I815" s="134"/>
      <c r="J815" s="134"/>
      <c r="K815" s="134"/>
      <c r="L815" s="134"/>
      <c r="M815" s="134"/>
      <c r="N815" s="134"/>
      <c r="O815" s="134"/>
      <c r="P815" s="134"/>
      <c r="Q815" s="134"/>
      <c r="R815" s="134"/>
      <c r="S815" s="134"/>
      <c r="T815" s="134"/>
      <c r="U815" s="134"/>
      <c r="V815" s="134"/>
      <c r="W815" s="134"/>
      <c r="X815" s="134"/>
      <c r="Y815" s="134"/>
      <c r="Z815" s="134"/>
    </row>
    <row r="816">
      <c r="A816" s="131"/>
      <c r="B816" s="164"/>
      <c r="C816" s="165"/>
      <c r="D816" s="171"/>
      <c r="E816" s="164"/>
      <c r="F816" s="170"/>
      <c r="G816" s="134"/>
      <c r="H816" s="134"/>
      <c r="I816" s="134"/>
      <c r="J816" s="134"/>
      <c r="K816" s="134"/>
      <c r="L816" s="134"/>
      <c r="M816" s="134"/>
      <c r="N816" s="134"/>
      <c r="O816" s="134"/>
      <c r="P816" s="134"/>
      <c r="Q816" s="134"/>
      <c r="R816" s="134"/>
      <c r="S816" s="134"/>
      <c r="T816" s="134"/>
      <c r="U816" s="134"/>
      <c r="V816" s="134"/>
      <c r="W816" s="134"/>
      <c r="X816" s="134"/>
      <c r="Y816" s="134"/>
      <c r="Z816" s="134"/>
    </row>
    <row r="817">
      <c r="A817" s="131"/>
      <c r="B817" s="164"/>
      <c r="C817" s="165"/>
      <c r="D817" s="171"/>
      <c r="E817" s="164"/>
      <c r="F817" s="170"/>
      <c r="G817" s="134"/>
      <c r="H817" s="134"/>
      <c r="I817" s="134"/>
      <c r="J817" s="134"/>
      <c r="K817" s="134"/>
      <c r="L817" s="134"/>
      <c r="M817" s="134"/>
      <c r="N817" s="134"/>
      <c r="O817" s="134"/>
      <c r="P817" s="134"/>
      <c r="Q817" s="134"/>
      <c r="R817" s="134"/>
      <c r="S817" s="134"/>
      <c r="T817" s="134"/>
      <c r="U817" s="134"/>
      <c r="V817" s="134"/>
      <c r="W817" s="134"/>
      <c r="X817" s="134"/>
      <c r="Y817" s="134"/>
      <c r="Z817" s="134"/>
    </row>
    <row r="818">
      <c r="A818" s="131"/>
      <c r="B818" s="164"/>
      <c r="C818" s="165"/>
      <c r="D818" s="171"/>
      <c r="E818" s="164"/>
      <c r="F818" s="170"/>
      <c r="G818" s="134"/>
      <c r="H818" s="134"/>
      <c r="I818" s="134"/>
      <c r="J818" s="134"/>
      <c r="K818" s="134"/>
      <c r="L818" s="134"/>
      <c r="M818" s="134"/>
      <c r="N818" s="134"/>
      <c r="O818" s="134"/>
      <c r="P818" s="134"/>
      <c r="Q818" s="134"/>
      <c r="R818" s="134"/>
      <c r="S818" s="134"/>
      <c r="T818" s="134"/>
      <c r="U818" s="134"/>
      <c r="V818" s="134"/>
      <c r="W818" s="134"/>
      <c r="X818" s="134"/>
      <c r="Y818" s="134"/>
      <c r="Z818" s="134"/>
    </row>
    <row r="819">
      <c r="A819" s="131"/>
      <c r="B819" s="164"/>
      <c r="C819" s="165"/>
      <c r="D819" s="171"/>
      <c r="E819" s="164"/>
      <c r="F819" s="170"/>
      <c r="G819" s="134"/>
      <c r="H819" s="134"/>
      <c r="I819" s="134"/>
      <c r="J819" s="134"/>
      <c r="K819" s="134"/>
      <c r="L819" s="134"/>
      <c r="M819" s="134"/>
      <c r="N819" s="134"/>
      <c r="O819" s="134"/>
      <c r="P819" s="134"/>
      <c r="Q819" s="134"/>
      <c r="R819" s="134"/>
      <c r="S819" s="134"/>
      <c r="T819" s="134"/>
      <c r="U819" s="134"/>
      <c r="V819" s="134"/>
      <c r="W819" s="134"/>
      <c r="X819" s="134"/>
      <c r="Y819" s="134"/>
      <c r="Z819" s="134"/>
    </row>
    <row r="820">
      <c r="A820" s="131"/>
      <c r="B820" s="164"/>
      <c r="C820" s="165"/>
      <c r="D820" s="171"/>
      <c r="E820" s="164"/>
      <c r="F820" s="170"/>
      <c r="G820" s="134"/>
      <c r="H820" s="134"/>
      <c r="I820" s="134"/>
      <c r="J820" s="134"/>
      <c r="K820" s="134"/>
      <c r="L820" s="134"/>
      <c r="M820" s="134"/>
      <c r="N820" s="134"/>
      <c r="O820" s="134"/>
      <c r="P820" s="134"/>
      <c r="Q820" s="134"/>
      <c r="R820" s="134"/>
      <c r="S820" s="134"/>
      <c r="T820" s="134"/>
      <c r="U820" s="134"/>
      <c r="V820" s="134"/>
      <c r="W820" s="134"/>
      <c r="X820" s="134"/>
      <c r="Y820" s="134"/>
      <c r="Z820" s="134"/>
    </row>
    <row r="821">
      <c r="A821" s="131"/>
      <c r="B821" s="164"/>
      <c r="C821" s="165"/>
      <c r="D821" s="171"/>
      <c r="E821" s="164"/>
      <c r="F821" s="170"/>
      <c r="G821" s="134"/>
      <c r="H821" s="134"/>
      <c r="I821" s="134"/>
      <c r="J821" s="134"/>
      <c r="K821" s="134"/>
      <c r="L821" s="134"/>
      <c r="M821" s="134"/>
      <c r="N821" s="134"/>
      <c r="O821" s="134"/>
      <c r="P821" s="134"/>
      <c r="Q821" s="134"/>
      <c r="R821" s="134"/>
      <c r="S821" s="134"/>
      <c r="T821" s="134"/>
      <c r="U821" s="134"/>
      <c r="V821" s="134"/>
      <c r="W821" s="134"/>
      <c r="X821" s="134"/>
      <c r="Y821" s="134"/>
      <c r="Z821" s="134"/>
    </row>
    <row r="822">
      <c r="A822" s="131"/>
      <c r="B822" s="164"/>
      <c r="C822" s="165"/>
      <c r="D822" s="171"/>
      <c r="E822" s="164"/>
      <c r="F822" s="170"/>
      <c r="G822" s="134"/>
      <c r="H822" s="134"/>
      <c r="I822" s="134"/>
      <c r="J822" s="134"/>
      <c r="K822" s="134"/>
      <c r="L822" s="134"/>
      <c r="M822" s="134"/>
      <c r="N822" s="134"/>
      <c r="O822" s="134"/>
      <c r="P822" s="134"/>
      <c r="Q822" s="134"/>
      <c r="R822" s="134"/>
      <c r="S822" s="134"/>
      <c r="T822" s="134"/>
      <c r="U822" s="134"/>
      <c r="V822" s="134"/>
      <c r="W822" s="134"/>
      <c r="X822" s="134"/>
      <c r="Y822" s="134"/>
      <c r="Z822" s="134"/>
    </row>
    <row r="823">
      <c r="A823" s="131"/>
      <c r="B823" s="164"/>
      <c r="C823" s="165"/>
      <c r="D823" s="171"/>
      <c r="E823" s="164"/>
      <c r="F823" s="170"/>
      <c r="G823" s="134"/>
      <c r="H823" s="134"/>
      <c r="I823" s="134"/>
      <c r="J823" s="134"/>
      <c r="K823" s="134"/>
      <c r="L823" s="134"/>
      <c r="M823" s="134"/>
      <c r="N823" s="134"/>
      <c r="O823" s="134"/>
      <c r="P823" s="134"/>
      <c r="Q823" s="134"/>
      <c r="R823" s="134"/>
      <c r="S823" s="134"/>
      <c r="T823" s="134"/>
      <c r="U823" s="134"/>
      <c r="V823" s="134"/>
      <c r="W823" s="134"/>
      <c r="X823" s="134"/>
      <c r="Y823" s="134"/>
      <c r="Z823" s="134"/>
    </row>
    <row r="824">
      <c r="A824" s="131"/>
      <c r="B824" s="164"/>
      <c r="C824" s="165"/>
      <c r="D824" s="171"/>
      <c r="E824" s="164"/>
      <c r="F824" s="170"/>
      <c r="G824" s="134"/>
      <c r="H824" s="134"/>
      <c r="I824" s="134"/>
      <c r="J824" s="134"/>
      <c r="K824" s="134"/>
      <c r="L824" s="134"/>
      <c r="M824" s="134"/>
      <c r="N824" s="134"/>
      <c r="O824" s="134"/>
      <c r="P824" s="134"/>
      <c r="Q824" s="134"/>
      <c r="R824" s="134"/>
      <c r="S824" s="134"/>
      <c r="T824" s="134"/>
      <c r="U824" s="134"/>
      <c r="V824" s="134"/>
      <c r="W824" s="134"/>
      <c r="X824" s="134"/>
      <c r="Y824" s="134"/>
      <c r="Z824" s="134"/>
    </row>
    <row r="825">
      <c r="A825" s="131"/>
      <c r="B825" s="164"/>
      <c r="C825" s="165"/>
      <c r="D825" s="171"/>
      <c r="E825" s="164"/>
      <c r="F825" s="170"/>
      <c r="G825" s="134"/>
      <c r="H825" s="134"/>
      <c r="I825" s="134"/>
      <c r="J825" s="134"/>
      <c r="K825" s="134"/>
      <c r="L825" s="134"/>
      <c r="M825" s="134"/>
      <c r="N825" s="134"/>
      <c r="O825" s="134"/>
      <c r="P825" s="134"/>
      <c r="Q825" s="134"/>
      <c r="R825" s="134"/>
      <c r="S825" s="134"/>
      <c r="T825" s="134"/>
      <c r="U825" s="134"/>
      <c r="V825" s="134"/>
      <c r="W825" s="134"/>
      <c r="X825" s="134"/>
      <c r="Y825" s="134"/>
      <c r="Z825" s="134"/>
    </row>
    <row r="826">
      <c r="A826" s="131"/>
      <c r="B826" s="164"/>
      <c r="C826" s="165"/>
      <c r="D826" s="171"/>
      <c r="E826" s="164"/>
      <c r="F826" s="170"/>
      <c r="G826" s="134"/>
      <c r="H826" s="134"/>
      <c r="I826" s="134"/>
      <c r="J826" s="134"/>
      <c r="K826" s="134"/>
      <c r="L826" s="134"/>
      <c r="M826" s="134"/>
      <c r="N826" s="134"/>
      <c r="O826" s="134"/>
      <c r="P826" s="134"/>
      <c r="Q826" s="134"/>
      <c r="R826" s="134"/>
      <c r="S826" s="134"/>
      <c r="T826" s="134"/>
      <c r="U826" s="134"/>
      <c r="V826" s="134"/>
      <c r="W826" s="134"/>
      <c r="X826" s="134"/>
      <c r="Y826" s="134"/>
      <c r="Z826" s="134"/>
    </row>
    <row r="827">
      <c r="A827" s="131"/>
      <c r="B827" s="164"/>
      <c r="C827" s="165"/>
      <c r="D827" s="171"/>
      <c r="E827" s="164"/>
      <c r="F827" s="170"/>
      <c r="G827" s="134"/>
      <c r="H827" s="134"/>
      <c r="I827" s="134"/>
      <c r="J827" s="134"/>
      <c r="K827" s="134"/>
      <c r="L827" s="134"/>
      <c r="M827" s="134"/>
      <c r="N827" s="134"/>
      <c r="O827" s="134"/>
      <c r="P827" s="134"/>
      <c r="Q827" s="134"/>
      <c r="R827" s="134"/>
      <c r="S827" s="134"/>
      <c r="T827" s="134"/>
      <c r="U827" s="134"/>
      <c r="V827" s="134"/>
      <c r="W827" s="134"/>
      <c r="X827" s="134"/>
      <c r="Y827" s="134"/>
      <c r="Z827" s="134"/>
    </row>
    <row r="828">
      <c r="A828" s="131"/>
      <c r="B828" s="164"/>
      <c r="C828" s="165"/>
      <c r="D828" s="171"/>
      <c r="E828" s="164"/>
      <c r="F828" s="170"/>
      <c r="G828" s="134"/>
      <c r="H828" s="134"/>
      <c r="I828" s="134"/>
      <c r="J828" s="134"/>
      <c r="K828" s="134"/>
      <c r="L828" s="134"/>
      <c r="M828" s="134"/>
      <c r="N828" s="134"/>
      <c r="O828" s="134"/>
      <c r="P828" s="134"/>
      <c r="Q828" s="134"/>
      <c r="R828" s="134"/>
      <c r="S828" s="134"/>
      <c r="T828" s="134"/>
      <c r="U828" s="134"/>
      <c r="V828" s="134"/>
      <c r="W828" s="134"/>
      <c r="X828" s="134"/>
      <c r="Y828" s="134"/>
      <c r="Z828" s="134"/>
    </row>
    <row r="829">
      <c r="A829" s="131"/>
      <c r="B829" s="164"/>
      <c r="C829" s="165"/>
      <c r="D829" s="171"/>
      <c r="E829" s="164"/>
      <c r="F829" s="170"/>
      <c r="G829" s="134"/>
      <c r="H829" s="134"/>
      <c r="I829" s="134"/>
      <c r="J829" s="134"/>
      <c r="K829" s="134"/>
      <c r="L829" s="134"/>
      <c r="M829" s="134"/>
      <c r="N829" s="134"/>
      <c r="O829" s="134"/>
      <c r="P829" s="134"/>
      <c r="Q829" s="134"/>
      <c r="R829" s="134"/>
      <c r="S829" s="134"/>
      <c r="T829" s="134"/>
      <c r="U829" s="134"/>
      <c r="V829" s="134"/>
      <c r="W829" s="134"/>
      <c r="X829" s="134"/>
      <c r="Y829" s="134"/>
      <c r="Z829" s="134"/>
    </row>
    <row r="830">
      <c r="A830" s="131"/>
      <c r="B830" s="164"/>
      <c r="C830" s="165"/>
      <c r="D830" s="171"/>
      <c r="E830" s="164"/>
      <c r="F830" s="170"/>
      <c r="G830" s="134"/>
      <c r="H830" s="134"/>
      <c r="I830" s="134"/>
      <c r="J830" s="134"/>
      <c r="K830" s="134"/>
      <c r="L830" s="134"/>
      <c r="M830" s="134"/>
      <c r="N830" s="134"/>
      <c r="O830" s="134"/>
      <c r="P830" s="134"/>
      <c r="Q830" s="134"/>
      <c r="R830" s="134"/>
      <c r="S830" s="134"/>
      <c r="T830" s="134"/>
      <c r="U830" s="134"/>
      <c r="V830" s="134"/>
      <c r="W830" s="134"/>
      <c r="X830" s="134"/>
      <c r="Y830" s="134"/>
      <c r="Z830" s="134"/>
    </row>
    <row r="831">
      <c r="A831" s="131"/>
      <c r="B831" s="164"/>
      <c r="C831" s="165"/>
      <c r="D831" s="171"/>
      <c r="E831" s="164"/>
      <c r="F831" s="170"/>
      <c r="G831" s="134"/>
      <c r="H831" s="134"/>
      <c r="I831" s="134"/>
      <c r="J831" s="134"/>
      <c r="K831" s="134"/>
      <c r="L831" s="134"/>
      <c r="M831" s="134"/>
      <c r="N831" s="134"/>
      <c r="O831" s="134"/>
      <c r="P831" s="134"/>
      <c r="Q831" s="134"/>
      <c r="R831" s="134"/>
      <c r="S831" s="134"/>
      <c r="T831" s="134"/>
      <c r="U831" s="134"/>
      <c r="V831" s="134"/>
      <c r="W831" s="134"/>
      <c r="X831" s="134"/>
      <c r="Y831" s="134"/>
      <c r="Z831" s="134"/>
    </row>
    <row r="832">
      <c r="A832" s="131"/>
      <c r="B832" s="164"/>
      <c r="C832" s="165"/>
      <c r="D832" s="171"/>
      <c r="E832" s="164"/>
      <c r="F832" s="170"/>
      <c r="G832" s="134"/>
      <c r="H832" s="134"/>
      <c r="I832" s="134"/>
      <c r="J832" s="134"/>
      <c r="K832" s="134"/>
      <c r="L832" s="134"/>
      <c r="M832" s="134"/>
      <c r="N832" s="134"/>
      <c r="O832" s="134"/>
      <c r="P832" s="134"/>
      <c r="Q832" s="134"/>
      <c r="R832" s="134"/>
      <c r="S832" s="134"/>
      <c r="T832" s="134"/>
      <c r="U832" s="134"/>
      <c r="V832" s="134"/>
      <c r="W832" s="134"/>
      <c r="X832" s="134"/>
      <c r="Y832" s="134"/>
      <c r="Z832" s="134"/>
    </row>
    <row r="833">
      <c r="A833" s="131"/>
      <c r="B833" s="164"/>
      <c r="C833" s="165"/>
      <c r="D833" s="171"/>
      <c r="E833" s="164"/>
      <c r="F833" s="170"/>
      <c r="G833" s="134"/>
      <c r="H833" s="134"/>
      <c r="I833" s="134"/>
      <c r="J833" s="134"/>
      <c r="K833" s="134"/>
      <c r="L833" s="134"/>
      <c r="M833" s="134"/>
      <c r="N833" s="134"/>
      <c r="O833" s="134"/>
      <c r="P833" s="134"/>
      <c r="Q833" s="134"/>
      <c r="R833" s="134"/>
      <c r="S833" s="134"/>
      <c r="T833" s="134"/>
      <c r="U833" s="134"/>
      <c r="V833" s="134"/>
      <c r="W833" s="134"/>
      <c r="X833" s="134"/>
      <c r="Y833" s="134"/>
      <c r="Z833" s="134"/>
    </row>
    <row r="834">
      <c r="A834" s="131"/>
      <c r="B834" s="164"/>
      <c r="C834" s="165"/>
      <c r="D834" s="171"/>
      <c r="E834" s="164"/>
      <c r="F834" s="170"/>
      <c r="G834" s="134"/>
      <c r="H834" s="134"/>
      <c r="I834" s="134"/>
      <c r="J834" s="134"/>
      <c r="K834" s="134"/>
      <c r="L834" s="134"/>
      <c r="M834" s="134"/>
      <c r="N834" s="134"/>
      <c r="O834" s="134"/>
      <c r="P834" s="134"/>
      <c r="Q834" s="134"/>
      <c r="R834" s="134"/>
      <c r="S834" s="134"/>
      <c r="T834" s="134"/>
      <c r="U834" s="134"/>
      <c r="V834" s="134"/>
      <c r="W834" s="134"/>
      <c r="X834" s="134"/>
      <c r="Y834" s="134"/>
      <c r="Z834" s="134"/>
    </row>
    <row r="835">
      <c r="A835" s="131"/>
      <c r="B835" s="164"/>
      <c r="C835" s="165"/>
      <c r="D835" s="171"/>
      <c r="E835" s="164"/>
      <c r="F835" s="170"/>
      <c r="G835" s="134"/>
      <c r="H835" s="134"/>
      <c r="I835" s="134"/>
      <c r="J835" s="134"/>
      <c r="K835" s="134"/>
      <c r="L835" s="134"/>
      <c r="M835" s="134"/>
      <c r="N835" s="134"/>
      <c r="O835" s="134"/>
      <c r="P835" s="134"/>
      <c r="Q835" s="134"/>
      <c r="R835" s="134"/>
      <c r="S835" s="134"/>
      <c r="T835" s="134"/>
      <c r="U835" s="134"/>
      <c r="V835" s="134"/>
      <c r="W835" s="134"/>
      <c r="X835" s="134"/>
      <c r="Y835" s="134"/>
      <c r="Z835" s="134"/>
    </row>
    <row r="836">
      <c r="A836" s="131"/>
      <c r="B836" s="164"/>
      <c r="C836" s="165"/>
      <c r="D836" s="171"/>
      <c r="E836" s="164"/>
      <c r="F836" s="170"/>
      <c r="G836" s="134"/>
      <c r="H836" s="134"/>
      <c r="I836" s="134"/>
      <c r="J836" s="134"/>
      <c r="K836" s="134"/>
      <c r="L836" s="134"/>
      <c r="M836" s="134"/>
      <c r="N836" s="134"/>
      <c r="O836" s="134"/>
      <c r="P836" s="134"/>
      <c r="Q836" s="134"/>
      <c r="R836" s="134"/>
      <c r="S836" s="134"/>
      <c r="T836" s="134"/>
      <c r="U836" s="134"/>
      <c r="V836" s="134"/>
      <c r="W836" s="134"/>
      <c r="X836" s="134"/>
      <c r="Y836" s="134"/>
      <c r="Z836" s="134"/>
    </row>
    <row r="837">
      <c r="A837" s="131"/>
      <c r="B837" s="164"/>
      <c r="C837" s="165"/>
      <c r="D837" s="171"/>
      <c r="E837" s="164"/>
      <c r="F837" s="170"/>
      <c r="G837" s="134"/>
      <c r="H837" s="134"/>
      <c r="I837" s="134"/>
      <c r="J837" s="134"/>
      <c r="K837" s="134"/>
      <c r="L837" s="134"/>
      <c r="M837" s="134"/>
      <c r="N837" s="134"/>
      <c r="O837" s="134"/>
      <c r="P837" s="134"/>
      <c r="Q837" s="134"/>
      <c r="R837" s="134"/>
      <c r="S837" s="134"/>
      <c r="T837" s="134"/>
      <c r="U837" s="134"/>
      <c r="V837" s="134"/>
      <c r="W837" s="134"/>
      <c r="X837" s="134"/>
      <c r="Y837" s="134"/>
      <c r="Z837" s="134"/>
    </row>
    <row r="838">
      <c r="A838" s="131"/>
      <c r="B838" s="164"/>
      <c r="C838" s="165"/>
      <c r="D838" s="171"/>
      <c r="E838" s="164"/>
      <c r="F838" s="170"/>
      <c r="G838" s="134"/>
      <c r="H838" s="134"/>
      <c r="I838" s="134"/>
      <c r="J838" s="134"/>
      <c r="K838" s="134"/>
      <c r="L838" s="134"/>
      <c r="M838" s="134"/>
      <c r="N838" s="134"/>
      <c r="O838" s="134"/>
      <c r="P838" s="134"/>
      <c r="Q838" s="134"/>
      <c r="R838" s="134"/>
      <c r="S838" s="134"/>
      <c r="T838" s="134"/>
      <c r="U838" s="134"/>
      <c r="V838" s="134"/>
      <c r="W838" s="134"/>
      <c r="X838" s="134"/>
      <c r="Y838" s="134"/>
      <c r="Z838" s="134"/>
    </row>
    <row r="839">
      <c r="A839" s="131"/>
      <c r="B839" s="164"/>
      <c r="C839" s="165"/>
      <c r="D839" s="171"/>
      <c r="E839" s="164"/>
      <c r="F839" s="170"/>
      <c r="G839" s="134"/>
      <c r="H839" s="134"/>
      <c r="I839" s="134"/>
      <c r="J839" s="134"/>
      <c r="K839" s="134"/>
      <c r="L839" s="134"/>
      <c r="M839" s="134"/>
      <c r="N839" s="134"/>
      <c r="O839" s="134"/>
      <c r="P839" s="134"/>
      <c r="Q839" s="134"/>
      <c r="R839" s="134"/>
      <c r="S839" s="134"/>
      <c r="T839" s="134"/>
      <c r="U839" s="134"/>
      <c r="V839" s="134"/>
      <c r="W839" s="134"/>
      <c r="X839" s="134"/>
      <c r="Y839" s="134"/>
      <c r="Z839" s="134"/>
    </row>
    <row r="840">
      <c r="A840" s="131"/>
      <c r="B840" s="164"/>
      <c r="C840" s="165"/>
      <c r="D840" s="171"/>
      <c r="E840" s="164"/>
      <c r="F840" s="170"/>
      <c r="G840" s="134"/>
      <c r="H840" s="134"/>
      <c r="I840" s="134"/>
      <c r="J840" s="134"/>
      <c r="K840" s="134"/>
      <c r="L840" s="134"/>
      <c r="M840" s="134"/>
      <c r="N840" s="134"/>
      <c r="O840" s="134"/>
      <c r="P840" s="134"/>
      <c r="Q840" s="134"/>
      <c r="R840" s="134"/>
      <c r="S840" s="134"/>
      <c r="T840" s="134"/>
      <c r="U840" s="134"/>
      <c r="V840" s="134"/>
      <c r="W840" s="134"/>
      <c r="X840" s="134"/>
      <c r="Y840" s="134"/>
      <c r="Z840" s="134"/>
    </row>
    <row r="841">
      <c r="A841" s="131"/>
      <c r="B841" s="164"/>
      <c r="C841" s="165"/>
      <c r="D841" s="171"/>
      <c r="E841" s="164"/>
      <c r="F841" s="170"/>
      <c r="G841" s="134"/>
      <c r="H841" s="134"/>
      <c r="I841" s="134"/>
      <c r="J841" s="134"/>
      <c r="K841" s="134"/>
      <c r="L841" s="134"/>
      <c r="M841" s="134"/>
      <c r="N841" s="134"/>
      <c r="O841" s="134"/>
      <c r="P841" s="134"/>
      <c r="Q841" s="134"/>
      <c r="R841" s="134"/>
      <c r="S841" s="134"/>
      <c r="T841" s="134"/>
      <c r="U841" s="134"/>
      <c r="V841" s="134"/>
      <c r="W841" s="134"/>
      <c r="X841" s="134"/>
      <c r="Y841" s="134"/>
      <c r="Z841" s="134"/>
    </row>
    <row r="842">
      <c r="A842" s="131"/>
      <c r="B842" s="164"/>
      <c r="C842" s="165"/>
      <c r="D842" s="171"/>
      <c r="E842" s="164"/>
      <c r="F842" s="170"/>
      <c r="G842" s="134"/>
      <c r="H842" s="134"/>
      <c r="I842" s="134"/>
      <c r="J842" s="134"/>
      <c r="K842" s="134"/>
      <c r="L842" s="134"/>
      <c r="M842" s="134"/>
      <c r="N842" s="134"/>
      <c r="O842" s="134"/>
      <c r="P842" s="134"/>
      <c r="Q842" s="134"/>
      <c r="R842" s="134"/>
      <c r="S842" s="134"/>
      <c r="T842" s="134"/>
      <c r="U842" s="134"/>
      <c r="V842" s="134"/>
      <c r="W842" s="134"/>
      <c r="X842" s="134"/>
      <c r="Y842" s="134"/>
      <c r="Z842" s="134"/>
    </row>
    <row r="843">
      <c r="A843" s="131"/>
      <c r="B843" s="164"/>
      <c r="C843" s="165"/>
      <c r="D843" s="171"/>
      <c r="E843" s="164"/>
      <c r="F843" s="170"/>
      <c r="G843" s="134"/>
      <c r="H843" s="134"/>
      <c r="I843" s="134"/>
      <c r="J843" s="134"/>
      <c r="K843" s="134"/>
      <c r="L843" s="134"/>
      <c r="M843" s="134"/>
      <c r="N843" s="134"/>
      <c r="O843" s="134"/>
      <c r="P843" s="134"/>
      <c r="Q843" s="134"/>
      <c r="R843" s="134"/>
      <c r="S843" s="134"/>
      <c r="T843" s="134"/>
      <c r="U843" s="134"/>
      <c r="V843" s="134"/>
      <c r="W843" s="134"/>
      <c r="X843" s="134"/>
      <c r="Y843" s="134"/>
      <c r="Z843" s="134"/>
    </row>
    <row r="844">
      <c r="A844" s="131"/>
      <c r="B844" s="164"/>
      <c r="C844" s="165"/>
      <c r="D844" s="171"/>
      <c r="E844" s="164"/>
      <c r="F844" s="170"/>
      <c r="G844" s="134"/>
      <c r="H844" s="134"/>
      <c r="I844" s="134"/>
      <c r="J844" s="134"/>
      <c r="K844" s="134"/>
      <c r="L844" s="134"/>
      <c r="M844" s="134"/>
      <c r="N844" s="134"/>
      <c r="O844" s="134"/>
      <c r="P844" s="134"/>
      <c r="Q844" s="134"/>
      <c r="R844" s="134"/>
      <c r="S844" s="134"/>
      <c r="T844" s="134"/>
      <c r="U844" s="134"/>
      <c r="V844" s="134"/>
      <c r="W844" s="134"/>
      <c r="X844" s="134"/>
      <c r="Y844" s="134"/>
      <c r="Z844" s="134"/>
    </row>
    <row r="845">
      <c r="A845" s="131"/>
      <c r="B845" s="164"/>
      <c r="C845" s="165"/>
      <c r="D845" s="171"/>
      <c r="E845" s="164"/>
      <c r="F845" s="170"/>
      <c r="G845" s="134"/>
      <c r="H845" s="134"/>
      <c r="I845" s="134"/>
      <c r="J845" s="134"/>
      <c r="K845" s="134"/>
      <c r="L845" s="134"/>
      <c r="M845" s="134"/>
      <c r="N845" s="134"/>
      <c r="O845" s="134"/>
      <c r="P845" s="134"/>
      <c r="Q845" s="134"/>
      <c r="R845" s="134"/>
      <c r="S845" s="134"/>
      <c r="T845" s="134"/>
      <c r="U845" s="134"/>
      <c r="V845" s="134"/>
      <c r="W845" s="134"/>
      <c r="X845" s="134"/>
      <c r="Y845" s="134"/>
      <c r="Z845" s="134"/>
    </row>
    <row r="846">
      <c r="A846" s="131"/>
      <c r="B846" s="164"/>
      <c r="C846" s="165"/>
      <c r="D846" s="171"/>
      <c r="E846" s="164"/>
      <c r="F846" s="170"/>
      <c r="G846" s="134"/>
      <c r="H846" s="134"/>
      <c r="I846" s="134"/>
      <c r="J846" s="134"/>
      <c r="K846" s="134"/>
      <c r="L846" s="134"/>
      <c r="M846" s="134"/>
      <c r="N846" s="134"/>
      <c r="O846" s="134"/>
      <c r="P846" s="134"/>
      <c r="Q846" s="134"/>
      <c r="R846" s="134"/>
      <c r="S846" s="134"/>
      <c r="T846" s="134"/>
      <c r="U846" s="134"/>
      <c r="V846" s="134"/>
      <c r="W846" s="134"/>
      <c r="X846" s="134"/>
      <c r="Y846" s="134"/>
      <c r="Z846" s="134"/>
    </row>
    <row r="847">
      <c r="A847" s="131"/>
      <c r="B847" s="164"/>
      <c r="C847" s="165"/>
      <c r="D847" s="171"/>
      <c r="E847" s="164"/>
      <c r="F847" s="170"/>
      <c r="G847" s="134"/>
      <c r="H847" s="134"/>
      <c r="I847" s="134"/>
      <c r="J847" s="134"/>
      <c r="K847" s="134"/>
      <c r="L847" s="134"/>
      <c r="M847" s="134"/>
      <c r="N847" s="134"/>
      <c r="O847" s="134"/>
      <c r="P847" s="134"/>
      <c r="Q847" s="134"/>
      <c r="R847" s="134"/>
      <c r="S847" s="134"/>
      <c r="T847" s="134"/>
      <c r="U847" s="134"/>
      <c r="V847" s="134"/>
      <c r="W847" s="134"/>
      <c r="X847" s="134"/>
      <c r="Y847" s="134"/>
      <c r="Z847" s="134"/>
    </row>
    <row r="848">
      <c r="A848" s="131"/>
      <c r="B848" s="164"/>
      <c r="C848" s="165"/>
      <c r="D848" s="171"/>
      <c r="E848" s="164"/>
      <c r="F848" s="170"/>
      <c r="G848" s="134"/>
      <c r="H848" s="134"/>
      <c r="I848" s="134"/>
      <c r="J848" s="134"/>
      <c r="K848" s="134"/>
      <c r="L848" s="134"/>
      <c r="M848" s="134"/>
      <c r="N848" s="134"/>
      <c r="O848" s="134"/>
      <c r="P848" s="134"/>
      <c r="Q848" s="134"/>
      <c r="R848" s="134"/>
      <c r="S848" s="134"/>
      <c r="T848" s="134"/>
      <c r="U848" s="134"/>
      <c r="V848" s="134"/>
      <c r="W848" s="134"/>
      <c r="X848" s="134"/>
      <c r="Y848" s="134"/>
      <c r="Z848" s="134"/>
    </row>
    <row r="849">
      <c r="A849" s="131"/>
      <c r="B849" s="164"/>
      <c r="C849" s="165"/>
      <c r="D849" s="171"/>
      <c r="E849" s="164"/>
      <c r="F849" s="170"/>
      <c r="G849" s="134"/>
      <c r="H849" s="134"/>
      <c r="I849" s="134"/>
      <c r="J849" s="134"/>
      <c r="K849" s="134"/>
      <c r="L849" s="134"/>
      <c r="M849" s="134"/>
      <c r="N849" s="134"/>
      <c r="O849" s="134"/>
      <c r="P849" s="134"/>
      <c r="Q849" s="134"/>
      <c r="R849" s="134"/>
      <c r="S849" s="134"/>
      <c r="T849" s="134"/>
      <c r="U849" s="134"/>
      <c r="V849" s="134"/>
      <c r="W849" s="134"/>
      <c r="X849" s="134"/>
      <c r="Y849" s="134"/>
      <c r="Z849" s="134"/>
    </row>
    <row r="850">
      <c r="A850" s="131"/>
      <c r="B850" s="164"/>
      <c r="C850" s="165"/>
      <c r="D850" s="171"/>
      <c r="E850" s="164"/>
      <c r="F850" s="170"/>
      <c r="G850" s="134"/>
      <c r="H850" s="134"/>
      <c r="I850" s="134"/>
      <c r="J850" s="134"/>
      <c r="K850" s="134"/>
      <c r="L850" s="134"/>
      <c r="M850" s="134"/>
      <c r="N850" s="134"/>
      <c r="O850" s="134"/>
      <c r="P850" s="134"/>
      <c r="Q850" s="134"/>
      <c r="R850" s="134"/>
      <c r="S850" s="134"/>
      <c r="T850" s="134"/>
      <c r="U850" s="134"/>
      <c r="V850" s="134"/>
      <c r="W850" s="134"/>
      <c r="X850" s="134"/>
      <c r="Y850" s="134"/>
      <c r="Z850" s="134"/>
    </row>
    <row r="851">
      <c r="A851" s="131"/>
      <c r="B851" s="164"/>
      <c r="C851" s="165"/>
      <c r="D851" s="171"/>
      <c r="E851" s="164"/>
      <c r="F851" s="170"/>
      <c r="G851" s="134"/>
      <c r="H851" s="134"/>
      <c r="I851" s="134"/>
      <c r="J851" s="134"/>
      <c r="K851" s="134"/>
      <c r="L851" s="134"/>
      <c r="M851" s="134"/>
      <c r="N851" s="134"/>
      <c r="O851" s="134"/>
      <c r="P851" s="134"/>
      <c r="Q851" s="134"/>
      <c r="R851" s="134"/>
      <c r="S851" s="134"/>
      <c r="T851" s="134"/>
      <c r="U851" s="134"/>
      <c r="V851" s="134"/>
      <c r="W851" s="134"/>
      <c r="X851" s="134"/>
      <c r="Y851" s="134"/>
      <c r="Z851" s="134"/>
    </row>
    <row r="852">
      <c r="A852" s="131"/>
      <c r="B852" s="164"/>
      <c r="C852" s="165"/>
      <c r="D852" s="171"/>
      <c r="E852" s="164"/>
      <c r="F852" s="170"/>
      <c r="G852" s="134"/>
      <c r="H852" s="134"/>
      <c r="I852" s="134"/>
      <c r="J852" s="134"/>
      <c r="K852" s="134"/>
      <c r="L852" s="134"/>
      <c r="M852" s="134"/>
      <c r="N852" s="134"/>
      <c r="O852" s="134"/>
      <c r="P852" s="134"/>
      <c r="Q852" s="134"/>
      <c r="R852" s="134"/>
      <c r="S852" s="134"/>
      <c r="T852" s="134"/>
      <c r="U852" s="134"/>
      <c r="V852" s="134"/>
      <c r="W852" s="134"/>
      <c r="X852" s="134"/>
      <c r="Y852" s="134"/>
      <c r="Z852" s="134"/>
    </row>
    <row r="853">
      <c r="A853" s="131"/>
      <c r="B853" s="164"/>
      <c r="C853" s="165"/>
      <c r="D853" s="171"/>
      <c r="E853" s="164"/>
      <c r="F853" s="170"/>
      <c r="G853" s="134"/>
      <c r="H853" s="134"/>
      <c r="I853" s="134"/>
      <c r="J853" s="134"/>
      <c r="K853" s="134"/>
      <c r="L853" s="134"/>
      <c r="M853" s="134"/>
      <c r="N853" s="134"/>
      <c r="O853" s="134"/>
      <c r="P853" s="134"/>
      <c r="Q853" s="134"/>
      <c r="R853" s="134"/>
      <c r="S853" s="134"/>
      <c r="T853" s="134"/>
      <c r="U853" s="134"/>
      <c r="V853" s="134"/>
      <c r="W853" s="134"/>
      <c r="X853" s="134"/>
      <c r="Y853" s="134"/>
      <c r="Z853" s="134"/>
    </row>
    <row r="854">
      <c r="A854" s="131"/>
      <c r="B854" s="164"/>
      <c r="C854" s="165"/>
      <c r="D854" s="171"/>
      <c r="E854" s="164"/>
      <c r="F854" s="170"/>
      <c r="G854" s="134"/>
      <c r="H854" s="134"/>
      <c r="I854" s="134"/>
      <c r="J854" s="134"/>
      <c r="K854" s="134"/>
      <c r="L854" s="134"/>
      <c r="M854" s="134"/>
      <c r="N854" s="134"/>
      <c r="O854" s="134"/>
      <c r="P854" s="134"/>
      <c r="Q854" s="134"/>
      <c r="R854" s="134"/>
      <c r="S854" s="134"/>
      <c r="T854" s="134"/>
      <c r="U854" s="134"/>
      <c r="V854" s="134"/>
      <c r="W854" s="134"/>
      <c r="X854" s="134"/>
      <c r="Y854" s="134"/>
      <c r="Z854" s="134"/>
    </row>
    <row r="855">
      <c r="A855" s="131"/>
      <c r="B855" s="164"/>
      <c r="C855" s="165"/>
      <c r="D855" s="171"/>
      <c r="E855" s="164"/>
      <c r="F855" s="170"/>
      <c r="G855" s="134"/>
      <c r="H855" s="134"/>
      <c r="I855" s="134"/>
      <c r="J855" s="134"/>
      <c r="K855" s="134"/>
      <c r="L855" s="134"/>
      <c r="M855" s="134"/>
      <c r="N855" s="134"/>
      <c r="O855" s="134"/>
      <c r="P855" s="134"/>
      <c r="Q855" s="134"/>
      <c r="R855" s="134"/>
      <c r="S855" s="134"/>
      <c r="T855" s="134"/>
      <c r="U855" s="134"/>
      <c r="V855" s="134"/>
      <c r="W855" s="134"/>
      <c r="X855" s="134"/>
      <c r="Y855" s="134"/>
      <c r="Z855" s="134"/>
    </row>
    <row r="856">
      <c r="A856" s="131"/>
      <c r="B856" s="164"/>
      <c r="C856" s="165"/>
      <c r="D856" s="171"/>
      <c r="E856" s="164"/>
      <c r="F856" s="170"/>
      <c r="G856" s="134"/>
      <c r="H856" s="134"/>
      <c r="I856" s="134"/>
      <c r="J856" s="134"/>
      <c r="K856" s="134"/>
      <c r="L856" s="134"/>
      <c r="M856" s="134"/>
      <c r="N856" s="134"/>
      <c r="O856" s="134"/>
      <c r="P856" s="134"/>
      <c r="Q856" s="134"/>
      <c r="R856" s="134"/>
      <c r="S856" s="134"/>
      <c r="T856" s="134"/>
      <c r="U856" s="134"/>
      <c r="V856" s="134"/>
      <c r="W856" s="134"/>
      <c r="X856" s="134"/>
      <c r="Y856" s="134"/>
      <c r="Z856" s="134"/>
    </row>
    <row r="857">
      <c r="A857" s="131"/>
      <c r="B857" s="164"/>
      <c r="C857" s="165"/>
      <c r="D857" s="171"/>
      <c r="E857" s="164"/>
      <c r="F857" s="170"/>
      <c r="G857" s="134"/>
      <c r="H857" s="134"/>
      <c r="I857" s="134"/>
      <c r="J857" s="134"/>
      <c r="K857" s="134"/>
      <c r="L857" s="134"/>
      <c r="M857" s="134"/>
      <c r="N857" s="134"/>
      <c r="O857" s="134"/>
      <c r="P857" s="134"/>
      <c r="Q857" s="134"/>
      <c r="R857" s="134"/>
      <c r="S857" s="134"/>
      <c r="T857" s="134"/>
      <c r="U857" s="134"/>
      <c r="V857" s="134"/>
      <c r="W857" s="134"/>
      <c r="X857" s="134"/>
      <c r="Y857" s="134"/>
      <c r="Z857" s="134"/>
    </row>
    <row r="858">
      <c r="A858" s="131"/>
      <c r="B858" s="164"/>
      <c r="C858" s="165"/>
      <c r="D858" s="171"/>
      <c r="E858" s="164"/>
      <c r="F858" s="170"/>
      <c r="G858" s="134"/>
      <c r="H858" s="134"/>
      <c r="I858" s="134"/>
      <c r="J858" s="134"/>
      <c r="K858" s="134"/>
      <c r="L858" s="134"/>
      <c r="M858" s="134"/>
      <c r="N858" s="134"/>
      <c r="O858" s="134"/>
      <c r="P858" s="134"/>
      <c r="Q858" s="134"/>
      <c r="R858" s="134"/>
      <c r="S858" s="134"/>
      <c r="T858" s="134"/>
      <c r="U858" s="134"/>
      <c r="V858" s="134"/>
      <c r="W858" s="134"/>
      <c r="X858" s="134"/>
      <c r="Y858" s="134"/>
      <c r="Z858" s="134"/>
    </row>
    <row r="859">
      <c r="A859" s="131"/>
      <c r="B859" s="164"/>
      <c r="C859" s="165"/>
      <c r="D859" s="171"/>
      <c r="E859" s="164"/>
      <c r="F859" s="170"/>
      <c r="G859" s="134"/>
      <c r="H859" s="134"/>
      <c r="I859" s="134"/>
      <c r="J859" s="134"/>
      <c r="K859" s="134"/>
      <c r="L859" s="134"/>
      <c r="M859" s="134"/>
      <c r="N859" s="134"/>
      <c r="O859" s="134"/>
      <c r="P859" s="134"/>
      <c r="Q859" s="134"/>
      <c r="R859" s="134"/>
      <c r="S859" s="134"/>
      <c r="T859" s="134"/>
      <c r="U859" s="134"/>
      <c r="V859" s="134"/>
      <c r="W859" s="134"/>
      <c r="X859" s="134"/>
      <c r="Y859" s="134"/>
      <c r="Z859" s="134"/>
    </row>
    <row r="860">
      <c r="A860" s="131"/>
      <c r="B860" s="164"/>
      <c r="C860" s="165"/>
      <c r="D860" s="171"/>
      <c r="E860" s="164"/>
      <c r="F860" s="170"/>
      <c r="G860" s="134"/>
      <c r="H860" s="134"/>
      <c r="I860" s="134"/>
      <c r="J860" s="134"/>
      <c r="K860" s="134"/>
      <c r="L860" s="134"/>
      <c r="M860" s="134"/>
      <c r="N860" s="134"/>
      <c r="O860" s="134"/>
      <c r="P860" s="134"/>
      <c r="Q860" s="134"/>
      <c r="R860" s="134"/>
      <c r="S860" s="134"/>
      <c r="T860" s="134"/>
      <c r="U860" s="134"/>
      <c r="V860" s="134"/>
      <c r="W860" s="134"/>
      <c r="X860" s="134"/>
      <c r="Y860" s="134"/>
      <c r="Z860" s="134"/>
    </row>
    <row r="861">
      <c r="A861" s="131"/>
      <c r="B861" s="164"/>
      <c r="C861" s="165"/>
      <c r="D861" s="171"/>
      <c r="E861" s="164"/>
      <c r="F861" s="170"/>
      <c r="G861" s="134"/>
      <c r="H861" s="134"/>
      <c r="I861" s="134"/>
      <c r="J861" s="134"/>
      <c r="K861" s="134"/>
      <c r="L861" s="134"/>
      <c r="M861" s="134"/>
      <c r="N861" s="134"/>
      <c r="O861" s="134"/>
      <c r="P861" s="134"/>
      <c r="Q861" s="134"/>
      <c r="R861" s="134"/>
      <c r="S861" s="134"/>
      <c r="T861" s="134"/>
      <c r="U861" s="134"/>
      <c r="V861" s="134"/>
      <c r="W861" s="134"/>
      <c r="X861" s="134"/>
      <c r="Y861" s="134"/>
      <c r="Z861" s="134"/>
    </row>
    <row r="862">
      <c r="A862" s="131"/>
      <c r="B862" s="164"/>
      <c r="C862" s="165"/>
      <c r="D862" s="171"/>
      <c r="E862" s="164"/>
      <c r="F862" s="170"/>
      <c r="G862" s="134"/>
      <c r="H862" s="134"/>
      <c r="I862" s="134"/>
      <c r="J862" s="134"/>
      <c r="K862" s="134"/>
      <c r="L862" s="134"/>
      <c r="M862" s="134"/>
      <c r="N862" s="134"/>
      <c r="O862" s="134"/>
      <c r="P862" s="134"/>
      <c r="Q862" s="134"/>
      <c r="R862" s="134"/>
      <c r="S862" s="134"/>
      <c r="T862" s="134"/>
      <c r="U862" s="134"/>
      <c r="V862" s="134"/>
      <c r="W862" s="134"/>
      <c r="X862" s="134"/>
      <c r="Y862" s="134"/>
      <c r="Z862" s="134"/>
    </row>
    <row r="863">
      <c r="A863" s="131"/>
      <c r="B863" s="164"/>
      <c r="C863" s="165"/>
      <c r="D863" s="171"/>
      <c r="E863" s="164"/>
      <c r="F863" s="170"/>
      <c r="G863" s="134"/>
      <c r="H863" s="134"/>
      <c r="I863" s="134"/>
      <c r="J863" s="134"/>
      <c r="K863" s="134"/>
      <c r="L863" s="134"/>
      <c r="M863" s="134"/>
      <c r="N863" s="134"/>
      <c r="O863" s="134"/>
      <c r="P863" s="134"/>
      <c r="Q863" s="134"/>
      <c r="R863" s="134"/>
      <c r="S863" s="134"/>
      <c r="T863" s="134"/>
      <c r="U863" s="134"/>
      <c r="V863" s="134"/>
      <c r="W863" s="134"/>
      <c r="X863" s="134"/>
      <c r="Y863" s="134"/>
      <c r="Z863" s="134"/>
    </row>
    <row r="864">
      <c r="A864" s="131"/>
      <c r="B864" s="164"/>
      <c r="C864" s="165"/>
      <c r="D864" s="171"/>
      <c r="E864" s="164"/>
      <c r="F864" s="170"/>
      <c r="G864" s="134"/>
      <c r="H864" s="134"/>
      <c r="I864" s="134"/>
      <c r="J864" s="134"/>
      <c r="K864" s="134"/>
      <c r="L864" s="134"/>
      <c r="M864" s="134"/>
      <c r="N864" s="134"/>
      <c r="O864" s="134"/>
      <c r="P864" s="134"/>
      <c r="Q864" s="134"/>
      <c r="R864" s="134"/>
      <c r="S864" s="134"/>
      <c r="T864" s="134"/>
      <c r="U864" s="134"/>
      <c r="V864" s="134"/>
      <c r="W864" s="134"/>
      <c r="X864" s="134"/>
      <c r="Y864" s="134"/>
      <c r="Z864" s="134"/>
    </row>
    <row r="865">
      <c r="A865" s="131"/>
      <c r="B865" s="164"/>
      <c r="C865" s="165"/>
      <c r="D865" s="171"/>
      <c r="E865" s="164"/>
      <c r="F865" s="170"/>
      <c r="G865" s="134"/>
      <c r="H865" s="134"/>
      <c r="I865" s="134"/>
      <c r="J865" s="134"/>
      <c r="K865" s="134"/>
      <c r="L865" s="134"/>
      <c r="M865" s="134"/>
      <c r="N865" s="134"/>
      <c r="O865" s="134"/>
      <c r="P865" s="134"/>
      <c r="Q865" s="134"/>
      <c r="R865" s="134"/>
      <c r="S865" s="134"/>
      <c r="T865" s="134"/>
      <c r="U865" s="134"/>
      <c r="V865" s="134"/>
      <c r="W865" s="134"/>
      <c r="X865" s="134"/>
      <c r="Y865" s="134"/>
      <c r="Z865" s="134"/>
    </row>
    <row r="866">
      <c r="A866" s="131"/>
      <c r="B866" s="164"/>
      <c r="C866" s="165"/>
      <c r="D866" s="171"/>
      <c r="E866" s="164"/>
      <c r="F866" s="170"/>
      <c r="G866" s="134"/>
      <c r="H866" s="134"/>
      <c r="I866" s="134"/>
      <c r="J866" s="134"/>
      <c r="K866" s="134"/>
      <c r="L866" s="134"/>
      <c r="M866" s="134"/>
      <c r="N866" s="134"/>
      <c r="O866" s="134"/>
      <c r="P866" s="134"/>
      <c r="Q866" s="134"/>
      <c r="R866" s="134"/>
      <c r="S866" s="134"/>
      <c r="T866" s="134"/>
      <c r="U866" s="134"/>
      <c r="V866" s="134"/>
      <c r="W866" s="134"/>
      <c r="X866" s="134"/>
      <c r="Y866" s="134"/>
      <c r="Z866" s="134"/>
    </row>
    <row r="867">
      <c r="A867" s="131"/>
      <c r="B867" s="164"/>
      <c r="C867" s="165"/>
      <c r="D867" s="171"/>
      <c r="E867" s="164"/>
      <c r="F867" s="170"/>
      <c r="G867" s="134"/>
      <c r="H867" s="134"/>
      <c r="I867" s="134"/>
      <c r="J867" s="134"/>
      <c r="K867" s="134"/>
      <c r="L867" s="134"/>
      <c r="M867" s="134"/>
      <c r="N867" s="134"/>
      <c r="O867" s="134"/>
      <c r="P867" s="134"/>
      <c r="Q867" s="134"/>
      <c r="R867" s="134"/>
      <c r="S867" s="134"/>
      <c r="T867" s="134"/>
      <c r="U867" s="134"/>
      <c r="V867" s="134"/>
      <c r="W867" s="134"/>
      <c r="X867" s="134"/>
      <c r="Y867" s="134"/>
      <c r="Z867" s="134"/>
    </row>
    <row r="868">
      <c r="A868" s="131"/>
      <c r="B868" s="164"/>
      <c r="C868" s="165"/>
      <c r="D868" s="171"/>
      <c r="E868" s="164"/>
      <c r="F868" s="170"/>
      <c r="G868" s="134"/>
      <c r="H868" s="134"/>
      <c r="I868" s="134"/>
      <c r="J868" s="134"/>
      <c r="K868" s="134"/>
      <c r="L868" s="134"/>
      <c r="M868" s="134"/>
      <c r="N868" s="134"/>
      <c r="O868" s="134"/>
      <c r="P868" s="134"/>
      <c r="Q868" s="134"/>
      <c r="R868" s="134"/>
      <c r="S868" s="134"/>
      <c r="T868" s="134"/>
      <c r="U868" s="134"/>
      <c r="V868" s="134"/>
      <c r="W868" s="134"/>
      <c r="X868" s="134"/>
      <c r="Y868" s="134"/>
      <c r="Z868" s="134"/>
    </row>
    <row r="869">
      <c r="A869" s="131"/>
      <c r="B869" s="164"/>
      <c r="C869" s="165"/>
      <c r="D869" s="171"/>
      <c r="E869" s="164"/>
      <c r="F869" s="170"/>
      <c r="G869" s="134"/>
      <c r="H869" s="134"/>
      <c r="I869" s="134"/>
      <c r="J869" s="134"/>
      <c r="K869" s="134"/>
      <c r="L869" s="134"/>
      <c r="M869" s="134"/>
      <c r="N869" s="134"/>
      <c r="O869" s="134"/>
      <c r="P869" s="134"/>
      <c r="Q869" s="134"/>
      <c r="R869" s="134"/>
      <c r="S869" s="134"/>
      <c r="T869" s="134"/>
      <c r="U869" s="134"/>
      <c r="V869" s="134"/>
      <c r="W869" s="134"/>
      <c r="X869" s="134"/>
      <c r="Y869" s="134"/>
      <c r="Z869" s="134"/>
    </row>
    <row r="870">
      <c r="A870" s="131"/>
      <c r="B870" s="164"/>
      <c r="C870" s="165"/>
      <c r="D870" s="171"/>
      <c r="E870" s="164"/>
      <c r="F870" s="170"/>
      <c r="G870" s="134"/>
      <c r="H870" s="134"/>
      <c r="I870" s="134"/>
      <c r="J870" s="134"/>
      <c r="K870" s="134"/>
      <c r="L870" s="134"/>
      <c r="M870" s="134"/>
      <c r="N870" s="134"/>
      <c r="O870" s="134"/>
      <c r="P870" s="134"/>
      <c r="Q870" s="134"/>
      <c r="R870" s="134"/>
      <c r="S870" s="134"/>
      <c r="T870" s="134"/>
      <c r="U870" s="134"/>
      <c r="V870" s="134"/>
      <c r="W870" s="134"/>
      <c r="X870" s="134"/>
      <c r="Y870" s="134"/>
      <c r="Z870" s="134"/>
    </row>
    <row r="871">
      <c r="A871" s="131"/>
      <c r="B871" s="164"/>
      <c r="C871" s="165"/>
      <c r="D871" s="171"/>
      <c r="E871" s="164"/>
      <c r="F871" s="170"/>
      <c r="G871" s="134"/>
      <c r="H871" s="134"/>
      <c r="I871" s="134"/>
      <c r="J871" s="134"/>
      <c r="K871" s="134"/>
      <c r="L871" s="134"/>
      <c r="M871" s="134"/>
      <c r="N871" s="134"/>
      <c r="O871" s="134"/>
      <c r="P871" s="134"/>
      <c r="Q871" s="134"/>
      <c r="R871" s="134"/>
      <c r="S871" s="134"/>
      <c r="T871" s="134"/>
      <c r="U871" s="134"/>
      <c r="V871" s="134"/>
      <c r="W871" s="134"/>
      <c r="X871" s="134"/>
      <c r="Y871" s="134"/>
      <c r="Z871" s="134"/>
    </row>
    <row r="872">
      <c r="A872" s="131"/>
      <c r="B872" s="164"/>
      <c r="C872" s="165"/>
      <c r="D872" s="171"/>
      <c r="E872" s="164"/>
      <c r="F872" s="170"/>
      <c r="G872" s="134"/>
      <c r="H872" s="134"/>
      <c r="I872" s="134"/>
      <c r="J872" s="134"/>
      <c r="K872" s="134"/>
      <c r="L872" s="134"/>
      <c r="M872" s="134"/>
      <c r="N872" s="134"/>
      <c r="O872" s="134"/>
      <c r="P872" s="134"/>
      <c r="Q872" s="134"/>
      <c r="R872" s="134"/>
      <c r="S872" s="134"/>
      <c r="T872" s="134"/>
      <c r="U872" s="134"/>
      <c r="V872" s="134"/>
      <c r="W872" s="134"/>
      <c r="X872" s="134"/>
      <c r="Y872" s="134"/>
      <c r="Z872" s="134"/>
    </row>
    <row r="873">
      <c r="A873" s="131"/>
      <c r="B873" s="164"/>
      <c r="C873" s="165"/>
      <c r="D873" s="171"/>
      <c r="E873" s="164"/>
      <c r="F873" s="170"/>
      <c r="G873" s="134"/>
      <c r="H873" s="134"/>
      <c r="I873" s="134"/>
      <c r="J873" s="134"/>
      <c r="K873" s="134"/>
      <c r="L873" s="134"/>
      <c r="M873" s="134"/>
      <c r="N873" s="134"/>
      <c r="O873" s="134"/>
      <c r="P873" s="134"/>
      <c r="Q873" s="134"/>
      <c r="R873" s="134"/>
      <c r="S873" s="134"/>
      <c r="T873" s="134"/>
      <c r="U873" s="134"/>
      <c r="V873" s="134"/>
      <c r="W873" s="134"/>
      <c r="X873" s="134"/>
      <c r="Y873" s="134"/>
      <c r="Z873" s="134"/>
    </row>
    <row r="874">
      <c r="A874" s="131"/>
      <c r="B874" s="164"/>
      <c r="C874" s="165"/>
      <c r="D874" s="171"/>
      <c r="E874" s="164"/>
      <c r="F874" s="170"/>
      <c r="G874" s="134"/>
      <c r="H874" s="134"/>
      <c r="I874" s="134"/>
      <c r="J874" s="134"/>
      <c r="K874" s="134"/>
      <c r="L874" s="134"/>
      <c r="M874" s="134"/>
      <c r="N874" s="134"/>
      <c r="O874" s="134"/>
      <c r="P874" s="134"/>
      <c r="Q874" s="134"/>
      <c r="R874" s="134"/>
      <c r="S874" s="134"/>
      <c r="T874" s="134"/>
      <c r="U874" s="134"/>
      <c r="V874" s="134"/>
      <c r="W874" s="134"/>
      <c r="X874" s="134"/>
      <c r="Y874" s="134"/>
      <c r="Z874" s="134"/>
    </row>
    <row r="875">
      <c r="A875" s="131"/>
      <c r="B875" s="164"/>
      <c r="C875" s="165"/>
      <c r="D875" s="171"/>
      <c r="E875" s="164"/>
      <c r="F875" s="170"/>
      <c r="G875" s="134"/>
      <c r="H875" s="134"/>
      <c r="I875" s="134"/>
      <c r="J875" s="134"/>
      <c r="K875" s="134"/>
      <c r="L875" s="134"/>
      <c r="M875" s="134"/>
      <c r="N875" s="134"/>
      <c r="O875" s="134"/>
      <c r="P875" s="134"/>
      <c r="Q875" s="134"/>
      <c r="R875" s="134"/>
      <c r="S875" s="134"/>
      <c r="T875" s="134"/>
      <c r="U875" s="134"/>
      <c r="V875" s="134"/>
      <c r="W875" s="134"/>
      <c r="X875" s="134"/>
      <c r="Y875" s="134"/>
      <c r="Z875" s="134"/>
    </row>
    <row r="876">
      <c r="A876" s="131"/>
      <c r="B876" s="164"/>
      <c r="C876" s="165"/>
      <c r="D876" s="171"/>
      <c r="E876" s="164"/>
      <c r="F876" s="170"/>
      <c r="G876" s="134"/>
      <c r="H876" s="134"/>
      <c r="I876" s="134"/>
      <c r="J876" s="134"/>
      <c r="K876" s="134"/>
      <c r="L876" s="134"/>
      <c r="M876" s="134"/>
      <c r="N876" s="134"/>
      <c r="O876" s="134"/>
      <c r="P876" s="134"/>
      <c r="Q876" s="134"/>
      <c r="R876" s="134"/>
      <c r="S876" s="134"/>
      <c r="T876" s="134"/>
      <c r="U876" s="134"/>
      <c r="V876" s="134"/>
      <c r="W876" s="134"/>
      <c r="X876" s="134"/>
      <c r="Y876" s="134"/>
      <c r="Z876" s="134"/>
    </row>
    <row r="877">
      <c r="A877" s="131"/>
      <c r="B877" s="164"/>
      <c r="C877" s="165"/>
      <c r="D877" s="171"/>
      <c r="E877" s="164"/>
      <c r="F877" s="170"/>
      <c r="G877" s="134"/>
      <c r="H877" s="134"/>
      <c r="I877" s="134"/>
      <c r="J877" s="134"/>
      <c r="K877" s="134"/>
      <c r="L877" s="134"/>
      <c r="M877" s="134"/>
      <c r="N877" s="134"/>
      <c r="O877" s="134"/>
      <c r="P877" s="134"/>
      <c r="Q877" s="134"/>
      <c r="R877" s="134"/>
      <c r="S877" s="134"/>
      <c r="T877" s="134"/>
      <c r="U877" s="134"/>
      <c r="V877" s="134"/>
      <c r="W877" s="134"/>
      <c r="X877" s="134"/>
      <c r="Y877" s="134"/>
      <c r="Z877" s="134"/>
    </row>
    <row r="878">
      <c r="A878" s="131"/>
      <c r="B878" s="164"/>
      <c r="C878" s="165"/>
      <c r="D878" s="171"/>
      <c r="E878" s="164"/>
      <c r="F878" s="170"/>
      <c r="G878" s="134"/>
      <c r="H878" s="134"/>
      <c r="I878" s="134"/>
      <c r="J878" s="134"/>
      <c r="K878" s="134"/>
      <c r="L878" s="134"/>
      <c r="M878" s="134"/>
      <c r="N878" s="134"/>
      <c r="O878" s="134"/>
      <c r="P878" s="134"/>
      <c r="Q878" s="134"/>
      <c r="R878" s="134"/>
      <c r="S878" s="134"/>
      <c r="T878" s="134"/>
      <c r="U878" s="134"/>
      <c r="V878" s="134"/>
      <c r="W878" s="134"/>
      <c r="X878" s="134"/>
      <c r="Y878" s="134"/>
      <c r="Z878" s="134"/>
    </row>
    <row r="879">
      <c r="A879" s="131"/>
      <c r="B879" s="164"/>
      <c r="C879" s="165"/>
      <c r="D879" s="171"/>
      <c r="E879" s="164"/>
      <c r="F879" s="170"/>
      <c r="G879" s="134"/>
      <c r="H879" s="134"/>
      <c r="I879" s="134"/>
      <c r="J879" s="134"/>
      <c r="K879" s="134"/>
      <c r="L879" s="134"/>
      <c r="M879" s="134"/>
      <c r="N879" s="134"/>
      <c r="O879" s="134"/>
      <c r="P879" s="134"/>
      <c r="Q879" s="134"/>
      <c r="R879" s="134"/>
      <c r="S879" s="134"/>
      <c r="T879" s="134"/>
      <c r="U879" s="134"/>
      <c r="V879" s="134"/>
      <c r="W879" s="134"/>
      <c r="X879" s="134"/>
      <c r="Y879" s="134"/>
      <c r="Z879" s="134"/>
    </row>
    <row r="880">
      <c r="A880" s="131"/>
      <c r="B880" s="164"/>
      <c r="C880" s="165"/>
      <c r="D880" s="171"/>
      <c r="E880" s="164"/>
      <c r="F880" s="170"/>
      <c r="G880" s="134"/>
      <c r="H880" s="134"/>
      <c r="I880" s="134"/>
      <c r="J880" s="134"/>
      <c r="K880" s="134"/>
      <c r="L880" s="134"/>
      <c r="M880" s="134"/>
      <c r="N880" s="134"/>
      <c r="O880" s="134"/>
      <c r="P880" s="134"/>
      <c r="Q880" s="134"/>
      <c r="R880" s="134"/>
      <c r="S880" s="134"/>
      <c r="T880" s="134"/>
      <c r="U880" s="134"/>
      <c r="V880" s="134"/>
      <c r="W880" s="134"/>
      <c r="X880" s="134"/>
      <c r="Y880" s="134"/>
      <c r="Z880" s="134"/>
    </row>
    <row r="881">
      <c r="A881" s="131"/>
      <c r="B881" s="164"/>
      <c r="C881" s="165"/>
      <c r="D881" s="171"/>
      <c r="E881" s="164"/>
      <c r="F881" s="170"/>
      <c r="G881" s="134"/>
      <c r="H881" s="134"/>
      <c r="I881" s="134"/>
      <c r="J881" s="134"/>
      <c r="K881" s="134"/>
      <c r="L881" s="134"/>
      <c r="M881" s="134"/>
      <c r="N881" s="134"/>
      <c r="O881" s="134"/>
      <c r="P881" s="134"/>
      <c r="Q881" s="134"/>
      <c r="R881" s="134"/>
      <c r="S881" s="134"/>
      <c r="T881" s="134"/>
      <c r="U881" s="134"/>
      <c r="V881" s="134"/>
      <c r="W881" s="134"/>
      <c r="X881" s="134"/>
      <c r="Y881" s="134"/>
      <c r="Z881" s="134"/>
    </row>
    <row r="882">
      <c r="A882" s="131"/>
      <c r="B882" s="164"/>
      <c r="C882" s="165"/>
      <c r="D882" s="171"/>
      <c r="E882" s="164"/>
      <c r="F882" s="170"/>
      <c r="G882" s="134"/>
      <c r="H882" s="134"/>
      <c r="I882" s="134"/>
      <c r="J882" s="134"/>
      <c r="K882" s="134"/>
      <c r="L882" s="134"/>
      <c r="M882" s="134"/>
      <c r="N882" s="134"/>
      <c r="O882" s="134"/>
      <c r="P882" s="134"/>
      <c r="Q882" s="134"/>
      <c r="R882" s="134"/>
      <c r="S882" s="134"/>
      <c r="T882" s="134"/>
      <c r="U882" s="134"/>
      <c r="V882" s="134"/>
      <c r="W882" s="134"/>
      <c r="X882" s="134"/>
      <c r="Y882" s="134"/>
      <c r="Z882" s="134"/>
    </row>
    <row r="883">
      <c r="A883" s="131"/>
      <c r="B883" s="164"/>
      <c r="C883" s="165"/>
      <c r="D883" s="171"/>
      <c r="E883" s="164"/>
      <c r="F883" s="170"/>
      <c r="G883" s="134"/>
      <c r="H883" s="134"/>
      <c r="I883" s="134"/>
      <c r="J883" s="134"/>
      <c r="K883" s="134"/>
      <c r="L883" s="134"/>
      <c r="M883" s="134"/>
      <c r="N883" s="134"/>
      <c r="O883" s="134"/>
      <c r="P883" s="134"/>
      <c r="Q883" s="134"/>
      <c r="R883" s="134"/>
      <c r="S883" s="134"/>
      <c r="T883" s="134"/>
      <c r="U883" s="134"/>
      <c r="V883" s="134"/>
      <c r="W883" s="134"/>
      <c r="X883" s="134"/>
      <c r="Y883" s="134"/>
      <c r="Z883" s="134"/>
    </row>
    <row r="884">
      <c r="A884" s="131"/>
      <c r="B884" s="164"/>
      <c r="C884" s="165"/>
      <c r="D884" s="171"/>
      <c r="E884" s="164"/>
      <c r="F884" s="170"/>
      <c r="G884" s="134"/>
      <c r="H884" s="134"/>
      <c r="I884" s="134"/>
      <c r="J884" s="134"/>
      <c r="K884" s="134"/>
      <c r="L884" s="134"/>
      <c r="M884" s="134"/>
      <c r="N884" s="134"/>
      <c r="O884" s="134"/>
      <c r="P884" s="134"/>
      <c r="Q884" s="134"/>
      <c r="R884" s="134"/>
      <c r="S884" s="134"/>
      <c r="T884" s="134"/>
      <c r="U884" s="134"/>
      <c r="V884" s="134"/>
      <c r="W884" s="134"/>
      <c r="X884" s="134"/>
      <c r="Y884" s="134"/>
      <c r="Z884" s="134"/>
    </row>
    <row r="885">
      <c r="A885" s="131"/>
      <c r="B885" s="164"/>
      <c r="C885" s="165"/>
      <c r="D885" s="171"/>
      <c r="E885" s="164"/>
      <c r="F885" s="170"/>
      <c r="G885" s="134"/>
      <c r="H885" s="134"/>
      <c r="I885" s="134"/>
      <c r="J885" s="134"/>
      <c r="K885" s="134"/>
      <c r="L885" s="134"/>
      <c r="M885" s="134"/>
      <c r="N885" s="134"/>
      <c r="O885" s="134"/>
      <c r="P885" s="134"/>
      <c r="Q885" s="134"/>
      <c r="R885" s="134"/>
      <c r="S885" s="134"/>
      <c r="T885" s="134"/>
      <c r="U885" s="134"/>
      <c r="V885" s="134"/>
      <c r="W885" s="134"/>
      <c r="X885" s="134"/>
      <c r="Y885" s="134"/>
      <c r="Z885" s="134"/>
    </row>
    <row r="886">
      <c r="A886" s="131"/>
      <c r="B886" s="164"/>
      <c r="C886" s="165"/>
      <c r="D886" s="171"/>
      <c r="E886" s="164"/>
      <c r="F886" s="170"/>
      <c r="G886" s="134"/>
      <c r="H886" s="134"/>
      <c r="I886" s="134"/>
      <c r="J886" s="134"/>
      <c r="K886" s="134"/>
      <c r="L886" s="134"/>
      <c r="M886" s="134"/>
      <c r="N886" s="134"/>
      <c r="O886" s="134"/>
      <c r="P886" s="134"/>
      <c r="Q886" s="134"/>
      <c r="R886" s="134"/>
      <c r="S886" s="134"/>
      <c r="T886" s="134"/>
      <c r="U886" s="134"/>
      <c r="V886" s="134"/>
      <c r="W886" s="134"/>
      <c r="X886" s="134"/>
      <c r="Y886" s="134"/>
      <c r="Z886" s="134"/>
    </row>
    <row r="887">
      <c r="A887" s="131"/>
      <c r="B887" s="164"/>
      <c r="C887" s="165"/>
      <c r="D887" s="171"/>
      <c r="E887" s="164"/>
      <c r="F887" s="170"/>
      <c r="G887" s="134"/>
      <c r="H887" s="134"/>
      <c r="I887" s="134"/>
      <c r="J887" s="134"/>
      <c r="K887" s="134"/>
      <c r="L887" s="134"/>
      <c r="M887" s="134"/>
      <c r="N887" s="134"/>
      <c r="O887" s="134"/>
      <c r="P887" s="134"/>
      <c r="Q887" s="134"/>
      <c r="R887" s="134"/>
      <c r="S887" s="134"/>
      <c r="T887" s="134"/>
      <c r="U887" s="134"/>
      <c r="V887" s="134"/>
      <c r="W887" s="134"/>
      <c r="X887" s="134"/>
      <c r="Y887" s="134"/>
      <c r="Z887" s="134"/>
    </row>
    <row r="888">
      <c r="A888" s="131"/>
      <c r="B888" s="164"/>
      <c r="C888" s="165"/>
      <c r="D888" s="171"/>
      <c r="E888" s="164"/>
      <c r="F888" s="170"/>
      <c r="G888" s="134"/>
      <c r="H888" s="134"/>
      <c r="I888" s="134"/>
      <c r="J888" s="134"/>
      <c r="K888" s="134"/>
      <c r="L888" s="134"/>
      <c r="M888" s="134"/>
      <c r="N888" s="134"/>
      <c r="O888" s="134"/>
      <c r="P888" s="134"/>
      <c r="Q888" s="134"/>
      <c r="R888" s="134"/>
      <c r="S888" s="134"/>
      <c r="T888" s="134"/>
      <c r="U888" s="134"/>
      <c r="V888" s="134"/>
      <c r="W888" s="134"/>
      <c r="X888" s="134"/>
      <c r="Y888" s="134"/>
      <c r="Z888" s="134"/>
    </row>
    <row r="889">
      <c r="A889" s="131"/>
      <c r="B889" s="164"/>
      <c r="C889" s="165"/>
      <c r="D889" s="171"/>
      <c r="E889" s="164"/>
      <c r="F889" s="170"/>
      <c r="G889" s="134"/>
      <c r="H889" s="134"/>
      <c r="I889" s="134"/>
      <c r="J889" s="134"/>
      <c r="K889" s="134"/>
      <c r="L889" s="134"/>
      <c r="M889" s="134"/>
      <c r="N889" s="134"/>
      <c r="O889" s="134"/>
      <c r="P889" s="134"/>
      <c r="Q889" s="134"/>
      <c r="R889" s="134"/>
      <c r="S889" s="134"/>
      <c r="T889" s="134"/>
      <c r="U889" s="134"/>
      <c r="V889" s="134"/>
      <c r="W889" s="134"/>
      <c r="X889" s="134"/>
      <c r="Y889" s="134"/>
      <c r="Z889" s="134"/>
    </row>
    <row r="890">
      <c r="A890" s="131"/>
      <c r="B890" s="164"/>
      <c r="C890" s="165"/>
      <c r="D890" s="171"/>
      <c r="E890" s="164"/>
      <c r="F890" s="170"/>
      <c r="G890" s="134"/>
      <c r="H890" s="134"/>
      <c r="I890" s="134"/>
      <c r="J890" s="134"/>
      <c r="K890" s="134"/>
      <c r="L890" s="134"/>
      <c r="M890" s="134"/>
      <c r="N890" s="134"/>
      <c r="O890" s="134"/>
      <c r="P890" s="134"/>
      <c r="Q890" s="134"/>
      <c r="R890" s="134"/>
      <c r="S890" s="134"/>
      <c r="T890" s="134"/>
      <c r="U890" s="134"/>
      <c r="V890" s="134"/>
      <c r="W890" s="134"/>
      <c r="X890" s="134"/>
      <c r="Y890" s="134"/>
      <c r="Z890" s="134"/>
    </row>
    <row r="891">
      <c r="A891" s="131"/>
      <c r="B891" s="164"/>
      <c r="C891" s="165"/>
      <c r="D891" s="171"/>
      <c r="E891" s="164"/>
      <c r="F891" s="170"/>
      <c r="G891" s="134"/>
      <c r="H891" s="134"/>
      <c r="I891" s="134"/>
      <c r="J891" s="134"/>
      <c r="K891" s="134"/>
      <c r="L891" s="134"/>
      <c r="M891" s="134"/>
      <c r="N891" s="134"/>
      <c r="O891" s="134"/>
      <c r="P891" s="134"/>
      <c r="Q891" s="134"/>
      <c r="R891" s="134"/>
      <c r="S891" s="134"/>
      <c r="T891" s="134"/>
      <c r="U891" s="134"/>
      <c r="V891" s="134"/>
      <c r="W891" s="134"/>
      <c r="X891" s="134"/>
      <c r="Y891" s="134"/>
      <c r="Z891" s="134"/>
    </row>
    <row r="892">
      <c r="A892" s="131"/>
      <c r="B892" s="164"/>
      <c r="C892" s="165"/>
      <c r="D892" s="171"/>
      <c r="E892" s="164"/>
      <c r="F892" s="170"/>
      <c r="G892" s="134"/>
      <c r="H892" s="134"/>
      <c r="I892" s="134"/>
      <c r="J892" s="134"/>
      <c r="K892" s="134"/>
      <c r="L892" s="134"/>
      <c r="M892" s="134"/>
      <c r="N892" s="134"/>
      <c r="O892" s="134"/>
      <c r="P892" s="134"/>
      <c r="Q892" s="134"/>
      <c r="R892" s="134"/>
      <c r="S892" s="134"/>
      <c r="T892" s="134"/>
      <c r="U892" s="134"/>
      <c r="V892" s="134"/>
      <c r="W892" s="134"/>
      <c r="X892" s="134"/>
      <c r="Y892" s="134"/>
      <c r="Z892" s="134"/>
    </row>
    <row r="893">
      <c r="A893" s="131"/>
      <c r="B893" s="164"/>
      <c r="C893" s="165"/>
      <c r="D893" s="171"/>
      <c r="E893" s="164"/>
      <c r="F893" s="170"/>
      <c r="G893" s="134"/>
      <c r="H893" s="134"/>
      <c r="I893" s="134"/>
      <c r="J893" s="134"/>
      <c r="K893" s="134"/>
      <c r="L893" s="134"/>
      <c r="M893" s="134"/>
      <c r="N893" s="134"/>
      <c r="O893" s="134"/>
      <c r="P893" s="134"/>
      <c r="Q893" s="134"/>
      <c r="R893" s="134"/>
      <c r="S893" s="134"/>
      <c r="T893" s="134"/>
      <c r="U893" s="134"/>
      <c r="V893" s="134"/>
      <c r="W893" s="134"/>
      <c r="X893" s="134"/>
      <c r="Y893" s="134"/>
      <c r="Z893" s="134"/>
    </row>
    <row r="894">
      <c r="A894" s="131"/>
      <c r="B894" s="164"/>
      <c r="C894" s="165"/>
      <c r="D894" s="171"/>
      <c r="E894" s="164"/>
      <c r="F894" s="170"/>
      <c r="G894" s="134"/>
      <c r="H894" s="134"/>
      <c r="I894" s="134"/>
      <c r="J894" s="134"/>
      <c r="K894" s="134"/>
      <c r="L894" s="134"/>
      <c r="M894" s="134"/>
      <c r="N894" s="134"/>
      <c r="O894" s="134"/>
      <c r="P894" s="134"/>
      <c r="Q894" s="134"/>
      <c r="R894" s="134"/>
      <c r="S894" s="134"/>
      <c r="T894" s="134"/>
      <c r="U894" s="134"/>
      <c r="V894" s="134"/>
      <c r="W894" s="134"/>
      <c r="X894" s="134"/>
      <c r="Y894" s="134"/>
      <c r="Z894" s="134"/>
    </row>
    <row r="895">
      <c r="A895" s="131"/>
      <c r="B895" s="164"/>
      <c r="C895" s="165"/>
      <c r="D895" s="171"/>
      <c r="E895" s="164"/>
      <c r="F895" s="170"/>
      <c r="G895" s="134"/>
      <c r="H895" s="134"/>
      <c r="I895" s="134"/>
      <c r="J895" s="134"/>
      <c r="K895" s="134"/>
      <c r="L895" s="134"/>
      <c r="M895" s="134"/>
      <c r="N895" s="134"/>
      <c r="O895" s="134"/>
      <c r="P895" s="134"/>
      <c r="Q895" s="134"/>
      <c r="R895" s="134"/>
      <c r="S895" s="134"/>
      <c r="T895" s="134"/>
      <c r="U895" s="134"/>
      <c r="V895" s="134"/>
      <c r="W895" s="134"/>
      <c r="X895" s="134"/>
      <c r="Y895" s="134"/>
      <c r="Z895" s="134"/>
    </row>
    <row r="896">
      <c r="A896" s="131"/>
      <c r="B896" s="164"/>
      <c r="C896" s="165"/>
      <c r="D896" s="171"/>
      <c r="E896" s="164"/>
      <c r="F896" s="170"/>
      <c r="G896" s="134"/>
      <c r="H896" s="134"/>
      <c r="I896" s="134"/>
      <c r="J896" s="134"/>
      <c r="K896" s="134"/>
      <c r="L896" s="134"/>
      <c r="M896" s="134"/>
      <c r="N896" s="134"/>
      <c r="O896" s="134"/>
      <c r="P896" s="134"/>
      <c r="Q896" s="134"/>
      <c r="R896" s="134"/>
      <c r="S896" s="134"/>
      <c r="T896" s="134"/>
      <c r="U896" s="134"/>
      <c r="V896" s="134"/>
      <c r="W896" s="134"/>
      <c r="X896" s="134"/>
      <c r="Y896" s="134"/>
      <c r="Z896" s="134"/>
    </row>
    <row r="897">
      <c r="A897" s="131"/>
      <c r="B897" s="164"/>
      <c r="C897" s="165"/>
      <c r="D897" s="171"/>
      <c r="E897" s="164"/>
      <c r="F897" s="170"/>
      <c r="G897" s="134"/>
      <c r="H897" s="134"/>
      <c r="I897" s="134"/>
      <c r="J897" s="134"/>
      <c r="K897" s="134"/>
      <c r="L897" s="134"/>
      <c r="M897" s="134"/>
      <c r="N897" s="134"/>
      <c r="O897" s="134"/>
      <c r="P897" s="134"/>
      <c r="Q897" s="134"/>
      <c r="R897" s="134"/>
      <c r="S897" s="134"/>
      <c r="T897" s="134"/>
      <c r="U897" s="134"/>
      <c r="V897" s="134"/>
      <c r="W897" s="134"/>
      <c r="X897" s="134"/>
      <c r="Y897" s="134"/>
      <c r="Z897" s="134"/>
    </row>
    <row r="898">
      <c r="A898" s="131"/>
      <c r="B898" s="164"/>
      <c r="C898" s="165"/>
      <c r="D898" s="171"/>
      <c r="E898" s="164"/>
      <c r="F898" s="170"/>
      <c r="G898" s="134"/>
      <c r="H898" s="134"/>
      <c r="I898" s="134"/>
      <c r="J898" s="134"/>
      <c r="K898" s="134"/>
      <c r="L898" s="134"/>
      <c r="M898" s="134"/>
      <c r="N898" s="134"/>
      <c r="O898" s="134"/>
      <c r="P898" s="134"/>
      <c r="Q898" s="134"/>
      <c r="R898" s="134"/>
      <c r="S898" s="134"/>
      <c r="T898" s="134"/>
      <c r="U898" s="134"/>
      <c r="V898" s="134"/>
      <c r="W898" s="134"/>
      <c r="X898" s="134"/>
      <c r="Y898" s="134"/>
      <c r="Z898" s="134"/>
    </row>
    <row r="899">
      <c r="A899" s="131"/>
      <c r="B899" s="164"/>
      <c r="C899" s="165"/>
      <c r="D899" s="171"/>
      <c r="E899" s="164"/>
      <c r="F899" s="170"/>
      <c r="G899" s="134"/>
      <c r="H899" s="134"/>
      <c r="I899" s="134"/>
      <c r="J899" s="134"/>
      <c r="K899" s="134"/>
      <c r="L899" s="134"/>
      <c r="M899" s="134"/>
      <c r="N899" s="134"/>
      <c r="O899" s="134"/>
      <c r="P899" s="134"/>
      <c r="Q899" s="134"/>
      <c r="R899" s="134"/>
      <c r="S899" s="134"/>
      <c r="T899" s="134"/>
      <c r="U899" s="134"/>
      <c r="V899" s="134"/>
      <c r="W899" s="134"/>
      <c r="X899" s="134"/>
      <c r="Y899" s="134"/>
      <c r="Z899" s="134"/>
    </row>
    <row r="900">
      <c r="A900" s="131"/>
      <c r="B900" s="164"/>
      <c r="C900" s="165"/>
      <c r="D900" s="171"/>
      <c r="E900" s="164"/>
      <c r="F900" s="170"/>
      <c r="G900" s="134"/>
      <c r="H900" s="134"/>
      <c r="I900" s="134"/>
      <c r="J900" s="134"/>
      <c r="K900" s="134"/>
      <c r="L900" s="134"/>
      <c r="M900" s="134"/>
      <c r="N900" s="134"/>
      <c r="O900" s="134"/>
      <c r="P900" s="134"/>
      <c r="Q900" s="134"/>
      <c r="R900" s="134"/>
      <c r="S900" s="134"/>
      <c r="T900" s="134"/>
      <c r="U900" s="134"/>
      <c r="V900" s="134"/>
      <c r="W900" s="134"/>
      <c r="X900" s="134"/>
      <c r="Y900" s="134"/>
      <c r="Z900" s="134"/>
    </row>
    <row r="901">
      <c r="A901" s="131"/>
      <c r="B901" s="164"/>
      <c r="C901" s="165"/>
      <c r="D901" s="171"/>
      <c r="E901" s="164"/>
      <c r="F901" s="170"/>
      <c r="G901" s="134"/>
      <c r="H901" s="134"/>
      <c r="I901" s="134"/>
      <c r="J901" s="134"/>
      <c r="K901" s="134"/>
      <c r="L901" s="134"/>
      <c r="M901" s="134"/>
      <c r="N901" s="134"/>
      <c r="O901" s="134"/>
      <c r="P901" s="134"/>
      <c r="Q901" s="134"/>
      <c r="R901" s="134"/>
      <c r="S901" s="134"/>
      <c r="T901" s="134"/>
      <c r="U901" s="134"/>
      <c r="V901" s="134"/>
      <c r="W901" s="134"/>
      <c r="X901" s="134"/>
      <c r="Y901" s="134"/>
      <c r="Z901" s="134"/>
    </row>
    <row r="902">
      <c r="A902" s="131"/>
      <c r="B902" s="164"/>
      <c r="C902" s="165"/>
      <c r="D902" s="171"/>
      <c r="E902" s="164"/>
      <c r="F902" s="170"/>
      <c r="G902" s="134"/>
      <c r="H902" s="134"/>
      <c r="I902" s="134"/>
      <c r="J902" s="134"/>
      <c r="K902" s="134"/>
      <c r="L902" s="134"/>
      <c r="M902" s="134"/>
      <c r="N902" s="134"/>
      <c r="O902" s="134"/>
      <c r="P902" s="134"/>
      <c r="Q902" s="134"/>
      <c r="R902" s="134"/>
      <c r="S902" s="134"/>
      <c r="T902" s="134"/>
      <c r="U902" s="134"/>
      <c r="V902" s="134"/>
      <c r="W902" s="134"/>
      <c r="X902" s="134"/>
      <c r="Y902" s="134"/>
      <c r="Z902" s="134"/>
    </row>
    <row r="903">
      <c r="A903" s="131"/>
      <c r="B903" s="164"/>
      <c r="C903" s="165"/>
      <c r="D903" s="171"/>
      <c r="E903" s="164"/>
      <c r="F903" s="170"/>
      <c r="G903" s="134"/>
      <c r="H903" s="134"/>
      <c r="I903" s="134"/>
      <c r="J903" s="134"/>
      <c r="K903" s="134"/>
      <c r="L903" s="134"/>
      <c r="M903" s="134"/>
      <c r="N903" s="134"/>
      <c r="O903" s="134"/>
      <c r="P903" s="134"/>
      <c r="Q903" s="134"/>
      <c r="R903" s="134"/>
      <c r="S903" s="134"/>
      <c r="T903" s="134"/>
      <c r="U903" s="134"/>
      <c r="V903" s="134"/>
      <c r="W903" s="134"/>
      <c r="X903" s="134"/>
      <c r="Y903" s="134"/>
      <c r="Z903" s="134"/>
    </row>
    <row r="904">
      <c r="A904" s="131"/>
      <c r="B904" s="164"/>
      <c r="C904" s="165"/>
      <c r="D904" s="171"/>
      <c r="E904" s="164"/>
      <c r="F904" s="170"/>
      <c r="G904" s="134"/>
      <c r="H904" s="134"/>
      <c r="I904" s="134"/>
      <c r="J904" s="134"/>
      <c r="K904" s="134"/>
      <c r="L904" s="134"/>
      <c r="M904" s="134"/>
      <c r="N904" s="134"/>
      <c r="O904" s="134"/>
      <c r="P904" s="134"/>
      <c r="Q904" s="134"/>
      <c r="R904" s="134"/>
      <c r="S904" s="134"/>
      <c r="T904" s="134"/>
      <c r="U904" s="134"/>
      <c r="V904" s="134"/>
      <c r="W904" s="134"/>
      <c r="X904" s="134"/>
      <c r="Y904" s="134"/>
      <c r="Z904" s="134"/>
    </row>
    <row r="905">
      <c r="A905" s="131"/>
      <c r="B905" s="164"/>
      <c r="C905" s="165"/>
      <c r="D905" s="171"/>
      <c r="E905" s="164"/>
      <c r="F905" s="170"/>
      <c r="G905" s="134"/>
      <c r="H905" s="134"/>
      <c r="I905" s="134"/>
      <c r="J905" s="134"/>
      <c r="K905" s="134"/>
      <c r="L905" s="134"/>
      <c r="M905" s="134"/>
      <c r="N905" s="134"/>
      <c r="O905" s="134"/>
      <c r="P905" s="134"/>
      <c r="Q905" s="134"/>
      <c r="R905" s="134"/>
      <c r="S905" s="134"/>
      <c r="T905" s="134"/>
      <c r="U905" s="134"/>
      <c r="V905" s="134"/>
      <c r="W905" s="134"/>
      <c r="X905" s="134"/>
      <c r="Y905" s="134"/>
      <c r="Z905" s="134"/>
    </row>
    <row r="906">
      <c r="A906" s="131"/>
      <c r="B906" s="164"/>
      <c r="C906" s="165"/>
      <c r="D906" s="171"/>
      <c r="E906" s="164"/>
      <c r="F906" s="170"/>
      <c r="G906" s="134"/>
      <c r="H906" s="134"/>
      <c r="I906" s="134"/>
      <c r="J906" s="134"/>
      <c r="K906" s="134"/>
      <c r="L906" s="134"/>
      <c r="M906" s="134"/>
      <c r="N906" s="134"/>
      <c r="O906" s="134"/>
      <c r="P906" s="134"/>
      <c r="Q906" s="134"/>
      <c r="R906" s="134"/>
      <c r="S906" s="134"/>
      <c r="T906" s="134"/>
      <c r="U906" s="134"/>
      <c r="V906" s="134"/>
      <c r="W906" s="134"/>
      <c r="X906" s="134"/>
      <c r="Y906" s="134"/>
      <c r="Z906" s="134"/>
    </row>
    <row r="907">
      <c r="A907" s="131"/>
      <c r="B907" s="164"/>
      <c r="C907" s="165"/>
      <c r="D907" s="171"/>
      <c r="E907" s="164"/>
      <c r="F907" s="170"/>
      <c r="G907" s="134"/>
      <c r="H907" s="134"/>
      <c r="I907" s="134"/>
      <c r="J907" s="134"/>
      <c r="K907" s="134"/>
      <c r="L907" s="134"/>
      <c r="M907" s="134"/>
      <c r="N907" s="134"/>
      <c r="O907" s="134"/>
      <c r="P907" s="134"/>
      <c r="Q907" s="134"/>
      <c r="R907" s="134"/>
      <c r="S907" s="134"/>
      <c r="T907" s="134"/>
      <c r="U907" s="134"/>
      <c r="V907" s="134"/>
      <c r="W907" s="134"/>
      <c r="X907" s="134"/>
      <c r="Y907" s="134"/>
      <c r="Z907" s="134"/>
    </row>
    <row r="908">
      <c r="A908" s="131"/>
      <c r="B908" s="164"/>
      <c r="C908" s="165"/>
      <c r="D908" s="171"/>
      <c r="E908" s="164"/>
      <c r="F908" s="170"/>
      <c r="G908" s="134"/>
      <c r="H908" s="134"/>
      <c r="I908" s="134"/>
      <c r="J908" s="134"/>
      <c r="K908" s="134"/>
      <c r="L908" s="134"/>
      <c r="M908" s="134"/>
      <c r="N908" s="134"/>
      <c r="O908" s="134"/>
      <c r="P908" s="134"/>
      <c r="Q908" s="134"/>
      <c r="R908" s="134"/>
      <c r="S908" s="134"/>
      <c r="T908" s="134"/>
      <c r="U908" s="134"/>
      <c r="V908" s="134"/>
      <c r="W908" s="134"/>
      <c r="X908" s="134"/>
      <c r="Y908" s="134"/>
      <c r="Z908" s="134"/>
    </row>
    <row r="909">
      <c r="A909" s="131"/>
      <c r="B909" s="164"/>
      <c r="C909" s="165"/>
      <c r="D909" s="171"/>
      <c r="E909" s="164"/>
      <c r="F909" s="170"/>
      <c r="G909" s="134"/>
      <c r="H909" s="134"/>
      <c r="I909" s="134"/>
      <c r="J909" s="134"/>
      <c r="K909" s="134"/>
      <c r="L909" s="134"/>
      <c r="M909" s="134"/>
      <c r="N909" s="134"/>
      <c r="O909" s="134"/>
      <c r="P909" s="134"/>
      <c r="Q909" s="134"/>
      <c r="R909" s="134"/>
      <c r="S909" s="134"/>
      <c r="T909" s="134"/>
      <c r="U909" s="134"/>
      <c r="V909" s="134"/>
      <c r="W909" s="134"/>
      <c r="X909" s="134"/>
      <c r="Y909" s="134"/>
      <c r="Z909" s="134"/>
    </row>
    <row r="910">
      <c r="A910" s="131"/>
      <c r="B910" s="164"/>
      <c r="C910" s="165"/>
      <c r="D910" s="171"/>
      <c r="E910" s="164"/>
      <c r="F910" s="170"/>
      <c r="G910" s="134"/>
      <c r="H910" s="134"/>
      <c r="I910" s="134"/>
      <c r="J910" s="134"/>
      <c r="K910" s="134"/>
      <c r="L910" s="134"/>
      <c r="M910" s="134"/>
      <c r="N910" s="134"/>
      <c r="O910" s="134"/>
      <c r="P910" s="134"/>
      <c r="Q910" s="134"/>
      <c r="R910" s="134"/>
      <c r="S910" s="134"/>
      <c r="T910" s="134"/>
      <c r="U910" s="134"/>
      <c r="V910" s="134"/>
      <c r="W910" s="134"/>
      <c r="X910" s="134"/>
      <c r="Y910" s="134"/>
      <c r="Z910" s="134"/>
    </row>
    <row r="911">
      <c r="A911" s="131"/>
      <c r="B911" s="164"/>
      <c r="C911" s="165"/>
      <c r="D911" s="171"/>
      <c r="E911" s="164"/>
      <c r="F911" s="170"/>
      <c r="G911" s="134"/>
      <c r="H911" s="134"/>
      <c r="I911" s="134"/>
      <c r="J911" s="134"/>
      <c r="K911" s="134"/>
      <c r="L911" s="134"/>
      <c r="M911" s="134"/>
      <c r="N911" s="134"/>
      <c r="O911" s="134"/>
      <c r="P911" s="134"/>
      <c r="Q911" s="134"/>
      <c r="R911" s="134"/>
      <c r="S911" s="134"/>
      <c r="T911" s="134"/>
      <c r="U911" s="134"/>
      <c r="V911" s="134"/>
      <c r="W911" s="134"/>
      <c r="X911" s="134"/>
      <c r="Y911" s="134"/>
      <c r="Z911" s="134"/>
    </row>
    <row r="912">
      <c r="A912" s="131"/>
      <c r="B912" s="164"/>
      <c r="C912" s="165"/>
      <c r="D912" s="171"/>
      <c r="E912" s="164"/>
      <c r="F912" s="170"/>
      <c r="G912" s="134"/>
      <c r="H912" s="134"/>
      <c r="I912" s="134"/>
      <c r="J912" s="134"/>
      <c r="K912" s="134"/>
      <c r="L912" s="134"/>
      <c r="M912" s="134"/>
      <c r="N912" s="134"/>
      <c r="O912" s="134"/>
      <c r="P912" s="134"/>
      <c r="Q912" s="134"/>
      <c r="R912" s="134"/>
      <c r="S912" s="134"/>
      <c r="T912" s="134"/>
      <c r="U912" s="134"/>
      <c r="V912" s="134"/>
      <c r="W912" s="134"/>
      <c r="X912" s="134"/>
      <c r="Y912" s="134"/>
      <c r="Z912" s="134"/>
    </row>
    <row r="913">
      <c r="A913" s="131"/>
      <c r="B913" s="164"/>
      <c r="C913" s="165"/>
      <c r="D913" s="171"/>
      <c r="E913" s="164"/>
      <c r="F913" s="170"/>
      <c r="G913" s="134"/>
      <c r="H913" s="134"/>
      <c r="I913" s="134"/>
      <c r="J913" s="134"/>
      <c r="K913" s="134"/>
      <c r="L913" s="134"/>
      <c r="M913" s="134"/>
      <c r="N913" s="134"/>
      <c r="O913" s="134"/>
      <c r="P913" s="134"/>
      <c r="Q913" s="134"/>
      <c r="R913" s="134"/>
      <c r="S913" s="134"/>
      <c r="T913" s="134"/>
      <c r="U913" s="134"/>
      <c r="V913" s="134"/>
      <c r="W913" s="134"/>
      <c r="X913" s="134"/>
      <c r="Y913" s="134"/>
      <c r="Z913" s="134"/>
    </row>
    <row r="914">
      <c r="A914" s="131"/>
      <c r="B914" s="164"/>
      <c r="C914" s="165"/>
      <c r="D914" s="171"/>
      <c r="E914" s="164"/>
      <c r="F914" s="170"/>
      <c r="G914" s="134"/>
      <c r="H914" s="134"/>
      <c r="I914" s="134"/>
      <c r="J914" s="134"/>
      <c r="K914" s="134"/>
      <c r="L914" s="134"/>
      <c r="M914" s="134"/>
      <c r="N914" s="134"/>
      <c r="O914" s="134"/>
      <c r="P914" s="134"/>
      <c r="Q914" s="134"/>
      <c r="R914" s="134"/>
      <c r="S914" s="134"/>
      <c r="T914" s="134"/>
      <c r="U914" s="134"/>
      <c r="V914" s="134"/>
      <c r="W914" s="134"/>
      <c r="X914" s="134"/>
      <c r="Y914" s="134"/>
      <c r="Z914" s="134"/>
    </row>
    <row r="915">
      <c r="A915" s="131"/>
      <c r="B915" s="164"/>
      <c r="C915" s="165"/>
      <c r="D915" s="171"/>
      <c r="E915" s="164"/>
      <c r="F915" s="170"/>
      <c r="G915" s="134"/>
      <c r="H915" s="134"/>
      <c r="I915" s="134"/>
      <c r="J915" s="134"/>
      <c r="K915" s="134"/>
      <c r="L915" s="134"/>
      <c r="M915" s="134"/>
      <c r="N915" s="134"/>
      <c r="O915" s="134"/>
      <c r="P915" s="134"/>
      <c r="Q915" s="134"/>
      <c r="R915" s="134"/>
      <c r="S915" s="134"/>
      <c r="T915" s="134"/>
      <c r="U915" s="134"/>
      <c r="V915" s="134"/>
      <c r="W915" s="134"/>
      <c r="X915" s="134"/>
      <c r="Y915" s="134"/>
      <c r="Z915" s="134"/>
    </row>
    <row r="916">
      <c r="A916" s="131"/>
      <c r="B916" s="164"/>
      <c r="C916" s="165"/>
      <c r="D916" s="171"/>
      <c r="E916" s="164"/>
      <c r="F916" s="170"/>
      <c r="G916" s="134"/>
      <c r="H916" s="134"/>
      <c r="I916" s="134"/>
      <c r="J916" s="134"/>
      <c r="K916" s="134"/>
      <c r="L916" s="134"/>
      <c r="M916" s="134"/>
      <c r="N916" s="134"/>
      <c r="O916" s="134"/>
      <c r="P916" s="134"/>
      <c r="Q916" s="134"/>
      <c r="R916" s="134"/>
      <c r="S916" s="134"/>
      <c r="T916" s="134"/>
      <c r="U916" s="134"/>
      <c r="V916" s="134"/>
      <c r="W916" s="134"/>
      <c r="X916" s="134"/>
      <c r="Y916" s="134"/>
      <c r="Z916" s="134"/>
    </row>
    <row r="917">
      <c r="A917" s="131"/>
      <c r="B917" s="164"/>
      <c r="C917" s="165"/>
      <c r="D917" s="171"/>
      <c r="E917" s="164"/>
      <c r="F917" s="170"/>
      <c r="G917" s="134"/>
      <c r="H917" s="134"/>
      <c r="I917" s="134"/>
      <c r="J917" s="134"/>
      <c r="K917" s="134"/>
      <c r="L917" s="134"/>
      <c r="M917" s="134"/>
      <c r="N917" s="134"/>
      <c r="O917" s="134"/>
      <c r="P917" s="134"/>
      <c r="Q917" s="134"/>
      <c r="R917" s="134"/>
      <c r="S917" s="134"/>
      <c r="T917" s="134"/>
      <c r="U917" s="134"/>
      <c r="V917" s="134"/>
      <c r="W917" s="134"/>
      <c r="X917" s="134"/>
      <c r="Y917" s="134"/>
      <c r="Z917" s="134"/>
    </row>
    <row r="918">
      <c r="A918" s="131"/>
      <c r="B918" s="164"/>
      <c r="C918" s="165"/>
      <c r="D918" s="171"/>
      <c r="E918" s="164"/>
      <c r="F918" s="170"/>
      <c r="G918" s="134"/>
      <c r="H918" s="134"/>
      <c r="I918" s="134"/>
      <c r="J918" s="134"/>
      <c r="K918" s="134"/>
      <c r="L918" s="134"/>
      <c r="M918" s="134"/>
      <c r="N918" s="134"/>
      <c r="O918" s="134"/>
      <c r="P918" s="134"/>
      <c r="Q918" s="134"/>
      <c r="R918" s="134"/>
      <c r="S918" s="134"/>
      <c r="T918" s="134"/>
      <c r="U918" s="134"/>
      <c r="V918" s="134"/>
      <c r="W918" s="134"/>
      <c r="X918" s="134"/>
      <c r="Y918" s="134"/>
      <c r="Z918" s="134"/>
    </row>
    <row r="919">
      <c r="A919" s="131"/>
      <c r="B919" s="164"/>
      <c r="C919" s="165"/>
      <c r="D919" s="171"/>
      <c r="E919" s="164"/>
      <c r="F919" s="170"/>
      <c r="G919" s="134"/>
      <c r="H919" s="134"/>
      <c r="I919" s="134"/>
      <c r="J919" s="134"/>
      <c r="K919" s="134"/>
      <c r="L919" s="134"/>
      <c r="M919" s="134"/>
      <c r="N919" s="134"/>
      <c r="O919" s="134"/>
      <c r="P919" s="134"/>
      <c r="Q919" s="134"/>
      <c r="R919" s="134"/>
      <c r="S919" s="134"/>
      <c r="T919" s="134"/>
      <c r="U919" s="134"/>
      <c r="V919" s="134"/>
      <c r="W919" s="134"/>
      <c r="X919" s="134"/>
      <c r="Y919" s="134"/>
      <c r="Z919" s="134"/>
    </row>
    <row r="920">
      <c r="A920" s="131"/>
      <c r="B920" s="164"/>
      <c r="C920" s="165"/>
      <c r="D920" s="171"/>
      <c r="E920" s="164"/>
      <c r="F920" s="170"/>
      <c r="G920" s="134"/>
      <c r="H920" s="134"/>
      <c r="I920" s="134"/>
      <c r="J920" s="134"/>
      <c r="K920" s="134"/>
      <c r="L920" s="134"/>
      <c r="M920" s="134"/>
      <c r="N920" s="134"/>
      <c r="O920" s="134"/>
      <c r="P920" s="134"/>
      <c r="Q920" s="134"/>
      <c r="R920" s="134"/>
      <c r="S920" s="134"/>
      <c r="T920" s="134"/>
      <c r="U920" s="134"/>
      <c r="V920" s="134"/>
      <c r="W920" s="134"/>
      <c r="X920" s="134"/>
      <c r="Y920" s="134"/>
      <c r="Z920" s="134"/>
    </row>
    <row r="921">
      <c r="A921" s="131"/>
      <c r="B921" s="164"/>
      <c r="C921" s="165"/>
      <c r="D921" s="171"/>
      <c r="E921" s="164"/>
      <c r="F921" s="170"/>
      <c r="G921" s="134"/>
      <c r="H921" s="134"/>
      <c r="I921" s="134"/>
      <c r="J921" s="134"/>
      <c r="K921" s="134"/>
      <c r="L921" s="134"/>
      <c r="M921" s="134"/>
      <c r="N921" s="134"/>
      <c r="O921" s="134"/>
      <c r="P921" s="134"/>
      <c r="Q921" s="134"/>
      <c r="R921" s="134"/>
      <c r="S921" s="134"/>
      <c r="T921" s="134"/>
      <c r="U921" s="134"/>
      <c r="V921" s="134"/>
      <c r="W921" s="134"/>
      <c r="X921" s="134"/>
      <c r="Y921" s="134"/>
      <c r="Z921" s="134"/>
    </row>
    <row r="922">
      <c r="A922" s="131"/>
      <c r="B922" s="164"/>
      <c r="C922" s="165"/>
      <c r="D922" s="171"/>
      <c r="E922" s="164"/>
      <c r="F922" s="170"/>
      <c r="G922" s="134"/>
      <c r="H922" s="134"/>
      <c r="I922" s="134"/>
      <c r="J922" s="134"/>
      <c r="K922" s="134"/>
      <c r="L922" s="134"/>
      <c r="M922" s="134"/>
      <c r="N922" s="134"/>
      <c r="O922" s="134"/>
      <c r="P922" s="134"/>
      <c r="Q922" s="134"/>
      <c r="R922" s="134"/>
      <c r="S922" s="134"/>
      <c r="T922" s="134"/>
      <c r="U922" s="134"/>
      <c r="V922" s="134"/>
      <c r="W922" s="134"/>
      <c r="X922" s="134"/>
      <c r="Y922" s="134"/>
      <c r="Z922" s="134"/>
    </row>
    <row r="923">
      <c r="A923" s="131"/>
      <c r="B923" s="164"/>
      <c r="C923" s="165"/>
      <c r="D923" s="171"/>
      <c r="E923" s="164"/>
      <c r="F923" s="170"/>
      <c r="G923" s="134"/>
      <c r="H923" s="134"/>
      <c r="I923" s="134"/>
      <c r="J923" s="134"/>
      <c r="K923" s="134"/>
      <c r="L923" s="134"/>
      <c r="M923" s="134"/>
      <c r="N923" s="134"/>
      <c r="O923" s="134"/>
      <c r="P923" s="134"/>
      <c r="Q923" s="134"/>
      <c r="R923" s="134"/>
      <c r="S923" s="134"/>
      <c r="T923" s="134"/>
      <c r="U923" s="134"/>
      <c r="V923" s="134"/>
      <c r="W923" s="134"/>
      <c r="X923" s="134"/>
      <c r="Y923" s="134"/>
      <c r="Z923" s="134"/>
    </row>
    <row r="924">
      <c r="A924" s="131"/>
      <c r="B924" s="164"/>
      <c r="C924" s="165"/>
      <c r="D924" s="171"/>
      <c r="E924" s="164"/>
      <c r="F924" s="170"/>
      <c r="G924" s="134"/>
      <c r="H924" s="134"/>
      <c r="I924" s="134"/>
      <c r="J924" s="134"/>
      <c r="K924" s="134"/>
      <c r="L924" s="134"/>
      <c r="M924" s="134"/>
      <c r="N924" s="134"/>
      <c r="O924" s="134"/>
      <c r="P924" s="134"/>
      <c r="Q924" s="134"/>
      <c r="R924" s="134"/>
      <c r="S924" s="134"/>
      <c r="T924" s="134"/>
      <c r="U924" s="134"/>
      <c r="V924" s="134"/>
      <c r="W924" s="134"/>
      <c r="X924" s="134"/>
      <c r="Y924" s="134"/>
      <c r="Z924" s="134"/>
    </row>
    <row r="925">
      <c r="A925" s="131"/>
      <c r="B925" s="164"/>
      <c r="C925" s="165"/>
      <c r="D925" s="171"/>
      <c r="E925" s="164"/>
      <c r="F925" s="170"/>
      <c r="G925" s="134"/>
      <c r="H925" s="134"/>
      <c r="I925" s="134"/>
      <c r="J925" s="134"/>
      <c r="K925" s="134"/>
      <c r="L925" s="134"/>
      <c r="M925" s="134"/>
      <c r="N925" s="134"/>
      <c r="O925" s="134"/>
      <c r="P925" s="134"/>
      <c r="Q925" s="134"/>
      <c r="R925" s="134"/>
      <c r="S925" s="134"/>
      <c r="T925" s="134"/>
      <c r="U925" s="134"/>
      <c r="V925" s="134"/>
      <c r="W925" s="134"/>
      <c r="X925" s="134"/>
      <c r="Y925" s="134"/>
      <c r="Z925" s="134"/>
    </row>
    <row r="926">
      <c r="A926" s="131"/>
      <c r="B926" s="164"/>
      <c r="C926" s="165"/>
      <c r="D926" s="171"/>
      <c r="E926" s="164"/>
      <c r="F926" s="170"/>
      <c r="G926" s="134"/>
      <c r="H926" s="134"/>
      <c r="I926" s="134"/>
      <c r="J926" s="134"/>
      <c r="K926" s="134"/>
      <c r="L926" s="134"/>
      <c r="M926" s="134"/>
      <c r="N926" s="134"/>
      <c r="O926" s="134"/>
      <c r="P926" s="134"/>
      <c r="Q926" s="134"/>
      <c r="R926" s="134"/>
      <c r="S926" s="134"/>
      <c r="T926" s="134"/>
      <c r="U926" s="134"/>
      <c r="V926" s="134"/>
      <c r="W926" s="134"/>
      <c r="X926" s="134"/>
      <c r="Y926" s="134"/>
      <c r="Z926" s="134"/>
    </row>
    <row r="927">
      <c r="A927" s="131"/>
      <c r="B927" s="164"/>
      <c r="C927" s="165"/>
      <c r="D927" s="171"/>
      <c r="E927" s="164"/>
      <c r="F927" s="170"/>
      <c r="G927" s="134"/>
      <c r="H927" s="134"/>
      <c r="I927" s="134"/>
      <c r="J927" s="134"/>
      <c r="K927" s="134"/>
      <c r="L927" s="134"/>
      <c r="M927" s="134"/>
      <c r="N927" s="134"/>
      <c r="O927" s="134"/>
      <c r="P927" s="134"/>
      <c r="Q927" s="134"/>
      <c r="R927" s="134"/>
      <c r="S927" s="134"/>
      <c r="T927" s="134"/>
      <c r="U927" s="134"/>
      <c r="V927" s="134"/>
      <c r="W927" s="134"/>
      <c r="X927" s="134"/>
      <c r="Y927" s="134"/>
      <c r="Z927" s="134"/>
    </row>
    <row r="928">
      <c r="A928" s="131"/>
      <c r="B928" s="164"/>
      <c r="C928" s="165"/>
      <c r="D928" s="171"/>
      <c r="E928" s="164"/>
      <c r="F928" s="170"/>
      <c r="G928" s="134"/>
      <c r="H928" s="134"/>
      <c r="I928" s="134"/>
      <c r="J928" s="134"/>
      <c r="K928" s="134"/>
      <c r="L928" s="134"/>
      <c r="M928" s="134"/>
      <c r="N928" s="134"/>
      <c r="O928" s="134"/>
      <c r="P928" s="134"/>
      <c r="Q928" s="134"/>
      <c r="R928" s="134"/>
      <c r="S928" s="134"/>
      <c r="T928" s="134"/>
      <c r="U928" s="134"/>
      <c r="V928" s="134"/>
      <c r="W928" s="134"/>
      <c r="X928" s="134"/>
      <c r="Y928" s="134"/>
      <c r="Z928" s="134"/>
    </row>
    <row r="929">
      <c r="A929" s="131"/>
      <c r="B929" s="164"/>
      <c r="C929" s="165"/>
      <c r="D929" s="171"/>
      <c r="E929" s="164"/>
      <c r="F929" s="170"/>
      <c r="G929" s="134"/>
      <c r="H929" s="134"/>
      <c r="I929" s="134"/>
      <c r="J929" s="134"/>
      <c r="K929" s="134"/>
      <c r="L929" s="134"/>
      <c r="M929" s="134"/>
      <c r="N929" s="134"/>
      <c r="O929" s="134"/>
      <c r="P929" s="134"/>
      <c r="Q929" s="134"/>
      <c r="R929" s="134"/>
      <c r="S929" s="134"/>
      <c r="T929" s="134"/>
      <c r="U929" s="134"/>
      <c r="V929" s="134"/>
      <c r="W929" s="134"/>
      <c r="X929" s="134"/>
      <c r="Y929" s="134"/>
      <c r="Z929" s="134"/>
    </row>
    <row r="930">
      <c r="A930" s="131"/>
      <c r="B930" s="164"/>
      <c r="C930" s="165"/>
      <c r="D930" s="171"/>
      <c r="E930" s="164"/>
      <c r="F930" s="170"/>
      <c r="G930" s="134"/>
      <c r="H930" s="134"/>
      <c r="I930" s="134"/>
      <c r="J930" s="134"/>
      <c r="K930" s="134"/>
      <c r="L930" s="134"/>
      <c r="M930" s="134"/>
      <c r="N930" s="134"/>
      <c r="O930" s="134"/>
      <c r="P930" s="134"/>
      <c r="Q930" s="134"/>
      <c r="R930" s="134"/>
      <c r="S930" s="134"/>
      <c r="T930" s="134"/>
      <c r="U930" s="134"/>
      <c r="V930" s="134"/>
      <c r="W930" s="134"/>
      <c r="X930" s="134"/>
      <c r="Y930" s="134"/>
      <c r="Z930" s="134"/>
    </row>
    <row r="931">
      <c r="A931" s="131"/>
      <c r="B931" s="164"/>
      <c r="C931" s="165"/>
      <c r="D931" s="171"/>
      <c r="E931" s="164"/>
      <c r="F931" s="170"/>
      <c r="G931" s="134"/>
      <c r="H931" s="134"/>
      <c r="I931" s="134"/>
      <c r="J931" s="134"/>
      <c r="K931" s="134"/>
      <c r="L931" s="134"/>
      <c r="M931" s="134"/>
      <c r="N931" s="134"/>
      <c r="O931" s="134"/>
      <c r="P931" s="134"/>
      <c r="Q931" s="134"/>
      <c r="R931" s="134"/>
      <c r="S931" s="134"/>
      <c r="T931" s="134"/>
      <c r="U931" s="134"/>
      <c r="V931" s="134"/>
      <c r="W931" s="134"/>
      <c r="X931" s="134"/>
      <c r="Y931" s="134"/>
      <c r="Z931" s="134"/>
    </row>
    <row r="932">
      <c r="A932" s="131"/>
      <c r="B932" s="164"/>
      <c r="C932" s="165"/>
      <c r="D932" s="171"/>
      <c r="E932" s="164"/>
      <c r="F932" s="170"/>
      <c r="G932" s="134"/>
      <c r="H932" s="134"/>
      <c r="I932" s="134"/>
      <c r="J932" s="134"/>
      <c r="K932" s="134"/>
      <c r="L932" s="134"/>
      <c r="M932" s="134"/>
      <c r="N932" s="134"/>
      <c r="O932" s="134"/>
      <c r="P932" s="134"/>
      <c r="Q932" s="134"/>
      <c r="R932" s="134"/>
      <c r="S932" s="134"/>
      <c r="T932" s="134"/>
      <c r="U932" s="134"/>
      <c r="V932" s="134"/>
      <c r="W932" s="134"/>
      <c r="X932" s="134"/>
      <c r="Y932" s="134"/>
      <c r="Z932" s="134"/>
    </row>
    <row r="933">
      <c r="A933" s="131"/>
      <c r="B933" s="164"/>
      <c r="C933" s="165"/>
      <c r="D933" s="171"/>
      <c r="E933" s="164"/>
      <c r="F933" s="170"/>
      <c r="G933" s="134"/>
      <c r="H933" s="134"/>
      <c r="I933" s="134"/>
      <c r="J933" s="134"/>
      <c r="K933" s="134"/>
      <c r="L933" s="134"/>
      <c r="M933" s="134"/>
      <c r="N933" s="134"/>
      <c r="O933" s="134"/>
      <c r="P933" s="134"/>
      <c r="Q933" s="134"/>
      <c r="R933" s="134"/>
      <c r="S933" s="134"/>
      <c r="T933" s="134"/>
      <c r="U933" s="134"/>
      <c r="V933" s="134"/>
      <c r="W933" s="134"/>
      <c r="X933" s="134"/>
      <c r="Y933" s="134"/>
      <c r="Z933" s="134"/>
    </row>
    <row r="934">
      <c r="A934" s="131"/>
      <c r="B934" s="164"/>
      <c r="C934" s="165"/>
      <c r="D934" s="171"/>
      <c r="E934" s="164"/>
      <c r="F934" s="170"/>
      <c r="G934" s="134"/>
      <c r="H934" s="134"/>
      <c r="I934" s="134"/>
      <c r="J934" s="134"/>
      <c r="K934" s="134"/>
      <c r="L934" s="134"/>
      <c r="M934" s="134"/>
      <c r="N934" s="134"/>
      <c r="O934" s="134"/>
      <c r="P934" s="134"/>
      <c r="Q934" s="134"/>
      <c r="R934" s="134"/>
      <c r="S934" s="134"/>
      <c r="T934" s="134"/>
      <c r="U934" s="134"/>
      <c r="V934" s="134"/>
      <c r="W934" s="134"/>
      <c r="X934" s="134"/>
      <c r="Y934" s="134"/>
      <c r="Z934" s="134"/>
    </row>
    <row r="935">
      <c r="A935" s="131"/>
      <c r="B935" s="164"/>
      <c r="C935" s="165"/>
      <c r="D935" s="171"/>
      <c r="E935" s="164"/>
      <c r="F935" s="170"/>
      <c r="G935" s="134"/>
      <c r="H935" s="134"/>
      <c r="I935" s="134"/>
      <c r="J935" s="134"/>
      <c r="K935" s="134"/>
      <c r="L935" s="134"/>
      <c r="M935" s="134"/>
      <c r="N935" s="134"/>
      <c r="O935" s="134"/>
      <c r="P935" s="134"/>
      <c r="Q935" s="134"/>
      <c r="R935" s="134"/>
      <c r="S935" s="134"/>
      <c r="T935" s="134"/>
      <c r="U935" s="134"/>
      <c r="V935" s="134"/>
      <c r="W935" s="134"/>
      <c r="X935" s="134"/>
      <c r="Y935" s="134"/>
      <c r="Z935" s="134"/>
    </row>
    <row r="936">
      <c r="A936" s="131"/>
      <c r="B936" s="164"/>
      <c r="C936" s="165"/>
      <c r="D936" s="171"/>
      <c r="E936" s="164"/>
      <c r="F936" s="170"/>
      <c r="G936" s="134"/>
      <c r="H936" s="134"/>
      <c r="I936" s="134"/>
      <c r="J936" s="134"/>
      <c r="K936" s="134"/>
      <c r="L936" s="134"/>
      <c r="M936" s="134"/>
      <c r="N936" s="134"/>
      <c r="O936" s="134"/>
      <c r="P936" s="134"/>
      <c r="Q936" s="134"/>
      <c r="R936" s="134"/>
      <c r="S936" s="134"/>
      <c r="T936" s="134"/>
      <c r="U936" s="134"/>
      <c r="V936" s="134"/>
      <c r="W936" s="134"/>
      <c r="X936" s="134"/>
      <c r="Y936" s="134"/>
      <c r="Z936" s="134"/>
    </row>
    <row r="937">
      <c r="A937" s="131"/>
      <c r="B937" s="164"/>
      <c r="C937" s="165"/>
      <c r="D937" s="171"/>
      <c r="E937" s="164"/>
      <c r="F937" s="170"/>
      <c r="G937" s="134"/>
      <c r="H937" s="134"/>
      <c r="I937" s="134"/>
      <c r="J937" s="134"/>
      <c r="K937" s="134"/>
      <c r="L937" s="134"/>
      <c r="M937" s="134"/>
      <c r="N937" s="134"/>
      <c r="O937" s="134"/>
      <c r="P937" s="134"/>
      <c r="Q937" s="134"/>
      <c r="R937" s="134"/>
      <c r="S937" s="134"/>
      <c r="T937" s="134"/>
      <c r="U937" s="134"/>
      <c r="V937" s="134"/>
      <c r="W937" s="134"/>
      <c r="X937" s="134"/>
      <c r="Y937" s="134"/>
      <c r="Z937" s="134"/>
    </row>
    <row r="938">
      <c r="A938" s="131"/>
      <c r="B938" s="164"/>
      <c r="C938" s="165"/>
      <c r="D938" s="171"/>
      <c r="E938" s="164"/>
      <c r="F938" s="170"/>
      <c r="G938" s="134"/>
      <c r="H938" s="134"/>
      <c r="I938" s="134"/>
      <c r="J938" s="134"/>
      <c r="K938" s="134"/>
      <c r="L938" s="134"/>
      <c r="M938" s="134"/>
      <c r="N938" s="134"/>
      <c r="O938" s="134"/>
      <c r="P938" s="134"/>
      <c r="Q938" s="134"/>
      <c r="R938" s="134"/>
      <c r="S938" s="134"/>
      <c r="T938" s="134"/>
      <c r="U938" s="134"/>
      <c r="V938" s="134"/>
      <c r="W938" s="134"/>
      <c r="X938" s="134"/>
      <c r="Y938" s="134"/>
      <c r="Z938" s="134"/>
    </row>
    <row r="939">
      <c r="A939" s="131"/>
      <c r="B939" s="164"/>
      <c r="C939" s="165"/>
      <c r="D939" s="171"/>
      <c r="E939" s="164"/>
      <c r="F939" s="170"/>
      <c r="G939" s="134"/>
      <c r="H939" s="134"/>
      <c r="I939" s="134"/>
      <c r="J939" s="134"/>
      <c r="K939" s="134"/>
      <c r="L939" s="134"/>
      <c r="M939" s="134"/>
      <c r="N939" s="134"/>
      <c r="O939" s="134"/>
      <c r="P939" s="134"/>
      <c r="Q939" s="134"/>
      <c r="R939" s="134"/>
      <c r="S939" s="134"/>
      <c r="T939" s="134"/>
      <c r="U939" s="134"/>
      <c r="V939" s="134"/>
      <c r="W939" s="134"/>
      <c r="X939" s="134"/>
      <c r="Y939" s="134"/>
      <c r="Z939" s="134"/>
    </row>
    <row r="940">
      <c r="A940" s="131"/>
      <c r="B940" s="164"/>
      <c r="C940" s="165"/>
      <c r="D940" s="171"/>
      <c r="E940" s="164"/>
      <c r="F940" s="170"/>
      <c r="G940" s="134"/>
      <c r="H940" s="134"/>
      <c r="I940" s="134"/>
      <c r="J940" s="134"/>
      <c r="K940" s="134"/>
      <c r="L940" s="134"/>
      <c r="M940" s="134"/>
      <c r="N940" s="134"/>
      <c r="O940" s="134"/>
      <c r="P940" s="134"/>
      <c r="Q940" s="134"/>
      <c r="R940" s="134"/>
      <c r="S940" s="134"/>
      <c r="T940" s="134"/>
      <c r="U940" s="134"/>
      <c r="V940" s="134"/>
      <c r="W940" s="134"/>
      <c r="X940" s="134"/>
      <c r="Y940" s="134"/>
      <c r="Z940" s="134"/>
    </row>
    <row r="941">
      <c r="A941" s="131"/>
      <c r="B941" s="164"/>
      <c r="C941" s="165"/>
      <c r="D941" s="171"/>
      <c r="E941" s="164"/>
      <c r="F941" s="170"/>
      <c r="G941" s="134"/>
      <c r="H941" s="134"/>
      <c r="I941" s="134"/>
      <c r="J941" s="134"/>
      <c r="K941" s="134"/>
      <c r="L941" s="134"/>
      <c r="M941" s="134"/>
      <c r="N941" s="134"/>
      <c r="O941" s="134"/>
      <c r="P941" s="134"/>
      <c r="Q941" s="134"/>
      <c r="R941" s="134"/>
      <c r="S941" s="134"/>
      <c r="T941" s="134"/>
      <c r="U941" s="134"/>
      <c r="V941" s="134"/>
      <c r="W941" s="134"/>
      <c r="X941" s="134"/>
      <c r="Y941" s="134"/>
      <c r="Z941" s="134"/>
    </row>
    <row r="942">
      <c r="A942" s="131"/>
      <c r="B942" s="164"/>
      <c r="C942" s="165"/>
      <c r="D942" s="171"/>
      <c r="E942" s="164"/>
      <c r="F942" s="170"/>
      <c r="G942" s="134"/>
      <c r="H942" s="134"/>
      <c r="I942" s="134"/>
      <c r="J942" s="134"/>
      <c r="K942" s="134"/>
      <c r="L942" s="134"/>
      <c r="M942" s="134"/>
      <c r="N942" s="134"/>
      <c r="O942" s="134"/>
      <c r="P942" s="134"/>
      <c r="Q942" s="134"/>
      <c r="R942" s="134"/>
      <c r="S942" s="134"/>
      <c r="T942" s="134"/>
      <c r="U942" s="134"/>
      <c r="V942" s="134"/>
      <c r="W942" s="134"/>
      <c r="X942" s="134"/>
      <c r="Y942" s="134"/>
      <c r="Z942" s="134"/>
    </row>
    <row r="943">
      <c r="A943" s="131"/>
      <c r="B943" s="164"/>
      <c r="C943" s="165"/>
      <c r="D943" s="171"/>
      <c r="E943" s="164"/>
      <c r="F943" s="170"/>
      <c r="G943" s="134"/>
      <c r="H943" s="134"/>
      <c r="I943" s="134"/>
      <c r="J943" s="134"/>
      <c r="K943" s="134"/>
      <c r="L943" s="134"/>
      <c r="M943" s="134"/>
      <c r="N943" s="134"/>
      <c r="O943" s="134"/>
      <c r="P943" s="134"/>
      <c r="Q943" s="134"/>
      <c r="R943" s="134"/>
      <c r="S943" s="134"/>
      <c r="T943" s="134"/>
      <c r="U943" s="134"/>
      <c r="V943" s="134"/>
      <c r="W943" s="134"/>
      <c r="X943" s="134"/>
      <c r="Y943" s="134"/>
      <c r="Z943" s="134"/>
    </row>
    <row r="944">
      <c r="A944" s="131"/>
      <c r="B944" s="164"/>
      <c r="C944" s="165"/>
      <c r="D944" s="171"/>
      <c r="E944" s="164"/>
      <c r="F944" s="170"/>
      <c r="G944" s="134"/>
      <c r="H944" s="134"/>
      <c r="I944" s="134"/>
      <c r="J944" s="134"/>
      <c r="K944" s="134"/>
      <c r="L944" s="134"/>
      <c r="M944" s="134"/>
      <c r="N944" s="134"/>
      <c r="O944" s="134"/>
      <c r="P944" s="134"/>
      <c r="Q944" s="134"/>
      <c r="R944" s="134"/>
      <c r="S944" s="134"/>
      <c r="T944" s="134"/>
      <c r="U944" s="134"/>
      <c r="V944" s="134"/>
      <c r="W944" s="134"/>
      <c r="X944" s="134"/>
      <c r="Y944" s="134"/>
      <c r="Z944" s="134"/>
    </row>
    <row r="945">
      <c r="A945" s="131"/>
      <c r="B945" s="164"/>
      <c r="C945" s="165"/>
      <c r="D945" s="171"/>
      <c r="E945" s="164"/>
      <c r="F945" s="170"/>
      <c r="G945" s="134"/>
      <c r="H945" s="134"/>
      <c r="I945" s="134"/>
      <c r="J945" s="134"/>
      <c r="K945" s="134"/>
      <c r="L945" s="134"/>
      <c r="M945" s="134"/>
      <c r="N945" s="134"/>
      <c r="O945" s="134"/>
      <c r="P945" s="134"/>
      <c r="Q945" s="134"/>
      <c r="R945" s="134"/>
      <c r="S945" s="134"/>
      <c r="T945" s="134"/>
      <c r="U945" s="134"/>
      <c r="V945" s="134"/>
      <c r="W945" s="134"/>
      <c r="X945" s="134"/>
      <c r="Y945" s="134"/>
      <c r="Z945" s="134"/>
    </row>
    <row r="946">
      <c r="A946" s="131"/>
      <c r="B946" s="164"/>
      <c r="C946" s="165"/>
      <c r="D946" s="171"/>
      <c r="E946" s="164"/>
      <c r="F946" s="170"/>
      <c r="G946" s="134"/>
      <c r="H946" s="134"/>
      <c r="I946" s="134"/>
      <c r="J946" s="134"/>
      <c r="K946" s="134"/>
      <c r="L946" s="134"/>
      <c r="M946" s="134"/>
      <c r="N946" s="134"/>
      <c r="O946" s="134"/>
      <c r="P946" s="134"/>
      <c r="Q946" s="134"/>
      <c r="R946" s="134"/>
      <c r="S946" s="134"/>
      <c r="T946" s="134"/>
      <c r="U946" s="134"/>
      <c r="V946" s="134"/>
      <c r="W946" s="134"/>
      <c r="X946" s="134"/>
      <c r="Y946" s="134"/>
      <c r="Z946" s="134"/>
    </row>
    <row r="947">
      <c r="A947" s="131"/>
      <c r="B947" s="164"/>
      <c r="C947" s="165"/>
      <c r="D947" s="171"/>
      <c r="E947" s="164"/>
      <c r="F947" s="170"/>
      <c r="G947" s="134"/>
      <c r="H947" s="134"/>
      <c r="I947" s="134"/>
      <c r="J947" s="134"/>
      <c r="K947" s="134"/>
      <c r="L947" s="134"/>
      <c r="M947" s="134"/>
      <c r="N947" s="134"/>
      <c r="O947" s="134"/>
      <c r="P947" s="134"/>
      <c r="Q947" s="134"/>
      <c r="R947" s="134"/>
      <c r="S947" s="134"/>
      <c r="T947" s="134"/>
      <c r="U947" s="134"/>
      <c r="V947" s="134"/>
      <c r="W947" s="134"/>
      <c r="X947" s="134"/>
      <c r="Y947" s="134"/>
      <c r="Z947" s="134"/>
    </row>
    <row r="948">
      <c r="A948" s="131"/>
      <c r="B948" s="164"/>
      <c r="C948" s="165"/>
      <c r="D948" s="171"/>
      <c r="E948" s="164"/>
      <c r="F948" s="170"/>
      <c r="G948" s="134"/>
      <c r="H948" s="134"/>
      <c r="I948" s="134"/>
      <c r="J948" s="134"/>
      <c r="K948" s="134"/>
      <c r="L948" s="134"/>
      <c r="M948" s="134"/>
      <c r="N948" s="134"/>
      <c r="O948" s="134"/>
      <c r="P948" s="134"/>
      <c r="Q948" s="134"/>
      <c r="R948" s="134"/>
      <c r="S948" s="134"/>
      <c r="T948" s="134"/>
      <c r="U948" s="134"/>
      <c r="V948" s="134"/>
      <c r="W948" s="134"/>
      <c r="X948" s="134"/>
      <c r="Y948" s="134"/>
      <c r="Z948" s="134"/>
    </row>
    <row r="949">
      <c r="A949" s="131"/>
      <c r="B949" s="164"/>
      <c r="C949" s="165"/>
      <c r="D949" s="171"/>
      <c r="E949" s="164"/>
      <c r="F949" s="170"/>
      <c r="G949" s="134"/>
      <c r="H949" s="134"/>
      <c r="I949" s="134"/>
      <c r="J949" s="134"/>
      <c r="K949" s="134"/>
      <c r="L949" s="134"/>
      <c r="M949" s="134"/>
      <c r="N949" s="134"/>
      <c r="O949" s="134"/>
      <c r="P949" s="134"/>
      <c r="Q949" s="134"/>
      <c r="R949" s="134"/>
      <c r="S949" s="134"/>
      <c r="T949" s="134"/>
      <c r="U949" s="134"/>
      <c r="V949" s="134"/>
      <c r="W949" s="134"/>
      <c r="X949" s="134"/>
      <c r="Y949" s="134"/>
      <c r="Z949" s="134"/>
    </row>
    <row r="950">
      <c r="A950" s="131"/>
      <c r="B950" s="164"/>
      <c r="C950" s="165"/>
      <c r="D950" s="171"/>
      <c r="E950" s="164"/>
      <c r="F950" s="170"/>
      <c r="G950" s="134"/>
      <c r="H950" s="134"/>
      <c r="I950" s="134"/>
      <c r="J950" s="134"/>
      <c r="K950" s="134"/>
      <c r="L950" s="134"/>
      <c r="M950" s="134"/>
      <c r="N950" s="134"/>
      <c r="O950" s="134"/>
      <c r="P950" s="134"/>
      <c r="Q950" s="134"/>
      <c r="R950" s="134"/>
      <c r="S950" s="134"/>
      <c r="T950" s="134"/>
      <c r="U950" s="134"/>
      <c r="V950" s="134"/>
      <c r="W950" s="134"/>
      <c r="X950" s="134"/>
      <c r="Y950" s="134"/>
      <c r="Z950" s="134"/>
    </row>
    <row r="951">
      <c r="A951" s="131"/>
      <c r="B951" s="164"/>
      <c r="C951" s="165"/>
      <c r="D951" s="171"/>
      <c r="E951" s="164"/>
      <c r="F951" s="170"/>
      <c r="G951" s="134"/>
      <c r="H951" s="134"/>
      <c r="I951" s="134"/>
      <c r="J951" s="134"/>
      <c r="K951" s="134"/>
      <c r="L951" s="134"/>
      <c r="M951" s="134"/>
      <c r="N951" s="134"/>
      <c r="O951" s="134"/>
      <c r="P951" s="134"/>
      <c r="Q951" s="134"/>
      <c r="R951" s="134"/>
      <c r="S951" s="134"/>
      <c r="T951" s="134"/>
      <c r="U951" s="134"/>
      <c r="V951" s="134"/>
      <c r="W951" s="134"/>
      <c r="X951" s="134"/>
      <c r="Y951" s="134"/>
      <c r="Z951" s="134"/>
    </row>
    <row r="952">
      <c r="A952" s="131"/>
      <c r="B952" s="164"/>
      <c r="C952" s="165"/>
      <c r="D952" s="171"/>
      <c r="E952" s="164"/>
      <c r="F952" s="170"/>
      <c r="G952" s="134"/>
      <c r="H952" s="134"/>
      <c r="I952" s="134"/>
      <c r="J952" s="134"/>
      <c r="K952" s="134"/>
      <c r="L952" s="134"/>
      <c r="M952" s="134"/>
      <c r="N952" s="134"/>
      <c r="O952" s="134"/>
      <c r="P952" s="134"/>
      <c r="Q952" s="134"/>
      <c r="R952" s="134"/>
      <c r="S952" s="134"/>
      <c r="T952" s="134"/>
      <c r="U952" s="134"/>
      <c r="V952" s="134"/>
      <c r="W952" s="134"/>
      <c r="X952" s="134"/>
      <c r="Y952" s="134"/>
      <c r="Z952" s="134"/>
    </row>
    <row r="953">
      <c r="A953" s="131"/>
      <c r="B953" s="164"/>
      <c r="C953" s="165"/>
      <c r="D953" s="171"/>
      <c r="E953" s="164"/>
      <c r="F953" s="170"/>
      <c r="G953" s="134"/>
      <c r="H953" s="134"/>
      <c r="I953" s="134"/>
      <c r="J953" s="134"/>
      <c r="K953" s="134"/>
      <c r="L953" s="134"/>
      <c r="M953" s="134"/>
      <c r="N953" s="134"/>
      <c r="O953" s="134"/>
      <c r="P953" s="134"/>
      <c r="Q953" s="134"/>
      <c r="R953" s="134"/>
      <c r="S953" s="134"/>
      <c r="T953" s="134"/>
      <c r="U953" s="134"/>
      <c r="V953" s="134"/>
      <c r="W953" s="134"/>
      <c r="X953" s="134"/>
      <c r="Y953" s="134"/>
      <c r="Z953" s="134"/>
    </row>
    <row r="954">
      <c r="A954" s="131"/>
      <c r="B954" s="164"/>
      <c r="C954" s="165"/>
      <c r="D954" s="171"/>
      <c r="E954" s="164"/>
      <c r="F954" s="170"/>
      <c r="G954" s="134"/>
      <c r="H954" s="134"/>
      <c r="I954" s="134"/>
      <c r="J954" s="134"/>
      <c r="K954" s="134"/>
      <c r="L954" s="134"/>
      <c r="M954" s="134"/>
      <c r="N954" s="134"/>
      <c r="O954" s="134"/>
      <c r="P954" s="134"/>
      <c r="Q954" s="134"/>
      <c r="R954" s="134"/>
      <c r="S954" s="134"/>
      <c r="T954" s="134"/>
      <c r="U954" s="134"/>
      <c r="V954" s="134"/>
      <c r="W954" s="134"/>
      <c r="X954" s="134"/>
      <c r="Y954" s="134"/>
      <c r="Z954" s="134"/>
    </row>
    <row r="955">
      <c r="A955" s="131"/>
      <c r="B955" s="164"/>
      <c r="C955" s="165"/>
      <c r="D955" s="171"/>
      <c r="E955" s="164"/>
      <c r="F955" s="170"/>
      <c r="G955" s="134"/>
      <c r="H955" s="134"/>
      <c r="I955" s="134"/>
      <c r="J955" s="134"/>
      <c r="K955" s="134"/>
      <c r="L955" s="134"/>
      <c r="M955" s="134"/>
      <c r="N955" s="134"/>
      <c r="O955" s="134"/>
      <c r="P955" s="134"/>
      <c r="Q955" s="134"/>
      <c r="R955" s="134"/>
      <c r="S955" s="134"/>
      <c r="T955" s="134"/>
      <c r="U955" s="134"/>
      <c r="V955" s="134"/>
      <c r="W955" s="134"/>
      <c r="X955" s="134"/>
      <c r="Y955" s="134"/>
      <c r="Z955" s="134"/>
    </row>
    <row r="956">
      <c r="A956" s="131"/>
      <c r="B956" s="164"/>
      <c r="C956" s="165"/>
      <c r="D956" s="171"/>
      <c r="E956" s="164"/>
      <c r="F956" s="170"/>
      <c r="G956" s="134"/>
      <c r="H956" s="134"/>
      <c r="I956" s="134"/>
      <c r="J956" s="134"/>
      <c r="K956" s="134"/>
      <c r="L956" s="134"/>
      <c r="M956" s="134"/>
      <c r="N956" s="134"/>
      <c r="O956" s="134"/>
      <c r="P956" s="134"/>
      <c r="Q956" s="134"/>
      <c r="R956" s="134"/>
      <c r="S956" s="134"/>
      <c r="T956" s="134"/>
      <c r="U956" s="134"/>
      <c r="V956" s="134"/>
      <c r="W956" s="134"/>
      <c r="X956" s="134"/>
      <c r="Y956" s="134"/>
      <c r="Z956" s="134"/>
    </row>
    <row r="957">
      <c r="A957" s="131"/>
      <c r="B957" s="164"/>
      <c r="C957" s="165"/>
      <c r="D957" s="171"/>
      <c r="E957" s="164"/>
      <c r="F957" s="170"/>
      <c r="G957" s="134"/>
      <c r="H957" s="134"/>
      <c r="I957" s="134"/>
      <c r="J957" s="134"/>
      <c r="K957" s="134"/>
      <c r="L957" s="134"/>
      <c r="M957" s="134"/>
      <c r="N957" s="134"/>
      <c r="O957" s="134"/>
      <c r="P957" s="134"/>
      <c r="Q957" s="134"/>
      <c r="R957" s="134"/>
      <c r="S957" s="134"/>
      <c r="T957" s="134"/>
      <c r="U957" s="134"/>
      <c r="V957" s="134"/>
      <c r="W957" s="134"/>
      <c r="X957" s="134"/>
      <c r="Y957" s="134"/>
      <c r="Z957" s="134"/>
    </row>
    <row r="958">
      <c r="A958" s="131"/>
      <c r="B958" s="164"/>
      <c r="C958" s="165"/>
      <c r="D958" s="171"/>
      <c r="E958" s="164"/>
      <c r="F958" s="170"/>
      <c r="G958" s="134"/>
      <c r="H958" s="134"/>
      <c r="I958" s="134"/>
      <c r="J958" s="134"/>
      <c r="K958" s="134"/>
      <c r="L958" s="134"/>
      <c r="M958" s="134"/>
      <c r="N958" s="134"/>
      <c r="O958" s="134"/>
      <c r="P958" s="134"/>
      <c r="Q958" s="134"/>
      <c r="R958" s="134"/>
      <c r="S958" s="134"/>
      <c r="T958" s="134"/>
      <c r="U958" s="134"/>
      <c r="V958" s="134"/>
      <c r="W958" s="134"/>
      <c r="X958" s="134"/>
      <c r="Y958" s="134"/>
      <c r="Z958" s="134"/>
    </row>
    <row r="959">
      <c r="A959" s="131"/>
      <c r="B959" s="164"/>
      <c r="C959" s="165"/>
      <c r="D959" s="171"/>
      <c r="E959" s="164"/>
      <c r="F959" s="170"/>
      <c r="G959" s="134"/>
      <c r="H959" s="134"/>
      <c r="I959" s="134"/>
      <c r="J959" s="134"/>
      <c r="K959" s="134"/>
      <c r="L959" s="134"/>
      <c r="M959" s="134"/>
      <c r="N959" s="134"/>
      <c r="O959" s="134"/>
      <c r="P959" s="134"/>
      <c r="Q959" s="134"/>
      <c r="R959" s="134"/>
      <c r="S959" s="134"/>
      <c r="T959" s="134"/>
      <c r="U959" s="134"/>
      <c r="V959" s="134"/>
      <c r="W959" s="134"/>
      <c r="X959" s="134"/>
      <c r="Y959" s="134"/>
      <c r="Z959" s="134"/>
    </row>
    <row r="960">
      <c r="A960" s="131"/>
      <c r="B960" s="164"/>
      <c r="C960" s="165"/>
      <c r="D960" s="171"/>
      <c r="E960" s="164"/>
      <c r="F960" s="170"/>
      <c r="G960" s="134"/>
      <c r="H960" s="134"/>
      <c r="I960" s="134"/>
      <c r="J960" s="134"/>
      <c r="K960" s="134"/>
      <c r="L960" s="134"/>
      <c r="M960" s="134"/>
      <c r="N960" s="134"/>
      <c r="O960" s="134"/>
      <c r="P960" s="134"/>
      <c r="Q960" s="134"/>
      <c r="R960" s="134"/>
      <c r="S960" s="134"/>
      <c r="T960" s="134"/>
      <c r="U960" s="134"/>
      <c r="V960" s="134"/>
      <c r="W960" s="134"/>
      <c r="X960" s="134"/>
      <c r="Y960" s="134"/>
      <c r="Z960" s="134"/>
    </row>
    <row r="961">
      <c r="A961" s="131"/>
      <c r="B961" s="164"/>
      <c r="C961" s="165"/>
      <c r="D961" s="171"/>
      <c r="E961" s="164"/>
      <c r="F961" s="170"/>
      <c r="G961" s="134"/>
      <c r="H961" s="134"/>
      <c r="I961" s="134"/>
      <c r="J961" s="134"/>
      <c r="K961" s="134"/>
      <c r="L961" s="134"/>
      <c r="M961" s="134"/>
      <c r="N961" s="134"/>
      <c r="O961" s="134"/>
      <c r="P961" s="134"/>
      <c r="Q961" s="134"/>
      <c r="R961" s="134"/>
      <c r="S961" s="134"/>
      <c r="T961" s="134"/>
      <c r="U961" s="134"/>
      <c r="V961" s="134"/>
      <c r="W961" s="134"/>
      <c r="X961" s="134"/>
      <c r="Y961" s="134"/>
      <c r="Z961" s="134"/>
    </row>
    <row r="962">
      <c r="A962" s="131"/>
      <c r="B962" s="164"/>
      <c r="C962" s="165"/>
      <c r="D962" s="171"/>
      <c r="E962" s="164"/>
      <c r="F962" s="170"/>
      <c r="G962" s="134"/>
      <c r="H962" s="134"/>
      <c r="I962" s="134"/>
      <c r="J962" s="134"/>
      <c r="K962" s="134"/>
      <c r="L962" s="134"/>
      <c r="M962" s="134"/>
      <c r="N962" s="134"/>
      <c r="O962" s="134"/>
      <c r="P962" s="134"/>
      <c r="Q962" s="134"/>
      <c r="R962" s="134"/>
      <c r="S962" s="134"/>
      <c r="T962" s="134"/>
      <c r="U962" s="134"/>
      <c r="V962" s="134"/>
      <c r="W962" s="134"/>
      <c r="X962" s="134"/>
      <c r="Y962" s="134"/>
      <c r="Z962" s="134"/>
    </row>
    <row r="963">
      <c r="A963" s="131"/>
      <c r="B963" s="164"/>
      <c r="C963" s="165"/>
      <c r="D963" s="171"/>
      <c r="E963" s="164"/>
      <c r="F963" s="170"/>
      <c r="G963" s="134"/>
      <c r="H963" s="134"/>
      <c r="I963" s="134"/>
      <c r="J963" s="134"/>
      <c r="K963" s="134"/>
      <c r="L963" s="134"/>
      <c r="M963" s="134"/>
      <c r="N963" s="134"/>
      <c r="O963" s="134"/>
      <c r="P963" s="134"/>
      <c r="Q963" s="134"/>
      <c r="R963" s="134"/>
      <c r="S963" s="134"/>
      <c r="T963" s="134"/>
      <c r="U963" s="134"/>
      <c r="V963" s="134"/>
      <c r="W963" s="134"/>
      <c r="X963" s="134"/>
      <c r="Y963" s="134"/>
      <c r="Z963" s="134"/>
    </row>
    <row r="964">
      <c r="A964" s="131"/>
      <c r="B964" s="164"/>
      <c r="C964" s="165"/>
      <c r="D964" s="171"/>
      <c r="E964" s="164"/>
      <c r="F964" s="170"/>
      <c r="G964" s="134"/>
      <c r="H964" s="134"/>
      <c r="I964" s="134"/>
      <c r="J964" s="134"/>
      <c r="K964" s="134"/>
      <c r="L964" s="134"/>
      <c r="M964" s="134"/>
      <c r="N964" s="134"/>
      <c r="O964" s="134"/>
      <c r="P964" s="134"/>
      <c r="Q964" s="134"/>
      <c r="R964" s="134"/>
      <c r="S964" s="134"/>
      <c r="T964" s="134"/>
      <c r="U964" s="134"/>
      <c r="V964" s="134"/>
      <c r="W964" s="134"/>
      <c r="X964" s="134"/>
      <c r="Y964" s="134"/>
      <c r="Z964" s="134"/>
    </row>
    <row r="965">
      <c r="A965" s="131"/>
      <c r="B965" s="164"/>
      <c r="C965" s="165"/>
      <c r="D965" s="171"/>
      <c r="E965" s="164"/>
      <c r="F965" s="170"/>
      <c r="G965" s="134"/>
      <c r="H965" s="134"/>
      <c r="I965" s="134"/>
      <c r="J965" s="134"/>
      <c r="K965" s="134"/>
      <c r="L965" s="134"/>
      <c r="M965" s="134"/>
      <c r="N965" s="134"/>
      <c r="O965" s="134"/>
      <c r="P965" s="134"/>
      <c r="Q965" s="134"/>
      <c r="R965" s="134"/>
      <c r="S965" s="134"/>
      <c r="T965" s="134"/>
      <c r="U965" s="134"/>
      <c r="V965" s="134"/>
      <c r="W965" s="134"/>
      <c r="X965" s="134"/>
      <c r="Y965" s="134"/>
      <c r="Z965" s="134"/>
    </row>
    <row r="966">
      <c r="A966" s="131"/>
      <c r="B966" s="164"/>
      <c r="C966" s="165"/>
      <c r="D966" s="171"/>
      <c r="E966" s="164"/>
      <c r="F966" s="170"/>
      <c r="G966" s="134"/>
      <c r="H966" s="134"/>
      <c r="I966" s="134"/>
      <c r="J966" s="134"/>
      <c r="K966" s="134"/>
      <c r="L966" s="134"/>
      <c r="M966" s="134"/>
      <c r="N966" s="134"/>
      <c r="O966" s="134"/>
      <c r="P966" s="134"/>
      <c r="Q966" s="134"/>
      <c r="R966" s="134"/>
      <c r="S966" s="134"/>
      <c r="T966" s="134"/>
      <c r="U966" s="134"/>
      <c r="V966" s="134"/>
      <c r="W966" s="134"/>
      <c r="X966" s="134"/>
      <c r="Y966" s="134"/>
      <c r="Z966" s="134"/>
    </row>
    <row r="967">
      <c r="A967" s="131"/>
      <c r="B967" s="164"/>
      <c r="C967" s="165"/>
      <c r="D967" s="171"/>
      <c r="E967" s="164"/>
      <c r="F967" s="170"/>
      <c r="G967" s="134"/>
      <c r="H967" s="134"/>
      <c r="I967" s="134"/>
      <c r="J967" s="134"/>
      <c r="K967" s="134"/>
      <c r="L967" s="134"/>
      <c r="M967" s="134"/>
      <c r="N967" s="134"/>
      <c r="O967" s="134"/>
      <c r="P967" s="134"/>
      <c r="Q967" s="134"/>
      <c r="R967" s="134"/>
      <c r="S967" s="134"/>
      <c r="T967" s="134"/>
      <c r="U967" s="134"/>
      <c r="V967" s="134"/>
      <c r="W967" s="134"/>
      <c r="X967" s="134"/>
      <c r="Y967" s="134"/>
      <c r="Z967" s="134"/>
    </row>
    <row r="968">
      <c r="A968" s="131"/>
      <c r="B968" s="164"/>
      <c r="C968" s="165"/>
      <c r="D968" s="171"/>
      <c r="E968" s="164"/>
      <c r="F968" s="170"/>
      <c r="G968" s="134"/>
      <c r="H968" s="134"/>
      <c r="I968" s="134"/>
      <c r="J968" s="134"/>
      <c r="K968" s="134"/>
      <c r="L968" s="134"/>
      <c r="M968" s="134"/>
      <c r="N968" s="134"/>
      <c r="O968" s="134"/>
      <c r="P968" s="134"/>
      <c r="Q968" s="134"/>
      <c r="R968" s="134"/>
      <c r="S968" s="134"/>
      <c r="T968" s="134"/>
      <c r="U968" s="134"/>
      <c r="V968" s="134"/>
      <c r="W968" s="134"/>
      <c r="X968" s="134"/>
      <c r="Y968" s="134"/>
      <c r="Z968" s="134"/>
    </row>
    <row r="969">
      <c r="A969" s="131"/>
      <c r="B969" s="164"/>
      <c r="C969" s="165"/>
      <c r="D969" s="171"/>
      <c r="E969" s="164"/>
      <c r="F969" s="170"/>
      <c r="G969" s="134"/>
      <c r="H969" s="134"/>
      <c r="I969" s="134"/>
      <c r="J969" s="134"/>
      <c r="K969" s="134"/>
      <c r="L969" s="134"/>
      <c r="M969" s="134"/>
      <c r="N969" s="134"/>
      <c r="O969" s="134"/>
      <c r="P969" s="134"/>
      <c r="Q969" s="134"/>
      <c r="R969" s="134"/>
      <c r="S969" s="134"/>
      <c r="T969" s="134"/>
      <c r="U969" s="134"/>
      <c r="V969" s="134"/>
      <c r="W969" s="134"/>
      <c r="X969" s="134"/>
      <c r="Y969" s="134"/>
      <c r="Z969" s="134"/>
    </row>
    <row r="970">
      <c r="A970" s="131"/>
      <c r="B970" s="164"/>
      <c r="C970" s="165"/>
      <c r="D970" s="171"/>
      <c r="E970" s="164"/>
      <c r="F970" s="170"/>
      <c r="G970" s="134"/>
      <c r="H970" s="134"/>
      <c r="I970" s="134"/>
      <c r="J970" s="134"/>
      <c r="K970" s="134"/>
      <c r="L970" s="134"/>
      <c r="M970" s="134"/>
      <c r="N970" s="134"/>
      <c r="O970" s="134"/>
      <c r="P970" s="134"/>
      <c r="Q970" s="134"/>
      <c r="R970" s="134"/>
      <c r="S970" s="134"/>
      <c r="T970" s="134"/>
      <c r="U970" s="134"/>
      <c r="V970" s="134"/>
      <c r="W970" s="134"/>
      <c r="X970" s="134"/>
      <c r="Y970" s="134"/>
      <c r="Z970" s="134"/>
    </row>
    <row r="971">
      <c r="A971" s="131"/>
      <c r="B971" s="164"/>
      <c r="C971" s="165"/>
      <c r="D971" s="171"/>
      <c r="E971" s="164"/>
      <c r="F971" s="170"/>
      <c r="G971" s="134"/>
      <c r="H971" s="134"/>
      <c r="I971" s="134"/>
      <c r="J971" s="134"/>
      <c r="K971" s="134"/>
      <c r="L971" s="134"/>
      <c r="M971" s="134"/>
      <c r="N971" s="134"/>
      <c r="O971" s="134"/>
      <c r="P971" s="134"/>
      <c r="Q971" s="134"/>
      <c r="R971" s="134"/>
      <c r="S971" s="134"/>
      <c r="T971" s="134"/>
      <c r="U971" s="134"/>
      <c r="V971" s="134"/>
      <c r="W971" s="134"/>
      <c r="X971" s="134"/>
      <c r="Y971" s="134"/>
      <c r="Z971" s="134"/>
    </row>
    <row r="972">
      <c r="A972" s="131"/>
      <c r="B972" s="164"/>
      <c r="C972" s="165"/>
      <c r="D972" s="171"/>
      <c r="E972" s="164"/>
      <c r="F972" s="170"/>
      <c r="G972" s="134"/>
      <c r="H972" s="134"/>
      <c r="I972" s="134"/>
      <c r="J972" s="134"/>
      <c r="K972" s="134"/>
      <c r="L972" s="134"/>
      <c r="M972" s="134"/>
      <c r="N972" s="134"/>
      <c r="O972" s="134"/>
      <c r="P972" s="134"/>
      <c r="Q972" s="134"/>
      <c r="R972" s="134"/>
      <c r="S972" s="134"/>
      <c r="T972" s="134"/>
      <c r="U972" s="134"/>
      <c r="V972" s="134"/>
      <c r="W972" s="134"/>
      <c r="X972" s="134"/>
      <c r="Y972" s="134"/>
      <c r="Z972" s="134"/>
    </row>
    <row r="973">
      <c r="A973" s="131"/>
      <c r="B973" s="164"/>
      <c r="C973" s="165"/>
      <c r="D973" s="171"/>
      <c r="E973" s="164"/>
      <c r="F973" s="170"/>
      <c r="G973" s="134"/>
      <c r="H973" s="134"/>
      <c r="I973" s="134"/>
      <c r="J973" s="134"/>
      <c r="K973" s="134"/>
      <c r="L973" s="134"/>
      <c r="M973" s="134"/>
      <c r="N973" s="134"/>
      <c r="O973" s="134"/>
      <c r="P973" s="134"/>
      <c r="Q973" s="134"/>
      <c r="R973" s="134"/>
      <c r="S973" s="134"/>
      <c r="T973" s="134"/>
      <c r="U973" s="134"/>
      <c r="V973" s="134"/>
      <c r="W973" s="134"/>
      <c r="X973" s="134"/>
      <c r="Y973" s="134"/>
      <c r="Z973" s="134"/>
    </row>
    <row r="974">
      <c r="A974" s="131"/>
      <c r="B974" s="164"/>
      <c r="C974" s="165"/>
      <c r="D974" s="171"/>
      <c r="E974" s="164"/>
      <c r="F974" s="170"/>
      <c r="G974" s="134"/>
      <c r="H974" s="134"/>
      <c r="I974" s="134"/>
      <c r="J974" s="134"/>
      <c r="K974" s="134"/>
      <c r="L974" s="134"/>
      <c r="M974" s="134"/>
      <c r="N974" s="134"/>
      <c r="O974" s="134"/>
      <c r="P974" s="134"/>
      <c r="Q974" s="134"/>
      <c r="R974" s="134"/>
      <c r="S974" s="134"/>
      <c r="T974" s="134"/>
      <c r="U974" s="134"/>
      <c r="V974" s="134"/>
      <c r="W974" s="134"/>
      <c r="X974" s="134"/>
      <c r="Y974" s="134"/>
      <c r="Z974" s="134"/>
    </row>
    <row r="975">
      <c r="A975" s="131"/>
      <c r="B975" s="164"/>
      <c r="C975" s="165"/>
      <c r="D975" s="171"/>
      <c r="E975" s="164"/>
      <c r="F975" s="170"/>
      <c r="G975" s="134"/>
      <c r="H975" s="134"/>
      <c r="I975" s="134"/>
      <c r="J975" s="134"/>
      <c r="K975" s="134"/>
      <c r="L975" s="134"/>
      <c r="M975" s="134"/>
      <c r="N975" s="134"/>
      <c r="O975" s="134"/>
      <c r="P975" s="134"/>
      <c r="Q975" s="134"/>
      <c r="R975" s="134"/>
      <c r="S975" s="134"/>
      <c r="T975" s="134"/>
      <c r="U975" s="134"/>
      <c r="V975" s="134"/>
      <c r="W975" s="134"/>
      <c r="X975" s="134"/>
      <c r="Y975" s="134"/>
      <c r="Z975" s="134"/>
    </row>
    <row r="976">
      <c r="A976" s="131"/>
      <c r="B976" s="164"/>
      <c r="C976" s="165"/>
      <c r="D976" s="171"/>
      <c r="E976" s="164"/>
      <c r="F976" s="170"/>
      <c r="G976" s="134"/>
      <c r="H976" s="134"/>
      <c r="I976" s="134"/>
      <c r="J976" s="134"/>
      <c r="K976" s="134"/>
      <c r="L976" s="134"/>
      <c r="M976" s="134"/>
      <c r="N976" s="134"/>
      <c r="O976" s="134"/>
      <c r="P976" s="134"/>
      <c r="Q976" s="134"/>
      <c r="R976" s="134"/>
      <c r="S976" s="134"/>
      <c r="T976" s="134"/>
      <c r="U976" s="134"/>
      <c r="V976" s="134"/>
      <c r="W976" s="134"/>
      <c r="X976" s="134"/>
      <c r="Y976" s="134"/>
      <c r="Z976" s="134"/>
    </row>
    <row r="977">
      <c r="A977" s="131"/>
      <c r="B977" s="164"/>
      <c r="C977" s="165"/>
      <c r="D977" s="171"/>
      <c r="E977" s="164"/>
      <c r="F977" s="170"/>
      <c r="G977" s="134"/>
      <c r="H977" s="134"/>
      <c r="I977" s="134"/>
      <c r="J977" s="134"/>
      <c r="K977" s="134"/>
      <c r="L977" s="134"/>
      <c r="M977" s="134"/>
      <c r="N977" s="134"/>
      <c r="O977" s="134"/>
      <c r="P977" s="134"/>
      <c r="Q977" s="134"/>
      <c r="R977" s="134"/>
      <c r="S977" s="134"/>
      <c r="T977" s="134"/>
      <c r="U977" s="134"/>
      <c r="V977" s="134"/>
      <c r="W977" s="134"/>
      <c r="X977" s="134"/>
      <c r="Y977" s="134"/>
      <c r="Z977" s="134"/>
    </row>
    <row r="978">
      <c r="A978" s="131"/>
      <c r="B978" s="164"/>
      <c r="C978" s="165"/>
      <c r="D978" s="171"/>
      <c r="E978" s="164"/>
      <c r="F978" s="170"/>
      <c r="G978" s="134"/>
      <c r="H978" s="134"/>
      <c r="I978" s="134"/>
      <c r="J978" s="134"/>
      <c r="K978" s="134"/>
      <c r="L978" s="134"/>
      <c r="M978" s="134"/>
      <c r="N978" s="134"/>
      <c r="O978" s="134"/>
      <c r="P978" s="134"/>
      <c r="Q978" s="134"/>
      <c r="R978" s="134"/>
      <c r="S978" s="134"/>
      <c r="T978" s="134"/>
      <c r="U978" s="134"/>
      <c r="V978" s="134"/>
      <c r="W978" s="134"/>
      <c r="X978" s="134"/>
      <c r="Y978" s="134"/>
      <c r="Z978" s="134"/>
    </row>
    <row r="979">
      <c r="A979" s="131"/>
      <c r="B979" s="164"/>
      <c r="C979" s="165"/>
      <c r="D979" s="171"/>
      <c r="E979" s="164"/>
      <c r="F979" s="170"/>
      <c r="G979" s="134"/>
      <c r="H979" s="134"/>
      <c r="I979" s="134"/>
      <c r="J979" s="134"/>
      <c r="K979" s="134"/>
      <c r="L979" s="134"/>
      <c r="M979" s="134"/>
      <c r="N979" s="134"/>
      <c r="O979" s="134"/>
      <c r="P979" s="134"/>
      <c r="Q979" s="134"/>
      <c r="R979" s="134"/>
      <c r="S979" s="134"/>
      <c r="T979" s="134"/>
      <c r="U979" s="134"/>
      <c r="V979" s="134"/>
      <c r="W979" s="134"/>
      <c r="X979" s="134"/>
      <c r="Y979" s="134"/>
      <c r="Z979" s="134"/>
    </row>
    <row r="980">
      <c r="A980" s="131"/>
      <c r="B980" s="164"/>
      <c r="C980" s="165"/>
      <c r="D980" s="171"/>
      <c r="E980" s="164"/>
      <c r="F980" s="170"/>
      <c r="G980" s="134"/>
      <c r="H980" s="134"/>
      <c r="I980" s="134"/>
      <c r="J980" s="134"/>
      <c r="K980" s="134"/>
      <c r="L980" s="134"/>
      <c r="M980" s="134"/>
      <c r="N980" s="134"/>
      <c r="O980" s="134"/>
      <c r="P980" s="134"/>
      <c r="Q980" s="134"/>
      <c r="R980" s="134"/>
      <c r="S980" s="134"/>
      <c r="T980" s="134"/>
      <c r="U980" s="134"/>
      <c r="V980" s="134"/>
      <c r="W980" s="134"/>
      <c r="X980" s="134"/>
      <c r="Y980" s="134"/>
      <c r="Z980" s="134"/>
    </row>
    <row r="981">
      <c r="A981" s="131"/>
      <c r="B981" s="164"/>
      <c r="C981" s="165"/>
      <c r="D981" s="171"/>
      <c r="E981" s="164"/>
      <c r="F981" s="170"/>
      <c r="G981" s="134"/>
      <c r="H981" s="134"/>
      <c r="I981" s="134"/>
      <c r="J981" s="134"/>
      <c r="K981" s="134"/>
      <c r="L981" s="134"/>
      <c r="M981" s="134"/>
      <c r="N981" s="134"/>
      <c r="O981" s="134"/>
      <c r="P981" s="134"/>
      <c r="Q981" s="134"/>
      <c r="R981" s="134"/>
      <c r="S981" s="134"/>
      <c r="T981" s="134"/>
      <c r="U981" s="134"/>
      <c r="V981" s="134"/>
      <c r="W981" s="134"/>
      <c r="X981" s="134"/>
      <c r="Y981" s="134"/>
      <c r="Z981" s="134"/>
    </row>
    <row r="982">
      <c r="A982" s="131"/>
      <c r="B982" s="164"/>
      <c r="C982" s="165"/>
      <c r="D982" s="171"/>
      <c r="E982" s="164"/>
      <c r="F982" s="170"/>
      <c r="G982" s="134"/>
      <c r="H982" s="134"/>
      <c r="I982" s="134"/>
      <c r="J982" s="134"/>
      <c r="K982" s="134"/>
      <c r="L982" s="134"/>
      <c r="M982" s="134"/>
      <c r="N982" s="134"/>
      <c r="O982" s="134"/>
      <c r="P982" s="134"/>
      <c r="Q982" s="134"/>
      <c r="R982" s="134"/>
      <c r="S982" s="134"/>
      <c r="T982" s="134"/>
      <c r="U982" s="134"/>
      <c r="V982" s="134"/>
      <c r="W982" s="134"/>
      <c r="X982" s="134"/>
      <c r="Y982" s="134"/>
      <c r="Z982" s="134"/>
    </row>
    <row r="983">
      <c r="A983" s="131"/>
      <c r="B983" s="164"/>
      <c r="C983" s="165"/>
      <c r="D983" s="171"/>
      <c r="E983" s="164"/>
      <c r="F983" s="170"/>
      <c r="G983" s="134"/>
      <c r="H983" s="134"/>
      <c r="I983" s="134"/>
      <c r="J983" s="134"/>
      <c r="K983" s="134"/>
      <c r="L983" s="134"/>
      <c r="M983" s="134"/>
      <c r="N983" s="134"/>
      <c r="O983" s="134"/>
      <c r="P983" s="134"/>
      <c r="Q983" s="134"/>
      <c r="R983" s="134"/>
      <c r="S983" s="134"/>
      <c r="T983" s="134"/>
      <c r="U983" s="134"/>
      <c r="V983" s="134"/>
      <c r="W983" s="134"/>
      <c r="X983" s="134"/>
      <c r="Y983" s="134"/>
      <c r="Z983" s="134"/>
    </row>
    <row r="984">
      <c r="A984" s="131"/>
      <c r="B984" s="164"/>
      <c r="C984" s="165"/>
      <c r="D984" s="171"/>
      <c r="E984" s="164"/>
      <c r="F984" s="170"/>
      <c r="G984" s="134"/>
      <c r="H984" s="134"/>
      <c r="I984" s="134"/>
      <c r="J984" s="134"/>
      <c r="K984" s="134"/>
      <c r="L984" s="134"/>
      <c r="M984" s="134"/>
      <c r="N984" s="134"/>
      <c r="O984" s="134"/>
      <c r="P984" s="134"/>
      <c r="Q984" s="134"/>
      <c r="R984" s="134"/>
      <c r="S984" s="134"/>
      <c r="T984" s="134"/>
      <c r="U984" s="134"/>
      <c r="V984" s="134"/>
      <c r="W984" s="134"/>
      <c r="X984" s="134"/>
      <c r="Y984" s="134"/>
      <c r="Z984" s="134"/>
    </row>
    <row r="985">
      <c r="A985" s="131"/>
      <c r="B985" s="164"/>
      <c r="C985" s="165"/>
      <c r="D985" s="171"/>
      <c r="E985" s="164"/>
      <c r="F985" s="170"/>
      <c r="G985" s="134"/>
      <c r="H985" s="134"/>
      <c r="I985" s="134"/>
      <c r="J985" s="134"/>
      <c r="K985" s="134"/>
      <c r="L985" s="134"/>
      <c r="M985" s="134"/>
      <c r="N985" s="134"/>
      <c r="O985" s="134"/>
      <c r="P985" s="134"/>
      <c r="Q985" s="134"/>
      <c r="R985" s="134"/>
      <c r="S985" s="134"/>
      <c r="T985" s="134"/>
      <c r="U985" s="134"/>
      <c r="V985" s="134"/>
      <c r="W985" s="134"/>
      <c r="X985" s="134"/>
      <c r="Y985" s="134"/>
      <c r="Z985" s="134"/>
    </row>
    <row r="986">
      <c r="A986" s="131"/>
      <c r="B986" s="164"/>
      <c r="C986" s="165"/>
      <c r="D986" s="171"/>
      <c r="E986" s="164"/>
      <c r="F986" s="170"/>
      <c r="G986" s="134"/>
      <c r="H986" s="134"/>
      <c r="I986" s="134"/>
      <c r="J986" s="134"/>
      <c r="K986" s="134"/>
      <c r="L986" s="134"/>
      <c r="M986" s="134"/>
      <c r="N986" s="134"/>
      <c r="O986" s="134"/>
      <c r="P986" s="134"/>
      <c r="Q986" s="134"/>
      <c r="R986" s="134"/>
      <c r="S986" s="134"/>
      <c r="T986" s="134"/>
      <c r="U986" s="134"/>
      <c r="V986" s="134"/>
      <c r="W986" s="134"/>
      <c r="X986" s="134"/>
      <c r="Y986" s="134"/>
      <c r="Z986" s="134"/>
    </row>
    <row r="987">
      <c r="A987" s="131"/>
      <c r="B987" s="164"/>
      <c r="C987" s="165"/>
      <c r="D987" s="171"/>
      <c r="E987" s="164"/>
      <c r="F987" s="170"/>
      <c r="G987" s="134"/>
      <c r="H987" s="134"/>
      <c r="I987" s="134"/>
      <c r="J987" s="134"/>
      <c r="K987" s="134"/>
      <c r="L987" s="134"/>
      <c r="M987" s="134"/>
      <c r="N987" s="134"/>
      <c r="O987" s="134"/>
      <c r="P987" s="134"/>
      <c r="Q987" s="134"/>
      <c r="R987" s="134"/>
      <c r="S987" s="134"/>
      <c r="T987" s="134"/>
      <c r="U987" s="134"/>
      <c r="V987" s="134"/>
      <c r="W987" s="134"/>
      <c r="X987" s="134"/>
      <c r="Y987" s="134"/>
      <c r="Z987" s="134"/>
    </row>
    <row r="988">
      <c r="A988" s="131"/>
      <c r="B988" s="164"/>
      <c r="C988" s="165"/>
      <c r="D988" s="171"/>
      <c r="E988" s="164"/>
      <c r="F988" s="170"/>
      <c r="G988" s="134"/>
      <c r="H988" s="134"/>
      <c r="I988" s="134"/>
      <c r="J988" s="134"/>
      <c r="K988" s="134"/>
      <c r="L988" s="134"/>
      <c r="M988" s="134"/>
      <c r="N988" s="134"/>
      <c r="O988" s="134"/>
      <c r="P988" s="134"/>
      <c r="Q988" s="134"/>
      <c r="R988" s="134"/>
      <c r="S988" s="134"/>
      <c r="T988" s="134"/>
      <c r="U988" s="134"/>
      <c r="V988" s="134"/>
      <c r="W988" s="134"/>
      <c r="X988" s="134"/>
      <c r="Y988" s="134"/>
      <c r="Z988" s="134"/>
    </row>
    <row r="989">
      <c r="A989" s="131"/>
      <c r="B989" s="164"/>
      <c r="C989" s="165"/>
      <c r="D989" s="171"/>
      <c r="E989" s="164"/>
      <c r="F989" s="170"/>
      <c r="G989" s="134"/>
      <c r="H989" s="134"/>
      <c r="I989" s="134"/>
      <c r="J989" s="134"/>
      <c r="K989" s="134"/>
      <c r="L989" s="134"/>
      <c r="M989" s="134"/>
      <c r="N989" s="134"/>
      <c r="O989" s="134"/>
      <c r="P989" s="134"/>
      <c r="Q989" s="134"/>
      <c r="R989" s="134"/>
      <c r="S989" s="134"/>
      <c r="T989" s="134"/>
      <c r="U989" s="134"/>
      <c r="V989" s="134"/>
      <c r="W989" s="134"/>
      <c r="X989" s="134"/>
      <c r="Y989" s="134"/>
      <c r="Z989" s="134"/>
    </row>
    <row r="990">
      <c r="A990" s="131"/>
      <c r="B990" s="164"/>
      <c r="C990" s="165"/>
      <c r="D990" s="171"/>
      <c r="E990" s="164"/>
      <c r="F990" s="170"/>
      <c r="G990" s="134"/>
      <c r="H990" s="134"/>
      <c r="I990" s="134"/>
      <c r="J990" s="134"/>
      <c r="K990" s="134"/>
      <c r="L990" s="134"/>
      <c r="M990" s="134"/>
      <c r="N990" s="134"/>
      <c r="O990" s="134"/>
      <c r="P990" s="134"/>
      <c r="Q990" s="134"/>
      <c r="R990" s="134"/>
      <c r="S990" s="134"/>
      <c r="T990" s="134"/>
      <c r="U990" s="134"/>
      <c r="V990" s="134"/>
      <c r="W990" s="134"/>
      <c r="X990" s="134"/>
      <c r="Y990" s="134"/>
      <c r="Z990" s="134"/>
    </row>
    <row r="991">
      <c r="A991" s="131"/>
      <c r="B991" s="164"/>
      <c r="C991" s="165"/>
      <c r="D991" s="171"/>
      <c r="E991" s="164"/>
      <c r="F991" s="170"/>
      <c r="G991" s="134"/>
      <c r="H991" s="134"/>
      <c r="I991" s="134"/>
      <c r="J991" s="134"/>
      <c r="K991" s="134"/>
      <c r="L991" s="134"/>
      <c r="M991" s="134"/>
      <c r="N991" s="134"/>
      <c r="O991" s="134"/>
      <c r="P991" s="134"/>
      <c r="Q991" s="134"/>
      <c r="R991" s="134"/>
      <c r="S991" s="134"/>
      <c r="T991" s="134"/>
      <c r="U991" s="134"/>
      <c r="V991" s="134"/>
      <c r="W991" s="134"/>
      <c r="X991" s="134"/>
      <c r="Y991" s="134"/>
      <c r="Z991" s="134"/>
    </row>
    <row r="992">
      <c r="A992" s="131"/>
      <c r="B992" s="164"/>
      <c r="C992" s="165"/>
      <c r="D992" s="171"/>
      <c r="E992" s="164"/>
      <c r="F992" s="170"/>
      <c r="G992" s="134"/>
      <c r="H992" s="134"/>
      <c r="I992" s="134"/>
      <c r="J992" s="134"/>
      <c r="K992" s="134"/>
      <c r="L992" s="134"/>
      <c r="M992" s="134"/>
      <c r="N992" s="134"/>
      <c r="O992" s="134"/>
      <c r="P992" s="134"/>
      <c r="Q992" s="134"/>
      <c r="R992" s="134"/>
      <c r="S992" s="134"/>
      <c r="T992" s="134"/>
      <c r="U992" s="134"/>
      <c r="V992" s="134"/>
      <c r="W992" s="134"/>
      <c r="X992" s="134"/>
      <c r="Y992" s="134"/>
      <c r="Z992" s="134"/>
    </row>
    <row r="993">
      <c r="A993" s="131"/>
      <c r="B993" s="164"/>
      <c r="C993" s="165"/>
      <c r="D993" s="171"/>
      <c r="E993" s="164"/>
      <c r="F993" s="170"/>
      <c r="G993" s="134"/>
      <c r="H993" s="134"/>
      <c r="I993" s="134"/>
      <c r="J993" s="134"/>
      <c r="K993" s="134"/>
      <c r="L993" s="134"/>
      <c r="M993" s="134"/>
      <c r="N993" s="134"/>
      <c r="O993" s="134"/>
      <c r="P993" s="134"/>
      <c r="Q993" s="134"/>
      <c r="R993" s="134"/>
      <c r="S993" s="134"/>
      <c r="T993" s="134"/>
      <c r="U993" s="134"/>
      <c r="V993" s="134"/>
      <c r="W993" s="134"/>
      <c r="X993" s="134"/>
      <c r="Y993" s="134"/>
      <c r="Z993" s="134"/>
    </row>
    <row r="994">
      <c r="A994" s="131"/>
      <c r="B994" s="164"/>
      <c r="C994" s="165"/>
      <c r="D994" s="171"/>
      <c r="E994" s="164"/>
      <c r="F994" s="170"/>
      <c r="G994" s="134"/>
      <c r="H994" s="134"/>
      <c r="I994" s="134"/>
      <c r="J994" s="134"/>
      <c r="K994" s="134"/>
      <c r="L994" s="134"/>
      <c r="M994" s="134"/>
      <c r="N994" s="134"/>
      <c r="O994" s="134"/>
      <c r="P994" s="134"/>
      <c r="Q994" s="134"/>
      <c r="R994" s="134"/>
      <c r="S994" s="134"/>
      <c r="T994" s="134"/>
      <c r="U994" s="134"/>
      <c r="V994" s="134"/>
      <c r="W994" s="134"/>
      <c r="X994" s="134"/>
      <c r="Y994" s="134"/>
      <c r="Z994" s="134"/>
    </row>
    <row r="995">
      <c r="A995" s="131"/>
      <c r="B995" s="164"/>
      <c r="C995" s="165"/>
      <c r="D995" s="171"/>
      <c r="E995" s="164"/>
      <c r="F995" s="170"/>
      <c r="G995" s="134"/>
      <c r="H995" s="134"/>
      <c r="I995" s="134"/>
      <c r="J995" s="134"/>
      <c r="K995" s="134"/>
      <c r="L995" s="134"/>
      <c r="M995" s="134"/>
      <c r="N995" s="134"/>
      <c r="O995" s="134"/>
      <c r="P995" s="134"/>
      <c r="Q995" s="134"/>
      <c r="R995" s="134"/>
      <c r="S995" s="134"/>
      <c r="T995" s="134"/>
      <c r="U995" s="134"/>
      <c r="V995" s="134"/>
      <c r="W995" s="134"/>
      <c r="X995" s="134"/>
      <c r="Y995" s="134"/>
      <c r="Z995" s="134"/>
    </row>
    <row r="996">
      <c r="A996" s="131"/>
      <c r="B996" s="164"/>
      <c r="C996" s="165"/>
      <c r="D996" s="171"/>
      <c r="E996" s="164"/>
      <c r="F996" s="170"/>
      <c r="G996" s="134"/>
      <c r="H996" s="134"/>
      <c r="I996" s="134"/>
      <c r="J996" s="134"/>
      <c r="K996" s="134"/>
      <c r="L996" s="134"/>
      <c r="M996" s="134"/>
      <c r="N996" s="134"/>
      <c r="O996" s="134"/>
      <c r="P996" s="134"/>
      <c r="Q996" s="134"/>
      <c r="R996" s="134"/>
      <c r="S996" s="134"/>
      <c r="T996" s="134"/>
      <c r="U996" s="134"/>
      <c r="V996" s="134"/>
      <c r="W996" s="134"/>
      <c r="X996" s="134"/>
      <c r="Y996" s="134"/>
      <c r="Z996" s="134"/>
    </row>
    <row r="997">
      <c r="A997" s="131"/>
      <c r="B997" s="164"/>
      <c r="C997" s="165"/>
      <c r="D997" s="171"/>
      <c r="E997" s="164"/>
      <c r="F997" s="170"/>
      <c r="G997" s="134"/>
      <c r="H997" s="134"/>
      <c r="I997" s="134"/>
      <c r="J997" s="134"/>
      <c r="K997" s="134"/>
      <c r="L997" s="134"/>
      <c r="M997" s="134"/>
      <c r="N997" s="134"/>
      <c r="O997" s="134"/>
      <c r="P997" s="134"/>
      <c r="Q997" s="134"/>
      <c r="R997" s="134"/>
      <c r="S997" s="134"/>
      <c r="T997" s="134"/>
      <c r="U997" s="134"/>
      <c r="V997" s="134"/>
      <c r="W997" s="134"/>
      <c r="X997" s="134"/>
      <c r="Y997" s="134"/>
      <c r="Z997" s="134"/>
    </row>
    <row r="998">
      <c r="A998" s="131"/>
      <c r="B998" s="164"/>
      <c r="C998" s="165"/>
      <c r="D998" s="171"/>
      <c r="E998" s="164"/>
      <c r="F998" s="170"/>
      <c r="G998" s="134"/>
      <c r="H998" s="134"/>
      <c r="I998" s="134"/>
      <c r="J998" s="134"/>
      <c r="K998" s="134"/>
      <c r="L998" s="134"/>
      <c r="M998" s="134"/>
      <c r="N998" s="134"/>
      <c r="O998" s="134"/>
      <c r="P998" s="134"/>
      <c r="Q998" s="134"/>
      <c r="R998" s="134"/>
      <c r="S998" s="134"/>
      <c r="T998" s="134"/>
      <c r="U998" s="134"/>
      <c r="V998" s="134"/>
      <c r="W998" s="134"/>
      <c r="X998" s="134"/>
      <c r="Y998" s="134"/>
      <c r="Z998" s="134"/>
    </row>
    <row r="999">
      <c r="A999" s="131"/>
      <c r="B999" s="164"/>
      <c r="C999" s="165"/>
      <c r="D999" s="171"/>
      <c r="E999" s="164"/>
      <c r="F999" s="170"/>
      <c r="G999" s="134"/>
      <c r="H999" s="134"/>
      <c r="I999" s="134"/>
      <c r="J999" s="134"/>
      <c r="K999" s="134"/>
      <c r="L999" s="134"/>
      <c r="M999" s="134"/>
      <c r="N999" s="134"/>
      <c r="O999" s="134"/>
      <c r="P999" s="134"/>
      <c r="Q999" s="134"/>
      <c r="R999" s="134"/>
      <c r="S999" s="134"/>
      <c r="T999" s="134"/>
      <c r="U999" s="134"/>
      <c r="V999" s="134"/>
      <c r="W999" s="134"/>
      <c r="X999" s="134"/>
      <c r="Y999" s="134"/>
      <c r="Z999" s="134"/>
    </row>
    <row r="1000">
      <c r="A1000" s="131"/>
      <c r="B1000" s="164"/>
      <c r="C1000" s="165"/>
      <c r="D1000" s="171"/>
      <c r="E1000" s="164"/>
      <c r="F1000" s="170"/>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row r="1001">
      <c r="A1001" s="131"/>
      <c r="B1001" s="164"/>
      <c r="C1001" s="165"/>
      <c r="D1001" s="171"/>
      <c r="E1001" s="164"/>
      <c r="F1001" s="170"/>
      <c r="G1001" s="134"/>
      <c r="H1001" s="134"/>
      <c r="I1001" s="134"/>
      <c r="J1001" s="134"/>
      <c r="K1001" s="134"/>
      <c r="L1001" s="134"/>
      <c r="M1001" s="134"/>
      <c r="N1001" s="134"/>
      <c r="O1001" s="134"/>
      <c r="P1001" s="134"/>
      <c r="Q1001" s="134"/>
      <c r="R1001" s="134"/>
      <c r="S1001" s="134"/>
      <c r="T1001" s="134"/>
      <c r="U1001" s="134"/>
      <c r="V1001" s="134"/>
      <c r="W1001" s="134"/>
      <c r="X1001" s="134"/>
      <c r="Y1001" s="134"/>
      <c r="Z1001" s="134"/>
    </row>
    <row r="1002">
      <c r="A1002" s="131"/>
      <c r="B1002" s="164"/>
      <c r="C1002" s="165"/>
      <c r="D1002" s="171"/>
      <c r="E1002" s="164"/>
      <c r="F1002" s="170"/>
      <c r="G1002" s="134"/>
      <c r="H1002" s="134"/>
      <c r="I1002" s="134"/>
      <c r="J1002" s="134"/>
      <c r="K1002" s="134"/>
      <c r="L1002" s="134"/>
      <c r="M1002" s="134"/>
      <c r="N1002" s="134"/>
      <c r="O1002" s="134"/>
      <c r="P1002" s="134"/>
      <c r="Q1002" s="134"/>
      <c r="R1002" s="134"/>
      <c r="S1002" s="134"/>
      <c r="T1002" s="134"/>
      <c r="U1002" s="134"/>
      <c r="V1002" s="134"/>
      <c r="W1002" s="134"/>
      <c r="X1002" s="134"/>
      <c r="Y1002" s="134"/>
      <c r="Z1002" s="134"/>
    </row>
    <row r="1003">
      <c r="A1003" s="131"/>
      <c r="B1003" s="164"/>
      <c r="C1003" s="165"/>
      <c r="D1003" s="171"/>
      <c r="E1003" s="164"/>
      <c r="F1003" s="170"/>
      <c r="G1003" s="134"/>
      <c r="H1003" s="134"/>
      <c r="I1003" s="134"/>
      <c r="J1003" s="134"/>
      <c r="K1003" s="134"/>
      <c r="L1003" s="134"/>
      <c r="M1003" s="134"/>
      <c r="N1003" s="134"/>
      <c r="O1003" s="134"/>
      <c r="P1003" s="134"/>
      <c r="Q1003" s="134"/>
      <c r="R1003" s="134"/>
      <c r="S1003" s="134"/>
      <c r="T1003" s="134"/>
      <c r="U1003" s="134"/>
      <c r="V1003" s="134"/>
      <c r="W1003" s="134"/>
      <c r="X1003" s="134"/>
      <c r="Y1003" s="134"/>
      <c r="Z1003" s="134"/>
    </row>
    <row r="1004">
      <c r="A1004" s="131"/>
      <c r="B1004" s="164"/>
      <c r="C1004" s="165"/>
      <c r="D1004" s="171"/>
      <c r="E1004" s="164"/>
      <c r="F1004" s="170"/>
      <c r="G1004" s="134"/>
      <c r="H1004" s="134"/>
      <c r="I1004" s="134"/>
      <c r="J1004" s="134"/>
      <c r="K1004" s="134"/>
      <c r="L1004" s="134"/>
      <c r="M1004" s="134"/>
      <c r="N1004" s="134"/>
      <c r="O1004" s="134"/>
      <c r="P1004" s="134"/>
      <c r="Q1004" s="134"/>
      <c r="R1004" s="134"/>
      <c r="S1004" s="134"/>
      <c r="T1004" s="134"/>
      <c r="U1004" s="134"/>
      <c r="V1004" s="134"/>
      <c r="W1004" s="134"/>
      <c r="X1004" s="134"/>
      <c r="Y1004" s="134"/>
      <c r="Z1004" s="134"/>
    </row>
    <row r="1005">
      <c r="A1005" s="131"/>
      <c r="B1005" s="164"/>
      <c r="C1005" s="165"/>
      <c r="D1005" s="171"/>
      <c r="E1005" s="164"/>
      <c r="F1005" s="170"/>
      <c r="G1005" s="134"/>
      <c r="H1005" s="134"/>
      <c r="I1005" s="134"/>
      <c r="J1005" s="134"/>
      <c r="K1005" s="134"/>
      <c r="L1005" s="134"/>
      <c r="M1005" s="134"/>
      <c r="N1005" s="134"/>
      <c r="O1005" s="134"/>
      <c r="P1005" s="134"/>
      <c r="Q1005" s="134"/>
      <c r="R1005" s="134"/>
      <c r="S1005" s="134"/>
      <c r="T1005" s="134"/>
      <c r="U1005" s="134"/>
      <c r="V1005" s="134"/>
      <c r="W1005" s="134"/>
      <c r="X1005" s="134"/>
      <c r="Y1005" s="134"/>
      <c r="Z1005" s="134"/>
    </row>
    <row r="1006">
      <c r="A1006" s="131"/>
      <c r="B1006" s="164"/>
      <c r="C1006" s="165"/>
      <c r="D1006" s="171"/>
      <c r="E1006" s="164"/>
      <c r="F1006" s="170"/>
      <c r="G1006" s="134"/>
      <c r="H1006" s="134"/>
      <c r="I1006" s="134"/>
      <c r="J1006" s="134"/>
      <c r="K1006" s="134"/>
      <c r="L1006" s="134"/>
      <c r="M1006" s="134"/>
      <c r="N1006" s="134"/>
      <c r="O1006" s="134"/>
      <c r="P1006" s="134"/>
      <c r="Q1006" s="134"/>
      <c r="R1006" s="134"/>
      <c r="S1006" s="134"/>
      <c r="T1006" s="134"/>
      <c r="U1006" s="134"/>
      <c r="V1006" s="134"/>
      <c r="W1006" s="134"/>
      <c r="X1006" s="134"/>
      <c r="Y1006" s="134"/>
      <c r="Z1006" s="134"/>
    </row>
    <row r="1007">
      <c r="A1007" s="131"/>
      <c r="B1007" s="164"/>
      <c r="C1007" s="165"/>
      <c r="D1007" s="171"/>
      <c r="E1007" s="164"/>
      <c r="F1007" s="170"/>
      <c r="G1007" s="134"/>
      <c r="H1007" s="134"/>
      <c r="I1007" s="134"/>
      <c r="J1007" s="134"/>
      <c r="K1007" s="134"/>
      <c r="L1007" s="134"/>
      <c r="M1007" s="134"/>
      <c r="N1007" s="134"/>
      <c r="O1007" s="134"/>
      <c r="P1007" s="134"/>
      <c r="Q1007" s="134"/>
      <c r="R1007" s="134"/>
      <c r="S1007" s="134"/>
      <c r="T1007" s="134"/>
      <c r="U1007" s="134"/>
      <c r="V1007" s="134"/>
      <c r="W1007" s="134"/>
      <c r="X1007" s="134"/>
      <c r="Y1007" s="134"/>
      <c r="Z1007" s="134"/>
    </row>
    <row r="1008">
      <c r="A1008" s="131"/>
      <c r="B1008" s="164"/>
      <c r="C1008" s="165"/>
      <c r="D1008" s="171"/>
      <c r="E1008" s="164"/>
      <c r="F1008" s="170"/>
      <c r="G1008" s="134"/>
      <c r="H1008" s="134"/>
      <c r="I1008" s="134"/>
      <c r="J1008" s="134"/>
      <c r="K1008" s="134"/>
      <c r="L1008" s="134"/>
      <c r="M1008" s="134"/>
      <c r="N1008" s="134"/>
      <c r="O1008" s="134"/>
      <c r="P1008" s="134"/>
      <c r="Q1008" s="134"/>
      <c r="R1008" s="134"/>
      <c r="S1008" s="134"/>
      <c r="T1008" s="134"/>
      <c r="U1008" s="134"/>
      <c r="V1008" s="134"/>
      <c r="W1008" s="134"/>
      <c r="X1008" s="134"/>
      <c r="Y1008" s="134"/>
      <c r="Z1008" s="134"/>
    </row>
    <row r="1009">
      <c r="A1009" s="131"/>
      <c r="B1009" s="164"/>
      <c r="C1009" s="165"/>
      <c r="D1009" s="171"/>
      <c r="E1009" s="164"/>
      <c r="F1009" s="170"/>
      <c r="G1009" s="134"/>
      <c r="H1009" s="134"/>
      <c r="I1009" s="134"/>
      <c r="J1009" s="134"/>
      <c r="K1009" s="134"/>
      <c r="L1009" s="134"/>
      <c r="M1009" s="134"/>
      <c r="N1009" s="134"/>
      <c r="O1009" s="134"/>
      <c r="P1009" s="134"/>
      <c r="Q1009" s="134"/>
      <c r="R1009" s="134"/>
      <c r="S1009" s="134"/>
      <c r="T1009" s="134"/>
      <c r="U1009" s="134"/>
      <c r="V1009" s="134"/>
      <c r="W1009" s="134"/>
      <c r="X1009" s="134"/>
      <c r="Y1009" s="134"/>
      <c r="Z1009" s="134"/>
    </row>
    <row r="1010">
      <c r="A1010" s="131"/>
      <c r="B1010" s="164"/>
      <c r="C1010" s="165"/>
      <c r="D1010" s="171"/>
      <c r="E1010" s="164"/>
      <c r="F1010" s="170"/>
      <c r="G1010" s="134"/>
      <c r="H1010" s="134"/>
      <c r="I1010" s="134"/>
      <c r="J1010" s="134"/>
      <c r="K1010" s="134"/>
      <c r="L1010" s="134"/>
      <c r="M1010" s="134"/>
      <c r="N1010" s="134"/>
      <c r="O1010" s="134"/>
      <c r="P1010" s="134"/>
      <c r="Q1010" s="134"/>
      <c r="R1010" s="134"/>
      <c r="S1010" s="134"/>
      <c r="T1010" s="134"/>
      <c r="U1010" s="134"/>
      <c r="V1010" s="134"/>
      <c r="W1010" s="134"/>
      <c r="X1010" s="134"/>
      <c r="Y1010" s="134"/>
      <c r="Z1010" s="134"/>
    </row>
    <row r="1011">
      <c r="A1011" s="131"/>
      <c r="B1011" s="164"/>
      <c r="C1011" s="165"/>
      <c r="D1011" s="171"/>
      <c r="E1011" s="164"/>
      <c r="F1011" s="170"/>
      <c r="G1011" s="134"/>
      <c r="H1011" s="134"/>
      <c r="I1011" s="134"/>
      <c r="J1011" s="134"/>
      <c r="K1011" s="134"/>
      <c r="L1011" s="134"/>
      <c r="M1011" s="134"/>
      <c r="N1011" s="134"/>
      <c r="O1011" s="134"/>
      <c r="P1011" s="134"/>
      <c r="Q1011" s="134"/>
      <c r="R1011" s="134"/>
      <c r="S1011" s="134"/>
      <c r="T1011" s="134"/>
      <c r="U1011" s="134"/>
      <c r="V1011" s="134"/>
      <c r="W1011" s="134"/>
      <c r="X1011" s="134"/>
      <c r="Y1011" s="134"/>
      <c r="Z1011" s="134"/>
    </row>
    <row r="1012">
      <c r="A1012" s="131"/>
      <c r="B1012" s="164"/>
      <c r="C1012" s="165"/>
      <c r="D1012" s="171"/>
      <c r="E1012" s="164"/>
      <c r="F1012" s="170"/>
      <c r="G1012" s="134"/>
      <c r="H1012" s="134"/>
      <c r="I1012" s="134"/>
      <c r="J1012" s="134"/>
      <c r="K1012" s="134"/>
      <c r="L1012" s="134"/>
      <c r="M1012" s="134"/>
      <c r="N1012" s="134"/>
      <c r="O1012" s="134"/>
      <c r="P1012" s="134"/>
      <c r="Q1012" s="134"/>
      <c r="R1012" s="134"/>
      <c r="S1012" s="134"/>
      <c r="T1012" s="134"/>
      <c r="U1012" s="134"/>
      <c r="V1012" s="134"/>
      <c r="W1012" s="134"/>
      <c r="X1012" s="134"/>
      <c r="Y1012" s="134"/>
      <c r="Z1012" s="134"/>
    </row>
    <row r="1013">
      <c r="A1013" s="131"/>
      <c r="B1013" s="164"/>
      <c r="C1013" s="165"/>
      <c r="D1013" s="171"/>
      <c r="E1013" s="164"/>
      <c r="F1013" s="170"/>
      <c r="G1013" s="134"/>
      <c r="H1013" s="134"/>
      <c r="I1013" s="134"/>
      <c r="J1013" s="134"/>
      <c r="K1013" s="134"/>
      <c r="L1013" s="134"/>
      <c r="M1013" s="134"/>
      <c r="N1013" s="134"/>
      <c r="O1013" s="134"/>
      <c r="P1013" s="134"/>
      <c r="Q1013" s="134"/>
      <c r="R1013" s="134"/>
      <c r="S1013" s="134"/>
      <c r="T1013" s="134"/>
      <c r="U1013" s="134"/>
      <c r="V1013" s="134"/>
      <c r="W1013" s="134"/>
      <c r="X1013" s="134"/>
      <c r="Y1013" s="134"/>
      <c r="Z1013" s="134"/>
    </row>
    <row r="1014">
      <c r="A1014" s="131"/>
      <c r="B1014" s="164"/>
      <c r="C1014" s="165"/>
      <c r="D1014" s="171"/>
      <c r="E1014" s="164"/>
      <c r="F1014" s="170"/>
      <c r="G1014" s="134"/>
      <c r="H1014" s="134"/>
      <c r="I1014" s="134"/>
      <c r="J1014" s="134"/>
      <c r="K1014" s="134"/>
      <c r="L1014" s="134"/>
      <c r="M1014" s="134"/>
      <c r="N1014" s="134"/>
      <c r="O1014" s="134"/>
      <c r="P1014" s="134"/>
      <c r="Q1014" s="134"/>
      <c r="R1014" s="134"/>
      <c r="S1014" s="134"/>
      <c r="T1014" s="134"/>
      <c r="U1014" s="134"/>
      <c r="V1014" s="134"/>
      <c r="W1014" s="134"/>
      <c r="X1014" s="134"/>
      <c r="Y1014" s="134"/>
      <c r="Z1014" s="134"/>
    </row>
    <row r="1015">
      <c r="A1015" s="131"/>
      <c r="B1015" s="164"/>
      <c r="C1015" s="165"/>
      <c r="D1015" s="171"/>
      <c r="E1015" s="164"/>
      <c r="F1015" s="170"/>
      <c r="G1015" s="134"/>
      <c r="H1015" s="134"/>
      <c r="I1015" s="134"/>
      <c r="J1015" s="134"/>
      <c r="K1015" s="134"/>
      <c r="L1015" s="134"/>
      <c r="M1015" s="134"/>
      <c r="N1015" s="134"/>
      <c r="O1015" s="134"/>
      <c r="P1015" s="134"/>
      <c r="Q1015" s="134"/>
      <c r="R1015" s="134"/>
      <c r="S1015" s="134"/>
      <c r="T1015" s="134"/>
      <c r="U1015" s="134"/>
      <c r="V1015" s="134"/>
      <c r="W1015" s="134"/>
      <c r="X1015" s="134"/>
      <c r="Y1015" s="134"/>
      <c r="Z1015" s="134"/>
    </row>
    <row r="1016">
      <c r="A1016" s="131"/>
      <c r="B1016" s="164"/>
      <c r="C1016" s="165"/>
      <c r="D1016" s="171"/>
      <c r="E1016" s="164"/>
      <c r="F1016" s="170"/>
      <c r="G1016" s="134"/>
      <c r="H1016" s="134"/>
      <c r="I1016" s="134"/>
      <c r="J1016" s="134"/>
      <c r="K1016" s="134"/>
      <c r="L1016" s="134"/>
      <c r="M1016" s="134"/>
      <c r="N1016" s="134"/>
      <c r="O1016" s="134"/>
      <c r="P1016" s="134"/>
      <c r="Q1016" s="134"/>
      <c r="R1016" s="134"/>
      <c r="S1016" s="134"/>
      <c r="T1016" s="134"/>
      <c r="U1016" s="134"/>
      <c r="V1016" s="134"/>
      <c r="W1016" s="134"/>
      <c r="X1016" s="134"/>
      <c r="Y1016" s="134"/>
      <c r="Z1016" s="134"/>
    </row>
    <row r="1017">
      <c r="A1017" s="131"/>
      <c r="B1017" s="164"/>
      <c r="C1017" s="165"/>
      <c r="D1017" s="171"/>
      <c r="E1017" s="164"/>
      <c r="F1017" s="170"/>
      <c r="G1017" s="134"/>
      <c r="H1017" s="134"/>
      <c r="I1017" s="134"/>
      <c r="J1017" s="134"/>
      <c r="K1017" s="134"/>
      <c r="L1017" s="134"/>
      <c r="M1017" s="134"/>
      <c r="N1017" s="134"/>
      <c r="O1017" s="134"/>
      <c r="P1017" s="134"/>
      <c r="Q1017" s="134"/>
      <c r="R1017" s="134"/>
      <c r="S1017" s="134"/>
      <c r="T1017" s="134"/>
      <c r="U1017" s="134"/>
      <c r="V1017" s="134"/>
      <c r="W1017" s="134"/>
      <c r="X1017" s="134"/>
      <c r="Y1017" s="134"/>
      <c r="Z1017" s="134"/>
    </row>
    <row r="1018">
      <c r="A1018" s="131"/>
      <c r="B1018" s="164"/>
      <c r="C1018" s="165"/>
      <c r="D1018" s="171"/>
      <c r="E1018" s="164"/>
      <c r="F1018" s="170"/>
      <c r="G1018" s="134"/>
      <c r="H1018" s="134"/>
      <c r="I1018" s="134"/>
      <c r="J1018" s="134"/>
      <c r="K1018" s="134"/>
      <c r="L1018" s="134"/>
      <c r="M1018" s="134"/>
      <c r="N1018" s="134"/>
      <c r="O1018" s="134"/>
      <c r="P1018" s="134"/>
      <c r="Q1018" s="134"/>
      <c r="R1018" s="134"/>
      <c r="S1018" s="134"/>
      <c r="T1018" s="134"/>
      <c r="U1018" s="134"/>
      <c r="V1018" s="134"/>
      <c r="W1018" s="134"/>
      <c r="X1018" s="134"/>
      <c r="Y1018" s="134"/>
      <c r="Z1018" s="134"/>
    </row>
    <row r="1019">
      <c r="A1019" s="131"/>
      <c r="B1019" s="164"/>
      <c r="C1019" s="165"/>
      <c r="D1019" s="171"/>
      <c r="E1019" s="164"/>
      <c r="F1019" s="170"/>
      <c r="G1019" s="134"/>
      <c r="H1019" s="134"/>
      <c r="I1019" s="134"/>
      <c r="J1019" s="134"/>
      <c r="K1019" s="134"/>
      <c r="L1019" s="134"/>
      <c r="M1019" s="134"/>
      <c r="N1019" s="134"/>
      <c r="O1019" s="134"/>
      <c r="P1019" s="134"/>
      <c r="Q1019" s="134"/>
      <c r="R1019" s="134"/>
      <c r="S1019" s="134"/>
      <c r="T1019" s="134"/>
      <c r="U1019" s="134"/>
      <c r="V1019" s="134"/>
      <c r="W1019" s="134"/>
      <c r="X1019" s="134"/>
      <c r="Y1019" s="134"/>
      <c r="Z1019" s="134"/>
    </row>
    <row r="1020">
      <c r="A1020" s="131"/>
      <c r="B1020" s="164"/>
      <c r="C1020" s="165"/>
      <c r="D1020" s="171"/>
      <c r="E1020" s="164"/>
      <c r="F1020" s="170"/>
      <c r="G1020" s="134"/>
      <c r="H1020" s="134"/>
      <c r="I1020" s="134"/>
      <c r="J1020" s="134"/>
      <c r="K1020" s="134"/>
      <c r="L1020" s="134"/>
      <c r="M1020" s="134"/>
      <c r="N1020" s="134"/>
      <c r="O1020" s="134"/>
      <c r="P1020" s="134"/>
      <c r="Q1020" s="134"/>
      <c r="R1020" s="134"/>
      <c r="S1020" s="134"/>
      <c r="T1020" s="134"/>
      <c r="U1020" s="134"/>
      <c r="V1020" s="134"/>
      <c r="W1020" s="134"/>
      <c r="X1020" s="134"/>
      <c r="Y1020" s="134"/>
      <c r="Z1020" s="134"/>
    </row>
    <row r="1021">
      <c r="A1021" s="131"/>
      <c r="B1021" s="164"/>
      <c r="C1021" s="165"/>
      <c r="D1021" s="171"/>
      <c r="E1021" s="164"/>
      <c r="F1021" s="170"/>
      <c r="G1021" s="134"/>
      <c r="H1021" s="134"/>
      <c r="I1021" s="134"/>
      <c r="J1021" s="134"/>
      <c r="K1021" s="134"/>
      <c r="L1021" s="134"/>
      <c r="M1021" s="134"/>
      <c r="N1021" s="134"/>
      <c r="O1021" s="134"/>
      <c r="P1021" s="134"/>
      <c r="Q1021" s="134"/>
      <c r="R1021" s="134"/>
      <c r="S1021" s="134"/>
      <c r="T1021" s="134"/>
      <c r="U1021" s="134"/>
      <c r="V1021" s="134"/>
      <c r="W1021" s="134"/>
      <c r="X1021" s="134"/>
      <c r="Y1021" s="134"/>
      <c r="Z1021" s="134"/>
    </row>
    <row r="1022">
      <c r="A1022" s="131"/>
      <c r="B1022" s="164"/>
      <c r="C1022" s="165"/>
      <c r="D1022" s="171"/>
      <c r="E1022" s="164"/>
      <c r="F1022" s="170"/>
      <c r="G1022" s="134"/>
      <c r="H1022" s="134"/>
      <c r="I1022" s="134"/>
      <c r="J1022" s="134"/>
      <c r="K1022" s="134"/>
      <c r="L1022" s="134"/>
      <c r="M1022" s="134"/>
      <c r="N1022" s="134"/>
      <c r="O1022" s="134"/>
      <c r="P1022" s="134"/>
      <c r="Q1022" s="134"/>
      <c r="R1022" s="134"/>
      <c r="S1022" s="134"/>
      <c r="T1022" s="134"/>
      <c r="U1022" s="134"/>
      <c r="V1022" s="134"/>
      <c r="W1022" s="134"/>
      <c r="X1022" s="134"/>
      <c r="Y1022" s="134"/>
      <c r="Z1022" s="134"/>
    </row>
  </sheetData>
  <hyperlinks>
    <hyperlink r:id="rId1" ref="E29"/>
    <hyperlink r:id="rId2" ref="E32"/>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Right="0"/>
  </sheetPr>
  <sheetViews>
    <sheetView showGridLines="0" workbookViewId="0">
      <pane xSplit="8.0" ySplit="11.0" topLeftCell="I12" activePane="bottomRight" state="frozen"/>
      <selection activeCell="I1" sqref="I1" pane="topRight"/>
      <selection activeCell="A12" sqref="A12" pane="bottomLeft"/>
      <selection activeCell="I12" sqref="I12" pane="bottomRight"/>
    </sheetView>
  </sheetViews>
  <sheetFormatPr customHeight="1" defaultColWidth="12.63" defaultRowHeight="15.75" outlineLevelCol="2" outlineLevelRow="1"/>
  <cols>
    <col customWidth="1" min="1" max="1" width="2.25"/>
    <col customWidth="1" min="2" max="2" width="5.63"/>
    <col customWidth="1" min="3" max="3" width="15.25"/>
    <col customWidth="1" min="4" max="4" width="15.0"/>
    <col customWidth="1" min="5" max="5" width="17.88"/>
    <col customWidth="1" min="6" max="6" width="19.38"/>
    <col customWidth="1" min="7" max="7" width="15.63"/>
    <col customWidth="1" min="8" max="8" width="12.5"/>
    <col customWidth="1" min="9" max="9" width="10.38"/>
    <col customWidth="1" min="10" max="10" width="15.63"/>
    <col customWidth="1" min="11" max="11" width="10.88"/>
    <col customWidth="1" min="12" max="13" width="13.13"/>
    <col customWidth="1" min="14" max="14" width="13.88"/>
    <col customWidth="1" min="15" max="15" width="19.25" outlineLevel="1"/>
    <col customWidth="1" min="16" max="16" width="19.25" outlineLevel="2"/>
    <col customWidth="1" min="17" max="17" width="17.88" outlineLevel="1"/>
    <col customWidth="1" min="18" max="18" width="20.25" outlineLevel="2"/>
    <col customWidth="1" min="19" max="19" width="13.63"/>
    <col customWidth="1" min="20" max="20" width="16.13" outlineLevel="1"/>
    <col customWidth="1" min="21" max="21" width="16.13" outlineLevel="2"/>
    <col customWidth="1" min="22" max="22" width="16.13" outlineLevel="1"/>
    <col customWidth="1" min="23" max="23" width="16.13" outlineLevel="2"/>
    <col customWidth="1" min="24" max="24" width="13.25"/>
    <col customWidth="1" min="25" max="25" width="13.38"/>
    <col customWidth="1" min="26" max="27" width="14.75"/>
    <col customWidth="1" min="28" max="28" width="47.13"/>
    <col customWidth="1" min="29" max="29" width="41.0"/>
    <col customWidth="1" min="30" max="30" width="22.75"/>
    <col customWidth="1" min="31" max="31" width="20.25"/>
    <col customWidth="1" min="32" max="33" width="19.13"/>
    <col customWidth="1" min="34" max="34" width="11.63"/>
    <col customWidth="1" min="35" max="35" width="13.38"/>
    <col customWidth="1" min="36" max="40" width="13.38" outlineLevel="1"/>
    <col customWidth="1" min="41" max="41" width="18.63"/>
    <col customWidth="1" min="42" max="44" width="18.63" outlineLevel="1"/>
    <col customWidth="1" min="45" max="45" width="10.38"/>
    <col customWidth="1" min="46" max="46" width="12.0"/>
    <col customWidth="1" min="47" max="47" width="19.88"/>
    <col customWidth="1" min="48" max="48" width="19.63"/>
    <col customWidth="1" min="49" max="49" width="15.75"/>
    <col customWidth="1" min="50" max="50" width="15.5"/>
    <col customWidth="1" min="51" max="51" width="17.5"/>
    <col customWidth="1" min="52" max="52" width="12.88"/>
    <col customWidth="1" min="53" max="53" width="15.0"/>
    <col customWidth="1" min="54" max="54" width="27.0"/>
    <col customWidth="1" min="55" max="55" width="22.0"/>
    <col customWidth="1" min="56" max="56" width="19.63"/>
    <col customWidth="1" min="57" max="57" width="17.0"/>
    <col customWidth="1" min="58" max="58" width="19.13"/>
    <col customWidth="1" min="59" max="59" width="27.63"/>
    <col customWidth="1" min="60" max="60" width="24.38"/>
    <col customWidth="1" min="61" max="61" width="14.13"/>
    <col customWidth="1" min="62" max="62" width="13.0"/>
    <col customWidth="1" min="63" max="63" width="14.0"/>
    <col customWidth="1" min="64" max="64" width="14.13"/>
    <col customWidth="1" min="65" max="65" width="17.63" outlineLevel="1"/>
    <col customWidth="1" min="66" max="66" width="17.75" outlineLevel="1"/>
    <col customWidth="1" min="67" max="67" width="16.38" outlineLevel="1"/>
    <col customWidth="1" min="68" max="69" width="15.63"/>
    <col customWidth="1" min="70" max="70" width="39.88"/>
    <col customWidth="1" min="71" max="71" width="9.0"/>
    <col customWidth="1" min="72" max="73" width="11.25"/>
  </cols>
  <sheetData>
    <row r="1" ht="6.0" customHeight="1" outlineLevel="1">
      <c r="B1" s="172" t="s">
        <v>274</v>
      </c>
      <c r="C1" s="173"/>
      <c r="D1" s="174"/>
      <c r="E1" s="173"/>
      <c r="F1" s="173"/>
      <c r="G1" s="175"/>
      <c r="H1" s="7"/>
      <c r="I1" s="176"/>
      <c r="J1" s="177"/>
      <c r="K1" s="177"/>
      <c r="L1" s="177"/>
      <c r="M1" s="178"/>
      <c r="N1" s="179"/>
      <c r="O1" s="180"/>
      <c r="P1" s="180"/>
      <c r="Q1" s="179"/>
      <c r="R1" s="179"/>
      <c r="S1" s="181"/>
      <c r="T1" s="182"/>
      <c r="U1" s="182"/>
      <c r="V1" s="182"/>
      <c r="W1" s="182"/>
      <c r="X1" s="183"/>
      <c r="Y1" s="184"/>
      <c r="Z1" s="183"/>
      <c r="AA1" s="183"/>
      <c r="AB1" s="117"/>
      <c r="AC1" s="117"/>
      <c r="AD1" s="185"/>
      <c r="AE1" s="183"/>
      <c r="AF1" s="186"/>
      <c r="AG1" s="186"/>
      <c r="AH1" s="184"/>
      <c r="AI1" s="184"/>
      <c r="AJ1" s="184"/>
      <c r="AK1" s="184"/>
      <c r="AL1" s="184"/>
      <c r="AM1" s="184"/>
      <c r="AN1" s="184"/>
      <c r="AO1" s="184"/>
      <c r="AP1" s="184"/>
      <c r="AQ1" s="184"/>
      <c r="AR1" s="184"/>
      <c r="AS1" s="187"/>
      <c r="AT1" s="187"/>
      <c r="AU1" s="179"/>
      <c r="AV1" s="179"/>
      <c r="AW1" s="188"/>
      <c r="AX1" s="179"/>
      <c r="AY1" s="179"/>
      <c r="AZ1" s="179"/>
      <c r="BA1" s="179"/>
      <c r="BB1" s="189"/>
      <c r="BC1" s="179"/>
      <c r="BD1" s="179"/>
      <c r="BE1" s="179"/>
      <c r="BF1" s="179"/>
      <c r="BG1" s="179"/>
      <c r="BH1" s="179"/>
      <c r="BI1" s="190"/>
      <c r="BJ1" s="191"/>
      <c r="BK1" s="191"/>
      <c r="BL1" s="191"/>
      <c r="BM1" s="191"/>
      <c r="BN1" s="191"/>
      <c r="BO1" s="191"/>
      <c r="BP1" s="192"/>
      <c r="BQ1" s="192"/>
      <c r="BR1" s="179"/>
      <c r="BS1" s="179"/>
      <c r="BT1" s="179"/>
      <c r="BU1" s="179"/>
    </row>
    <row r="2" outlineLevel="1">
      <c r="A2" s="193"/>
      <c r="B2" s="194" t="s">
        <v>210</v>
      </c>
      <c r="G2" s="195"/>
      <c r="H2" s="196"/>
      <c r="I2" s="196"/>
      <c r="J2" s="195"/>
      <c r="K2" s="195"/>
      <c r="L2" s="197"/>
      <c r="M2" s="195"/>
      <c r="N2" s="195"/>
      <c r="O2" s="195"/>
      <c r="P2" s="195"/>
      <c r="Q2" s="179"/>
      <c r="R2" s="179"/>
      <c r="S2" s="195"/>
      <c r="T2" s="198"/>
      <c r="U2" s="198"/>
      <c r="V2" s="198"/>
      <c r="W2" s="198"/>
      <c r="X2" s="186"/>
      <c r="Y2" s="187"/>
      <c r="Z2" s="186"/>
      <c r="AA2" s="186"/>
      <c r="AB2" s="2"/>
      <c r="AC2" s="2"/>
      <c r="AD2" s="199"/>
      <c r="AE2" s="186"/>
      <c r="AF2" s="186"/>
      <c r="AG2" s="186"/>
      <c r="AH2" s="187"/>
      <c r="AI2" s="187"/>
      <c r="AJ2" s="187"/>
      <c r="AK2" s="187"/>
      <c r="AL2" s="187"/>
      <c r="AM2" s="187"/>
      <c r="AN2" s="187"/>
      <c r="AO2" s="187"/>
      <c r="AP2" s="187"/>
      <c r="AQ2" s="187"/>
      <c r="AR2" s="187"/>
      <c r="AS2" s="187"/>
      <c r="AT2" s="187"/>
      <c r="AU2" s="179"/>
      <c r="AV2" s="179"/>
      <c r="AW2" s="188"/>
      <c r="AX2" s="179"/>
      <c r="AY2" s="179"/>
      <c r="AZ2" s="179"/>
      <c r="BA2" s="179"/>
      <c r="BB2" s="179"/>
      <c r="BC2" s="179"/>
      <c r="BD2" s="179"/>
      <c r="BE2" s="179"/>
      <c r="BF2" s="179"/>
      <c r="BG2" s="179"/>
      <c r="BH2" s="179"/>
      <c r="BI2" s="190"/>
      <c r="BJ2" s="191"/>
      <c r="BK2" s="191"/>
      <c r="BL2" s="191"/>
      <c r="BM2" s="191"/>
      <c r="BN2" s="191"/>
      <c r="BO2" s="191"/>
      <c r="BP2" s="192"/>
      <c r="BQ2" s="192"/>
      <c r="BR2" s="179"/>
      <c r="BS2" s="179"/>
      <c r="BT2" s="179"/>
      <c r="BU2" s="179"/>
    </row>
    <row r="3" outlineLevel="1">
      <c r="A3" s="200"/>
      <c r="B3" s="200"/>
      <c r="C3" s="201" t="s">
        <v>275</v>
      </c>
      <c r="D3" s="202">
        <v>45820.0</v>
      </c>
      <c r="E3" s="203"/>
      <c r="F3" s="204" t="s">
        <v>276</v>
      </c>
      <c r="G3" s="181"/>
      <c r="H3" s="139"/>
      <c r="I3" s="205"/>
      <c r="J3" s="181"/>
      <c r="K3" s="181"/>
      <c r="L3" s="181"/>
      <c r="M3" s="180"/>
      <c r="N3" s="180"/>
      <c r="O3" s="180"/>
      <c r="P3" s="180"/>
      <c r="Q3" s="179"/>
      <c r="R3" s="179"/>
      <c r="S3" s="181"/>
      <c r="T3" s="182"/>
      <c r="U3" s="182"/>
      <c r="V3" s="182"/>
      <c r="W3" s="182"/>
      <c r="X3" s="183"/>
      <c r="Y3" s="184"/>
      <c r="Z3" s="183"/>
      <c r="AA3" s="183"/>
      <c r="AB3" s="117"/>
      <c r="AC3" s="117"/>
      <c r="AD3" s="185"/>
      <c r="AE3" s="183"/>
      <c r="AF3" s="186"/>
      <c r="AG3" s="186"/>
      <c r="AH3" s="184"/>
      <c r="AI3" s="184"/>
      <c r="AJ3" s="184"/>
      <c r="AK3" s="184"/>
      <c r="AL3" s="184"/>
      <c r="AM3" s="184"/>
      <c r="AN3" s="184"/>
      <c r="AO3" s="184"/>
      <c r="AP3" s="184"/>
      <c r="AQ3" s="184"/>
      <c r="AR3" s="184"/>
      <c r="AS3" s="184"/>
      <c r="AT3" s="184"/>
      <c r="AU3" s="189"/>
      <c r="AV3" s="189"/>
      <c r="AW3" s="206"/>
      <c r="AX3" s="189"/>
      <c r="AY3" s="189"/>
      <c r="AZ3" s="189"/>
      <c r="BA3" s="207"/>
      <c r="BB3" s="189"/>
      <c r="BC3" s="189"/>
      <c r="BD3" s="189"/>
      <c r="BE3" s="189"/>
      <c r="BF3" s="189"/>
      <c r="BG3" s="189"/>
      <c r="BH3" s="189"/>
      <c r="BI3" s="190"/>
      <c r="BJ3" s="208"/>
      <c r="BK3" s="208"/>
      <c r="BL3" s="208"/>
      <c r="BM3" s="208"/>
      <c r="BN3" s="208"/>
      <c r="BO3" s="208"/>
      <c r="BP3" s="192"/>
      <c r="BQ3" s="192"/>
      <c r="BR3" s="189"/>
      <c r="BS3" s="189"/>
      <c r="BT3" s="189"/>
      <c r="BU3" s="189"/>
    </row>
    <row r="4" outlineLevel="1">
      <c r="A4" s="200"/>
      <c r="B4" s="200"/>
      <c r="D4" s="209" t="str">
        <f t="array" ref="D4">"("&amp;xlookup(D3,'FL5_POR_包裝對照表 Release Note'!C:C,'FL5_POR_包裝對照表 Release Note'!B:B,"",0,1)&amp;")"</f>
        <v>(V04)</v>
      </c>
      <c r="E4" s="210" t="s">
        <v>277</v>
      </c>
      <c r="F4" s="211" t="s">
        <v>278</v>
      </c>
      <c r="G4" s="212" t="s">
        <v>279</v>
      </c>
      <c r="H4" s="213">
        <f>SUM(D7:D9)+SUM(F7:F9)+sum(H7:H8)</f>
        <v>185</v>
      </c>
      <c r="I4" s="205"/>
      <c r="J4" s="181"/>
      <c r="K4" s="181"/>
      <c r="L4" s="181"/>
      <c r="M4" s="180"/>
      <c r="N4" s="180"/>
      <c r="O4" s="180"/>
      <c r="P4" s="180"/>
      <c r="Q4" s="179"/>
      <c r="R4" s="179"/>
      <c r="S4" s="181"/>
      <c r="T4" s="182"/>
      <c r="U4" s="182"/>
      <c r="V4" s="182"/>
      <c r="W4" s="182"/>
      <c r="X4" s="183"/>
      <c r="Y4" s="184"/>
      <c r="Z4" s="183"/>
      <c r="AA4" s="183"/>
      <c r="AB4" s="117"/>
      <c r="AC4" s="117"/>
      <c r="AD4" s="185"/>
      <c r="AE4" s="183"/>
      <c r="AF4" s="186"/>
      <c r="AG4" s="186"/>
      <c r="AH4" s="184"/>
      <c r="AI4" s="184"/>
      <c r="AJ4" s="184"/>
      <c r="AK4" s="184"/>
      <c r="AL4" s="184"/>
      <c r="AM4" s="184"/>
      <c r="AN4" s="184"/>
      <c r="AO4" s="184"/>
      <c r="AP4" s="184"/>
      <c r="AQ4" s="184"/>
      <c r="AR4" s="184"/>
      <c r="AS4" s="184"/>
      <c r="AT4" s="184"/>
      <c r="AU4" s="189"/>
      <c r="AV4" s="189"/>
      <c r="AW4" s="206"/>
      <c r="AX4" s="189"/>
      <c r="AY4" s="189"/>
      <c r="AZ4" s="189"/>
      <c r="BA4" s="207"/>
      <c r="BC4" s="189"/>
      <c r="BD4" s="189"/>
      <c r="BE4" s="189"/>
      <c r="BF4" s="189"/>
      <c r="BG4" s="189"/>
      <c r="BH4" s="189"/>
      <c r="BI4" s="190"/>
      <c r="BJ4" s="208"/>
      <c r="BK4" s="208"/>
      <c r="BL4" s="208"/>
      <c r="BM4" s="208"/>
      <c r="BN4" s="208"/>
      <c r="BO4" s="208"/>
      <c r="BP4" s="192"/>
      <c r="BQ4" s="192"/>
      <c r="BR4" s="189"/>
      <c r="BS4" s="189"/>
      <c r="BT4" s="189"/>
      <c r="BU4" s="189"/>
    </row>
    <row r="5" ht="6.75" customHeight="1" outlineLevel="1">
      <c r="A5" s="200"/>
      <c r="B5" s="200"/>
      <c r="C5" s="214"/>
      <c r="D5" s="215"/>
      <c r="E5" s="216"/>
      <c r="F5" s="117"/>
      <c r="G5" s="181"/>
      <c r="H5" s="139"/>
      <c r="I5" s="205"/>
      <c r="J5" s="181"/>
      <c r="K5" s="181"/>
      <c r="L5" s="181"/>
      <c r="M5" s="216"/>
      <c r="N5" s="216"/>
      <c r="O5" s="216"/>
      <c r="P5" s="216"/>
      <c r="Q5" s="179"/>
      <c r="R5" s="179"/>
      <c r="S5" s="181"/>
      <c r="T5" s="182"/>
      <c r="U5" s="182"/>
      <c r="V5" s="182"/>
      <c r="W5" s="182"/>
      <c r="X5" s="183"/>
      <c r="Y5" s="184"/>
      <c r="Z5" s="183"/>
      <c r="AA5" s="183"/>
      <c r="AB5" s="117"/>
      <c r="AC5" s="117"/>
      <c r="AD5" s="185"/>
      <c r="AE5" s="183"/>
      <c r="AF5" s="186"/>
      <c r="AG5" s="186"/>
      <c r="AH5" s="184"/>
      <c r="AI5" s="184"/>
      <c r="AJ5" s="184"/>
      <c r="AK5" s="184"/>
      <c r="AL5" s="184"/>
      <c r="AM5" s="184"/>
      <c r="AN5" s="184"/>
      <c r="AO5" s="184"/>
      <c r="AP5" s="184"/>
      <c r="AQ5" s="184"/>
      <c r="AR5" s="184"/>
      <c r="AS5" s="184"/>
      <c r="AT5" s="184"/>
      <c r="AU5" s="189"/>
      <c r="AV5" s="189"/>
      <c r="AW5" s="206"/>
      <c r="AX5" s="189"/>
      <c r="AZ5" s="189"/>
      <c r="BA5" s="189"/>
      <c r="BB5" s="189"/>
      <c r="BC5" s="189"/>
      <c r="BD5" s="189"/>
      <c r="BE5" s="189"/>
      <c r="BF5" s="189"/>
      <c r="BG5" s="189"/>
      <c r="BH5" s="189"/>
      <c r="BI5" s="190"/>
      <c r="BJ5" s="208"/>
      <c r="BK5" s="208"/>
      <c r="BL5" s="208"/>
      <c r="BM5" s="208"/>
      <c r="BN5" s="208"/>
      <c r="BO5" s="208"/>
      <c r="BP5" s="192"/>
      <c r="BQ5" s="192"/>
      <c r="BR5" s="189"/>
      <c r="BS5" s="189"/>
      <c r="BT5" s="189"/>
      <c r="BU5" s="189"/>
    </row>
    <row r="6" outlineLevel="1">
      <c r="A6" s="200"/>
      <c r="B6" s="200"/>
      <c r="C6" s="217" t="s">
        <v>280</v>
      </c>
      <c r="D6" s="218" t="s">
        <v>281</v>
      </c>
      <c r="E6" s="217" t="s">
        <v>280</v>
      </c>
      <c r="F6" s="218" t="s">
        <v>281</v>
      </c>
      <c r="G6" s="217" t="s">
        <v>280</v>
      </c>
      <c r="H6" s="219" t="s">
        <v>281</v>
      </c>
      <c r="I6" s="196"/>
      <c r="J6" s="216"/>
      <c r="K6" s="216"/>
      <c r="L6" s="220"/>
      <c r="M6" s="216"/>
      <c r="N6" s="216"/>
      <c r="O6" s="216"/>
      <c r="P6" s="216"/>
      <c r="Q6" s="179"/>
      <c r="R6" s="179"/>
      <c r="S6" s="216"/>
      <c r="T6" s="182"/>
      <c r="U6" s="182"/>
      <c r="V6" s="182"/>
      <c r="W6" s="182"/>
      <c r="X6" s="183"/>
      <c r="Y6" s="184"/>
      <c r="Z6" s="183"/>
      <c r="AA6" s="183"/>
      <c r="AB6" s="117"/>
      <c r="AC6" s="117"/>
      <c r="AD6" s="185"/>
      <c r="AE6" s="183"/>
      <c r="AF6" s="186"/>
      <c r="AG6" s="186"/>
      <c r="AH6" s="184"/>
      <c r="AI6" s="184"/>
      <c r="AJ6" s="184"/>
      <c r="AK6" s="184"/>
      <c r="AL6" s="184"/>
      <c r="AM6" s="184"/>
      <c r="AN6" s="184"/>
      <c r="AO6" s="184"/>
      <c r="AP6" s="184"/>
      <c r="AQ6" s="184"/>
      <c r="AR6" s="184"/>
      <c r="AS6" s="184"/>
      <c r="AT6" s="184"/>
      <c r="AU6" s="189"/>
      <c r="AV6" s="189"/>
      <c r="AW6" s="206"/>
      <c r="AX6" s="189"/>
      <c r="AY6" s="189"/>
      <c r="AZ6" s="189"/>
      <c r="BA6" s="189"/>
      <c r="BB6" s="189"/>
      <c r="BC6" s="189"/>
      <c r="BD6" s="189"/>
      <c r="BE6" s="189"/>
      <c r="BF6" s="189"/>
      <c r="BG6" s="189"/>
      <c r="BH6" s="189"/>
      <c r="BI6" s="190"/>
      <c r="BJ6" s="208"/>
      <c r="BK6" s="208"/>
      <c r="BL6" s="208"/>
      <c r="BM6" s="208"/>
      <c r="BN6" s="208"/>
      <c r="BO6" s="208"/>
      <c r="BP6" s="192"/>
      <c r="BQ6" s="192"/>
      <c r="BR6" s="189"/>
      <c r="BS6" s="189"/>
      <c r="BT6" s="189"/>
      <c r="BU6" s="189"/>
    </row>
    <row r="7" outlineLevel="1">
      <c r="A7" s="200"/>
      <c r="B7" s="200"/>
      <c r="C7" s="221" t="s">
        <v>282</v>
      </c>
      <c r="D7" s="222">
        <f>countifs($C$12:$D$204,C7)-countifs(C12:C204,$C$7,D12:D204,"Cancel")</f>
        <v>47</v>
      </c>
      <c r="E7" s="221" t="s">
        <v>283</v>
      </c>
      <c r="F7" s="222">
        <f>countifs($C$12:$D$204,E7)-countifs(C12:C204,$E$7,D12:D204,"Cancel")</f>
        <v>16</v>
      </c>
      <c r="G7" s="221" t="s">
        <v>284</v>
      </c>
      <c r="H7" s="223">
        <f>countifs($C$12:$D$204,G7)-countifs(C12:C204,$G$7,D12:D204,"Cancel")</f>
        <v>47</v>
      </c>
      <c r="I7" s="196"/>
      <c r="J7" s="216"/>
      <c r="K7" s="216"/>
      <c r="L7" s="220"/>
      <c r="M7" s="216"/>
      <c r="N7" s="216"/>
      <c r="O7" s="216"/>
      <c r="P7" s="216"/>
      <c r="Q7" s="224"/>
      <c r="R7" s="224"/>
      <c r="S7" s="216"/>
      <c r="T7" s="182"/>
      <c r="U7" s="182"/>
      <c r="V7" s="182"/>
      <c r="W7" s="182"/>
      <c r="X7" s="183"/>
      <c r="Y7" s="184"/>
      <c r="Z7" s="183"/>
      <c r="AA7" s="183"/>
      <c r="AB7" s="117"/>
      <c r="AC7" s="117"/>
      <c r="AD7" s="185"/>
      <c r="AE7" s="183"/>
      <c r="AF7" s="186"/>
      <c r="AG7" s="186"/>
      <c r="AH7" s="184"/>
      <c r="AI7" s="184"/>
      <c r="AJ7" s="184"/>
      <c r="AK7" s="184"/>
      <c r="AL7" s="184"/>
      <c r="AM7" s="184"/>
      <c r="AN7" s="184"/>
      <c r="AO7" s="184"/>
      <c r="AP7" s="184"/>
      <c r="AQ7" s="184"/>
      <c r="AR7" s="184"/>
      <c r="AS7" s="184"/>
      <c r="AT7" s="184"/>
      <c r="AU7" s="189"/>
      <c r="AV7" s="189"/>
      <c r="AW7" s="206"/>
      <c r="AX7" s="189"/>
      <c r="AY7" s="189"/>
      <c r="AZ7" s="189"/>
      <c r="BA7" s="189"/>
      <c r="BB7" s="189"/>
      <c r="BC7" s="189"/>
      <c r="BD7" s="189"/>
      <c r="BE7" s="189"/>
      <c r="BF7" s="189"/>
      <c r="BG7" s="189"/>
      <c r="BH7" s="189"/>
      <c r="BI7" s="190"/>
      <c r="BJ7" s="208"/>
      <c r="BK7" s="208"/>
      <c r="BL7" s="208"/>
      <c r="BM7" s="225" t="s">
        <v>285</v>
      </c>
      <c r="BN7" s="208"/>
      <c r="BO7" s="208"/>
      <c r="BP7" s="192"/>
      <c r="BQ7" s="192"/>
      <c r="BR7" s="189"/>
      <c r="BS7" s="189"/>
      <c r="BT7" s="189"/>
      <c r="BU7" s="189"/>
    </row>
    <row r="8" outlineLevel="1">
      <c r="A8" s="200"/>
      <c r="B8" s="200"/>
      <c r="C8" s="221" t="s">
        <v>286</v>
      </c>
      <c r="D8" s="222">
        <f>countifs($C$12:$D$204,C8)-countifs(C12:C204,$C$8,D12:D204,"Cancel")</f>
        <v>8</v>
      </c>
      <c r="E8" s="221" t="s">
        <v>287</v>
      </c>
      <c r="F8" s="222">
        <f>countifs($C$12:$D$204,E8)-countifs(C12:C204,$E$8,D12:D204,"Cancel")</f>
        <v>14</v>
      </c>
      <c r="G8" s="221" t="s">
        <v>288</v>
      </c>
      <c r="H8" s="223">
        <f>countifs($C$12:$D$204,G8)</f>
        <v>0</v>
      </c>
      <c r="I8" s="196"/>
      <c r="J8" s="216"/>
      <c r="K8" s="216"/>
      <c r="L8" s="220"/>
      <c r="M8" s="220"/>
      <c r="N8" s="226"/>
      <c r="O8" s="227"/>
      <c r="P8" s="227"/>
      <c r="Q8" s="224"/>
      <c r="R8" s="224"/>
      <c r="S8" s="216"/>
      <c r="T8" s="227"/>
      <c r="U8" s="227"/>
      <c r="V8" s="182"/>
      <c r="W8" s="182"/>
      <c r="X8" s="183"/>
      <c r="Y8" s="184"/>
      <c r="Z8" s="183"/>
      <c r="AA8" s="183"/>
      <c r="AB8" s="117"/>
      <c r="AC8" s="117"/>
      <c r="AD8" s="185"/>
      <c r="AE8" s="183"/>
      <c r="AF8" s="186"/>
      <c r="AG8" s="186"/>
      <c r="AH8" s="184"/>
      <c r="AI8" s="184"/>
      <c r="AJ8" s="184"/>
      <c r="AK8" s="184"/>
      <c r="AL8" s="184"/>
      <c r="AM8" s="184"/>
      <c r="AN8" s="184"/>
      <c r="AO8" s="184"/>
      <c r="AP8" s="184"/>
      <c r="AQ8" s="184"/>
      <c r="AR8" s="184"/>
      <c r="AS8" s="184"/>
      <c r="AT8" s="184"/>
      <c r="AU8" s="189"/>
      <c r="AV8" s="189"/>
      <c r="AW8" s="206"/>
      <c r="AX8" s="189"/>
      <c r="AY8" s="189"/>
      <c r="AZ8" s="189"/>
      <c r="BA8" s="189"/>
      <c r="BB8" s="189"/>
      <c r="BC8" s="189"/>
      <c r="BD8" s="189"/>
      <c r="BE8" s="189"/>
      <c r="BF8" s="228"/>
      <c r="BG8" s="189"/>
      <c r="BH8" s="189"/>
      <c r="BI8" s="190"/>
      <c r="BJ8" s="208"/>
      <c r="BK8" s="208"/>
      <c r="BL8" s="208"/>
      <c r="BM8" s="208"/>
      <c r="BN8" s="208"/>
      <c r="BO8" s="208"/>
      <c r="BP8" s="229"/>
      <c r="BQ8" s="229"/>
      <c r="BR8" s="230"/>
      <c r="BS8" s="226"/>
      <c r="BT8" s="226"/>
      <c r="BU8" s="226"/>
    </row>
    <row r="9" outlineLevel="1">
      <c r="A9" s="200"/>
      <c r="B9" s="200"/>
      <c r="C9" s="221" t="s">
        <v>289</v>
      </c>
      <c r="D9" s="222">
        <f>countifs($C$12:$D$204,C9)-countifs(C12:C204,$C$9,D12:D204,"Cancel")</f>
        <v>33</v>
      </c>
      <c r="E9" s="221" t="s">
        <v>290</v>
      </c>
      <c r="F9" s="222">
        <f>countifs($C$12:$D$204,E9)-countifs(C12:C204,$E$9,D12:D204,"Cancel")</f>
        <v>20</v>
      </c>
      <c r="G9" s="231" t="s">
        <v>291</v>
      </c>
      <c r="H9" s="232">
        <f>countifs($D$12:$D$204,G9)</f>
        <v>8</v>
      </c>
      <c r="I9" s="196"/>
      <c r="J9" s="216"/>
      <c r="K9" s="216"/>
      <c r="L9" s="220"/>
      <c r="M9" s="220"/>
      <c r="N9" s="233" t="s">
        <v>292</v>
      </c>
      <c r="O9" s="207"/>
      <c r="P9" s="207"/>
      <c r="Q9" s="234" t="s">
        <v>293</v>
      </c>
      <c r="R9" s="234" t="s">
        <v>294</v>
      </c>
      <c r="S9" s="233" t="s">
        <v>295</v>
      </c>
      <c r="T9" s="235"/>
      <c r="U9" s="235"/>
      <c r="V9" s="236" t="s">
        <v>296</v>
      </c>
      <c r="W9" s="236" t="s">
        <v>297</v>
      </c>
      <c r="X9" s="237" t="s">
        <v>298</v>
      </c>
      <c r="Y9" s="184"/>
      <c r="Z9" s="238" t="s">
        <v>299</v>
      </c>
      <c r="AA9" s="238" t="s">
        <v>299</v>
      </c>
      <c r="AB9" s="117"/>
      <c r="AC9" s="117"/>
      <c r="AD9" s="185"/>
      <c r="AE9" s="239" t="s">
        <v>300</v>
      </c>
      <c r="AF9" s="240"/>
      <c r="AG9" s="240" t="s">
        <v>300</v>
      </c>
      <c r="AH9" s="239" t="s">
        <v>301</v>
      </c>
      <c r="AI9" s="184"/>
      <c r="AJ9" s="184"/>
      <c r="AK9" s="184"/>
      <c r="AL9" s="184"/>
      <c r="AM9" s="184"/>
      <c r="AN9" s="184"/>
      <c r="AO9" s="184" t="s">
        <v>302</v>
      </c>
      <c r="AP9" s="184"/>
      <c r="AQ9" s="241" t="s">
        <v>303</v>
      </c>
      <c r="AR9" s="241" t="s">
        <v>304</v>
      </c>
      <c r="AS9" s="184"/>
      <c r="AT9" s="184"/>
      <c r="AU9" s="189"/>
      <c r="AV9" s="189"/>
      <c r="AW9" s="239" t="s">
        <v>305</v>
      </c>
      <c r="AX9" s="242"/>
      <c r="AY9" s="242"/>
      <c r="AZ9" s="242"/>
      <c r="BA9" s="242"/>
      <c r="BB9" s="242"/>
      <c r="BC9" s="242"/>
      <c r="BD9" s="241" t="s">
        <v>306</v>
      </c>
      <c r="BE9" s="241" t="s">
        <v>304</v>
      </c>
      <c r="BF9" s="239" t="s">
        <v>305</v>
      </c>
      <c r="BG9" s="242"/>
      <c r="BH9" s="242"/>
      <c r="BI9" s="243"/>
      <c r="BJ9" s="244"/>
      <c r="BK9" s="244"/>
      <c r="BL9" s="244"/>
      <c r="BM9" s="239" t="s">
        <v>307</v>
      </c>
      <c r="BN9" s="239" t="s">
        <v>308</v>
      </c>
      <c r="BO9" s="239" t="s">
        <v>309</v>
      </c>
      <c r="BP9" s="245" t="s">
        <v>306</v>
      </c>
      <c r="BQ9" s="245" t="s">
        <v>303</v>
      </c>
      <c r="BR9" s="242"/>
      <c r="BS9" s="242"/>
      <c r="BT9" s="242"/>
      <c r="BU9" s="242"/>
    </row>
    <row r="10" ht="14.25" customHeight="1" outlineLevel="1">
      <c r="A10" s="246"/>
      <c r="B10" s="246"/>
      <c r="C10" s="246"/>
      <c r="D10" s="247"/>
      <c r="E10" s="246"/>
      <c r="F10" s="248"/>
      <c r="G10" s="246"/>
      <c r="H10" s="246" t="s">
        <v>310</v>
      </c>
      <c r="I10" s="248"/>
      <c r="J10" s="249"/>
      <c r="K10" s="249" t="s">
        <v>311</v>
      </c>
      <c r="L10" s="249" t="s">
        <v>312</v>
      </c>
      <c r="M10" s="248" t="s">
        <v>313</v>
      </c>
      <c r="N10" s="250" t="s">
        <v>314</v>
      </c>
      <c r="O10" s="251" t="s">
        <v>315</v>
      </c>
      <c r="P10" s="251" t="s">
        <v>316</v>
      </c>
      <c r="Q10" s="250"/>
      <c r="R10" s="250"/>
      <c r="S10" s="250" t="s">
        <v>314</v>
      </c>
      <c r="T10" s="251" t="s">
        <v>315</v>
      </c>
      <c r="U10" s="251" t="s">
        <v>316</v>
      </c>
      <c r="V10" s="251" t="s">
        <v>316</v>
      </c>
      <c r="W10" s="251"/>
      <c r="X10" s="252" t="s">
        <v>317</v>
      </c>
      <c r="Y10" s="253" t="s">
        <v>318</v>
      </c>
      <c r="Z10" s="254" t="s">
        <v>319</v>
      </c>
      <c r="AA10" s="254" t="s">
        <v>319</v>
      </c>
      <c r="AB10" s="246"/>
      <c r="AC10" s="248"/>
      <c r="AD10" s="255" t="s">
        <v>320</v>
      </c>
      <c r="AE10" s="255" t="s">
        <v>320</v>
      </c>
      <c r="AF10" s="256" t="s">
        <v>321</v>
      </c>
      <c r="AG10" s="256" t="s">
        <v>321</v>
      </c>
      <c r="AH10" s="246" t="s">
        <v>322</v>
      </c>
      <c r="AI10" s="248" t="s">
        <v>323</v>
      </c>
      <c r="AJ10" s="248"/>
      <c r="AK10" s="248" t="s">
        <v>324</v>
      </c>
      <c r="AL10" s="246" t="s">
        <v>325</v>
      </c>
      <c r="AM10" s="246" t="s">
        <v>326</v>
      </c>
      <c r="AN10" s="246" t="s">
        <v>327</v>
      </c>
      <c r="AO10" s="253" t="s">
        <v>318</v>
      </c>
      <c r="AP10" s="253" t="s">
        <v>318</v>
      </c>
      <c r="AQ10" s="257" t="s">
        <v>328</v>
      </c>
      <c r="AR10" s="257" t="s">
        <v>328</v>
      </c>
      <c r="AS10" s="248"/>
      <c r="AT10" s="246"/>
      <c r="AU10" s="257" t="s">
        <v>328</v>
      </c>
      <c r="AV10" s="257" t="s">
        <v>328</v>
      </c>
      <c r="AW10" s="228" t="s">
        <v>329</v>
      </c>
      <c r="AX10" s="258" t="s">
        <v>330</v>
      </c>
      <c r="AY10" s="258" t="s">
        <v>331</v>
      </c>
      <c r="AZ10" s="250"/>
      <c r="BA10" s="257" t="s">
        <v>328</v>
      </c>
      <c r="BB10" s="250" t="s">
        <v>332</v>
      </c>
      <c r="BC10" s="250" t="s">
        <v>333</v>
      </c>
      <c r="BD10" s="257" t="s">
        <v>328</v>
      </c>
      <c r="BE10" s="257" t="s">
        <v>328</v>
      </c>
      <c r="BF10" s="258" t="s">
        <v>329</v>
      </c>
      <c r="BG10" s="259" t="s">
        <v>334</v>
      </c>
      <c r="BH10" s="259" t="s">
        <v>335</v>
      </c>
      <c r="BI10" s="260" t="s">
        <v>336</v>
      </c>
      <c r="BJ10" s="261"/>
      <c r="BK10" s="259" t="s">
        <v>337</v>
      </c>
      <c r="BL10" s="258" t="s">
        <v>338</v>
      </c>
      <c r="BM10" s="262" t="s">
        <v>339</v>
      </c>
      <c r="BN10" s="262" t="s">
        <v>339</v>
      </c>
      <c r="BO10" s="262" t="s">
        <v>339</v>
      </c>
      <c r="BP10" s="263" t="s">
        <v>328</v>
      </c>
      <c r="BQ10" s="263" t="s">
        <v>328</v>
      </c>
      <c r="BR10" s="250"/>
      <c r="BS10" s="250"/>
      <c r="BT10" s="250"/>
      <c r="BU10" s="250"/>
    </row>
    <row r="11">
      <c r="A11" s="264"/>
      <c r="B11" s="265" t="s">
        <v>340</v>
      </c>
      <c r="C11" s="265" t="s">
        <v>341</v>
      </c>
      <c r="D11" s="265" t="s">
        <v>342</v>
      </c>
      <c r="E11" s="265" t="s">
        <v>343</v>
      </c>
      <c r="F11" s="266" t="s">
        <v>344</v>
      </c>
      <c r="G11" s="265" t="s">
        <v>345</v>
      </c>
      <c r="H11" s="265" t="s">
        <v>346</v>
      </c>
      <c r="I11" s="265" t="s">
        <v>347</v>
      </c>
      <c r="J11" s="267" t="s">
        <v>348</v>
      </c>
      <c r="K11" s="268" t="s">
        <v>349</v>
      </c>
      <c r="L11" s="265" t="s">
        <v>350</v>
      </c>
      <c r="M11" s="265" t="s">
        <v>351</v>
      </c>
      <c r="N11" s="269" t="s">
        <v>352</v>
      </c>
      <c r="O11" s="269" t="s">
        <v>353</v>
      </c>
      <c r="P11" s="269" t="s">
        <v>354</v>
      </c>
      <c r="Q11" s="270" t="s">
        <v>355</v>
      </c>
      <c r="R11" s="271" t="s">
        <v>356</v>
      </c>
      <c r="S11" s="272" t="s">
        <v>357</v>
      </c>
      <c r="T11" s="273" t="s">
        <v>358</v>
      </c>
      <c r="U11" s="273" t="s">
        <v>359</v>
      </c>
      <c r="V11" s="273" t="s">
        <v>360</v>
      </c>
      <c r="W11" s="273" t="s">
        <v>361</v>
      </c>
      <c r="X11" s="274" t="s">
        <v>362</v>
      </c>
      <c r="Y11" s="275" t="s">
        <v>363</v>
      </c>
      <c r="Z11" s="274" t="s">
        <v>364</v>
      </c>
      <c r="AA11" s="272" t="s">
        <v>365</v>
      </c>
      <c r="AB11" s="265" t="s">
        <v>366</v>
      </c>
      <c r="AC11" s="267" t="s">
        <v>367</v>
      </c>
      <c r="AD11" s="276" t="s">
        <v>368</v>
      </c>
      <c r="AE11" s="275" t="s">
        <v>369</v>
      </c>
      <c r="AF11" s="273" t="s">
        <v>370</v>
      </c>
      <c r="AG11" s="273" t="s">
        <v>371</v>
      </c>
      <c r="AH11" s="265" t="s">
        <v>372</v>
      </c>
      <c r="AI11" s="277" t="s">
        <v>373</v>
      </c>
      <c r="AJ11" s="278" t="s">
        <v>374</v>
      </c>
      <c r="AK11" s="279" t="s">
        <v>375</v>
      </c>
      <c r="AL11" s="280" t="s">
        <v>376</v>
      </c>
      <c r="AM11" s="281" t="s">
        <v>377</v>
      </c>
      <c r="AN11" s="282" t="s">
        <v>378</v>
      </c>
      <c r="AO11" s="283" t="s">
        <v>379</v>
      </c>
      <c r="AP11" s="283" t="s">
        <v>380</v>
      </c>
      <c r="AQ11" s="283" t="s">
        <v>381</v>
      </c>
      <c r="AR11" s="283" t="s">
        <v>382</v>
      </c>
      <c r="AS11" s="265" t="s">
        <v>383</v>
      </c>
      <c r="AT11" s="271" t="s">
        <v>384</v>
      </c>
      <c r="AU11" s="271" t="s">
        <v>385</v>
      </c>
      <c r="AV11" s="271" t="s">
        <v>386</v>
      </c>
      <c r="AW11" s="271" t="s">
        <v>387</v>
      </c>
      <c r="AX11" s="271" t="s">
        <v>388</v>
      </c>
      <c r="AY11" s="271" t="s">
        <v>389</v>
      </c>
      <c r="AZ11" s="271" t="s">
        <v>276</v>
      </c>
      <c r="BA11" s="265" t="s">
        <v>390</v>
      </c>
      <c r="BB11" s="265" t="s">
        <v>391</v>
      </c>
      <c r="BC11" s="265" t="s">
        <v>392</v>
      </c>
      <c r="BD11" s="284" t="s">
        <v>393</v>
      </c>
      <c r="BE11" s="284" t="s">
        <v>394</v>
      </c>
      <c r="BF11" s="265" t="s">
        <v>395</v>
      </c>
      <c r="BG11" s="265" t="s">
        <v>396</v>
      </c>
      <c r="BH11" s="284" t="s">
        <v>397</v>
      </c>
      <c r="BI11" s="285" t="s">
        <v>398</v>
      </c>
      <c r="BJ11" s="286" t="s">
        <v>399</v>
      </c>
      <c r="BK11" s="265" t="s">
        <v>400</v>
      </c>
      <c r="BL11" s="265" t="s">
        <v>401</v>
      </c>
      <c r="BM11" s="287" t="s">
        <v>402</v>
      </c>
      <c r="BN11" s="288" t="s">
        <v>403</v>
      </c>
      <c r="BO11" s="289" t="s">
        <v>404</v>
      </c>
      <c r="BP11" s="290" t="s">
        <v>405</v>
      </c>
      <c r="BQ11" s="288" t="s">
        <v>406</v>
      </c>
      <c r="BR11" s="265" t="s">
        <v>214</v>
      </c>
      <c r="BS11" s="265" t="s">
        <v>407</v>
      </c>
      <c r="BT11" s="291"/>
      <c r="BU11" s="291"/>
    </row>
    <row r="12">
      <c r="A12" s="176"/>
      <c r="B12" s="292">
        <v>1.0</v>
      </c>
      <c r="C12" s="231" t="s">
        <v>282</v>
      </c>
      <c r="D12" s="231" t="s">
        <v>408</v>
      </c>
      <c r="E12" s="293" t="s">
        <v>409</v>
      </c>
      <c r="F12" s="294" t="s">
        <v>410</v>
      </c>
      <c r="G12" s="294" t="s">
        <v>411</v>
      </c>
      <c r="H12" s="292" t="str">
        <f t="array" ref="H12">xlookup(F12,z_Others!$B$21:$B$45,z_Others!$E$21:$E$45,"",0,1)</f>
        <v>mmWave</v>
      </c>
      <c r="I12" s="295" t="s">
        <v>412</v>
      </c>
      <c r="J12" s="231" t="str">
        <f t="array" ref="J12">if(isblank(E12),"",xlookup(I12,z_Others!$M$17:$M$20,z_Others!$O$17:$O$20,"",0,1))</f>
        <v>Obsidian</v>
      </c>
      <c r="K12" s="292" t="str">
        <f t="array" ref="K12">xlookup(I12,z_Others!$M$17:$M$20,z_Others!$N$17:$N$20,"",0,1)</f>
        <v>BLK</v>
      </c>
      <c r="L12" s="292" t="str">
        <f t="array" ref="L12">xlookup(F12,z_Others!$B$21:$B$45,z_Others!$D$21:$D$45,"",0,1)</f>
        <v>GLBW0</v>
      </c>
      <c r="M12" s="296" t="str">
        <f t="array" ref="M12">xlookup(F12,z_Others!$B$21:$B$45,z_Others!$C$21:$C$45,"",0,1)</f>
        <v>VZW</v>
      </c>
      <c r="N12" s="297">
        <f t="array" ref="N12">if(isblank(E12),"",xlookup($N$9&amp;M12,z_Others!$X$5:$X$17&amp;z_Others!$W$5:$W$17,z_Others!$Z$5:$Z$17,"",0,1))</f>
        <v>35560678</v>
      </c>
      <c r="O12" s="298" t="str">
        <f t="array" ref="O12">if(isblank(E12),"",xlookup($N$9&amp;M12,z_Others!$X$5:$X$17&amp;z_Others!$W$5:$W$17,z_Others!$AH$5:$AH$17,"",0,1))</f>
        <v>35 560678 020000x</v>
      </c>
      <c r="P12" s="299" t="str">
        <f t="array" ref="P12">if(isblank(E12),"",xlookup($N$9&amp;M12,z_Others!$X$5:$X$17&amp;z_Others!$W$5:$W$17,z_Others!$AI$5:$AI$17,"",0,1))</f>
        <v>35 560678 999999x</v>
      </c>
      <c r="Q12" s="300" t="s">
        <v>413</v>
      </c>
      <c r="R12" s="301" t="s">
        <v>414</v>
      </c>
      <c r="S12" s="302">
        <f t="array" ref="S12">if(isblank(E12),"",xlookup($S$9&amp;M12,z_Others!$X$5:$X$17&amp;z_Others!$W$5:$W$17,z_Others!$Z$5:$Z$17,"",0,1))</f>
        <v>35931451</v>
      </c>
      <c r="T12" s="303" t="str">
        <f t="array" ref="T12">if(isblank(E12),"",xlookup($S$9&amp;M12,z_Others!$X$5:$X$17&amp;z_Others!$W$5:$W$17,z_Others!$AH$5:$AH$17,"",0,1))</f>
        <v>35 931451 020000x</v>
      </c>
      <c r="U12" s="303" t="str">
        <f t="array" ref="U12">if(isblank(E12),"",xlookup($S$9&amp;M12,z_Others!$X$5:$X$17&amp;z_Others!$W$5:$W$17,z_Others!$AI$5:$AI$17,"",0,1))</f>
        <v>35 931451 999999x</v>
      </c>
      <c r="V12" s="303" t="str">
        <f t="shared" ref="V12:V203" si="2">if(isblank(E12),"",$V$9)</f>
        <v>64:9D:38:32:91:82
B0:D5:FB:C6:60:70</v>
      </c>
      <c r="W12" s="303" t="str">
        <f t="shared" ref="W12:W206" si="3">if(isblank(E12),"",$W$9)</f>
        <v>64:9D:38:37:25:61
B0:D5:FB:CE:01:8F</v>
      </c>
      <c r="X12" s="304" t="str">
        <f t="shared" ref="X12:X203" si="4">if(isblank(E12),"",$X$9)</f>
        <v>MP1.0</v>
      </c>
      <c r="Y12" s="292"/>
      <c r="Z12" s="304" t="str">
        <f t="shared" ref="Z12:AA12" si="1">if(isblank(E12),"",$Z$9)</f>
        <v>Android 16</v>
      </c>
      <c r="AA12" s="304" t="str">
        <f t="shared" si="1"/>
        <v>Android 16</v>
      </c>
      <c r="AB12" s="305" t="s">
        <v>415</v>
      </c>
      <c r="AC12" s="305" t="s">
        <v>416</v>
      </c>
      <c r="AD12" s="306" t="s">
        <v>417</v>
      </c>
      <c r="AE12" s="307" t="s">
        <v>418</v>
      </c>
      <c r="AF12" s="308" t="s">
        <v>417</v>
      </c>
      <c r="AG12" s="309" t="s">
        <v>418</v>
      </c>
      <c r="AH12" s="297" t="str">
        <f t="array" ref="AH12">if(isblank(E12),"",xlookup(F12,z_Others!$B$21:$B$45,z_Others!$F$21:$F$45,"TBD",0,1))</f>
        <v>US</v>
      </c>
      <c r="AI12" s="310" t="str">
        <f t="array" ref="AI12">if(isblank(E12),"", xlookup(E12,'Import_FL5_LH_PVTMP_Configs (Do'!E:E,'Import_FL5_LH_PVTMP_Configs (Do'!O:O,"TBD",0,1))</f>
        <v>G710-07800-01</v>
      </c>
      <c r="AJ12" s="311"/>
      <c r="AK12" s="310" t="str">
        <f t="array" ref="AK12">if(isblank(E12),"", xlookup(E12,'Import_FL5_LH_PVTMP_Configs (Do'!E:E,'Import_FL5_LH_PVTMP_Configs (Do'!Q:Q,"TBD",0,1))</f>
        <v>G650-14694-05</v>
      </c>
      <c r="AL12" s="310" t="str">
        <f t="array" ref="AL12">if(isblank(E12),"", xlookup(E12,'Import_FL5_LH_PVTMP_Configs (Do'!E:E,'Import_FL5_LH_PVTMP_Configs (Do'!M:M,"TBD",0,1))</f>
        <v>G710-07670-01</v>
      </c>
      <c r="AM12" s="310" t="str">
        <f t="array" ref="AM12">if(isblank(E12),"", xlookup(E12,'Import_FL5_LH_PVTMP_Configs (Do'!E:E,'Import_FL5_LH_PVTMP_Configs (Do'!N:N,"TBD",0,1))</f>
        <v>G730-09533-01</v>
      </c>
      <c r="AN12" s="310" t="str">
        <f t="array" ref="AN12">if(isblank(E12),"", xlookup(E12,'Import_FL5_LH_PVTMP_Configs (Do'!E:E,'Import_FL5_LH_PVTMP_Configs (Do'!K:K,"TBD",0,1))</f>
        <v>G950-15935-00</v>
      </c>
      <c r="AO12" s="292" t="str">
        <f t="array" ref="AO12">if(isblank(E12),"",XLOOKUP(E12,'FL5_G954 Pkg ASSY (Pkg BOM)'!L:L,'FL5_G954 Pkg ASSY (Pkg BOM)'!G:G,"N/A",0,1))</f>
        <v>G954-08540-00</v>
      </c>
      <c r="AP12" s="292" t="str">
        <f t="array" ref="AP12">if(isblank(E12),"",xlookup(E12,'FL5_G962 Country kit (Accesorie'!L:L,'FL5_G962 Country kit (Accesorie'!G:G,"N/A",0,1))</f>
        <v>G962-00511-00</v>
      </c>
      <c r="AQ12" s="304" t="str">
        <f t="array" ref="AQ12">if(isblank(E12),"", xlookup(E12,'Import_LH_Label approve'!E:E,'Import_LH_Label approve'!M:M,"",0,1))</f>
        <v>G990-08380-11-01
G990-08380-11-A</v>
      </c>
      <c r="AR12" s="304" t="str">
        <f t="array" ref="AR12">if(isblank(E12),"",xlookup(E12,'Import_LH_Label approve'!E:E,'Import_LH_Label approve'!N:N,"",0,1))</f>
        <v>G990-08382-11-01
G990-08382-11-A</v>
      </c>
      <c r="AS12" s="292" t="s">
        <v>419</v>
      </c>
      <c r="AT12" s="302" t="str">
        <f t="shared" ref="AT12:AT203" si="6">if(isblank(E12),"","Yes")</f>
        <v>Yes</v>
      </c>
      <c r="AU12" s="302" t="str">
        <f t="shared" ref="AU12:AU203" si="7">if(isblank(E12),"",if(mid(E12,9,2)="GB", "Yes","No"))</f>
        <v>No</v>
      </c>
      <c r="AV12" s="302" t="str">
        <f t="shared" ref="AV12:AV203" si="8">if(isblank(E12),"",if(mid(E12,9,2)="IN", "Yes","No"))</f>
        <v>No</v>
      </c>
      <c r="AW12" s="302"/>
      <c r="AX12" s="302" t="s">
        <v>420</v>
      </c>
      <c r="AY12" s="302" t="s">
        <v>421</v>
      </c>
      <c r="AZ12" s="312" t="str">
        <f t="array" ref="AZ12">if(isblank(E12),"", xlookup(E12,Import_FL5_LH_PVT_BM!D:D,Import_FL5_LH_PVT_BM!AK:AK,$F$4,0,1))</f>
        <v>MP</v>
      </c>
      <c r="BA12" s="292" t="str">
        <f t="shared" ref="BA12:BA203" si="9">if(isblank(E12),"",if(D12="Retail Pack","Retail_10ct",if(D12="Bulk Pack","Bulk_30ct")))</f>
        <v>Retail_10ct</v>
      </c>
      <c r="BB12" s="313" t="str">
        <f t="array" ref="BB12">if(isblank(E12),"",xlookup(F12,z_Others!$B$21:$B$42,z_Others!$G$21:$G$42,"No",0,1))</f>
        <v>VZN Master Carton Label</v>
      </c>
      <c r="BC12" s="313" t="str">
        <f t="array" ref="BC12">if(isblank(E12),"",xlookup(F12,z_Others!$B$21:$B$42,z_Others!$H$21:$H$42,"No",0,1))</f>
        <v>VZN Pallet Label (BTS)</v>
      </c>
      <c r="BD12" s="314" t="str">
        <f t="array" ref="BD12">if(isblank(E12),"",xlookup(E12,'Import_VN_Label approve'!E:E,'Import_VN_Label approve'!L:L,"N/A",0,1))</f>
        <v>G990-08482-11-01
G990-08482-11-A</v>
      </c>
      <c r="BE12" s="314" t="str">
        <f t="array" ref="BE12">if(isblank(E12),"",xlookup(E12,'Import_VN_Label approve'!E:E,'Import_VN_Label approve'!N:N,"N/A",0,1))</f>
        <v>G990-08382-11-01
G990-08382-11-A</v>
      </c>
      <c r="BF12" s="315"/>
      <c r="BG12" s="316" t="s">
        <v>422</v>
      </c>
      <c r="BH12" s="317" t="s">
        <v>423</v>
      </c>
      <c r="BI12" s="318">
        <v>45773.0</v>
      </c>
      <c r="BJ12" s="319" t="str">
        <f t="array" ref="BJ12">if(isblank(E12),"", xlookup(D12,z_Others!$B$5:$B$17,z_Others!$C$5:$C$17,"",0,1))</f>
        <v>智能手機</v>
      </c>
      <c r="BK12" s="320">
        <v>45782.0</v>
      </c>
      <c r="BL12" s="320" t="str">
        <f t="array" ref="BL12">if(isblank(E12),"",xlookup(E12,'FL5_MP POR_LH_報關備案_G950 &amp; GA'!F:F,'FL5_MP POR_LH_報關備案_G950 &amp; GA'!E:E,"No Need",0,1))</f>
        <v>Close</v>
      </c>
      <c r="BM12" s="321" t="str">
        <f t="array" ref="BM12">if(isblank(E12),"",xlookup($BM$9&amp;E12,'Import_FL5 MPS (06.06.25) - Sor'!E8:E334&amp;'Import_FL5 MPS (06.06.25) - Sor'!F8:F334,'Import_FL5 MPS (06.06.25) - Sor'!ES8:ES334,"No demand",0,1))</f>
        <v>No demand</v>
      </c>
      <c r="BN12" s="321" t="str">
        <f t="array" ref="BN12">if(isblank(E12),"",xlookup($BN$9&amp;E12,'Import_FL5 MPS (06.06.25) - Sor'!E8:E334&amp;'Import_FL5 MPS (06.06.25) - Sor'!F8:F334,'Import_FL5 MPS (06.06.25) - Sor'!ES8:ES334,"No demand",0,1))</f>
        <v>No demand</v>
      </c>
      <c r="BO12" s="321" t="str">
        <f t="array" ref="BO12">if(isblank(E12),"",xlookup($BO$9&amp;E12,'Import_FL5 MPS (06.06.25) - Sor'!E8:E334&amp;'Import_FL5 MPS (06.06.25) - Sor'!F8:F334,'Import_FL5 MPS (06.06.25) - Sor'!ES8:ES334,"No demand",0,1))</f>
        <v>No demand</v>
      </c>
      <c r="BP12" s="322" t="str">
        <f t="array" ref="BP12">if(isblank(E12),"", xlookup(E12,'Import_LH_Label approve'!E:E,'Import_LH_Label approve'!L:L,"",0,1))</f>
        <v/>
      </c>
      <c r="BQ12" s="322" t="str">
        <f t="array" ref="BQ12">if(isblank(E12),"",xlookup(E12,'Import_VN_Label approve'!E:E,'Import_VN_Label approve'!M:M,"N/A",0,1))</f>
        <v/>
      </c>
      <c r="BR12" s="323"/>
      <c r="BS12" s="323"/>
      <c r="BT12" s="324"/>
      <c r="BU12" s="324"/>
    </row>
    <row r="13">
      <c r="A13" s="176"/>
      <c r="B13" s="292">
        <v>2.0</v>
      </c>
      <c r="C13" s="231" t="s">
        <v>282</v>
      </c>
      <c r="D13" s="231" t="s">
        <v>408</v>
      </c>
      <c r="E13" s="293" t="s">
        <v>424</v>
      </c>
      <c r="F13" s="294" t="s">
        <v>410</v>
      </c>
      <c r="G13" s="294" t="s">
        <v>411</v>
      </c>
      <c r="H13" s="292" t="str">
        <f t="array" ref="H13">xlookup(F13,z_Others!$B$21:$B$45,z_Others!$E$21:$E$45,"",0,1)</f>
        <v>mmWave</v>
      </c>
      <c r="I13" s="295" t="s">
        <v>425</v>
      </c>
      <c r="J13" s="231" t="str">
        <f t="array" ref="J13">if(isblank(E13),"",xlookup(I13,z_Others!$M$17:$M$20,z_Others!$O$17:$O$20,"",0,1))</f>
        <v>Frost</v>
      </c>
      <c r="K13" s="292" t="str">
        <f t="array" ref="K13">xlookup(I13,z_Others!$M$17:$M$20,z_Others!$N$17:$N$20,"",0,1)</f>
        <v>PPL</v>
      </c>
      <c r="L13" s="292" t="str">
        <f t="array" ref="L13">xlookup(F13,z_Others!$B$21:$B$45,z_Others!$D$21:$D$45,"",0,1)</f>
        <v>GLBW0</v>
      </c>
      <c r="M13" s="296" t="str">
        <f t="array" ref="M13">xlookup(F13,z_Others!$B$21:$B$45,z_Others!$C$21:$C$45,"",0,1)</f>
        <v>VZW</v>
      </c>
      <c r="N13" s="297">
        <f t="array" ref="N13">if(isblank(E13),"",xlookup($N$9&amp;M13,z_Others!$X$5:$X$17&amp;z_Others!$W$5:$W$17,z_Others!$Z$5:$Z$17,"",0,1))</f>
        <v>35560678</v>
      </c>
      <c r="O13" s="298" t="str">
        <f t="array" ref="O13">if(isblank(E13),"",xlookup($N$9&amp;M13,z_Others!$X$5:$X$17&amp;z_Others!$W$5:$W$17,z_Others!$AH$5:$AH$17,"",0,1))</f>
        <v>35 560678 020000x</v>
      </c>
      <c r="P13" s="299" t="str">
        <f t="array" ref="P13">if(isblank(E13),"",xlookup($N$9&amp;M13,z_Others!$X$5:$X$17&amp;z_Others!$W$5:$W$17,z_Others!$AI$5:$AI$17,"",0,1))</f>
        <v>35 560678 999999x</v>
      </c>
      <c r="Q13" s="300" t="s">
        <v>413</v>
      </c>
      <c r="R13" s="301" t="s">
        <v>414</v>
      </c>
      <c r="S13" s="302">
        <f t="array" ref="S13">if(isblank(E13),"",xlookup($S$9&amp;M13,z_Others!$X$5:$X$17&amp;z_Others!$W$5:$W$17,z_Others!$Z$5:$Z$17,"",0,1))</f>
        <v>35931451</v>
      </c>
      <c r="T13" s="303" t="str">
        <f t="array" ref="T13">if(isblank(E13),"",xlookup($S$9&amp;M13,z_Others!$X$5:$X$17&amp;z_Others!$W$5:$W$17,z_Others!$AH$5:$AH$17,"",0,1))</f>
        <v>35 931451 020000x</v>
      </c>
      <c r="U13" s="303" t="str">
        <f t="array" ref="U13">if(isblank(E13),"",xlookup($S$9&amp;M13,z_Others!$X$5:$X$17&amp;z_Others!$W$5:$W$17,z_Others!$AI$5:$AI$17,"",0,1))</f>
        <v>35 931451 999999x</v>
      </c>
      <c r="V13" s="303" t="str">
        <f t="shared" si="2"/>
        <v>64:9D:38:32:91:82
B0:D5:FB:C6:60:70</v>
      </c>
      <c r="W13" s="303" t="str">
        <f t="shared" si="3"/>
        <v>64:9D:38:37:25:61
B0:D5:FB:CE:01:8F</v>
      </c>
      <c r="X13" s="304" t="str">
        <f t="shared" si="4"/>
        <v>MP1.0</v>
      </c>
      <c r="Y13" s="292"/>
      <c r="Z13" s="304" t="str">
        <f t="shared" ref="Z13:AA13" si="5">if(isblank(E13),"",$Z$9)</f>
        <v>Android 16</v>
      </c>
      <c r="AA13" s="304" t="str">
        <f t="shared" si="5"/>
        <v>Android 16</v>
      </c>
      <c r="AB13" s="305" t="s">
        <v>426</v>
      </c>
      <c r="AC13" s="305" t="s">
        <v>427</v>
      </c>
      <c r="AD13" s="306" t="s">
        <v>417</v>
      </c>
      <c r="AE13" s="307" t="s">
        <v>418</v>
      </c>
      <c r="AF13" s="308" t="s">
        <v>417</v>
      </c>
      <c r="AG13" s="309" t="s">
        <v>418</v>
      </c>
      <c r="AH13" s="297" t="str">
        <f t="array" ref="AH13">if(isblank(E13),"",xlookup(F13,z_Others!$B$21:$B$45,z_Others!$F$21:$F$45,"TBD",0,1))</f>
        <v>US</v>
      </c>
      <c r="AI13" s="310" t="str">
        <f t="array" ref="AI13">if(isblank(E13),"", xlookup(E13,'Import_FL5_LH_PVTMP_Configs (Do'!E:E,'Import_FL5_LH_PVTMP_Configs (Do'!O:O,"TBD",0,1))</f>
        <v>G710-07800-01</v>
      </c>
      <c r="AJ13" s="311"/>
      <c r="AK13" s="310" t="str">
        <f t="array" ref="AK13">if(isblank(E13),"", xlookup(E13,'Import_FL5_LH_PVTMP_Configs (Do'!E:E,'Import_FL5_LH_PVTMP_Configs (Do'!Q:Q,"TBD",0,1))</f>
        <v>G650-14694-05</v>
      </c>
      <c r="AL13" s="310" t="str">
        <f t="array" ref="AL13">if(isblank(E13),"", xlookup(E13,'Import_FL5_LH_PVTMP_Configs (Do'!E:E,'Import_FL5_LH_PVTMP_Configs (Do'!M:M,"TBD",0,1))</f>
        <v>G710-07670-01</v>
      </c>
      <c r="AM13" s="310" t="str">
        <f t="array" ref="AM13">if(isblank(E13),"", xlookup(E13,'Import_FL5_LH_PVTMP_Configs (Do'!E:E,'Import_FL5_LH_PVTMP_Configs (Do'!N:N,"TBD",0,1))</f>
        <v>G730-09533-02</v>
      </c>
      <c r="AN13" s="310" t="str">
        <f t="array" ref="AN13">if(isblank(E13),"", xlookup(E13,'Import_FL5_LH_PVTMP_Configs (Do'!E:E,'Import_FL5_LH_PVTMP_Configs (Do'!K:K,"TBD",0,1))</f>
        <v>G950-15935-01</v>
      </c>
      <c r="AO13" s="292" t="str">
        <f t="array" ref="AO13">if(isblank(E13),"",XLOOKUP(E13,'FL5_G954 Pkg ASSY (Pkg BOM)'!L:L,'FL5_G954 Pkg ASSY (Pkg BOM)'!G:G,"N/A",0,1))</f>
        <v>G954-08540-00</v>
      </c>
      <c r="AP13" s="292" t="str">
        <f t="array" ref="AP13">if(isblank(E13),"",xlookup(E13,'FL5_G962 Country kit (Accesorie'!L:L,'FL5_G962 Country kit (Accesorie'!G:G,"N/A",0,1))</f>
        <v>G962-00511-00</v>
      </c>
      <c r="AQ13" s="304" t="str">
        <f t="array" ref="AQ13">if(isblank(E13),"", xlookup(E13,'Import_LH_Label approve'!E:E,'Import_LH_Label approve'!M:M,"",0,1))</f>
        <v>G990-08380-21-01
G990-08380-21-A</v>
      </c>
      <c r="AR13" s="304" t="str">
        <f t="array" ref="AR13">if(isblank(E13),"",xlookup(E13,'Import_LH_Label approve'!E:E,'Import_LH_Label approve'!N:N,"",0,1))</f>
        <v>G990-08382-11-01
G990-08382-11-A</v>
      </c>
      <c r="AS13" s="292" t="s">
        <v>419</v>
      </c>
      <c r="AT13" s="302" t="str">
        <f t="shared" si="6"/>
        <v>Yes</v>
      </c>
      <c r="AU13" s="302" t="str">
        <f t="shared" si="7"/>
        <v>No</v>
      </c>
      <c r="AV13" s="302" t="str">
        <f t="shared" si="8"/>
        <v>No</v>
      </c>
      <c r="AW13" s="302"/>
      <c r="AX13" s="302" t="s">
        <v>428</v>
      </c>
      <c r="AY13" s="302" t="s">
        <v>429</v>
      </c>
      <c r="AZ13" s="312" t="str">
        <f t="array" ref="AZ13">if(isblank(E13),"", xlookup(E13,Import_FL5_LH_PVT_BM!D:D,Import_FL5_LH_PVT_BM!AK:AK,$F$4,0,1))</f>
        <v>MP</v>
      </c>
      <c r="BA13" s="292" t="str">
        <f t="shared" si="9"/>
        <v>Retail_10ct</v>
      </c>
      <c r="BB13" s="313" t="str">
        <f t="array" ref="BB13">if(isblank(E13),"",xlookup(F13,z_Others!$B$21:$B$42,z_Others!$G$21:$G$42,"No",0,1))</f>
        <v>VZN Master Carton Label</v>
      </c>
      <c r="BC13" s="313" t="str">
        <f t="array" ref="BC13">if(isblank(E13),"",xlookup(F13,z_Others!$B$21:$B$42,z_Others!$H$21:$H$42,"No",0,1))</f>
        <v>VZN Pallet Label (BTS)</v>
      </c>
      <c r="BD13" s="314" t="str">
        <f t="array" ref="BD13">if(isblank(E13),"",xlookup(E13,'Import_VN_Label approve'!E:E,'Import_VN_Label approve'!L:L,"N/A",0,1))</f>
        <v>G990-08482-21-01
G990-08482-21-A</v>
      </c>
      <c r="BE13" s="314" t="str">
        <f t="array" ref="BE13">if(isblank(E13),"",xlookup(E13,'Import_VN_Label approve'!E:E,'Import_VN_Label approve'!N:N,"N/A",0,1))</f>
        <v>G990-08382-11-01
G990-08382-11-A</v>
      </c>
      <c r="BF13" s="315"/>
      <c r="BG13" s="316" t="s">
        <v>422</v>
      </c>
      <c r="BH13" s="317" t="s">
        <v>423</v>
      </c>
      <c r="BI13" s="318">
        <v>45773.0</v>
      </c>
      <c r="BJ13" s="319" t="str">
        <f t="array" ref="BJ13">if(isblank(E13),"", xlookup(D13,z_Others!$B$5:$B$17,z_Others!$C$5:$C$17,"",0,1))</f>
        <v>智能手機</v>
      </c>
      <c r="BK13" s="320">
        <v>45782.0</v>
      </c>
      <c r="BL13" s="320" t="str">
        <f t="array" ref="BL13">if(isblank(E13),"",xlookup(E13,'FL5_MP POR_LH_報關備案_G950 &amp; GA'!F:F,'FL5_MP POR_LH_報關備案_G950 &amp; GA'!E:E,"No Need",0,1))</f>
        <v>Close</v>
      </c>
      <c r="BM13" s="321" t="str">
        <f t="array" ref="BM13">if(isblank(E13),"",xlookup($BM$9&amp;E13,'Import_FL5 MPS (06.06.25) - Sor'!E9:E334&amp;'Import_FL5 MPS (06.06.25) - Sor'!F9:F334,'Import_FL5 MPS (06.06.25) - Sor'!ES9:ES334,"No demand",0,1))</f>
        <v>No demand</v>
      </c>
      <c r="BN13" s="321" t="str">
        <f t="array" ref="BN13">if(isblank(E13),"",xlookup($BN$9&amp;E13,'Import_FL5 MPS (06.06.25) - Sor'!E9:E334&amp;'Import_FL5 MPS (06.06.25) - Sor'!F9:F334,'Import_FL5 MPS (06.06.25) - Sor'!ES9:ES334,"No demand",0,1))</f>
        <v>No demand</v>
      </c>
      <c r="BO13" s="321" t="str">
        <f t="array" ref="BO13">if(isblank(E13),"",xlookup($BO$9&amp;E13,'Import_FL5 MPS (06.06.25) - Sor'!E9:E334&amp;'Import_FL5 MPS (06.06.25) - Sor'!F9:F334,'Import_FL5 MPS (06.06.25) - Sor'!ES9:ES334,"No demand",0,1))</f>
        <v>No demand</v>
      </c>
      <c r="BP13" s="322" t="str">
        <f t="array" ref="BP13">if(isblank(E13),"", xlookup(E13,'Import_LH_Label approve'!E:E,'Import_LH_Label approve'!L:L,"",0,1))</f>
        <v/>
      </c>
      <c r="BQ13" s="322" t="str">
        <f t="array" ref="BQ13">if(isblank(E13),"",xlookup(E13,'Import_VN_Label approve'!E:E,'Import_VN_Label approve'!M:M,"N/A",0,1))</f>
        <v/>
      </c>
      <c r="BR13" s="313"/>
      <c r="BS13" s="323"/>
      <c r="BT13" s="324"/>
      <c r="BU13" s="91"/>
    </row>
    <row r="14">
      <c r="A14" s="176"/>
      <c r="B14" s="292">
        <v>3.0</v>
      </c>
      <c r="C14" s="231" t="s">
        <v>282</v>
      </c>
      <c r="D14" s="231" t="s">
        <v>408</v>
      </c>
      <c r="E14" s="293" t="s">
        <v>430</v>
      </c>
      <c r="F14" s="294" t="s">
        <v>410</v>
      </c>
      <c r="G14" s="294" t="s">
        <v>411</v>
      </c>
      <c r="H14" s="292" t="str">
        <f t="array" ref="H14">xlookup(F14,z_Others!$B$21:$B$45,z_Others!$E$21:$E$45,"",0,1)</f>
        <v>mmWave</v>
      </c>
      <c r="I14" s="295" t="s">
        <v>431</v>
      </c>
      <c r="J14" s="231" t="str">
        <f t="array" ref="J14">if(isblank(E14),"",xlookup(I14,z_Others!$M$17:$M$20,z_Others!$O$17:$O$20,"",0,1))</f>
        <v>Lemongrass</v>
      </c>
      <c r="K14" s="292" t="str">
        <f t="array" ref="K14">xlookup(I14,z_Others!$M$17:$M$20,z_Others!$N$17:$N$20,"",0,1)</f>
        <v>YEL</v>
      </c>
      <c r="L14" s="292" t="str">
        <f t="array" ref="L14">xlookup(F14,z_Others!$B$21:$B$45,z_Others!$D$21:$D$45,"",0,1)</f>
        <v>GLBW0</v>
      </c>
      <c r="M14" s="296" t="str">
        <f t="array" ref="M14">xlookup(F14,z_Others!$B$21:$B$45,z_Others!$C$21:$C$45,"",0,1)</f>
        <v>VZW</v>
      </c>
      <c r="N14" s="297">
        <f t="array" ref="N14">if(isblank(E14),"",xlookup($N$9&amp;M14,z_Others!$X$5:$X$17&amp;z_Others!$W$5:$W$17,z_Others!$Z$5:$Z$17,"",0,1))</f>
        <v>35560678</v>
      </c>
      <c r="O14" s="298" t="str">
        <f t="array" ref="O14">if(isblank(E14),"",xlookup($N$9&amp;M14,z_Others!$X$5:$X$17&amp;z_Others!$W$5:$W$17,z_Others!$AH$5:$AH$17,"",0,1))</f>
        <v>35 560678 020000x</v>
      </c>
      <c r="P14" s="299" t="str">
        <f t="array" ref="P14">if(isblank(E14),"",xlookup($N$9&amp;M14,z_Others!$X$5:$X$17&amp;z_Others!$W$5:$W$17,z_Others!$AI$5:$AI$17,"",0,1))</f>
        <v>35 560678 999999x</v>
      </c>
      <c r="Q14" s="300" t="s">
        <v>413</v>
      </c>
      <c r="R14" s="301" t="s">
        <v>414</v>
      </c>
      <c r="S14" s="302">
        <f t="array" ref="S14">if(isblank(E14),"",xlookup($S$9&amp;M14,z_Others!$X$5:$X$17&amp;z_Others!$W$5:$W$17,z_Others!$Z$5:$Z$17,"",0,1))</f>
        <v>35931451</v>
      </c>
      <c r="T14" s="303" t="str">
        <f t="array" ref="T14">if(isblank(E14),"",xlookup($S$9&amp;M14,z_Others!$X$5:$X$17&amp;z_Others!$W$5:$W$17,z_Others!$AH$5:$AH$17,"",0,1))</f>
        <v>35 931451 020000x</v>
      </c>
      <c r="U14" s="303" t="str">
        <f t="array" ref="U14">if(isblank(E14),"",xlookup($S$9&amp;M14,z_Others!$X$5:$X$17&amp;z_Others!$W$5:$W$17,z_Others!$AI$5:$AI$17,"",0,1))</f>
        <v>35 931451 999999x</v>
      </c>
      <c r="V14" s="303" t="str">
        <f t="shared" si="2"/>
        <v>64:9D:38:32:91:82
B0:D5:FB:C6:60:70</v>
      </c>
      <c r="W14" s="303" t="str">
        <f t="shared" si="3"/>
        <v>64:9D:38:37:25:61
B0:D5:FB:CE:01:8F</v>
      </c>
      <c r="X14" s="304" t="str">
        <f t="shared" si="4"/>
        <v>MP1.0</v>
      </c>
      <c r="Y14" s="292"/>
      <c r="Z14" s="304" t="str">
        <f t="shared" ref="Z14:AA14" si="10">if(isblank(E14),"",$Z$9)</f>
        <v>Android 16</v>
      </c>
      <c r="AA14" s="304" t="str">
        <f t="shared" si="10"/>
        <v>Android 16</v>
      </c>
      <c r="AB14" s="305" t="s">
        <v>432</v>
      </c>
      <c r="AC14" s="305" t="s">
        <v>433</v>
      </c>
      <c r="AD14" s="306" t="s">
        <v>417</v>
      </c>
      <c r="AE14" s="307" t="s">
        <v>418</v>
      </c>
      <c r="AF14" s="308" t="s">
        <v>417</v>
      </c>
      <c r="AG14" s="309" t="s">
        <v>418</v>
      </c>
      <c r="AH14" s="297" t="str">
        <f t="array" ref="AH14">if(isblank(E14),"",xlookup(F14,z_Others!$B$21:$B$45,z_Others!$F$21:$F$45,"TBD",0,1))</f>
        <v>US</v>
      </c>
      <c r="AI14" s="310" t="str">
        <f t="array" ref="AI14">if(isblank(E14),"", xlookup(E14,'Import_FL5_LH_PVTMP_Configs (Do'!E:E,'Import_FL5_LH_PVTMP_Configs (Do'!O:O,"TBD",0,1))</f>
        <v>G710-07800-01</v>
      </c>
      <c r="AJ14" s="311"/>
      <c r="AK14" s="310" t="str">
        <f t="array" ref="AK14">if(isblank(E14),"", xlookup(E14,'Import_FL5_LH_PVTMP_Configs (Do'!E:E,'Import_FL5_LH_PVTMP_Configs (Do'!Q:Q,"TBD",0,1))</f>
        <v>G650-14694-05</v>
      </c>
      <c r="AL14" s="310" t="str">
        <f t="array" ref="AL14">if(isblank(E14),"", xlookup(E14,'Import_FL5_LH_PVTMP_Configs (Do'!E:E,'Import_FL5_LH_PVTMP_Configs (Do'!M:M,"TBD",0,1))</f>
        <v>G710-07670-01</v>
      </c>
      <c r="AM14" s="310" t="str">
        <f t="array" ref="AM14">if(isblank(E14),"", xlookup(E14,'Import_FL5_LH_PVTMP_Configs (Do'!E:E,'Import_FL5_LH_PVTMP_Configs (Do'!N:N,"TBD",0,1))</f>
        <v>G730-09533-03</v>
      </c>
      <c r="AN14" s="310" t="str">
        <f t="array" ref="AN14">if(isblank(E14),"", xlookup(E14,'Import_FL5_LH_PVTMP_Configs (Do'!E:E,'Import_FL5_LH_PVTMP_Configs (Do'!K:K,"TBD",0,1))</f>
        <v>G950-15935-02</v>
      </c>
      <c r="AO14" s="292" t="str">
        <f t="array" ref="AO14">if(isblank(E14),"",XLOOKUP(E14,'FL5_G954 Pkg ASSY (Pkg BOM)'!L:L,'FL5_G954 Pkg ASSY (Pkg BOM)'!G:G,"N/A",0,1))</f>
        <v>G954-08540-00</v>
      </c>
      <c r="AP14" s="292" t="str">
        <f t="array" ref="AP14">if(isblank(E14),"",xlookup(E14,'FL5_G962 Country kit (Accesorie'!L:L,'FL5_G962 Country kit (Accesorie'!G:G,"N/A",0,1))</f>
        <v>G962-00511-00</v>
      </c>
      <c r="AQ14" s="304" t="str">
        <f t="array" ref="AQ14">if(isblank(E14),"", xlookup(E14,'Import_LH_Label approve'!E:E,'Import_LH_Label approve'!M:M,"",0,1))</f>
        <v>G990-08380-31-02
G990-08380-31-A</v>
      </c>
      <c r="AR14" s="304" t="str">
        <f t="array" ref="AR14">if(isblank(E14),"",xlookup(E14,'Import_LH_Label approve'!E:E,'Import_LH_Label approve'!N:N,"",0,1))</f>
        <v>G990-08382-11-01
G990-08382-11-A</v>
      </c>
      <c r="AS14" s="292" t="s">
        <v>419</v>
      </c>
      <c r="AT14" s="302" t="str">
        <f t="shared" si="6"/>
        <v>Yes</v>
      </c>
      <c r="AU14" s="302" t="str">
        <f t="shared" si="7"/>
        <v>No</v>
      </c>
      <c r="AV14" s="302" t="str">
        <f t="shared" si="8"/>
        <v>No</v>
      </c>
      <c r="AW14" s="302"/>
      <c r="AX14" s="302" t="s">
        <v>434</v>
      </c>
      <c r="AY14" s="302" t="s">
        <v>435</v>
      </c>
      <c r="AZ14" s="312" t="str">
        <f t="array" ref="AZ14">if(isblank(E14),"", xlookup(E14,Import_FL5_LH_PVT_BM!D:D,Import_FL5_LH_PVT_BM!AK:AK,$F$4,0,1))</f>
        <v>MP</v>
      </c>
      <c r="BA14" s="292" t="str">
        <f t="shared" si="9"/>
        <v>Retail_10ct</v>
      </c>
      <c r="BB14" s="313" t="str">
        <f t="array" ref="BB14">if(isblank(E14),"",xlookup(F14,z_Others!$B$21:$B$42,z_Others!$G$21:$G$42,"No",0,1))</f>
        <v>VZN Master Carton Label</v>
      </c>
      <c r="BC14" s="313" t="str">
        <f t="array" ref="BC14">if(isblank(E14),"",xlookup(F14,z_Others!$B$21:$B$42,z_Others!$H$21:$H$42,"No",0,1))</f>
        <v>VZN Pallet Label (BTS)</v>
      </c>
      <c r="BD14" s="314" t="str">
        <f t="array" ref="BD14">if(isblank(E14),"",xlookup(E14,'Import_VN_Label approve'!E:E,'Import_VN_Label approve'!L:L,"N/A",0,1))</f>
        <v>G990-08482-31-01
G990-08482-31-A</v>
      </c>
      <c r="BE14" s="314" t="str">
        <f t="array" ref="BE14">if(isblank(E14),"",xlookup(E14,'Import_VN_Label approve'!E:E,'Import_VN_Label approve'!N:N,"N/A",0,1))</f>
        <v>G990-08382-11-01
G990-08382-11-A</v>
      </c>
      <c r="BF14" s="315"/>
      <c r="BG14" s="316" t="s">
        <v>422</v>
      </c>
      <c r="BH14" s="317" t="s">
        <v>423</v>
      </c>
      <c r="BI14" s="318">
        <v>45773.0</v>
      </c>
      <c r="BJ14" s="319" t="str">
        <f t="array" ref="BJ14">if(isblank(E14),"", xlookup(D14,z_Others!$B$5:$B$17,z_Others!$C$5:$C$17,"",0,1))</f>
        <v>智能手機</v>
      </c>
      <c r="BK14" s="320">
        <v>45765.0</v>
      </c>
      <c r="BL14" s="320" t="str">
        <f t="array" ref="BL14">if(isblank(E14),"",xlookup(E14,'FL5_MP POR_LH_報關備案_G950 &amp; GA'!F:F,'FL5_MP POR_LH_報關備案_G950 &amp; GA'!E:E,"No Need",0,1))</f>
        <v>Close</v>
      </c>
      <c r="BM14" s="321" t="str">
        <f t="array" ref="BM14">if(isblank(E14),"",xlookup($BM$9&amp;E14,'Import_FL5 MPS (06.06.25) - Sor'!E10:E334&amp;'Import_FL5 MPS (06.06.25) - Sor'!F10:F334,'Import_FL5 MPS (06.06.25) - Sor'!ES10:ES334,"No demand",0,1))</f>
        <v>No demand</v>
      </c>
      <c r="BN14" s="321" t="str">
        <f t="array" ref="BN14">if(isblank(E14),"",xlookup($BN$9&amp;E14,'Import_FL5 MPS (06.06.25) - Sor'!E10:E334&amp;'Import_FL5 MPS (06.06.25) - Sor'!F10:F334,'Import_FL5 MPS (06.06.25) - Sor'!ES10:ES334,"No demand",0,1))</f>
        <v>No demand</v>
      </c>
      <c r="BO14" s="321" t="str">
        <f t="array" ref="BO14">if(isblank(E14),"",xlookup($BO$9&amp;E14,'Import_FL5 MPS (06.06.25) - Sor'!E10:E334&amp;'Import_FL5 MPS (06.06.25) - Sor'!F10:F334,'Import_FL5 MPS (06.06.25) - Sor'!ES10:ES334,"No demand",0,1))</f>
        <v>No demand</v>
      </c>
      <c r="BP14" s="322" t="str">
        <f t="array" ref="BP14">if(isblank(E14),"", xlookup(E14,'Import_LH_Label approve'!E:E,'Import_LH_Label approve'!L:L,"",0,1))</f>
        <v/>
      </c>
      <c r="BQ14" s="322" t="str">
        <f t="array" ref="BQ14">if(isblank(E14),"",xlookup(E14,'Import_VN_Label approve'!E:E,'Import_VN_Label approve'!M:M,"N/A",0,1))</f>
        <v/>
      </c>
      <c r="BR14" s="325"/>
      <c r="BS14" s="323"/>
      <c r="BT14" s="324"/>
      <c r="BU14" s="117"/>
    </row>
    <row r="15">
      <c r="A15" s="176"/>
      <c r="B15" s="292">
        <v>4.0</v>
      </c>
      <c r="C15" s="231" t="s">
        <v>282</v>
      </c>
      <c r="D15" s="231" t="s">
        <v>408</v>
      </c>
      <c r="E15" s="293" t="s">
        <v>436</v>
      </c>
      <c r="F15" s="294" t="s">
        <v>410</v>
      </c>
      <c r="G15" s="294" t="s">
        <v>411</v>
      </c>
      <c r="H15" s="292" t="str">
        <f t="array" ref="H15">xlookup(F15,z_Others!$B$21:$B$45,z_Others!$E$21:$E$45,"",0,1)</f>
        <v>mmWave</v>
      </c>
      <c r="I15" s="295" t="s">
        <v>437</v>
      </c>
      <c r="J15" s="231" t="str">
        <f t="array" ref="J15">if(isblank(E15),"",xlookup(I15,z_Others!$M$17:$M$20,z_Others!$O$17:$O$20,"",0,1))</f>
        <v>Indigo</v>
      </c>
      <c r="K15" s="292" t="str">
        <f t="array" ref="K15">xlookup(I15,z_Others!$M$17:$M$20,z_Others!$N$17:$N$20,"",0,1)</f>
        <v>BUE</v>
      </c>
      <c r="L15" s="292" t="str">
        <f t="array" ref="L15">xlookup(F15,z_Others!$B$21:$B$45,z_Others!$D$21:$D$45,"",0,1)</f>
        <v>GLBW0</v>
      </c>
      <c r="M15" s="296" t="str">
        <f t="array" ref="M15">xlookup(F15,z_Others!$B$21:$B$45,z_Others!$C$21:$C$45,"",0,1)</f>
        <v>VZW</v>
      </c>
      <c r="N15" s="297">
        <f t="array" ref="N15">if(isblank(E15),"",xlookup($N$9&amp;M15,z_Others!$X$5:$X$17&amp;z_Others!$W$5:$W$17,z_Others!$Z$5:$Z$17,"",0,1))</f>
        <v>35560678</v>
      </c>
      <c r="O15" s="298" t="str">
        <f t="array" ref="O15">if(isblank(E15),"",xlookup($N$9&amp;M15,z_Others!$X$5:$X$17&amp;z_Others!$W$5:$W$17,z_Others!$AH$5:$AH$17,"",0,1))</f>
        <v>35 560678 020000x</v>
      </c>
      <c r="P15" s="299" t="str">
        <f t="array" ref="P15">if(isblank(E15),"",xlookup($N$9&amp;M15,z_Others!$X$5:$X$17&amp;z_Others!$W$5:$W$17,z_Others!$AI$5:$AI$17,"",0,1))</f>
        <v>35 560678 999999x</v>
      </c>
      <c r="Q15" s="300" t="s">
        <v>413</v>
      </c>
      <c r="R15" s="301" t="s">
        <v>414</v>
      </c>
      <c r="S15" s="302">
        <f t="array" ref="S15">if(isblank(E15),"",xlookup($S$9&amp;M15,z_Others!$X$5:$X$17&amp;z_Others!$W$5:$W$17,z_Others!$Z$5:$Z$17,"",0,1))</f>
        <v>35931451</v>
      </c>
      <c r="T15" s="303" t="str">
        <f t="array" ref="T15">if(isblank(E15),"",xlookup($S$9&amp;M15,z_Others!$X$5:$X$17&amp;z_Others!$W$5:$W$17,z_Others!$AH$5:$AH$17,"",0,1))</f>
        <v>35 931451 020000x</v>
      </c>
      <c r="U15" s="303" t="str">
        <f t="array" ref="U15">if(isblank(E15),"",xlookup($S$9&amp;M15,z_Others!$X$5:$X$17&amp;z_Others!$W$5:$W$17,z_Others!$AI$5:$AI$17,"",0,1))</f>
        <v>35 931451 999999x</v>
      </c>
      <c r="V15" s="303" t="str">
        <f t="shared" si="2"/>
        <v>64:9D:38:32:91:82
B0:D5:FB:C6:60:70</v>
      </c>
      <c r="W15" s="303" t="str">
        <f t="shared" si="3"/>
        <v>64:9D:38:37:25:61
B0:D5:FB:CE:01:8F</v>
      </c>
      <c r="X15" s="304" t="str">
        <f t="shared" si="4"/>
        <v>MP1.0</v>
      </c>
      <c r="Y15" s="292"/>
      <c r="Z15" s="304" t="str">
        <f t="shared" ref="Z15:AA15" si="11">if(isblank(E15),"",$Z$9)</f>
        <v>Android 16</v>
      </c>
      <c r="AA15" s="304" t="str">
        <f t="shared" si="11"/>
        <v>Android 16</v>
      </c>
      <c r="AB15" s="305" t="s">
        <v>438</v>
      </c>
      <c r="AC15" s="305" t="s">
        <v>439</v>
      </c>
      <c r="AD15" s="306" t="s">
        <v>417</v>
      </c>
      <c r="AE15" s="307" t="s">
        <v>418</v>
      </c>
      <c r="AF15" s="308" t="s">
        <v>417</v>
      </c>
      <c r="AG15" s="309" t="s">
        <v>418</v>
      </c>
      <c r="AH15" s="297" t="str">
        <f t="array" ref="AH15">if(isblank(E15),"",xlookup(F15,z_Others!$B$21:$B$45,z_Others!$F$21:$F$45,"TBD",0,1))</f>
        <v>US</v>
      </c>
      <c r="AI15" s="310" t="str">
        <f t="array" ref="AI15">if(isblank(E15),"", xlookup(E15,'Import_FL5_LH_PVTMP_Configs (Do'!E:E,'Import_FL5_LH_PVTMP_Configs (Do'!O:O,"TBD",0,1))</f>
        <v>G710-07800-01</v>
      </c>
      <c r="AJ15" s="311"/>
      <c r="AK15" s="310" t="str">
        <f t="array" ref="AK15">if(isblank(E15),"", xlookup(E15,'Import_FL5_LH_PVTMP_Configs (Do'!E:E,'Import_FL5_LH_PVTMP_Configs (Do'!Q:Q,"TBD",0,1))</f>
        <v>G650-14694-05</v>
      </c>
      <c r="AL15" s="310" t="str">
        <f t="array" ref="AL15">if(isblank(E15),"", xlookup(E15,'Import_FL5_LH_PVTMP_Configs (Do'!E:E,'Import_FL5_LH_PVTMP_Configs (Do'!M:M,"TBD",0,1))</f>
        <v>G710-07670-01</v>
      </c>
      <c r="AM15" s="310" t="str">
        <f t="array" ref="AM15">if(isblank(E15),"", xlookup(E15,'Import_FL5_LH_PVTMP_Configs (Do'!E:E,'Import_FL5_LH_PVTMP_Configs (Do'!N:N,"TBD",0,1))</f>
        <v>G730-09533-04</v>
      </c>
      <c r="AN15" s="310" t="str">
        <f t="array" ref="AN15">if(isblank(E15),"", xlookup(E15,'Import_FL5_LH_PVTMP_Configs (Do'!E:E,'Import_FL5_LH_PVTMP_Configs (Do'!K:K,"TBD",0,1))</f>
        <v>G950-15935-03</v>
      </c>
      <c r="AO15" s="292" t="str">
        <f t="array" ref="AO15">if(isblank(E15),"",XLOOKUP(E15,'FL5_G954 Pkg ASSY (Pkg BOM)'!L:L,'FL5_G954 Pkg ASSY (Pkg BOM)'!G:G,"N/A",0,1))</f>
        <v>G954-08540-00</v>
      </c>
      <c r="AP15" s="292" t="str">
        <f t="array" ref="AP15">if(isblank(E15),"",xlookup(E15,'FL5_G962 Country kit (Accesorie'!L:L,'FL5_G962 Country kit (Accesorie'!G:G,"N/A",0,1))</f>
        <v>G962-00511-00</v>
      </c>
      <c r="AQ15" s="304" t="str">
        <f t="array" ref="AQ15">if(isblank(E15),"", xlookup(E15,'Import_LH_Label approve'!E:E,'Import_LH_Label approve'!M:M,"",0,1))</f>
        <v>G990-08380-41-01
G990-08380-41-A</v>
      </c>
      <c r="AR15" s="304" t="str">
        <f t="array" ref="AR15">if(isblank(E15),"",xlookup(E15,'Import_LH_Label approve'!E:E,'Import_LH_Label approve'!N:N,"",0,1))</f>
        <v>G990-08382-11-01
G990-08382-11-A</v>
      </c>
      <c r="AS15" s="292" t="s">
        <v>419</v>
      </c>
      <c r="AT15" s="302" t="str">
        <f t="shared" si="6"/>
        <v>Yes</v>
      </c>
      <c r="AU15" s="302" t="str">
        <f t="shared" si="7"/>
        <v>No</v>
      </c>
      <c r="AV15" s="302" t="str">
        <f t="shared" si="8"/>
        <v>No</v>
      </c>
      <c r="AW15" s="302"/>
      <c r="AX15" s="302" t="s">
        <v>440</v>
      </c>
      <c r="AY15" s="302" t="s">
        <v>441</v>
      </c>
      <c r="AZ15" s="312" t="str">
        <f t="array" ref="AZ15">if(isblank(E15),"", xlookup(E15,Import_FL5_LH_PVT_BM!D:D,Import_FL5_LH_PVT_BM!AK:AK,$F$4,0,1))</f>
        <v>MP</v>
      </c>
      <c r="BA15" s="292" t="str">
        <f t="shared" si="9"/>
        <v>Retail_10ct</v>
      </c>
      <c r="BB15" s="313" t="str">
        <f t="array" ref="BB15">if(isblank(E15),"",xlookup(F15,z_Others!$B$21:$B$42,z_Others!$G$21:$G$42,"No",0,1))</f>
        <v>VZN Master Carton Label</v>
      </c>
      <c r="BC15" s="313" t="str">
        <f t="array" ref="BC15">if(isblank(E15),"",xlookup(F15,z_Others!$B$21:$B$42,z_Others!$H$21:$H$42,"No",0,1))</f>
        <v>VZN Pallet Label (BTS)</v>
      </c>
      <c r="BD15" s="314" t="str">
        <f t="array" ref="BD15">if(isblank(E15),"",xlookup(E15,'Import_VN_Label approve'!E:E,'Import_VN_Label approve'!L:L,"N/A",0,1))</f>
        <v>G990-08482-41-01
G990-08482-41-A</v>
      </c>
      <c r="BE15" s="314" t="str">
        <f t="array" ref="BE15">if(isblank(E15),"",xlookup(E15,'Import_VN_Label approve'!E:E,'Import_VN_Label approve'!N:N,"N/A",0,1))</f>
        <v>G990-08382-11-01
G990-08382-11-A</v>
      </c>
      <c r="BF15" s="315"/>
      <c r="BG15" s="316" t="s">
        <v>422</v>
      </c>
      <c r="BH15" s="317" t="s">
        <v>423</v>
      </c>
      <c r="BI15" s="318">
        <v>45773.0</v>
      </c>
      <c r="BJ15" s="319" t="str">
        <f t="array" ref="BJ15">if(isblank(E15),"", xlookup(D15,z_Others!$B$5:$B$17,z_Others!$C$5:$C$17,"",0,1))</f>
        <v>智能手機</v>
      </c>
      <c r="BK15" s="320">
        <v>45765.0</v>
      </c>
      <c r="BL15" s="320" t="str">
        <f t="array" ref="BL15">if(isblank(E15),"",xlookup(E15,'FL5_MP POR_LH_報關備案_G950 &amp; GA'!F:F,'FL5_MP POR_LH_報關備案_G950 &amp; GA'!E:E,"No Need",0,1))</f>
        <v>Close</v>
      </c>
      <c r="BM15" s="321" t="str">
        <f t="array" ref="BM15">if(isblank(E15),"",xlookup($BM$9&amp;E15,'Import_FL5 MPS (06.06.25) - Sor'!E11:E334&amp;'Import_FL5 MPS (06.06.25) - Sor'!F11:F334,'Import_FL5 MPS (06.06.25) - Sor'!ES11:ES334,"No demand",0,1))</f>
        <v>No demand</v>
      </c>
      <c r="BN15" s="321" t="str">
        <f t="array" ref="BN15">if(isblank(E15),"",xlookup($BN$9&amp;E15,'Import_FL5 MPS (06.06.25) - Sor'!E11:E334&amp;'Import_FL5 MPS (06.06.25) - Sor'!F11:F334,'Import_FL5 MPS (06.06.25) - Sor'!ES11:ES334,"No demand",0,1))</f>
        <v>No demand</v>
      </c>
      <c r="BO15" s="321" t="str">
        <f t="array" ref="BO15">if(isblank(E15),"",xlookup($BO$9&amp;E15,'Import_FL5 MPS (06.06.25) - Sor'!E11:E334&amp;'Import_FL5 MPS (06.06.25) - Sor'!F11:F334,'Import_FL5 MPS (06.06.25) - Sor'!ES11:ES334,"No demand",0,1))</f>
        <v>No demand</v>
      </c>
      <c r="BP15" s="322" t="str">
        <f t="array" ref="BP15">if(isblank(E15),"", xlookup(E15,'Import_LH_Label approve'!E:E,'Import_LH_Label approve'!L:L,"",0,1))</f>
        <v/>
      </c>
      <c r="BQ15" s="322" t="str">
        <f t="array" ref="BQ15">if(isblank(E15),"",xlookup(E15,'Import_VN_Label approve'!E:E,'Import_VN_Label approve'!M:M,"N/A",0,1))</f>
        <v/>
      </c>
      <c r="BR15" s="325"/>
      <c r="BS15" s="323"/>
      <c r="BT15" s="324"/>
      <c r="BU15" s="117"/>
    </row>
    <row r="16">
      <c r="A16" s="176"/>
      <c r="B16" s="292">
        <v>5.0</v>
      </c>
      <c r="C16" s="231" t="s">
        <v>282</v>
      </c>
      <c r="D16" s="231" t="s">
        <v>408</v>
      </c>
      <c r="E16" s="326" t="s">
        <v>442</v>
      </c>
      <c r="F16" s="294" t="s">
        <v>443</v>
      </c>
      <c r="G16" s="294" t="s">
        <v>444</v>
      </c>
      <c r="H16" s="292" t="str">
        <f t="array" ref="H16">xlookup(F16,z_Others!$B$21:$B$45,z_Others!$E$21:$E$45,"",0,1)</f>
        <v>mmWave</v>
      </c>
      <c r="I16" s="295" t="s">
        <v>412</v>
      </c>
      <c r="J16" s="231" t="str">
        <f t="array" ref="J16">if(isblank(E16),"",xlookup(I16,z_Others!$M$17:$M$20,z_Others!$O$17:$O$20,"",0,1))</f>
        <v>Obsidian</v>
      </c>
      <c r="K16" s="292" t="str">
        <f t="array" ref="K16">xlookup(I16,z_Others!$M$17:$M$20,z_Others!$N$17:$N$20,"",0,1)</f>
        <v>BLK</v>
      </c>
      <c r="L16" s="292" t="str">
        <f t="array" ref="L16">xlookup(F16,z_Others!$B$21:$B$45,z_Others!$D$21:$D$45,"",0,1)</f>
        <v>GLBW0</v>
      </c>
      <c r="M16" s="296" t="str">
        <f t="array" ref="M16">xlookup(F16,z_Others!$B$21:$B$45,z_Others!$C$21:$C$45,"",0,1)</f>
        <v>ATT</v>
      </c>
      <c r="N16" s="297">
        <f t="array" ref="N16">if(isblank(E16),"",xlookup($N$9&amp;M16,z_Others!$X$5:$X$17&amp;z_Others!$W$5:$W$17,z_Others!$Z$5:$Z$17,"",0,1))</f>
        <v>35582324</v>
      </c>
      <c r="O16" s="298" t="str">
        <f t="array" ref="O16">if(isblank(E16),"",xlookup($N$9&amp;M16,z_Others!$X$5:$X$17&amp;z_Others!$W$5:$W$17,z_Others!$AH$5:$AH$17,"",0,1))</f>
        <v>35 582324 020000x</v>
      </c>
      <c r="P16" s="299" t="str">
        <f t="array" ref="P16">if(isblank(E16),"",xlookup($N$9&amp;M16,z_Others!$X$5:$X$17&amp;z_Others!$W$5:$W$17,z_Others!$AI$5:$AI$17,"",0,1))</f>
        <v>35 582324 999999x</v>
      </c>
      <c r="Q16" s="300" t="s">
        <v>413</v>
      </c>
      <c r="R16" s="301" t="s">
        <v>414</v>
      </c>
      <c r="S16" s="302">
        <f t="array" ref="S16">if(isblank(E16),"",xlookup($S$9&amp;M16,z_Others!$X$5:$X$17&amp;z_Others!$W$5:$W$17,z_Others!$Z$5:$Z$17,"",0,1))</f>
        <v>35484520</v>
      </c>
      <c r="T16" s="303" t="str">
        <f t="array" ref="T16">if(isblank(E16),"",xlookup($S$9&amp;M16,z_Others!$X$5:$X$17&amp;z_Others!$W$5:$W$17,z_Others!$AH$5:$AH$17,"",0,1))</f>
        <v>35 484520 020000x</v>
      </c>
      <c r="U16" s="303" t="str">
        <f t="array" ref="U16">if(isblank(E16),"",xlookup($S$9&amp;M16,z_Others!$X$5:$X$17&amp;z_Others!$W$5:$W$17,z_Others!$AI$5:$AI$17,"",0,1))</f>
        <v>35 484520 999999x</v>
      </c>
      <c r="V16" s="303" t="str">
        <f t="shared" si="2"/>
        <v>64:9D:38:32:91:82
B0:D5:FB:C6:60:70</v>
      </c>
      <c r="W16" s="303" t="str">
        <f t="shared" si="3"/>
        <v>64:9D:38:37:25:61
B0:D5:FB:CE:01:8F</v>
      </c>
      <c r="X16" s="304" t="str">
        <f t="shared" si="4"/>
        <v>MP1.0</v>
      </c>
      <c r="Y16" s="292"/>
      <c r="Z16" s="304" t="str">
        <f t="shared" ref="Z16:AA16" si="12">if(isblank(E16),"",$Z$9)</f>
        <v>Android 16</v>
      </c>
      <c r="AA16" s="304" t="str">
        <f t="shared" si="12"/>
        <v>Android 16</v>
      </c>
      <c r="AB16" s="305" t="s">
        <v>445</v>
      </c>
      <c r="AC16" s="305" t="s">
        <v>446</v>
      </c>
      <c r="AD16" s="314" t="s">
        <v>447</v>
      </c>
      <c r="AE16" s="307" t="s">
        <v>418</v>
      </c>
      <c r="AF16" s="308" t="s">
        <v>447</v>
      </c>
      <c r="AG16" s="309" t="s">
        <v>418</v>
      </c>
      <c r="AH16" s="297" t="str">
        <f t="array" ref="AH16">if(isblank(E16),"",xlookup(F16,z_Others!$B$21:$B$45,z_Others!$F$21:$F$45,"TBD",0,1))</f>
        <v>US</v>
      </c>
      <c r="AI16" s="310" t="str">
        <f t="array" ref="AI16">if(isblank(E16),"", xlookup(E16,'Import_FL5_LH_PVTMP_Configs (Do'!E:E,'Import_FL5_LH_PVTMP_Configs (Do'!O:O,"TBD",0,1))</f>
        <v>G710-07800-01</v>
      </c>
      <c r="AJ16" s="311"/>
      <c r="AK16" s="310" t="str">
        <f t="array" ref="AK16">if(isblank(E16),"", xlookup(E16,'Import_FL5_LH_PVTMP_Configs (Do'!E:E,'Import_FL5_LH_PVTMP_Configs (Do'!Q:Q,"TBD",0,1))</f>
        <v>G650-14694-05</v>
      </c>
      <c r="AL16" s="310" t="str">
        <f t="array" ref="AL16">if(isblank(E16),"", xlookup(E16,'Import_FL5_LH_PVTMP_Configs (Do'!E:E,'Import_FL5_LH_PVTMP_Configs (Do'!M:M,"TBD",0,1))</f>
        <v>G710-07670-01</v>
      </c>
      <c r="AM16" s="310" t="str">
        <f t="array" ref="AM16">if(isblank(E16),"", xlookup(E16,'Import_FL5_LH_PVTMP_Configs (Do'!E:E,'Import_FL5_LH_PVTMP_Configs (Do'!N:N,"TBD",0,1))</f>
        <v>G730-09533-01</v>
      </c>
      <c r="AN16" s="310" t="str">
        <f t="array" ref="AN16">if(isblank(E16),"", xlookup(E16,'Import_FL5_LH_PVTMP_Configs (Do'!E:E,'Import_FL5_LH_PVTMP_Configs (Do'!K:K,"TBD",0,1))</f>
        <v>G950-15935-00</v>
      </c>
      <c r="AO16" s="292" t="str">
        <f t="array" ref="AO16">if(isblank(E16),"",XLOOKUP(E16,'FL5_G954 Pkg ASSY (Pkg BOM)'!L:L,'FL5_G954 Pkg ASSY (Pkg BOM)'!G:G,"N/A",0,1))</f>
        <v>G954-08540-00</v>
      </c>
      <c r="AP16" s="292" t="str">
        <f t="array" ref="AP16">if(isblank(E16),"",xlookup(E16,'FL5_G962 Country kit (Accesorie'!L:L,'FL5_G962 Country kit (Accesorie'!G:G,"N/A",0,1))</f>
        <v>G962-00511-00</v>
      </c>
      <c r="AQ16" s="304" t="str">
        <f t="array" ref="AQ16">if(isblank(E16),"", xlookup(E16,'Import_LH_Label approve'!E:E,'Import_LH_Label approve'!M:M,"",0,1))</f>
        <v>G990-08380-11-01
G990-08380-11-A</v>
      </c>
      <c r="AR16" s="304" t="str">
        <f t="array" ref="AR16">if(isblank(E16),"",xlookup(E16,'Import_LH_Label approve'!E:E,'Import_LH_Label approve'!N:N,"",0,1))</f>
        <v>G990-08491-11-01
G990-08491-11-A</v>
      </c>
      <c r="AS16" s="292" t="s">
        <v>419</v>
      </c>
      <c r="AT16" s="302" t="str">
        <f t="shared" si="6"/>
        <v>Yes</v>
      </c>
      <c r="AU16" s="302" t="str">
        <f t="shared" si="7"/>
        <v>No</v>
      </c>
      <c r="AV16" s="302" t="str">
        <f t="shared" si="8"/>
        <v>No</v>
      </c>
      <c r="AW16" s="292" t="s">
        <v>448</v>
      </c>
      <c r="AX16" s="302" t="s">
        <v>449</v>
      </c>
      <c r="AY16" s="302" t="s">
        <v>450</v>
      </c>
      <c r="AZ16" s="312" t="str">
        <f t="array" ref="AZ16">if(isblank(E16),"", xlookup(E16,Import_FL5_LH_PVT_BM!D:D,Import_FL5_LH_PVT_BM!AK:AK,$F$4,0,1))</f>
        <v>MP</v>
      </c>
      <c r="BA16" s="292" t="str">
        <f t="shared" si="9"/>
        <v>Retail_10ct</v>
      </c>
      <c r="BB16" s="313" t="str">
        <f t="array" ref="BB16">if(isblank(E16),"",xlookup(F16,z_Others!$B$21:$B$42,z_Others!$G$21:$G$42,"No",0,1))</f>
        <v>ATT Master Carton Label</v>
      </c>
      <c r="BC16" s="313" t="str">
        <f t="array" ref="BC16">if(isblank(E16),"",xlookup(F16,z_Others!$B$21:$B$42,z_Others!$H$21:$H$42,"No",0,1))</f>
        <v>ATT Pallet Label (BTO)
ATT Pallet Label (BTS)</v>
      </c>
      <c r="BD16" s="314" t="str">
        <f t="array" ref="BD16">if(isblank(E16),"",xlookup(E16,'Import_VN_Label approve'!E:E,'Import_VN_Label approve'!L:L,"N/A",0,1))</f>
        <v>G990-08482-11-01
G990-08482-11-A</v>
      </c>
      <c r="BE16" s="314" t="str">
        <f t="array" ref="BE16">if(isblank(E16),"",xlookup(E16,'Import_VN_Label approve'!E:E,'Import_VN_Label approve'!N:N,"N/A",0,1))</f>
        <v>G990-08491-11-01
G990-08491-11-A</v>
      </c>
      <c r="BF16" s="315"/>
      <c r="BG16" s="316" t="s">
        <v>422</v>
      </c>
      <c r="BH16" s="317" t="s">
        <v>423</v>
      </c>
      <c r="BI16" s="318">
        <v>45773.0</v>
      </c>
      <c r="BJ16" s="319" t="str">
        <f t="array" ref="BJ16">if(isblank(E16),"", xlookup(D16,z_Others!$B$5:$B$17,z_Others!$C$5:$C$17,"",0,1))</f>
        <v>智能手機</v>
      </c>
      <c r="BK16" s="320">
        <v>45765.0</v>
      </c>
      <c r="BL16" s="320" t="str">
        <f t="array" ref="BL16">if(isblank(E16),"",xlookup(E16,'FL5_MP POR_LH_報關備案_G950 &amp; GA'!F:F,'FL5_MP POR_LH_報關備案_G950 &amp; GA'!E:E,"No Need",0,1))</f>
        <v>Close</v>
      </c>
      <c r="BM16" s="321" t="str">
        <f t="array" ref="BM16">if(isblank(E16),"",xlookup($BM$9&amp;E16,'Import_FL5 MPS (06.06.25) - Sor'!E12:E334&amp;'Import_FL5 MPS (06.06.25) - Sor'!F12:F334,'Import_FL5 MPS (06.06.25) - Sor'!ES12:ES334,"No demand",0,1))</f>
        <v>No demand</v>
      </c>
      <c r="BN16" s="321" t="str">
        <f t="array" ref="BN16">if(isblank(E16),"",xlookup($BN$9&amp;E16,'Import_FL5 MPS (06.06.25) - Sor'!E12:E334&amp;'Import_FL5 MPS (06.06.25) - Sor'!F12:F334,'Import_FL5 MPS (06.06.25) - Sor'!ES12:ES334,"No demand",0,1))</f>
        <v>No demand</v>
      </c>
      <c r="BO16" s="321" t="str">
        <f t="array" ref="BO16">if(isblank(E16),"",xlookup($BO$9&amp;E16,'Import_FL5 MPS (06.06.25) - Sor'!E12:E334&amp;'Import_FL5 MPS (06.06.25) - Sor'!F12:F334,'Import_FL5 MPS (06.06.25) - Sor'!ES12:ES334,"No demand",0,1))</f>
        <v>No demand</v>
      </c>
      <c r="BP16" s="322" t="str">
        <f t="array" ref="BP16">if(isblank(E16),"", xlookup(E16,'Import_LH_Label approve'!E:E,'Import_LH_Label approve'!L:L,"",0,1))</f>
        <v/>
      </c>
      <c r="BQ16" s="322" t="str">
        <f t="array" ref="BQ16">if(isblank(E16),"",xlookup(E16,'Import_VN_Label approve'!E:E,'Import_VN_Label approve'!M:M,"N/A",0,1))</f>
        <v/>
      </c>
      <c r="BR16" s="325"/>
      <c r="BS16" s="323"/>
      <c r="BT16" s="324"/>
      <c r="BU16" s="117"/>
    </row>
    <row r="17">
      <c r="A17" s="176"/>
      <c r="B17" s="292">
        <v>6.0</v>
      </c>
      <c r="C17" s="231" t="s">
        <v>282</v>
      </c>
      <c r="D17" s="231" t="s">
        <v>408</v>
      </c>
      <c r="E17" s="327" t="s">
        <v>451</v>
      </c>
      <c r="F17" s="294" t="s">
        <v>443</v>
      </c>
      <c r="G17" s="294" t="s">
        <v>444</v>
      </c>
      <c r="H17" s="292" t="str">
        <f t="array" ref="H17">xlookup(F17,z_Others!$B$21:$B$45,z_Others!$E$21:$E$45,"",0,1)</f>
        <v>mmWave</v>
      </c>
      <c r="I17" s="295" t="s">
        <v>437</v>
      </c>
      <c r="J17" s="231" t="str">
        <f t="array" ref="J17">if(isblank(E17),"",xlookup(I17,z_Others!$M$17:$M$20,z_Others!$O$17:$O$20,"",0,1))</f>
        <v>Indigo</v>
      </c>
      <c r="K17" s="292" t="str">
        <f t="array" ref="K17">xlookup(I17,z_Others!$M$17:$M$20,z_Others!$N$17:$N$20,"",0,1)</f>
        <v>BUE</v>
      </c>
      <c r="L17" s="292" t="str">
        <f t="array" ref="L17">xlookup(F17,z_Others!$B$21:$B$45,z_Others!$D$21:$D$45,"",0,1)</f>
        <v>GLBW0</v>
      </c>
      <c r="M17" s="296" t="str">
        <f t="array" ref="M17">xlookup(F17,z_Others!$B$21:$B$45,z_Others!$C$21:$C$45,"",0,1)</f>
        <v>ATT</v>
      </c>
      <c r="N17" s="297">
        <f t="array" ref="N17">if(isblank(E17),"",xlookup($N$9&amp;M17,z_Others!$X$5:$X$17&amp;z_Others!$W$5:$W$17,z_Others!$Z$5:$Z$17,"",0,1))</f>
        <v>35582324</v>
      </c>
      <c r="O17" s="298" t="str">
        <f t="array" ref="O17">if(isblank(E17),"",xlookup($N$9&amp;M17,z_Others!$X$5:$X$17&amp;z_Others!$W$5:$W$17,z_Others!$AH$5:$AH$17,"",0,1))</f>
        <v>35 582324 020000x</v>
      </c>
      <c r="P17" s="299" t="str">
        <f t="array" ref="P17">if(isblank(E17),"",xlookup($N$9&amp;M17,z_Others!$X$5:$X$17&amp;z_Others!$W$5:$W$17,z_Others!$AI$5:$AI$17,"",0,1))</f>
        <v>35 582324 999999x</v>
      </c>
      <c r="Q17" s="300" t="s">
        <v>413</v>
      </c>
      <c r="R17" s="301" t="s">
        <v>414</v>
      </c>
      <c r="S17" s="302">
        <f t="array" ref="S17">if(isblank(E17),"",xlookup($S$9&amp;M17,z_Others!$X$5:$X$17&amp;z_Others!$W$5:$W$17,z_Others!$Z$5:$Z$17,"",0,1))</f>
        <v>35484520</v>
      </c>
      <c r="T17" s="303" t="str">
        <f t="array" ref="T17">if(isblank(E17),"",xlookup($S$9&amp;M17,z_Others!$X$5:$X$17&amp;z_Others!$W$5:$W$17,z_Others!$AH$5:$AH$17,"",0,1))</f>
        <v>35 484520 020000x</v>
      </c>
      <c r="U17" s="303" t="str">
        <f t="array" ref="U17">if(isblank(E17),"",xlookup($S$9&amp;M17,z_Others!$X$5:$X$17&amp;z_Others!$W$5:$W$17,z_Others!$AI$5:$AI$17,"",0,1))</f>
        <v>35 484520 999999x</v>
      </c>
      <c r="V17" s="303" t="str">
        <f t="shared" si="2"/>
        <v>64:9D:38:32:91:82
B0:D5:FB:C6:60:70</v>
      </c>
      <c r="W17" s="303" t="str">
        <f t="shared" si="3"/>
        <v>64:9D:38:37:25:61
B0:D5:FB:CE:01:8F</v>
      </c>
      <c r="X17" s="304" t="str">
        <f t="shared" si="4"/>
        <v>MP1.0</v>
      </c>
      <c r="Y17" s="292"/>
      <c r="Z17" s="304" t="str">
        <f t="shared" ref="Z17:AA17" si="13">if(isblank(E17),"",$Z$9)</f>
        <v>Android 16</v>
      </c>
      <c r="AA17" s="304" t="str">
        <f t="shared" si="13"/>
        <v>Android 16</v>
      </c>
      <c r="AB17" s="305" t="s">
        <v>452</v>
      </c>
      <c r="AC17" s="305" t="s">
        <v>453</v>
      </c>
      <c r="AD17" s="314" t="s">
        <v>447</v>
      </c>
      <c r="AE17" s="307" t="s">
        <v>418</v>
      </c>
      <c r="AF17" s="308" t="s">
        <v>447</v>
      </c>
      <c r="AG17" s="309" t="s">
        <v>418</v>
      </c>
      <c r="AH17" s="297" t="str">
        <f t="array" ref="AH17">if(isblank(E17),"",xlookup(F17,z_Others!$B$21:$B$45,z_Others!$F$21:$F$45,"TBD",0,1))</f>
        <v>US</v>
      </c>
      <c r="AI17" s="310" t="str">
        <f t="array" ref="AI17">if(isblank(E17),"", xlookup(E17,'Import_FL5_LH_PVTMP_Configs (Do'!E:E,'Import_FL5_LH_PVTMP_Configs (Do'!O:O,"TBD",0,1))</f>
        <v>G710-07800-01</v>
      </c>
      <c r="AJ17" s="311"/>
      <c r="AK17" s="310" t="str">
        <f t="array" ref="AK17">if(isblank(E17),"", xlookup(E17,'Import_FL5_LH_PVTMP_Configs (Do'!E:E,'Import_FL5_LH_PVTMP_Configs (Do'!Q:Q,"TBD",0,1))</f>
        <v>G650-14694-05</v>
      </c>
      <c r="AL17" s="310" t="str">
        <f t="array" ref="AL17">if(isblank(E17),"", xlookup(E17,'Import_FL5_LH_PVTMP_Configs (Do'!E:E,'Import_FL5_LH_PVTMP_Configs (Do'!M:M,"TBD",0,1))</f>
        <v>G710-07670-01</v>
      </c>
      <c r="AM17" s="310" t="str">
        <f t="array" ref="AM17">if(isblank(E17),"", xlookup(E17,'Import_FL5_LH_PVTMP_Configs (Do'!E:E,'Import_FL5_LH_PVTMP_Configs (Do'!N:N,"TBD",0,1))</f>
        <v>G730-09533-04</v>
      </c>
      <c r="AN17" s="310" t="str">
        <f t="array" ref="AN17">if(isblank(E17),"", xlookup(E17,'Import_FL5_LH_PVTMP_Configs (Do'!E:E,'Import_FL5_LH_PVTMP_Configs (Do'!K:K,"TBD",0,1))</f>
        <v>G950-15935-03</v>
      </c>
      <c r="AO17" s="292" t="str">
        <f t="array" ref="AO17">if(isblank(E17),"",XLOOKUP(E17,'FL5_G954 Pkg ASSY (Pkg BOM)'!L:L,'FL5_G954 Pkg ASSY (Pkg BOM)'!G:G,"N/A",0,1))</f>
        <v>G954-08540-00</v>
      </c>
      <c r="AP17" s="292" t="str">
        <f t="array" ref="AP17">if(isblank(E17),"",xlookup(E17,'FL5_G962 Country kit (Accesorie'!L:L,'FL5_G962 Country kit (Accesorie'!G:G,"N/A",0,1))</f>
        <v>G962-00511-00</v>
      </c>
      <c r="AQ17" s="304" t="str">
        <f t="array" ref="AQ17">if(isblank(E17),"", xlookup(E17,'Import_LH_Label approve'!E:E,'Import_LH_Label approve'!M:M,"",0,1))</f>
        <v>G990-08380-41-01
G990-08380-41-A</v>
      </c>
      <c r="AR17" s="304" t="str">
        <f t="array" ref="AR17">if(isblank(E17),"",xlookup(E17,'Import_LH_Label approve'!E:E,'Import_LH_Label approve'!N:N,"",0,1))</f>
        <v>G990-08491-41-01
G990-08491-41-A</v>
      </c>
      <c r="AS17" s="292" t="s">
        <v>419</v>
      </c>
      <c r="AT17" s="302" t="str">
        <f t="shared" si="6"/>
        <v>Yes</v>
      </c>
      <c r="AU17" s="302" t="str">
        <f t="shared" si="7"/>
        <v>No</v>
      </c>
      <c r="AV17" s="302" t="str">
        <f t="shared" si="8"/>
        <v>No</v>
      </c>
      <c r="AW17" s="292" t="s">
        <v>454</v>
      </c>
      <c r="AX17" s="302" t="s">
        <v>455</v>
      </c>
      <c r="AY17" s="302" t="s">
        <v>456</v>
      </c>
      <c r="AZ17" s="312" t="str">
        <f t="array" ref="AZ17">if(isblank(E17),"", xlookup(E17,Import_FL5_LH_PVT_BM!D:D,Import_FL5_LH_PVT_BM!AK:AK,$F$4,0,1))</f>
        <v>MP</v>
      </c>
      <c r="BA17" s="292" t="str">
        <f t="shared" si="9"/>
        <v>Retail_10ct</v>
      </c>
      <c r="BB17" s="313" t="str">
        <f t="array" ref="BB17">if(isblank(E17),"",xlookup(F17,z_Others!$B$21:$B$42,z_Others!$G$21:$G$42,"No",0,1))</f>
        <v>ATT Master Carton Label</v>
      </c>
      <c r="BC17" s="313" t="str">
        <f t="array" ref="BC17">if(isblank(E17),"",xlookup(F17,z_Others!$B$21:$B$42,z_Others!$H$21:$H$42,"No",0,1))</f>
        <v>ATT Pallet Label (BTO)
ATT Pallet Label (BTS)</v>
      </c>
      <c r="BD17" s="314" t="str">
        <f t="array" ref="BD17">if(isblank(E17),"",xlookup(E17,'Import_VN_Label approve'!E:E,'Import_VN_Label approve'!L:L,"N/A",0,1))</f>
        <v>G990-08482-41-01
G990-08482-41-A</v>
      </c>
      <c r="BE17" s="314" t="str">
        <f t="array" ref="BE17">if(isblank(E17),"",xlookup(E17,'Import_VN_Label approve'!E:E,'Import_VN_Label approve'!N:N,"N/A",0,1))</f>
        <v>G990-08491-41-01
G990-08491-41-A</v>
      </c>
      <c r="BF17" s="315"/>
      <c r="BG17" s="316" t="s">
        <v>422</v>
      </c>
      <c r="BH17" s="317" t="s">
        <v>423</v>
      </c>
      <c r="BI17" s="318">
        <v>45773.0</v>
      </c>
      <c r="BJ17" s="319" t="str">
        <f t="array" ref="BJ17">if(isblank(E17),"", xlookup(D17,z_Others!$B$5:$B$17,z_Others!$C$5:$C$17,"",0,1))</f>
        <v>智能手機</v>
      </c>
      <c r="BK17" s="320">
        <v>45782.0</v>
      </c>
      <c r="BL17" s="320" t="str">
        <f t="array" ref="BL17">if(isblank(E17),"",xlookup(E17,'FL5_MP POR_LH_報關備案_G950 &amp; GA'!F:F,'FL5_MP POR_LH_報關備案_G950 &amp; GA'!E:E,"No Need",0,1))</f>
        <v>Close</v>
      </c>
      <c r="BM17" s="321" t="str">
        <f t="array" ref="BM17">if(isblank(E17),"",xlookup($BM$9&amp;E17,'Import_FL5 MPS (06.06.25) - Sor'!E13:E334&amp;'Import_FL5 MPS (06.06.25) - Sor'!F13:F334,'Import_FL5 MPS (06.06.25) - Sor'!ES13:ES334,"No demand",0,1))</f>
        <v>No demand</v>
      </c>
      <c r="BN17" s="321" t="str">
        <f t="array" ref="BN17">if(isblank(E17),"",xlookup($BN$9&amp;E17,'Import_FL5 MPS (06.06.25) - Sor'!E13:E334&amp;'Import_FL5 MPS (06.06.25) - Sor'!F13:F334,'Import_FL5 MPS (06.06.25) - Sor'!ES13:ES334,"No demand",0,1))</f>
        <v>No demand</v>
      </c>
      <c r="BO17" s="321" t="str">
        <f t="array" ref="BO17">if(isblank(E17),"",xlookup($BO$9&amp;E17,'Import_FL5 MPS (06.06.25) - Sor'!E13:E334&amp;'Import_FL5 MPS (06.06.25) - Sor'!F13:F334,'Import_FL5 MPS (06.06.25) - Sor'!ES13:ES334,"No demand",0,1))</f>
        <v>No demand</v>
      </c>
      <c r="BP17" s="322" t="str">
        <f t="array" ref="BP17">if(isblank(E17),"", xlookup(E17,'Import_LH_Label approve'!E:E,'Import_LH_Label approve'!L:L,"",0,1))</f>
        <v/>
      </c>
      <c r="BQ17" s="322" t="str">
        <f t="array" ref="BQ17">if(isblank(E17),"",xlookup(E17,'Import_VN_Label approve'!E:E,'Import_VN_Label approve'!M:M,"N/A",0,1))</f>
        <v/>
      </c>
      <c r="BR17" s="313"/>
      <c r="BS17" s="323"/>
      <c r="BT17" s="324"/>
      <c r="BU17" s="91"/>
    </row>
    <row r="18">
      <c r="A18" s="176"/>
      <c r="B18" s="292">
        <v>7.0</v>
      </c>
      <c r="C18" s="231" t="s">
        <v>282</v>
      </c>
      <c r="D18" s="231" t="s">
        <v>408</v>
      </c>
      <c r="E18" s="326" t="s">
        <v>457</v>
      </c>
      <c r="F18" s="323" t="s">
        <v>458</v>
      </c>
      <c r="G18" s="294" t="s">
        <v>459</v>
      </c>
      <c r="H18" s="292" t="str">
        <f t="array" ref="H18">xlookup(F18,z_Others!$B$21:$B$45,z_Others!$E$21:$E$45,"",0,1)</f>
        <v>mmWave</v>
      </c>
      <c r="I18" s="295" t="s">
        <v>412</v>
      </c>
      <c r="J18" s="231" t="str">
        <f t="array" ref="J18">if(isblank(E18),"",xlookup(I18,z_Others!$M$17:$M$20,z_Others!$O$17:$O$20,"",0,1))</f>
        <v>Obsidian</v>
      </c>
      <c r="K18" s="292" t="str">
        <f t="array" ref="K18">xlookup(I18,z_Others!$M$17:$M$20,z_Others!$N$17:$N$20,"",0,1)</f>
        <v>BLK</v>
      </c>
      <c r="L18" s="292" t="str">
        <f t="array" ref="L18">xlookup(F18,z_Others!$B$21:$B$45,z_Others!$D$21:$D$45,"",0,1)</f>
        <v>GLBW0</v>
      </c>
      <c r="M18" s="296" t="str">
        <f t="array" ref="M18">xlookup(F18,z_Others!$B$21:$B$45,z_Others!$C$21:$C$45,"",0,1)</f>
        <v>TMO</v>
      </c>
      <c r="N18" s="297">
        <f t="array" ref="N18">if(isblank(E18),"",xlookup($N$9&amp;M18,z_Others!$X$5:$X$17&amp;z_Others!$W$5:$W$17,z_Others!$Z$5:$Z$17,"",0,1))</f>
        <v>35163422</v>
      </c>
      <c r="O18" s="298" t="str">
        <f t="array" ref="O18">if(isblank(E18),"",xlookup($N$9&amp;M18,z_Others!$X$5:$X$17&amp;z_Others!$W$5:$W$17,z_Others!$AH$5:$AH$17,"",0,1))</f>
        <v>35 163422 020000x</v>
      </c>
      <c r="P18" s="299" t="str">
        <f t="array" ref="P18">if(isblank(E18),"",xlookup($N$9&amp;M18,z_Others!$X$5:$X$17&amp;z_Others!$W$5:$W$17,z_Others!$AI$5:$AI$17,"",0,1))</f>
        <v>35 163422 999999x</v>
      </c>
      <c r="Q18" s="300" t="s">
        <v>413</v>
      </c>
      <c r="R18" s="301" t="s">
        <v>414</v>
      </c>
      <c r="S18" s="302">
        <f t="array" ref="S18">if(isblank(E18),"",xlookup($S$9&amp;M18,z_Others!$X$5:$X$17&amp;z_Others!$W$5:$W$17,z_Others!$Z$5:$Z$17,"",0,1))</f>
        <v>35676321</v>
      </c>
      <c r="T18" s="303" t="str">
        <f t="array" ref="T18">if(isblank(E18),"",xlookup($S$9&amp;M18,z_Others!$X$5:$X$17&amp;z_Others!$W$5:$W$17,z_Others!$AH$5:$AH$17,"",0,1))</f>
        <v>35 676321 020000x</v>
      </c>
      <c r="U18" s="303" t="str">
        <f t="array" ref="U18">if(isblank(E18),"",xlookup($S$9&amp;M18,z_Others!$X$5:$X$17&amp;z_Others!$W$5:$W$17,z_Others!$AI$5:$AI$17,"",0,1))</f>
        <v>35 676321 999999x</v>
      </c>
      <c r="V18" s="303" t="str">
        <f t="shared" si="2"/>
        <v>64:9D:38:32:91:82
B0:D5:FB:C6:60:70</v>
      </c>
      <c r="W18" s="303" t="str">
        <f t="shared" si="3"/>
        <v>64:9D:38:37:25:61
B0:D5:FB:CE:01:8F</v>
      </c>
      <c r="X18" s="304" t="str">
        <f t="shared" si="4"/>
        <v>MP1.0</v>
      </c>
      <c r="Y18" s="292"/>
      <c r="Z18" s="304" t="str">
        <f t="shared" ref="Z18:AA18" si="14">if(isblank(E18),"",$Z$9)</f>
        <v>Android 16</v>
      </c>
      <c r="AA18" s="304" t="str">
        <f t="shared" si="14"/>
        <v>Android 16</v>
      </c>
      <c r="AB18" s="305" t="s">
        <v>460</v>
      </c>
      <c r="AC18" s="305" t="s">
        <v>461</v>
      </c>
      <c r="AD18" s="314" t="s">
        <v>447</v>
      </c>
      <c r="AE18" s="307" t="s">
        <v>418</v>
      </c>
      <c r="AF18" s="308" t="s">
        <v>447</v>
      </c>
      <c r="AG18" s="309" t="s">
        <v>418</v>
      </c>
      <c r="AH18" s="297" t="str">
        <f t="array" ref="AH18">if(isblank(E18),"",xlookup(F18,z_Others!$B$21:$B$45,z_Others!$F$21:$F$45,"TBD",0,1))</f>
        <v>US</v>
      </c>
      <c r="AI18" s="310" t="str">
        <f t="array" ref="AI18">if(isblank(E18),"", xlookup(E18,'Import_FL5_LH_PVTMP_Configs (Do'!E:E,'Import_FL5_LH_PVTMP_Configs (Do'!O:O,"TBD",0,1))</f>
        <v>G710-07800-01</v>
      </c>
      <c r="AJ18" s="311"/>
      <c r="AK18" s="310" t="str">
        <f t="array" ref="AK18">if(isblank(E18),"", xlookup(E18,'Import_FL5_LH_PVTMP_Configs (Do'!E:E,'Import_FL5_LH_PVTMP_Configs (Do'!Q:Q,"TBD",0,1))</f>
        <v>G650-14694-05</v>
      </c>
      <c r="AL18" s="310" t="str">
        <f t="array" ref="AL18">if(isblank(E18),"", xlookup(E18,'Import_FL5_LH_PVTMP_Configs (Do'!E:E,'Import_FL5_LH_PVTMP_Configs (Do'!M:M,"TBD",0,1))</f>
        <v>G710-07670-01</v>
      </c>
      <c r="AM18" s="310" t="str">
        <f t="array" ref="AM18">if(isblank(E18),"", xlookup(E18,'Import_FL5_LH_PVTMP_Configs (Do'!E:E,'Import_FL5_LH_PVTMP_Configs (Do'!N:N,"TBD",0,1))</f>
        <v>G730-09533-01</v>
      </c>
      <c r="AN18" s="310" t="str">
        <f t="array" ref="AN18">if(isblank(E18),"", xlookup(E18,'Import_FL5_LH_PVTMP_Configs (Do'!E:E,'Import_FL5_LH_PVTMP_Configs (Do'!K:K,"TBD",0,1))</f>
        <v>G950-15935-00</v>
      </c>
      <c r="AO18" s="292" t="str">
        <f t="array" ref="AO18">if(isblank(E18),"",XLOOKUP(E18,'FL5_G954 Pkg ASSY (Pkg BOM)'!L:L,'FL5_G954 Pkg ASSY (Pkg BOM)'!G:G,"N/A",0,1))</f>
        <v>G954-08540-00</v>
      </c>
      <c r="AP18" s="292" t="str">
        <f t="array" ref="AP18">if(isblank(E18),"",xlookup(E18,'FL5_G962 Country kit (Accesorie'!L:L,'FL5_G962 Country kit (Accesorie'!G:G,"N/A",0,1))</f>
        <v>G962-00511-00</v>
      </c>
      <c r="AQ18" s="304" t="str">
        <f t="array" ref="AQ18">if(isblank(E18),"", xlookup(E18,'Import_LH_Label approve'!E:E,'Import_LH_Label approve'!M:M,"",0,1))</f>
        <v>G990-08380-11-01
G990-08380-11-A</v>
      </c>
      <c r="AR18" s="304" t="str">
        <f t="array" ref="AR18">if(isblank(E18),"",xlookup(E18,'Import_LH_Label approve'!E:E,'Import_LH_Label approve'!N:N,"",0,1))</f>
        <v>G990-08492-11-02
G990-08492-11-A</v>
      </c>
      <c r="AS18" s="292" t="s">
        <v>419</v>
      </c>
      <c r="AT18" s="302" t="str">
        <f t="shared" si="6"/>
        <v>Yes</v>
      </c>
      <c r="AU18" s="302" t="str">
        <f t="shared" si="7"/>
        <v>No</v>
      </c>
      <c r="AV18" s="302" t="str">
        <f t="shared" si="8"/>
        <v>No</v>
      </c>
      <c r="AW18" s="302" t="s">
        <v>462</v>
      </c>
      <c r="AX18" s="302" t="s">
        <v>462</v>
      </c>
      <c r="AY18" s="302" t="s">
        <v>463</v>
      </c>
      <c r="AZ18" s="312" t="str">
        <f t="array" ref="AZ18">if(isblank(E18),"", xlookup(E18,Import_FL5_LH_PVT_BM!D:D,Import_FL5_LH_PVT_BM!AK:AK,$F$4,0,1))</f>
        <v>MP</v>
      </c>
      <c r="BA18" s="292" t="str">
        <f t="shared" si="9"/>
        <v>Retail_10ct</v>
      </c>
      <c r="BB18" s="313" t="str">
        <f t="array" ref="BB18">if(isblank(E18),"",xlookup(F18,z_Others!$B$21:$B$42,z_Others!$G$21:$G$42,"No",0,1))</f>
        <v>TMO Master Carton Label</v>
      </c>
      <c r="BC18" s="313" t="str">
        <f t="array" ref="BC18">if(isblank(E18),"",xlookup(F18,z_Others!$B$21:$B$42,z_Others!$H$21:$H$42,"No",0,1))</f>
        <v>T-Mobile Pallet Label (BTO)
T-Mobile Pallet Label (BTS)</v>
      </c>
      <c r="BD18" s="314" t="str">
        <f t="array" ref="BD18">if(isblank(E18),"",xlookup(E18,'Import_VN_Label approve'!E:E,'Import_VN_Label approve'!L:L,"N/A",0,1))</f>
        <v>G990-08482-11-01
G990-08482-11-A</v>
      </c>
      <c r="BE18" s="314" t="str">
        <f t="array" ref="BE18">if(isblank(E18),"",xlookup(E18,'Import_VN_Label approve'!E:E,'Import_VN_Label approve'!N:N,"N/A",0,1))</f>
        <v>G990-08492-11-02
G990-08492-11-A</v>
      </c>
      <c r="BF18" s="315"/>
      <c r="BG18" s="316" t="s">
        <v>422</v>
      </c>
      <c r="BH18" s="317" t="s">
        <v>423</v>
      </c>
      <c r="BI18" s="318">
        <v>45773.0</v>
      </c>
      <c r="BJ18" s="319" t="str">
        <f t="array" ref="BJ18">if(isblank(E18),"", xlookup(D18,z_Others!$B$5:$B$17,z_Others!$C$5:$C$17,"",0,1))</f>
        <v>智能手機</v>
      </c>
      <c r="BK18" s="320">
        <v>45765.0</v>
      </c>
      <c r="BL18" s="320" t="str">
        <f t="array" ref="BL18">if(isblank(E18),"",xlookup(E18,'FL5_MP POR_LH_報關備案_G950 &amp; GA'!F:F,'FL5_MP POR_LH_報關備案_G950 &amp; GA'!E:E,"No Need",0,1))</f>
        <v>Close</v>
      </c>
      <c r="BM18" s="321" t="str">
        <f t="array" ref="BM18">if(isblank(E18),"",xlookup($BM$9&amp;E18,'Import_FL5 MPS (06.06.25) - Sor'!E14:E334&amp;'Import_FL5 MPS (06.06.25) - Sor'!F14:F334,'Import_FL5 MPS (06.06.25) - Sor'!ES14:ES334,"No demand",0,1))</f>
        <v>No demand</v>
      </c>
      <c r="BN18" s="321" t="str">
        <f t="array" ref="BN18">if(isblank(E18),"",xlookup($BN$9&amp;E18,'Import_FL5 MPS (06.06.25) - Sor'!E14:E334&amp;'Import_FL5 MPS (06.06.25) - Sor'!F14:F334,'Import_FL5 MPS (06.06.25) - Sor'!ES14:ES334,"No demand",0,1))</f>
        <v>No demand</v>
      </c>
      <c r="BO18" s="321" t="str">
        <f t="array" ref="BO18">if(isblank(E18),"",xlookup($BO$9&amp;E18,'Import_FL5 MPS (06.06.25) - Sor'!E14:E334&amp;'Import_FL5 MPS (06.06.25) - Sor'!F14:F334,'Import_FL5 MPS (06.06.25) - Sor'!ES14:ES334,"No demand",0,1))</f>
        <v>No demand</v>
      </c>
      <c r="BP18" s="322" t="str">
        <f t="array" ref="BP18">if(isblank(E18),"", xlookup(E18,'Import_LH_Label approve'!E:E,'Import_LH_Label approve'!L:L,"",0,1))</f>
        <v/>
      </c>
      <c r="BQ18" s="322" t="str">
        <f t="array" ref="BQ18">if(isblank(E18),"",xlookup(E18,'Import_VN_Label approve'!E:E,'Import_VN_Label approve'!M:M,"N/A",0,1))</f>
        <v/>
      </c>
      <c r="BR18" s="313"/>
      <c r="BS18" s="323"/>
      <c r="BT18" s="324"/>
      <c r="BU18" s="91"/>
    </row>
    <row r="19">
      <c r="A19" s="176"/>
      <c r="B19" s="292">
        <v>8.0</v>
      </c>
      <c r="C19" s="231" t="s">
        <v>282</v>
      </c>
      <c r="D19" s="231" t="s">
        <v>408</v>
      </c>
      <c r="E19" s="326" t="s">
        <v>464</v>
      </c>
      <c r="F19" s="323" t="s">
        <v>458</v>
      </c>
      <c r="G19" s="294" t="s">
        <v>459</v>
      </c>
      <c r="H19" s="292" t="str">
        <f t="array" ref="H19">xlookup(F19,z_Others!$B$21:$B$45,z_Others!$E$21:$E$45,"",0,1)</f>
        <v>mmWave</v>
      </c>
      <c r="I19" s="328" t="s">
        <v>437</v>
      </c>
      <c r="J19" s="231" t="str">
        <f t="array" ref="J19">if(isblank(E19),"",xlookup(I19,z_Others!$M$17:$M$20,z_Others!$O$17:$O$20,"",0,1))</f>
        <v>Indigo</v>
      </c>
      <c r="K19" s="292" t="str">
        <f t="array" ref="K19">xlookup(I19,z_Others!$M$17:$M$20,z_Others!$N$17:$N$20,"",0,1)</f>
        <v>BUE</v>
      </c>
      <c r="L19" s="292" t="str">
        <f t="array" ref="L19">xlookup(F19,z_Others!$B$21:$B$45,z_Others!$D$21:$D$45,"",0,1)</f>
        <v>GLBW0</v>
      </c>
      <c r="M19" s="296" t="str">
        <f t="array" ref="M19">xlookup(F19,z_Others!$B$21:$B$45,z_Others!$C$21:$C$45,"",0,1)</f>
        <v>TMO</v>
      </c>
      <c r="N19" s="297">
        <f t="array" ref="N19">if(isblank(E19),"",xlookup($N$9&amp;M19,z_Others!$X$5:$X$17&amp;z_Others!$W$5:$W$17,z_Others!$Z$5:$Z$17,"",0,1))</f>
        <v>35163422</v>
      </c>
      <c r="O19" s="298" t="str">
        <f t="array" ref="O19">if(isblank(E19),"",xlookup($N$9&amp;M19,z_Others!$X$5:$X$17&amp;z_Others!$W$5:$W$17,z_Others!$AH$5:$AH$17,"",0,1))</f>
        <v>35 163422 020000x</v>
      </c>
      <c r="P19" s="299" t="str">
        <f t="array" ref="P19">if(isblank(E19),"",xlookup($N$9&amp;M19,z_Others!$X$5:$X$17&amp;z_Others!$W$5:$W$17,z_Others!$AI$5:$AI$17,"",0,1))</f>
        <v>35 163422 999999x</v>
      </c>
      <c r="Q19" s="300" t="s">
        <v>413</v>
      </c>
      <c r="R19" s="301" t="s">
        <v>414</v>
      </c>
      <c r="S19" s="302">
        <f t="array" ref="S19">if(isblank(E19),"",xlookup($S$9&amp;M19,z_Others!$X$5:$X$17&amp;z_Others!$W$5:$W$17,z_Others!$Z$5:$Z$17,"",0,1))</f>
        <v>35676321</v>
      </c>
      <c r="T19" s="303" t="str">
        <f t="array" ref="T19">if(isblank(E19),"",xlookup($S$9&amp;M19,z_Others!$X$5:$X$17&amp;z_Others!$W$5:$W$17,z_Others!$AH$5:$AH$17,"",0,1))</f>
        <v>35 676321 020000x</v>
      </c>
      <c r="U19" s="303" t="str">
        <f t="array" ref="U19">if(isblank(E19),"",xlookup($S$9&amp;M19,z_Others!$X$5:$X$17&amp;z_Others!$W$5:$W$17,z_Others!$AI$5:$AI$17,"",0,1))</f>
        <v>35 676321 999999x</v>
      </c>
      <c r="V19" s="303" t="str">
        <f t="shared" si="2"/>
        <v>64:9D:38:32:91:82
B0:D5:FB:C6:60:70</v>
      </c>
      <c r="W19" s="303" t="str">
        <f t="shared" si="3"/>
        <v>64:9D:38:37:25:61
B0:D5:FB:CE:01:8F</v>
      </c>
      <c r="X19" s="304" t="str">
        <f t="shared" si="4"/>
        <v>MP1.0</v>
      </c>
      <c r="Y19" s="292"/>
      <c r="Z19" s="304" t="str">
        <f t="shared" ref="Z19:AA19" si="15">if(isblank(E19),"",$Z$9)</f>
        <v>Android 16</v>
      </c>
      <c r="AA19" s="304" t="str">
        <f t="shared" si="15"/>
        <v>Android 16</v>
      </c>
      <c r="AB19" s="305" t="s">
        <v>465</v>
      </c>
      <c r="AC19" s="305" t="s">
        <v>466</v>
      </c>
      <c r="AD19" s="314" t="s">
        <v>447</v>
      </c>
      <c r="AE19" s="307" t="s">
        <v>418</v>
      </c>
      <c r="AF19" s="308" t="s">
        <v>447</v>
      </c>
      <c r="AG19" s="309" t="s">
        <v>418</v>
      </c>
      <c r="AH19" s="297" t="str">
        <f t="array" ref="AH19">if(isblank(E19),"",xlookup(F19,z_Others!$B$21:$B$45,z_Others!$F$21:$F$45,"TBD",0,1))</f>
        <v>US</v>
      </c>
      <c r="AI19" s="310" t="str">
        <f t="array" ref="AI19">if(isblank(E19),"", xlookup(E19,'Import_FL5_LH_PVTMP_Configs (Do'!E:E,'Import_FL5_LH_PVTMP_Configs (Do'!O:O,"TBD",0,1))</f>
        <v>G710-07800-01</v>
      </c>
      <c r="AJ19" s="311"/>
      <c r="AK19" s="310" t="str">
        <f t="array" ref="AK19">if(isblank(E19),"", xlookup(E19,'Import_FL5_LH_PVTMP_Configs (Do'!E:E,'Import_FL5_LH_PVTMP_Configs (Do'!Q:Q,"TBD",0,1))</f>
        <v>G650-14694-05</v>
      </c>
      <c r="AL19" s="310" t="str">
        <f t="array" ref="AL19">if(isblank(E19),"", xlookup(E19,'Import_FL5_LH_PVTMP_Configs (Do'!E:E,'Import_FL5_LH_PVTMP_Configs (Do'!M:M,"TBD",0,1))</f>
        <v>G710-07670-01</v>
      </c>
      <c r="AM19" s="310" t="str">
        <f t="array" ref="AM19">if(isblank(E19),"", xlookup(E19,'Import_FL5_LH_PVTMP_Configs (Do'!E:E,'Import_FL5_LH_PVTMP_Configs (Do'!N:N,"TBD",0,1))</f>
        <v>G730-09533-04</v>
      </c>
      <c r="AN19" s="310" t="str">
        <f t="array" ref="AN19">if(isblank(E19),"", xlookup(E19,'Import_FL5_LH_PVTMP_Configs (Do'!E:E,'Import_FL5_LH_PVTMP_Configs (Do'!K:K,"TBD",0,1))</f>
        <v>G950-15935-03</v>
      </c>
      <c r="AO19" s="292" t="str">
        <f t="array" ref="AO19">if(isblank(E19),"",XLOOKUP(E19,'FL5_G954 Pkg ASSY (Pkg BOM)'!L:L,'FL5_G954 Pkg ASSY (Pkg BOM)'!G:G,"N/A",0,1))</f>
        <v>G954-08540-00</v>
      </c>
      <c r="AP19" s="292" t="str">
        <f t="array" ref="AP19">if(isblank(E19),"",xlookup(E19,'FL5_G962 Country kit (Accesorie'!L:L,'FL5_G962 Country kit (Accesorie'!G:G,"N/A",0,1))</f>
        <v>G962-00511-00</v>
      </c>
      <c r="AQ19" s="304" t="str">
        <f t="array" ref="AQ19">if(isblank(E19),"", xlookup(E19,'Import_LH_Label approve'!E:E,'Import_LH_Label approve'!M:M,"",0,1))</f>
        <v>G990-08380-41-01
G990-08380-41-A</v>
      </c>
      <c r="AR19" s="304" t="str">
        <f t="array" ref="AR19">if(isblank(E19),"",xlookup(E19,'Import_LH_Label approve'!E:E,'Import_LH_Label approve'!N:N,"",0,1))</f>
        <v>G990-08492-41-02
G990-08492-41-A</v>
      </c>
      <c r="AS19" s="292" t="s">
        <v>419</v>
      </c>
      <c r="AT19" s="302" t="str">
        <f t="shared" si="6"/>
        <v>Yes</v>
      </c>
      <c r="AU19" s="302" t="str">
        <f t="shared" si="7"/>
        <v>No</v>
      </c>
      <c r="AV19" s="302" t="str">
        <f t="shared" si="8"/>
        <v>No</v>
      </c>
      <c r="AW19" s="302" t="s">
        <v>467</v>
      </c>
      <c r="AX19" s="302" t="s">
        <v>467</v>
      </c>
      <c r="AY19" s="302" t="s">
        <v>468</v>
      </c>
      <c r="AZ19" s="312" t="str">
        <f t="array" ref="AZ19">if(isblank(E19),"", xlookup(E19,Import_FL5_LH_PVT_BM!D:D,Import_FL5_LH_PVT_BM!AK:AK,$F$4,0,1))</f>
        <v>MP</v>
      </c>
      <c r="BA19" s="292" t="str">
        <f t="shared" si="9"/>
        <v>Retail_10ct</v>
      </c>
      <c r="BB19" s="313" t="str">
        <f t="array" ref="BB19">if(isblank(E19),"",xlookup(F19,z_Others!$B$21:$B$42,z_Others!$G$21:$G$42,"No",0,1))</f>
        <v>TMO Master Carton Label</v>
      </c>
      <c r="BC19" s="313" t="str">
        <f t="array" ref="BC19">if(isblank(E19),"",xlookup(F19,z_Others!$B$21:$B$42,z_Others!$H$21:$H$42,"No",0,1))</f>
        <v>T-Mobile Pallet Label (BTO)
T-Mobile Pallet Label (BTS)</v>
      </c>
      <c r="BD19" s="314" t="str">
        <f t="array" ref="BD19">if(isblank(E19),"",xlookup(E19,'Import_VN_Label approve'!E:E,'Import_VN_Label approve'!L:L,"N/A",0,1))</f>
        <v>G990-08482-41-01
G990-08482-41-A</v>
      </c>
      <c r="BE19" s="314" t="str">
        <f t="array" ref="BE19">if(isblank(E19),"",xlookup(E19,'Import_VN_Label approve'!E:E,'Import_VN_Label approve'!N:N,"N/A",0,1))</f>
        <v>G990-08492-41-02
G990-08492-41-A</v>
      </c>
      <c r="BF19" s="315"/>
      <c r="BG19" s="316" t="s">
        <v>422</v>
      </c>
      <c r="BH19" s="317" t="s">
        <v>423</v>
      </c>
      <c r="BI19" s="318">
        <v>45773.0</v>
      </c>
      <c r="BJ19" s="319" t="str">
        <f t="array" ref="BJ19">if(isblank(E19),"", xlookup(D19,z_Others!$B$5:$B$17,z_Others!$C$5:$C$17,"",0,1))</f>
        <v>智能手機</v>
      </c>
      <c r="BK19" s="320">
        <v>45782.0</v>
      </c>
      <c r="BL19" s="320" t="str">
        <f t="array" ref="BL19">if(isblank(E19),"",xlookup(E19,'FL5_MP POR_LH_報關備案_G950 &amp; GA'!F:F,'FL5_MP POR_LH_報關備案_G950 &amp; GA'!E:E,"No Need",0,1))</f>
        <v>Close</v>
      </c>
      <c r="BM19" s="321" t="str">
        <f t="array" ref="BM19">if(isblank(E19),"",xlookup($BM$9&amp;E19,'Import_FL5 MPS (06.06.25) - Sor'!E15:E334&amp;'Import_FL5 MPS (06.06.25) - Sor'!F15:F334,'Import_FL5 MPS (06.06.25) - Sor'!ES15:ES334,"No demand",0,1))</f>
        <v>No demand</v>
      </c>
      <c r="BN19" s="321" t="str">
        <f t="array" ref="BN19">if(isblank(E19),"",xlookup($BN$9&amp;E19,'Import_FL5 MPS (06.06.25) - Sor'!E15:E334&amp;'Import_FL5 MPS (06.06.25) - Sor'!F15:F334,'Import_FL5 MPS (06.06.25) - Sor'!ES15:ES334,"No demand",0,1))</f>
        <v>No demand</v>
      </c>
      <c r="BO19" s="321" t="str">
        <f t="array" ref="BO19">if(isblank(E19),"",xlookup($BO$9&amp;E19,'Import_FL5 MPS (06.06.25) - Sor'!E15:E334&amp;'Import_FL5 MPS (06.06.25) - Sor'!F15:F334,'Import_FL5 MPS (06.06.25) - Sor'!ES15:ES334,"No demand",0,1))</f>
        <v>No demand</v>
      </c>
      <c r="BP19" s="322" t="str">
        <f t="array" ref="BP19">if(isblank(E19),"", xlookup(E19,'Import_LH_Label approve'!E:E,'Import_LH_Label approve'!L:L,"",0,1))</f>
        <v/>
      </c>
      <c r="BQ19" s="322" t="str">
        <f t="array" ref="BQ19">if(isblank(E19),"",xlookup(E19,'Import_VN_Label approve'!E:E,'Import_VN_Label approve'!M:M,"N/A",0,1))</f>
        <v/>
      </c>
      <c r="BR19" s="325"/>
      <c r="BS19" s="323"/>
      <c r="BT19" s="324"/>
      <c r="BU19" s="117"/>
    </row>
    <row r="20">
      <c r="A20" s="176"/>
      <c r="B20" s="292">
        <v>9.0</v>
      </c>
      <c r="C20" s="231" t="s">
        <v>282</v>
      </c>
      <c r="D20" s="231" t="s">
        <v>408</v>
      </c>
      <c r="E20" s="293" t="s">
        <v>469</v>
      </c>
      <c r="F20" s="313" t="s">
        <v>470</v>
      </c>
      <c r="G20" s="325" t="s">
        <v>471</v>
      </c>
      <c r="H20" s="292" t="str">
        <f t="array" ref="H20">xlookup(F20,z_Others!$B$21:$B$45,z_Others!$E$21:$E$45,"",0,1)</f>
        <v>mmWave</v>
      </c>
      <c r="I20" s="295" t="s">
        <v>412</v>
      </c>
      <c r="J20" s="231" t="str">
        <f t="array" ref="J20">if(isblank(E20),"",xlookup(I20,z_Others!$M$17:$M$20,z_Others!$O$17:$O$20,"",0,1))</f>
        <v>Obsidian</v>
      </c>
      <c r="K20" s="292" t="str">
        <f t="array" ref="K20">xlookup(I20,z_Others!$M$17:$M$20,z_Others!$N$17:$N$20,"",0,1)</f>
        <v>BLK</v>
      </c>
      <c r="L20" s="292" t="str">
        <f t="array" ref="L20">xlookup(F20,z_Others!$B$21:$B$45,z_Others!$D$21:$D$45,"",0,1)</f>
        <v>GLBW0</v>
      </c>
      <c r="M20" s="296" t="str">
        <f t="array" ref="M20">xlookup(F20,z_Others!$B$21:$B$45,z_Others!$C$21:$C$45,"",0,1)</f>
        <v>NA</v>
      </c>
      <c r="N20" s="297">
        <f t="array" ref="N20">if(isblank(E20),"",xlookup($N$9&amp;M20,z_Others!$X$5:$X$17&amp;z_Others!$W$5:$W$17,z_Others!$Z$5:$Z$17,"",0,1))</f>
        <v>35124436</v>
      </c>
      <c r="O20" s="298" t="str">
        <f t="array" ref="O20">if(isblank(E20),"",xlookup($N$9&amp;M20,z_Others!$X$5:$X$17&amp;z_Others!$W$5:$W$17,z_Others!$AH$5:$AH$17,"",0,1))</f>
        <v>35 124436 070000x
</v>
      </c>
      <c r="P20" s="299" t="str">
        <f t="array" ref="P20">if(isblank(E20),"",xlookup($N$9&amp;M20,z_Others!$X$5:$X$17&amp;z_Others!$W$5:$W$17,z_Others!$AI$5:$AI$17,"",0,1))</f>
        <v>35 124436 999999x</v>
      </c>
      <c r="Q20" s="300" t="s">
        <v>413</v>
      </c>
      <c r="R20" s="301" t="s">
        <v>414</v>
      </c>
      <c r="S20" s="302">
        <f t="array" ref="S20">if(isblank(E20),"",xlookup($S$9&amp;M20,z_Others!$X$5:$X$17&amp;z_Others!$W$5:$W$17,z_Others!$Z$5:$Z$17,"",0,1))</f>
        <v>35676628</v>
      </c>
      <c r="T20" s="303" t="str">
        <f t="array" ref="T20">if(isblank(E20),"",xlookup($S$9&amp;M20,z_Others!$X$5:$X$17&amp;z_Others!$W$5:$W$17,z_Others!$AH$5:$AH$17,"",0,1))</f>
        <v>35 676628 040000x
35 676628 340000x</v>
      </c>
      <c r="U20" s="303" t="str">
        <f t="array" ref="U20">if(isblank(E20),"",xlookup($S$9&amp;M20,z_Others!$X$5:$X$17&amp;z_Others!$W$5:$W$17,z_Others!$AI$5:$AI$17,"",0,1))</f>
        <v>35 676628 999999x
35 676628 639999x</v>
      </c>
      <c r="V20" s="303" t="str">
        <f t="shared" si="2"/>
        <v>64:9D:38:32:91:82
B0:D5:FB:C6:60:70</v>
      </c>
      <c r="W20" s="303" t="str">
        <f t="shared" si="3"/>
        <v>64:9D:38:37:25:61
B0:D5:FB:CE:01:8F</v>
      </c>
      <c r="X20" s="304" t="str">
        <f t="shared" si="4"/>
        <v>MP1.0</v>
      </c>
      <c r="Y20" s="292"/>
      <c r="Z20" s="304" t="str">
        <f t="shared" ref="Z20:AA20" si="16">if(isblank(E20),"",$Z$9)</f>
        <v>Android 16</v>
      </c>
      <c r="AA20" s="304" t="str">
        <f t="shared" si="16"/>
        <v>Android 16</v>
      </c>
      <c r="AB20" s="305" t="s">
        <v>472</v>
      </c>
      <c r="AC20" s="305" t="s">
        <v>473</v>
      </c>
      <c r="AD20" s="314" t="s">
        <v>447</v>
      </c>
      <c r="AE20" s="307" t="s">
        <v>418</v>
      </c>
      <c r="AF20" s="308" t="s">
        <v>447</v>
      </c>
      <c r="AG20" s="309" t="s">
        <v>418</v>
      </c>
      <c r="AH20" s="297" t="str">
        <f t="array" ref="AH20">if(isblank(E20),"",xlookup(F20,z_Others!$B$21:$B$45,z_Others!$F$21:$F$45,"TBD",0,1))</f>
        <v>00</v>
      </c>
      <c r="AI20" s="310" t="str">
        <f t="array" ref="AI20">if(isblank(E20),"", xlookup(E20,'Import_FL5_LH_PVTMP_Configs (Do'!E:E,'Import_FL5_LH_PVTMP_Configs (Do'!O:O,"TBD",0,1))</f>
        <v>G710-07800-01</v>
      </c>
      <c r="AJ20" s="311"/>
      <c r="AK20" s="310" t="str">
        <f t="array" ref="AK20">if(isblank(E20),"", xlookup(E20,'Import_FL5_LH_PVTMP_Configs (Do'!E:E,'Import_FL5_LH_PVTMP_Configs (Do'!Q:Q,"TBD",0,1))</f>
        <v>G650-14694-05</v>
      </c>
      <c r="AL20" s="310" t="str">
        <f t="array" ref="AL20">if(isblank(E20),"", xlookup(E20,'Import_FL5_LH_PVTMP_Configs (Do'!E:E,'Import_FL5_LH_PVTMP_Configs (Do'!M:M,"TBD",0,1))</f>
        <v>G710-07670-01</v>
      </c>
      <c r="AM20" s="310" t="str">
        <f t="array" ref="AM20">if(isblank(E20),"", xlookup(E20,'Import_FL5_LH_PVTMP_Configs (Do'!E:E,'Import_FL5_LH_PVTMP_Configs (Do'!N:N,"TBD",0,1))</f>
        <v>G730-09533-01</v>
      </c>
      <c r="AN20" s="310" t="str">
        <f t="array" ref="AN20">if(isblank(E20),"", xlookup(E20,'Import_FL5_LH_PVTMP_Configs (Do'!E:E,'Import_FL5_LH_PVTMP_Configs (Do'!K:K,"TBD",0,1))</f>
        <v>G950-15935-00</v>
      </c>
      <c r="AO20" s="292" t="str">
        <f t="array" ref="AO20">if(isblank(E20),"",XLOOKUP(E20,'FL5_G954 Pkg ASSY (Pkg BOM)'!L:L,'FL5_G954 Pkg ASSY (Pkg BOM)'!G:G,"N/A",0,1))</f>
        <v>G954-08540-00</v>
      </c>
      <c r="AP20" s="292" t="str">
        <f t="array" ref="AP20">if(isblank(E20),"",xlookup(E20,'FL5_G962 Country kit (Accesorie'!L:L,'FL5_G962 Country kit (Accesorie'!G:G,"N/A",0,1))</f>
        <v>G962-00511-00</v>
      </c>
      <c r="AQ20" s="304" t="str">
        <f t="array" ref="AQ20">if(isblank(E20),"", xlookup(E20,'Import_LH_Label approve'!E:E,'Import_LH_Label approve'!M:M,"",0,1))</f>
        <v>G990-08380-11-01
G990-08380-11-A</v>
      </c>
      <c r="AR20" s="329" t="str">
        <f t="array" ref="AR20">if(isblank(E20),"",xlookup(E20,'Import_LH_Label approve'!E:E,'Import_LH_Label approve'!N:N,"",0,1))</f>
        <v>G990-09560-00-A</v>
      </c>
      <c r="AS20" s="292" t="s">
        <v>419</v>
      </c>
      <c r="AT20" s="302" t="str">
        <f t="shared" si="6"/>
        <v>Yes</v>
      </c>
      <c r="AU20" s="302" t="str">
        <f t="shared" si="7"/>
        <v>No</v>
      </c>
      <c r="AV20" s="302" t="str">
        <f t="shared" si="8"/>
        <v>No</v>
      </c>
      <c r="AW20" s="302"/>
      <c r="AX20" s="302" t="s">
        <v>474</v>
      </c>
      <c r="AY20" s="302" t="s">
        <v>475</v>
      </c>
      <c r="AZ20" s="312" t="str">
        <f t="array" ref="AZ20">if(isblank(E20),"", xlookup(E20,Import_FL5_LH_PVT_BM!D:D,Import_FL5_LH_PVT_BM!AK:AK,$F$4,0,1))</f>
        <v>MP</v>
      </c>
      <c r="BA20" s="292" t="str">
        <f t="shared" si="9"/>
        <v>Retail_10ct</v>
      </c>
      <c r="BB20" s="313" t="str">
        <f t="array" ref="BB20">if(isblank(E20),"",xlookup(F20,z_Others!$B$21:$B$42,z_Others!$G$21:$G$42,"No",0,1))</f>
        <v>ROW Master Carton Label (UPC)</v>
      </c>
      <c r="BC20" s="313" t="str">
        <f t="array" ref="BC20">if(isblank(E20),"",xlookup(F20,z_Others!$B$21:$B$42,z_Others!$H$21:$H$42,"No",0,1))</f>
        <v>Standard Pallet Label (BTO)
Standard Pallet Label (BTS)</v>
      </c>
      <c r="BD20" s="314" t="str">
        <f t="array" ref="BD20">if(isblank(E20),"",xlookup(E20,'Import_VN_Label approve'!E:E,'Import_VN_Label approve'!L:L,"N/A",0,1))</f>
        <v>G990-08482-11-01
G990-08482-11-A</v>
      </c>
      <c r="BE20" s="330" t="str">
        <f t="array" ref="BE20">if(isblank(E20),"",xlookup(E20,'Import_VN_Label approve'!E:E,'Import_VN_Label approve'!N:N,"N/A",0,1))</f>
        <v>G990-09560-00-A</v>
      </c>
      <c r="BF20" s="315"/>
      <c r="BG20" s="316" t="s">
        <v>422</v>
      </c>
      <c r="BH20" s="317" t="s">
        <v>423</v>
      </c>
      <c r="BI20" s="318">
        <v>45773.0</v>
      </c>
      <c r="BJ20" s="319" t="str">
        <f t="array" ref="BJ20">if(isblank(E20),"", xlookup(D20,z_Others!$B$5:$B$17,z_Others!$C$5:$C$17,"",0,1))</f>
        <v>智能手機</v>
      </c>
      <c r="BK20" s="320">
        <v>45765.0</v>
      </c>
      <c r="BL20" s="320" t="str">
        <f t="array" ref="BL20">if(isblank(E20),"",xlookup(E20,'FL5_MP POR_LH_報關備案_G950 &amp; GA'!F:F,'FL5_MP POR_LH_報關備案_G950 &amp; GA'!E:E,"No Need",0,1))</f>
        <v>Close</v>
      </c>
      <c r="BM20" s="321" t="str">
        <f t="array" ref="BM20">if(isblank(E20),"",xlookup($BM$9&amp;E20,'Import_FL5 MPS (06.06.25) - Sor'!E16:E334&amp;'Import_FL5 MPS (06.06.25) - Sor'!F16:F334,'Import_FL5 MPS (06.06.25) - Sor'!ES16:ES334,"No demand",0,1))</f>
        <v>No demand</v>
      </c>
      <c r="BN20" s="321" t="str">
        <f t="array" ref="BN20">if(isblank(E20),"",xlookup($BN$9&amp;E20,'Import_FL5 MPS (06.06.25) - Sor'!E16:E334&amp;'Import_FL5 MPS (06.06.25) - Sor'!F16:F334,'Import_FL5 MPS (06.06.25) - Sor'!ES16:ES334,"No demand",0,1))</f>
        <v>No demand</v>
      </c>
      <c r="BO20" s="321" t="str">
        <f t="array" ref="BO20">if(isblank(E20),"",xlookup($BO$9&amp;E20,'Import_FL5 MPS (06.06.25) - Sor'!E16:E334&amp;'Import_FL5 MPS (06.06.25) - Sor'!F16:F334,'Import_FL5 MPS (06.06.25) - Sor'!ES16:ES334,"No demand",0,1))</f>
        <v>No demand</v>
      </c>
      <c r="BP20" s="322" t="str">
        <f t="array" ref="BP20">if(isblank(E20),"", xlookup(E20,'Import_LH_Label approve'!E:E,'Import_LH_Label approve'!L:L,"",0,1))</f>
        <v>NA</v>
      </c>
      <c r="BQ20" s="322" t="str">
        <f t="array" ref="BQ20">if(isblank(E20),"",xlookup(E20,'Import_VN_Label approve'!E:E,'Import_VN_Label approve'!M:M,"N/A",0,1))</f>
        <v>N/A</v>
      </c>
      <c r="BR20" s="325"/>
      <c r="BS20" s="323"/>
      <c r="BT20" s="324"/>
      <c r="BU20" s="91"/>
    </row>
    <row r="21">
      <c r="A21" s="176"/>
      <c r="B21" s="292">
        <v>10.0</v>
      </c>
      <c r="C21" s="231" t="s">
        <v>282</v>
      </c>
      <c r="D21" s="231" t="s">
        <v>408</v>
      </c>
      <c r="E21" s="293" t="s">
        <v>476</v>
      </c>
      <c r="F21" s="313" t="s">
        <v>470</v>
      </c>
      <c r="G21" s="325" t="s">
        <v>471</v>
      </c>
      <c r="H21" s="292" t="str">
        <f t="array" ref="H21">xlookup(F21,z_Others!$B$21:$B$45,z_Others!$E$21:$E$45,"",0,1)</f>
        <v>mmWave</v>
      </c>
      <c r="I21" s="295" t="s">
        <v>425</v>
      </c>
      <c r="J21" s="231" t="str">
        <f t="array" ref="J21">if(isblank(E21),"",xlookup(I21,z_Others!$M$17:$M$20,z_Others!$O$17:$O$20,"",0,1))</f>
        <v>Frost</v>
      </c>
      <c r="K21" s="292" t="str">
        <f t="array" ref="K21">xlookup(I21,z_Others!$M$17:$M$20,z_Others!$N$17:$N$20,"",0,1)</f>
        <v>PPL</v>
      </c>
      <c r="L21" s="292" t="str">
        <f t="array" ref="L21">xlookup(F21,z_Others!$B$21:$B$45,z_Others!$D$21:$D$45,"",0,1)</f>
        <v>GLBW0</v>
      </c>
      <c r="M21" s="296" t="str">
        <f t="array" ref="M21">xlookup(F21,z_Others!$B$21:$B$45,z_Others!$C$21:$C$45,"",0,1)</f>
        <v>NA</v>
      </c>
      <c r="N21" s="297">
        <f t="array" ref="N21">if(isblank(E21),"",xlookup($N$9&amp;M21,z_Others!$X$5:$X$17&amp;z_Others!$W$5:$W$17,z_Others!$Z$5:$Z$17,"",0,1))</f>
        <v>35124436</v>
      </c>
      <c r="O21" s="298" t="str">
        <f t="array" ref="O21">if(isblank(E21),"",xlookup($N$9&amp;M21,z_Others!$X$5:$X$17&amp;z_Others!$W$5:$W$17,z_Others!$AH$5:$AH$17,"",0,1))</f>
        <v>35 124436 070000x
</v>
      </c>
      <c r="P21" s="299" t="str">
        <f t="array" ref="P21">if(isblank(E21),"",xlookup($N$9&amp;M21,z_Others!$X$5:$X$17&amp;z_Others!$W$5:$W$17,z_Others!$AI$5:$AI$17,"",0,1))</f>
        <v>35 124436 999999x</v>
      </c>
      <c r="Q21" s="300" t="s">
        <v>413</v>
      </c>
      <c r="R21" s="301" t="s">
        <v>414</v>
      </c>
      <c r="S21" s="302">
        <f t="array" ref="S21">if(isblank(E21),"",xlookup($S$9&amp;M21,z_Others!$X$5:$X$17&amp;z_Others!$W$5:$W$17,z_Others!$Z$5:$Z$17,"",0,1))</f>
        <v>35676628</v>
      </c>
      <c r="T21" s="303" t="str">
        <f t="array" ref="T21">if(isblank(E21),"",xlookup($S$9&amp;M21,z_Others!$X$5:$X$17&amp;z_Others!$W$5:$W$17,z_Others!$AH$5:$AH$17,"",0,1))</f>
        <v>35 676628 040000x
35 676628 340000x</v>
      </c>
      <c r="U21" s="303" t="str">
        <f t="array" ref="U21">if(isblank(E21),"",xlookup($S$9&amp;M21,z_Others!$X$5:$X$17&amp;z_Others!$W$5:$W$17,z_Others!$AI$5:$AI$17,"",0,1))</f>
        <v>35 676628 999999x
35 676628 639999x</v>
      </c>
      <c r="V21" s="303" t="str">
        <f t="shared" si="2"/>
        <v>64:9D:38:32:91:82
B0:D5:FB:C6:60:70</v>
      </c>
      <c r="W21" s="303" t="str">
        <f t="shared" si="3"/>
        <v>64:9D:38:37:25:61
B0:D5:FB:CE:01:8F</v>
      </c>
      <c r="X21" s="304" t="str">
        <f t="shared" si="4"/>
        <v>MP1.0</v>
      </c>
      <c r="Y21" s="292"/>
      <c r="Z21" s="304" t="str">
        <f t="shared" ref="Z21:AA21" si="17">if(isblank(E21),"",$Z$9)</f>
        <v>Android 16</v>
      </c>
      <c r="AA21" s="304" t="str">
        <f t="shared" si="17"/>
        <v>Android 16</v>
      </c>
      <c r="AB21" s="305" t="s">
        <v>477</v>
      </c>
      <c r="AC21" s="305" t="s">
        <v>478</v>
      </c>
      <c r="AD21" s="314" t="s">
        <v>447</v>
      </c>
      <c r="AE21" s="307" t="s">
        <v>418</v>
      </c>
      <c r="AF21" s="308" t="s">
        <v>447</v>
      </c>
      <c r="AG21" s="309" t="s">
        <v>418</v>
      </c>
      <c r="AH21" s="297" t="str">
        <f t="array" ref="AH21">if(isblank(E21),"",xlookup(F21,z_Others!$B$21:$B$45,z_Others!$F$21:$F$45,"TBD",0,1))</f>
        <v>00</v>
      </c>
      <c r="AI21" s="310" t="str">
        <f t="array" ref="AI21">if(isblank(E21),"", xlookup(E21,'Import_FL5_LH_PVTMP_Configs (Do'!E:E,'Import_FL5_LH_PVTMP_Configs (Do'!O:O,"TBD",0,1))</f>
        <v>G710-07800-01</v>
      </c>
      <c r="AJ21" s="311"/>
      <c r="AK21" s="310" t="str">
        <f t="array" ref="AK21">if(isblank(E21),"", xlookup(E21,'Import_FL5_LH_PVTMP_Configs (Do'!E:E,'Import_FL5_LH_PVTMP_Configs (Do'!Q:Q,"TBD",0,1))</f>
        <v>G650-14694-05</v>
      </c>
      <c r="AL21" s="310" t="str">
        <f t="array" ref="AL21">if(isblank(E21),"", xlookup(E21,'Import_FL5_LH_PVTMP_Configs (Do'!E:E,'Import_FL5_LH_PVTMP_Configs (Do'!M:M,"TBD",0,1))</f>
        <v>G710-07670-01</v>
      </c>
      <c r="AM21" s="310" t="str">
        <f t="array" ref="AM21">if(isblank(E21),"", xlookup(E21,'Import_FL5_LH_PVTMP_Configs (Do'!E:E,'Import_FL5_LH_PVTMP_Configs (Do'!N:N,"TBD",0,1))</f>
        <v>G730-09533-02</v>
      </c>
      <c r="AN21" s="310" t="str">
        <f t="array" ref="AN21">if(isblank(E21),"", xlookup(E21,'Import_FL5_LH_PVTMP_Configs (Do'!E:E,'Import_FL5_LH_PVTMP_Configs (Do'!K:K,"TBD",0,1))</f>
        <v>G950-15935-01</v>
      </c>
      <c r="AO21" s="292" t="str">
        <f t="array" ref="AO21">if(isblank(E21),"",XLOOKUP(E21,'FL5_G954 Pkg ASSY (Pkg BOM)'!L:L,'FL5_G954 Pkg ASSY (Pkg BOM)'!G:G,"N/A",0,1))</f>
        <v>G954-08540-00</v>
      </c>
      <c r="AP21" s="292" t="str">
        <f t="array" ref="AP21">if(isblank(E21),"",xlookup(E21,'FL5_G962 Country kit (Accesorie'!L:L,'FL5_G962 Country kit (Accesorie'!G:G,"N/A",0,1))</f>
        <v>G962-00511-00</v>
      </c>
      <c r="AQ21" s="304" t="str">
        <f t="array" ref="AQ21">if(isblank(E21),"", xlookup(E21,'Import_LH_Label approve'!E:E,'Import_LH_Label approve'!M:M,"",0,1))</f>
        <v>G990-08380-21-01
G990-08380-21-A</v>
      </c>
      <c r="AR21" s="329" t="str">
        <f t="array" ref="AR21">if(isblank(E21),"",xlookup(E21,'Import_LH_Label approve'!E:E,'Import_LH_Label approve'!N:N,"",0,1))</f>
        <v>G990-09560-00-A</v>
      </c>
      <c r="AS21" s="292" t="s">
        <v>419</v>
      </c>
      <c r="AT21" s="302" t="str">
        <f t="shared" si="6"/>
        <v>Yes</v>
      </c>
      <c r="AU21" s="302" t="str">
        <f t="shared" si="7"/>
        <v>No</v>
      </c>
      <c r="AV21" s="302" t="str">
        <f t="shared" si="8"/>
        <v>No</v>
      </c>
      <c r="AW21" s="302"/>
      <c r="AX21" s="302" t="s">
        <v>479</v>
      </c>
      <c r="AY21" s="302" t="s">
        <v>480</v>
      </c>
      <c r="AZ21" s="312" t="str">
        <f t="array" ref="AZ21">if(isblank(E21),"", xlookup(E21,Import_FL5_LH_PVT_BM!D:D,Import_FL5_LH_PVT_BM!AK:AK,$F$4,0,1))</f>
        <v>MP</v>
      </c>
      <c r="BA21" s="292" t="str">
        <f t="shared" si="9"/>
        <v>Retail_10ct</v>
      </c>
      <c r="BB21" s="313" t="str">
        <f t="array" ref="BB21">if(isblank(E21),"",xlookup(F21,z_Others!$B$21:$B$42,z_Others!$G$21:$G$42,"No",0,1))</f>
        <v>ROW Master Carton Label (UPC)</v>
      </c>
      <c r="BC21" s="313" t="str">
        <f t="array" ref="BC21">if(isblank(E21),"",xlookup(F21,z_Others!$B$21:$B$42,z_Others!$H$21:$H$42,"No",0,1))</f>
        <v>Standard Pallet Label (BTO)
Standard Pallet Label (BTS)</v>
      </c>
      <c r="BD21" s="314" t="str">
        <f t="array" ref="BD21">if(isblank(E21),"",xlookup(E21,'Import_VN_Label approve'!E:E,'Import_VN_Label approve'!L:L,"N/A",0,1))</f>
        <v>G990-08482-21-01
G990-08482-21-A</v>
      </c>
      <c r="BE21" s="330" t="str">
        <f t="array" ref="BE21">if(isblank(E21),"",xlookup(E21,'Import_VN_Label approve'!E:E,'Import_VN_Label approve'!N:N,"N/A",0,1))</f>
        <v>G990-09560-00-A</v>
      </c>
      <c r="BF21" s="315"/>
      <c r="BG21" s="316" t="s">
        <v>422</v>
      </c>
      <c r="BH21" s="317" t="s">
        <v>423</v>
      </c>
      <c r="BI21" s="318">
        <v>45773.0</v>
      </c>
      <c r="BJ21" s="319" t="str">
        <f t="array" ref="BJ21">if(isblank(E21),"", xlookup(D21,z_Others!$B$5:$B$17,z_Others!$C$5:$C$17,"",0,1))</f>
        <v>智能手機</v>
      </c>
      <c r="BK21" s="320">
        <v>45765.0</v>
      </c>
      <c r="BL21" s="320" t="str">
        <f t="array" ref="BL21">if(isblank(E21),"",xlookup(E21,'FL5_MP POR_LH_報關備案_G950 &amp; GA'!F:F,'FL5_MP POR_LH_報關備案_G950 &amp; GA'!E:E,"No Need",0,1))</f>
        <v>Close</v>
      </c>
      <c r="BM21" s="321" t="str">
        <f t="array" ref="BM21">if(isblank(E21),"",xlookup($BM$9&amp;E21,'Import_FL5 MPS (06.06.25) - Sor'!E17:E334&amp;'Import_FL5 MPS (06.06.25) - Sor'!F17:F334,'Import_FL5 MPS (06.06.25) - Sor'!ES17:ES334,"No demand",0,1))</f>
        <v>No demand</v>
      </c>
      <c r="BN21" s="321" t="str">
        <f t="array" ref="BN21">if(isblank(E21),"",xlookup($BN$9&amp;E21,'Import_FL5 MPS (06.06.25) - Sor'!E17:E334&amp;'Import_FL5 MPS (06.06.25) - Sor'!F17:F334,'Import_FL5 MPS (06.06.25) - Sor'!ES17:ES334,"No demand",0,1))</f>
        <v>No demand</v>
      </c>
      <c r="BO21" s="321" t="str">
        <f t="array" ref="BO21">if(isblank(E21),"",xlookup($BO$9&amp;E21,'Import_FL5 MPS (06.06.25) - Sor'!E17:E334&amp;'Import_FL5 MPS (06.06.25) - Sor'!F17:F334,'Import_FL5 MPS (06.06.25) - Sor'!ES17:ES334,"No demand",0,1))</f>
        <v>No demand</v>
      </c>
      <c r="BP21" s="322" t="str">
        <f t="array" ref="BP21">if(isblank(E21),"", xlookup(E21,'Import_LH_Label approve'!E:E,'Import_LH_Label approve'!L:L,"",0,1))</f>
        <v>NA</v>
      </c>
      <c r="BQ21" s="322" t="str">
        <f t="array" ref="BQ21">if(isblank(E21),"",xlookup(E21,'Import_VN_Label approve'!E:E,'Import_VN_Label approve'!M:M,"N/A",0,1))</f>
        <v>N/A</v>
      </c>
      <c r="BR21" s="313"/>
      <c r="BS21" s="323"/>
      <c r="BT21" s="324"/>
      <c r="BU21" s="91"/>
    </row>
    <row r="22">
      <c r="A22" s="176"/>
      <c r="B22" s="292">
        <v>11.0</v>
      </c>
      <c r="C22" s="231" t="s">
        <v>282</v>
      </c>
      <c r="D22" s="231" t="s">
        <v>408</v>
      </c>
      <c r="E22" s="293" t="s">
        <v>481</v>
      </c>
      <c r="F22" s="313" t="s">
        <v>470</v>
      </c>
      <c r="G22" s="325" t="s">
        <v>471</v>
      </c>
      <c r="H22" s="292" t="str">
        <f t="array" ref="H22">xlookup(F22,z_Others!$B$21:$B$45,z_Others!$E$21:$E$45,"",0,1)</f>
        <v>mmWave</v>
      </c>
      <c r="I22" s="295" t="s">
        <v>431</v>
      </c>
      <c r="J22" s="231" t="str">
        <f t="array" ref="J22">if(isblank(E22),"",xlookup(I22,z_Others!$M$17:$M$20,z_Others!$O$17:$O$20,"",0,1))</f>
        <v>Lemongrass</v>
      </c>
      <c r="K22" s="292" t="str">
        <f t="array" ref="K22">xlookup(I22,z_Others!$M$17:$M$20,z_Others!$N$17:$N$20,"",0,1)</f>
        <v>YEL</v>
      </c>
      <c r="L22" s="292" t="str">
        <f t="array" ref="L22">xlookup(F22,z_Others!$B$21:$B$45,z_Others!$D$21:$D$45,"",0,1)</f>
        <v>GLBW0</v>
      </c>
      <c r="M22" s="296" t="str">
        <f t="array" ref="M22">xlookup(F22,z_Others!$B$21:$B$45,z_Others!$C$21:$C$45,"",0,1)</f>
        <v>NA</v>
      </c>
      <c r="N22" s="297">
        <f t="array" ref="N22">if(isblank(E22),"",xlookup($N$9&amp;M22,z_Others!$X$5:$X$17&amp;z_Others!$W$5:$W$17,z_Others!$Z$5:$Z$17,"",0,1))</f>
        <v>35124436</v>
      </c>
      <c r="O22" s="298" t="str">
        <f t="array" ref="O22">if(isblank(E22),"",xlookup($N$9&amp;M22,z_Others!$X$5:$X$17&amp;z_Others!$W$5:$W$17,z_Others!$AH$5:$AH$17,"",0,1))</f>
        <v>35 124436 070000x
</v>
      </c>
      <c r="P22" s="299" t="str">
        <f t="array" ref="P22">if(isblank(E22),"",xlookup($N$9&amp;M22,z_Others!$X$5:$X$17&amp;z_Others!$W$5:$W$17,z_Others!$AI$5:$AI$17,"",0,1))</f>
        <v>35 124436 999999x</v>
      </c>
      <c r="Q22" s="300" t="s">
        <v>413</v>
      </c>
      <c r="R22" s="301" t="s">
        <v>414</v>
      </c>
      <c r="S22" s="302">
        <f t="array" ref="S22">if(isblank(E22),"",xlookup($S$9&amp;M22,z_Others!$X$5:$X$17&amp;z_Others!$W$5:$W$17,z_Others!$Z$5:$Z$17,"",0,1))</f>
        <v>35676628</v>
      </c>
      <c r="T22" s="303" t="str">
        <f t="array" ref="T22">if(isblank(E22),"",xlookup($S$9&amp;M22,z_Others!$X$5:$X$17&amp;z_Others!$W$5:$W$17,z_Others!$AH$5:$AH$17,"",0,1))</f>
        <v>35 676628 040000x
35 676628 340000x</v>
      </c>
      <c r="U22" s="303" t="str">
        <f t="array" ref="U22">if(isblank(E22),"",xlookup($S$9&amp;M22,z_Others!$X$5:$X$17&amp;z_Others!$W$5:$W$17,z_Others!$AI$5:$AI$17,"",0,1))</f>
        <v>35 676628 999999x
35 676628 639999x</v>
      </c>
      <c r="V22" s="303" t="str">
        <f t="shared" si="2"/>
        <v>64:9D:38:32:91:82
B0:D5:FB:C6:60:70</v>
      </c>
      <c r="W22" s="303" t="str">
        <f t="shared" si="3"/>
        <v>64:9D:38:37:25:61
B0:D5:FB:CE:01:8F</v>
      </c>
      <c r="X22" s="304" t="str">
        <f t="shared" si="4"/>
        <v>MP1.0</v>
      </c>
      <c r="Y22" s="292"/>
      <c r="Z22" s="304" t="str">
        <f t="shared" ref="Z22:AA22" si="18">if(isblank(E22),"",$Z$9)</f>
        <v>Android 16</v>
      </c>
      <c r="AA22" s="304" t="str">
        <f t="shared" si="18"/>
        <v>Android 16</v>
      </c>
      <c r="AB22" s="305" t="s">
        <v>482</v>
      </c>
      <c r="AC22" s="305" t="s">
        <v>483</v>
      </c>
      <c r="AD22" s="314" t="s">
        <v>447</v>
      </c>
      <c r="AE22" s="307" t="s">
        <v>418</v>
      </c>
      <c r="AF22" s="308" t="s">
        <v>447</v>
      </c>
      <c r="AG22" s="309" t="s">
        <v>418</v>
      </c>
      <c r="AH22" s="297" t="str">
        <f t="array" ref="AH22">if(isblank(E22),"",xlookup(F22,z_Others!$B$21:$B$45,z_Others!$F$21:$F$45,"TBD",0,1))</f>
        <v>00</v>
      </c>
      <c r="AI22" s="310" t="str">
        <f t="array" ref="AI22">if(isblank(E22),"", xlookup(E22,'Import_FL5_LH_PVTMP_Configs (Do'!E:E,'Import_FL5_LH_PVTMP_Configs (Do'!O:O,"TBD",0,1))</f>
        <v>G710-07800-01</v>
      </c>
      <c r="AJ22" s="311"/>
      <c r="AK22" s="310" t="str">
        <f t="array" ref="AK22">if(isblank(E22),"", xlookup(E22,'Import_FL5_LH_PVTMP_Configs (Do'!E:E,'Import_FL5_LH_PVTMP_Configs (Do'!Q:Q,"TBD",0,1))</f>
        <v>G650-14694-05</v>
      </c>
      <c r="AL22" s="310" t="str">
        <f t="array" ref="AL22">if(isblank(E22),"", xlookup(E22,'Import_FL5_LH_PVTMP_Configs (Do'!E:E,'Import_FL5_LH_PVTMP_Configs (Do'!M:M,"TBD",0,1))</f>
        <v>G710-07670-01</v>
      </c>
      <c r="AM22" s="310" t="str">
        <f t="array" ref="AM22">if(isblank(E22),"", xlookup(E22,'Import_FL5_LH_PVTMP_Configs (Do'!E:E,'Import_FL5_LH_PVTMP_Configs (Do'!N:N,"TBD",0,1))</f>
        <v>G730-09533-03</v>
      </c>
      <c r="AN22" s="310" t="str">
        <f t="array" ref="AN22">if(isblank(E22),"", xlookup(E22,'Import_FL5_LH_PVTMP_Configs (Do'!E:E,'Import_FL5_LH_PVTMP_Configs (Do'!K:K,"TBD",0,1))</f>
        <v>G950-15935-02</v>
      </c>
      <c r="AO22" s="292" t="str">
        <f t="array" ref="AO22">if(isblank(E22),"",XLOOKUP(E22,'FL5_G954 Pkg ASSY (Pkg BOM)'!L:L,'FL5_G954 Pkg ASSY (Pkg BOM)'!G:G,"N/A",0,1))</f>
        <v>G954-08540-00</v>
      </c>
      <c r="AP22" s="292" t="str">
        <f t="array" ref="AP22">if(isblank(E22),"",xlookup(E22,'FL5_G962 Country kit (Accesorie'!L:L,'FL5_G962 Country kit (Accesorie'!G:G,"N/A",0,1))</f>
        <v>G962-00511-00</v>
      </c>
      <c r="AQ22" s="304" t="str">
        <f t="array" ref="AQ22">if(isblank(E22),"", xlookup(E22,'Import_LH_Label approve'!E:E,'Import_LH_Label approve'!M:M,"",0,1))</f>
        <v>G990-08380-31-02
G990-08380-31-A</v>
      </c>
      <c r="AR22" s="329" t="str">
        <f t="array" ref="AR22">if(isblank(E22),"",xlookup(E22,'Import_LH_Label approve'!E:E,'Import_LH_Label approve'!N:N,"",0,1))</f>
        <v>G990-09560-00-A</v>
      </c>
      <c r="AS22" s="292" t="s">
        <v>419</v>
      </c>
      <c r="AT22" s="302" t="str">
        <f t="shared" si="6"/>
        <v>Yes</v>
      </c>
      <c r="AU22" s="302" t="str">
        <f t="shared" si="7"/>
        <v>No</v>
      </c>
      <c r="AV22" s="302" t="str">
        <f t="shared" si="8"/>
        <v>No</v>
      </c>
      <c r="AW22" s="302"/>
      <c r="AX22" s="302" t="s">
        <v>484</v>
      </c>
      <c r="AY22" s="302" t="s">
        <v>485</v>
      </c>
      <c r="AZ22" s="312" t="str">
        <f t="array" ref="AZ22">if(isblank(E22),"", xlookup(E22,Import_FL5_LH_PVT_BM!D:D,Import_FL5_LH_PVT_BM!AK:AK,$F$4,0,1))</f>
        <v>MP</v>
      </c>
      <c r="BA22" s="292" t="str">
        <f t="shared" si="9"/>
        <v>Retail_10ct</v>
      </c>
      <c r="BB22" s="313" t="str">
        <f t="array" ref="BB22">if(isblank(E22),"",xlookup(F22,z_Others!$B$21:$B$42,z_Others!$G$21:$G$42,"No",0,1))</f>
        <v>ROW Master Carton Label (UPC)</v>
      </c>
      <c r="BC22" s="313" t="str">
        <f t="array" ref="BC22">if(isblank(E22),"",xlookup(F22,z_Others!$B$21:$B$42,z_Others!$H$21:$H$42,"No",0,1))</f>
        <v>Standard Pallet Label (BTO)
Standard Pallet Label (BTS)</v>
      </c>
      <c r="BD22" s="314" t="str">
        <f t="array" ref="BD22">if(isblank(E22),"",xlookup(E22,'Import_VN_Label approve'!E:E,'Import_VN_Label approve'!L:L,"N/A",0,1))</f>
        <v>G990-08482-31-01
G990-08482-31-A</v>
      </c>
      <c r="BE22" s="330" t="str">
        <f t="array" ref="BE22">if(isblank(E22),"",xlookup(E22,'Import_VN_Label approve'!E:E,'Import_VN_Label approve'!N:N,"N/A",0,1))</f>
        <v>G990-09560-00-A</v>
      </c>
      <c r="BF22" s="315"/>
      <c r="BG22" s="316" t="s">
        <v>422</v>
      </c>
      <c r="BH22" s="317" t="s">
        <v>423</v>
      </c>
      <c r="BI22" s="318">
        <v>45773.0</v>
      </c>
      <c r="BJ22" s="319" t="str">
        <f t="array" ref="BJ22">if(isblank(E22),"", xlookup(D22,z_Others!$B$5:$B$17,z_Others!$C$5:$C$17,"",0,1))</f>
        <v>智能手機</v>
      </c>
      <c r="BK22" s="320">
        <v>45782.0</v>
      </c>
      <c r="BL22" s="320" t="str">
        <f t="array" ref="BL22">if(isblank(E22),"",xlookup(E22,'FL5_MP POR_LH_報關備案_G950 &amp; GA'!F:F,'FL5_MP POR_LH_報關備案_G950 &amp; GA'!E:E,"No Need",0,1))</f>
        <v>Close</v>
      </c>
      <c r="BM22" s="321" t="str">
        <f t="array" ref="BM22">if(isblank(E22),"",xlookup($BM$9&amp;E22,'Import_FL5 MPS (06.06.25) - Sor'!E18:E334&amp;'Import_FL5 MPS (06.06.25) - Sor'!F18:F334,'Import_FL5 MPS (06.06.25) - Sor'!ES18:ES334,"No demand",0,1))</f>
        <v>No demand</v>
      </c>
      <c r="BN22" s="321" t="str">
        <f t="array" ref="BN22">if(isblank(E22),"",xlookup($BN$9&amp;E22,'Import_FL5 MPS (06.06.25) - Sor'!E18:E334&amp;'Import_FL5 MPS (06.06.25) - Sor'!F18:F334,'Import_FL5 MPS (06.06.25) - Sor'!ES18:ES334,"No demand",0,1))</f>
        <v>No demand</v>
      </c>
      <c r="BO22" s="321" t="str">
        <f t="array" ref="BO22">if(isblank(E22),"",xlookup($BO$9&amp;E22,'Import_FL5 MPS (06.06.25) - Sor'!E18:E334&amp;'Import_FL5 MPS (06.06.25) - Sor'!F18:F334,'Import_FL5 MPS (06.06.25) - Sor'!ES18:ES334,"No demand",0,1))</f>
        <v>No demand</v>
      </c>
      <c r="BP22" s="322" t="str">
        <f t="array" ref="BP22">if(isblank(E22),"", xlookup(E22,'Import_LH_Label approve'!E:E,'Import_LH_Label approve'!L:L,"",0,1))</f>
        <v>NA</v>
      </c>
      <c r="BQ22" s="322" t="str">
        <f t="array" ref="BQ22">if(isblank(E22),"",xlookup(E22,'Import_VN_Label approve'!E:E,'Import_VN_Label approve'!M:M,"N/A",0,1))</f>
        <v>N/A</v>
      </c>
      <c r="BR22" s="313"/>
      <c r="BS22" s="323"/>
      <c r="BT22" s="324"/>
      <c r="BU22" s="91"/>
    </row>
    <row r="23">
      <c r="A23" s="176"/>
      <c r="B23" s="292">
        <v>12.0</v>
      </c>
      <c r="C23" s="231" t="s">
        <v>282</v>
      </c>
      <c r="D23" s="231" t="s">
        <v>408</v>
      </c>
      <c r="E23" s="293" t="s">
        <v>486</v>
      </c>
      <c r="F23" s="313" t="s">
        <v>470</v>
      </c>
      <c r="G23" s="325" t="s">
        <v>471</v>
      </c>
      <c r="H23" s="292" t="str">
        <f t="array" ref="H23">xlookup(F23,z_Others!$B$21:$B$45,z_Others!$E$21:$E$45,"",0,1)</f>
        <v>mmWave</v>
      </c>
      <c r="I23" s="295" t="s">
        <v>437</v>
      </c>
      <c r="J23" s="231" t="str">
        <f t="array" ref="J23">if(isblank(E23),"",xlookup(I23,z_Others!$M$17:$M$20,z_Others!$O$17:$O$20,"",0,1))</f>
        <v>Indigo</v>
      </c>
      <c r="K23" s="292" t="str">
        <f t="array" ref="K23">xlookup(I23,z_Others!$M$17:$M$20,z_Others!$N$17:$N$20,"",0,1)</f>
        <v>BUE</v>
      </c>
      <c r="L23" s="292" t="str">
        <f t="array" ref="L23">xlookup(F23,z_Others!$B$21:$B$45,z_Others!$D$21:$D$45,"",0,1)</f>
        <v>GLBW0</v>
      </c>
      <c r="M23" s="296" t="str">
        <f t="array" ref="M23">xlookup(F23,z_Others!$B$21:$B$45,z_Others!$C$21:$C$45,"",0,1)</f>
        <v>NA</v>
      </c>
      <c r="N23" s="297">
        <f t="array" ref="N23">if(isblank(E23),"",xlookup($N$9&amp;M23,z_Others!$X$5:$X$17&amp;z_Others!$W$5:$W$17,z_Others!$Z$5:$Z$17,"",0,1))</f>
        <v>35124436</v>
      </c>
      <c r="O23" s="298" t="str">
        <f t="array" ref="O23">if(isblank(E23),"",xlookup($N$9&amp;M23,z_Others!$X$5:$X$17&amp;z_Others!$W$5:$W$17,z_Others!$AH$5:$AH$17,"",0,1))</f>
        <v>35 124436 070000x
</v>
      </c>
      <c r="P23" s="299" t="str">
        <f t="array" ref="P23">if(isblank(E23),"",xlookup($N$9&amp;M23,z_Others!$X$5:$X$17&amp;z_Others!$W$5:$W$17,z_Others!$AI$5:$AI$17,"",0,1))</f>
        <v>35 124436 999999x</v>
      </c>
      <c r="Q23" s="300" t="s">
        <v>413</v>
      </c>
      <c r="R23" s="301" t="s">
        <v>414</v>
      </c>
      <c r="S23" s="302">
        <f t="array" ref="S23">if(isblank(E23),"",xlookup($S$9&amp;M23,z_Others!$X$5:$X$17&amp;z_Others!$W$5:$W$17,z_Others!$Z$5:$Z$17,"",0,1))</f>
        <v>35676628</v>
      </c>
      <c r="T23" s="303" t="str">
        <f t="array" ref="T23">if(isblank(E23),"",xlookup($S$9&amp;M23,z_Others!$X$5:$X$17&amp;z_Others!$W$5:$W$17,z_Others!$AH$5:$AH$17,"",0,1))</f>
        <v>35 676628 040000x
35 676628 340000x</v>
      </c>
      <c r="U23" s="303" t="str">
        <f t="array" ref="U23">if(isblank(E23),"",xlookup($S$9&amp;M23,z_Others!$X$5:$X$17&amp;z_Others!$W$5:$W$17,z_Others!$AI$5:$AI$17,"",0,1))</f>
        <v>35 676628 999999x
35 676628 639999x</v>
      </c>
      <c r="V23" s="303" t="str">
        <f t="shared" si="2"/>
        <v>64:9D:38:32:91:82
B0:D5:FB:C6:60:70</v>
      </c>
      <c r="W23" s="303" t="str">
        <f t="shared" si="3"/>
        <v>64:9D:38:37:25:61
B0:D5:FB:CE:01:8F</v>
      </c>
      <c r="X23" s="304" t="str">
        <f t="shared" si="4"/>
        <v>MP1.0</v>
      </c>
      <c r="Y23" s="292"/>
      <c r="Z23" s="304" t="str">
        <f t="shared" ref="Z23:AA23" si="19">if(isblank(E23),"",$Z$9)</f>
        <v>Android 16</v>
      </c>
      <c r="AA23" s="304" t="str">
        <f t="shared" si="19"/>
        <v>Android 16</v>
      </c>
      <c r="AB23" s="305" t="s">
        <v>487</v>
      </c>
      <c r="AC23" s="305" t="s">
        <v>488</v>
      </c>
      <c r="AD23" s="314" t="s">
        <v>447</v>
      </c>
      <c r="AE23" s="307" t="s">
        <v>418</v>
      </c>
      <c r="AF23" s="308" t="s">
        <v>447</v>
      </c>
      <c r="AG23" s="309" t="s">
        <v>418</v>
      </c>
      <c r="AH23" s="297" t="str">
        <f t="array" ref="AH23">if(isblank(E23),"",xlookup(F23,z_Others!$B$21:$B$45,z_Others!$F$21:$F$45,"TBD",0,1))</f>
        <v>00</v>
      </c>
      <c r="AI23" s="310" t="str">
        <f t="array" ref="AI23">if(isblank(E23),"", xlookup(E23,'Import_FL5_LH_PVTMP_Configs (Do'!E:E,'Import_FL5_LH_PVTMP_Configs (Do'!O:O,"TBD",0,1))</f>
        <v>G710-07800-01</v>
      </c>
      <c r="AJ23" s="311"/>
      <c r="AK23" s="310" t="str">
        <f t="array" ref="AK23">if(isblank(E23),"", xlookup(E23,'Import_FL5_LH_PVTMP_Configs (Do'!E:E,'Import_FL5_LH_PVTMP_Configs (Do'!Q:Q,"TBD",0,1))</f>
        <v>G650-14694-05</v>
      </c>
      <c r="AL23" s="310" t="str">
        <f t="array" ref="AL23">if(isblank(E23),"", xlookup(E23,'Import_FL5_LH_PVTMP_Configs (Do'!E:E,'Import_FL5_LH_PVTMP_Configs (Do'!M:M,"TBD",0,1))</f>
        <v>G710-07670-01</v>
      </c>
      <c r="AM23" s="310" t="str">
        <f t="array" ref="AM23">if(isblank(E23),"", xlookup(E23,'Import_FL5_LH_PVTMP_Configs (Do'!E:E,'Import_FL5_LH_PVTMP_Configs (Do'!N:N,"TBD",0,1))</f>
        <v>G730-09533-04</v>
      </c>
      <c r="AN23" s="310" t="str">
        <f t="array" ref="AN23">if(isblank(E23),"", xlookup(E23,'Import_FL5_LH_PVTMP_Configs (Do'!E:E,'Import_FL5_LH_PVTMP_Configs (Do'!K:K,"TBD",0,1))</f>
        <v>G950-15935-03</v>
      </c>
      <c r="AO23" s="292" t="str">
        <f t="array" ref="AO23">if(isblank(E23),"",XLOOKUP(E23,'FL5_G954 Pkg ASSY (Pkg BOM)'!L:L,'FL5_G954 Pkg ASSY (Pkg BOM)'!G:G,"N/A",0,1))</f>
        <v>G954-08540-00</v>
      </c>
      <c r="AP23" s="292" t="str">
        <f t="array" ref="AP23">if(isblank(E23),"",xlookup(E23,'FL5_G962 Country kit (Accesorie'!L:L,'FL5_G962 Country kit (Accesorie'!G:G,"N/A",0,1))</f>
        <v>G962-00511-00</v>
      </c>
      <c r="AQ23" s="304" t="str">
        <f t="array" ref="AQ23">if(isblank(E23),"", xlookup(E23,'Import_LH_Label approve'!E:E,'Import_LH_Label approve'!M:M,"",0,1))</f>
        <v>G990-08380-41-01
G990-08380-41-A</v>
      </c>
      <c r="AR23" s="329" t="str">
        <f t="array" ref="AR23">if(isblank(E23),"",xlookup(E23,'Import_LH_Label approve'!E:E,'Import_LH_Label approve'!N:N,"",0,1))</f>
        <v>G990-09560-00-A</v>
      </c>
      <c r="AS23" s="292" t="s">
        <v>419</v>
      </c>
      <c r="AT23" s="302" t="str">
        <f t="shared" si="6"/>
        <v>Yes</v>
      </c>
      <c r="AU23" s="302" t="str">
        <f t="shared" si="7"/>
        <v>No</v>
      </c>
      <c r="AV23" s="302" t="str">
        <f t="shared" si="8"/>
        <v>No</v>
      </c>
      <c r="AW23" s="302"/>
      <c r="AX23" s="302" t="s">
        <v>489</v>
      </c>
      <c r="AY23" s="302" t="s">
        <v>490</v>
      </c>
      <c r="AZ23" s="312" t="str">
        <f t="array" ref="AZ23">if(isblank(E23),"", xlookup(E23,Import_FL5_LH_PVT_BM!D:D,Import_FL5_LH_PVT_BM!AK:AK,$F$4,0,1))</f>
        <v>MP</v>
      </c>
      <c r="BA23" s="292" t="str">
        <f t="shared" si="9"/>
        <v>Retail_10ct</v>
      </c>
      <c r="BB23" s="313" t="str">
        <f t="array" ref="BB23">if(isblank(E23),"",xlookup(F23,z_Others!$B$21:$B$42,z_Others!$G$21:$G$42,"No",0,1))</f>
        <v>ROW Master Carton Label (UPC)</v>
      </c>
      <c r="BC23" s="313" t="str">
        <f t="array" ref="BC23">if(isblank(E23),"",xlookup(F23,z_Others!$B$21:$B$42,z_Others!$H$21:$H$42,"No",0,1))</f>
        <v>Standard Pallet Label (BTO)
Standard Pallet Label (BTS)</v>
      </c>
      <c r="BD23" s="314" t="str">
        <f t="array" ref="BD23">if(isblank(E23),"",xlookup(E23,'Import_VN_Label approve'!E:E,'Import_VN_Label approve'!L:L,"N/A",0,1))</f>
        <v>G990-08482-41-01
G990-08482-41-A</v>
      </c>
      <c r="BE23" s="330" t="str">
        <f t="array" ref="BE23">if(isblank(E23),"",xlookup(E23,'Import_VN_Label approve'!E:E,'Import_VN_Label approve'!N:N,"N/A",0,1))</f>
        <v>G990-09560-00-A</v>
      </c>
      <c r="BF23" s="315"/>
      <c r="BG23" s="316" t="s">
        <v>422</v>
      </c>
      <c r="BH23" s="317" t="s">
        <v>423</v>
      </c>
      <c r="BI23" s="318">
        <v>45773.0</v>
      </c>
      <c r="BJ23" s="319" t="str">
        <f t="array" ref="BJ23">if(isblank(E23),"", xlookup(D23,z_Others!$B$5:$B$17,z_Others!$C$5:$C$17,"",0,1))</f>
        <v>智能手機</v>
      </c>
      <c r="BK23" s="320">
        <v>45782.0</v>
      </c>
      <c r="BL23" s="320" t="str">
        <f t="array" ref="BL23">if(isblank(E23),"",xlookup(E23,'FL5_MP POR_LH_報關備案_G950 &amp; GA'!F:F,'FL5_MP POR_LH_報關備案_G950 &amp; GA'!E:E,"No Need",0,1))</f>
        <v>Close</v>
      </c>
      <c r="BM23" s="321" t="str">
        <f t="array" ref="BM23">if(isblank(E23),"",xlookup($BM$9&amp;E23,'Import_FL5 MPS (06.06.25) - Sor'!E19:E334&amp;'Import_FL5 MPS (06.06.25) - Sor'!F19:F334,'Import_FL5 MPS (06.06.25) - Sor'!ES19:ES334,"No demand",0,1))</f>
        <v>No demand</v>
      </c>
      <c r="BN23" s="321" t="str">
        <f t="array" ref="BN23">if(isblank(E23),"",xlookup($BN$9&amp;E23,'Import_FL5 MPS (06.06.25) - Sor'!E19:E334&amp;'Import_FL5 MPS (06.06.25) - Sor'!F19:F334,'Import_FL5 MPS (06.06.25) - Sor'!ES19:ES334,"No demand",0,1))</f>
        <v>No demand</v>
      </c>
      <c r="BO23" s="321" t="str">
        <f t="array" ref="BO23">if(isblank(E23),"",xlookup($BO$9&amp;E23,'Import_FL5 MPS (06.06.25) - Sor'!E19:E334&amp;'Import_FL5 MPS (06.06.25) - Sor'!F19:F334,'Import_FL5 MPS (06.06.25) - Sor'!ES19:ES334,"No demand",0,1))</f>
        <v>No demand</v>
      </c>
      <c r="BP23" s="322" t="str">
        <f t="array" ref="BP23">if(isblank(E23),"", xlookup(E23,'Import_LH_Label approve'!E:E,'Import_LH_Label approve'!L:L,"",0,1))</f>
        <v>NA</v>
      </c>
      <c r="BQ23" s="322" t="str">
        <f t="array" ref="BQ23">if(isblank(E23),"",xlookup(E23,'Import_VN_Label approve'!E:E,'Import_VN_Label approve'!M:M,"N/A",0,1))</f>
        <v>N/A</v>
      </c>
      <c r="BR23" s="313"/>
      <c r="BS23" s="323"/>
      <c r="BT23" s="324"/>
      <c r="BU23" s="91"/>
    </row>
    <row r="24">
      <c r="A24" s="176"/>
      <c r="B24" s="292">
        <v>13.0</v>
      </c>
      <c r="C24" s="231" t="s">
        <v>282</v>
      </c>
      <c r="D24" s="231" t="s">
        <v>408</v>
      </c>
      <c r="E24" s="293" t="s">
        <v>491</v>
      </c>
      <c r="F24" s="313" t="s">
        <v>492</v>
      </c>
      <c r="G24" s="325" t="s">
        <v>493</v>
      </c>
      <c r="H24" s="292" t="str">
        <f t="array" ref="H24">xlookup(F24,z_Others!$B$21:$B$45,z_Others!$E$21:$E$45,"",0,1)</f>
        <v>Sub6</v>
      </c>
      <c r="I24" s="295" t="s">
        <v>412</v>
      </c>
      <c r="J24" s="231" t="str">
        <f t="array" ref="J24">if(isblank(E24),"",xlookup(I24,z_Others!$M$17:$M$20,z_Others!$O$17:$O$20,"",0,1))</f>
        <v>Obsidian</v>
      </c>
      <c r="K24" s="292" t="str">
        <f t="array" ref="K24">xlookup(I24,z_Others!$M$17:$M$20,z_Others!$N$17:$N$20,"",0,1)</f>
        <v>BLK</v>
      </c>
      <c r="L24" s="292" t="str">
        <f t="array" ref="L24">xlookup(F24,z_Others!$B$21:$B$45,z_Others!$D$21:$D$45,"",0,1)</f>
        <v>GK2MP</v>
      </c>
      <c r="M24" s="296" t="str">
        <f t="array" ref="M24">xlookup(F24,z_Others!$B$21:$B$45,z_Others!$C$21:$C$45,"",0,1)</f>
        <v>ROW</v>
      </c>
      <c r="N24" s="297">
        <v>3.5440766E7</v>
      </c>
      <c r="O24" s="331" t="s">
        <v>494</v>
      </c>
      <c r="P24" s="303" t="s">
        <v>495</v>
      </c>
      <c r="Q24" s="300" t="s">
        <v>413</v>
      </c>
      <c r="R24" s="301" t="s">
        <v>414</v>
      </c>
      <c r="S24" s="302">
        <f t="array" ref="S24">if(isblank(E24),"",xlookup($S$9&amp;M24,z_Others!$X$5:$X$17&amp;z_Others!$W$5:$W$17,z_Others!$Z$5:$Z$17,"",0,1))</f>
        <v>35795514</v>
      </c>
      <c r="T24" s="303" t="str">
        <f t="array" ref="T24">if(isblank(E24),"",xlookup($S$9&amp;M24,z_Others!$X$5:$X$17&amp;z_Others!$W$5:$W$17,z_Others!$AH$5:$AH$17,"",0,1))</f>
        <v>35 795514 040000x</v>
      </c>
      <c r="U24" s="303" t="str">
        <f t="array" ref="U24">if(isblank(E24),"",xlookup($S$9&amp;M24,z_Others!$X$5:$X$17&amp;z_Others!$W$5:$W$17,z_Others!$AI$5:$AI$17,"",0,1))</f>
        <v>35 795514 999999x</v>
      </c>
      <c r="V24" s="303" t="str">
        <f t="shared" si="2"/>
        <v>64:9D:38:32:91:82
B0:D5:FB:C6:60:70</v>
      </c>
      <c r="W24" s="303" t="str">
        <f t="shared" si="3"/>
        <v>64:9D:38:37:25:61
B0:D5:FB:CE:01:8F</v>
      </c>
      <c r="X24" s="304" t="str">
        <f t="shared" si="4"/>
        <v>MP1.0</v>
      </c>
      <c r="Y24" s="292"/>
      <c r="Z24" s="304" t="str">
        <f t="shared" ref="Z24:AA24" si="20">if(isblank(E24),"",$Z$9)</f>
        <v>Android 16</v>
      </c>
      <c r="AA24" s="304" t="str">
        <f t="shared" si="20"/>
        <v>Android 16</v>
      </c>
      <c r="AB24" s="305" t="s">
        <v>496</v>
      </c>
      <c r="AC24" s="305" t="s">
        <v>497</v>
      </c>
      <c r="AD24" s="314" t="s">
        <v>447</v>
      </c>
      <c r="AE24" s="307" t="s">
        <v>418</v>
      </c>
      <c r="AF24" s="308" t="s">
        <v>447</v>
      </c>
      <c r="AG24" s="309" t="s">
        <v>418</v>
      </c>
      <c r="AH24" s="297" t="str">
        <f t="array" ref="AH24">if(isblank(E24),"",xlookup(F24,z_Others!$B$21:$B$45,z_Others!$F$21:$F$45,"TBD",0,1))</f>
        <v>00</v>
      </c>
      <c r="AI24" s="310" t="str">
        <f t="array" ref="AI24">if(isblank(E24),"", xlookup(E24,'Import_FL5_LH_PVTMP_Configs (Do'!E:E,'Import_FL5_LH_PVTMP_Configs (Do'!O:O,"TBD",0,1))</f>
        <v>G710-07800-00</v>
      </c>
      <c r="AJ24" s="311"/>
      <c r="AK24" s="310" t="str">
        <f t="array" ref="AK24">if(isblank(E24),"", xlookup(E24,'Import_FL5_LH_PVTMP_Configs (Do'!E:E,'Import_FL5_LH_PVTMP_Configs (Do'!Q:Q,"TBD",0,1))</f>
        <v>G650-14694-05</v>
      </c>
      <c r="AL24" s="310" t="str">
        <f t="array" ref="AL24">if(isblank(E24),"", xlookup(E24,'Import_FL5_LH_PVTMP_Configs (Do'!E:E,'Import_FL5_LH_PVTMP_Configs (Do'!M:M,"TBD",0,1))</f>
        <v>G710-07670-01</v>
      </c>
      <c r="AM24" s="310" t="str">
        <f t="array" ref="AM24">if(isblank(E24),"", xlookup(E24,'Import_FL5_LH_PVTMP_Configs (Do'!E:E,'Import_FL5_LH_PVTMP_Configs (Do'!N:N,"TBD",0,1))</f>
        <v>G730-09533-01</v>
      </c>
      <c r="AN24" s="310" t="str">
        <f t="array" ref="AN24">if(isblank(E24),"", xlookup(E24,'Import_FL5_LH_PVTMP_Configs (Do'!E:E,'Import_FL5_LH_PVTMP_Configs (Do'!K:K,"TBD",0,1))</f>
        <v>G950-15935-10</v>
      </c>
      <c r="AO24" s="292" t="str">
        <f t="array" ref="AO24">if(isblank(E24),"",XLOOKUP(E24,'FL5_G954 Pkg ASSY (Pkg BOM)'!L:L,'FL5_G954 Pkg ASSY (Pkg BOM)'!G:G,"N/A",0,1))</f>
        <v>G954-08541-00</v>
      </c>
      <c r="AP24" s="292" t="str">
        <f t="array" ref="AP24">if(isblank(E24),"",xlookup(E24,'FL5_G962 Country kit (Accesorie'!L:L,'FL5_G962 Country kit (Accesorie'!G:G,"N/A",0,1))</f>
        <v>G962-00511-00</v>
      </c>
      <c r="AQ24" s="304" t="s">
        <v>498</v>
      </c>
      <c r="AR24" s="304" t="s">
        <v>499</v>
      </c>
      <c r="AS24" s="292" t="s">
        <v>419</v>
      </c>
      <c r="AT24" s="302" t="str">
        <f t="shared" si="6"/>
        <v>Yes</v>
      </c>
      <c r="AU24" s="302" t="str">
        <f t="shared" si="7"/>
        <v>No</v>
      </c>
      <c r="AV24" s="302" t="str">
        <f t="shared" si="8"/>
        <v>No</v>
      </c>
      <c r="AW24" s="302"/>
      <c r="AX24" s="302" t="s">
        <v>500</v>
      </c>
      <c r="AY24" s="302" t="s">
        <v>501</v>
      </c>
      <c r="AZ24" s="312" t="str">
        <f t="array" ref="AZ24">if(isblank(E24),"", xlookup(E24,Import_FL5_LH_PVT_BM!D:D,Import_FL5_LH_PVT_BM!AK:AK,$F$4,0,1))</f>
        <v>MP</v>
      </c>
      <c r="BA24" s="292" t="str">
        <f t="shared" si="9"/>
        <v>Retail_10ct</v>
      </c>
      <c r="BB24" s="313" t="str">
        <f t="array" ref="BB24">if(isblank(E24),"",xlookup(F24,z_Others!$B$21:$B$42,z_Others!$G$21:$G$42,"No",0,1))</f>
        <v>ROW Master Carton Label (UPC)</v>
      </c>
      <c r="BC24" s="313" t="str">
        <f t="array" ref="BC24">if(isblank(E24),"",xlookup(F24,z_Others!$B$21:$B$42,z_Others!$H$21:$H$42,"No",0,1))</f>
        <v>Standard Pallet Label (BTO)
Standard Pallet Label (BTS)</v>
      </c>
      <c r="BD24" s="314" t="s">
        <v>502</v>
      </c>
      <c r="BE24" s="314" t="str">
        <f t="array" ref="BE24">if(isblank(E24),"",xlookup(E24,'Import_VN_Label approve'!E:E,'Import_VN_Label approve'!N:N,"N/A",0,1))</f>
        <v>G990-09561-00-01
G990-09561-00-A</v>
      </c>
      <c r="BF24" s="315"/>
      <c r="BG24" s="332" t="s">
        <v>503</v>
      </c>
      <c r="BH24" s="317" t="s">
        <v>504</v>
      </c>
      <c r="BI24" s="318">
        <v>45773.0</v>
      </c>
      <c r="BJ24" s="319" t="str">
        <f t="array" ref="BJ24">if(isblank(E24),"", xlookup(D24,z_Others!$B$5:$B$17,z_Others!$C$5:$C$17,"",0,1))</f>
        <v>智能手機</v>
      </c>
      <c r="BK24" s="320">
        <v>45765.0</v>
      </c>
      <c r="BL24" s="320" t="str">
        <f t="array" ref="BL24">if(isblank(E24),"",xlookup(E24,'FL5_MP POR_LH_報關備案_G950 &amp; GA'!F:F,'FL5_MP POR_LH_報關備案_G950 &amp; GA'!E:E,"No Need",0,1))</f>
        <v>Close</v>
      </c>
      <c r="BM24" s="321" t="str">
        <f t="array" ref="BM24">if(isblank(E24),"",xlookup($BM$9&amp;E24,'Import_FL5 MPS (06.06.25) - Sor'!E20:E334&amp;'Import_FL5 MPS (06.06.25) - Sor'!F20:F334,'Import_FL5 MPS (06.06.25) - Sor'!ES20:ES334,"No demand",0,1))</f>
        <v>No demand</v>
      </c>
      <c r="BN24" s="321" t="str">
        <f t="array" ref="BN24">if(isblank(E24),"",xlookup($BN$9&amp;E24,'Import_FL5 MPS (06.06.25) - Sor'!E20:E334&amp;'Import_FL5 MPS (06.06.25) - Sor'!F20:F334,'Import_FL5 MPS (06.06.25) - Sor'!ES20:ES334,"No demand",0,1))</f>
        <v>No demand</v>
      </c>
      <c r="BO24" s="321" t="str">
        <f t="array" ref="BO24">if(isblank(E24),"",xlookup($BO$9&amp;E24,'Import_FL5 MPS (06.06.25) - Sor'!E20:E334&amp;'Import_FL5 MPS (06.06.25) - Sor'!F20:F334,'Import_FL5 MPS (06.06.25) - Sor'!ES20:ES334,"No demand",0,1))</f>
        <v>No demand</v>
      </c>
      <c r="BP24" s="322" t="str">
        <f t="array" ref="BP24">if(isblank(E24),"", xlookup(E24,'Import_LH_Label approve'!E:E,'Import_LH_Label approve'!L:L,"",0,1))</f>
        <v>NA</v>
      </c>
      <c r="BQ24" s="322" t="str">
        <f t="array" ref="BQ24">if(isblank(E24),"",xlookup(E24,'Import_VN_Label approve'!E:E,'Import_VN_Label approve'!M:M,"N/A",0,1))</f>
        <v>N/A</v>
      </c>
      <c r="BR24" s="313"/>
      <c r="BS24" s="323"/>
      <c r="BT24" s="324"/>
      <c r="BU24" s="91"/>
    </row>
    <row r="25">
      <c r="A25" s="176"/>
      <c r="B25" s="292">
        <v>14.0</v>
      </c>
      <c r="C25" s="231" t="s">
        <v>282</v>
      </c>
      <c r="D25" s="231" t="s">
        <v>408</v>
      </c>
      <c r="E25" s="293" t="s">
        <v>505</v>
      </c>
      <c r="F25" s="313" t="s">
        <v>492</v>
      </c>
      <c r="G25" s="325" t="s">
        <v>493</v>
      </c>
      <c r="H25" s="292" t="str">
        <f t="array" ref="H25">xlookup(F25,z_Others!$B$21:$B$45,z_Others!$E$21:$E$45,"",0,1)</f>
        <v>Sub6</v>
      </c>
      <c r="I25" s="295" t="s">
        <v>425</v>
      </c>
      <c r="J25" s="231" t="str">
        <f t="array" ref="J25">if(isblank(E25),"",xlookup(I25,z_Others!$M$17:$M$20,z_Others!$O$17:$O$20,"",0,1))</f>
        <v>Frost</v>
      </c>
      <c r="K25" s="292" t="str">
        <f t="array" ref="K25">xlookup(I25,z_Others!$M$17:$M$20,z_Others!$N$17:$N$20,"",0,1)</f>
        <v>PPL</v>
      </c>
      <c r="L25" s="292" t="str">
        <f t="array" ref="L25">xlookup(F25,z_Others!$B$21:$B$45,z_Others!$D$21:$D$45,"",0,1)</f>
        <v>GK2MP</v>
      </c>
      <c r="M25" s="296" t="str">
        <f t="array" ref="M25">xlookup(F25,z_Others!$B$21:$B$45,z_Others!$C$21:$C$45,"",0,1)</f>
        <v>ROW</v>
      </c>
      <c r="N25" s="297">
        <v>3.5440766E7</v>
      </c>
      <c r="O25" s="331" t="s">
        <v>494</v>
      </c>
      <c r="P25" s="303" t="s">
        <v>495</v>
      </c>
      <c r="Q25" s="300" t="s">
        <v>413</v>
      </c>
      <c r="R25" s="301" t="s">
        <v>414</v>
      </c>
      <c r="S25" s="302">
        <f t="array" ref="S25">if(isblank(E25),"",xlookup($S$9&amp;M25,z_Others!$X$5:$X$17&amp;z_Others!$W$5:$W$17,z_Others!$Z$5:$Z$17,"",0,1))</f>
        <v>35795514</v>
      </c>
      <c r="T25" s="303" t="str">
        <f t="array" ref="T25">if(isblank(E25),"",xlookup($S$9&amp;M25,z_Others!$X$5:$X$17&amp;z_Others!$W$5:$W$17,z_Others!$AH$5:$AH$17,"",0,1))</f>
        <v>35 795514 040000x</v>
      </c>
      <c r="U25" s="303" t="str">
        <f t="array" ref="U25">if(isblank(E25),"",xlookup($S$9&amp;M25,z_Others!$X$5:$X$17&amp;z_Others!$W$5:$W$17,z_Others!$AI$5:$AI$17,"",0,1))</f>
        <v>35 795514 999999x</v>
      </c>
      <c r="V25" s="303" t="str">
        <f t="shared" si="2"/>
        <v>64:9D:38:32:91:82
B0:D5:FB:C6:60:70</v>
      </c>
      <c r="W25" s="303" t="str">
        <f t="shared" si="3"/>
        <v>64:9D:38:37:25:61
B0:D5:FB:CE:01:8F</v>
      </c>
      <c r="X25" s="304" t="str">
        <f t="shared" si="4"/>
        <v>MP1.0</v>
      </c>
      <c r="Y25" s="292"/>
      <c r="Z25" s="304" t="str">
        <f t="shared" ref="Z25:AA25" si="21">if(isblank(E25),"",$Z$9)</f>
        <v>Android 16</v>
      </c>
      <c r="AA25" s="304" t="str">
        <f t="shared" si="21"/>
        <v>Android 16</v>
      </c>
      <c r="AB25" s="305" t="s">
        <v>506</v>
      </c>
      <c r="AC25" s="305" t="s">
        <v>507</v>
      </c>
      <c r="AD25" s="314" t="s">
        <v>447</v>
      </c>
      <c r="AE25" s="307" t="s">
        <v>418</v>
      </c>
      <c r="AF25" s="308" t="s">
        <v>447</v>
      </c>
      <c r="AG25" s="309" t="s">
        <v>418</v>
      </c>
      <c r="AH25" s="297" t="str">
        <f t="array" ref="AH25">if(isblank(E25),"",xlookup(F25,z_Others!$B$21:$B$45,z_Others!$F$21:$F$45,"TBD",0,1))</f>
        <v>00</v>
      </c>
      <c r="AI25" s="310" t="str">
        <f t="array" ref="AI25">if(isblank(E25),"", xlookup(E25,'Import_FL5_LH_PVTMP_Configs (Do'!E:E,'Import_FL5_LH_PVTMP_Configs (Do'!O:O,"TBD",0,1))</f>
        <v>G710-07800-00</v>
      </c>
      <c r="AJ25" s="311"/>
      <c r="AK25" s="310" t="str">
        <f t="array" ref="AK25">if(isblank(E25),"", xlookup(E25,'Import_FL5_LH_PVTMP_Configs (Do'!E:E,'Import_FL5_LH_PVTMP_Configs (Do'!Q:Q,"TBD",0,1))</f>
        <v>G650-14694-05</v>
      </c>
      <c r="AL25" s="310" t="str">
        <f t="array" ref="AL25">if(isblank(E25),"", xlookup(E25,'Import_FL5_LH_PVTMP_Configs (Do'!E:E,'Import_FL5_LH_PVTMP_Configs (Do'!M:M,"TBD",0,1))</f>
        <v>G710-07670-01</v>
      </c>
      <c r="AM25" s="310" t="str">
        <f t="array" ref="AM25">if(isblank(E25),"", xlookup(E25,'Import_FL5_LH_PVTMP_Configs (Do'!E:E,'Import_FL5_LH_PVTMP_Configs (Do'!N:N,"TBD",0,1))</f>
        <v>G730-09533-02</v>
      </c>
      <c r="AN25" s="310" t="str">
        <f t="array" ref="AN25">if(isblank(E25),"", xlookup(E25,'Import_FL5_LH_PVTMP_Configs (Do'!E:E,'Import_FL5_LH_PVTMP_Configs (Do'!K:K,"TBD",0,1))</f>
        <v>G950-15935-11</v>
      </c>
      <c r="AO25" s="292" t="str">
        <f t="array" ref="AO25">if(isblank(E25),"",XLOOKUP(E25,'FL5_G954 Pkg ASSY (Pkg BOM)'!L:L,'FL5_G954 Pkg ASSY (Pkg BOM)'!G:G,"N/A",0,1))</f>
        <v>G954-08541-00</v>
      </c>
      <c r="AP25" s="292" t="str">
        <f t="array" ref="AP25">if(isblank(E25),"",xlookup(E25,'FL5_G962 Country kit (Accesorie'!L:L,'FL5_G962 Country kit (Accesorie'!G:G,"N/A",0,1))</f>
        <v>G962-00511-00</v>
      </c>
      <c r="AQ25" s="304" t="s">
        <v>508</v>
      </c>
      <c r="AR25" s="304" t="s">
        <v>499</v>
      </c>
      <c r="AS25" s="292" t="s">
        <v>419</v>
      </c>
      <c r="AT25" s="302" t="str">
        <f t="shared" si="6"/>
        <v>Yes</v>
      </c>
      <c r="AU25" s="302" t="str">
        <f t="shared" si="7"/>
        <v>No</v>
      </c>
      <c r="AV25" s="302" t="str">
        <f t="shared" si="8"/>
        <v>No</v>
      </c>
      <c r="AW25" s="302"/>
      <c r="AX25" s="302" t="s">
        <v>509</v>
      </c>
      <c r="AY25" s="302" t="s">
        <v>510</v>
      </c>
      <c r="AZ25" s="312" t="str">
        <f t="array" ref="AZ25">if(isblank(E25),"", xlookup(E25,Import_FL5_LH_PVT_BM!D:D,Import_FL5_LH_PVT_BM!AK:AK,$F$4,0,1))</f>
        <v>MP</v>
      </c>
      <c r="BA25" s="292" t="str">
        <f t="shared" si="9"/>
        <v>Retail_10ct</v>
      </c>
      <c r="BB25" s="313" t="str">
        <f t="array" ref="BB25">if(isblank(E25),"",xlookup(F25,z_Others!$B$21:$B$42,z_Others!$G$21:$G$42,"No",0,1))</f>
        <v>ROW Master Carton Label (UPC)</v>
      </c>
      <c r="BC25" s="313" t="str">
        <f t="array" ref="BC25">if(isblank(E25),"",xlookup(F25,z_Others!$B$21:$B$42,z_Others!$H$21:$H$42,"No",0,1))</f>
        <v>Standard Pallet Label (BTO)
Standard Pallet Label (BTS)</v>
      </c>
      <c r="BD25" s="314" t="s">
        <v>511</v>
      </c>
      <c r="BE25" s="314" t="str">
        <f t="array" ref="BE25">if(isblank(E25),"",xlookup(E25,'Import_VN_Label approve'!E:E,'Import_VN_Label approve'!N:N,"N/A",0,1))</f>
        <v>G990-09561-00-01
G990-09561-00-A</v>
      </c>
      <c r="BF25" s="315"/>
      <c r="BG25" s="332" t="s">
        <v>503</v>
      </c>
      <c r="BH25" s="317" t="s">
        <v>504</v>
      </c>
      <c r="BI25" s="318">
        <v>45773.0</v>
      </c>
      <c r="BJ25" s="319" t="str">
        <f t="array" ref="BJ25">if(isblank(E25),"", xlookup(D25,z_Others!$B$5:$B$17,z_Others!$C$5:$C$17,"",0,1))</f>
        <v>智能手機</v>
      </c>
      <c r="BK25" s="320">
        <v>45765.0</v>
      </c>
      <c r="BL25" s="320" t="str">
        <f t="array" ref="BL25">if(isblank(E25),"",xlookup(E25,'FL5_MP POR_LH_報關備案_G950 &amp; GA'!F:F,'FL5_MP POR_LH_報關備案_G950 &amp; GA'!E:E,"No Need",0,1))</f>
        <v>Close</v>
      </c>
      <c r="BM25" s="321" t="str">
        <f t="array" ref="BM25">if(isblank(E25),"",xlookup($BM$9&amp;E25,'Import_FL5 MPS (06.06.25) - Sor'!E21:E334&amp;'Import_FL5 MPS (06.06.25) - Sor'!F21:F334,'Import_FL5 MPS (06.06.25) - Sor'!ES21:ES334,"No demand",0,1))</f>
        <v>No demand</v>
      </c>
      <c r="BN25" s="321" t="str">
        <f t="array" ref="BN25">if(isblank(E25),"",xlookup($BN$9&amp;E25,'Import_FL5 MPS (06.06.25) - Sor'!E21:E334&amp;'Import_FL5 MPS (06.06.25) - Sor'!F21:F334,'Import_FL5 MPS (06.06.25) - Sor'!ES21:ES334,"No demand",0,1))</f>
        <v>No demand</v>
      </c>
      <c r="BO25" s="321" t="str">
        <f t="array" ref="BO25">if(isblank(E25),"",xlookup($BO$9&amp;E25,'Import_FL5 MPS (06.06.25) - Sor'!E21:E334&amp;'Import_FL5 MPS (06.06.25) - Sor'!F21:F334,'Import_FL5 MPS (06.06.25) - Sor'!ES21:ES334,"No demand",0,1))</f>
        <v>No demand</v>
      </c>
      <c r="BP25" s="322" t="str">
        <f t="array" ref="BP25">if(isblank(E25),"", xlookup(E25,'Import_LH_Label approve'!E:E,'Import_LH_Label approve'!L:L,"",0,1))</f>
        <v>NA</v>
      </c>
      <c r="BQ25" s="322" t="str">
        <f t="array" ref="BQ25">if(isblank(E25),"",xlookup(E25,'Import_VN_Label approve'!E:E,'Import_VN_Label approve'!M:M,"N/A",0,1))</f>
        <v>N/A</v>
      </c>
      <c r="BR25" s="313"/>
      <c r="BS25" s="323"/>
      <c r="BT25" s="324"/>
      <c r="BU25" s="91"/>
    </row>
    <row r="26">
      <c r="A26" s="176"/>
      <c r="B26" s="292">
        <v>15.0</v>
      </c>
      <c r="C26" s="231" t="s">
        <v>282</v>
      </c>
      <c r="D26" s="231" t="s">
        <v>408</v>
      </c>
      <c r="E26" s="293" t="s">
        <v>512</v>
      </c>
      <c r="F26" s="313" t="s">
        <v>492</v>
      </c>
      <c r="G26" s="325" t="s">
        <v>493</v>
      </c>
      <c r="H26" s="292" t="str">
        <f t="array" ref="H26">xlookup(F26,z_Others!$B$21:$B$45,z_Others!$E$21:$E$45,"",0,1)</f>
        <v>Sub6</v>
      </c>
      <c r="I26" s="295" t="s">
        <v>431</v>
      </c>
      <c r="J26" s="231" t="str">
        <f t="array" ref="J26">if(isblank(E26),"",xlookup(I26,z_Others!$M$17:$M$20,z_Others!$O$17:$O$20,"",0,1))</f>
        <v>Lemongrass</v>
      </c>
      <c r="K26" s="292" t="str">
        <f t="array" ref="K26">xlookup(I26,z_Others!$M$17:$M$20,z_Others!$N$17:$N$20,"",0,1)</f>
        <v>YEL</v>
      </c>
      <c r="L26" s="292" t="str">
        <f t="array" ref="L26">xlookup(F26,z_Others!$B$21:$B$45,z_Others!$D$21:$D$45,"",0,1)</f>
        <v>GK2MP</v>
      </c>
      <c r="M26" s="296" t="str">
        <f t="array" ref="M26">xlookup(F26,z_Others!$B$21:$B$45,z_Others!$C$21:$C$45,"",0,1)</f>
        <v>ROW</v>
      </c>
      <c r="N26" s="297">
        <v>3.5440766E7</v>
      </c>
      <c r="O26" s="331" t="s">
        <v>494</v>
      </c>
      <c r="P26" s="303" t="s">
        <v>495</v>
      </c>
      <c r="Q26" s="300" t="s">
        <v>413</v>
      </c>
      <c r="R26" s="301" t="s">
        <v>414</v>
      </c>
      <c r="S26" s="302">
        <f t="array" ref="S26">if(isblank(E26),"",xlookup($S$9&amp;M26,z_Others!$X$5:$X$17&amp;z_Others!$W$5:$W$17,z_Others!$Z$5:$Z$17,"",0,1))</f>
        <v>35795514</v>
      </c>
      <c r="T26" s="303" t="str">
        <f t="array" ref="T26">if(isblank(E26),"",xlookup($S$9&amp;M26,z_Others!$X$5:$X$17&amp;z_Others!$W$5:$W$17,z_Others!$AH$5:$AH$17,"",0,1))</f>
        <v>35 795514 040000x</v>
      </c>
      <c r="U26" s="303" t="str">
        <f t="array" ref="U26">if(isblank(E26),"",xlookup($S$9&amp;M26,z_Others!$X$5:$X$17&amp;z_Others!$W$5:$W$17,z_Others!$AI$5:$AI$17,"",0,1))</f>
        <v>35 795514 999999x</v>
      </c>
      <c r="V26" s="303" t="str">
        <f t="shared" si="2"/>
        <v>64:9D:38:32:91:82
B0:D5:FB:C6:60:70</v>
      </c>
      <c r="W26" s="303" t="str">
        <f t="shared" si="3"/>
        <v>64:9D:38:37:25:61
B0:D5:FB:CE:01:8F</v>
      </c>
      <c r="X26" s="304" t="str">
        <f t="shared" si="4"/>
        <v>MP1.0</v>
      </c>
      <c r="Y26" s="292"/>
      <c r="Z26" s="304" t="str">
        <f t="shared" ref="Z26:AA26" si="22">if(isblank(E26),"",$Z$9)</f>
        <v>Android 16</v>
      </c>
      <c r="AA26" s="304" t="str">
        <f t="shared" si="22"/>
        <v>Android 16</v>
      </c>
      <c r="AB26" s="305" t="s">
        <v>513</v>
      </c>
      <c r="AC26" s="305" t="s">
        <v>514</v>
      </c>
      <c r="AD26" s="314" t="s">
        <v>447</v>
      </c>
      <c r="AE26" s="307" t="s">
        <v>418</v>
      </c>
      <c r="AF26" s="308" t="s">
        <v>447</v>
      </c>
      <c r="AG26" s="309" t="s">
        <v>418</v>
      </c>
      <c r="AH26" s="297" t="str">
        <f t="array" ref="AH26">if(isblank(E26),"",xlookup(F26,z_Others!$B$21:$B$45,z_Others!$F$21:$F$45,"TBD",0,1))</f>
        <v>00</v>
      </c>
      <c r="AI26" s="310" t="str">
        <f t="array" ref="AI26">if(isblank(E26),"", xlookup(E26,'Import_FL5_LH_PVTMP_Configs (Do'!E:E,'Import_FL5_LH_PVTMP_Configs (Do'!O:O,"TBD",0,1))</f>
        <v>G710-07800-00</v>
      </c>
      <c r="AJ26" s="311"/>
      <c r="AK26" s="310" t="str">
        <f t="array" ref="AK26">if(isblank(E26),"", xlookup(E26,'Import_FL5_LH_PVTMP_Configs (Do'!E:E,'Import_FL5_LH_PVTMP_Configs (Do'!Q:Q,"TBD",0,1))</f>
        <v>G650-14694-05</v>
      </c>
      <c r="AL26" s="310" t="str">
        <f t="array" ref="AL26">if(isblank(E26),"", xlookup(E26,'Import_FL5_LH_PVTMP_Configs (Do'!E:E,'Import_FL5_LH_PVTMP_Configs (Do'!M:M,"TBD",0,1))</f>
        <v>G710-07670-01</v>
      </c>
      <c r="AM26" s="310" t="str">
        <f t="array" ref="AM26">if(isblank(E26),"", xlookup(E26,'Import_FL5_LH_PVTMP_Configs (Do'!E:E,'Import_FL5_LH_PVTMP_Configs (Do'!N:N,"TBD",0,1))</f>
        <v>G730-09533-03</v>
      </c>
      <c r="AN26" s="310" t="str">
        <f t="array" ref="AN26">if(isblank(E26),"", xlookup(E26,'Import_FL5_LH_PVTMP_Configs (Do'!E:E,'Import_FL5_LH_PVTMP_Configs (Do'!K:K,"TBD",0,1))</f>
        <v>G950-15935-12</v>
      </c>
      <c r="AO26" s="292" t="str">
        <f t="array" ref="AO26">if(isblank(E26),"",XLOOKUP(E26,'FL5_G954 Pkg ASSY (Pkg BOM)'!L:L,'FL5_G954 Pkg ASSY (Pkg BOM)'!G:G,"N/A",0,1))</f>
        <v>G954-08541-00</v>
      </c>
      <c r="AP26" s="292" t="str">
        <f t="array" ref="AP26">if(isblank(E26),"",xlookup(E26,'FL5_G962 Country kit (Accesorie'!L:L,'FL5_G962 Country kit (Accesorie'!G:G,"N/A",0,1))</f>
        <v>G962-00511-00</v>
      </c>
      <c r="AQ26" s="304" t="s">
        <v>515</v>
      </c>
      <c r="AR26" s="304" t="s">
        <v>499</v>
      </c>
      <c r="AS26" s="292" t="s">
        <v>419</v>
      </c>
      <c r="AT26" s="302" t="str">
        <f t="shared" si="6"/>
        <v>Yes</v>
      </c>
      <c r="AU26" s="302" t="str">
        <f t="shared" si="7"/>
        <v>No</v>
      </c>
      <c r="AV26" s="302" t="str">
        <f t="shared" si="8"/>
        <v>No</v>
      </c>
      <c r="AW26" s="302"/>
      <c r="AX26" s="302" t="s">
        <v>516</v>
      </c>
      <c r="AY26" s="302" t="s">
        <v>517</v>
      </c>
      <c r="AZ26" s="312" t="str">
        <f t="array" ref="AZ26">if(isblank(E26),"", xlookup(E26,Import_FL5_LH_PVT_BM!D:D,Import_FL5_LH_PVT_BM!AK:AK,$F$4,0,1))</f>
        <v>MP</v>
      </c>
      <c r="BA26" s="292" t="str">
        <f t="shared" si="9"/>
        <v>Retail_10ct</v>
      </c>
      <c r="BB26" s="313" t="str">
        <f t="array" ref="BB26">if(isblank(E26),"",xlookup(F26,z_Others!$B$21:$B$42,z_Others!$G$21:$G$42,"No",0,1))</f>
        <v>ROW Master Carton Label (UPC)</v>
      </c>
      <c r="BC26" s="313" t="str">
        <f t="array" ref="BC26">if(isblank(E26),"",xlookup(F26,z_Others!$B$21:$B$42,z_Others!$H$21:$H$42,"No",0,1))</f>
        <v>Standard Pallet Label (BTO)
Standard Pallet Label (BTS)</v>
      </c>
      <c r="BD26" s="314" t="s">
        <v>518</v>
      </c>
      <c r="BE26" s="314" t="str">
        <f t="array" ref="BE26">if(isblank(E26),"",xlookup(E26,'Import_VN_Label approve'!E:E,'Import_VN_Label approve'!N:N,"N/A",0,1))</f>
        <v>G990-09561-00-01
G990-09561-00-A</v>
      </c>
      <c r="BF26" s="315"/>
      <c r="BG26" s="332" t="s">
        <v>503</v>
      </c>
      <c r="BH26" s="317" t="s">
        <v>504</v>
      </c>
      <c r="BI26" s="318">
        <v>45773.0</v>
      </c>
      <c r="BJ26" s="319" t="str">
        <f t="array" ref="BJ26">if(isblank(E26),"", xlookup(D26,z_Others!$B$5:$B$17,z_Others!$C$5:$C$17,"",0,1))</f>
        <v>智能手機</v>
      </c>
      <c r="BK26" s="320">
        <v>45765.0</v>
      </c>
      <c r="BL26" s="320" t="str">
        <f t="array" ref="BL26">if(isblank(E26),"",xlookup(E26,'FL5_MP POR_LH_報關備案_G950 &amp; GA'!F:F,'FL5_MP POR_LH_報關備案_G950 &amp; GA'!E:E,"No Need",0,1))</f>
        <v>Close</v>
      </c>
      <c r="BM26" s="321" t="str">
        <f t="array" ref="BM26">if(isblank(E26),"",xlookup($BM$9&amp;E26,'Import_FL5 MPS (06.06.25) - Sor'!E22:E334&amp;'Import_FL5 MPS (06.06.25) - Sor'!F22:F334,'Import_FL5 MPS (06.06.25) - Sor'!ES22:ES334,"No demand",0,1))</f>
        <v>No demand</v>
      </c>
      <c r="BN26" s="321" t="str">
        <f t="array" ref="BN26">if(isblank(E26),"",xlookup($BN$9&amp;E26,'Import_FL5 MPS (06.06.25) - Sor'!E22:E334&amp;'Import_FL5 MPS (06.06.25) - Sor'!F22:F334,'Import_FL5 MPS (06.06.25) - Sor'!ES22:ES334,"No demand",0,1))</f>
        <v>No demand</v>
      </c>
      <c r="BO26" s="321" t="str">
        <f t="array" ref="BO26">if(isblank(E26),"",xlookup($BO$9&amp;E26,'Import_FL5 MPS (06.06.25) - Sor'!E22:E334&amp;'Import_FL5 MPS (06.06.25) - Sor'!F22:F334,'Import_FL5 MPS (06.06.25) - Sor'!ES22:ES334,"No demand",0,1))</f>
        <v>No demand</v>
      </c>
      <c r="BP26" s="322" t="str">
        <f t="array" ref="BP26">if(isblank(E26),"", xlookup(E26,'Import_LH_Label approve'!E:E,'Import_LH_Label approve'!L:L,"",0,1))</f>
        <v>NA</v>
      </c>
      <c r="BQ26" s="322" t="str">
        <f t="array" ref="BQ26">if(isblank(E26),"",xlookup(E26,'Import_VN_Label approve'!E:E,'Import_VN_Label approve'!M:M,"N/A",0,1))</f>
        <v>N/A</v>
      </c>
      <c r="BR26" s="313"/>
      <c r="BS26" s="323"/>
      <c r="BT26" s="324"/>
      <c r="BU26" s="91"/>
    </row>
    <row r="27">
      <c r="A27" s="176"/>
      <c r="B27" s="292">
        <v>16.0</v>
      </c>
      <c r="C27" s="231" t="s">
        <v>282</v>
      </c>
      <c r="D27" s="231" t="s">
        <v>408</v>
      </c>
      <c r="E27" s="293" t="s">
        <v>519</v>
      </c>
      <c r="F27" s="313" t="s">
        <v>492</v>
      </c>
      <c r="G27" s="325" t="s">
        <v>493</v>
      </c>
      <c r="H27" s="292" t="str">
        <f t="array" ref="H27">xlookup(F27,z_Others!$B$21:$B$45,z_Others!$E$21:$E$45,"",0,1)</f>
        <v>Sub6</v>
      </c>
      <c r="I27" s="295" t="s">
        <v>437</v>
      </c>
      <c r="J27" s="231" t="str">
        <f t="array" ref="J27">if(isblank(E27),"",xlookup(I27,z_Others!$M$17:$M$20,z_Others!$O$17:$O$20,"",0,1))</f>
        <v>Indigo</v>
      </c>
      <c r="K27" s="292" t="str">
        <f t="array" ref="K27">xlookup(I27,z_Others!$M$17:$M$20,z_Others!$N$17:$N$20,"",0,1)</f>
        <v>BUE</v>
      </c>
      <c r="L27" s="292" t="str">
        <f t="array" ref="L27">xlookup(F27,z_Others!$B$21:$B$45,z_Others!$D$21:$D$45,"",0,1)</f>
        <v>GK2MP</v>
      </c>
      <c r="M27" s="296" t="str">
        <f t="array" ref="M27">xlookup(F27,z_Others!$B$21:$B$45,z_Others!$C$21:$C$45,"",0,1)</f>
        <v>ROW</v>
      </c>
      <c r="N27" s="297">
        <v>3.5440766E7</v>
      </c>
      <c r="O27" s="331" t="s">
        <v>494</v>
      </c>
      <c r="P27" s="303" t="s">
        <v>495</v>
      </c>
      <c r="Q27" s="300" t="s">
        <v>413</v>
      </c>
      <c r="R27" s="301" t="s">
        <v>414</v>
      </c>
      <c r="S27" s="302">
        <f t="array" ref="S27">if(isblank(E27),"",xlookup($S$9&amp;M27,z_Others!$X$5:$X$17&amp;z_Others!$W$5:$W$17,z_Others!$Z$5:$Z$17,"",0,1))</f>
        <v>35795514</v>
      </c>
      <c r="T27" s="303" t="str">
        <f t="array" ref="T27">if(isblank(E27),"",xlookup($S$9&amp;M27,z_Others!$X$5:$X$17&amp;z_Others!$W$5:$W$17,z_Others!$AH$5:$AH$17,"",0,1))</f>
        <v>35 795514 040000x</v>
      </c>
      <c r="U27" s="303" t="str">
        <f t="array" ref="U27">if(isblank(E27),"",xlookup($S$9&amp;M27,z_Others!$X$5:$X$17&amp;z_Others!$W$5:$W$17,z_Others!$AI$5:$AI$17,"",0,1))</f>
        <v>35 795514 999999x</v>
      </c>
      <c r="V27" s="303" t="str">
        <f t="shared" si="2"/>
        <v>64:9D:38:32:91:82
B0:D5:FB:C6:60:70</v>
      </c>
      <c r="W27" s="303" t="str">
        <f t="shared" si="3"/>
        <v>64:9D:38:37:25:61
B0:D5:FB:CE:01:8F</v>
      </c>
      <c r="X27" s="304" t="str">
        <f t="shared" si="4"/>
        <v>MP1.0</v>
      </c>
      <c r="Y27" s="292"/>
      <c r="Z27" s="304" t="str">
        <f t="shared" ref="Z27:AA27" si="23">if(isblank(E27),"",$Z$9)</f>
        <v>Android 16</v>
      </c>
      <c r="AA27" s="304" t="str">
        <f t="shared" si="23"/>
        <v>Android 16</v>
      </c>
      <c r="AB27" s="305" t="s">
        <v>520</v>
      </c>
      <c r="AC27" s="305" t="s">
        <v>521</v>
      </c>
      <c r="AD27" s="314" t="s">
        <v>447</v>
      </c>
      <c r="AE27" s="307" t="s">
        <v>418</v>
      </c>
      <c r="AF27" s="308" t="s">
        <v>447</v>
      </c>
      <c r="AG27" s="309" t="s">
        <v>418</v>
      </c>
      <c r="AH27" s="297" t="str">
        <f t="array" ref="AH27">if(isblank(E27),"",xlookup(F27,z_Others!$B$21:$B$45,z_Others!$F$21:$F$45,"TBD",0,1))</f>
        <v>00</v>
      </c>
      <c r="AI27" s="310" t="str">
        <f t="array" ref="AI27">if(isblank(E27),"", xlookup(E27,'Import_FL5_LH_PVTMP_Configs (Do'!E:E,'Import_FL5_LH_PVTMP_Configs (Do'!O:O,"TBD",0,1))</f>
        <v>G710-07800-00</v>
      </c>
      <c r="AJ27" s="311"/>
      <c r="AK27" s="310" t="str">
        <f t="array" ref="AK27">if(isblank(E27),"", xlookup(E27,'Import_FL5_LH_PVTMP_Configs (Do'!E:E,'Import_FL5_LH_PVTMP_Configs (Do'!Q:Q,"TBD",0,1))</f>
        <v>G650-14694-05</v>
      </c>
      <c r="AL27" s="310" t="str">
        <f t="array" ref="AL27">if(isblank(E27),"", xlookup(E27,'Import_FL5_LH_PVTMP_Configs (Do'!E:E,'Import_FL5_LH_PVTMP_Configs (Do'!M:M,"TBD",0,1))</f>
        <v>G710-07670-01</v>
      </c>
      <c r="AM27" s="310" t="str">
        <f t="array" ref="AM27">if(isblank(E27),"", xlookup(E27,'Import_FL5_LH_PVTMP_Configs (Do'!E:E,'Import_FL5_LH_PVTMP_Configs (Do'!N:N,"TBD",0,1))</f>
        <v>G730-09533-04</v>
      </c>
      <c r="AN27" s="310" t="str">
        <f t="array" ref="AN27">if(isblank(E27),"", xlookup(E27,'Import_FL5_LH_PVTMP_Configs (Do'!E:E,'Import_FL5_LH_PVTMP_Configs (Do'!K:K,"TBD",0,1))</f>
        <v>G950-15935-13</v>
      </c>
      <c r="AO27" s="292" t="str">
        <f t="array" ref="AO27">if(isblank(E27),"",XLOOKUP(E27,'FL5_G954 Pkg ASSY (Pkg BOM)'!L:L,'FL5_G954 Pkg ASSY (Pkg BOM)'!G:G,"N/A",0,1))</f>
        <v>G954-08541-00</v>
      </c>
      <c r="AP27" s="292" t="str">
        <f t="array" ref="AP27">if(isblank(E27),"",xlookup(E27,'FL5_G962 Country kit (Accesorie'!L:L,'FL5_G962 Country kit (Accesorie'!G:G,"N/A",0,1))</f>
        <v>G962-00511-00</v>
      </c>
      <c r="AQ27" s="304" t="s">
        <v>522</v>
      </c>
      <c r="AR27" s="304" t="s">
        <v>499</v>
      </c>
      <c r="AS27" s="292" t="s">
        <v>419</v>
      </c>
      <c r="AT27" s="302" t="str">
        <f t="shared" si="6"/>
        <v>Yes</v>
      </c>
      <c r="AU27" s="302" t="str">
        <f t="shared" si="7"/>
        <v>No</v>
      </c>
      <c r="AV27" s="302" t="str">
        <f t="shared" si="8"/>
        <v>No</v>
      </c>
      <c r="AW27" s="302"/>
      <c r="AX27" s="302" t="s">
        <v>523</v>
      </c>
      <c r="AY27" s="302" t="s">
        <v>524</v>
      </c>
      <c r="AZ27" s="312" t="str">
        <f t="array" ref="AZ27">if(isblank(E27),"", xlookup(E27,Import_FL5_LH_PVT_BM!D:D,Import_FL5_LH_PVT_BM!AK:AK,$F$4,0,1))</f>
        <v>MP</v>
      </c>
      <c r="BA27" s="292" t="str">
        <f t="shared" si="9"/>
        <v>Retail_10ct</v>
      </c>
      <c r="BB27" s="313" t="str">
        <f t="array" ref="BB27">if(isblank(E27),"",xlookup(F27,z_Others!$B$21:$B$42,z_Others!$G$21:$G$42,"No",0,1))</f>
        <v>ROW Master Carton Label (UPC)</v>
      </c>
      <c r="BC27" s="313" t="str">
        <f t="array" ref="BC27">if(isblank(E27),"",xlookup(F27,z_Others!$B$21:$B$42,z_Others!$H$21:$H$42,"No",0,1))</f>
        <v>Standard Pallet Label (BTO)
Standard Pallet Label (BTS)</v>
      </c>
      <c r="BD27" s="314" t="s">
        <v>525</v>
      </c>
      <c r="BE27" s="314" t="str">
        <f t="array" ref="BE27">if(isblank(E27),"",xlookup(E27,'Import_VN_Label approve'!E:E,'Import_VN_Label approve'!N:N,"N/A",0,1))</f>
        <v>G990-09561-00-01
G990-09561-00-A</v>
      </c>
      <c r="BF27" s="315"/>
      <c r="BG27" s="332" t="s">
        <v>503</v>
      </c>
      <c r="BH27" s="317" t="s">
        <v>504</v>
      </c>
      <c r="BI27" s="318">
        <v>45773.0</v>
      </c>
      <c r="BJ27" s="319" t="str">
        <f t="array" ref="BJ27">if(isblank(E27),"", xlookup(D27,z_Others!$B$5:$B$17,z_Others!$C$5:$C$17,"",0,1))</f>
        <v>智能手機</v>
      </c>
      <c r="BK27" s="320">
        <v>45765.0</v>
      </c>
      <c r="BL27" s="320" t="str">
        <f t="array" ref="BL27">if(isblank(E27),"",xlookup(E27,'FL5_MP POR_LH_報關備案_G950 &amp; GA'!F:F,'FL5_MP POR_LH_報關備案_G950 &amp; GA'!E:E,"No Need",0,1))</f>
        <v>Close</v>
      </c>
      <c r="BM27" s="321" t="str">
        <f t="array" ref="BM27">if(isblank(E27),"",xlookup($BM$9&amp;E27,'Import_FL5 MPS (06.06.25) - Sor'!E23:E334&amp;'Import_FL5 MPS (06.06.25) - Sor'!F23:F334,'Import_FL5 MPS (06.06.25) - Sor'!ES23:ES334,"No demand",0,1))</f>
        <v>No demand</v>
      </c>
      <c r="BN27" s="321" t="str">
        <f t="array" ref="BN27">if(isblank(E27),"",xlookup($BN$9&amp;E27,'Import_FL5 MPS (06.06.25) - Sor'!E23:E334&amp;'Import_FL5 MPS (06.06.25) - Sor'!F23:F334,'Import_FL5 MPS (06.06.25) - Sor'!ES23:ES334,"No demand",0,1))</f>
        <v>No demand</v>
      </c>
      <c r="BO27" s="321" t="str">
        <f t="array" ref="BO27">if(isblank(E27),"",xlookup($BO$9&amp;E27,'Import_FL5 MPS (06.06.25) - Sor'!E23:E334&amp;'Import_FL5 MPS (06.06.25) - Sor'!F23:F334,'Import_FL5 MPS (06.06.25) - Sor'!ES23:ES334,"No demand",0,1))</f>
        <v>No demand</v>
      </c>
      <c r="BP27" s="322" t="str">
        <f t="array" ref="BP27">if(isblank(E27),"", xlookup(E27,'Import_LH_Label approve'!E:E,'Import_LH_Label approve'!L:L,"",0,1))</f>
        <v>NA</v>
      </c>
      <c r="BQ27" s="322" t="str">
        <f t="array" ref="BQ27">if(isblank(E27),"",xlookup(E27,'Import_VN_Label approve'!E:E,'Import_VN_Label approve'!M:M,"N/A",0,1))</f>
        <v>N/A</v>
      </c>
      <c r="BR27" s="313"/>
      <c r="BS27" s="323"/>
      <c r="BT27" s="324"/>
      <c r="BU27" s="91"/>
    </row>
    <row r="28">
      <c r="A28" s="176"/>
      <c r="B28" s="292">
        <v>17.0</v>
      </c>
      <c r="C28" s="231" t="s">
        <v>282</v>
      </c>
      <c r="D28" s="231" t="s">
        <v>408</v>
      </c>
      <c r="E28" s="293" t="s">
        <v>526</v>
      </c>
      <c r="F28" s="323" t="s">
        <v>527</v>
      </c>
      <c r="G28" s="294" t="s">
        <v>528</v>
      </c>
      <c r="H28" s="292" t="str">
        <f t="array" ref="H28">xlookup(F28,z_Others!$B$21:$B$45,z_Others!$E$21:$E$45,"",0,1)</f>
        <v>Sub6</v>
      </c>
      <c r="I28" s="295" t="s">
        <v>412</v>
      </c>
      <c r="J28" s="231" t="str">
        <f t="array" ref="J28">if(isblank(E28),"",xlookup(I28,z_Others!$M$17:$M$20,z_Others!$O$17:$O$20,"",0,1))</f>
        <v>Obsidian</v>
      </c>
      <c r="K28" s="292" t="str">
        <f t="array" ref="K28">xlookup(I28,z_Others!$M$17:$M$20,z_Others!$N$17:$N$20,"",0,1)</f>
        <v>BLK</v>
      </c>
      <c r="L28" s="292" t="str">
        <f t="array" ref="L28">xlookup(F28,z_Others!$B$21:$B$45,z_Others!$D$21:$D$45,"",0,1)</f>
        <v>GK2MP
</v>
      </c>
      <c r="M28" s="296" t="str">
        <f t="array" ref="M28">xlookup(F28,z_Others!$B$21:$B$45,z_Others!$C$21:$C$45,"",0,1)</f>
        <v>ROW</v>
      </c>
      <c r="N28" s="297">
        <v>3.5440766E7</v>
      </c>
      <c r="O28" s="331" t="s">
        <v>494</v>
      </c>
      <c r="P28" s="303" t="s">
        <v>495</v>
      </c>
      <c r="Q28" s="300" t="s">
        <v>413</v>
      </c>
      <c r="R28" s="301" t="s">
        <v>414</v>
      </c>
      <c r="S28" s="302">
        <f t="array" ref="S28">if(isblank(E28),"",xlookup($S$9&amp;M28,z_Others!$X$5:$X$17&amp;z_Others!$W$5:$W$17,z_Others!$Z$5:$Z$17,"",0,1))</f>
        <v>35795514</v>
      </c>
      <c r="T28" s="303" t="str">
        <f t="array" ref="T28">if(isblank(E28),"",xlookup($S$9&amp;M28,z_Others!$X$5:$X$17&amp;z_Others!$W$5:$W$17,z_Others!$AH$5:$AH$17,"",0,1))</f>
        <v>35 795514 040000x</v>
      </c>
      <c r="U28" s="303" t="str">
        <f t="array" ref="U28">if(isblank(E28),"",xlookup($S$9&amp;M28,z_Others!$X$5:$X$17&amp;z_Others!$W$5:$W$17,z_Others!$AI$5:$AI$17,"",0,1))</f>
        <v>35 795514 999999x</v>
      </c>
      <c r="V28" s="303" t="str">
        <f t="shared" si="2"/>
        <v>64:9D:38:32:91:82
B0:D5:FB:C6:60:70</v>
      </c>
      <c r="W28" s="303" t="str">
        <f t="shared" si="3"/>
        <v>64:9D:38:37:25:61
B0:D5:FB:CE:01:8F</v>
      </c>
      <c r="X28" s="304" t="str">
        <f t="shared" si="4"/>
        <v>MP1.0</v>
      </c>
      <c r="Y28" s="292"/>
      <c r="Z28" s="304" t="str">
        <f t="shared" ref="Z28:AA28" si="24">if(isblank(E28),"",$Z$9)</f>
        <v>Android 16</v>
      </c>
      <c r="AA28" s="304" t="str">
        <f t="shared" si="24"/>
        <v>Android 16</v>
      </c>
      <c r="AB28" s="305" t="s">
        <v>529</v>
      </c>
      <c r="AC28" s="305" t="s">
        <v>530</v>
      </c>
      <c r="AD28" s="314" t="s">
        <v>447</v>
      </c>
      <c r="AE28" s="307" t="s">
        <v>418</v>
      </c>
      <c r="AF28" s="308" t="s">
        <v>447</v>
      </c>
      <c r="AG28" s="309" t="s">
        <v>418</v>
      </c>
      <c r="AH28" s="297" t="str">
        <f t="array" ref="AH28">if(isblank(E28),"",xlookup(F28,z_Others!$B$21:$B$45,z_Others!$F$21:$F$45,"TBD",0,1))</f>
        <v>00</v>
      </c>
      <c r="AI28" s="310" t="str">
        <f t="array" ref="AI28">if(isblank(E28),"", xlookup(E28,'Import_FL5_LH_PVTMP_Configs (Do'!E:E,'Import_FL5_LH_PVTMP_Configs (Do'!O:O,"TBD",0,1))</f>
        <v>G710-07800-00</v>
      </c>
      <c r="AJ28" s="311"/>
      <c r="AK28" s="310" t="str">
        <f t="array" ref="AK28">if(isblank(E28),"", xlookup(E28,'Import_FL5_LH_PVTMP_Configs (Do'!E:E,'Import_FL5_LH_PVTMP_Configs (Do'!Q:Q,"TBD",0,1))</f>
        <v>G650-14694-05</v>
      </c>
      <c r="AL28" s="310" t="str">
        <f t="array" ref="AL28">if(isblank(E28),"", xlookup(E28,'Import_FL5_LH_PVTMP_Configs (Do'!E:E,'Import_FL5_LH_PVTMP_Configs (Do'!M:M,"TBD",0,1))</f>
        <v>G710-07670-01</v>
      </c>
      <c r="AM28" s="310" t="str">
        <f t="array" ref="AM28">if(isblank(E28),"", xlookup(E28,'Import_FL5_LH_PVTMP_Configs (Do'!E:E,'Import_FL5_LH_PVTMP_Configs (Do'!N:N,"TBD",0,1))</f>
        <v>G730-09533-01</v>
      </c>
      <c r="AN28" s="310" t="str">
        <f t="array" ref="AN28">if(isblank(E28),"", xlookup(E28,'Import_FL5_LH_PVTMP_Configs (Do'!E:E,'Import_FL5_LH_PVTMP_Configs (Do'!K:K,"TBD",0,1))</f>
        <v>G950-15935-10</v>
      </c>
      <c r="AO28" s="292" t="str">
        <f t="array" ref="AO28">if(isblank(E28),"",XLOOKUP(E28,'FL5_G954 Pkg ASSY (Pkg BOM)'!L:L,'FL5_G954 Pkg ASSY (Pkg BOM)'!G:G,"N/A",0,1))</f>
        <v>G954-08542-00</v>
      </c>
      <c r="AP28" s="292" t="str">
        <f t="array" ref="AP28">if(isblank(E28),"",xlookup(E28,'FL5_G962 Country kit (Accesorie'!L:L,'FL5_G962 Country kit (Accesorie'!G:G,"N/A",0,1))</f>
        <v>G962-00511-00</v>
      </c>
      <c r="AQ28" s="304" t="s">
        <v>531</v>
      </c>
      <c r="AR28" s="304" t="s">
        <v>532</v>
      </c>
      <c r="AS28" s="292" t="s">
        <v>419</v>
      </c>
      <c r="AT28" s="302" t="str">
        <f t="shared" si="6"/>
        <v>Yes</v>
      </c>
      <c r="AU28" s="302" t="str">
        <f t="shared" si="7"/>
        <v>Yes</v>
      </c>
      <c r="AV28" s="302" t="str">
        <f t="shared" si="8"/>
        <v>No</v>
      </c>
      <c r="AW28" s="302"/>
      <c r="AX28" s="302" t="s">
        <v>533</v>
      </c>
      <c r="AY28" s="302" t="s">
        <v>534</v>
      </c>
      <c r="AZ28" s="312" t="str">
        <f t="array" ref="AZ28">if(isblank(E28),"", xlookup(E28,Import_FL5_LH_PVT_BM!D:D,Import_FL5_LH_PVT_BM!AK:AK,$F$4,0,1))</f>
        <v>MP</v>
      </c>
      <c r="BA28" s="292" t="str">
        <f t="shared" si="9"/>
        <v>Retail_10ct</v>
      </c>
      <c r="BB28" s="313" t="str">
        <f t="array" ref="BB28">if(isblank(E28),"",xlookup(F28,z_Others!$B$21:$B$42,z_Others!$G$21:$G$42,"No",0,1))</f>
        <v>ROW Master Carton Label (EAN)</v>
      </c>
      <c r="BC28" s="313" t="str">
        <f t="array" ref="BC28">if(isblank(E28),"",xlookup(F28,z_Others!$B$21:$B$42,z_Others!$H$21:$H$42,"No",0,1))</f>
        <v>Standard Pallet Label (BTO)
Standard Pallet Label (BTS)</v>
      </c>
      <c r="BD28" s="314" t="str">
        <f t="array" ref="BD28">if(isblank(E28),"",xlookup(E28,'Import_VN_Label approve'!E:E,'Import_VN_Label approve'!L:L,"N/A",0,1))</f>
        <v>G990-08490-11-05
G990-08490-11-B</v>
      </c>
      <c r="BE28" s="314" t="str">
        <f t="array" ref="BE28">if(isblank(E28),"",xlookup(E28,'Import_VN_Label approve'!E:E,'Import_VN_Label approve'!N:N,"N/A",0,1))</f>
        <v>G990-09563-00-A
G990-09563-00-B</v>
      </c>
      <c r="BF28" s="315"/>
      <c r="BG28" s="332" t="s">
        <v>503</v>
      </c>
      <c r="BH28" s="317" t="s">
        <v>504</v>
      </c>
      <c r="BI28" s="318">
        <v>45773.0</v>
      </c>
      <c r="BJ28" s="319" t="str">
        <f t="array" ref="BJ28">if(isblank(E28),"", xlookup(D28,z_Others!$B$5:$B$17,z_Others!$C$5:$C$17,"",0,1))</f>
        <v>智能手機</v>
      </c>
      <c r="BK28" s="320">
        <v>45782.0</v>
      </c>
      <c r="BL28" s="320" t="str">
        <f t="array" ref="BL28">if(isblank(E28),"",xlookup(E28,'FL5_MP POR_LH_報關備案_G950 &amp; GA'!F:F,'FL5_MP POR_LH_報關備案_G950 &amp; GA'!E:E,"No Need",0,1))</f>
        <v>Close</v>
      </c>
      <c r="BM28" s="321" t="str">
        <f t="array" ref="BM28">if(isblank(E28),"",xlookup($BM$9&amp;E28,'Import_FL5 MPS (06.06.25) - Sor'!E24:E334&amp;'Import_FL5 MPS (06.06.25) - Sor'!F24:F334,'Import_FL5 MPS (06.06.25) - Sor'!ES24:ES334,"No demand",0,1))</f>
        <v>No demand</v>
      </c>
      <c r="BN28" s="321" t="str">
        <f t="array" ref="BN28">if(isblank(E28),"",xlookup($BN$9&amp;E28,'Import_FL5 MPS (06.06.25) - Sor'!E24:E334&amp;'Import_FL5 MPS (06.06.25) - Sor'!F24:F334,'Import_FL5 MPS (06.06.25) - Sor'!ES24:ES334,"No demand",0,1))</f>
        <v>No demand</v>
      </c>
      <c r="BO28" s="321" t="str">
        <f t="array" ref="BO28">if(isblank(E28),"",xlookup($BO$9&amp;E28,'Import_FL5 MPS (06.06.25) - Sor'!E24:E334&amp;'Import_FL5 MPS (06.06.25) - Sor'!F24:F334,'Import_FL5 MPS (06.06.25) - Sor'!ES24:ES334,"No demand",0,1))</f>
        <v>No demand</v>
      </c>
      <c r="BP28" s="322" t="str">
        <f t="array" ref="BP28">if(isblank(E28),"", xlookup(E28,'Import_LH_Label approve'!E:E,'Import_LH_Label approve'!L:L,"",0,1))</f>
        <v>NA</v>
      </c>
      <c r="BQ28" s="322" t="str">
        <f t="array" ref="BQ28">if(isblank(E28),"",xlookup(E28,'Import_VN_Label approve'!E:E,'Import_VN_Label approve'!M:M,"N/A",0,1))</f>
        <v>N/A</v>
      </c>
      <c r="BR28" s="325"/>
      <c r="BS28" s="323"/>
      <c r="BT28" s="324"/>
      <c r="BU28" s="91"/>
    </row>
    <row r="29">
      <c r="A29" s="176"/>
      <c r="B29" s="292">
        <v>18.0</v>
      </c>
      <c r="C29" s="231" t="s">
        <v>282</v>
      </c>
      <c r="D29" s="231" t="s">
        <v>408</v>
      </c>
      <c r="E29" s="293" t="s">
        <v>535</v>
      </c>
      <c r="F29" s="323" t="s">
        <v>527</v>
      </c>
      <c r="G29" s="294" t="s">
        <v>528</v>
      </c>
      <c r="H29" s="292" t="str">
        <f t="array" ref="H29">xlookup(F29,z_Others!$B$21:$B$45,z_Others!$E$21:$E$45,"",0,1)</f>
        <v>Sub6</v>
      </c>
      <c r="I29" s="295" t="s">
        <v>425</v>
      </c>
      <c r="J29" s="231" t="str">
        <f t="array" ref="J29">if(isblank(E29),"",xlookup(I29,z_Others!$M$17:$M$20,z_Others!$O$17:$O$20,"",0,1))</f>
        <v>Frost</v>
      </c>
      <c r="K29" s="292" t="str">
        <f t="array" ref="K29">xlookup(I29,z_Others!$M$17:$M$20,z_Others!$N$17:$N$20,"",0,1)</f>
        <v>PPL</v>
      </c>
      <c r="L29" s="292" t="str">
        <f t="array" ref="L29">xlookup(F29,z_Others!$B$21:$B$45,z_Others!$D$21:$D$45,"",0,1)</f>
        <v>GK2MP
</v>
      </c>
      <c r="M29" s="296" t="str">
        <f t="array" ref="M29">xlookup(F29,z_Others!$B$21:$B$45,z_Others!$C$21:$C$45,"",0,1)</f>
        <v>ROW</v>
      </c>
      <c r="N29" s="297">
        <v>3.5440766E7</v>
      </c>
      <c r="O29" s="331" t="s">
        <v>494</v>
      </c>
      <c r="P29" s="303" t="s">
        <v>495</v>
      </c>
      <c r="Q29" s="300" t="s">
        <v>413</v>
      </c>
      <c r="R29" s="301" t="s">
        <v>414</v>
      </c>
      <c r="S29" s="302">
        <f t="array" ref="S29">if(isblank(E29),"",xlookup($S$9&amp;M29,z_Others!$X$5:$X$17&amp;z_Others!$W$5:$W$17,z_Others!$Z$5:$Z$17,"",0,1))</f>
        <v>35795514</v>
      </c>
      <c r="T29" s="303" t="str">
        <f t="array" ref="T29">if(isblank(E29),"",xlookup($S$9&amp;M29,z_Others!$X$5:$X$17&amp;z_Others!$W$5:$W$17,z_Others!$AH$5:$AH$17,"",0,1))</f>
        <v>35 795514 040000x</v>
      </c>
      <c r="U29" s="303" t="str">
        <f t="array" ref="U29">if(isblank(E29),"",xlookup($S$9&amp;M29,z_Others!$X$5:$X$17&amp;z_Others!$W$5:$W$17,z_Others!$AI$5:$AI$17,"",0,1))</f>
        <v>35 795514 999999x</v>
      </c>
      <c r="V29" s="303" t="str">
        <f t="shared" si="2"/>
        <v>64:9D:38:32:91:82
B0:D5:FB:C6:60:70</v>
      </c>
      <c r="W29" s="303" t="str">
        <f t="shared" si="3"/>
        <v>64:9D:38:37:25:61
B0:D5:FB:CE:01:8F</v>
      </c>
      <c r="X29" s="304" t="str">
        <f t="shared" si="4"/>
        <v>MP1.0</v>
      </c>
      <c r="Y29" s="292"/>
      <c r="Z29" s="304" t="str">
        <f t="shared" ref="Z29:AA29" si="25">if(isblank(E29),"",$Z$9)</f>
        <v>Android 16</v>
      </c>
      <c r="AA29" s="304" t="str">
        <f t="shared" si="25"/>
        <v>Android 16</v>
      </c>
      <c r="AB29" s="305" t="s">
        <v>536</v>
      </c>
      <c r="AC29" s="305" t="s">
        <v>537</v>
      </c>
      <c r="AD29" s="314" t="s">
        <v>447</v>
      </c>
      <c r="AE29" s="307" t="s">
        <v>418</v>
      </c>
      <c r="AF29" s="308" t="s">
        <v>447</v>
      </c>
      <c r="AG29" s="309" t="s">
        <v>418</v>
      </c>
      <c r="AH29" s="297" t="str">
        <f t="array" ref="AH29">if(isblank(E29),"",xlookup(F29,z_Others!$B$21:$B$45,z_Others!$F$21:$F$45,"TBD",0,1))</f>
        <v>00</v>
      </c>
      <c r="AI29" s="310" t="str">
        <f t="array" ref="AI29">if(isblank(E29),"", xlookup(E29,'Import_FL5_LH_PVTMP_Configs (Do'!E:E,'Import_FL5_LH_PVTMP_Configs (Do'!O:O,"TBD",0,1))</f>
        <v>G710-07800-00</v>
      </c>
      <c r="AJ29" s="311"/>
      <c r="AK29" s="310" t="str">
        <f t="array" ref="AK29">if(isblank(E29),"", xlookup(E29,'Import_FL5_LH_PVTMP_Configs (Do'!E:E,'Import_FL5_LH_PVTMP_Configs (Do'!Q:Q,"TBD",0,1))</f>
        <v>G650-14694-05</v>
      </c>
      <c r="AL29" s="310" t="str">
        <f t="array" ref="AL29">if(isblank(E29),"", xlookup(E29,'Import_FL5_LH_PVTMP_Configs (Do'!E:E,'Import_FL5_LH_PVTMP_Configs (Do'!M:M,"TBD",0,1))</f>
        <v>G710-07670-01</v>
      </c>
      <c r="AM29" s="310" t="str">
        <f t="array" ref="AM29">if(isblank(E29),"", xlookup(E29,'Import_FL5_LH_PVTMP_Configs (Do'!E:E,'Import_FL5_LH_PVTMP_Configs (Do'!N:N,"TBD",0,1))</f>
        <v>G730-09533-02</v>
      </c>
      <c r="AN29" s="310" t="str">
        <f t="array" ref="AN29">if(isblank(E29),"", xlookup(E29,'Import_FL5_LH_PVTMP_Configs (Do'!E:E,'Import_FL5_LH_PVTMP_Configs (Do'!K:K,"TBD",0,1))</f>
        <v>G950-15935-11</v>
      </c>
      <c r="AO29" s="292" t="str">
        <f t="array" ref="AO29">if(isblank(E29),"",XLOOKUP(E29,'FL5_G954 Pkg ASSY (Pkg BOM)'!L:L,'FL5_G954 Pkg ASSY (Pkg BOM)'!G:G,"N/A",0,1))</f>
        <v>G954-08542-00</v>
      </c>
      <c r="AP29" s="292" t="str">
        <f t="array" ref="AP29">if(isblank(E29),"",xlookup(E29,'FL5_G962 Country kit (Accesorie'!L:L,'FL5_G962 Country kit (Accesorie'!G:G,"N/A",0,1))</f>
        <v>G962-00511-00</v>
      </c>
      <c r="AQ29" s="304" t="s">
        <v>538</v>
      </c>
      <c r="AR29" s="304" t="s">
        <v>532</v>
      </c>
      <c r="AS29" s="292" t="s">
        <v>419</v>
      </c>
      <c r="AT29" s="302" t="str">
        <f t="shared" si="6"/>
        <v>Yes</v>
      </c>
      <c r="AU29" s="302" t="str">
        <f t="shared" si="7"/>
        <v>Yes</v>
      </c>
      <c r="AV29" s="302" t="str">
        <f t="shared" si="8"/>
        <v>No</v>
      </c>
      <c r="AW29" s="302"/>
      <c r="AX29" s="302" t="s">
        <v>539</v>
      </c>
      <c r="AY29" s="302" t="s">
        <v>540</v>
      </c>
      <c r="AZ29" s="312" t="str">
        <f t="array" ref="AZ29">if(isblank(E29),"", xlookup(E29,Import_FL5_LH_PVT_BM!D:D,Import_FL5_LH_PVT_BM!AK:AK,$F$4,0,1))</f>
        <v>MP</v>
      </c>
      <c r="BA29" s="292" t="str">
        <f t="shared" si="9"/>
        <v>Retail_10ct</v>
      </c>
      <c r="BB29" s="313" t="str">
        <f t="array" ref="BB29">if(isblank(E29),"",xlookup(F29,z_Others!$B$21:$B$42,z_Others!$G$21:$G$42,"No",0,1))</f>
        <v>ROW Master Carton Label (EAN)</v>
      </c>
      <c r="BC29" s="313" t="str">
        <f t="array" ref="BC29">if(isblank(E29),"",xlookup(F29,z_Others!$B$21:$B$42,z_Others!$H$21:$H$42,"No",0,1))</f>
        <v>Standard Pallet Label (BTO)
Standard Pallet Label (BTS)</v>
      </c>
      <c r="BD29" s="314" t="str">
        <f t="array" ref="BD29">if(isblank(E29),"",xlookup(E29,'Import_VN_Label approve'!E:E,'Import_VN_Label approve'!L:L,"N/A",0,1))</f>
        <v>G990-08490-21-05
G990-08490-21-B</v>
      </c>
      <c r="BE29" s="314" t="str">
        <f t="array" ref="BE29">if(isblank(E29),"",xlookup(E29,'Import_VN_Label approve'!E:E,'Import_VN_Label approve'!N:N,"N/A",0,1))</f>
        <v>G990-09563-00-A
G990-09563-00-B</v>
      </c>
      <c r="BF29" s="315"/>
      <c r="BG29" s="332" t="s">
        <v>503</v>
      </c>
      <c r="BH29" s="317" t="s">
        <v>504</v>
      </c>
      <c r="BI29" s="318">
        <v>45773.0</v>
      </c>
      <c r="BJ29" s="319" t="str">
        <f t="array" ref="BJ29">if(isblank(E29),"", xlookup(D29,z_Others!$B$5:$B$17,z_Others!$C$5:$C$17,"",0,1))</f>
        <v>智能手機</v>
      </c>
      <c r="BK29" s="320">
        <v>45782.0</v>
      </c>
      <c r="BL29" s="320" t="str">
        <f t="array" ref="BL29">if(isblank(E29),"",xlookup(E29,'FL5_MP POR_LH_報關備案_G950 &amp; GA'!F:F,'FL5_MP POR_LH_報關備案_G950 &amp; GA'!E:E,"No Need",0,1))</f>
        <v>Close</v>
      </c>
      <c r="BM29" s="321" t="str">
        <f t="array" ref="BM29">if(isblank(E29),"",xlookup($BM$9&amp;E29,'Import_FL5 MPS (06.06.25) - Sor'!E25:E334&amp;'Import_FL5 MPS (06.06.25) - Sor'!F25:F334,'Import_FL5 MPS (06.06.25) - Sor'!ES25:ES334,"No demand",0,1))</f>
        <v>No demand</v>
      </c>
      <c r="BN29" s="321" t="str">
        <f t="array" ref="BN29">if(isblank(E29),"",xlookup($BN$9&amp;E29,'Import_FL5 MPS (06.06.25) - Sor'!E25:E334&amp;'Import_FL5 MPS (06.06.25) - Sor'!F25:F334,'Import_FL5 MPS (06.06.25) - Sor'!ES25:ES334,"No demand",0,1))</f>
        <v>No demand</v>
      </c>
      <c r="BO29" s="321" t="str">
        <f t="array" ref="BO29">if(isblank(E29),"",xlookup($BO$9&amp;E29,'Import_FL5 MPS (06.06.25) - Sor'!E25:E334&amp;'Import_FL5 MPS (06.06.25) - Sor'!F25:F334,'Import_FL5 MPS (06.06.25) - Sor'!ES25:ES334,"No demand",0,1))</f>
        <v>No demand</v>
      </c>
      <c r="BP29" s="322" t="str">
        <f t="array" ref="BP29">if(isblank(E29),"", xlookup(E29,'Import_LH_Label approve'!E:E,'Import_LH_Label approve'!L:L,"",0,1))</f>
        <v>NA</v>
      </c>
      <c r="BQ29" s="322" t="str">
        <f t="array" ref="BQ29">if(isblank(E29),"",xlookup(E29,'Import_VN_Label approve'!E:E,'Import_VN_Label approve'!M:M,"N/A",0,1))</f>
        <v>N/A</v>
      </c>
      <c r="BR29" s="313"/>
      <c r="BS29" s="323"/>
      <c r="BT29" s="324"/>
      <c r="BU29" s="91"/>
    </row>
    <row r="30">
      <c r="A30" s="176"/>
      <c r="B30" s="292">
        <v>19.0</v>
      </c>
      <c r="C30" s="231" t="s">
        <v>282</v>
      </c>
      <c r="D30" s="231" t="s">
        <v>408</v>
      </c>
      <c r="E30" s="293" t="s">
        <v>541</v>
      </c>
      <c r="F30" s="323" t="s">
        <v>527</v>
      </c>
      <c r="G30" s="294" t="s">
        <v>528</v>
      </c>
      <c r="H30" s="292" t="str">
        <f t="array" ref="H30">xlookup(F30,z_Others!$B$21:$B$45,z_Others!$E$21:$E$45,"",0,1)</f>
        <v>Sub6</v>
      </c>
      <c r="I30" s="295" t="s">
        <v>431</v>
      </c>
      <c r="J30" s="231" t="str">
        <f t="array" ref="J30">if(isblank(E30),"",xlookup(I30,z_Others!$M$17:$M$20,z_Others!$O$17:$O$20,"",0,1))</f>
        <v>Lemongrass</v>
      </c>
      <c r="K30" s="292" t="str">
        <f t="array" ref="K30">xlookup(I30,z_Others!$M$17:$M$20,z_Others!$N$17:$N$20,"",0,1)</f>
        <v>YEL</v>
      </c>
      <c r="L30" s="292" t="str">
        <f t="array" ref="L30">xlookup(F30,z_Others!$B$21:$B$45,z_Others!$D$21:$D$45,"",0,1)</f>
        <v>GK2MP
</v>
      </c>
      <c r="M30" s="296" t="str">
        <f t="array" ref="M30">xlookup(F30,z_Others!$B$21:$B$45,z_Others!$C$21:$C$45,"",0,1)</f>
        <v>ROW</v>
      </c>
      <c r="N30" s="297">
        <v>3.5440766E7</v>
      </c>
      <c r="O30" s="331" t="s">
        <v>494</v>
      </c>
      <c r="P30" s="303" t="s">
        <v>495</v>
      </c>
      <c r="Q30" s="300" t="s">
        <v>413</v>
      </c>
      <c r="R30" s="301" t="s">
        <v>414</v>
      </c>
      <c r="S30" s="302">
        <f t="array" ref="S30">if(isblank(E30),"",xlookup($S$9&amp;M30,z_Others!$X$5:$X$17&amp;z_Others!$W$5:$W$17,z_Others!$Z$5:$Z$17,"",0,1))</f>
        <v>35795514</v>
      </c>
      <c r="T30" s="303" t="str">
        <f t="array" ref="T30">if(isblank(E30),"",xlookup($S$9&amp;M30,z_Others!$X$5:$X$17&amp;z_Others!$W$5:$W$17,z_Others!$AH$5:$AH$17,"",0,1))</f>
        <v>35 795514 040000x</v>
      </c>
      <c r="U30" s="303" t="str">
        <f t="array" ref="U30">if(isblank(E30),"",xlookup($S$9&amp;M30,z_Others!$X$5:$X$17&amp;z_Others!$W$5:$W$17,z_Others!$AI$5:$AI$17,"",0,1))</f>
        <v>35 795514 999999x</v>
      </c>
      <c r="V30" s="303" t="str">
        <f t="shared" si="2"/>
        <v>64:9D:38:32:91:82
B0:D5:FB:C6:60:70</v>
      </c>
      <c r="W30" s="303" t="str">
        <f t="shared" si="3"/>
        <v>64:9D:38:37:25:61
B0:D5:FB:CE:01:8F</v>
      </c>
      <c r="X30" s="304" t="str">
        <f t="shared" si="4"/>
        <v>MP1.0</v>
      </c>
      <c r="Y30" s="292"/>
      <c r="Z30" s="304" t="str">
        <f t="shared" ref="Z30:AA30" si="26">if(isblank(E30),"",$Z$9)</f>
        <v>Android 16</v>
      </c>
      <c r="AA30" s="304" t="str">
        <f t="shared" si="26"/>
        <v>Android 16</v>
      </c>
      <c r="AB30" s="305" t="s">
        <v>542</v>
      </c>
      <c r="AC30" s="305" t="s">
        <v>543</v>
      </c>
      <c r="AD30" s="314" t="s">
        <v>447</v>
      </c>
      <c r="AE30" s="307" t="s">
        <v>418</v>
      </c>
      <c r="AF30" s="308" t="s">
        <v>447</v>
      </c>
      <c r="AG30" s="309" t="s">
        <v>418</v>
      </c>
      <c r="AH30" s="297" t="str">
        <f t="array" ref="AH30">if(isblank(E30),"",xlookup(F30,z_Others!$B$21:$B$45,z_Others!$F$21:$F$45,"TBD",0,1))</f>
        <v>00</v>
      </c>
      <c r="AI30" s="310" t="str">
        <f t="array" ref="AI30">if(isblank(E30),"", xlookup(E30,'Import_FL5_LH_PVTMP_Configs (Do'!E:E,'Import_FL5_LH_PVTMP_Configs (Do'!O:O,"TBD",0,1))</f>
        <v>G710-07800-00</v>
      </c>
      <c r="AJ30" s="311"/>
      <c r="AK30" s="310" t="str">
        <f t="array" ref="AK30">if(isblank(E30),"", xlookup(E30,'Import_FL5_LH_PVTMP_Configs (Do'!E:E,'Import_FL5_LH_PVTMP_Configs (Do'!Q:Q,"TBD",0,1))</f>
        <v>G650-14694-05</v>
      </c>
      <c r="AL30" s="310" t="str">
        <f t="array" ref="AL30">if(isblank(E30),"", xlookup(E30,'Import_FL5_LH_PVTMP_Configs (Do'!E:E,'Import_FL5_LH_PVTMP_Configs (Do'!M:M,"TBD",0,1))</f>
        <v>G710-07670-01</v>
      </c>
      <c r="AM30" s="310" t="str">
        <f t="array" ref="AM30">if(isblank(E30),"", xlookup(E30,'Import_FL5_LH_PVTMP_Configs (Do'!E:E,'Import_FL5_LH_PVTMP_Configs (Do'!N:N,"TBD",0,1))</f>
        <v>G730-09533-03</v>
      </c>
      <c r="AN30" s="310" t="str">
        <f t="array" ref="AN30">if(isblank(E30),"", xlookup(E30,'Import_FL5_LH_PVTMP_Configs (Do'!E:E,'Import_FL5_LH_PVTMP_Configs (Do'!K:K,"TBD",0,1))</f>
        <v>G950-15935-12</v>
      </c>
      <c r="AO30" s="292" t="str">
        <f t="array" ref="AO30">if(isblank(E30),"",XLOOKUP(E30,'FL5_G954 Pkg ASSY (Pkg BOM)'!L:L,'FL5_G954 Pkg ASSY (Pkg BOM)'!G:G,"N/A",0,1))</f>
        <v>G954-08542-00</v>
      </c>
      <c r="AP30" s="292" t="str">
        <f t="array" ref="AP30">if(isblank(E30),"",xlookup(E30,'FL5_G962 Country kit (Accesorie'!L:L,'FL5_G962 Country kit (Accesorie'!G:G,"N/A",0,1))</f>
        <v>G962-00511-00</v>
      </c>
      <c r="AQ30" s="304" t="s">
        <v>544</v>
      </c>
      <c r="AR30" s="304" t="s">
        <v>532</v>
      </c>
      <c r="AS30" s="292" t="s">
        <v>419</v>
      </c>
      <c r="AT30" s="302" t="str">
        <f t="shared" si="6"/>
        <v>Yes</v>
      </c>
      <c r="AU30" s="302" t="str">
        <f t="shared" si="7"/>
        <v>Yes</v>
      </c>
      <c r="AV30" s="302" t="str">
        <f t="shared" si="8"/>
        <v>No</v>
      </c>
      <c r="AW30" s="302"/>
      <c r="AX30" s="302" t="s">
        <v>545</v>
      </c>
      <c r="AY30" s="302" t="s">
        <v>546</v>
      </c>
      <c r="AZ30" s="312" t="str">
        <f t="array" ref="AZ30">if(isblank(E30),"", xlookup(E30,Import_FL5_LH_PVT_BM!D:D,Import_FL5_LH_PVT_BM!AK:AK,$F$4,0,1))</f>
        <v>MP</v>
      </c>
      <c r="BA30" s="292" t="str">
        <f t="shared" si="9"/>
        <v>Retail_10ct</v>
      </c>
      <c r="BB30" s="313" t="str">
        <f t="array" ref="BB30">if(isblank(E30),"",xlookup(F30,z_Others!$B$21:$B$42,z_Others!$G$21:$G$42,"No",0,1))</f>
        <v>ROW Master Carton Label (EAN)</v>
      </c>
      <c r="BC30" s="313" t="str">
        <f t="array" ref="BC30">if(isblank(E30),"",xlookup(F30,z_Others!$B$21:$B$42,z_Others!$H$21:$H$42,"No",0,1))</f>
        <v>Standard Pallet Label (BTO)
Standard Pallet Label (BTS)</v>
      </c>
      <c r="BD30" s="314" t="str">
        <f t="array" ref="BD30">if(isblank(E30),"",xlookup(E30,'Import_VN_Label approve'!E:E,'Import_VN_Label approve'!L:L,"N/A",0,1))</f>
        <v>G990-08490-31-05
G990-08490-31-B</v>
      </c>
      <c r="BE30" s="314" t="str">
        <f t="array" ref="BE30">if(isblank(E30),"",xlookup(E30,'Import_VN_Label approve'!E:E,'Import_VN_Label approve'!N:N,"N/A",0,1))</f>
        <v>G990-09563-00-A
G990-09563-00-B</v>
      </c>
      <c r="BF30" s="315"/>
      <c r="BG30" s="332" t="s">
        <v>503</v>
      </c>
      <c r="BH30" s="317" t="s">
        <v>504</v>
      </c>
      <c r="BI30" s="318">
        <v>45773.0</v>
      </c>
      <c r="BJ30" s="319" t="str">
        <f t="array" ref="BJ30">if(isblank(E30),"", xlookup(D30,z_Others!$B$5:$B$17,z_Others!$C$5:$C$17,"",0,1))</f>
        <v>智能手機</v>
      </c>
      <c r="BK30" s="320">
        <v>45765.0</v>
      </c>
      <c r="BL30" s="320" t="str">
        <f t="array" ref="BL30">if(isblank(E30),"",xlookup(E30,'FL5_MP POR_LH_報關備案_G950 &amp; GA'!F:F,'FL5_MP POR_LH_報關備案_G950 &amp; GA'!E:E,"No Need",0,1))</f>
        <v>Close</v>
      </c>
      <c r="BM30" s="321" t="str">
        <f t="array" ref="BM30">if(isblank(E30),"",xlookup($BM$9&amp;E30,'Import_FL5 MPS (06.06.25) - Sor'!E26:E334&amp;'Import_FL5 MPS (06.06.25) - Sor'!F26:F334,'Import_FL5 MPS (06.06.25) - Sor'!ES26:ES334,"No demand",0,1))</f>
        <v>No demand</v>
      </c>
      <c r="BN30" s="321" t="str">
        <f t="array" ref="BN30">if(isblank(E30),"",xlookup($BN$9&amp;E30,'Import_FL5 MPS (06.06.25) - Sor'!E26:E334&amp;'Import_FL5 MPS (06.06.25) - Sor'!F26:F334,'Import_FL5 MPS (06.06.25) - Sor'!ES26:ES334,"No demand",0,1))</f>
        <v>No demand</v>
      </c>
      <c r="BO30" s="321" t="str">
        <f t="array" ref="BO30">if(isblank(E30),"",xlookup($BO$9&amp;E30,'Import_FL5 MPS (06.06.25) - Sor'!E26:E334&amp;'Import_FL5 MPS (06.06.25) - Sor'!F26:F334,'Import_FL5 MPS (06.06.25) - Sor'!ES26:ES334,"No demand",0,1))</f>
        <v>No demand</v>
      </c>
      <c r="BP30" s="322" t="str">
        <f t="array" ref="BP30">if(isblank(E30),"", xlookup(E30,'Import_LH_Label approve'!E:E,'Import_LH_Label approve'!L:L,"",0,1))</f>
        <v>NA</v>
      </c>
      <c r="BQ30" s="322" t="str">
        <f t="array" ref="BQ30">if(isblank(E30),"",xlookup(E30,'Import_VN_Label approve'!E:E,'Import_VN_Label approve'!M:M,"N/A",0,1))</f>
        <v>N/A</v>
      </c>
      <c r="BR30" s="325"/>
      <c r="BS30" s="323"/>
      <c r="BT30" s="324"/>
      <c r="BU30" s="91"/>
    </row>
    <row r="31">
      <c r="A31" s="176"/>
      <c r="B31" s="292">
        <v>20.0</v>
      </c>
      <c r="C31" s="231" t="s">
        <v>282</v>
      </c>
      <c r="D31" s="231" t="s">
        <v>408</v>
      </c>
      <c r="E31" s="293" t="s">
        <v>547</v>
      </c>
      <c r="F31" s="323" t="s">
        <v>527</v>
      </c>
      <c r="G31" s="294" t="s">
        <v>528</v>
      </c>
      <c r="H31" s="292" t="str">
        <f t="array" ref="H31">xlookup(F31,z_Others!$B$21:$B$45,z_Others!$E$21:$E$45,"",0,1)</f>
        <v>Sub6</v>
      </c>
      <c r="I31" s="295" t="s">
        <v>437</v>
      </c>
      <c r="J31" s="231" t="str">
        <f t="array" ref="J31">if(isblank(E31),"",xlookup(I31,z_Others!$M$17:$M$20,z_Others!$O$17:$O$20,"",0,1))</f>
        <v>Indigo</v>
      </c>
      <c r="K31" s="292" t="str">
        <f t="array" ref="K31">xlookup(I31,z_Others!$M$17:$M$20,z_Others!$N$17:$N$20,"",0,1)</f>
        <v>BUE</v>
      </c>
      <c r="L31" s="292" t="str">
        <f t="array" ref="L31">xlookup(F31,z_Others!$B$21:$B$45,z_Others!$D$21:$D$45,"",0,1)</f>
        <v>GK2MP
</v>
      </c>
      <c r="M31" s="296" t="str">
        <f t="array" ref="M31">xlookup(F31,z_Others!$B$21:$B$45,z_Others!$C$21:$C$45,"",0,1)</f>
        <v>ROW</v>
      </c>
      <c r="N31" s="297">
        <v>3.5440766E7</v>
      </c>
      <c r="O31" s="331" t="s">
        <v>494</v>
      </c>
      <c r="P31" s="303" t="s">
        <v>495</v>
      </c>
      <c r="Q31" s="300" t="s">
        <v>413</v>
      </c>
      <c r="R31" s="301" t="s">
        <v>414</v>
      </c>
      <c r="S31" s="302">
        <f t="array" ref="S31">if(isblank(E31),"",xlookup($S$9&amp;M31,z_Others!$X$5:$X$17&amp;z_Others!$W$5:$W$17,z_Others!$Z$5:$Z$17,"",0,1))</f>
        <v>35795514</v>
      </c>
      <c r="T31" s="303" t="str">
        <f t="array" ref="T31">if(isblank(E31),"",xlookup($S$9&amp;M31,z_Others!$X$5:$X$17&amp;z_Others!$W$5:$W$17,z_Others!$AH$5:$AH$17,"",0,1))</f>
        <v>35 795514 040000x</v>
      </c>
      <c r="U31" s="303" t="str">
        <f t="array" ref="U31">if(isblank(E31),"",xlookup($S$9&amp;M31,z_Others!$X$5:$X$17&amp;z_Others!$W$5:$W$17,z_Others!$AI$5:$AI$17,"",0,1))</f>
        <v>35 795514 999999x</v>
      </c>
      <c r="V31" s="303" t="str">
        <f t="shared" si="2"/>
        <v>64:9D:38:32:91:82
B0:D5:FB:C6:60:70</v>
      </c>
      <c r="W31" s="303" t="str">
        <f t="shared" si="3"/>
        <v>64:9D:38:37:25:61
B0:D5:FB:CE:01:8F</v>
      </c>
      <c r="X31" s="304" t="str">
        <f t="shared" si="4"/>
        <v>MP1.0</v>
      </c>
      <c r="Y31" s="292"/>
      <c r="Z31" s="304" t="str">
        <f t="shared" ref="Z31:AA31" si="27">if(isblank(E31),"",$Z$9)</f>
        <v>Android 16</v>
      </c>
      <c r="AA31" s="304" t="str">
        <f t="shared" si="27"/>
        <v>Android 16</v>
      </c>
      <c r="AB31" s="305" t="s">
        <v>548</v>
      </c>
      <c r="AC31" s="305" t="s">
        <v>549</v>
      </c>
      <c r="AD31" s="314" t="s">
        <v>447</v>
      </c>
      <c r="AE31" s="307" t="s">
        <v>418</v>
      </c>
      <c r="AF31" s="308" t="s">
        <v>447</v>
      </c>
      <c r="AG31" s="309" t="s">
        <v>418</v>
      </c>
      <c r="AH31" s="297" t="str">
        <f t="array" ref="AH31">if(isblank(E31),"",xlookup(F31,z_Others!$B$21:$B$45,z_Others!$F$21:$F$45,"TBD",0,1))</f>
        <v>00</v>
      </c>
      <c r="AI31" s="310" t="str">
        <f t="array" ref="AI31">if(isblank(E31),"", xlookup(E31,'Import_FL5_LH_PVTMP_Configs (Do'!E:E,'Import_FL5_LH_PVTMP_Configs (Do'!O:O,"TBD",0,1))</f>
        <v>G710-07800-00</v>
      </c>
      <c r="AJ31" s="311"/>
      <c r="AK31" s="310" t="str">
        <f t="array" ref="AK31">if(isblank(E31),"", xlookup(E31,'Import_FL5_LH_PVTMP_Configs (Do'!E:E,'Import_FL5_LH_PVTMP_Configs (Do'!Q:Q,"TBD",0,1))</f>
        <v>G650-14694-05</v>
      </c>
      <c r="AL31" s="310" t="str">
        <f t="array" ref="AL31">if(isblank(E31),"", xlookup(E31,'Import_FL5_LH_PVTMP_Configs (Do'!E:E,'Import_FL5_LH_PVTMP_Configs (Do'!M:M,"TBD",0,1))</f>
        <v>G710-07670-01</v>
      </c>
      <c r="AM31" s="310" t="str">
        <f t="array" ref="AM31">if(isblank(E31),"", xlookup(E31,'Import_FL5_LH_PVTMP_Configs (Do'!E:E,'Import_FL5_LH_PVTMP_Configs (Do'!N:N,"TBD",0,1))</f>
        <v>G730-09533-04</v>
      </c>
      <c r="AN31" s="310" t="str">
        <f t="array" ref="AN31">if(isblank(E31),"", xlookup(E31,'Import_FL5_LH_PVTMP_Configs (Do'!E:E,'Import_FL5_LH_PVTMP_Configs (Do'!K:K,"TBD",0,1))</f>
        <v>G950-15935-13</v>
      </c>
      <c r="AO31" s="292" t="str">
        <f t="array" ref="AO31">if(isblank(E31),"",XLOOKUP(E31,'FL5_G954 Pkg ASSY (Pkg BOM)'!L:L,'FL5_G954 Pkg ASSY (Pkg BOM)'!G:G,"N/A",0,1))</f>
        <v>G954-08542-00</v>
      </c>
      <c r="AP31" s="292" t="str">
        <f t="array" ref="AP31">if(isblank(E31),"",xlookup(E31,'FL5_G962 Country kit (Accesorie'!L:L,'FL5_G962 Country kit (Accesorie'!G:G,"N/A",0,1))</f>
        <v>G962-00511-00</v>
      </c>
      <c r="AQ31" s="304" t="s">
        <v>550</v>
      </c>
      <c r="AR31" s="304" t="s">
        <v>532</v>
      </c>
      <c r="AS31" s="292" t="s">
        <v>419</v>
      </c>
      <c r="AT31" s="302" t="str">
        <f t="shared" si="6"/>
        <v>Yes</v>
      </c>
      <c r="AU31" s="302" t="str">
        <f t="shared" si="7"/>
        <v>Yes</v>
      </c>
      <c r="AV31" s="302" t="str">
        <f t="shared" si="8"/>
        <v>No</v>
      </c>
      <c r="AW31" s="302"/>
      <c r="AX31" s="302" t="s">
        <v>551</v>
      </c>
      <c r="AY31" s="302" t="s">
        <v>552</v>
      </c>
      <c r="AZ31" s="312" t="str">
        <f t="array" ref="AZ31">if(isblank(E31),"", xlookup(E31,Import_FL5_LH_PVT_BM!D:D,Import_FL5_LH_PVT_BM!AK:AK,$F$4,0,1))</f>
        <v>MP</v>
      </c>
      <c r="BA31" s="292" t="str">
        <f t="shared" si="9"/>
        <v>Retail_10ct</v>
      </c>
      <c r="BB31" s="313" t="str">
        <f t="array" ref="BB31">if(isblank(E31),"",xlookup(F31,z_Others!$B$21:$B$42,z_Others!$G$21:$G$42,"No",0,1))</f>
        <v>ROW Master Carton Label (EAN)</v>
      </c>
      <c r="BC31" s="313" t="str">
        <f t="array" ref="BC31">if(isblank(E31),"",xlookup(F31,z_Others!$B$21:$B$42,z_Others!$H$21:$H$42,"No",0,1))</f>
        <v>Standard Pallet Label (BTO)
Standard Pallet Label (BTS)</v>
      </c>
      <c r="BD31" s="314" t="str">
        <f t="array" ref="BD31">if(isblank(E31),"",xlookup(E31,'Import_VN_Label approve'!E:E,'Import_VN_Label approve'!L:L,"N/A",0,1))</f>
        <v>G990-08490-41-05
G990-08490-41-B</v>
      </c>
      <c r="BE31" s="314" t="str">
        <f t="array" ref="BE31">if(isblank(E31),"",xlookup(E31,'Import_VN_Label approve'!E:E,'Import_VN_Label approve'!N:N,"N/A",0,1))</f>
        <v>G990-09563-00-A
G990-09563-00-B</v>
      </c>
      <c r="BF31" s="315"/>
      <c r="BG31" s="332" t="s">
        <v>503</v>
      </c>
      <c r="BH31" s="317" t="s">
        <v>504</v>
      </c>
      <c r="BI31" s="318">
        <v>45773.0</v>
      </c>
      <c r="BJ31" s="319" t="str">
        <f t="array" ref="BJ31">if(isblank(E31),"", xlookup(D31,z_Others!$B$5:$B$17,z_Others!$C$5:$C$17,"",0,1))</f>
        <v>智能手機</v>
      </c>
      <c r="BK31" s="320">
        <v>45765.0</v>
      </c>
      <c r="BL31" s="320" t="str">
        <f t="array" ref="BL31">if(isblank(E31),"",xlookup(E31,'FL5_MP POR_LH_報關備案_G950 &amp; GA'!F:F,'FL5_MP POR_LH_報關備案_G950 &amp; GA'!E:E,"No Need",0,1))</f>
        <v>Close</v>
      </c>
      <c r="BM31" s="321" t="str">
        <f t="array" ref="BM31">if(isblank(E31),"",xlookup($BM$9&amp;E31,'Import_FL5 MPS (06.06.25) - Sor'!E27:E334&amp;'Import_FL5 MPS (06.06.25) - Sor'!F27:F334,'Import_FL5 MPS (06.06.25) - Sor'!ES27:ES334,"No demand",0,1))</f>
        <v>No demand</v>
      </c>
      <c r="BN31" s="321" t="str">
        <f t="array" ref="BN31">if(isblank(E31),"",xlookup($BN$9&amp;E31,'Import_FL5 MPS (06.06.25) - Sor'!E27:E334&amp;'Import_FL5 MPS (06.06.25) - Sor'!F27:F334,'Import_FL5 MPS (06.06.25) - Sor'!ES27:ES334,"No demand",0,1))</f>
        <v>No demand</v>
      </c>
      <c r="BO31" s="321" t="str">
        <f t="array" ref="BO31">if(isblank(E31),"",xlookup($BO$9&amp;E31,'Import_FL5 MPS (06.06.25) - Sor'!E27:E334&amp;'Import_FL5 MPS (06.06.25) - Sor'!F27:F334,'Import_FL5 MPS (06.06.25) - Sor'!ES27:ES334,"No demand",0,1))</f>
        <v>No demand</v>
      </c>
      <c r="BP31" s="322" t="str">
        <f t="array" ref="BP31">if(isblank(E31),"", xlookup(E31,'Import_LH_Label approve'!E:E,'Import_LH_Label approve'!L:L,"",0,1))</f>
        <v>NA</v>
      </c>
      <c r="BQ31" s="322" t="str">
        <f t="array" ref="BQ31">if(isblank(E31),"",xlookup(E31,'Import_VN_Label approve'!E:E,'Import_VN_Label approve'!M:M,"N/A",0,1))</f>
        <v>N/A</v>
      </c>
      <c r="BR31" s="313"/>
      <c r="BS31" s="323"/>
      <c r="BT31" s="324"/>
      <c r="BU31" s="91"/>
    </row>
    <row r="32">
      <c r="A32" s="176"/>
      <c r="B32" s="292">
        <v>21.0</v>
      </c>
      <c r="C32" s="231" t="s">
        <v>282</v>
      </c>
      <c r="D32" s="231" t="s">
        <v>408</v>
      </c>
      <c r="E32" s="333" t="s">
        <v>553</v>
      </c>
      <c r="F32" s="294" t="s">
        <v>554</v>
      </c>
      <c r="G32" s="294" t="s">
        <v>555</v>
      </c>
      <c r="H32" s="292" t="str">
        <f t="array" ref="H32">xlookup(F32,z_Others!$B$21:$B$45,z_Others!$E$21:$E$45,"",0,1)</f>
        <v>JPN</v>
      </c>
      <c r="I32" s="295" t="s">
        <v>412</v>
      </c>
      <c r="J32" s="231" t="str">
        <f t="array" ref="J32">if(isblank(E32),"",xlookup(I32,z_Others!$M$17:$M$20,z_Others!$O$17:$O$20,"",0,1))</f>
        <v>Obsidian</v>
      </c>
      <c r="K32" s="292" t="str">
        <f t="array" ref="K32">xlookup(I32,z_Others!$M$17:$M$20,z_Others!$N$17:$N$20,"",0,1)</f>
        <v>BLK</v>
      </c>
      <c r="L32" s="292" t="str">
        <f t="array" ref="L32">xlookup(F32,z_Others!$B$21:$B$45,z_Others!$D$21:$D$45,"",0,1)</f>
        <v>GL066</v>
      </c>
      <c r="M32" s="296" t="str">
        <f t="array" ref="M32">xlookup(F32,z_Others!$B$21:$B$45,z_Others!$C$21:$C$45,"",0,1)</f>
        <v>JPN</v>
      </c>
      <c r="N32" s="297">
        <v>3.5416229E7</v>
      </c>
      <c r="O32" s="331" t="s">
        <v>556</v>
      </c>
      <c r="P32" s="303" t="s">
        <v>557</v>
      </c>
      <c r="Q32" s="300" t="s">
        <v>413</v>
      </c>
      <c r="R32" s="301" t="s">
        <v>414</v>
      </c>
      <c r="S32" s="302">
        <f t="array" ref="S32">if(isblank(E32),"",xlookup($S$9&amp;M32,z_Others!$X$5:$X$17&amp;z_Others!$W$5:$W$17,z_Others!$Z$5:$Z$17,"",0,1))</f>
        <v>35444932</v>
      </c>
      <c r="T32" s="303" t="str">
        <f t="array" ref="T32">if(isblank(E32),"",xlookup($S$9&amp;M32,z_Others!$X$5:$X$17&amp;z_Others!$W$5:$W$17,z_Others!$AH$5:$AH$17,"",0,1))</f>
        <v>35 444932 020000x</v>
      </c>
      <c r="U32" s="303" t="str">
        <f t="array" ref="U32">if(isblank(E32),"",xlookup($S$9&amp;M32,z_Others!$X$5:$X$17&amp;z_Others!$W$5:$W$17,z_Others!$AI$5:$AI$17,"",0,1))</f>
        <v>35 444932 999999x</v>
      </c>
      <c r="V32" s="303" t="str">
        <f t="shared" si="2"/>
        <v>64:9D:38:32:91:82
B0:D5:FB:C6:60:70</v>
      </c>
      <c r="W32" s="303" t="str">
        <f t="shared" si="3"/>
        <v>64:9D:38:37:25:61
B0:D5:FB:CE:01:8F</v>
      </c>
      <c r="X32" s="304" t="str">
        <f t="shared" si="4"/>
        <v>MP1.0</v>
      </c>
      <c r="Y32" s="292"/>
      <c r="Z32" s="304" t="str">
        <f t="shared" ref="Z32:AA32" si="28">if(isblank(E32),"",$Z$9)</f>
        <v>Android 16</v>
      </c>
      <c r="AA32" s="304" t="str">
        <f t="shared" si="28"/>
        <v>Android 16</v>
      </c>
      <c r="AB32" s="305" t="s">
        <v>558</v>
      </c>
      <c r="AC32" s="305" t="s">
        <v>559</v>
      </c>
      <c r="AD32" s="314" t="s">
        <v>447</v>
      </c>
      <c r="AE32" s="307" t="s">
        <v>418</v>
      </c>
      <c r="AF32" s="308" t="s">
        <v>447</v>
      </c>
      <c r="AG32" s="309" t="s">
        <v>418</v>
      </c>
      <c r="AH32" s="297" t="str">
        <f t="array" ref="AH32">if(isblank(E32),"",xlookup(F32,z_Others!$B$21:$B$45,z_Others!$F$21:$F$45,"TBD",0,1))</f>
        <v>00</v>
      </c>
      <c r="AI32" s="310" t="str">
        <f t="array" ref="AI32">if(isblank(E32),"", xlookup(E32,'Import_FL5_LH_PVTMP_Configs (Do'!E:E,'Import_FL5_LH_PVTMP_Configs (Do'!O:O,"TBD",0,1))</f>
        <v>G710-07800-00</v>
      </c>
      <c r="AJ32" s="311"/>
      <c r="AK32" s="310" t="str">
        <f t="array" ref="AK32">if(isblank(E32),"", xlookup(E32,'Import_FL5_LH_PVTMP_Configs (Do'!E:E,'Import_FL5_LH_PVTMP_Configs (Do'!Q:Q,"TBD",0,1))</f>
        <v>G650-14694-05</v>
      </c>
      <c r="AL32" s="310" t="str">
        <f t="array" ref="AL32">if(isblank(E32),"", xlookup(E32,'Import_FL5_LH_PVTMP_Configs (Do'!E:E,'Import_FL5_LH_PVTMP_Configs (Do'!M:M,"TBD",0,1))</f>
        <v>G710-07670-01</v>
      </c>
      <c r="AM32" s="310" t="str">
        <f t="array" ref="AM32">if(isblank(E32),"", xlookup(E32,'Import_FL5_LH_PVTMP_Configs (Do'!E:E,'Import_FL5_LH_PVTMP_Configs (Do'!N:N,"TBD",0,1))</f>
        <v>G730-09533-01</v>
      </c>
      <c r="AN32" s="310" t="str">
        <f t="array" ref="AN32">if(isblank(E32),"", xlookup(E32,'Import_FL5_LH_PVTMP_Configs (Do'!E:E,'Import_FL5_LH_PVTMP_Configs (Do'!K:K,"TBD",0,1))</f>
        <v>G950-15935-10</v>
      </c>
      <c r="AO32" s="292" t="str">
        <f t="array" ref="AO32">if(isblank(E32),"",XLOOKUP(E32,'FL5_G954 Pkg ASSY (Pkg BOM)'!L:L,'FL5_G954 Pkg ASSY (Pkg BOM)'!G:G,"N/A",0,1))</f>
        <v>G954-08541-00</v>
      </c>
      <c r="AP32" s="292" t="str">
        <f t="array" ref="AP32">if(isblank(E32),"",xlookup(E32,'FL5_G962 Country kit (Accesorie'!L:L,'FL5_G962 Country kit (Accesorie'!G:G,"N/A",0,1))</f>
        <v>G962-00511-00</v>
      </c>
      <c r="AQ32" s="304" t="s">
        <v>560</v>
      </c>
      <c r="AR32" s="304" t="s">
        <v>561</v>
      </c>
      <c r="AS32" s="292" t="s">
        <v>419</v>
      </c>
      <c r="AT32" s="302" t="str">
        <f t="shared" si="6"/>
        <v>Yes</v>
      </c>
      <c r="AU32" s="302" t="str">
        <f t="shared" si="7"/>
        <v>No</v>
      </c>
      <c r="AV32" s="302" t="str">
        <f t="shared" si="8"/>
        <v>No</v>
      </c>
      <c r="AW32" s="302"/>
      <c r="AX32" s="302" t="s">
        <v>562</v>
      </c>
      <c r="AY32" s="302" t="s">
        <v>563</v>
      </c>
      <c r="AZ32" s="312" t="str">
        <f t="array" ref="AZ32">if(isblank(E32),"", xlookup(E32,Import_FL5_LH_PVT_BM!D:D,Import_FL5_LH_PVT_BM!AK:AK,$F$4,0,1))</f>
        <v>MP</v>
      </c>
      <c r="BA32" s="292" t="str">
        <f t="shared" si="9"/>
        <v>Retail_10ct</v>
      </c>
      <c r="BB32" s="313" t="str">
        <f t="array" ref="BB32">if(isblank(E32),"",xlookup(F32,z_Others!$B$21:$B$42,z_Others!$G$21:$G$42,"No",0,1))</f>
        <v>ROW Master Carton Label (UPC)</v>
      </c>
      <c r="BC32" s="313" t="str">
        <f t="array" ref="BC32">if(isblank(E32),"",xlookup(F32,z_Others!$B$21:$B$42,z_Others!$H$21:$H$42,"No",0,1))</f>
        <v>Standard Pallet Label (BTO)
Standard Pallet Label (BTS)</v>
      </c>
      <c r="BD32" s="314" t="str">
        <f t="array" ref="BD32">if(isblank(E32),"",xlookup(E32,'Import_VN_Label approve'!E:E,'Import_VN_Label approve'!L:L,"N/A",0,1))</f>
        <v>G990-08486-11-03
G990-08486-11-B</v>
      </c>
      <c r="BE32" s="314" t="str">
        <f t="array" ref="BE32">if(isblank(E32),"",xlookup(E32,'Import_VN_Label approve'!E:E,'Import_VN_Label approve'!N:N,"N/A",0,1))</f>
        <v>G990-09562-00-01
G990-09562-00-A</v>
      </c>
      <c r="BF32" s="315"/>
      <c r="BG32" s="332" t="s">
        <v>503</v>
      </c>
      <c r="BH32" s="317" t="s">
        <v>504</v>
      </c>
      <c r="BI32" s="318">
        <v>45773.0</v>
      </c>
      <c r="BJ32" s="319" t="str">
        <f t="array" ref="BJ32">if(isblank(E32),"", xlookup(D32,z_Others!$B$5:$B$17,z_Others!$C$5:$C$17,"",0,1))</f>
        <v>智能手機</v>
      </c>
      <c r="BK32" s="320">
        <v>45765.0</v>
      </c>
      <c r="BL32" s="320" t="str">
        <f t="array" ref="BL32">if(isblank(E32),"",xlookup(E32,'FL5_MP POR_LH_報關備案_G950 &amp; GA'!F:F,'FL5_MP POR_LH_報關備案_G950 &amp; GA'!E:E,"No Need",0,1))</f>
        <v>Close</v>
      </c>
      <c r="BM32" s="321" t="str">
        <f t="array" ref="BM32">if(isblank(E32),"",xlookup($BM$9&amp;E32,'Import_FL5 MPS (06.06.25) - Sor'!E28:E334&amp;'Import_FL5 MPS (06.06.25) - Sor'!F28:F334,'Import_FL5 MPS (06.06.25) - Sor'!ES28:ES334,"No demand",0,1))</f>
        <v>No demand</v>
      </c>
      <c r="BN32" s="321" t="str">
        <f t="array" ref="BN32">if(isblank(E32),"",xlookup($BN$9&amp;E32,'Import_FL5 MPS (06.06.25) - Sor'!E28:E334&amp;'Import_FL5 MPS (06.06.25) - Sor'!F28:F334,'Import_FL5 MPS (06.06.25) - Sor'!ES28:ES334,"No demand",0,1))</f>
        <v>No demand</v>
      </c>
      <c r="BO32" s="321" t="str">
        <f t="array" ref="BO32">if(isblank(E32),"",xlookup($BO$9&amp;E32,'Import_FL5 MPS (06.06.25) - Sor'!E28:E334&amp;'Import_FL5 MPS (06.06.25) - Sor'!F28:F334,'Import_FL5 MPS (06.06.25) - Sor'!ES28:ES334,"No demand",0,1))</f>
        <v>No demand</v>
      </c>
      <c r="BP32" s="322" t="str">
        <f t="array" ref="BP32">if(isblank(E32),"", xlookup(E32,'Import_LH_Label approve'!E:E,'Import_LH_Label approve'!L:L,"",0,1))</f>
        <v>NA</v>
      </c>
      <c r="BQ32" s="322" t="str">
        <f t="array" ref="BQ32">if(isblank(E32),"",xlookup(E32,'Import_VN_Label approve'!E:E,'Import_VN_Label approve'!M:M,"N/A",0,1))</f>
        <v>N/A</v>
      </c>
      <c r="BR32" s="325"/>
      <c r="BS32" s="323"/>
      <c r="BT32" s="324"/>
      <c r="BU32" s="91"/>
    </row>
    <row r="33">
      <c r="A33" s="176"/>
      <c r="B33" s="292">
        <v>22.0</v>
      </c>
      <c r="C33" s="231" t="s">
        <v>282</v>
      </c>
      <c r="D33" s="231" t="s">
        <v>408</v>
      </c>
      <c r="E33" s="293" t="s">
        <v>564</v>
      </c>
      <c r="F33" s="294" t="s">
        <v>554</v>
      </c>
      <c r="G33" s="294" t="s">
        <v>555</v>
      </c>
      <c r="H33" s="292" t="str">
        <f t="array" ref="H33">xlookup(F33,z_Others!$B$21:$B$45,z_Others!$E$21:$E$45,"",0,1)</f>
        <v>JPN</v>
      </c>
      <c r="I33" s="295" t="s">
        <v>425</v>
      </c>
      <c r="J33" s="231" t="str">
        <f t="array" ref="J33">if(isblank(E33),"",xlookup(I33,z_Others!$M$17:$M$20,z_Others!$O$17:$O$20,"",0,1))</f>
        <v>Frost</v>
      </c>
      <c r="K33" s="292" t="str">
        <f t="array" ref="K33">xlookup(I33,z_Others!$M$17:$M$20,z_Others!$N$17:$N$20,"",0,1)</f>
        <v>PPL</v>
      </c>
      <c r="L33" s="292" t="str">
        <f t="array" ref="L33">xlookup(F33,z_Others!$B$21:$B$45,z_Others!$D$21:$D$45,"",0,1)</f>
        <v>GL066</v>
      </c>
      <c r="M33" s="296" t="str">
        <f t="array" ref="M33">xlookup(F33,z_Others!$B$21:$B$45,z_Others!$C$21:$C$45,"",0,1)</f>
        <v>JPN</v>
      </c>
      <c r="N33" s="297">
        <v>3.5416229E7</v>
      </c>
      <c r="O33" s="331" t="s">
        <v>556</v>
      </c>
      <c r="P33" s="303" t="s">
        <v>557</v>
      </c>
      <c r="Q33" s="300" t="s">
        <v>413</v>
      </c>
      <c r="R33" s="301" t="s">
        <v>414</v>
      </c>
      <c r="S33" s="302">
        <f t="array" ref="S33">if(isblank(E33),"",xlookup($S$9&amp;M33,z_Others!$X$5:$X$17&amp;z_Others!$W$5:$W$17,z_Others!$Z$5:$Z$17,"",0,1))</f>
        <v>35444932</v>
      </c>
      <c r="T33" s="303" t="str">
        <f t="array" ref="T33">if(isblank(E33),"",xlookup($S$9&amp;M33,z_Others!$X$5:$X$17&amp;z_Others!$W$5:$W$17,z_Others!$AH$5:$AH$17,"",0,1))</f>
        <v>35 444932 020000x</v>
      </c>
      <c r="U33" s="303" t="str">
        <f t="array" ref="U33">if(isblank(E33),"",xlookup($S$9&amp;M33,z_Others!$X$5:$X$17&amp;z_Others!$W$5:$W$17,z_Others!$AI$5:$AI$17,"",0,1))</f>
        <v>35 444932 999999x</v>
      </c>
      <c r="V33" s="303" t="str">
        <f t="shared" si="2"/>
        <v>64:9D:38:32:91:82
B0:D5:FB:C6:60:70</v>
      </c>
      <c r="W33" s="303" t="str">
        <f t="shared" si="3"/>
        <v>64:9D:38:37:25:61
B0:D5:FB:CE:01:8F</v>
      </c>
      <c r="X33" s="304" t="str">
        <f t="shared" si="4"/>
        <v>MP1.0</v>
      </c>
      <c r="Y33" s="292"/>
      <c r="Z33" s="304" t="str">
        <f t="shared" ref="Z33:AA33" si="29">if(isblank(E33),"",$Z$9)</f>
        <v>Android 16</v>
      </c>
      <c r="AA33" s="304" t="str">
        <f t="shared" si="29"/>
        <v>Android 16</v>
      </c>
      <c r="AB33" s="305" t="s">
        <v>565</v>
      </c>
      <c r="AC33" s="305" t="s">
        <v>566</v>
      </c>
      <c r="AD33" s="314" t="s">
        <v>447</v>
      </c>
      <c r="AE33" s="307" t="s">
        <v>418</v>
      </c>
      <c r="AF33" s="308" t="s">
        <v>447</v>
      </c>
      <c r="AG33" s="309" t="s">
        <v>418</v>
      </c>
      <c r="AH33" s="297" t="str">
        <f t="array" ref="AH33">if(isblank(E33),"",xlookup(F33,z_Others!$B$21:$B$45,z_Others!$F$21:$F$45,"TBD",0,1))</f>
        <v>00</v>
      </c>
      <c r="AI33" s="310" t="str">
        <f t="array" ref="AI33">if(isblank(E33),"", xlookup(E33,'Import_FL5_LH_PVTMP_Configs (Do'!E:E,'Import_FL5_LH_PVTMP_Configs (Do'!O:O,"TBD",0,1))</f>
        <v>G710-07800-00</v>
      </c>
      <c r="AJ33" s="311"/>
      <c r="AK33" s="310" t="str">
        <f t="array" ref="AK33">if(isblank(E33),"", xlookup(E33,'Import_FL5_LH_PVTMP_Configs (Do'!E:E,'Import_FL5_LH_PVTMP_Configs (Do'!Q:Q,"TBD",0,1))</f>
        <v>G650-14694-05</v>
      </c>
      <c r="AL33" s="310" t="str">
        <f t="array" ref="AL33">if(isblank(E33),"", xlookup(E33,'Import_FL5_LH_PVTMP_Configs (Do'!E:E,'Import_FL5_LH_PVTMP_Configs (Do'!M:M,"TBD",0,1))</f>
        <v>G710-07670-01</v>
      </c>
      <c r="AM33" s="310" t="str">
        <f t="array" ref="AM33">if(isblank(E33),"", xlookup(E33,'Import_FL5_LH_PVTMP_Configs (Do'!E:E,'Import_FL5_LH_PVTMP_Configs (Do'!N:N,"TBD",0,1))</f>
        <v>G730-09533-02</v>
      </c>
      <c r="AN33" s="310" t="str">
        <f t="array" ref="AN33">if(isblank(E33),"", xlookup(E33,'Import_FL5_LH_PVTMP_Configs (Do'!E:E,'Import_FL5_LH_PVTMP_Configs (Do'!K:K,"TBD",0,1))</f>
        <v>G950-15935-11</v>
      </c>
      <c r="AO33" s="292" t="str">
        <f t="array" ref="AO33">if(isblank(E33),"",XLOOKUP(E33,'FL5_G954 Pkg ASSY (Pkg BOM)'!L:L,'FL5_G954 Pkg ASSY (Pkg BOM)'!G:G,"N/A",0,1))</f>
        <v>G954-08541-00</v>
      </c>
      <c r="AP33" s="292" t="str">
        <f t="array" ref="AP33">if(isblank(E33),"",xlookup(E33,'FL5_G962 Country kit (Accesorie'!L:L,'FL5_G962 Country kit (Accesorie'!G:G,"N/A",0,1))</f>
        <v>G962-00511-00</v>
      </c>
      <c r="AQ33" s="304" t="s">
        <v>567</v>
      </c>
      <c r="AR33" s="304" t="s">
        <v>561</v>
      </c>
      <c r="AS33" s="292" t="s">
        <v>419</v>
      </c>
      <c r="AT33" s="302" t="str">
        <f t="shared" si="6"/>
        <v>Yes</v>
      </c>
      <c r="AU33" s="302" t="str">
        <f t="shared" si="7"/>
        <v>No</v>
      </c>
      <c r="AV33" s="302" t="str">
        <f t="shared" si="8"/>
        <v>No</v>
      </c>
      <c r="AW33" s="302"/>
      <c r="AX33" s="302" t="s">
        <v>568</v>
      </c>
      <c r="AY33" s="302" t="s">
        <v>569</v>
      </c>
      <c r="AZ33" s="312" t="str">
        <f t="array" ref="AZ33">if(isblank(E33),"", xlookup(E33,Import_FL5_LH_PVT_BM!D:D,Import_FL5_LH_PVT_BM!AK:AK,$F$4,0,1))</f>
        <v>MP</v>
      </c>
      <c r="BA33" s="292" t="str">
        <f t="shared" si="9"/>
        <v>Retail_10ct</v>
      </c>
      <c r="BB33" s="313" t="str">
        <f t="array" ref="BB33">if(isblank(E33),"",xlookup(F33,z_Others!$B$21:$B$42,z_Others!$G$21:$G$42,"No",0,1))</f>
        <v>ROW Master Carton Label (UPC)</v>
      </c>
      <c r="BC33" s="313" t="str">
        <f t="array" ref="BC33">if(isblank(E33),"",xlookup(F33,z_Others!$B$21:$B$42,z_Others!$H$21:$H$42,"No",0,1))</f>
        <v>Standard Pallet Label (BTO)
Standard Pallet Label (BTS)</v>
      </c>
      <c r="BD33" s="314" t="str">
        <f t="array" ref="BD33">if(isblank(E33),"",xlookup(E33,'Import_VN_Label approve'!E:E,'Import_VN_Label approve'!L:L,"N/A",0,1))</f>
        <v>G990-08486-21-03
G990-08486-21-B</v>
      </c>
      <c r="BE33" s="314" t="str">
        <f t="array" ref="BE33">if(isblank(E33),"",xlookup(E33,'Import_VN_Label approve'!E:E,'Import_VN_Label approve'!N:N,"N/A",0,1))</f>
        <v>G990-09562-00-01
G990-09562-00-A</v>
      </c>
      <c r="BF33" s="315"/>
      <c r="BG33" s="332" t="s">
        <v>503</v>
      </c>
      <c r="BH33" s="317" t="s">
        <v>504</v>
      </c>
      <c r="BI33" s="318">
        <v>45773.0</v>
      </c>
      <c r="BJ33" s="319" t="str">
        <f t="array" ref="BJ33">if(isblank(E33),"", xlookup(D33,z_Others!$B$5:$B$17,z_Others!$C$5:$C$17,"",0,1))</f>
        <v>智能手機</v>
      </c>
      <c r="BK33" s="320">
        <v>45765.0</v>
      </c>
      <c r="BL33" s="320" t="str">
        <f t="array" ref="BL33">if(isblank(E33),"",xlookup(E33,'FL5_MP POR_LH_報關備案_G950 &amp; GA'!F:F,'FL5_MP POR_LH_報關備案_G950 &amp; GA'!E:E,"No Need",0,1))</f>
        <v>Close</v>
      </c>
      <c r="BM33" s="321" t="str">
        <f t="array" ref="BM33">if(isblank(E33),"",xlookup($BM$9&amp;E33,'Import_FL5 MPS (06.06.25) - Sor'!E29:E334&amp;'Import_FL5 MPS (06.06.25) - Sor'!F29:F334,'Import_FL5 MPS (06.06.25) - Sor'!ES29:ES334,"No demand",0,1))</f>
        <v>No demand</v>
      </c>
      <c r="BN33" s="321" t="str">
        <f t="array" ref="BN33">if(isblank(E33),"",xlookup($BN$9&amp;E33,'Import_FL5 MPS (06.06.25) - Sor'!E29:E334&amp;'Import_FL5 MPS (06.06.25) - Sor'!F29:F334,'Import_FL5 MPS (06.06.25) - Sor'!ES29:ES334,"No demand",0,1))</f>
        <v>No demand</v>
      </c>
      <c r="BO33" s="321" t="str">
        <f t="array" ref="BO33">if(isblank(E33),"",xlookup($BO$9&amp;E33,'Import_FL5 MPS (06.06.25) - Sor'!E29:E334&amp;'Import_FL5 MPS (06.06.25) - Sor'!F29:F334,'Import_FL5 MPS (06.06.25) - Sor'!ES29:ES334,"No demand",0,1))</f>
        <v>No demand</v>
      </c>
      <c r="BP33" s="322" t="str">
        <f t="array" ref="BP33">if(isblank(E33),"", xlookup(E33,'Import_LH_Label approve'!E:E,'Import_LH_Label approve'!L:L,"",0,1))</f>
        <v>NA</v>
      </c>
      <c r="BQ33" s="322" t="str">
        <f t="array" ref="BQ33">if(isblank(E33),"",xlookup(E33,'Import_VN_Label approve'!E:E,'Import_VN_Label approve'!M:M,"N/A",0,1))</f>
        <v>N/A</v>
      </c>
      <c r="BR33" s="313"/>
      <c r="BS33" s="323"/>
      <c r="BT33" s="324"/>
      <c r="BU33" s="91"/>
    </row>
    <row r="34">
      <c r="A34" s="176"/>
      <c r="B34" s="292">
        <v>23.0</v>
      </c>
      <c r="C34" s="231" t="s">
        <v>282</v>
      </c>
      <c r="D34" s="231" t="s">
        <v>408</v>
      </c>
      <c r="E34" s="293" t="s">
        <v>570</v>
      </c>
      <c r="F34" s="294" t="s">
        <v>554</v>
      </c>
      <c r="G34" s="294" t="s">
        <v>555</v>
      </c>
      <c r="H34" s="292" t="str">
        <f t="array" ref="H34">xlookup(F34,z_Others!$B$21:$B$45,z_Others!$E$21:$E$45,"",0,1)</f>
        <v>JPN</v>
      </c>
      <c r="I34" s="295" t="s">
        <v>431</v>
      </c>
      <c r="J34" s="231" t="str">
        <f t="array" ref="J34">if(isblank(E34),"",xlookup(I34,z_Others!$M$17:$M$20,z_Others!$O$17:$O$20,"",0,1))</f>
        <v>Lemongrass</v>
      </c>
      <c r="K34" s="292" t="str">
        <f t="array" ref="K34">xlookup(I34,z_Others!$M$17:$M$20,z_Others!$N$17:$N$20,"",0,1)</f>
        <v>YEL</v>
      </c>
      <c r="L34" s="292" t="str">
        <f t="array" ref="L34">xlookup(F34,z_Others!$B$21:$B$45,z_Others!$D$21:$D$45,"",0,1)</f>
        <v>GL066</v>
      </c>
      <c r="M34" s="296" t="str">
        <f t="array" ref="M34">xlookup(F34,z_Others!$B$21:$B$45,z_Others!$C$21:$C$45,"",0,1)</f>
        <v>JPN</v>
      </c>
      <c r="N34" s="297">
        <v>3.5416229E7</v>
      </c>
      <c r="O34" s="331" t="s">
        <v>556</v>
      </c>
      <c r="P34" s="303" t="s">
        <v>557</v>
      </c>
      <c r="Q34" s="300" t="s">
        <v>413</v>
      </c>
      <c r="R34" s="301" t="s">
        <v>414</v>
      </c>
      <c r="S34" s="302">
        <f t="array" ref="S34">if(isblank(E34),"",xlookup($S$9&amp;M34,z_Others!$X$5:$X$17&amp;z_Others!$W$5:$W$17,z_Others!$Z$5:$Z$17,"",0,1))</f>
        <v>35444932</v>
      </c>
      <c r="T34" s="303" t="str">
        <f t="array" ref="T34">if(isblank(E34),"",xlookup($S$9&amp;M34,z_Others!$X$5:$X$17&amp;z_Others!$W$5:$W$17,z_Others!$AH$5:$AH$17,"",0,1))</f>
        <v>35 444932 020000x</v>
      </c>
      <c r="U34" s="303" t="str">
        <f t="array" ref="U34">if(isblank(E34),"",xlookup($S$9&amp;M34,z_Others!$X$5:$X$17&amp;z_Others!$W$5:$W$17,z_Others!$AI$5:$AI$17,"",0,1))</f>
        <v>35 444932 999999x</v>
      </c>
      <c r="V34" s="303" t="str">
        <f t="shared" si="2"/>
        <v>64:9D:38:32:91:82
B0:D5:FB:C6:60:70</v>
      </c>
      <c r="W34" s="303" t="str">
        <f t="shared" si="3"/>
        <v>64:9D:38:37:25:61
B0:D5:FB:CE:01:8F</v>
      </c>
      <c r="X34" s="304" t="str">
        <f t="shared" si="4"/>
        <v>MP1.0</v>
      </c>
      <c r="Y34" s="292"/>
      <c r="Z34" s="304" t="str">
        <f t="shared" ref="Z34:AA34" si="30">if(isblank(E34),"",$Z$9)</f>
        <v>Android 16</v>
      </c>
      <c r="AA34" s="304" t="str">
        <f t="shared" si="30"/>
        <v>Android 16</v>
      </c>
      <c r="AB34" s="305" t="s">
        <v>571</v>
      </c>
      <c r="AC34" s="305" t="s">
        <v>572</v>
      </c>
      <c r="AD34" s="314" t="s">
        <v>447</v>
      </c>
      <c r="AE34" s="307" t="s">
        <v>418</v>
      </c>
      <c r="AF34" s="308" t="s">
        <v>447</v>
      </c>
      <c r="AG34" s="309" t="s">
        <v>418</v>
      </c>
      <c r="AH34" s="297" t="str">
        <f t="array" ref="AH34">if(isblank(E34),"",xlookup(F34,z_Others!$B$21:$B$45,z_Others!$F$21:$F$45,"TBD",0,1))</f>
        <v>00</v>
      </c>
      <c r="AI34" s="310" t="str">
        <f t="array" ref="AI34">if(isblank(E34),"", xlookup(E34,'Import_FL5_LH_PVTMP_Configs (Do'!E:E,'Import_FL5_LH_PVTMP_Configs (Do'!O:O,"TBD",0,1))</f>
        <v>G710-07800-00</v>
      </c>
      <c r="AJ34" s="311"/>
      <c r="AK34" s="310" t="str">
        <f t="array" ref="AK34">if(isblank(E34),"", xlookup(E34,'Import_FL5_LH_PVTMP_Configs (Do'!E:E,'Import_FL5_LH_PVTMP_Configs (Do'!Q:Q,"TBD",0,1))</f>
        <v>G650-14694-05</v>
      </c>
      <c r="AL34" s="310" t="str">
        <f t="array" ref="AL34">if(isblank(E34),"", xlookup(E34,'Import_FL5_LH_PVTMP_Configs (Do'!E:E,'Import_FL5_LH_PVTMP_Configs (Do'!M:M,"TBD",0,1))</f>
        <v>G710-07670-01</v>
      </c>
      <c r="AM34" s="310" t="str">
        <f t="array" ref="AM34">if(isblank(E34),"", xlookup(E34,'Import_FL5_LH_PVTMP_Configs (Do'!E:E,'Import_FL5_LH_PVTMP_Configs (Do'!N:N,"TBD",0,1))</f>
        <v>G730-09533-03</v>
      </c>
      <c r="AN34" s="310" t="str">
        <f t="array" ref="AN34">if(isblank(E34),"", xlookup(E34,'Import_FL5_LH_PVTMP_Configs (Do'!E:E,'Import_FL5_LH_PVTMP_Configs (Do'!K:K,"TBD",0,1))</f>
        <v>G950-15935-12</v>
      </c>
      <c r="AO34" s="292" t="str">
        <f t="array" ref="AO34">if(isblank(E34),"",XLOOKUP(E34,'FL5_G954 Pkg ASSY (Pkg BOM)'!L:L,'FL5_G954 Pkg ASSY (Pkg BOM)'!G:G,"N/A",0,1))</f>
        <v>G954-08541-00</v>
      </c>
      <c r="AP34" s="292" t="str">
        <f t="array" ref="AP34">if(isblank(E34),"",xlookup(E34,'FL5_G962 Country kit (Accesorie'!L:L,'FL5_G962 Country kit (Accesorie'!G:G,"N/A",0,1))</f>
        <v>G962-00511-00</v>
      </c>
      <c r="AQ34" s="304" t="s">
        <v>573</v>
      </c>
      <c r="AR34" s="304" t="s">
        <v>561</v>
      </c>
      <c r="AS34" s="292" t="s">
        <v>419</v>
      </c>
      <c r="AT34" s="302" t="str">
        <f t="shared" si="6"/>
        <v>Yes</v>
      </c>
      <c r="AU34" s="302" t="str">
        <f t="shared" si="7"/>
        <v>No</v>
      </c>
      <c r="AV34" s="302" t="str">
        <f t="shared" si="8"/>
        <v>No</v>
      </c>
      <c r="AW34" s="302"/>
      <c r="AX34" s="302" t="s">
        <v>574</v>
      </c>
      <c r="AY34" s="302" t="s">
        <v>575</v>
      </c>
      <c r="AZ34" s="312" t="str">
        <f t="array" ref="AZ34">if(isblank(E34),"", xlookup(E34,Import_FL5_LH_PVT_BM!D:D,Import_FL5_LH_PVT_BM!AK:AK,$F$4,0,1))</f>
        <v>MP</v>
      </c>
      <c r="BA34" s="292" t="str">
        <f t="shared" si="9"/>
        <v>Retail_10ct</v>
      </c>
      <c r="BB34" s="313" t="str">
        <f t="array" ref="BB34">if(isblank(E34),"",xlookup(F34,z_Others!$B$21:$B$42,z_Others!$G$21:$G$42,"No",0,1))</f>
        <v>ROW Master Carton Label (UPC)</v>
      </c>
      <c r="BC34" s="313" t="str">
        <f t="array" ref="BC34">if(isblank(E34),"",xlookup(F34,z_Others!$B$21:$B$42,z_Others!$H$21:$H$42,"No",0,1))</f>
        <v>Standard Pallet Label (BTO)
Standard Pallet Label (BTS)</v>
      </c>
      <c r="BD34" s="314" t="str">
        <f t="array" ref="BD34">if(isblank(E34),"",xlookup(E34,'Import_VN_Label approve'!E:E,'Import_VN_Label approve'!L:L,"N/A",0,1))</f>
        <v>G990-08486-31-03
G990-08486-31-B</v>
      </c>
      <c r="BE34" s="314" t="str">
        <f t="array" ref="BE34">if(isblank(E34),"",xlookup(E34,'Import_VN_Label approve'!E:E,'Import_VN_Label approve'!N:N,"N/A",0,1))</f>
        <v>G990-09562-00-01
G990-09562-00-A</v>
      </c>
      <c r="BF34" s="315"/>
      <c r="BG34" s="332" t="s">
        <v>503</v>
      </c>
      <c r="BH34" s="317" t="s">
        <v>504</v>
      </c>
      <c r="BI34" s="318">
        <v>45773.0</v>
      </c>
      <c r="BJ34" s="319" t="str">
        <f t="array" ref="BJ34">if(isblank(E34),"", xlookup(D34,z_Others!$B$5:$B$17,z_Others!$C$5:$C$17,"",0,1))</f>
        <v>智能手機</v>
      </c>
      <c r="BK34" s="320">
        <v>45765.0</v>
      </c>
      <c r="BL34" s="320" t="str">
        <f t="array" ref="BL34">if(isblank(E34),"",xlookup(E34,'FL5_MP POR_LH_報關備案_G950 &amp; GA'!F:F,'FL5_MP POR_LH_報關備案_G950 &amp; GA'!E:E,"No Need",0,1))</f>
        <v>Close</v>
      </c>
      <c r="BM34" s="321" t="str">
        <f t="array" ref="BM34">if(isblank(E34),"",xlookup($BM$9&amp;E34,'Import_FL5 MPS (06.06.25) - Sor'!E30:E334&amp;'Import_FL5 MPS (06.06.25) - Sor'!F30:F334,'Import_FL5 MPS (06.06.25) - Sor'!ES30:ES334,"No demand",0,1))</f>
        <v>No demand</v>
      </c>
      <c r="BN34" s="321" t="str">
        <f t="array" ref="BN34">if(isblank(E34),"",xlookup($BN$9&amp;E34,'Import_FL5 MPS (06.06.25) - Sor'!E30:E334&amp;'Import_FL5 MPS (06.06.25) - Sor'!F30:F334,'Import_FL5 MPS (06.06.25) - Sor'!ES30:ES334,"No demand",0,1))</f>
        <v>No demand</v>
      </c>
      <c r="BO34" s="321" t="str">
        <f t="array" ref="BO34">if(isblank(E34),"",xlookup($BO$9&amp;E34,'Import_FL5 MPS (06.06.25) - Sor'!E30:E334&amp;'Import_FL5 MPS (06.06.25) - Sor'!F30:F334,'Import_FL5 MPS (06.06.25) - Sor'!ES30:ES334,"No demand",0,1))</f>
        <v>No demand</v>
      </c>
      <c r="BP34" s="322" t="str">
        <f t="array" ref="BP34">if(isblank(E34),"", xlookup(E34,'Import_LH_Label approve'!E:E,'Import_LH_Label approve'!L:L,"",0,1))</f>
        <v>NA</v>
      </c>
      <c r="BQ34" s="322" t="str">
        <f t="array" ref="BQ34">if(isblank(E34),"",xlookup(E34,'Import_VN_Label approve'!E:E,'Import_VN_Label approve'!M:M,"N/A",0,1))</f>
        <v>N/A</v>
      </c>
      <c r="BR34" s="313"/>
      <c r="BS34" s="323"/>
      <c r="BT34" s="324"/>
      <c r="BU34" s="91"/>
    </row>
    <row r="35">
      <c r="A35" s="176"/>
      <c r="B35" s="292">
        <v>24.0</v>
      </c>
      <c r="C35" s="231" t="s">
        <v>282</v>
      </c>
      <c r="D35" s="231" t="s">
        <v>408</v>
      </c>
      <c r="E35" s="293" t="s">
        <v>576</v>
      </c>
      <c r="F35" s="294" t="s">
        <v>554</v>
      </c>
      <c r="G35" s="294" t="s">
        <v>555</v>
      </c>
      <c r="H35" s="292" t="str">
        <f t="array" ref="H35">xlookup(F35,z_Others!$B$21:$B$45,z_Others!$E$21:$E$45,"",0,1)</f>
        <v>JPN</v>
      </c>
      <c r="I35" s="295" t="s">
        <v>437</v>
      </c>
      <c r="J35" s="231" t="str">
        <f t="array" ref="J35">if(isblank(E35),"",xlookup(I35,z_Others!$M$17:$M$20,z_Others!$O$17:$O$20,"",0,1))</f>
        <v>Indigo</v>
      </c>
      <c r="K35" s="292" t="str">
        <f t="array" ref="K35">xlookup(I35,z_Others!$M$17:$M$20,z_Others!$N$17:$N$20,"",0,1)</f>
        <v>BUE</v>
      </c>
      <c r="L35" s="292" t="str">
        <f t="array" ref="L35">xlookup(F35,z_Others!$B$21:$B$45,z_Others!$D$21:$D$45,"",0,1)</f>
        <v>GL066</v>
      </c>
      <c r="M35" s="296" t="str">
        <f t="array" ref="M35">xlookup(F35,z_Others!$B$21:$B$45,z_Others!$C$21:$C$45,"",0,1)</f>
        <v>JPN</v>
      </c>
      <c r="N35" s="297">
        <v>3.5416229E7</v>
      </c>
      <c r="O35" s="331" t="s">
        <v>556</v>
      </c>
      <c r="P35" s="303" t="s">
        <v>557</v>
      </c>
      <c r="Q35" s="300" t="s">
        <v>413</v>
      </c>
      <c r="R35" s="301" t="s">
        <v>414</v>
      </c>
      <c r="S35" s="302">
        <f t="array" ref="S35">if(isblank(E35),"",xlookup($S$9&amp;M35,z_Others!$X$5:$X$17&amp;z_Others!$W$5:$W$17,z_Others!$Z$5:$Z$17,"",0,1))</f>
        <v>35444932</v>
      </c>
      <c r="T35" s="303" t="str">
        <f t="array" ref="T35">if(isblank(E35),"",xlookup($S$9&amp;M35,z_Others!$X$5:$X$17&amp;z_Others!$W$5:$W$17,z_Others!$AH$5:$AH$17,"",0,1))</f>
        <v>35 444932 020000x</v>
      </c>
      <c r="U35" s="303" t="str">
        <f t="array" ref="U35">if(isblank(E35),"",xlookup($S$9&amp;M35,z_Others!$X$5:$X$17&amp;z_Others!$W$5:$W$17,z_Others!$AI$5:$AI$17,"",0,1))</f>
        <v>35 444932 999999x</v>
      </c>
      <c r="V35" s="303" t="str">
        <f t="shared" si="2"/>
        <v>64:9D:38:32:91:82
B0:D5:FB:C6:60:70</v>
      </c>
      <c r="W35" s="303" t="str">
        <f t="shared" si="3"/>
        <v>64:9D:38:37:25:61
B0:D5:FB:CE:01:8F</v>
      </c>
      <c r="X35" s="304" t="str">
        <f t="shared" si="4"/>
        <v>MP1.0</v>
      </c>
      <c r="Y35" s="292"/>
      <c r="Z35" s="304" t="str">
        <f t="shared" ref="Z35:AA35" si="31">if(isblank(E35),"",$Z$9)</f>
        <v>Android 16</v>
      </c>
      <c r="AA35" s="304" t="str">
        <f t="shared" si="31"/>
        <v>Android 16</v>
      </c>
      <c r="AB35" s="305" t="s">
        <v>577</v>
      </c>
      <c r="AC35" s="305" t="s">
        <v>578</v>
      </c>
      <c r="AD35" s="314" t="s">
        <v>447</v>
      </c>
      <c r="AE35" s="307" t="s">
        <v>418</v>
      </c>
      <c r="AF35" s="308" t="s">
        <v>447</v>
      </c>
      <c r="AG35" s="309" t="s">
        <v>418</v>
      </c>
      <c r="AH35" s="297" t="str">
        <f t="array" ref="AH35">if(isblank(E35),"",xlookup(F35,z_Others!$B$21:$B$45,z_Others!$F$21:$F$45,"TBD",0,1))</f>
        <v>00</v>
      </c>
      <c r="AI35" s="310" t="str">
        <f t="array" ref="AI35">if(isblank(E35),"", xlookup(E35,'Import_FL5_LH_PVTMP_Configs (Do'!E:E,'Import_FL5_LH_PVTMP_Configs (Do'!O:O,"TBD",0,1))</f>
        <v>G710-07800-00</v>
      </c>
      <c r="AJ35" s="311"/>
      <c r="AK35" s="310" t="str">
        <f t="array" ref="AK35">if(isblank(E35),"", xlookup(E35,'Import_FL5_LH_PVTMP_Configs (Do'!E:E,'Import_FL5_LH_PVTMP_Configs (Do'!Q:Q,"TBD",0,1))</f>
        <v>G650-14694-05</v>
      </c>
      <c r="AL35" s="310" t="str">
        <f t="array" ref="AL35">if(isblank(E35),"", xlookup(E35,'Import_FL5_LH_PVTMP_Configs (Do'!E:E,'Import_FL5_LH_PVTMP_Configs (Do'!M:M,"TBD",0,1))</f>
        <v>G710-07670-01</v>
      </c>
      <c r="AM35" s="310" t="str">
        <f t="array" ref="AM35">if(isblank(E35),"", xlookup(E35,'Import_FL5_LH_PVTMP_Configs (Do'!E:E,'Import_FL5_LH_PVTMP_Configs (Do'!N:N,"TBD",0,1))</f>
        <v>G730-09533-04</v>
      </c>
      <c r="AN35" s="310" t="str">
        <f t="array" ref="AN35">if(isblank(E35),"", xlookup(E35,'Import_FL5_LH_PVTMP_Configs (Do'!E:E,'Import_FL5_LH_PVTMP_Configs (Do'!K:K,"TBD",0,1))</f>
        <v>G950-15935-13</v>
      </c>
      <c r="AO35" s="292" t="str">
        <f t="array" ref="AO35">if(isblank(E35),"",XLOOKUP(E35,'FL5_G954 Pkg ASSY (Pkg BOM)'!L:L,'FL5_G954 Pkg ASSY (Pkg BOM)'!G:G,"N/A",0,1))</f>
        <v>G954-08541-00</v>
      </c>
      <c r="AP35" s="292" t="str">
        <f t="array" ref="AP35">if(isblank(E35),"",xlookup(E35,'FL5_G962 Country kit (Accesorie'!L:L,'FL5_G962 Country kit (Accesorie'!G:G,"N/A",0,1))</f>
        <v>G962-00511-00</v>
      </c>
      <c r="AQ35" s="304" t="s">
        <v>579</v>
      </c>
      <c r="AR35" s="304" t="s">
        <v>561</v>
      </c>
      <c r="AS35" s="292" t="s">
        <v>419</v>
      </c>
      <c r="AT35" s="302" t="str">
        <f t="shared" si="6"/>
        <v>Yes</v>
      </c>
      <c r="AU35" s="302" t="str">
        <f t="shared" si="7"/>
        <v>No</v>
      </c>
      <c r="AV35" s="302" t="str">
        <f t="shared" si="8"/>
        <v>No</v>
      </c>
      <c r="AW35" s="302"/>
      <c r="AX35" s="302" t="s">
        <v>580</v>
      </c>
      <c r="AY35" s="302" t="s">
        <v>581</v>
      </c>
      <c r="AZ35" s="312" t="str">
        <f t="array" ref="AZ35">if(isblank(E35),"", xlookup(E35,Import_FL5_LH_PVT_BM!D:D,Import_FL5_LH_PVT_BM!AK:AK,$F$4,0,1))</f>
        <v>MP</v>
      </c>
      <c r="BA35" s="292" t="str">
        <f t="shared" si="9"/>
        <v>Retail_10ct</v>
      </c>
      <c r="BB35" s="313" t="str">
        <f t="array" ref="BB35">if(isblank(E35),"",xlookup(F35,z_Others!$B$21:$B$42,z_Others!$G$21:$G$42,"No",0,1))</f>
        <v>ROW Master Carton Label (UPC)</v>
      </c>
      <c r="BC35" s="313" t="str">
        <f t="array" ref="BC35">if(isblank(E35),"",xlookup(F35,z_Others!$B$21:$B$42,z_Others!$H$21:$H$42,"No",0,1))</f>
        <v>Standard Pallet Label (BTO)
Standard Pallet Label (BTS)</v>
      </c>
      <c r="BD35" s="314" t="str">
        <f t="array" ref="BD35">if(isblank(E35),"",xlookup(E35,'Import_VN_Label approve'!E:E,'Import_VN_Label approve'!L:L,"N/A",0,1))</f>
        <v>G990-08486-41-03
G990-08486-41-B</v>
      </c>
      <c r="BE35" s="314" t="str">
        <f t="array" ref="BE35">if(isblank(E35),"",xlookup(E35,'Import_VN_Label approve'!E:E,'Import_VN_Label approve'!N:N,"N/A",0,1))</f>
        <v>G990-09562-00-01
G990-09562-00-A</v>
      </c>
      <c r="BF35" s="315"/>
      <c r="BG35" s="332" t="s">
        <v>503</v>
      </c>
      <c r="BH35" s="317" t="s">
        <v>504</v>
      </c>
      <c r="BI35" s="318">
        <v>45773.0</v>
      </c>
      <c r="BJ35" s="319" t="str">
        <f t="array" ref="BJ35">if(isblank(E35),"", xlookup(D35,z_Others!$B$5:$B$17,z_Others!$C$5:$C$17,"",0,1))</f>
        <v>智能手機</v>
      </c>
      <c r="BK35" s="320">
        <v>45765.0</v>
      </c>
      <c r="BL35" s="320" t="str">
        <f t="array" ref="BL35">if(isblank(E35),"",xlookup(E35,'FL5_MP POR_LH_報關備案_G950 &amp; GA'!F:F,'FL5_MP POR_LH_報關備案_G950 &amp; GA'!E:E,"No Need",0,1))</f>
        <v>Close</v>
      </c>
      <c r="BM35" s="321" t="str">
        <f t="array" ref="BM35">if(isblank(E35),"",xlookup($BM$9&amp;E35,'Import_FL5 MPS (06.06.25) - Sor'!E31:E334&amp;'Import_FL5 MPS (06.06.25) - Sor'!F31:F334,'Import_FL5 MPS (06.06.25) - Sor'!ES31:ES334,"No demand",0,1))</f>
        <v>No demand</v>
      </c>
      <c r="BN35" s="321" t="str">
        <f t="array" ref="BN35">if(isblank(E35),"",xlookup($BN$9&amp;E35,'Import_FL5 MPS (06.06.25) - Sor'!E31:E334&amp;'Import_FL5 MPS (06.06.25) - Sor'!F31:F334,'Import_FL5 MPS (06.06.25) - Sor'!ES31:ES334,"No demand",0,1))</f>
        <v>No demand</v>
      </c>
      <c r="BO35" s="321" t="str">
        <f t="array" ref="BO35">if(isblank(E35),"",xlookup($BO$9&amp;E35,'Import_FL5 MPS (06.06.25) - Sor'!E31:E334&amp;'Import_FL5 MPS (06.06.25) - Sor'!F31:F334,'Import_FL5 MPS (06.06.25) - Sor'!ES31:ES334,"No demand",0,1))</f>
        <v>No demand</v>
      </c>
      <c r="BP35" s="322" t="str">
        <f t="array" ref="BP35">if(isblank(E35),"", xlookup(E35,'Import_LH_Label approve'!E:E,'Import_LH_Label approve'!L:L,"",0,1))</f>
        <v>NA</v>
      </c>
      <c r="BQ35" s="322" t="str">
        <f t="array" ref="BQ35">if(isblank(E35),"",xlookup(E35,'Import_VN_Label approve'!E:E,'Import_VN_Label approve'!M:M,"N/A",0,1))</f>
        <v>N/A</v>
      </c>
      <c r="BR35" s="313"/>
      <c r="BS35" s="323"/>
      <c r="BT35" s="324"/>
      <c r="BU35" s="91"/>
    </row>
    <row r="36" ht="21.75" customHeight="1">
      <c r="A36" s="7"/>
      <c r="B36" s="292">
        <v>25.0</v>
      </c>
      <c r="C36" s="231" t="s">
        <v>282</v>
      </c>
      <c r="D36" s="231" t="s">
        <v>291</v>
      </c>
      <c r="E36" s="334" t="s">
        <v>582</v>
      </c>
      <c r="F36" s="313" t="s">
        <v>583</v>
      </c>
      <c r="G36" s="231" t="s">
        <v>493</v>
      </c>
      <c r="H36" s="292" t="str">
        <f t="array" ref="H36">xlookup(F36,z_Others!$B$21:$B$45,z_Others!$E$21:$E$45,"",0,1)</f>
        <v>Sub6</v>
      </c>
      <c r="I36" s="310" t="s">
        <v>412</v>
      </c>
      <c r="J36" s="231" t="str">
        <f t="array" ref="J36">if(isblank(E36),"",xlookup(I36,z_Others!$M$17:$M$20,z_Others!$O$17:$O$20,"",0,1))</f>
        <v>Obsidian</v>
      </c>
      <c r="K36" s="292" t="str">
        <f t="array" ref="K36">xlookup(I36,z_Others!$M$17:$M$20,z_Others!$N$17:$N$20,"",0,1)</f>
        <v>BLK</v>
      </c>
      <c r="L36" s="292" t="str">
        <f t="array" ref="L36">xlookup(F36,z_Others!$B$21:$B$45,z_Others!$D$21:$D$45,"",0,1)</f>
        <v>GK2MP</v>
      </c>
      <c r="M36" s="296" t="str">
        <f t="array" ref="M36">xlookup(F36,z_Others!$B$21:$B$45,z_Others!$C$21:$C$45,"",0,1)</f>
        <v>ROW</v>
      </c>
      <c r="N36" s="297">
        <f t="array" ref="N36">if(isblank(E36),"",xlookup($N$9&amp;M36,z_Others!$X$5:$X$17&amp;z_Others!$W$5:$W$17,z_Others!$Z$5:$Z$17,"",0,1))</f>
        <v>35440766</v>
      </c>
      <c r="O36" s="331" t="s">
        <v>494</v>
      </c>
      <c r="P36" s="303" t="s">
        <v>495</v>
      </c>
      <c r="Q36" s="300" t="s">
        <v>413</v>
      </c>
      <c r="R36" s="301" t="s">
        <v>414</v>
      </c>
      <c r="S36" s="302">
        <f t="array" ref="S36">if(isblank(E36),"",xlookup($S$9&amp;M36,z_Others!$X$5:$X$17&amp;z_Others!$W$5:$W$17,z_Others!$Z$5:$Z$17,"",0,1))</f>
        <v>35795514</v>
      </c>
      <c r="T36" s="303" t="str">
        <f t="array" ref="T36">if(isblank(E36),"",xlookup($S$9&amp;M36,z_Others!$X$5:$X$17&amp;z_Others!$W$5:$W$17,z_Others!$AH$5:$AH$17,"",0,1))</f>
        <v>35 795514 040000x</v>
      </c>
      <c r="U36" s="303" t="str">
        <f t="array" ref="U36">if(isblank(E36),"",xlookup($S$9&amp;M36,z_Others!$X$5:$X$17&amp;z_Others!$W$5:$W$17,z_Others!$AI$5:$AI$17,"",0,1))</f>
        <v>35 795514 999999x</v>
      </c>
      <c r="V36" s="303" t="str">
        <f t="shared" si="2"/>
        <v>64:9D:38:32:91:82
B0:D5:FB:C6:60:70</v>
      </c>
      <c r="W36" s="303" t="str">
        <f t="shared" si="3"/>
        <v>64:9D:38:37:25:61
B0:D5:FB:CE:01:8F</v>
      </c>
      <c r="X36" s="304" t="str">
        <f t="shared" si="4"/>
        <v>MP1.0</v>
      </c>
      <c r="Y36" s="292"/>
      <c r="Z36" s="304" t="str">
        <f t="shared" ref="Z36:Z203" si="32">if(isblank(E36),"",$Z$9)</f>
        <v>Android 16</v>
      </c>
      <c r="AA36" s="304" t="str">
        <f t="shared" ref="AA36:AA39" si="33">if(isblank(E36),"",IF(AG36="AD1A.240530.047","Android 14",IF(AG36="AP3A.241105.008","Android 15","TBD")))</f>
        <v>TBD</v>
      </c>
      <c r="AB36" s="305" t="s">
        <v>584</v>
      </c>
      <c r="AC36" s="305"/>
      <c r="AD36" s="306"/>
      <c r="AE36" s="335"/>
      <c r="AF36" s="308"/>
      <c r="AG36" s="308"/>
      <c r="AH36" s="297" t="str">
        <f t="array" ref="AH36">if(isblank(E36),"",xlookup(F36,z_Others!$B$21:$B$45,z_Others!$F$21:$F$45,"TBD",0,1))</f>
        <v>00</v>
      </c>
      <c r="AI36" s="310" t="str">
        <f t="array" ref="AI36">if(isblank(E36),"", xlookup(E36,'Import_FL5_LH_PVTMP_Configs (Do'!E:E,'Import_FL5_LH_PVTMP_Configs (Do'!O:O,"TBD",0,1))</f>
        <v>TBD</v>
      </c>
      <c r="AJ36" s="311"/>
      <c r="AK36" s="310" t="str">
        <f t="array" ref="AK36">if(isblank(E36),"", xlookup(E36,'Import_FL5_LH_PVTMP_Configs (Do'!E:E,'Import_FL5_LH_PVTMP_Configs (Do'!Q:Q,"TBD",0,1))</f>
        <v>TBD</v>
      </c>
      <c r="AL36" s="310" t="str">
        <f t="array" ref="AL36">if(isblank(E36),"", xlookup(E36,'Import_FL5_LH_PVTMP_Configs (Do'!E:E,'Import_FL5_LH_PVTMP_Configs (Do'!M:M,"TBD",0,1))</f>
        <v>TBD</v>
      </c>
      <c r="AM36" s="310" t="str">
        <f t="array" ref="AM36">if(isblank(E36),"", xlookup(E36,'Import_FL5_LH_PVTMP_Configs (Do'!E:E,'Import_FL5_LH_PVTMP_Configs (Do'!N:N,"TBD",0,1))</f>
        <v>TBD</v>
      </c>
      <c r="AN36" s="310" t="str">
        <f t="array" ref="AN36">if(isblank(E36),"", xlookup(E36,'Import_FL5_LH_PVTMP_Configs (Do'!E:E,'Import_FL5_LH_PVTMP_Configs (Do'!K:K,"TBD",0,1))</f>
        <v>TBD</v>
      </c>
      <c r="AO36" s="292" t="str">
        <f t="array" ref="AO36">if(isblank(E36),"",XLOOKUP(E36,'FL5_G954 Pkg ASSY (Pkg BOM)'!L:L,'FL5_G954 Pkg ASSY (Pkg BOM)'!G:G,"N/A",0,1))</f>
        <v>N/A</v>
      </c>
      <c r="AP36" s="292" t="str">
        <f t="array" ref="AP36">if(isblank(E36),"",xlookup(E36,'FL5_G962 Country kit (Accesorie'!L:L,'FL5_G962 Country kit (Accesorie'!G:G,"N/A",0,1))</f>
        <v>N/A</v>
      </c>
      <c r="AQ36" s="304" t="str">
        <f t="array" ref="AQ36">if(isblank(E36),"", xlookup(E36,'Import_LH_Label approve'!E:E,'Import_LH_Label approve'!M:M,"",0,1))</f>
        <v>TBD</v>
      </c>
      <c r="AR36" s="304" t="str">
        <f t="array" ref="AR36">if(isblank(E36),"",xlookup(E36,'Import_LH_Label approve'!E:E,'Import_LH_Label approve'!N:N,"",0,1))</f>
        <v>TBD</v>
      </c>
      <c r="AS36" s="292" t="s">
        <v>419</v>
      </c>
      <c r="AT36" s="302" t="str">
        <f t="shared" si="6"/>
        <v>Yes</v>
      </c>
      <c r="AU36" s="302" t="str">
        <f t="shared" si="7"/>
        <v>No</v>
      </c>
      <c r="AV36" s="302" t="str">
        <f t="shared" si="8"/>
        <v>Yes</v>
      </c>
      <c r="AW36" s="302"/>
      <c r="AX36" s="336" t="s">
        <v>585</v>
      </c>
      <c r="AY36" s="336" t="s">
        <v>585</v>
      </c>
      <c r="AZ36" s="312" t="str">
        <f t="array" ref="AZ36">if(isblank(E36),"", xlookup(E36,Import_FL5_LH_PVT_BM!D:D,Import_FL5_LH_PVT_BM!AK:AK,$F$4,0,1))</f>
        <v>MP</v>
      </c>
      <c r="BA36" s="292" t="b">
        <f t="shared" si="9"/>
        <v>0</v>
      </c>
      <c r="BB36" s="313" t="str">
        <f t="array" ref="BB36">if(isblank(E36),"",xlookup(F36,z_Others!$B$21:$B$42,z_Others!$G$21:$G$42,"No",0,1))</f>
        <v>IN Master Carton Label</v>
      </c>
      <c r="BC36" s="313" t="str">
        <f t="array" ref="BC36">if(isblank(E36),"",xlookup(F36,z_Others!$B$21:$B$42,z_Others!$H$21:$H$42,"No",0,1))</f>
        <v>Standard Pallet Label (BTO)
Standard Pallet Label (BTS)</v>
      </c>
      <c r="BD36" s="314" t="str">
        <f t="array" ref="BD36">if(isblank(E36),"",xlookup(E36,'Import_VN_Label approve'!E:E,'Import_VN_Label approve'!L:L,"N/A",0,1))</f>
        <v>TBD</v>
      </c>
      <c r="BE36" s="314" t="str">
        <f t="array" ref="BE36">if(isblank(E36),"",xlookup(E36,'Import_VN_Label approve'!E:E,'Import_VN_Label approve'!N:N,"N/A",0,1))</f>
        <v>TBD</v>
      </c>
      <c r="BF36" s="315"/>
      <c r="BG36" s="337"/>
      <c r="BH36" s="338"/>
      <c r="BI36" s="339"/>
      <c r="BJ36" s="319" t="str">
        <f t="array" ref="BJ36">if(isblank(E36),"", xlookup(D36,z_Others!$B$5:$B$17,z_Others!$C$5:$C$17,"",0,1))</f>
        <v/>
      </c>
      <c r="BK36" s="320"/>
      <c r="BL36" s="320" t="str">
        <f t="array" ref="BL36">if(isblank(E36),"",xlookup(E36,'FL5_MP POR_LH_報關備案_G950 &amp; GA'!F:F,'FL5_MP POR_LH_報關備案_G950 &amp; GA'!E:E,"No Need",0,1))</f>
        <v>No Need</v>
      </c>
      <c r="BM36" s="321" t="str">
        <f t="array" ref="BM36">if(isblank(E36),"",xlookup($BM$9&amp;E36,'Import_FL5 MPS (06.06.25) - Sor'!E32:E334&amp;'Import_FL5 MPS (06.06.25) - Sor'!F32:F334,'Import_FL5 MPS (06.06.25) - Sor'!ES32:ES334,"No demand",0,1))</f>
        <v>No demand</v>
      </c>
      <c r="BN36" s="321" t="str">
        <f t="array" ref="BN36">if(isblank(E36),"",xlookup($BN$9&amp;E36,'Import_FL5 MPS (06.06.25) - Sor'!E32:E334&amp;'Import_FL5 MPS (06.06.25) - Sor'!F32:F334,'Import_FL5 MPS (06.06.25) - Sor'!ES32:ES334,"No demand",0,1))</f>
        <v>No demand</v>
      </c>
      <c r="BO36" s="321" t="str">
        <f t="array" ref="BO36">if(isblank(E36),"",xlookup($BO$9&amp;E36,'Import_FL5 MPS (06.06.25) - Sor'!E32:E334&amp;'Import_FL5 MPS (06.06.25) - Sor'!F32:F334,'Import_FL5 MPS (06.06.25) - Sor'!ES32:ES334,"No demand",0,1))</f>
        <v>No demand</v>
      </c>
      <c r="BP36" s="322" t="str">
        <f t="array" ref="BP36">if(isblank(E36),"", xlookup(E36,'Import_LH_Label approve'!E:E,'Import_LH_Label approve'!L:L,"",0,1))</f>
        <v/>
      </c>
      <c r="BQ36" s="322" t="str">
        <f t="array" ref="BQ36">if(isblank(E36),"",xlookup(E36,'Import_VN_Label approve'!E:E,'Import_VN_Label approve'!M:M,"N/A",0,1))</f>
        <v/>
      </c>
      <c r="BR36" s="313" t="s">
        <v>586</v>
      </c>
      <c r="BS36" s="323"/>
      <c r="BT36" s="324"/>
      <c r="BU36" s="117"/>
    </row>
    <row r="37" ht="21.75" customHeight="1">
      <c r="A37" s="7"/>
      <c r="B37" s="292">
        <v>26.0</v>
      </c>
      <c r="C37" s="231" t="s">
        <v>282</v>
      </c>
      <c r="D37" s="231" t="s">
        <v>291</v>
      </c>
      <c r="E37" s="334" t="s">
        <v>587</v>
      </c>
      <c r="F37" s="313" t="s">
        <v>583</v>
      </c>
      <c r="G37" s="231" t="s">
        <v>493</v>
      </c>
      <c r="H37" s="292" t="str">
        <f t="array" ref="H37">xlookup(F37,z_Others!$B$21:$B$45,z_Others!$E$21:$E$45,"",0,1)</f>
        <v>Sub6</v>
      </c>
      <c r="I37" s="310" t="s">
        <v>425</v>
      </c>
      <c r="J37" s="231" t="str">
        <f t="array" ref="J37">if(isblank(E37),"",xlookup(I37,z_Others!$M$17:$M$20,z_Others!$O$17:$O$20,"",0,1))</f>
        <v>Frost</v>
      </c>
      <c r="K37" s="292" t="str">
        <f t="array" ref="K37">xlookup(I37,z_Others!$M$17:$M$20,z_Others!$N$17:$N$20,"",0,1)</f>
        <v>PPL</v>
      </c>
      <c r="L37" s="292" t="str">
        <f t="array" ref="L37">xlookup(F37,z_Others!$B$21:$B$45,z_Others!$D$21:$D$45,"",0,1)</f>
        <v>GK2MP</v>
      </c>
      <c r="M37" s="296" t="str">
        <f t="array" ref="M37">xlookup(F37,z_Others!$B$21:$B$45,z_Others!$C$21:$C$45,"",0,1)</f>
        <v>ROW</v>
      </c>
      <c r="N37" s="297">
        <f t="array" ref="N37">if(isblank(E37),"",xlookup($N$9&amp;M37,z_Others!$X$5:$X$17&amp;z_Others!$W$5:$W$17,z_Others!$Z$5:$Z$17,"",0,1))</f>
        <v>35440766</v>
      </c>
      <c r="O37" s="331" t="s">
        <v>494</v>
      </c>
      <c r="P37" s="303" t="s">
        <v>495</v>
      </c>
      <c r="Q37" s="300" t="s">
        <v>413</v>
      </c>
      <c r="R37" s="301" t="s">
        <v>414</v>
      </c>
      <c r="S37" s="302">
        <f t="array" ref="S37">if(isblank(E37),"",xlookup($S$9&amp;M37,z_Others!$X$5:$X$17&amp;z_Others!$W$5:$W$17,z_Others!$Z$5:$Z$17,"",0,1))</f>
        <v>35795514</v>
      </c>
      <c r="T37" s="303" t="str">
        <f t="array" ref="T37">if(isblank(E37),"",xlookup($S$9&amp;M37,z_Others!$X$5:$X$17&amp;z_Others!$W$5:$W$17,z_Others!$AH$5:$AH$17,"",0,1))</f>
        <v>35 795514 040000x</v>
      </c>
      <c r="U37" s="303" t="str">
        <f t="array" ref="U37">if(isblank(E37),"",xlookup($S$9&amp;M37,z_Others!$X$5:$X$17&amp;z_Others!$W$5:$W$17,z_Others!$AI$5:$AI$17,"",0,1))</f>
        <v>35 795514 999999x</v>
      </c>
      <c r="V37" s="303" t="str">
        <f t="shared" si="2"/>
        <v>64:9D:38:32:91:82
B0:D5:FB:C6:60:70</v>
      </c>
      <c r="W37" s="303" t="str">
        <f t="shared" si="3"/>
        <v>64:9D:38:37:25:61
B0:D5:FB:CE:01:8F</v>
      </c>
      <c r="X37" s="304" t="str">
        <f t="shared" si="4"/>
        <v>MP1.0</v>
      </c>
      <c r="Y37" s="292"/>
      <c r="Z37" s="304" t="str">
        <f t="shared" si="32"/>
        <v>Android 16</v>
      </c>
      <c r="AA37" s="304" t="str">
        <f t="shared" si="33"/>
        <v>TBD</v>
      </c>
      <c r="AB37" s="305" t="s">
        <v>588</v>
      </c>
      <c r="AC37" s="305"/>
      <c r="AD37" s="306"/>
      <c r="AE37" s="335"/>
      <c r="AF37" s="308"/>
      <c r="AG37" s="308"/>
      <c r="AH37" s="297" t="str">
        <f t="array" ref="AH37">if(isblank(E37),"",xlookup(F37,z_Others!$B$21:$B$45,z_Others!$F$21:$F$45,"TBD",0,1))</f>
        <v>00</v>
      </c>
      <c r="AI37" s="310" t="str">
        <f t="array" ref="AI37">if(isblank(E37),"", xlookup(E37,'Import_FL5_LH_PVTMP_Configs (Do'!E:E,'Import_FL5_LH_PVTMP_Configs (Do'!O:O,"TBD",0,1))</f>
        <v>TBD</v>
      </c>
      <c r="AJ37" s="311"/>
      <c r="AK37" s="310" t="str">
        <f t="array" ref="AK37">if(isblank(E37),"", xlookup(E37,'Import_FL5_LH_PVTMP_Configs (Do'!E:E,'Import_FL5_LH_PVTMP_Configs (Do'!Q:Q,"TBD",0,1))</f>
        <v>TBD</v>
      </c>
      <c r="AL37" s="310" t="str">
        <f t="array" ref="AL37">if(isblank(E37),"", xlookup(E37,'Import_FL5_LH_PVTMP_Configs (Do'!E:E,'Import_FL5_LH_PVTMP_Configs (Do'!M:M,"TBD",0,1))</f>
        <v>TBD</v>
      </c>
      <c r="AM37" s="310" t="str">
        <f t="array" ref="AM37">if(isblank(E37),"", xlookup(E37,'Import_FL5_LH_PVTMP_Configs (Do'!E:E,'Import_FL5_LH_PVTMP_Configs (Do'!N:N,"TBD",0,1))</f>
        <v>TBD</v>
      </c>
      <c r="AN37" s="310" t="str">
        <f t="array" ref="AN37">if(isblank(E37),"", xlookup(E37,'Import_FL5_LH_PVTMP_Configs (Do'!E:E,'Import_FL5_LH_PVTMP_Configs (Do'!K:K,"TBD",0,1))</f>
        <v>TBD</v>
      </c>
      <c r="AO37" s="292" t="str">
        <f t="array" ref="AO37">if(isblank(E37),"",XLOOKUP(E37,'FL5_G954 Pkg ASSY (Pkg BOM)'!L:L,'FL5_G954 Pkg ASSY (Pkg BOM)'!G:G,"N/A",0,1))</f>
        <v>N/A</v>
      </c>
      <c r="AP37" s="292" t="str">
        <f t="array" ref="AP37">if(isblank(E37),"",xlookup(E37,'FL5_G962 Country kit (Accesorie'!L:L,'FL5_G962 Country kit (Accesorie'!G:G,"N/A",0,1))</f>
        <v>N/A</v>
      </c>
      <c r="AQ37" s="304" t="str">
        <f t="array" ref="AQ37">if(isblank(E37),"", xlookup(E37,'Import_LH_Label approve'!E:E,'Import_LH_Label approve'!M:M,"",0,1))</f>
        <v>TBD</v>
      </c>
      <c r="AR37" s="304" t="str">
        <f t="array" ref="AR37">if(isblank(E37),"",xlookup(E37,'Import_LH_Label approve'!E:E,'Import_LH_Label approve'!N:N,"",0,1))</f>
        <v>TBD</v>
      </c>
      <c r="AS37" s="292" t="s">
        <v>419</v>
      </c>
      <c r="AT37" s="302" t="str">
        <f t="shared" si="6"/>
        <v>Yes</v>
      </c>
      <c r="AU37" s="302" t="str">
        <f t="shared" si="7"/>
        <v>No</v>
      </c>
      <c r="AV37" s="302" t="str">
        <f t="shared" si="8"/>
        <v>Yes</v>
      </c>
      <c r="AW37" s="302"/>
      <c r="AX37" s="336" t="s">
        <v>585</v>
      </c>
      <c r="AY37" s="336" t="s">
        <v>585</v>
      </c>
      <c r="AZ37" s="312" t="str">
        <f t="array" ref="AZ37">if(isblank(E37),"", xlookup(E37,Import_FL5_LH_PVT_BM!D:D,Import_FL5_LH_PVT_BM!AK:AK,$F$4,0,1))</f>
        <v>MP</v>
      </c>
      <c r="BA37" s="292" t="b">
        <f t="shared" si="9"/>
        <v>0</v>
      </c>
      <c r="BB37" s="313" t="str">
        <f t="array" ref="BB37">if(isblank(E37),"",xlookup(F37,z_Others!$B$21:$B$42,z_Others!$G$21:$G$42,"No",0,1))</f>
        <v>IN Master Carton Label</v>
      </c>
      <c r="BC37" s="313" t="str">
        <f t="array" ref="BC37">if(isblank(E37),"",xlookup(F37,z_Others!$B$21:$B$42,z_Others!$H$21:$H$42,"No",0,1))</f>
        <v>Standard Pallet Label (BTO)
Standard Pallet Label (BTS)</v>
      </c>
      <c r="BD37" s="314" t="str">
        <f t="array" ref="BD37">if(isblank(E37),"",xlookup(E37,'Import_VN_Label approve'!E:E,'Import_VN_Label approve'!L:L,"N/A",0,1))</f>
        <v>TBD</v>
      </c>
      <c r="BE37" s="314" t="str">
        <f t="array" ref="BE37">if(isblank(E37),"",xlookup(E37,'Import_VN_Label approve'!E:E,'Import_VN_Label approve'!N:N,"N/A",0,1))</f>
        <v>TBD</v>
      </c>
      <c r="BF37" s="315"/>
      <c r="BG37" s="340"/>
      <c r="BH37" s="341"/>
      <c r="BI37" s="339"/>
      <c r="BJ37" s="319" t="str">
        <f t="array" ref="BJ37">if(isblank(E37),"", xlookup(D37,z_Others!$B$5:$B$17,z_Others!$C$5:$C$17,"",0,1))</f>
        <v/>
      </c>
      <c r="BK37" s="320"/>
      <c r="BL37" s="320" t="str">
        <f t="array" ref="BL37">if(isblank(E37),"",xlookup(E37,'FL5_MP POR_LH_報關備案_G950 &amp; GA'!F:F,'FL5_MP POR_LH_報關備案_G950 &amp; GA'!E:E,"No Need",0,1))</f>
        <v>No Need</v>
      </c>
      <c r="BM37" s="321" t="str">
        <f t="array" ref="BM37">if(isblank(E37),"",xlookup($BM$9&amp;E37,'Import_FL5 MPS (06.06.25) - Sor'!E33:E334&amp;'Import_FL5 MPS (06.06.25) - Sor'!F33:F334,'Import_FL5 MPS (06.06.25) - Sor'!ES33:ES334,"No demand",0,1))</f>
        <v>No demand</v>
      </c>
      <c r="BN37" s="321" t="str">
        <f t="array" ref="BN37">if(isblank(E37),"",xlookup($BN$9&amp;E37,'Import_FL5 MPS (06.06.25) - Sor'!E33:E334&amp;'Import_FL5 MPS (06.06.25) - Sor'!F33:F334,'Import_FL5 MPS (06.06.25) - Sor'!ES33:ES334,"No demand",0,1))</f>
        <v>No demand</v>
      </c>
      <c r="BO37" s="321" t="str">
        <f t="array" ref="BO37">if(isblank(E37),"",xlookup($BO$9&amp;E37,'Import_FL5 MPS (06.06.25) - Sor'!E33:E334&amp;'Import_FL5 MPS (06.06.25) - Sor'!F33:F334,'Import_FL5 MPS (06.06.25) - Sor'!ES33:ES334,"No demand",0,1))</f>
        <v>No demand</v>
      </c>
      <c r="BP37" s="322" t="str">
        <f t="array" ref="BP37">if(isblank(E37),"", xlookup(E37,'Import_LH_Label approve'!E:E,'Import_LH_Label approve'!L:L,"",0,1))</f>
        <v/>
      </c>
      <c r="BQ37" s="322" t="str">
        <f t="array" ref="BQ37">if(isblank(E37),"",xlookup(E37,'Import_VN_Label approve'!E:E,'Import_VN_Label approve'!M:M,"N/A",0,1))</f>
        <v/>
      </c>
      <c r="BR37" s="342" t="s">
        <v>586</v>
      </c>
      <c r="BS37" s="323"/>
      <c r="BT37" s="324"/>
      <c r="BU37" s="343"/>
    </row>
    <row r="38" ht="21.75" customHeight="1">
      <c r="A38" s="7"/>
      <c r="B38" s="292">
        <v>27.0</v>
      </c>
      <c r="C38" s="231" t="s">
        <v>282</v>
      </c>
      <c r="D38" s="231" t="s">
        <v>291</v>
      </c>
      <c r="E38" s="334" t="s">
        <v>589</v>
      </c>
      <c r="F38" s="313" t="s">
        <v>583</v>
      </c>
      <c r="G38" s="231" t="s">
        <v>493</v>
      </c>
      <c r="H38" s="292" t="str">
        <f t="array" ref="H38">xlookup(F38,z_Others!$B$21:$B$45,z_Others!$E$21:$E$45,"",0,1)</f>
        <v>Sub6</v>
      </c>
      <c r="I38" s="310" t="s">
        <v>431</v>
      </c>
      <c r="J38" s="231" t="str">
        <f t="array" ref="J38">if(isblank(E38),"",xlookup(I38,z_Others!$M$17:$M$20,z_Others!$O$17:$O$20,"",0,1))</f>
        <v>Lemongrass</v>
      </c>
      <c r="K38" s="292" t="str">
        <f t="array" ref="K38">xlookup(I38,z_Others!$M$17:$M$20,z_Others!$N$17:$N$20,"",0,1)</f>
        <v>YEL</v>
      </c>
      <c r="L38" s="292" t="str">
        <f t="array" ref="L38">xlookup(F38,z_Others!$B$21:$B$45,z_Others!$D$21:$D$45,"",0,1)</f>
        <v>GK2MP</v>
      </c>
      <c r="M38" s="296" t="str">
        <f t="array" ref="M38">xlookup(F38,z_Others!$B$21:$B$45,z_Others!$C$21:$C$45,"",0,1)</f>
        <v>ROW</v>
      </c>
      <c r="N38" s="297">
        <f t="array" ref="N38">if(isblank(E38),"",xlookup($N$9&amp;M38,z_Others!$X$5:$X$17&amp;z_Others!$W$5:$W$17,z_Others!$Z$5:$Z$17,"",0,1))</f>
        <v>35440766</v>
      </c>
      <c r="O38" s="331" t="s">
        <v>494</v>
      </c>
      <c r="P38" s="303" t="s">
        <v>495</v>
      </c>
      <c r="Q38" s="300" t="s">
        <v>413</v>
      </c>
      <c r="R38" s="301" t="s">
        <v>414</v>
      </c>
      <c r="S38" s="302">
        <f t="array" ref="S38">if(isblank(E38),"",xlookup($S$9&amp;M38,z_Others!$X$5:$X$17&amp;z_Others!$W$5:$W$17,z_Others!$Z$5:$Z$17,"",0,1))</f>
        <v>35795514</v>
      </c>
      <c r="T38" s="303" t="str">
        <f t="array" ref="T38">if(isblank(E38),"",xlookup($S$9&amp;M38,z_Others!$X$5:$X$17&amp;z_Others!$W$5:$W$17,z_Others!$AH$5:$AH$17,"",0,1))</f>
        <v>35 795514 040000x</v>
      </c>
      <c r="U38" s="303" t="str">
        <f t="array" ref="U38">if(isblank(E38),"",xlookup($S$9&amp;M38,z_Others!$X$5:$X$17&amp;z_Others!$W$5:$W$17,z_Others!$AI$5:$AI$17,"",0,1))</f>
        <v>35 795514 999999x</v>
      </c>
      <c r="V38" s="303" t="str">
        <f t="shared" si="2"/>
        <v>64:9D:38:32:91:82
B0:D5:FB:C6:60:70</v>
      </c>
      <c r="W38" s="303" t="str">
        <f t="shared" si="3"/>
        <v>64:9D:38:37:25:61
B0:D5:FB:CE:01:8F</v>
      </c>
      <c r="X38" s="304" t="str">
        <f t="shared" si="4"/>
        <v>MP1.0</v>
      </c>
      <c r="Y38" s="292"/>
      <c r="Z38" s="304" t="str">
        <f t="shared" si="32"/>
        <v>Android 16</v>
      </c>
      <c r="AA38" s="304" t="str">
        <f t="shared" si="33"/>
        <v>TBD</v>
      </c>
      <c r="AB38" s="305" t="s">
        <v>590</v>
      </c>
      <c r="AC38" s="305"/>
      <c r="AD38" s="306"/>
      <c r="AE38" s="335"/>
      <c r="AF38" s="308"/>
      <c r="AG38" s="308"/>
      <c r="AH38" s="297" t="str">
        <f t="array" ref="AH38">if(isblank(E38),"",xlookup(F38,z_Others!$B$21:$B$45,z_Others!$F$21:$F$45,"TBD",0,1))</f>
        <v>00</v>
      </c>
      <c r="AI38" s="310" t="str">
        <f t="array" ref="AI38">if(isblank(E38),"", xlookup(E38,'Import_FL5_LH_PVTMP_Configs (Do'!E:E,'Import_FL5_LH_PVTMP_Configs (Do'!O:O,"TBD",0,1))</f>
        <v>TBD</v>
      </c>
      <c r="AJ38" s="311"/>
      <c r="AK38" s="310" t="str">
        <f t="array" ref="AK38">if(isblank(E38),"", xlookup(E38,'Import_FL5_LH_PVTMP_Configs (Do'!E:E,'Import_FL5_LH_PVTMP_Configs (Do'!Q:Q,"TBD",0,1))</f>
        <v>TBD</v>
      </c>
      <c r="AL38" s="310" t="str">
        <f t="array" ref="AL38">if(isblank(E38),"", xlookup(E38,'Import_FL5_LH_PVTMP_Configs (Do'!E:E,'Import_FL5_LH_PVTMP_Configs (Do'!M:M,"TBD",0,1))</f>
        <v>TBD</v>
      </c>
      <c r="AM38" s="310" t="str">
        <f t="array" ref="AM38">if(isblank(E38),"", xlookup(E38,'Import_FL5_LH_PVTMP_Configs (Do'!E:E,'Import_FL5_LH_PVTMP_Configs (Do'!N:N,"TBD",0,1))</f>
        <v>TBD</v>
      </c>
      <c r="AN38" s="310" t="str">
        <f t="array" ref="AN38">if(isblank(E38),"", xlookup(E38,'Import_FL5_LH_PVTMP_Configs (Do'!E:E,'Import_FL5_LH_PVTMP_Configs (Do'!K:K,"TBD",0,1))</f>
        <v>TBD</v>
      </c>
      <c r="AO38" s="292" t="str">
        <f t="array" ref="AO38">if(isblank(E38),"",XLOOKUP(E38,'FL5_G954 Pkg ASSY (Pkg BOM)'!L:L,'FL5_G954 Pkg ASSY (Pkg BOM)'!G:G,"N/A",0,1))</f>
        <v>N/A</v>
      </c>
      <c r="AP38" s="292" t="str">
        <f t="array" ref="AP38">if(isblank(E38),"",xlookup(E38,'FL5_G962 Country kit (Accesorie'!L:L,'FL5_G962 Country kit (Accesorie'!G:G,"N/A",0,1))</f>
        <v>N/A</v>
      </c>
      <c r="AQ38" s="304" t="str">
        <f t="array" ref="AQ38">if(isblank(E38),"", xlookup(E38,'Import_LH_Label approve'!E:E,'Import_LH_Label approve'!M:M,"",0,1))</f>
        <v>TBD</v>
      </c>
      <c r="AR38" s="304" t="str">
        <f t="array" ref="AR38">if(isblank(E38),"",xlookup(E38,'Import_LH_Label approve'!E:E,'Import_LH_Label approve'!N:N,"",0,1))</f>
        <v>TBD</v>
      </c>
      <c r="AS38" s="292" t="s">
        <v>419</v>
      </c>
      <c r="AT38" s="302" t="str">
        <f t="shared" si="6"/>
        <v>Yes</v>
      </c>
      <c r="AU38" s="302" t="str">
        <f t="shared" si="7"/>
        <v>No</v>
      </c>
      <c r="AV38" s="302" t="str">
        <f t="shared" si="8"/>
        <v>Yes</v>
      </c>
      <c r="AW38" s="302"/>
      <c r="AX38" s="336" t="s">
        <v>585</v>
      </c>
      <c r="AY38" s="336" t="s">
        <v>585</v>
      </c>
      <c r="AZ38" s="312" t="str">
        <f t="array" ref="AZ38">if(isblank(E38),"", xlookup(E38,Import_FL5_LH_PVT_BM!D:D,Import_FL5_LH_PVT_BM!AK:AK,$F$4,0,1))</f>
        <v>MP</v>
      </c>
      <c r="BA38" s="292" t="b">
        <f t="shared" si="9"/>
        <v>0</v>
      </c>
      <c r="BB38" s="313" t="str">
        <f t="array" ref="BB38">if(isblank(E38),"",xlookup(F38,z_Others!$B$21:$B$42,z_Others!$G$21:$G$42,"No",0,1))</f>
        <v>IN Master Carton Label</v>
      </c>
      <c r="BC38" s="313" t="str">
        <f t="array" ref="BC38">if(isblank(E38),"",xlookup(F38,z_Others!$B$21:$B$42,z_Others!$H$21:$H$42,"No",0,1))</f>
        <v>Standard Pallet Label (BTO)
Standard Pallet Label (BTS)</v>
      </c>
      <c r="BD38" s="314" t="str">
        <f t="array" ref="BD38">if(isblank(E38),"",xlookup(E38,'Import_VN_Label approve'!E:E,'Import_VN_Label approve'!L:L,"N/A",0,1))</f>
        <v>TBD</v>
      </c>
      <c r="BE38" s="314" t="str">
        <f t="array" ref="BE38">if(isblank(E38),"",xlookup(E38,'Import_VN_Label approve'!E:E,'Import_VN_Label approve'!N:N,"N/A",0,1))</f>
        <v>TBD</v>
      </c>
      <c r="BF38" s="315"/>
      <c r="BG38" s="340"/>
      <c r="BH38" s="341"/>
      <c r="BI38" s="339"/>
      <c r="BJ38" s="319" t="str">
        <f t="array" ref="BJ38">if(isblank(E38),"", xlookup(D38,z_Others!$B$5:$B$17,z_Others!$C$5:$C$17,"",0,1))</f>
        <v/>
      </c>
      <c r="BK38" s="320"/>
      <c r="BL38" s="320" t="str">
        <f t="array" ref="BL38">if(isblank(E38),"",xlookup(E38,'FL5_MP POR_LH_報關備案_G950 &amp; GA'!F:F,'FL5_MP POR_LH_報關備案_G950 &amp; GA'!E:E,"No Need",0,1))</f>
        <v>No Need</v>
      </c>
      <c r="BM38" s="321" t="str">
        <f t="array" ref="BM38">if(isblank(E38),"",xlookup($BM$9&amp;E38,'Import_FL5 MPS (06.06.25) - Sor'!E34:E334&amp;'Import_FL5 MPS (06.06.25) - Sor'!F34:F334,'Import_FL5 MPS (06.06.25) - Sor'!ES34:ES334,"No demand",0,1))</f>
        <v>No demand</v>
      </c>
      <c r="BN38" s="321" t="str">
        <f t="array" ref="BN38">if(isblank(E38),"",xlookup($BN$9&amp;E38,'Import_FL5 MPS (06.06.25) - Sor'!E34:E334&amp;'Import_FL5 MPS (06.06.25) - Sor'!F34:F334,'Import_FL5 MPS (06.06.25) - Sor'!ES34:ES334,"No demand",0,1))</f>
        <v>No demand</v>
      </c>
      <c r="BO38" s="321" t="str">
        <f t="array" ref="BO38">if(isblank(E38),"",xlookup($BO$9&amp;E38,'Import_FL5 MPS (06.06.25) - Sor'!E34:E334&amp;'Import_FL5 MPS (06.06.25) - Sor'!F34:F334,'Import_FL5 MPS (06.06.25) - Sor'!ES34:ES334,"No demand",0,1))</f>
        <v>No demand</v>
      </c>
      <c r="BP38" s="322" t="str">
        <f t="array" ref="BP38">if(isblank(E38),"", xlookup(E38,'Import_LH_Label approve'!E:E,'Import_LH_Label approve'!L:L,"",0,1))</f>
        <v/>
      </c>
      <c r="BQ38" s="322" t="str">
        <f t="array" ref="BQ38">if(isblank(E38),"",xlookup(E38,'Import_VN_Label approve'!E:E,'Import_VN_Label approve'!M:M,"N/A",0,1))</f>
        <v/>
      </c>
      <c r="BR38" s="342" t="s">
        <v>586</v>
      </c>
      <c r="BS38" s="323"/>
      <c r="BT38" s="324"/>
      <c r="BU38" s="343"/>
    </row>
    <row r="39" ht="21.75" customHeight="1">
      <c r="A39" s="7"/>
      <c r="B39" s="292">
        <v>28.0</v>
      </c>
      <c r="C39" s="231" t="s">
        <v>282</v>
      </c>
      <c r="D39" s="231" t="s">
        <v>291</v>
      </c>
      <c r="E39" s="334" t="s">
        <v>591</v>
      </c>
      <c r="F39" s="313" t="s">
        <v>583</v>
      </c>
      <c r="G39" s="231" t="s">
        <v>493</v>
      </c>
      <c r="H39" s="292" t="str">
        <f t="array" ref="H39">xlookup(F39,z_Others!$B$21:$B$45,z_Others!$E$21:$E$45,"",0,1)</f>
        <v>Sub6</v>
      </c>
      <c r="I39" s="310" t="s">
        <v>437</v>
      </c>
      <c r="J39" s="231" t="str">
        <f t="array" ref="J39">if(isblank(E39),"",xlookup(I39,z_Others!$M$17:$M$20,z_Others!$O$17:$O$20,"",0,1))</f>
        <v>Indigo</v>
      </c>
      <c r="K39" s="292" t="str">
        <f t="array" ref="K39">xlookup(I39,z_Others!$M$17:$M$20,z_Others!$N$17:$N$20,"",0,1)</f>
        <v>BUE</v>
      </c>
      <c r="L39" s="292" t="str">
        <f t="array" ref="L39">xlookup(F39,z_Others!$B$21:$B$45,z_Others!$D$21:$D$45,"",0,1)</f>
        <v>GK2MP</v>
      </c>
      <c r="M39" s="296" t="str">
        <f t="array" ref="M39">xlookup(F39,z_Others!$B$21:$B$45,z_Others!$C$21:$C$45,"",0,1)</f>
        <v>ROW</v>
      </c>
      <c r="N39" s="297">
        <f t="array" ref="N39">if(isblank(E39),"",xlookup($N$9&amp;M39,z_Others!$X$5:$X$17&amp;z_Others!$W$5:$W$17,z_Others!$Z$5:$Z$17,"",0,1))</f>
        <v>35440766</v>
      </c>
      <c r="O39" s="331" t="s">
        <v>494</v>
      </c>
      <c r="P39" s="303" t="s">
        <v>495</v>
      </c>
      <c r="Q39" s="300" t="s">
        <v>413</v>
      </c>
      <c r="R39" s="301" t="s">
        <v>414</v>
      </c>
      <c r="S39" s="302">
        <f t="array" ref="S39">if(isblank(E39),"",xlookup($S$9&amp;M39,z_Others!$X$5:$X$17&amp;z_Others!$W$5:$W$17,z_Others!$Z$5:$Z$17,"",0,1))</f>
        <v>35795514</v>
      </c>
      <c r="T39" s="303" t="str">
        <f t="array" ref="T39">if(isblank(E39),"",xlookup($S$9&amp;M39,z_Others!$X$5:$X$17&amp;z_Others!$W$5:$W$17,z_Others!$AH$5:$AH$17,"",0,1))</f>
        <v>35 795514 040000x</v>
      </c>
      <c r="U39" s="303" t="str">
        <f t="array" ref="U39">if(isblank(E39),"",xlookup($S$9&amp;M39,z_Others!$X$5:$X$17&amp;z_Others!$W$5:$W$17,z_Others!$AI$5:$AI$17,"",0,1))</f>
        <v>35 795514 999999x</v>
      </c>
      <c r="V39" s="303" t="str">
        <f t="shared" si="2"/>
        <v>64:9D:38:32:91:82
B0:D5:FB:C6:60:70</v>
      </c>
      <c r="W39" s="303" t="str">
        <f t="shared" si="3"/>
        <v>64:9D:38:37:25:61
B0:D5:FB:CE:01:8F</v>
      </c>
      <c r="X39" s="304" t="str">
        <f t="shared" si="4"/>
        <v>MP1.0</v>
      </c>
      <c r="Y39" s="292"/>
      <c r="Z39" s="304" t="str">
        <f t="shared" si="32"/>
        <v>Android 16</v>
      </c>
      <c r="AA39" s="304" t="str">
        <f t="shared" si="33"/>
        <v>TBD</v>
      </c>
      <c r="AB39" s="305" t="s">
        <v>592</v>
      </c>
      <c r="AC39" s="305"/>
      <c r="AD39" s="306"/>
      <c r="AE39" s="335"/>
      <c r="AF39" s="308"/>
      <c r="AG39" s="308"/>
      <c r="AH39" s="297" t="str">
        <f t="array" ref="AH39">if(isblank(E39),"",xlookup(F39,z_Others!$B$21:$B$45,z_Others!$F$21:$F$45,"TBD",0,1))</f>
        <v>00</v>
      </c>
      <c r="AI39" s="310" t="str">
        <f t="array" ref="AI39">if(isblank(E39),"", xlookup(E39,'Import_FL5_LH_PVTMP_Configs (Do'!E:E,'Import_FL5_LH_PVTMP_Configs (Do'!O:O,"TBD",0,1))</f>
        <v>TBD</v>
      </c>
      <c r="AJ39" s="311"/>
      <c r="AK39" s="310" t="str">
        <f t="array" ref="AK39">if(isblank(E39),"", xlookup(E39,'Import_FL5_LH_PVTMP_Configs (Do'!E:E,'Import_FL5_LH_PVTMP_Configs (Do'!Q:Q,"TBD",0,1))</f>
        <v>TBD</v>
      </c>
      <c r="AL39" s="310" t="str">
        <f t="array" ref="AL39">if(isblank(E39),"", xlookup(E39,'Import_FL5_LH_PVTMP_Configs (Do'!E:E,'Import_FL5_LH_PVTMP_Configs (Do'!M:M,"TBD",0,1))</f>
        <v>TBD</v>
      </c>
      <c r="AM39" s="310" t="str">
        <f t="array" ref="AM39">if(isblank(E39),"", xlookup(E39,'Import_FL5_LH_PVTMP_Configs (Do'!E:E,'Import_FL5_LH_PVTMP_Configs (Do'!N:N,"TBD",0,1))</f>
        <v>TBD</v>
      </c>
      <c r="AN39" s="310" t="str">
        <f t="array" ref="AN39">if(isblank(E39),"", xlookup(E39,'Import_FL5_LH_PVTMP_Configs (Do'!E:E,'Import_FL5_LH_PVTMP_Configs (Do'!K:K,"TBD",0,1))</f>
        <v>TBD</v>
      </c>
      <c r="AO39" s="292" t="str">
        <f t="array" ref="AO39">if(isblank(E39),"",XLOOKUP(E39,'FL5_G954 Pkg ASSY (Pkg BOM)'!L:L,'FL5_G954 Pkg ASSY (Pkg BOM)'!G:G,"N/A",0,1))</f>
        <v>N/A</v>
      </c>
      <c r="AP39" s="292" t="str">
        <f t="array" ref="AP39">if(isblank(E39),"",xlookup(E39,'FL5_G962 Country kit (Accesorie'!L:L,'FL5_G962 Country kit (Accesorie'!G:G,"N/A",0,1))</f>
        <v>N/A</v>
      </c>
      <c r="AQ39" s="304" t="str">
        <f t="array" ref="AQ39">if(isblank(E39),"", xlookup(E39,'Import_LH_Label approve'!E:E,'Import_LH_Label approve'!M:M,"",0,1))</f>
        <v>TBD</v>
      </c>
      <c r="AR39" s="304" t="str">
        <f t="array" ref="AR39">if(isblank(E39),"",xlookup(E39,'Import_LH_Label approve'!E:E,'Import_LH_Label approve'!N:N,"",0,1))</f>
        <v>TBD</v>
      </c>
      <c r="AS39" s="292" t="s">
        <v>419</v>
      </c>
      <c r="AT39" s="302" t="str">
        <f t="shared" si="6"/>
        <v>Yes</v>
      </c>
      <c r="AU39" s="302" t="str">
        <f t="shared" si="7"/>
        <v>No</v>
      </c>
      <c r="AV39" s="302" t="str">
        <f t="shared" si="8"/>
        <v>Yes</v>
      </c>
      <c r="AW39" s="302"/>
      <c r="AX39" s="336" t="s">
        <v>585</v>
      </c>
      <c r="AY39" s="336" t="s">
        <v>585</v>
      </c>
      <c r="AZ39" s="312" t="str">
        <f t="array" ref="AZ39">if(isblank(E39),"", xlookup(E39,Import_FL5_LH_PVT_BM!D:D,Import_FL5_LH_PVT_BM!AK:AK,$F$4,0,1))</f>
        <v>MP</v>
      </c>
      <c r="BA39" s="292" t="b">
        <f t="shared" si="9"/>
        <v>0</v>
      </c>
      <c r="BB39" s="313" t="str">
        <f t="array" ref="BB39">if(isblank(E39),"",xlookup(F39,z_Others!$B$21:$B$42,z_Others!$G$21:$G$42,"No",0,1))</f>
        <v>IN Master Carton Label</v>
      </c>
      <c r="BC39" s="313" t="str">
        <f t="array" ref="BC39">if(isblank(E39),"",xlookup(F39,z_Others!$B$21:$B$42,z_Others!$H$21:$H$42,"No",0,1))</f>
        <v>Standard Pallet Label (BTO)
Standard Pallet Label (BTS)</v>
      </c>
      <c r="BD39" s="314" t="str">
        <f t="array" ref="BD39">if(isblank(E39),"",xlookup(E39,'Import_VN_Label approve'!E:E,'Import_VN_Label approve'!L:L,"N/A",0,1))</f>
        <v>TBD</v>
      </c>
      <c r="BE39" s="314" t="str">
        <f t="array" ref="BE39">if(isblank(E39),"",xlookup(E39,'Import_VN_Label approve'!E:E,'Import_VN_Label approve'!N:N,"N/A",0,1))</f>
        <v>TBD</v>
      </c>
      <c r="BF39" s="315"/>
      <c r="BG39" s="340"/>
      <c r="BH39" s="341"/>
      <c r="BI39" s="339"/>
      <c r="BJ39" s="319" t="str">
        <f t="array" ref="BJ39">if(isblank(E39),"", xlookup(D39,z_Others!$B$5:$B$17,z_Others!$C$5:$C$17,"",0,1))</f>
        <v/>
      </c>
      <c r="BK39" s="320"/>
      <c r="BL39" s="320" t="str">
        <f t="array" ref="BL39">if(isblank(E39),"",xlookup(E39,'FL5_MP POR_LH_報關備案_G950 &amp; GA'!F:F,'FL5_MP POR_LH_報關備案_G950 &amp; GA'!E:E,"No Need",0,1))</f>
        <v>No Need</v>
      </c>
      <c r="BM39" s="321" t="str">
        <f t="array" ref="BM39">if(isblank(E39),"",xlookup($BM$9&amp;E39,'Import_FL5 MPS (06.06.25) - Sor'!E35:E334&amp;'Import_FL5 MPS (06.06.25) - Sor'!F35:F334,'Import_FL5 MPS (06.06.25) - Sor'!ES35:ES334,"No demand",0,1))</f>
        <v>No demand</v>
      </c>
      <c r="BN39" s="321" t="str">
        <f t="array" ref="BN39">if(isblank(E39),"",xlookup($BN$9&amp;E39,'Import_FL5 MPS (06.06.25) - Sor'!E35:E334&amp;'Import_FL5 MPS (06.06.25) - Sor'!F35:F334,'Import_FL5 MPS (06.06.25) - Sor'!ES35:ES334,"No demand",0,1))</f>
        <v>No demand</v>
      </c>
      <c r="BO39" s="321" t="str">
        <f t="array" ref="BO39">if(isblank(E39),"",xlookup($BO$9&amp;E39,'Import_FL5 MPS (06.06.25) - Sor'!E35:E334&amp;'Import_FL5 MPS (06.06.25) - Sor'!F35:F334,'Import_FL5 MPS (06.06.25) - Sor'!ES35:ES334,"No demand",0,1))</f>
        <v>No demand</v>
      </c>
      <c r="BP39" s="322" t="str">
        <f t="array" ref="BP39">if(isblank(E39),"", xlookup(E39,'Import_LH_Label approve'!E:E,'Import_LH_Label approve'!L:L,"",0,1))</f>
        <v/>
      </c>
      <c r="BQ39" s="322" t="str">
        <f t="array" ref="BQ39">if(isblank(E39),"",xlookup(E39,'Import_VN_Label approve'!E:E,'Import_VN_Label approve'!M:M,"N/A",0,1))</f>
        <v/>
      </c>
      <c r="BR39" s="342" t="s">
        <v>586</v>
      </c>
      <c r="BS39" s="323"/>
      <c r="BT39" s="324"/>
      <c r="BU39" s="343"/>
    </row>
    <row r="40">
      <c r="A40" s="176"/>
      <c r="B40" s="292">
        <v>29.0</v>
      </c>
      <c r="C40" s="231" t="s">
        <v>282</v>
      </c>
      <c r="D40" s="231" t="s">
        <v>408</v>
      </c>
      <c r="E40" s="326" t="s">
        <v>593</v>
      </c>
      <c r="F40" s="294" t="s">
        <v>410</v>
      </c>
      <c r="G40" s="294" t="s">
        <v>411</v>
      </c>
      <c r="H40" s="292" t="str">
        <f t="array" ref="H40">xlookup(F40,z_Others!$B$21:$B$45,z_Others!$E$21:$E$45,"",0,1)</f>
        <v>mmWave</v>
      </c>
      <c r="I40" s="295" t="s">
        <v>412</v>
      </c>
      <c r="J40" s="231" t="str">
        <f t="array" ref="J40">if(isblank(E40),"",xlookup(I40,z_Others!$M$17:$M$20,z_Others!$O$17:$O$20,"",0,1))</f>
        <v>Obsidian</v>
      </c>
      <c r="K40" s="292" t="str">
        <f t="array" ref="K40">xlookup(I40,z_Others!$M$17:$M$20,z_Others!$N$17:$N$20,"",0,1)</f>
        <v>BLK</v>
      </c>
      <c r="L40" s="292" t="str">
        <f t="array" ref="L40">xlookup(F40,z_Others!$B$21:$B$45,z_Others!$D$21:$D$45,"",0,1)</f>
        <v>GLBW0</v>
      </c>
      <c r="M40" s="296" t="str">
        <f t="array" ref="M40">xlookup(F40,z_Others!$B$21:$B$45,z_Others!$C$21:$C$45,"",0,1)</f>
        <v>VZW</v>
      </c>
      <c r="N40" s="297">
        <f t="array" ref="N40">if(isblank(E40),"",xlookup($N$9&amp;M40,z_Others!$X$5:$X$17&amp;z_Others!$W$5:$W$17,z_Others!$Z$5:$Z$17,"",0,1))</f>
        <v>35560678</v>
      </c>
      <c r="O40" s="298" t="str">
        <f t="array" ref="O40">if(isblank(E40),"",xlookup($N$9&amp;M40,z_Others!$X$5:$X$17&amp;z_Others!$W$5:$W$17,z_Others!$AH$5:$AH$17,"",0,1))</f>
        <v>35 560678 020000x</v>
      </c>
      <c r="P40" s="299" t="str">
        <f t="array" ref="P40">if(isblank(E40),"",xlookup($N$9&amp;M40,z_Others!$X$5:$X$17&amp;z_Others!$W$5:$W$17,z_Others!$AI$5:$AI$17,"",0,1))</f>
        <v>35 560678 999999x</v>
      </c>
      <c r="Q40" s="300" t="s">
        <v>413</v>
      </c>
      <c r="R40" s="301" t="s">
        <v>414</v>
      </c>
      <c r="S40" s="302">
        <f t="array" ref="S40">if(isblank(E40),"",xlookup($S$9&amp;M40,z_Others!$X$5:$X$17&amp;z_Others!$W$5:$W$17,z_Others!$Z$5:$Z$17,"",0,1))</f>
        <v>35931451</v>
      </c>
      <c r="T40" s="303" t="str">
        <f t="array" ref="T40">if(isblank(E40),"",xlookup($S$9&amp;M40,z_Others!$X$5:$X$17&amp;z_Others!$W$5:$W$17,z_Others!$AH$5:$AH$17,"",0,1))</f>
        <v>35 931451 020000x</v>
      </c>
      <c r="U40" s="303" t="str">
        <f t="array" ref="U40">if(isblank(E40),"",xlookup($S$9&amp;M40,z_Others!$X$5:$X$17&amp;z_Others!$W$5:$W$17,z_Others!$AI$5:$AI$17,"",0,1))</f>
        <v>35 931451 999999x</v>
      </c>
      <c r="V40" s="303" t="str">
        <f t="shared" si="2"/>
        <v>64:9D:38:32:91:82
B0:D5:FB:C6:60:70</v>
      </c>
      <c r="W40" s="303" t="str">
        <f t="shared" si="3"/>
        <v>64:9D:38:37:25:61
B0:D5:FB:CE:01:8F</v>
      </c>
      <c r="X40" s="304" t="str">
        <f t="shared" si="4"/>
        <v>MP1.0</v>
      </c>
      <c r="Y40" s="292"/>
      <c r="Z40" s="304" t="str">
        <f t="shared" si="32"/>
        <v>Android 16</v>
      </c>
      <c r="AA40" s="304" t="str">
        <f t="shared" ref="AA40:AA62" si="34">if(isblank(F40),"",$Z$9)</f>
        <v>Android 16</v>
      </c>
      <c r="AB40" s="305" t="s">
        <v>594</v>
      </c>
      <c r="AC40" s="305" t="s">
        <v>595</v>
      </c>
      <c r="AD40" s="306" t="s">
        <v>417</v>
      </c>
      <c r="AE40" s="307" t="s">
        <v>418</v>
      </c>
      <c r="AF40" s="308" t="s">
        <v>417</v>
      </c>
      <c r="AG40" s="309" t="s">
        <v>418</v>
      </c>
      <c r="AH40" s="297" t="str">
        <f t="array" ref="AH40">if(isblank(E40),"",xlookup(F40,z_Others!$B$21:$B$45,z_Others!$F$21:$F$45,"TBD",0,1))</f>
        <v>US</v>
      </c>
      <c r="AI40" s="310" t="str">
        <f t="array" ref="AI40">if(isblank(E40),"", xlookup(E40,'Import_FL5_LH_PVTMP_Configs (Do'!E:E,'Import_FL5_LH_PVTMP_Configs (Do'!O:O,"TBD",0,1))</f>
        <v>G710-07800-11</v>
      </c>
      <c r="AJ40" s="311"/>
      <c r="AK40" s="310" t="str">
        <f t="array" ref="AK40">if(isblank(E40),"", xlookup(E40,'Import_FL5_LH_PVTMP_Configs (Do'!E:E,'Import_FL5_LH_PVTMP_Configs (Do'!Q:Q,"TBD",0,1))</f>
        <v>G650-14694-05</v>
      </c>
      <c r="AL40" s="310" t="str">
        <f t="array" ref="AL40">if(isblank(E40),"", xlookup(E40,'Import_FL5_LH_PVTMP_Configs (Do'!E:E,'Import_FL5_LH_PVTMP_Configs (Do'!M:M,"TBD",0,1))</f>
        <v>G710-07670-01</v>
      </c>
      <c r="AM40" s="310" t="str">
        <f t="array" ref="AM40">if(isblank(E40),"", xlookup(E40,'Import_FL5_LH_PVTMP_Configs (Do'!E:E,'Import_FL5_LH_PVTMP_Configs (Do'!N:N,"TBD",0,1))</f>
        <v>G730-09533-01</v>
      </c>
      <c r="AN40" s="310" t="str">
        <f t="array" ref="AN40">if(isblank(E40),"", xlookup(E40,'Import_FL5_LH_PVTMP_Configs (Do'!E:E,'Import_FL5_LH_PVTMP_Configs (Do'!K:K,"TBD",0,1))</f>
        <v>G950-15935-04</v>
      </c>
      <c r="AO40" s="292" t="str">
        <f t="array" ref="AO40">if(isblank(E40),"",XLOOKUP(E40,'FL5_G954 Pkg ASSY (Pkg BOM)'!L:L,'FL5_G954 Pkg ASSY (Pkg BOM)'!G:G,"N/A",0,1))</f>
        <v>G954-08540-00</v>
      </c>
      <c r="AP40" s="292" t="str">
        <f t="array" ref="AP40">if(isblank(E40),"",xlookup(E40,'FL5_G962 Country kit (Accesorie'!L:L,'FL5_G962 Country kit (Accesorie'!G:G,"N/A",0,1))</f>
        <v>G962-00511-00</v>
      </c>
      <c r="AQ40" s="304" t="str">
        <f t="array" ref="AQ40">if(isblank(E40),"", xlookup(E40,'Import_LH_Label approve'!E:E,'Import_LH_Label approve'!M:M,"",0,1))</f>
        <v>G990-08380-12-01
G990-08380-12-A</v>
      </c>
      <c r="AR40" s="304" t="str">
        <f t="array" ref="AR40">if(isblank(E40),"",xlookup(E40,'Import_LH_Label approve'!E:E,'Import_LH_Label approve'!N:N,"",0,1))</f>
        <v>G990-08382-11-01
G990-08382-11-A</v>
      </c>
      <c r="AS40" s="292" t="s">
        <v>596</v>
      </c>
      <c r="AT40" s="302" t="str">
        <f t="shared" si="6"/>
        <v>Yes</v>
      </c>
      <c r="AU40" s="302" t="str">
        <f t="shared" si="7"/>
        <v>No</v>
      </c>
      <c r="AV40" s="302" t="str">
        <f t="shared" si="8"/>
        <v>No</v>
      </c>
      <c r="AW40" s="302"/>
      <c r="AX40" s="302" t="s">
        <v>597</v>
      </c>
      <c r="AY40" s="302" t="s">
        <v>598</v>
      </c>
      <c r="AZ40" s="312" t="str">
        <f t="array" ref="AZ40">if(isblank(E40),"", xlookup(E40,Import_FL5_LH_PVT_BM!D:D,Import_FL5_LH_PVT_BM!AK:AK,$F$4,0,1))</f>
        <v>MP</v>
      </c>
      <c r="BA40" s="292" t="str">
        <f t="shared" si="9"/>
        <v>Retail_10ct</v>
      </c>
      <c r="BB40" s="313" t="str">
        <f t="array" ref="BB40">if(isblank(E40),"",xlookup(F40,z_Others!$B$21:$B$42,z_Others!$G$21:$G$42,"No",0,1))</f>
        <v>VZN Master Carton Label</v>
      </c>
      <c r="BC40" s="313" t="str">
        <f t="array" ref="BC40">if(isblank(E40),"",xlookup(F40,z_Others!$B$21:$B$42,z_Others!$H$21:$H$42,"No",0,1))</f>
        <v>VZN Pallet Label (BTS)</v>
      </c>
      <c r="BD40" s="314" t="str">
        <f t="array" ref="BD40">if(isblank(E40),"",xlookup(E40,'Import_VN_Label approve'!E:E,'Import_VN_Label approve'!L:L,"N/A",0,1))</f>
        <v>G990-08482-12-01
G990-08482-12-A</v>
      </c>
      <c r="BE40" s="314" t="str">
        <f t="array" ref="BE40">if(isblank(E40),"",xlookup(E40,'Import_VN_Label approve'!E:E,'Import_VN_Label approve'!N:N,"N/A",0,1))</f>
        <v>G990-08382-11-01
G990-08382-11-A</v>
      </c>
      <c r="BF40" s="315"/>
      <c r="BG40" s="316" t="s">
        <v>422</v>
      </c>
      <c r="BH40" s="317" t="s">
        <v>423</v>
      </c>
      <c r="BI40" s="318">
        <v>45773.0</v>
      </c>
      <c r="BJ40" s="319" t="str">
        <f t="array" ref="BJ40">if(isblank(E40),"", xlookup(D40,z_Others!$B$5:$B$17,z_Others!$C$5:$C$17,"",0,1))</f>
        <v>智能手機</v>
      </c>
      <c r="BK40" s="320">
        <v>45782.0</v>
      </c>
      <c r="BL40" s="320" t="str">
        <f t="array" ref="BL40">if(isblank(E40),"",xlookup(E40,'FL5_MP POR_LH_報關備案_G950 &amp; GA'!F:F,'FL5_MP POR_LH_報關備案_G950 &amp; GA'!E:E,"No Need",0,1))</f>
        <v>Close</v>
      </c>
      <c r="BM40" s="321" t="str">
        <f t="array" ref="BM40">if(isblank(E40),"",xlookup($BM$9&amp;E40,'Import_FL5 MPS (06.06.25) - Sor'!E36:E334&amp;'Import_FL5 MPS (06.06.25) - Sor'!F36:F334,'Import_FL5 MPS (06.06.25) - Sor'!ES36:ES334,"No demand",0,1))</f>
        <v>No demand</v>
      </c>
      <c r="BN40" s="321" t="str">
        <f t="array" ref="BN40">if(isblank(E40),"",xlookup($BN$9&amp;E40,'Import_FL5 MPS (06.06.25) - Sor'!E36:E334&amp;'Import_FL5 MPS (06.06.25) - Sor'!F36:F334,'Import_FL5 MPS (06.06.25) - Sor'!ES36:ES334,"No demand",0,1))</f>
        <v>No demand</v>
      </c>
      <c r="BO40" s="321" t="str">
        <f t="array" ref="BO40">if(isblank(E40),"",xlookup($BO$9&amp;E40,'Import_FL5 MPS (06.06.25) - Sor'!E36:E334&amp;'Import_FL5 MPS (06.06.25) - Sor'!F36:F334,'Import_FL5 MPS (06.06.25) - Sor'!ES36:ES334,"No demand",0,1))</f>
        <v>No demand</v>
      </c>
      <c r="BP40" s="322" t="str">
        <f t="array" ref="BP40">if(isblank(E40),"", xlookup(E40,'Import_LH_Label approve'!E:E,'Import_LH_Label approve'!L:L,"",0,1))</f>
        <v/>
      </c>
      <c r="BQ40" s="322" t="str">
        <f t="array" ref="BQ40">if(isblank(E40),"",xlookup(E40,'Import_VN_Label approve'!E:E,'Import_VN_Label approve'!M:M,"N/A",0,1))</f>
        <v/>
      </c>
      <c r="BR40" s="325"/>
      <c r="BS40" s="323"/>
      <c r="BT40" s="324"/>
      <c r="BU40" s="117"/>
    </row>
    <row r="41">
      <c r="A41" s="176"/>
      <c r="B41" s="292">
        <v>30.0</v>
      </c>
      <c r="C41" s="231" t="s">
        <v>282</v>
      </c>
      <c r="D41" s="231" t="s">
        <v>408</v>
      </c>
      <c r="E41" s="326" t="s">
        <v>599</v>
      </c>
      <c r="F41" s="294" t="s">
        <v>410</v>
      </c>
      <c r="G41" s="294" t="s">
        <v>411</v>
      </c>
      <c r="H41" s="292" t="str">
        <f t="array" ref="H41">xlookup(F41,z_Others!$B$21:$B$45,z_Others!$E$21:$E$45,"",0,1)</f>
        <v>mmWave</v>
      </c>
      <c r="I41" s="295" t="s">
        <v>437</v>
      </c>
      <c r="J41" s="231" t="str">
        <f t="array" ref="J41">if(isblank(E41),"",xlookup(I41,z_Others!$M$17:$M$20,z_Others!$O$17:$O$20,"",0,1))</f>
        <v>Indigo</v>
      </c>
      <c r="K41" s="292" t="str">
        <f t="array" ref="K41">xlookup(I41,z_Others!$M$17:$M$20,z_Others!$N$17:$N$20,"",0,1)</f>
        <v>BUE</v>
      </c>
      <c r="L41" s="292" t="str">
        <f t="array" ref="L41">xlookup(F41,z_Others!$B$21:$B$45,z_Others!$D$21:$D$45,"",0,1)</f>
        <v>GLBW0</v>
      </c>
      <c r="M41" s="296" t="str">
        <f t="array" ref="M41">xlookup(F41,z_Others!$B$21:$B$45,z_Others!$C$21:$C$45,"",0,1)</f>
        <v>VZW</v>
      </c>
      <c r="N41" s="297">
        <f t="array" ref="N41">if(isblank(E41),"",xlookup($N$9&amp;M41,z_Others!$X$5:$X$17&amp;z_Others!$W$5:$W$17,z_Others!$Z$5:$Z$17,"",0,1))</f>
        <v>35560678</v>
      </c>
      <c r="O41" s="298" t="str">
        <f t="array" ref="O41">if(isblank(E41),"",xlookup($N$9&amp;M41,z_Others!$X$5:$X$17&amp;z_Others!$W$5:$W$17,z_Others!$AH$5:$AH$17,"",0,1))</f>
        <v>35 560678 020000x</v>
      </c>
      <c r="P41" s="299" t="str">
        <f t="array" ref="P41">if(isblank(E41),"",xlookup($N$9&amp;M41,z_Others!$X$5:$X$17&amp;z_Others!$W$5:$W$17,z_Others!$AI$5:$AI$17,"",0,1))</f>
        <v>35 560678 999999x</v>
      </c>
      <c r="Q41" s="300" t="s">
        <v>413</v>
      </c>
      <c r="R41" s="301" t="s">
        <v>414</v>
      </c>
      <c r="S41" s="302">
        <f t="array" ref="S41">if(isblank(E41),"",xlookup($S$9&amp;M41,z_Others!$X$5:$X$17&amp;z_Others!$W$5:$W$17,z_Others!$Z$5:$Z$17,"",0,1))</f>
        <v>35931451</v>
      </c>
      <c r="T41" s="303" t="str">
        <f t="array" ref="T41">if(isblank(E41),"",xlookup($S$9&amp;M41,z_Others!$X$5:$X$17&amp;z_Others!$W$5:$W$17,z_Others!$AH$5:$AH$17,"",0,1))</f>
        <v>35 931451 020000x</v>
      </c>
      <c r="U41" s="303" t="str">
        <f t="array" ref="U41">if(isblank(E41),"",xlookup($S$9&amp;M41,z_Others!$X$5:$X$17&amp;z_Others!$W$5:$W$17,z_Others!$AI$5:$AI$17,"",0,1))</f>
        <v>35 931451 999999x</v>
      </c>
      <c r="V41" s="303" t="str">
        <f t="shared" si="2"/>
        <v>64:9D:38:32:91:82
B0:D5:FB:C6:60:70</v>
      </c>
      <c r="W41" s="303" t="str">
        <f t="shared" si="3"/>
        <v>64:9D:38:37:25:61
B0:D5:FB:CE:01:8F</v>
      </c>
      <c r="X41" s="304" t="str">
        <f t="shared" si="4"/>
        <v>MP1.0</v>
      </c>
      <c r="Y41" s="292"/>
      <c r="Z41" s="304" t="str">
        <f t="shared" si="32"/>
        <v>Android 16</v>
      </c>
      <c r="AA41" s="304" t="str">
        <f t="shared" si="34"/>
        <v>Android 16</v>
      </c>
      <c r="AB41" s="305" t="s">
        <v>600</v>
      </c>
      <c r="AC41" s="305" t="s">
        <v>601</v>
      </c>
      <c r="AD41" s="306" t="s">
        <v>417</v>
      </c>
      <c r="AE41" s="307" t="s">
        <v>418</v>
      </c>
      <c r="AF41" s="308" t="s">
        <v>417</v>
      </c>
      <c r="AG41" s="309" t="s">
        <v>418</v>
      </c>
      <c r="AH41" s="297" t="str">
        <f t="array" ref="AH41">if(isblank(E41),"",xlookup(F41,z_Others!$B$21:$B$45,z_Others!$F$21:$F$45,"TBD",0,1))</f>
        <v>US</v>
      </c>
      <c r="AI41" s="310" t="str">
        <f t="array" ref="AI41">if(isblank(E41),"", xlookup(E41,'Import_FL5_LH_PVTMP_Configs (Do'!E:E,'Import_FL5_LH_PVTMP_Configs (Do'!O:O,"TBD",0,1))</f>
        <v>G710-07800-11</v>
      </c>
      <c r="AJ41" s="311"/>
      <c r="AK41" s="310" t="str">
        <f t="array" ref="AK41">if(isblank(E41),"", xlookup(E41,'Import_FL5_LH_PVTMP_Configs (Do'!E:E,'Import_FL5_LH_PVTMP_Configs (Do'!Q:Q,"TBD",0,1))</f>
        <v>G650-14694-05</v>
      </c>
      <c r="AL41" s="310" t="str">
        <f t="array" ref="AL41">if(isblank(E41),"", xlookup(E41,'Import_FL5_LH_PVTMP_Configs (Do'!E:E,'Import_FL5_LH_PVTMP_Configs (Do'!M:M,"TBD",0,1))</f>
        <v>G710-07670-01</v>
      </c>
      <c r="AM41" s="310" t="str">
        <f t="array" ref="AM41">if(isblank(E41),"", xlookup(E41,'Import_FL5_LH_PVTMP_Configs (Do'!E:E,'Import_FL5_LH_PVTMP_Configs (Do'!N:N,"TBD",0,1))</f>
        <v>G730-09533-04</v>
      </c>
      <c r="AN41" s="310" t="str">
        <f t="array" ref="AN41">if(isblank(E41),"", xlookup(E41,'Import_FL5_LH_PVTMP_Configs (Do'!E:E,'Import_FL5_LH_PVTMP_Configs (Do'!K:K,"TBD",0,1))</f>
        <v>G950-15935-07</v>
      </c>
      <c r="AO41" s="292" t="str">
        <f t="array" ref="AO41">if(isblank(E41),"",XLOOKUP(E41,'FL5_G954 Pkg ASSY (Pkg BOM)'!L:L,'FL5_G954 Pkg ASSY (Pkg BOM)'!G:G,"N/A",0,1))</f>
        <v>G954-08540-00</v>
      </c>
      <c r="AP41" s="292" t="str">
        <f t="array" ref="AP41">if(isblank(E41),"",xlookup(E41,'FL5_G962 Country kit (Accesorie'!L:L,'FL5_G962 Country kit (Accesorie'!G:G,"N/A",0,1))</f>
        <v>G962-00511-00</v>
      </c>
      <c r="AQ41" s="304" t="str">
        <f t="array" ref="AQ41">if(isblank(E41),"", xlookup(E41,'Import_LH_Label approve'!E:E,'Import_LH_Label approve'!M:M,"",0,1))</f>
        <v>G990-08380-42-01
G990-08380-42-A</v>
      </c>
      <c r="AR41" s="304" t="str">
        <f t="array" ref="AR41">if(isblank(E41),"",xlookup(E41,'Import_LH_Label approve'!E:E,'Import_LH_Label approve'!N:N,"",0,1))</f>
        <v>G990-08382-11-01
G990-08382-11-A</v>
      </c>
      <c r="AS41" s="292" t="s">
        <v>596</v>
      </c>
      <c r="AT41" s="302" t="str">
        <f t="shared" si="6"/>
        <v>Yes</v>
      </c>
      <c r="AU41" s="302" t="str">
        <f t="shared" si="7"/>
        <v>No</v>
      </c>
      <c r="AV41" s="302" t="str">
        <f t="shared" si="8"/>
        <v>No</v>
      </c>
      <c r="AW41" s="302"/>
      <c r="AX41" s="302" t="s">
        <v>602</v>
      </c>
      <c r="AY41" s="302" t="s">
        <v>603</v>
      </c>
      <c r="AZ41" s="312" t="str">
        <f t="array" ref="AZ41">if(isblank(E41),"", xlookup(E41,Import_FL5_LH_PVT_BM!D:D,Import_FL5_LH_PVT_BM!AK:AK,$F$4,0,1))</f>
        <v>MP</v>
      </c>
      <c r="BA41" s="292" t="str">
        <f t="shared" si="9"/>
        <v>Retail_10ct</v>
      </c>
      <c r="BB41" s="313" t="str">
        <f t="array" ref="BB41">if(isblank(E41),"",xlookup(F41,z_Others!$B$21:$B$42,z_Others!$G$21:$G$42,"No",0,1))</f>
        <v>VZN Master Carton Label</v>
      </c>
      <c r="BC41" s="313" t="str">
        <f t="array" ref="BC41">if(isblank(E41),"",xlookup(F41,z_Others!$B$21:$B$42,z_Others!$H$21:$H$42,"No",0,1))</f>
        <v>VZN Pallet Label (BTS)</v>
      </c>
      <c r="BD41" s="314" t="str">
        <f t="array" ref="BD41">if(isblank(E41),"",xlookup(E41,'Import_VN_Label approve'!E:E,'Import_VN_Label approve'!L:L,"N/A",0,1))</f>
        <v>G990-08482-42-01
G990-08482-42-A</v>
      </c>
      <c r="BE41" s="314" t="str">
        <f t="array" ref="BE41">if(isblank(E41),"",xlookup(E41,'Import_VN_Label approve'!E:E,'Import_VN_Label approve'!N:N,"N/A",0,1))</f>
        <v>G990-08382-11-01
G990-08382-11-A</v>
      </c>
      <c r="BF41" s="315"/>
      <c r="BG41" s="316" t="s">
        <v>422</v>
      </c>
      <c r="BH41" s="317" t="s">
        <v>423</v>
      </c>
      <c r="BI41" s="318">
        <v>45773.0</v>
      </c>
      <c r="BJ41" s="319" t="str">
        <f t="array" ref="BJ41">if(isblank(E41),"", xlookup(D41,z_Others!$B$5:$B$17,z_Others!$C$5:$C$17,"",0,1))</f>
        <v>智能手機</v>
      </c>
      <c r="BK41" s="320">
        <v>45782.0</v>
      </c>
      <c r="BL41" s="320" t="str">
        <f t="array" ref="BL41">if(isblank(E41),"",xlookup(E41,'FL5_MP POR_LH_報關備案_G950 &amp; GA'!F:F,'FL5_MP POR_LH_報關備案_G950 &amp; GA'!E:E,"No Need",0,1))</f>
        <v>Close</v>
      </c>
      <c r="BM41" s="321" t="str">
        <f t="array" ref="BM41">if(isblank(E41),"",xlookup($BM$9&amp;E41,'Import_FL5 MPS (06.06.25) - Sor'!E37:E334&amp;'Import_FL5 MPS (06.06.25) - Sor'!F37:F334,'Import_FL5 MPS (06.06.25) - Sor'!ES37:ES334,"No demand",0,1))</f>
        <v>No demand</v>
      </c>
      <c r="BN41" s="321" t="str">
        <f t="array" ref="BN41">if(isblank(E41),"",xlookup($BN$9&amp;E41,'Import_FL5 MPS (06.06.25) - Sor'!E37:E334&amp;'Import_FL5 MPS (06.06.25) - Sor'!F37:F334,'Import_FL5 MPS (06.06.25) - Sor'!ES37:ES334,"No demand",0,1))</f>
        <v>No demand</v>
      </c>
      <c r="BO41" s="321" t="str">
        <f t="array" ref="BO41">if(isblank(E41),"",xlookup($BO$9&amp;E41,'Import_FL5 MPS (06.06.25) - Sor'!E37:E334&amp;'Import_FL5 MPS (06.06.25) - Sor'!F37:F334,'Import_FL5 MPS (06.06.25) - Sor'!ES37:ES334,"No demand",0,1))</f>
        <v>No demand</v>
      </c>
      <c r="BP41" s="322" t="str">
        <f t="array" ref="BP41">if(isblank(E41),"", xlookup(E41,'Import_LH_Label approve'!E:E,'Import_LH_Label approve'!L:L,"",0,1))</f>
        <v/>
      </c>
      <c r="BQ41" s="322" t="str">
        <f t="array" ref="BQ41">if(isblank(E41),"",xlookup(E41,'Import_VN_Label approve'!E:E,'Import_VN_Label approve'!M:M,"N/A",0,1))</f>
        <v/>
      </c>
      <c r="BR41" s="325"/>
      <c r="BS41" s="323"/>
      <c r="BT41" s="324"/>
      <c r="BU41" s="117"/>
    </row>
    <row r="42">
      <c r="A42" s="176"/>
      <c r="B42" s="292">
        <v>31.0</v>
      </c>
      <c r="C42" s="231" t="s">
        <v>282</v>
      </c>
      <c r="D42" s="231" t="s">
        <v>408</v>
      </c>
      <c r="E42" s="293" t="s">
        <v>604</v>
      </c>
      <c r="F42" s="323" t="s">
        <v>458</v>
      </c>
      <c r="G42" s="294" t="s">
        <v>459</v>
      </c>
      <c r="H42" s="292" t="str">
        <f t="array" ref="H42">xlookup(F42,z_Others!$B$21:$B$45,z_Others!$E$21:$E$45,"",0,1)</f>
        <v>mmWave</v>
      </c>
      <c r="I42" s="295" t="s">
        <v>412</v>
      </c>
      <c r="J42" s="231" t="str">
        <f t="array" ref="J42">if(isblank(E42),"",xlookup(I42,z_Others!$M$17:$M$20,z_Others!$O$17:$O$20,"",0,1))</f>
        <v>Obsidian</v>
      </c>
      <c r="K42" s="292" t="str">
        <f t="array" ref="K42">xlookup(I42,z_Others!$M$17:$M$20,z_Others!$N$17:$N$20,"",0,1)</f>
        <v>BLK</v>
      </c>
      <c r="L42" s="292" t="str">
        <f t="array" ref="L42">xlookup(F42,z_Others!$B$21:$B$45,z_Others!$D$21:$D$45,"",0,1)</f>
        <v>GLBW0</v>
      </c>
      <c r="M42" s="296" t="str">
        <f t="array" ref="M42">xlookup(F42,z_Others!$B$21:$B$45,z_Others!$C$21:$C$45,"",0,1)</f>
        <v>TMO</v>
      </c>
      <c r="N42" s="297">
        <f t="array" ref="N42">if(isblank(E42),"",xlookup($N$9&amp;M42,z_Others!$X$5:$X$17&amp;z_Others!$W$5:$W$17,z_Others!$Z$5:$Z$17,"",0,1))</f>
        <v>35163422</v>
      </c>
      <c r="O42" s="298" t="str">
        <f t="array" ref="O42">if(isblank(E42),"",xlookup($N$9&amp;M42,z_Others!$X$5:$X$17&amp;z_Others!$W$5:$W$17,z_Others!$AH$5:$AH$17,"",0,1))</f>
        <v>35 163422 020000x</v>
      </c>
      <c r="P42" s="299" t="str">
        <f t="array" ref="P42">if(isblank(E42),"",xlookup($N$9&amp;M42,z_Others!$X$5:$X$17&amp;z_Others!$W$5:$W$17,z_Others!$AI$5:$AI$17,"",0,1))</f>
        <v>35 163422 999999x</v>
      </c>
      <c r="Q42" s="300" t="s">
        <v>413</v>
      </c>
      <c r="R42" s="301" t="s">
        <v>414</v>
      </c>
      <c r="S42" s="302">
        <f t="array" ref="S42">if(isblank(E42),"",xlookup($S$9&amp;M42,z_Others!$X$5:$X$17&amp;z_Others!$W$5:$W$17,z_Others!$Z$5:$Z$17,"",0,1))</f>
        <v>35676321</v>
      </c>
      <c r="T42" s="303" t="str">
        <f t="array" ref="T42">if(isblank(E42),"",xlookup($S$9&amp;M42,z_Others!$X$5:$X$17&amp;z_Others!$W$5:$W$17,z_Others!$AH$5:$AH$17,"",0,1))</f>
        <v>35 676321 020000x</v>
      </c>
      <c r="U42" s="303" t="str">
        <f t="array" ref="U42">if(isblank(E42),"",xlookup($S$9&amp;M42,z_Others!$X$5:$X$17&amp;z_Others!$W$5:$W$17,z_Others!$AI$5:$AI$17,"",0,1))</f>
        <v>35 676321 999999x</v>
      </c>
      <c r="V42" s="303" t="str">
        <f t="shared" si="2"/>
        <v>64:9D:38:32:91:82
B0:D5:FB:C6:60:70</v>
      </c>
      <c r="W42" s="303" t="str">
        <f t="shared" si="3"/>
        <v>64:9D:38:37:25:61
B0:D5:FB:CE:01:8F</v>
      </c>
      <c r="X42" s="304" t="str">
        <f t="shared" si="4"/>
        <v>MP1.0</v>
      </c>
      <c r="Y42" s="292"/>
      <c r="Z42" s="304" t="str">
        <f t="shared" si="32"/>
        <v>Android 16</v>
      </c>
      <c r="AA42" s="304" t="str">
        <f t="shared" si="34"/>
        <v>Android 16</v>
      </c>
      <c r="AB42" s="305" t="s">
        <v>605</v>
      </c>
      <c r="AC42" s="305" t="s">
        <v>606</v>
      </c>
      <c r="AD42" s="314" t="s">
        <v>447</v>
      </c>
      <c r="AE42" s="307" t="s">
        <v>418</v>
      </c>
      <c r="AF42" s="308" t="s">
        <v>447</v>
      </c>
      <c r="AG42" s="309" t="s">
        <v>418</v>
      </c>
      <c r="AH42" s="297" t="str">
        <f t="array" ref="AH42">if(isblank(E42),"",xlookup(F42,z_Others!$B$21:$B$45,z_Others!$F$21:$F$45,"TBD",0,1))</f>
        <v>US</v>
      </c>
      <c r="AI42" s="310" t="str">
        <f t="array" ref="AI42">if(isblank(E42),"", xlookup(E42,'Import_FL5_LH_PVTMP_Configs (Do'!E:E,'Import_FL5_LH_PVTMP_Configs (Do'!O:O,"TBD",0,1))</f>
        <v>G710-07800-11</v>
      </c>
      <c r="AJ42" s="311"/>
      <c r="AK42" s="310" t="str">
        <f t="array" ref="AK42">if(isblank(E42),"", xlookup(E42,'Import_FL5_LH_PVTMP_Configs (Do'!E:E,'Import_FL5_LH_PVTMP_Configs (Do'!Q:Q,"TBD",0,1))</f>
        <v>G650-14694-05</v>
      </c>
      <c r="AL42" s="310" t="str">
        <f t="array" ref="AL42">if(isblank(E42),"", xlookup(E42,'Import_FL5_LH_PVTMP_Configs (Do'!E:E,'Import_FL5_LH_PVTMP_Configs (Do'!M:M,"TBD",0,1))</f>
        <v>G710-07670-01</v>
      </c>
      <c r="AM42" s="310" t="str">
        <f t="array" ref="AM42">if(isblank(E42),"", xlookup(E42,'Import_FL5_LH_PVTMP_Configs (Do'!E:E,'Import_FL5_LH_PVTMP_Configs (Do'!N:N,"TBD",0,1))</f>
        <v>G730-09533-01</v>
      </c>
      <c r="AN42" s="310" t="str">
        <f t="array" ref="AN42">if(isblank(E42),"", xlookup(E42,'Import_FL5_LH_PVTMP_Configs (Do'!E:E,'Import_FL5_LH_PVTMP_Configs (Do'!K:K,"TBD",0,1))</f>
        <v>G950-15935-04</v>
      </c>
      <c r="AO42" s="292" t="str">
        <f t="array" ref="AO42">if(isblank(E42),"",XLOOKUP(E42,'FL5_G954 Pkg ASSY (Pkg BOM)'!L:L,'FL5_G954 Pkg ASSY (Pkg BOM)'!G:G,"N/A",0,1))</f>
        <v>G954-08540-00</v>
      </c>
      <c r="AP42" s="292" t="str">
        <f t="array" ref="AP42">if(isblank(E42),"",xlookup(E42,'FL5_G962 Country kit (Accesorie'!L:L,'FL5_G962 Country kit (Accesorie'!G:G,"N/A",0,1))</f>
        <v>G962-00511-00</v>
      </c>
      <c r="AQ42" s="304" t="str">
        <f t="array" ref="AQ42">if(isblank(E42),"", xlookup(E42,'Import_LH_Label approve'!E:E,'Import_LH_Label approve'!M:M,"",0,1))</f>
        <v>G990-08380-12-01
G990-08380-12-A</v>
      </c>
      <c r="AR42" s="304" t="str">
        <f t="array" ref="AR42">if(isblank(E42),"",xlookup(E42,'Import_LH_Label approve'!E:E,'Import_LH_Label approve'!N:N,"",0,1))</f>
        <v>G990-08492-12-02
G990-08492-12-A</v>
      </c>
      <c r="AS42" s="292" t="s">
        <v>596</v>
      </c>
      <c r="AT42" s="302" t="str">
        <f t="shared" si="6"/>
        <v>Yes</v>
      </c>
      <c r="AU42" s="302" t="str">
        <f t="shared" si="7"/>
        <v>No</v>
      </c>
      <c r="AV42" s="302" t="str">
        <f t="shared" si="8"/>
        <v>No</v>
      </c>
      <c r="AW42" s="302" t="s">
        <v>607</v>
      </c>
      <c r="AX42" s="302" t="s">
        <v>607</v>
      </c>
      <c r="AY42" s="302" t="s">
        <v>608</v>
      </c>
      <c r="AZ42" s="312" t="str">
        <f t="array" ref="AZ42">if(isblank(E42),"", xlookup(E42,Import_FL5_LH_PVT_BM!D:D,Import_FL5_LH_PVT_BM!AK:AK,$F$4,0,1))</f>
        <v>MP</v>
      </c>
      <c r="BA42" s="292" t="str">
        <f t="shared" si="9"/>
        <v>Retail_10ct</v>
      </c>
      <c r="BB42" s="313" t="str">
        <f t="array" ref="BB42">if(isblank(E42),"",xlookup(F42,z_Others!$B$21:$B$42,z_Others!$G$21:$G$42,"No",0,1))</f>
        <v>TMO Master Carton Label</v>
      </c>
      <c r="BC42" s="313" t="str">
        <f t="array" ref="BC42">if(isblank(E42),"",xlookup(F42,z_Others!$B$21:$B$42,z_Others!$H$21:$H$42,"No",0,1))</f>
        <v>T-Mobile Pallet Label (BTO)
T-Mobile Pallet Label (BTS)</v>
      </c>
      <c r="BD42" s="314" t="str">
        <f t="array" ref="BD42">if(isblank(E42),"",xlookup(E42,'Import_VN_Label approve'!E:E,'Import_VN_Label approve'!L:L,"N/A",0,1))</f>
        <v>G990-08482-12-01
G990-08482-12-A</v>
      </c>
      <c r="BE42" s="314" t="str">
        <f t="array" ref="BE42">if(isblank(E42),"",xlookup(E42,'Import_VN_Label approve'!E:E,'Import_VN_Label approve'!N:N,"N/A",0,1))</f>
        <v>G990-08492-12-02
G990-08492-12-A</v>
      </c>
      <c r="BF42" s="315"/>
      <c r="BG42" s="316" t="s">
        <v>422</v>
      </c>
      <c r="BH42" s="317" t="s">
        <v>423</v>
      </c>
      <c r="BI42" s="318">
        <v>45773.0</v>
      </c>
      <c r="BJ42" s="319" t="str">
        <f t="array" ref="BJ42">if(isblank(E42),"", xlookup(D42,z_Others!$B$5:$B$17,z_Others!$C$5:$C$17,"",0,1))</f>
        <v>智能手機</v>
      </c>
      <c r="BK42" s="320">
        <v>45782.0</v>
      </c>
      <c r="BL42" s="320" t="str">
        <f t="array" ref="BL42">if(isblank(E42),"",xlookup(E42,'FL5_MP POR_LH_報關備案_G950 &amp; GA'!F:F,'FL5_MP POR_LH_報關備案_G950 &amp; GA'!E:E,"No Need",0,1))</f>
        <v>Close</v>
      </c>
      <c r="BM42" s="321" t="str">
        <f t="array" ref="BM42">if(isblank(E42),"",xlookup($BM$9&amp;E42,'Import_FL5 MPS (06.06.25) - Sor'!E38:E334&amp;'Import_FL5 MPS (06.06.25) - Sor'!F38:F334,'Import_FL5 MPS (06.06.25) - Sor'!ES38:ES334,"No demand",0,1))</f>
        <v>No demand</v>
      </c>
      <c r="BN42" s="321" t="str">
        <f t="array" ref="BN42">if(isblank(E42),"",xlookup($BN$9&amp;E42,'Import_FL5 MPS (06.06.25) - Sor'!E38:E334&amp;'Import_FL5 MPS (06.06.25) - Sor'!F38:F334,'Import_FL5 MPS (06.06.25) - Sor'!ES38:ES334,"No demand",0,1))</f>
        <v>No demand</v>
      </c>
      <c r="BO42" s="321" t="str">
        <f t="array" ref="BO42">if(isblank(E42),"",xlookup($BO$9&amp;E42,'Import_FL5 MPS (06.06.25) - Sor'!E38:E334&amp;'Import_FL5 MPS (06.06.25) - Sor'!F38:F334,'Import_FL5 MPS (06.06.25) - Sor'!ES38:ES334,"No demand",0,1))</f>
        <v>No demand</v>
      </c>
      <c r="BP42" s="322" t="str">
        <f t="array" ref="BP42">if(isblank(E42),"", xlookup(E42,'Import_LH_Label approve'!E:E,'Import_LH_Label approve'!L:L,"",0,1))</f>
        <v/>
      </c>
      <c r="BQ42" s="322" t="str">
        <f t="array" ref="BQ42">if(isblank(E42),"",xlookup(E42,'Import_VN_Label approve'!E:E,'Import_VN_Label approve'!M:M,"N/A",0,1))</f>
        <v/>
      </c>
      <c r="BR42" s="325"/>
      <c r="BS42" s="323"/>
      <c r="BT42" s="324"/>
      <c r="BU42" s="117"/>
    </row>
    <row r="43">
      <c r="A43" s="176"/>
      <c r="B43" s="292">
        <v>32.0</v>
      </c>
      <c r="C43" s="231" t="s">
        <v>282</v>
      </c>
      <c r="D43" s="231" t="s">
        <v>408</v>
      </c>
      <c r="E43" s="293" t="s">
        <v>609</v>
      </c>
      <c r="F43" s="323" t="s">
        <v>470</v>
      </c>
      <c r="G43" s="294" t="s">
        <v>471</v>
      </c>
      <c r="H43" s="292" t="str">
        <f t="array" ref="H43">xlookup(F43,z_Others!$B$21:$B$45,z_Others!$E$21:$E$45,"",0,1)</f>
        <v>mmWave</v>
      </c>
      <c r="I43" s="295" t="s">
        <v>412</v>
      </c>
      <c r="J43" s="231" t="str">
        <f t="array" ref="J43">if(isblank(E43),"",xlookup(I43,z_Others!$M$17:$M$20,z_Others!$O$17:$O$20,"",0,1))</f>
        <v>Obsidian</v>
      </c>
      <c r="K43" s="292" t="str">
        <f t="array" ref="K43">xlookup(I43,z_Others!$M$17:$M$20,z_Others!$N$17:$N$20,"",0,1)</f>
        <v>BLK</v>
      </c>
      <c r="L43" s="292" t="str">
        <f t="array" ref="L43">xlookup(F43,z_Others!$B$21:$B$45,z_Others!$D$21:$D$45,"",0,1)</f>
        <v>GLBW0</v>
      </c>
      <c r="M43" s="296" t="str">
        <f t="array" ref="M43">xlookup(F43,z_Others!$B$21:$B$45,z_Others!$C$21:$C$45,"",0,1)</f>
        <v>NA</v>
      </c>
      <c r="N43" s="297">
        <f t="array" ref="N43">if(isblank(E43),"",xlookup($N$9&amp;M43,z_Others!$X$5:$X$17&amp;z_Others!$W$5:$W$17,z_Others!$Z$5:$Z$17,"",0,1))</f>
        <v>35124436</v>
      </c>
      <c r="O43" s="298" t="str">
        <f t="array" ref="O43">if(isblank(E43),"",xlookup($N$9&amp;M43,z_Others!$X$5:$X$17&amp;z_Others!$W$5:$W$17,z_Others!$AH$5:$AH$17,"",0,1))</f>
        <v>35 124436 070000x
</v>
      </c>
      <c r="P43" s="299" t="str">
        <f t="array" ref="P43">if(isblank(E43),"",xlookup($N$9&amp;M43,z_Others!$X$5:$X$17&amp;z_Others!$W$5:$W$17,z_Others!$AI$5:$AI$17,"",0,1))</f>
        <v>35 124436 999999x</v>
      </c>
      <c r="Q43" s="300" t="s">
        <v>413</v>
      </c>
      <c r="R43" s="301" t="s">
        <v>414</v>
      </c>
      <c r="S43" s="302">
        <f t="array" ref="S43">if(isblank(E43),"",xlookup($S$9&amp;M43,z_Others!$X$5:$X$17&amp;z_Others!$W$5:$W$17,z_Others!$Z$5:$Z$17,"",0,1))</f>
        <v>35676628</v>
      </c>
      <c r="T43" s="303" t="str">
        <f t="array" ref="T43">if(isblank(E43),"",xlookup($S$9&amp;M43,z_Others!$X$5:$X$17&amp;z_Others!$W$5:$W$17,z_Others!$AH$5:$AH$17,"",0,1))</f>
        <v>35 676628 040000x
35 676628 340000x</v>
      </c>
      <c r="U43" s="303" t="str">
        <f t="array" ref="U43">if(isblank(E43),"",xlookup($S$9&amp;M43,z_Others!$X$5:$X$17&amp;z_Others!$W$5:$W$17,z_Others!$AI$5:$AI$17,"",0,1))</f>
        <v>35 676628 999999x
35 676628 639999x</v>
      </c>
      <c r="V43" s="303" t="str">
        <f t="shared" si="2"/>
        <v>64:9D:38:32:91:82
B0:D5:FB:C6:60:70</v>
      </c>
      <c r="W43" s="303" t="str">
        <f t="shared" si="3"/>
        <v>64:9D:38:37:25:61
B0:D5:FB:CE:01:8F</v>
      </c>
      <c r="X43" s="304" t="str">
        <f t="shared" si="4"/>
        <v>MP1.0</v>
      </c>
      <c r="Y43" s="292"/>
      <c r="Z43" s="304" t="str">
        <f t="shared" si="32"/>
        <v>Android 16</v>
      </c>
      <c r="AA43" s="304" t="str">
        <f t="shared" si="34"/>
        <v>Android 16</v>
      </c>
      <c r="AB43" s="305" t="s">
        <v>610</v>
      </c>
      <c r="AC43" s="305" t="s">
        <v>611</v>
      </c>
      <c r="AD43" s="314" t="s">
        <v>447</v>
      </c>
      <c r="AE43" s="307" t="s">
        <v>418</v>
      </c>
      <c r="AF43" s="308" t="s">
        <v>447</v>
      </c>
      <c r="AG43" s="309" t="s">
        <v>418</v>
      </c>
      <c r="AH43" s="297" t="str">
        <f t="array" ref="AH43">if(isblank(E43),"",xlookup(F43,z_Others!$B$21:$B$45,z_Others!$F$21:$F$45,"TBD",0,1))</f>
        <v>00</v>
      </c>
      <c r="AI43" s="310" t="str">
        <f t="array" ref="AI43">if(isblank(E43),"", xlookup(E43,'Import_FL5_LH_PVTMP_Configs (Do'!E:E,'Import_FL5_LH_PVTMP_Configs (Do'!O:O,"TBD",0,1))</f>
        <v>G710-07800-11</v>
      </c>
      <c r="AJ43" s="311"/>
      <c r="AK43" s="310" t="str">
        <f t="array" ref="AK43">if(isblank(E43),"", xlookup(E43,'Import_FL5_LH_PVTMP_Configs (Do'!E:E,'Import_FL5_LH_PVTMP_Configs (Do'!Q:Q,"TBD",0,1))</f>
        <v>G650-14694-05</v>
      </c>
      <c r="AL43" s="310" t="str">
        <f t="array" ref="AL43">if(isblank(E43),"", xlookup(E43,'Import_FL5_LH_PVTMP_Configs (Do'!E:E,'Import_FL5_LH_PVTMP_Configs (Do'!M:M,"TBD",0,1))</f>
        <v>G710-07670-01</v>
      </c>
      <c r="AM43" s="310" t="str">
        <f t="array" ref="AM43">if(isblank(E43),"", xlookup(E43,'Import_FL5_LH_PVTMP_Configs (Do'!E:E,'Import_FL5_LH_PVTMP_Configs (Do'!N:N,"TBD",0,1))</f>
        <v>G730-09533-01</v>
      </c>
      <c r="AN43" s="310" t="str">
        <f t="array" ref="AN43">if(isblank(E43),"", xlookup(E43,'Import_FL5_LH_PVTMP_Configs (Do'!E:E,'Import_FL5_LH_PVTMP_Configs (Do'!K:K,"TBD",0,1))</f>
        <v>G950-15935-04</v>
      </c>
      <c r="AO43" s="292" t="str">
        <f t="array" ref="AO43">if(isblank(E43),"",XLOOKUP(E43,'FL5_G954 Pkg ASSY (Pkg BOM)'!L:L,'FL5_G954 Pkg ASSY (Pkg BOM)'!G:G,"N/A",0,1))</f>
        <v>G954-08540-00</v>
      </c>
      <c r="AP43" s="292" t="str">
        <f t="array" ref="AP43">if(isblank(E43),"",xlookup(E43,'FL5_G962 Country kit (Accesorie'!L:L,'FL5_G962 Country kit (Accesorie'!G:G,"N/A",0,1))</f>
        <v>G962-00511-00</v>
      </c>
      <c r="AQ43" s="304" t="str">
        <f t="array" ref="AQ43">if(isblank(E43),"", xlookup(E43,'Import_LH_Label approve'!E:E,'Import_LH_Label approve'!M:M,"",0,1))</f>
        <v>G990-08380-12-01
G990-08380-12-A</v>
      </c>
      <c r="AR43" s="329" t="str">
        <f t="array" ref="AR43">if(isblank(E43),"",xlookup(E43,'Import_LH_Label approve'!E:E,'Import_LH_Label approve'!N:N,"",0,1))</f>
        <v>G990-09560-00-A</v>
      </c>
      <c r="AS43" s="292" t="s">
        <v>596</v>
      </c>
      <c r="AT43" s="302" t="str">
        <f t="shared" si="6"/>
        <v>Yes</v>
      </c>
      <c r="AU43" s="302" t="str">
        <f t="shared" si="7"/>
        <v>No</v>
      </c>
      <c r="AV43" s="302" t="str">
        <f t="shared" si="8"/>
        <v>No</v>
      </c>
      <c r="AW43" s="302"/>
      <c r="AX43" s="302" t="s">
        <v>612</v>
      </c>
      <c r="AY43" s="302" t="s">
        <v>613</v>
      </c>
      <c r="AZ43" s="312" t="str">
        <f t="array" ref="AZ43">if(isblank(E43),"", xlookup(E43,Import_FL5_LH_PVT_BM!D:D,Import_FL5_LH_PVT_BM!AK:AK,$F$4,0,1))</f>
        <v>MP</v>
      </c>
      <c r="BA43" s="292" t="str">
        <f t="shared" si="9"/>
        <v>Retail_10ct</v>
      </c>
      <c r="BB43" s="313" t="str">
        <f t="array" ref="BB43">if(isblank(E43),"",xlookup(F43,z_Others!$B$21:$B$42,z_Others!$G$21:$G$42,"No",0,1))</f>
        <v>ROW Master Carton Label (UPC)</v>
      </c>
      <c r="BC43" s="313" t="str">
        <f t="array" ref="BC43">if(isblank(E43),"",xlookup(F43,z_Others!$B$21:$B$42,z_Others!$H$21:$H$42,"No",0,1))</f>
        <v>Standard Pallet Label (BTO)
Standard Pallet Label (BTS)</v>
      </c>
      <c r="BD43" s="314" t="str">
        <f t="array" ref="BD43">if(isblank(E43),"",xlookup(E43,'Import_VN_Label approve'!E:E,'Import_VN_Label approve'!L:L,"N/A",0,1))</f>
        <v>G990-08482-12-01
G990-08482-12-A</v>
      </c>
      <c r="BE43" s="330" t="str">
        <f t="array" ref="BE43">if(isblank(E43),"",xlookup(E43,'Import_VN_Label approve'!E:E,'Import_VN_Label approve'!N:N,"N/A",0,1))</f>
        <v>G990-09560-00-A</v>
      </c>
      <c r="BF43" s="315"/>
      <c r="BG43" s="316" t="s">
        <v>422</v>
      </c>
      <c r="BH43" s="317" t="s">
        <v>423</v>
      </c>
      <c r="BI43" s="318">
        <v>45773.0</v>
      </c>
      <c r="BJ43" s="319" t="str">
        <f t="array" ref="BJ43">if(isblank(E43),"", xlookup(D43,z_Others!$B$5:$B$17,z_Others!$C$5:$C$17,"",0,1))</f>
        <v>智能手機</v>
      </c>
      <c r="BK43" s="320">
        <v>45782.0</v>
      </c>
      <c r="BL43" s="320" t="str">
        <f t="array" ref="BL43">if(isblank(E43),"",xlookup(E43,'FL5_MP POR_LH_報關備案_G950 &amp; GA'!F:F,'FL5_MP POR_LH_報關備案_G950 &amp; GA'!E:E,"No Need",0,1))</f>
        <v>Close</v>
      </c>
      <c r="BM43" s="321" t="str">
        <f t="array" ref="BM43">if(isblank(E43),"",xlookup($BM$9&amp;E43,'Import_FL5 MPS (06.06.25) - Sor'!E39:E334&amp;'Import_FL5 MPS (06.06.25) - Sor'!F39:F334,'Import_FL5 MPS (06.06.25) - Sor'!ES39:ES334,"No demand",0,1))</f>
        <v>No demand</v>
      </c>
      <c r="BN43" s="321" t="str">
        <f t="array" ref="BN43">if(isblank(E43),"",xlookup($BN$9&amp;E43,'Import_FL5 MPS (06.06.25) - Sor'!E39:E334&amp;'Import_FL5 MPS (06.06.25) - Sor'!F39:F334,'Import_FL5 MPS (06.06.25) - Sor'!ES39:ES334,"No demand",0,1))</f>
        <v>No demand</v>
      </c>
      <c r="BO43" s="321" t="str">
        <f t="array" ref="BO43">if(isblank(E43),"",xlookup($BO$9&amp;E43,'Import_FL5 MPS (06.06.25) - Sor'!E39:E334&amp;'Import_FL5 MPS (06.06.25) - Sor'!F39:F334,'Import_FL5 MPS (06.06.25) - Sor'!ES39:ES334,"No demand",0,1))</f>
        <v>No demand</v>
      </c>
      <c r="BP43" s="322" t="str">
        <f t="array" ref="BP43">if(isblank(E43),"", xlookup(E43,'Import_LH_Label approve'!E:E,'Import_LH_Label approve'!L:L,"",0,1))</f>
        <v>NA</v>
      </c>
      <c r="BQ43" s="322" t="str">
        <f t="array" ref="BQ43">if(isblank(E43),"",xlookup(E43,'Import_VN_Label approve'!E:E,'Import_VN_Label approve'!M:M,"N/A",0,1))</f>
        <v>N/A</v>
      </c>
      <c r="BR43" s="325"/>
      <c r="BS43" s="323"/>
      <c r="BT43" s="324"/>
      <c r="BU43" s="117"/>
    </row>
    <row r="44">
      <c r="A44" s="176"/>
      <c r="B44" s="292">
        <v>33.0</v>
      </c>
      <c r="C44" s="231" t="s">
        <v>282</v>
      </c>
      <c r="D44" s="231" t="s">
        <v>408</v>
      </c>
      <c r="E44" s="293" t="s">
        <v>614</v>
      </c>
      <c r="F44" s="323" t="s">
        <v>470</v>
      </c>
      <c r="G44" s="294" t="s">
        <v>471</v>
      </c>
      <c r="H44" s="292" t="str">
        <f t="array" ref="H44">xlookup(F44,z_Others!$B$21:$B$45,z_Others!$E$21:$E$45,"",0,1)</f>
        <v>mmWave</v>
      </c>
      <c r="I44" s="295" t="s">
        <v>425</v>
      </c>
      <c r="J44" s="231" t="str">
        <f t="array" ref="J44">if(isblank(E44),"",xlookup(I44,z_Others!$M$17:$M$20,z_Others!$O$17:$O$20,"",0,1))</f>
        <v>Frost</v>
      </c>
      <c r="K44" s="292" t="str">
        <f t="array" ref="K44">xlookup(I44,z_Others!$M$17:$M$20,z_Others!$N$17:$N$20,"",0,1)</f>
        <v>PPL</v>
      </c>
      <c r="L44" s="292" t="str">
        <f t="array" ref="L44">xlookup(F44,z_Others!$B$21:$B$45,z_Others!$D$21:$D$45,"",0,1)</f>
        <v>GLBW0</v>
      </c>
      <c r="M44" s="296" t="str">
        <f t="array" ref="M44">xlookup(F44,z_Others!$B$21:$B$45,z_Others!$C$21:$C$45,"",0,1)</f>
        <v>NA</v>
      </c>
      <c r="N44" s="297">
        <f t="array" ref="N44">if(isblank(E44),"",xlookup($N$9&amp;M44,z_Others!$X$5:$X$17&amp;z_Others!$W$5:$W$17,z_Others!$Z$5:$Z$17,"",0,1))</f>
        <v>35124436</v>
      </c>
      <c r="O44" s="298" t="str">
        <f t="array" ref="O44">if(isblank(E44),"",xlookup($N$9&amp;M44,z_Others!$X$5:$X$17&amp;z_Others!$W$5:$W$17,z_Others!$AH$5:$AH$17,"",0,1))</f>
        <v>35 124436 070000x
</v>
      </c>
      <c r="P44" s="299" t="str">
        <f t="array" ref="P44">if(isblank(E44),"",xlookup($N$9&amp;M44,z_Others!$X$5:$X$17&amp;z_Others!$W$5:$W$17,z_Others!$AI$5:$AI$17,"",0,1))</f>
        <v>35 124436 999999x</v>
      </c>
      <c r="Q44" s="300" t="s">
        <v>413</v>
      </c>
      <c r="R44" s="301" t="s">
        <v>414</v>
      </c>
      <c r="S44" s="302">
        <f t="array" ref="S44">if(isblank(E44),"",xlookup($S$9&amp;M44,z_Others!$X$5:$X$17&amp;z_Others!$W$5:$W$17,z_Others!$Z$5:$Z$17,"",0,1))</f>
        <v>35676628</v>
      </c>
      <c r="T44" s="303" t="str">
        <f t="array" ref="T44">if(isblank(E44),"",xlookup($S$9&amp;M44,z_Others!$X$5:$X$17&amp;z_Others!$W$5:$W$17,z_Others!$AH$5:$AH$17,"",0,1))</f>
        <v>35 676628 040000x
35 676628 340000x</v>
      </c>
      <c r="U44" s="303" t="str">
        <f t="array" ref="U44">if(isblank(E44),"",xlookup($S$9&amp;M44,z_Others!$X$5:$X$17&amp;z_Others!$W$5:$W$17,z_Others!$AI$5:$AI$17,"",0,1))</f>
        <v>35 676628 999999x
35 676628 639999x</v>
      </c>
      <c r="V44" s="303" t="str">
        <f t="shared" si="2"/>
        <v>64:9D:38:32:91:82
B0:D5:FB:C6:60:70</v>
      </c>
      <c r="W44" s="303" t="str">
        <f t="shared" si="3"/>
        <v>64:9D:38:37:25:61
B0:D5:FB:CE:01:8F</v>
      </c>
      <c r="X44" s="304" t="str">
        <f t="shared" si="4"/>
        <v>MP1.0</v>
      </c>
      <c r="Y44" s="292"/>
      <c r="Z44" s="304" t="str">
        <f t="shared" si="32"/>
        <v>Android 16</v>
      </c>
      <c r="AA44" s="304" t="str">
        <f t="shared" si="34"/>
        <v>Android 16</v>
      </c>
      <c r="AB44" s="305" t="s">
        <v>615</v>
      </c>
      <c r="AC44" s="305" t="s">
        <v>616</v>
      </c>
      <c r="AD44" s="314" t="s">
        <v>447</v>
      </c>
      <c r="AE44" s="307" t="s">
        <v>418</v>
      </c>
      <c r="AF44" s="308" t="s">
        <v>447</v>
      </c>
      <c r="AG44" s="309" t="s">
        <v>418</v>
      </c>
      <c r="AH44" s="297" t="str">
        <f t="array" ref="AH44">if(isblank(E44),"",xlookup(F44,z_Others!$B$21:$B$45,z_Others!$F$21:$F$45,"TBD",0,1))</f>
        <v>00</v>
      </c>
      <c r="AI44" s="310" t="str">
        <f t="array" ref="AI44">if(isblank(E44),"", xlookup(E44,'Import_FL5_LH_PVTMP_Configs (Do'!E:E,'Import_FL5_LH_PVTMP_Configs (Do'!O:O,"TBD",0,1))</f>
        <v>G710-07800-11</v>
      </c>
      <c r="AJ44" s="311"/>
      <c r="AK44" s="310" t="str">
        <f t="array" ref="AK44">if(isblank(E44),"", xlookup(E44,'Import_FL5_LH_PVTMP_Configs (Do'!E:E,'Import_FL5_LH_PVTMP_Configs (Do'!Q:Q,"TBD",0,1))</f>
        <v>G650-14694-05</v>
      </c>
      <c r="AL44" s="310" t="str">
        <f t="array" ref="AL44">if(isblank(E44),"", xlookup(E44,'Import_FL5_LH_PVTMP_Configs (Do'!E:E,'Import_FL5_LH_PVTMP_Configs (Do'!M:M,"TBD",0,1))</f>
        <v>G710-07670-01</v>
      </c>
      <c r="AM44" s="310" t="str">
        <f t="array" ref="AM44">if(isblank(E44),"", xlookup(E44,'Import_FL5_LH_PVTMP_Configs (Do'!E:E,'Import_FL5_LH_PVTMP_Configs (Do'!N:N,"TBD",0,1))</f>
        <v>G730-09533-02</v>
      </c>
      <c r="AN44" s="310" t="str">
        <f t="array" ref="AN44">if(isblank(E44),"", xlookup(E44,'Import_FL5_LH_PVTMP_Configs (Do'!E:E,'Import_FL5_LH_PVTMP_Configs (Do'!K:K,"TBD",0,1))</f>
        <v>G950-15935-05</v>
      </c>
      <c r="AO44" s="292" t="str">
        <f t="array" ref="AO44">if(isblank(E44),"",XLOOKUP(E44,'FL5_G954 Pkg ASSY (Pkg BOM)'!L:L,'FL5_G954 Pkg ASSY (Pkg BOM)'!G:G,"N/A",0,1))</f>
        <v>G954-08540-00</v>
      </c>
      <c r="AP44" s="292" t="str">
        <f t="array" ref="AP44">if(isblank(E44),"",xlookup(E44,'FL5_G962 Country kit (Accesorie'!L:L,'FL5_G962 Country kit (Accesorie'!G:G,"N/A",0,1))</f>
        <v>G962-00511-00</v>
      </c>
      <c r="AQ44" s="304" t="str">
        <f t="array" ref="AQ44">if(isblank(E44),"", xlookup(E44,'Import_LH_Label approve'!E:E,'Import_LH_Label approve'!M:M,"",0,1))</f>
        <v>G990-08380-22-01
G990-08380-22-A</v>
      </c>
      <c r="AR44" s="329" t="str">
        <f t="array" ref="AR44">if(isblank(E44),"",xlookup(E44,'Import_LH_Label approve'!E:E,'Import_LH_Label approve'!N:N,"",0,1))</f>
        <v>G990-09560-00-A</v>
      </c>
      <c r="AS44" s="292" t="s">
        <v>596</v>
      </c>
      <c r="AT44" s="302" t="str">
        <f t="shared" si="6"/>
        <v>Yes</v>
      </c>
      <c r="AU44" s="302" t="str">
        <f t="shared" si="7"/>
        <v>No</v>
      </c>
      <c r="AV44" s="302" t="str">
        <f t="shared" si="8"/>
        <v>No</v>
      </c>
      <c r="AW44" s="302"/>
      <c r="AX44" s="302" t="s">
        <v>617</v>
      </c>
      <c r="AY44" s="302" t="s">
        <v>618</v>
      </c>
      <c r="AZ44" s="312" t="str">
        <f t="array" ref="AZ44">if(isblank(E44),"", xlookup(E44,Import_FL5_LH_PVT_BM!D:D,Import_FL5_LH_PVT_BM!AK:AK,$F$4,0,1))</f>
        <v>MP</v>
      </c>
      <c r="BA44" s="292" t="str">
        <f t="shared" si="9"/>
        <v>Retail_10ct</v>
      </c>
      <c r="BB44" s="313" t="str">
        <f t="array" ref="BB44">if(isblank(E44),"",xlookup(F44,z_Others!$B$21:$B$42,z_Others!$G$21:$G$42,"No",0,1))</f>
        <v>ROW Master Carton Label (UPC)</v>
      </c>
      <c r="BC44" s="313" t="str">
        <f t="array" ref="BC44">if(isblank(E44),"",xlookup(F44,z_Others!$B$21:$B$42,z_Others!$H$21:$H$42,"No",0,1))</f>
        <v>Standard Pallet Label (BTO)
Standard Pallet Label (BTS)</v>
      </c>
      <c r="BD44" s="314" t="str">
        <f t="array" ref="BD44">if(isblank(E44),"",xlookup(E44,'Import_VN_Label approve'!E:E,'Import_VN_Label approve'!L:L,"N/A",0,1))</f>
        <v>G990-08482-22-01
G990-08482-22-A</v>
      </c>
      <c r="BE44" s="330" t="str">
        <f t="array" ref="BE44">if(isblank(E44),"",xlookup(E44,'Import_VN_Label approve'!E:E,'Import_VN_Label approve'!N:N,"N/A",0,1))</f>
        <v>G990-09560-00-A</v>
      </c>
      <c r="BF44" s="315"/>
      <c r="BG44" s="316" t="s">
        <v>422</v>
      </c>
      <c r="BH44" s="317" t="s">
        <v>423</v>
      </c>
      <c r="BI44" s="318">
        <v>45773.0</v>
      </c>
      <c r="BJ44" s="319" t="str">
        <f t="array" ref="BJ44">if(isblank(E44),"", xlookup(D44,z_Others!$B$5:$B$17,z_Others!$C$5:$C$17,"",0,1))</f>
        <v>智能手機</v>
      </c>
      <c r="BK44" s="320">
        <v>45782.0</v>
      </c>
      <c r="BL44" s="320" t="str">
        <f t="array" ref="BL44">if(isblank(E44),"",xlookup(E44,'FL5_MP POR_LH_報關備案_G950 &amp; GA'!F:F,'FL5_MP POR_LH_報關備案_G950 &amp; GA'!E:E,"No Need",0,1))</f>
        <v>Close</v>
      </c>
      <c r="BM44" s="321" t="str">
        <f t="array" ref="BM44">if(isblank(E44),"",xlookup($BM$9&amp;E44,'Import_FL5 MPS (06.06.25) - Sor'!E40:E334&amp;'Import_FL5 MPS (06.06.25) - Sor'!F40:F334,'Import_FL5 MPS (06.06.25) - Sor'!ES40:ES334,"No demand",0,1))</f>
        <v>No demand</v>
      </c>
      <c r="BN44" s="321" t="str">
        <f t="array" ref="BN44">if(isblank(E44),"",xlookup($BN$9&amp;E44,'Import_FL5 MPS (06.06.25) - Sor'!E40:E334&amp;'Import_FL5 MPS (06.06.25) - Sor'!F40:F334,'Import_FL5 MPS (06.06.25) - Sor'!ES40:ES334,"No demand",0,1))</f>
        <v>No demand</v>
      </c>
      <c r="BO44" s="321" t="str">
        <f t="array" ref="BO44">if(isblank(E44),"",xlookup($BO$9&amp;E44,'Import_FL5 MPS (06.06.25) - Sor'!E40:E334&amp;'Import_FL5 MPS (06.06.25) - Sor'!F40:F334,'Import_FL5 MPS (06.06.25) - Sor'!ES40:ES334,"No demand",0,1))</f>
        <v>No demand</v>
      </c>
      <c r="BP44" s="322" t="str">
        <f t="array" ref="BP44">if(isblank(E44),"", xlookup(E44,'Import_LH_Label approve'!E:E,'Import_LH_Label approve'!L:L,"",0,1))</f>
        <v>NA</v>
      </c>
      <c r="BQ44" s="322" t="str">
        <f t="array" ref="BQ44">if(isblank(E44),"",xlookup(E44,'Import_VN_Label approve'!E:E,'Import_VN_Label approve'!M:M,"N/A",0,1))</f>
        <v>N/A</v>
      </c>
      <c r="BR44" s="325"/>
      <c r="BS44" s="323"/>
      <c r="BT44" s="324"/>
      <c r="BU44" s="117"/>
    </row>
    <row r="45">
      <c r="A45" s="176"/>
      <c r="B45" s="292">
        <v>34.0</v>
      </c>
      <c r="C45" s="231" t="s">
        <v>282</v>
      </c>
      <c r="D45" s="231" t="s">
        <v>408</v>
      </c>
      <c r="E45" s="293" t="s">
        <v>619</v>
      </c>
      <c r="F45" s="323" t="s">
        <v>470</v>
      </c>
      <c r="G45" s="294" t="s">
        <v>471</v>
      </c>
      <c r="H45" s="292" t="str">
        <f t="array" ref="H45">xlookup(F45,z_Others!$B$21:$B$45,z_Others!$E$21:$E$45,"",0,1)</f>
        <v>mmWave</v>
      </c>
      <c r="I45" s="295" t="s">
        <v>431</v>
      </c>
      <c r="J45" s="231" t="str">
        <f t="array" ref="J45">if(isblank(E45),"",xlookup(I45,z_Others!$M$17:$M$20,z_Others!$O$17:$O$20,"",0,1))</f>
        <v>Lemongrass</v>
      </c>
      <c r="K45" s="292" t="str">
        <f t="array" ref="K45">xlookup(I45,z_Others!$M$17:$M$20,z_Others!$N$17:$N$20,"",0,1)</f>
        <v>YEL</v>
      </c>
      <c r="L45" s="292" t="str">
        <f t="array" ref="L45">xlookup(F45,z_Others!$B$21:$B$45,z_Others!$D$21:$D$45,"",0,1)</f>
        <v>GLBW0</v>
      </c>
      <c r="M45" s="296" t="str">
        <f t="array" ref="M45">xlookup(F45,z_Others!$B$21:$B$45,z_Others!$C$21:$C$45,"",0,1)</f>
        <v>NA</v>
      </c>
      <c r="N45" s="297">
        <f t="array" ref="N45">if(isblank(E45),"",xlookup($N$9&amp;M45,z_Others!$X$5:$X$17&amp;z_Others!$W$5:$W$17,z_Others!$Z$5:$Z$17,"",0,1))</f>
        <v>35124436</v>
      </c>
      <c r="O45" s="298" t="str">
        <f t="array" ref="O45">if(isblank(E45),"",xlookup($N$9&amp;M45,z_Others!$X$5:$X$17&amp;z_Others!$W$5:$W$17,z_Others!$AH$5:$AH$17,"",0,1))</f>
        <v>35 124436 070000x
</v>
      </c>
      <c r="P45" s="299" t="str">
        <f t="array" ref="P45">if(isblank(E45),"",xlookup($N$9&amp;M45,z_Others!$X$5:$X$17&amp;z_Others!$W$5:$W$17,z_Others!$AI$5:$AI$17,"",0,1))</f>
        <v>35 124436 999999x</v>
      </c>
      <c r="Q45" s="300" t="s">
        <v>413</v>
      </c>
      <c r="R45" s="301" t="s">
        <v>414</v>
      </c>
      <c r="S45" s="302">
        <f t="array" ref="S45">if(isblank(E45),"",xlookup($S$9&amp;M45,z_Others!$X$5:$X$17&amp;z_Others!$W$5:$W$17,z_Others!$Z$5:$Z$17,"",0,1))</f>
        <v>35676628</v>
      </c>
      <c r="T45" s="303" t="str">
        <f t="array" ref="T45">if(isblank(E45),"",xlookup($S$9&amp;M45,z_Others!$X$5:$X$17&amp;z_Others!$W$5:$W$17,z_Others!$AH$5:$AH$17,"",0,1))</f>
        <v>35 676628 040000x
35 676628 340000x</v>
      </c>
      <c r="U45" s="303" t="str">
        <f t="array" ref="U45">if(isblank(E45),"",xlookup($S$9&amp;M45,z_Others!$X$5:$X$17&amp;z_Others!$W$5:$W$17,z_Others!$AI$5:$AI$17,"",0,1))</f>
        <v>35 676628 999999x
35 676628 639999x</v>
      </c>
      <c r="V45" s="303" t="str">
        <f t="shared" si="2"/>
        <v>64:9D:38:32:91:82
B0:D5:FB:C6:60:70</v>
      </c>
      <c r="W45" s="303" t="str">
        <f t="shared" si="3"/>
        <v>64:9D:38:37:25:61
B0:D5:FB:CE:01:8F</v>
      </c>
      <c r="X45" s="304" t="str">
        <f t="shared" si="4"/>
        <v>MP1.0</v>
      </c>
      <c r="Y45" s="292"/>
      <c r="Z45" s="304" t="str">
        <f t="shared" si="32"/>
        <v>Android 16</v>
      </c>
      <c r="AA45" s="304" t="str">
        <f t="shared" si="34"/>
        <v>Android 16</v>
      </c>
      <c r="AB45" s="305" t="s">
        <v>620</v>
      </c>
      <c r="AC45" s="305" t="s">
        <v>621</v>
      </c>
      <c r="AD45" s="314" t="s">
        <v>447</v>
      </c>
      <c r="AE45" s="307" t="s">
        <v>418</v>
      </c>
      <c r="AF45" s="308" t="s">
        <v>447</v>
      </c>
      <c r="AG45" s="309" t="s">
        <v>418</v>
      </c>
      <c r="AH45" s="297" t="str">
        <f t="array" ref="AH45">if(isblank(E45),"",xlookup(F45,z_Others!$B$21:$B$45,z_Others!$F$21:$F$45,"TBD",0,1))</f>
        <v>00</v>
      </c>
      <c r="AI45" s="310" t="str">
        <f t="array" ref="AI45">if(isblank(E45),"", xlookup(E45,'Import_FL5_LH_PVTMP_Configs (Do'!E:E,'Import_FL5_LH_PVTMP_Configs (Do'!O:O,"TBD",0,1))</f>
        <v>G710-07800-11</v>
      </c>
      <c r="AJ45" s="311"/>
      <c r="AK45" s="310" t="str">
        <f t="array" ref="AK45">if(isblank(E45),"", xlookup(E45,'Import_FL5_LH_PVTMP_Configs (Do'!E:E,'Import_FL5_LH_PVTMP_Configs (Do'!Q:Q,"TBD",0,1))</f>
        <v>G650-14694-05</v>
      </c>
      <c r="AL45" s="310" t="str">
        <f t="array" ref="AL45">if(isblank(E45),"", xlookup(E45,'Import_FL5_LH_PVTMP_Configs (Do'!E:E,'Import_FL5_LH_PVTMP_Configs (Do'!M:M,"TBD",0,1))</f>
        <v>G710-07670-01</v>
      </c>
      <c r="AM45" s="310" t="str">
        <f t="array" ref="AM45">if(isblank(E45),"", xlookup(E45,'Import_FL5_LH_PVTMP_Configs (Do'!E:E,'Import_FL5_LH_PVTMP_Configs (Do'!N:N,"TBD",0,1))</f>
        <v>G730-09533-03</v>
      </c>
      <c r="AN45" s="310" t="str">
        <f t="array" ref="AN45">if(isblank(E45),"", xlookup(E45,'Import_FL5_LH_PVTMP_Configs (Do'!E:E,'Import_FL5_LH_PVTMP_Configs (Do'!K:K,"TBD",0,1))</f>
        <v>G950-15935-06</v>
      </c>
      <c r="AO45" s="292" t="str">
        <f t="array" ref="AO45">if(isblank(E45),"",XLOOKUP(E45,'FL5_G954 Pkg ASSY (Pkg BOM)'!L:L,'FL5_G954 Pkg ASSY (Pkg BOM)'!G:G,"N/A",0,1))</f>
        <v>G954-08540-00</v>
      </c>
      <c r="AP45" s="292" t="str">
        <f t="array" ref="AP45">if(isblank(E45),"",xlookup(E45,'FL5_G962 Country kit (Accesorie'!L:L,'FL5_G962 Country kit (Accesorie'!G:G,"N/A",0,1))</f>
        <v>G962-00511-00</v>
      </c>
      <c r="AQ45" s="304" t="str">
        <f t="array" ref="AQ45">if(isblank(E45),"", xlookup(E45,'Import_LH_Label approve'!E:E,'Import_LH_Label approve'!M:M,"",0,1))</f>
        <v>G990-08380-32-01
G990-08380-32-A</v>
      </c>
      <c r="AR45" s="329" t="str">
        <f t="array" ref="AR45">if(isblank(E45),"",xlookup(E45,'Import_LH_Label approve'!E:E,'Import_LH_Label approve'!N:N,"",0,1))</f>
        <v>G990-09560-00-A</v>
      </c>
      <c r="AS45" s="292" t="s">
        <v>596</v>
      </c>
      <c r="AT45" s="302" t="str">
        <f t="shared" si="6"/>
        <v>Yes</v>
      </c>
      <c r="AU45" s="302" t="str">
        <f t="shared" si="7"/>
        <v>No</v>
      </c>
      <c r="AV45" s="302" t="str">
        <f t="shared" si="8"/>
        <v>No</v>
      </c>
      <c r="AW45" s="302"/>
      <c r="AX45" s="302" t="s">
        <v>622</v>
      </c>
      <c r="AY45" s="302" t="s">
        <v>623</v>
      </c>
      <c r="AZ45" s="312" t="str">
        <f t="array" ref="AZ45">if(isblank(E45),"", xlookup(E45,Import_FL5_LH_PVT_BM!D:D,Import_FL5_LH_PVT_BM!AK:AK,$F$4,0,1))</f>
        <v>MP</v>
      </c>
      <c r="BA45" s="292" t="str">
        <f t="shared" si="9"/>
        <v>Retail_10ct</v>
      </c>
      <c r="BB45" s="313" t="str">
        <f t="array" ref="BB45">if(isblank(E45),"",xlookup(F45,z_Others!$B$21:$B$42,z_Others!$G$21:$G$42,"No",0,1))</f>
        <v>ROW Master Carton Label (UPC)</v>
      </c>
      <c r="BC45" s="313" t="str">
        <f t="array" ref="BC45">if(isblank(E45),"",xlookup(F45,z_Others!$B$21:$B$42,z_Others!$H$21:$H$42,"No",0,1))</f>
        <v>Standard Pallet Label (BTO)
Standard Pallet Label (BTS)</v>
      </c>
      <c r="BD45" s="314" t="str">
        <f t="array" ref="BD45">if(isblank(E45),"",xlookup(E45,'Import_VN_Label approve'!E:E,'Import_VN_Label approve'!L:L,"N/A",0,1))</f>
        <v>G990-08482-32-01
G990-08482-32-A</v>
      </c>
      <c r="BE45" s="330" t="str">
        <f t="array" ref="BE45">if(isblank(E45),"",xlookup(E45,'Import_VN_Label approve'!E:E,'Import_VN_Label approve'!N:N,"N/A",0,1))</f>
        <v>G990-09560-00-A</v>
      </c>
      <c r="BF45" s="315"/>
      <c r="BG45" s="316" t="s">
        <v>422</v>
      </c>
      <c r="BH45" s="317" t="s">
        <v>423</v>
      </c>
      <c r="BI45" s="318">
        <v>45773.0</v>
      </c>
      <c r="BJ45" s="319" t="str">
        <f t="array" ref="BJ45">if(isblank(E45),"", xlookup(D45,z_Others!$B$5:$B$17,z_Others!$C$5:$C$17,"",0,1))</f>
        <v>智能手機</v>
      </c>
      <c r="BK45" s="320">
        <v>45782.0</v>
      </c>
      <c r="BL45" s="320" t="str">
        <f t="array" ref="BL45">if(isblank(E45),"",xlookup(E45,'FL5_MP POR_LH_報關備案_G950 &amp; GA'!F:F,'FL5_MP POR_LH_報關備案_G950 &amp; GA'!E:E,"No Need",0,1))</f>
        <v>Close</v>
      </c>
      <c r="BM45" s="321" t="str">
        <f t="array" ref="BM45">if(isblank(E45),"",xlookup($BM$9&amp;E45,'Import_FL5 MPS (06.06.25) - Sor'!E41:E334&amp;'Import_FL5 MPS (06.06.25) - Sor'!F41:F334,'Import_FL5 MPS (06.06.25) - Sor'!ES41:ES334,"No demand",0,1))</f>
        <v>No demand</v>
      </c>
      <c r="BN45" s="321" t="str">
        <f t="array" ref="BN45">if(isblank(E45),"",xlookup($BN$9&amp;E45,'Import_FL5 MPS (06.06.25) - Sor'!E41:E334&amp;'Import_FL5 MPS (06.06.25) - Sor'!F41:F334,'Import_FL5 MPS (06.06.25) - Sor'!ES41:ES334,"No demand",0,1))</f>
        <v>No demand</v>
      </c>
      <c r="BO45" s="321" t="str">
        <f t="array" ref="BO45">if(isblank(E45),"",xlookup($BO$9&amp;E45,'Import_FL5 MPS (06.06.25) - Sor'!E41:E334&amp;'Import_FL5 MPS (06.06.25) - Sor'!F41:F334,'Import_FL5 MPS (06.06.25) - Sor'!ES41:ES334,"No demand",0,1))</f>
        <v>No demand</v>
      </c>
      <c r="BP45" s="322" t="str">
        <f t="array" ref="BP45">if(isblank(E45),"", xlookup(E45,'Import_LH_Label approve'!E:E,'Import_LH_Label approve'!L:L,"",0,1))</f>
        <v>NA</v>
      </c>
      <c r="BQ45" s="322" t="str">
        <f t="array" ref="BQ45">if(isblank(E45),"",xlookup(E45,'Import_VN_Label approve'!E:E,'Import_VN_Label approve'!M:M,"N/A",0,1))</f>
        <v>N/A</v>
      </c>
      <c r="BR45" s="325"/>
      <c r="BS45" s="323"/>
      <c r="BT45" s="324"/>
      <c r="BU45" s="117"/>
    </row>
    <row r="46">
      <c r="A46" s="176"/>
      <c r="B46" s="292">
        <v>35.0</v>
      </c>
      <c r="C46" s="231" t="s">
        <v>282</v>
      </c>
      <c r="D46" s="231" t="s">
        <v>408</v>
      </c>
      <c r="E46" s="293" t="s">
        <v>624</v>
      </c>
      <c r="F46" s="323" t="s">
        <v>470</v>
      </c>
      <c r="G46" s="294" t="s">
        <v>471</v>
      </c>
      <c r="H46" s="292" t="str">
        <f t="array" ref="H46">xlookup(F46,z_Others!$B$21:$B$45,z_Others!$E$21:$E$45,"",0,1)</f>
        <v>mmWave</v>
      </c>
      <c r="I46" s="295" t="s">
        <v>437</v>
      </c>
      <c r="J46" s="231" t="str">
        <f t="array" ref="J46">if(isblank(E46),"",xlookup(I46,z_Others!$M$17:$M$20,z_Others!$O$17:$O$20,"",0,1))</f>
        <v>Indigo</v>
      </c>
      <c r="K46" s="292" t="str">
        <f t="array" ref="K46">xlookup(I46,z_Others!$M$17:$M$20,z_Others!$N$17:$N$20,"",0,1)</f>
        <v>BUE</v>
      </c>
      <c r="L46" s="292" t="str">
        <f t="array" ref="L46">xlookup(F46,z_Others!$B$21:$B$45,z_Others!$D$21:$D$45,"",0,1)</f>
        <v>GLBW0</v>
      </c>
      <c r="M46" s="296" t="str">
        <f t="array" ref="M46">xlookup(F46,z_Others!$B$21:$B$45,z_Others!$C$21:$C$45,"",0,1)</f>
        <v>NA</v>
      </c>
      <c r="N46" s="297">
        <f t="array" ref="N46">if(isblank(E46),"",xlookup($N$9&amp;M46,z_Others!$X$5:$X$17&amp;z_Others!$W$5:$W$17,z_Others!$Z$5:$Z$17,"",0,1))</f>
        <v>35124436</v>
      </c>
      <c r="O46" s="298" t="str">
        <f t="array" ref="O46">if(isblank(E46),"",xlookup($N$9&amp;M46,z_Others!$X$5:$X$17&amp;z_Others!$W$5:$W$17,z_Others!$AH$5:$AH$17,"",0,1))</f>
        <v>35 124436 070000x
</v>
      </c>
      <c r="P46" s="299" t="str">
        <f t="array" ref="P46">if(isblank(E46),"",xlookup($N$9&amp;M46,z_Others!$X$5:$X$17&amp;z_Others!$W$5:$W$17,z_Others!$AI$5:$AI$17,"",0,1))</f>
        <v>35 124436 999999x</v>
      </c>
      <c r="Q46" s="300" t="s">
        <v>413</v>
      </c>
      <c r="R46" s="301" t="s">
        <v>414</v>
      </c>
      <c r="S46" s="302">
        <f t="array" ref="S46">if(isblank(E46),"",xlookup($S$9&amp;M46,z_Others!$X$5:$X$17&amp;z_Others!$W$5:$W$17,z_Others!$Z$5:$Z$17,"",0,1))</f>
        <v>35676628</v>
      </c>
      <c r="T46" s="303" t="str">
        <f t="array" ref="T46">if(isblank(E46),"",xlookup($S$9&amp;M46,z_Others!$X$5:$X$17&amp;z_Others!$W$5:$W$17,z_Others!$AH$5:$AH$17,"",0,1))</f>
        <v>35 676628 040000x
35 676628 340000x</v>
      </c>
      <c r="U46" s="303" t="str">
        <f t="array" ref="U46">if(isblank(E46),"",xlookup($S$9&amp;M46,z_Others!$X$5:$X$17&amp;z_Others!$W$5:$W$17,z_Others!$AI$5:$AI$17,"",0,1))</f>
        <v>35 676628 999999x
35 676628 639999x</v>
      </c>
      <c r="V46" s="303" t="str">
        <f t="shared" si="2"/>
        <v>64:9D:38:32:91:82
B0:D5:FB:C6:60:70</v>
      </c>
      <c r="W46" s="303" t="str">
        <f t="shared" si="3"/>
        <v>64:9D:38:37:25:61
B0:D5:FB:CE:01:8F</v>
      </c>
      <c r="X46" s="304" t="str">
        <f t="shared" si="4"/>
        <v>MP1.0</v>
      </c>
      <c r="Y46" s="292"/>
      <c r="Z46" s="304" t="str">
        <f t="shared" si="32"/>
        <v>Android 16</v>
      </c>
      <c r="AA46" s="304" t="str">
        <f t="shared" si="34"/>
        <v>Android 16</v>
      </c>
      <c r="AB46" s="305" t="s">
        <v>625</v>
      </c>
      <c r="AC46" s="305" t="s">
        <v>626</v>
      </c>
      <c r="AD46" s="314" t="s">
        <v>447</v>
      </c>
      <c r="AE46" s="307" t="s">
        <v>418</v>
      </c>
      <c r="AF46" s="308" t="s">
        <v>447</v>
      </c>
      <c r="AG46" s="309" t="s">
        <v>418</v>
      </c>
      <c r="AH46" s="297" t="str">
        <f t="array" ref="AH46">if(isblank(E46),"",xlookup(F46,z_Others!$B$21:$B$45,z_Others!$F$21:$F$45,"TBD",0,1))</f>
        <v>00</v>
      </c>
      <c r="AI46" s="310" t="str">
        <f t="array" ref="AI46">if(isblank(E46),"", xlookup(E46,'Import_FL5_LH_PVTMP_Configs (Do'!E:E,'Import_FL5_LH_PVTMP_Configs (Do'!O:O,"TBD",0,1))</f>
        <v>G710-07800-11</v>
      </c>
      <c r="AJ46" s="311"/>
      <c r="AK46" s="310" t="str">
        <f t="array" ref="AK46">if(isblank(E46),"", xlookup(E46,'Import_FL5_LH_PVTMP_Configs (Do'!E:E,'Import_FL5_LH_PVTMP_Configs (Do'!Q:Q,"TBD",0,1))</f>
        <v>G650-14694-05</v>
      </c>
      <c r="AL46" s="310" t="str">
        <f t="array" ref="AL46">if(isblank(E46),"", xlookup(E46,'Import_FL5_LH_PVTMP_Configs (Do'!E:E,'Import_FL5_LH_PVTMP_Configs (Do'!M:M,"TBD",0,1))</f>
        <v>G710-07670-01</v>
      </c>
      <c r="AM46" s="310" t="str">
        <f t="array" ref="AM46">if(isblank(E46),"", xlookup(E46,'Import_FL5_LH_PVTMP_Configs (Do'!E:E,'Import_FL5_LH_PVTMP_Configs (Do'!N:N,"TBD",0,1))</f>
        <v>G730-09533-04</v>
      </c>
      <c r="AN46" s="310" t="str">
        <f t="array" ref="AN46">if(isblank(E46),"", xlookup(E46,'Import_FL5_LH_PVTMP_Configs (Do'!E:E,'Import_FL5_LH_PVTMP_Configs (Do'!K:K,"TBD",0,1))</f>
        <v>G950-15935-07</v>
      </c>
      <c r="AO46" s="292" t="str">
        <f t="array" ref="AO46">if(isblank(E46),"",XLOOKUP(E46,'FL5_G954 Pkg ASSY (Pkg BOM)'!L:L,'FL5_G954 Pkg ASSY (Pkg BOM)'!G:G,"N/A",0,1))</f>
        <v>G954-08540-00</v>
      </c>
      <c r="AP46" s="292" t="str">
        <f t="array" ref="AP46">if(isblank(E46),"",xlookup(E46,'FL5_G962 Country kit (Accesorie'!L:L,'FL5_G962 Country kit (Accesorie'!G:G,"N/A",0,1))</f>
        <v>G962-00511-00</v>
      </c>
      <c r="AQ46" s="304" t="str">
        <f t="array" ref="AQ46">if(isblank(E46),"", xlookup(E46,'Import_LH_Label approve'!E:E,'Import_LH_Label approve'!M:M,"",0,1))</f>
        <v>G990-08380-42-01
G990-08380-42-A</v>
      </c>
      <c r="AR46" s="329" t="str">
        <f t="array" ref="AR46">if(isblank(E46),"",xlookup(E46,'Import_LH_Label approve'!E:E,'Import_LH_Label approve'!N:N,"",0,1))</f>
        <v>G990-09560-00-A</v>
      </c>
      <c r="AS46" s="292" t="s">
        <v>596</v>
      </c>
      <c r="AT46" s="302" t="str">
        <f t="shared" si="6"/>
        <v>Yes</v>
      </c>
      <c r="AU46" s="302" t="str">
        <f t="shared" si="7"/>
        <v>No</v>
      </c>
      <c r="AV46" s="302" t="str">
        <f t="shared" si="8"/>
        <v>No</v>
      </c>
      <c r="AW46" s="302"/>
      <c r="AX46" s="302" t="s">
        <v>627</v>
      </c>
      <c r="AY46" s="302" t="s">
        <v>628</v>
      </c>
      <c r="AZ46" s="312" t="str">
        <f t="array" ref="AZ46">if(isblank(E46),"", xlookup(E46,Import_FL5_LH_PVT_BM!D:D,Import_FL5_LH_PVT_BM!AK:AK,$F$4,0,1))</f>
        <v>MP</v>
      </c>
      <c r="BA46" s="292" t="str">
        <f t="shared" si="9"/>
        <v>Retail_10ct</v>
      </c>
      <c r="BB46" s="313" t="str">
        <f t="array" ref="BB46">if(isblank(E46),"",xlookup(F46,z_Others!$B$21:$B$42,z_Others!$G$21:$G$42,"No",0,1))</f>
        <v>ROW Master Carton Label (UPC)</v>
      </c>
      <c r="BC46" s="313" t="str">
        <f t="array" ref="BC46">if(isblank(E46),"",xlookup(F46,z_Others!$B$21:$B$42,z_Others!$H$21:$H$42,"No",0,1))</f>
        <v>Standard Pallet Label (BTO)
Standard Pallet Label (BTS)</v>
      </c>
      <c r="BD46" s="314" t="str">
        <f t="array" ref="BD46">if(isblank(E46),"",xlookup(E46,'Import_VN_Label approve'!E:E,'Import_VN_Label approve'!L:L,"N/A",0,1))</f>
        <v>G990-08482-42-01
G990-08482-42-A</v>
      </c>
      <c r="BE46" s="330" t="str">
        <f t="array" ref="BE46">if(isblank(E46),"",xlookup(E46,'Import_VN_Label approve'!E:E,'Import_VN_Label approve'!N:N,"N/A",0,1))</f>
        <v>G990-09560-00-A</v>
      </c>
      <c r="BF46" s="315"/>
      <c r="BG46" s="316" t="s">
        <v>422</v>
      </c>
      <c r="BH46" s="317" t="s">
        <v>423</v>
      </c>
      <c r="BI46" s="318">
        <v>45773.0</v>
      </c>
      <c r="BJ46" s="319" t="str">
        <f t="array" ref="BJ46">if(isblank(E46),"", xlookup(D46,z_Others!$B$5:$B$17,z_Others!$C$5:$C$17,"",0,1))</f>
        <v>智能手機</v>
      </c>
      <c r="BK46" s="320">
        <v>45782.0</v>
      </c>
      <c r="BL46" s="320" t="str">
        <f t="array" ref="BL46">if(isblank(E46),"",xlookup(E46,'FL5_MP POR_LH_報關備案_G950 &amp; GA'!F:F,'FL5_MP POR_LH_報關備案_G950 &amp; GA'!E:E,"No Need",0,1))</f>
        <v>Close</v>
      </c>
      <c r="BM46" s="321" t="str">
        <f t="array" ref="BM46">if(isblank(E46),"",xlookup($BM$9&amp;E46,'Import_FL5 MPS (06.06.25) - Sor'!E42:E334&amp;'Import_FL5 MPS (06.06.25) - Sor'!F42:F334,'Import_FL5 MPS (06.06.25) - Sor'!ES42:ES334,"No demand",0,1))</f>
        <v>No demand</v>
      </c>
      <c r="BN46" s="321" t="str">
        <f t="array" ref="BN46">if(isblank(E46),"",xlookup($BN$9&amp;E46,'Import_FL5 MPS (06.06.25) - Sor'!E42:E334&amp;'Import_FL5 MPS (06.06.25) - Sor'!F42:F334,'Import_FL5 MPS (06.06.25) - Sor'!ES42:ES334,"No demand",0,1))</f>
        <v>No demand</v>
      </c>
      <c r="BO46" s="321" t="str">
        <f t="array" ref="BO46">if(isblank(E46),"",xlookup($BO$9&amp;E46,'Import_FL5 MPS (06.06.25) - Sor'!E42:E334&amp;'Import_FL5 MPS (06.06.25) - Sor'!F42:F334,'Import_FL5 MPS (06.06.25) - Sor'!ES42:ES334,"No demand",0,1))</f>
        <v>No demand</v>
      </c>
      <c r="BP46" s="322" t="str">
        <f t="array" ref="BP46">if(isblank(E46),"", xlookup(E46,'Import_LH_Label approve'!E:E,'Import_LH_Label approve'!L:L,"",0,1))</f>
        <v>NA</v>
      </c>
      <c r="BQ46" s="322" t="str">
        <f t="array" ref="BQ46">if(isblank(E46),"",xlookup(E46,'Import_VN_Label approve'!E:E,'Import_VN_Label approve'!M:M,"N/A",0,1))</f>
        <v>N/A</v>
      </c>
      <c r="BR46" s="325"/>
      <c r="BS46" s="323"/>
      <c r="BT46" s="324"/>
      <c r="BU46" s="117"/>
    </row>
    <row r="47">
      <c r="A47" s="176"/>
      <c r="B47" s="292">
        <v>36.0</v>
      </c>
      <c r="C47" s="231" t="s">
        <v>282</v>
      </c>
      <c r="D47" s="231" t="s">
        <v>408</v>
      </c>
      <c r="E47" s="293" t="s">
        <v>629</v>
      </c>
      <c r="F47" s="294" t="s">
        <v>492</v>
      </c>
      <c r="G47" s="294" t="s">
        <v>493</v>
      </c>
      <c r="H47" s="292" t="str">
        <f t="array" ref="H47">xlookup(F47,z_Others!$B$21:$B$45,z_Others!$E$21:$E$45,"",0,1)</f>
        <v>Sub6</v>
      </c>
      <c r="I47" s="295" t="s">
        <v>412</v>
      </c>
      <c r="J47" s="231" t="str">
        <f t="array" ref="J47">if(isblank(E47),"",xlookup(I47,z_Others!$M$17:$M$20,z_Others!$O$17:$O$20,"",0,1))</f>
        <v>Obsidian</v>
      </c>
      <c r="K47" s="292" t="str">
        <f t="array" ref="K47">xlookup(I47,z_Others!$M$17:$M$20,z_Others!$N$17:$N$20,"",0,1)</f>
        <v>BLK</v>
      </c>
      <c r="L47" s="292" t="str">
        <f t="array" ref="L47">xlookup(F47,z_Others!$B$21:$B$45,z_Others!$D$21:$D$45,"",0,1)</f>
        <v>GK2MP</v>
      </c>
      <c r="M47" s="296" t="str">
        <f t="array" ref="M47">xlookup(F47,z_Others!$B$21:$B$45,z_Others!$C$21:$C$45,"",0,1)</f>
        <v>ROW</v>
      </c>
      <c r="N47" s="297">
        <v>3.5440766E7</v>
      </c>
      <c r="O47" s="331" t="s">
        <v>494</v>
      </c>
      <c r="P47" s="303" t="s">
        <v>495</v>
      </c>
      <c r="Q47" s="300" t="s">
        <v>413</v>
      </c>
      <c r="R47" s="301" t="s">
        <v>414</v>
      </c>
      <c r="S47" s="302">
        <f t="array" ref="S47">if(isblank(E47),"",xlookup($S$9&amp;M47,z_Others!$X$5:$X$17&amp;z_Others!$W$5:$W$17,z_Others!$Z$5:$Z$17,"",0,1))</f>
        <v>35795514</v>
      </c>
      <c r="T47" s="303" t="str">
        <f t="array" ref="T47">if(isblank(E47),"",xlookup($S$9&amp;M47,z_Others!$X$5:$X$17&amp;z_Others!$W$5:$W$17,z_Others!$AH$5:$AH$17,"",0,1))</f>
        <v>35 795514 040000x</v>
      </c>
      <c r="U47" s="303" t="str">
        <f t="array" ref="U47">if(isblank(E47),"",xlookup($S$9&amp;M47,z_Others!$X$5:$X$17&amp;z_Others!$W$5:$W$17,z_Others!$AI$5:$AI$17,"",0,1))</f>
        <v>35 795514 999999x</v>
      </c>
      <c r="V47" s="303" t="str">
        <f t="shared" si="2"/>
        <v>64:9D:38:32:91:82
B0:D5:FB:C6:60:70</v>
      </c>
      <c r="W47" s="303" t="str">
        <f t="shared" si="3"/>
        <v>64:9D:38:37:25:61
B0:D5:FB:CE:01:8F</v>
      </c>
      <c r="X47" s="304" t="str">
        <f t="shared" si="4"/>
        <v>MP1.0</v>
      </c>
      <c r="Y47" s="292"/>
      <c r="Z47" s="304" t="str">
        <f t="shared" si="32"/>
        <v>Android 16</v>
      </c>
      <c r="AA47" s="304" t="str">
        <f t="shared" si="34"/>
        <v>Android 16</v>
      </c>
      <c r="AB47" s="305" t="s">
        <v>630</v>
      </c>
      <c r="AC47" s="305" t="s">
        <v>631</v>
      </c>
      <c r="AD47" s="314" t="s">
        <v>447</v>
      </c>
      <c r="AE47" s="307" t="s">
        <v>418</v>
      </c>
      <c r="AF47" s="308" t="s">
        <v>447</v>
      </c>
      <c r="AG47" s="309" t="s">
        <v>418</v>
      </c>
      <c r="AH47" s="297" t="str">
        <f t="array" ref="AH47">if(isblank(E47),"",xlookup(F47,z_Others!$B$21:$B$45,z_Others!$F$21:$F$45,"TBD",0,1))</f>
        <v>00</v>
      </c>
      <c r="AI47" s="310" t="str">
        <f t="array" ref="AI47">if(isblank(E47),"", xlookup(E47,'Import_FL5_LH_PVTMP_Configs (Do'!E:E,'Import_FL5_LH_PVTMP_Configs (Do'!O:O,"TBD",0,1))</f>
        <v>G710-07800-10</v>
      </c>
      <c r="AJ47" s="311"/>
      <c r="AK47" s="310" t="str">
        <f t="array" ref="AK47">if(isblank(E47),"", xlookup(E47,'Import_FL5_LH_PVTMP_Configs (Do'!E:E,'Import_FL5_LH_PVTMP_Configs (Do'!Q:Q,"TBD",0,1))</f>
        <v>G650-14694-05</v>
      </c>
      <c r="AL47" s="310" t="str">
        <f t="array" ref="AL47">if(isblank(E47),"", xlookup(E47,'Import_FL5_LH_PVTMP_Configs (Do'!E:E,'Import_FL5_LH_PVTMP_Configs (Do'!M:M,"TBD",0,1))</f>
        <v>G710-07670-01</v>
      </c>
      <c r="AM47" s="310" t="str">
        <f t="array" ref="AM47">if(isblank(E47),"", xlookup(E47,'Import_FL5_LH_PVTMP_Configs (Do'!E:E,'Import_FL5_LH_PVTMP_Configs (Do'!N:N,"TBD",0,1))</f>
        <v>G730-09533-01</v>
      </c>
      <c r="AN47" s="310" t="str">
        <f t="array" ref="AN47">if(isblank(E47),"", xlookup(E47,'Import_FL5_LH_PVTMP_Configs (Do'!E:E,'Import_FL5_LH_PVTMP_Configs (Do'!K:K,"TBD",0,1))</f>
        <v>G950-15935-14</v>
      </c>
      <c r="AO47" s="292" t="str">
        <f t="array" ref="AO47">if(isblank(E47),"",XLOOKUP(E47,'FL5_G954 Pkg ASSY (Pkg BOM)'!L:L,'FL5_G954 Pkg ASSY (Pkg BOM)'!G:G,"N/A",0,1))</f>
        <v>G954-08541-00</v>
      </c>
      <c r="AP47" s="292" t="str">
        <f t="array" ref="AP47">if(isblank(E47),"",xlookup(E47,'FL5_G962 Country kit (Accesorie'!L:L,'FL5_G962 Country kit (Accesorie'!G:G,"N/A",0,1))</f>
        <v>G962-00511-00</v>
      </c>
      <c r="AQ47" s="304" t="s">
        <v>632</v>
      </c>
      <c r="AR47" s="304" t="s">
        <v>499</v>
      </c>
      <c r="AS47" s="292" t="s">
        <v>596</v>
      </c>
      <c r="AT47" s="302" t="str">
        <f t="shared" si="6"/>
        <v>Yes</v>
      </c>
      <c r="AU47" s="302" t="str">
        <f t="shared" si="7"/>
        <v>No</v>
      </c>
      <c r="AV47" s="302" t="str">
        <f t="shared" si="8"/>
        <v>No</v>
      </c>
      <c r="AW47" s="302"/>
      <c r="AX47" s="302" t="s">
        <v>633</v>
      </c>
      <c r="AY47" s="302" t="s">
        <v>634</v>
      </c>
      <c r="AZ47" s="312" t="str">
        <f t="array" ref="AZ47">if(isblank(E47),"", xlookup(E47,Import_FL5_LH_PVT_BM!D:D,Import_FL5_LH_PVT_BM!AK:AK,$F$4,0,1))</f>
        <v>MP</v>
      </c>
      <c r="BA47" s="292" t="str">
        <f t="shared" si="9"/>
        <v>Retail_10ct</v>
      </c>
      <c r="BB47" s="313" t="str">
        <f t="array" ref="BB47">if(isblank(E47),"",xlookup(F47,z_Others!$B$21:$B$42,z_Others!$G$21:$G$42,"No",0,1))</f>
        <v>ROW Master Carton Label (UPC)</v>
      </c>
      <c r="BC47" s="313" t="str">
        <f t="array" ref="BC47">if(isblank(E47),"",xlookup(F47,z_Others!$B$21:$B$42,z_Others!$H$21:$H$42,"No",0,1))</f>
        <v>Standard Pallet Label (BTO)
Standard Pallet Label (BTS)</v>
      </c>
      <c r="BD47" s="314" t="s">
        <v>635</v>
      </c>
      <c r="BE47" s="314" t="str">
        <f t="array" ref="BE47">if(isblank(E47),"",xlookup(E47,'Import_VN_Label approve'!E:E,'Import_VN_Label approve'!N:N,"N/A",0,1))</f>
        <v>G990-09561-00-01
G990-09561-00-A</v>
      </c>
      <c r="BF47" s="315"/>
      <c r="BG47" s="332" t="s">
        <v>503</v>
      </c>
      <c r="BH47" s="317" t="s">
        <v>504</v>
      </c>
      <c r="BI47" s="318">
        <v>45773.0</v>
      </c>
      <c r="BJ47" s="319" t="str">
        <f t="array" ref="BJ47">if(isblank(E47),"", xlookup(D47,z_Others!$B$5:$B$17,z_Others!$C$5:$C$17,"",0,1))</f>
        <v>智能手機</v>
      </c>
      <c r="BK47" s="320">
        <v>45782.0</v>
      </c>
      <c r="BL47" s="320" t="str">
        <f t="array" ref="BL47">if(isblank(E47),"",xlookup(E47,'FL5_MP POR_LH_報關備案_G950 &amp; GA'!F:F,'FL5_MP POR_LH_報關備案_G950 &amp; GA'!E:E,"No Need",0,1))</f>
        <v>Close</v>
      </c>
      <c r="BM47" s="321" t="str">
        <f t="array" ref="BM47">if(isblank(E47),"",xlookup($BM$9&amp;E47,'Import_FL5 MPS (06.06.25) - Sor'!E43:E334&amp;'Import_FL5 MPS (06.06.25) - Sor'!F43:F334,'Import_FL5 MPS (06.06.25) - Sor'!ES43:ES334,"No demand",0,1))</f>
        <v>No demand</v>
      </c>
      <c r="BN47" s="321" t="str">
        <f t="array" ref="BN47">if(isblank(E47),"",xlookup($BN$9&amp;E47,'Import_FL5 MPS (06.06.25) - Sor'!E43:E334&amp;'Import_FL5 MPS (06.06.25) - Sor'!F43:F334,'Import_FL5 MPS (06.06.25) - Sor'!ES43:ES334,"No demand",0,1))</f>
        <v>No demand</v>
      </c>
      <c r="BO47" s="321" t="str">
        <f t="array" ref="BO47">if(isblank(E47),"",xlookup($BO$9&amp;E47,'Import_FL5 MPS (06.06.25) - Sor'!E43:E334&amp;'Import_FL5 MPS (06.06.25) - Sor'!F43:F334,'Import_FL5 MPS (06.06.25) - Sor'!ES43:ES334,"No demand",0,1))</f>
        <v>No demand</v>
      </c>
      <c r="BP47" s="322" t="str">
        <f t="array" ref="BP47">if(isblank(E47),"", xlookup(E47,'Import_LH_Label approve'!E:E,'Import_LH_Label approve'!L:L,"",0,1))</f>
        <v>NA</v>
      </c>
      <c r="BQ47" s="322" t="str">
        <f t="array" ref="BQ47">if(isblank(E47),"",xlookup(E47,'Import_VN_Label approve'!E:E,'Import_VN_Label approve'!M:M,"N/A",0,1))</f>
        <v>N/A</v>
      </c>
      <c r="BR47" s="325"/>
      <c r="BS47" s="323"/>
      <c r="BT47" s="324"/>
      <c r="BU47" s="117"/>
    </row>
    <row r="48">
      <c r="A48" s="176"/>
      <c r="B48" s="292">
        <v>37.0</v>
      </c>
      <c r="C48" s="231" t="s">
        <v>282</v>
      </c>
      <c r="D48" s="231" t="s">
        <v>408</v>
      </c>
      <c r="E48" s="293" t="s">
        <v>636</v>
      </c>
      <c r="F48" s="294" t="s">
        <v>492</v>
      </c>
      <c r="G48" s="294" t="s">
        <v>493</v>
      </c>
      <c r="H48" s="292" t="str">
        <f t="array" ref="H48">xlookup(F48,z_Others!$B$21:$B$45,z_Others!$E$21:$E$45,"",0,1)</f>
        <v>Sub6</v>
      </c>
      <c r="I48" s="295" t="s">
        <v>425</v>
      </c>
      <c r="J48" s="231" t="str">
        <f t="array" ref="J48">if(isblank(E48),"",xlookup(I48,z_Others!$M$17:$M$20,z_Others!$O$17:$O$20,"",0,1))</f>
        <v>Frost</v>
      </c>
      <c r="K48" s="292" t="str">
        <f t="array" ref="K48">xlookup(I48,z_Others!$M$17:$M$20,z_Others!$N$17:$N$20,"",0,1)</f>
        <v>PPL</v>
      </c>
      <c r="L48" s="292" t="str">
        <f t="array" ref="L48">xlookup(F48,z_Others!$B$21:$B$45,z_Others!$D$21:$D$45,"",0,1)</f>
        <v>GK2MP</v>
      </c>
      <c r="M48" s="296" t="str">
        <f t="array" ref="M48">xlookup(F48,z_Others!$B$21:$B$45,z_Others!$C$21:$C$45,"",0,1)</f>
        <v>ROW</v>
      </c>
      <c r="N48" s="297">
        <v>3.5440766E7</v>
      </c>
      <c r="O48" s="331" t="s">
        <v>494</v>
      </c>
      <c r="P48" s="303" t="s">
        <v>495</v>
      </c>
      <c r="Q48" s="300" t="s">
        <v>413</v>
      </c>
      <c r="R48" s="301" t="s">
        <v>414</v>
      </c>
      <c r="S48" s="302">
        <f t="array" ref="S48">if(isblank(E48),"",xlookup($S$9&amp;M48,z_Others!$X$5:$X$17&amp;z_Others!$W$5:$W$17,z_Others!$Z$5:$Z$17,"",0,1))</f>
        <v>35795514</v>
      </c>
      <c r="T48" s="303" t="str">
        <f t="array" ref="T48">if(isblank(E48),"",xlookup($S$9&amp;M48,z_Others!$X$5:$X$17&amp;z_Others!$W$5:$W$17,z_Others!$AH$5:$AH$17,"",0,1))</f>
        <v>35 795514 040000x</v>
      </c>
      <c r="U48" s="303" t="str">
        <f t="array" ref="U48">if(isblank(E48),"",xlookup($S$9&amp;M48,z_Others!$X$5:$X$17&amp;z_Others!$W$5:$W$17,z_Others!$AI$5:$AI$17,"",0,1))</f>
        <v>35 795514 999999x</v>
      </c>
      <c r="V48" s="303" t="str">
        <f t="shared" si="2"/>
        <v>64:9D:38:32:91:82
B0:D5:FB:C6:60:70</v>
      </c>
      <c r="W48" s="303" t="str">
        <f t="shared" si="3"/>
        <v>64:9D:38:37:25:61
B0:D5:FB:CE:01:8F</v>
      </c>
      <c r="X48" s="304" t="str">
        <f t="shared" si="4"/>
        <v>MP1.0</v>
      </c>
      <c r="Y48" s="292"/>
      <c r="Z48" s="304" t="str">
        <f t="shared" si="32"/>
        <v>Android 16</v>
      </c>
      <c r="AA48" s="304" t="str">
        <f t="shared" si="34"/>
        <v>Android 16</v>
      </c>
      <c r="AB48" s="305" t="s">
        <v>637</v>
      </c>
      <c r="AC48" s="305" t="s">
        <v>638</v>
      </c>
      <c r="AD48" s="314" t="s">
        <v>447</v>
      </c>
      <c r="AE48" s="307" t="s">
        <v>418</v>
      </c>
      <c r="AF48" s="308" t="s">
        <v>447</v>
      </c>
      <c r="AG48" s="309" t="s">
        <v>418</v>
      </c>
      <c r="AH48" s="297" t="str">
        <f t="array" ref="AH48">if(isblank(E48),"",xlookup(F48,z_Others!$B$21:$B$45,z_Others!$F$21:$F$45,"TBD",0,1))</f>
        <v>00</v>
      </c>
      <c r="AI48" s="310" t="str">
        <f t="array" ref="AI48">if(isblank(E48),"", xlookup(E48,'Import_FL5_LH_PVTMP_Configs (Do'!E:E,'Import_FL5_LH_PVTMP_Configs (Do'!O:O,"TBD",0,1))</f>
        <v>G710-07800-10</v>
      </c>
      <c r="AJ48" s="311"/>
      <c r="AK48" s="310" t="str">
        <f t="array" ref="AK48">if(isblank(E48),"", xlookup(E48,'Import_FL5_LH_PVTMP_Configs (Do'!E:E,'Import_FL5_LH_PVTMP_Configs (Do'!Q:Q,"TBD",0,1))</f>
        <v>G650-14694-05</v>
      </c>
      <c r="AL48" s="310" t="str">
        <f t="array" ref="AL48">if(isblank(E48),"", xlookup(E48,'Import_FL5_LH_PVTMP_Configs (Do'!E:E,'Import_FL5_LH_PVTMP_Configs (Do'!M:M,"TBD",0,1))</f>
        <v>G710-07670-01</v>
      </c>
      <c r="AM48" s="310" t="str">
        <f t="array" ref="AM48">if(isblank(E48),"", xlookup(E48,'Import_FL5_LH_PVTMP_Configs (Do'!E:E,'Import_FL5_LH_PVTMP_Configs (Do'!N:N,"TBD",0,1))</f>
        <v>G730-09533-02</v>
      </c>
      <c r="AN48" s="310" t="str">
        <f t="array" ref="AN48">if(isblank(E48),"", xlookup(E48,'Import_FL5_LH_PVTMP_Configs (Do'!E:E,'Import_FL5_LH_PVTMP_Configs (Do'!K:K,"TBD",0,1))</f>
        <v>G950-15935-15</v>
      </c>
      <c r="AO48" s="292" t="str">
        <f t="array" ref="AO48">if(isblank(E48),"",XLOOKUP(E48,'FL5_G954 Pkg ASSY (Pkg BOM)'!L:L,'FL5_G954 Pkg ASSY (Pkg BOM)'!G:G,"N/A",0,1))</f>
        <v>G954-08541-00</v>
      </c>
      <c r="AP48" s="292" t="str">
        <f t="array" ref="AP48">if(isblank(E48),"",xlookup(E48,'FL5_G962 Country kit (Accesorie'!L:L,'FL5_G962 Country kit (Accesorie'!G:G,"N/A",0,1))</f>
        <v>G962-00511-00</v>
      </c>
      <c r="AQ48" s="304" t="s">
        <v>639</v>
      </c>
      <c r="AR48" s="304" t="s">
        <v>499</v>
      </c>
      <c r="AS48" s="292" t="s">
        <v>596</v>
      </c>
      <c r="AT48" s="302" t="str">
        <f t="shared" si="6"/>
        <v>Yes</v>
      </c>
      <c r="AU48" s="302" t="str">
        <f t="shared" si="7"/>
        <v>No</v>
      </c>
      <c r="AV48" s="302" t="str">
        <f t="shared" si="8"/>
        <v>No</v>
      </c>
      <c r="AW48" s="302"/>
      <c r="AX48" s="302" t="s">
        <v>640</v>
      </c>
      <c r="AY48" s="302" t="s">
        <v>641</v>
      </c>
      <c r="AZ48" s="312" t="str">
        <f t="array" ref="AZ48">if(isblank(E48),"", xlookup(E48,Import_FL5_LH_PVT_BM!D:D,Import_FL5_LH_PVT_BM!AK:AK,$F$4,0,1))</f>
        <v>MP</v>
      </c>
      <c r="BA48" s="292" t="str">
        <f t="shared" si="9"/>
        <v>Retail_10ct</v>
      </c>
      <c r="BB48" s="313" t="str">
        <f t="array" ref="BB48">if(isblank(E48),"",xlookup(F48,z_Others!$B$21:$B$42,z_Others!$G$21:$G$42,"No",0,1))</f>
        <v>ROW Master Carton Label (UPC)</v>
      </c>
      <c r="BC48" s="313" t="str">
        <f t="array" ref="BC48">if(isblank(E48),"",xlookup(F48,z_Others!$B$21:$B$42,z_Others!$H$21:$H$42,"No",0,1))</f>
        <v>Standard Pallet Label (BTO)
Standard Pallet Label (BTS)</v>
      </c>
      <c r="BD48" s="314" t="s">
        <v>642</v>
      </c>
      <c r="BE48" s="314" t="str">
        <f t="array" ref="BE48">if(isblank(E48),"",xlookup(E48,'Import_VN_Label approve'!E:E,'Import_VN_Label approve'!N:N,"N/A",0,1))</f>
        <v>G990-09561-00-01
G990-09561-00-A</v>
      </c>
      <c r="BF48" s="315"/>
      <c r="BG48" s="332" t="s">
        <v>503</v>
      </c>
      <c r="BH48" s="317" t="s">
        <v>504</v>
      </c>
      <c r="BI48" s="318">
        <v>45773.0</v>
      </c>
      <c r="BJ48" s="319" t="str">
        <f t="array" ref="BJ48">if(isblank(E48),"", xlookup(D48,z_Others!$B$5:$B$17,z_Others!$C$5:$C$17,"",0,1))</f>
        <v>智能手機</v>
      </c>
      <c r="BK48" s="320">
        <v>45782.0</v>
      </c>
      <c r="BL48" s="320" t="str">
        <f t="array" ref="BL48">if(isblank(E48),"",xlookup(E48,'FL5_MP POR_LH_報關備案_G950 &amp; GA'!F:F,'FL5_MP POR_LH_報關備案_G950 &amp; GA'!E:E,"No Need",0,1))</f>
        <v>Close</v>
      </c>
      <c r="BM48" s="321" t="str">
        <f t="array" ref="BM48">if(isblank(E48),"",xlookup($BM$9&amp;E48,'Import_FL5 MPS (06.06.25) - Sor'!E44:E334&amp;'Import_FL5 MPS (06.06.25) - Sor'!F44:F334,'Import_FL5 MPS (06.06.25) - Sor'!ES44:ES334,"No demand",0,1))</f>
        <v>No demand</v>
      </c>
      <c r="BN48" s="321" t="str">
        <f t="array" ref="BN48">if(isblank(E48),"",xlookup($BN$9&amp;E48,'Import_FL5 MPS (06.06.25) - Sor'!E44:E334&amp;'Import_FL5 MPS (06.06.25) - Sor'!F44:F334,'Import_FL5 MPS (06.06.25) - Sor'!ES44:ES334,"No demand",0,1))</f>
        <v>No demand</v>
      </c>
      <c r="BO48" s="321" t="str">
        <f t="array" ref="BO48">if(isblank(E48),"",xlookup($BO$9&amp;E48,'Import_FL5 MPS (06.06.25) - Sor'!E44:E334&amp;'Import_FL5 MPS (06.06.25) - Sor'!F44:F334,'Import_FL5 MPS (06.06.25) - Sor'!ES44:ES334,"No demand",0,1))</f>
        <v>No demand</v>
      </c>
      <c r="BP48" s="322" t="str">
        <f t="array" ref="BP48">if(isblank(E48),"", xlookup(E48,'Import_LH_Label approve'!E:E,'Import_LH_Label approve'!L:L,"",0,1))</f>
        <v>NA</v>
      </c>
      <c r="BQ48" s="322" t="str">
        <f t="array" ref="BQ48">if(isblank(E48),"",xlookup(E48,'Import_VN_Label approve'!E:E,'Import_VN_Label approve'!M:M,"N/A",0,1))</f>
        <v>N/A</v>
      </c>
      <c r="BR48" s="325"/>
      <c r="BS48" s="323"/>
      <c r="BT48" s="324"/>
      <c r="BU48" s="91"/>
    </row>
    <row r="49">
      <c r="A49" s="176"/>
      <c r="B49" s="292">
        <v>38.0</v>
      </c>
      <c r="C49" s="231" t="s">
        <v>282</v>
      </c>
      <c r="D49" s="231" t="s">
        <v>408</v>
      </c>
      <c r="E49" s="293" t="s">
        <v>643</v>
      </c>
      <c r="F49" s="294" t="s">
        <v>492</v>
      </c>
      <c r="G49" s="294" t="s">
        <v>493</v>
      </c>
      <c r="H49" s="292" t="str">
        <f t="array" ref="H49">xlookup(F49,z_Others!$B$21:$B$45,z_Others!$E$21:$E$45,"",0,1)</f>
        <v>Sub6</v>
      </c>
      <c r="I49" s="295" t="s">
        <v>431</v>
      </c>
      <c r="J49" s="231" t="str">
        <f t="array" ref="J49">if(isblank(E49),"",xlookup(I49,z_Others!$M$17:$M$20,z_Others!$O$17:$O$20,"",0,1))</f>
        <v>Lemongrass</v>
      </c>
      <c r="K49" s="292" t="str">
        <f t="array" ref="K49">xlookup(I49,z_Others!$M$17:$M$20,z_Others!$N$17:$N$20,"",0,1)</f>
        <v>YEL</v>
      </c>
      <c r="L49" s="292" t="str">
        <f t="array" ref="L49">xlookup(F49,z_Others!$B$21:$B$45,z_Others!$D$21:$D$45,"",0,1)</f>
        <v>GK2MP</v>
      </c>
      <c r="M49" s="296" t="str">
        <f t="array" ref="M49">xlookup(F49,z_Others!$B$21:$B$45,z_Others!$C$21:$C$45,"",0,1)</f>
        <v>ROW</v>
      </c>
      <c r="N49" s="297">
        <v>3.5440766E7</v>
      </c>
      <c r="O49" s="331" t="s">
        <v>494</v>
      </c>
      <c r="P49" s="303" t="s">
        <v>495</v>
      </c>
      <c r="Q49" s="300" t="s">
        <v>413</v>
      </c>
      <c r="R49" s="301" t="s">
        <v>414</v>
      </c>
      <c r="S49" s="302">
        <f t="array" ref="S49">if(isblank(E49),"",xlookup($S$9&amp;M49,z_Others!$X$5:$X$17&amp;z_Others!$W$5:$W$17,z_Others!$Z$5:$Z$17,"",0,1))</f>
        <v>35795514</v>
      </c>
      <c r="T49" s="303" t="str">
        <f t="array" ref="T49">if(isblank(E49),"",xlookup($S$9&amp;M49,z_Others!$X$5:$X$17&amp;z_Others!$W$5:$W$17,z_Others!$AH$5:$AH$17,"",0,1))</f>
        <v>35 795514 040000x</v>
      </c>
      <c r="U49" s="303" t="str">
        <f t="array" ref="U49">if(isblank(E49),"",xlookup($S$9&amp;M49,z_Others!$X$5:$X$17&amp;z_Others!$W$5:$W$17,z_Others!$AI$5:$AI$17,"",0,1))</f>
        <v>35 795514 999999x</v>
      </c>
      <c r="V49" s="303" t="str">
        <f t="shared" si="2"/>
        <v>64:9D:38:32:91:82
B0:D5:FB:C6:60:70</v>
      </c>
      <c r="W49" s="303" t="str">
        <f t="shared" si="3"/>
        <v>64:9D:38:37:25:61
B0:D5:FB:CE:01:8F</v>
      </c>
      <c r="X49" s="304" t="str">
        <f t="shared" si="4"/>
        <v>MP1.0</v>
      </c>
      <c r="Y49" s="292"/>
      <c r="Z49" s="304" t="str">
        <f t="shared" si="32"/>
        <v>Android 16</v>
      </c>
      <c r="AA49" s="304" t="str">
        <f t="shared" si="34"/>
        <v>Android 16</v>
      </c>
      <c r="AB49" s="305" t="s">
        <v>644</v>
      </c>
      <c r="AC49" s="305" t="s">
        <v>645</v>
      </c>
      <c r="AD49" s="314" t="s">
        <v>447</v>
      </c>
      <c r="AE49" s="307" t="s">
        <v>418</v>
      </c>
      <c r="AF49" s="308" t="s">
        <v>447</v>
      </c>
      <c r="AG49" s="309" t="s">
        <v>418</v>
      </c>
      <c r="AH49" s="297" t="str">
        <f t="array" ref="AH49">if(isblank(E49),"",xlookup(F49,z_Others!$B$21:$B$45,z_Others!$F$21:$F$45,"TBD",0,1))</f>
        <v>00</v>
      </c>
      <c r="AI49" s="310" t="str">
        <f t="array" ref="AI49">if(isblank(E49),"", xlookup(E49,'Import_FL5_LH_PVTMP_Configs (Do'!E:E,'Import_FL5_LH_PVTMP_Configs (Do'!O:O,"TBD",0,1))</f>
        <v>G710-07800-10</v>
      </c>
      <c r="AJ49" s="311"/>
      <c r="AK49" s="310" t="str">
        <f t="array" ref="AK49">if(isblank(E49),"", xlookup(E49,'Import_FL5_LH_PVTMP_Configs (Do'!E:E,'Import_FL5_LH_PVTMP_Configs (Do'!Q:Q,"TBD",0,1))</f>
        <v>G650-14694-05</v>
      </c>
      <c r="AL49" s="310" t="str">
        <f t="array" ref="AL49">if(isblank(E49),"", xlookup(E49,'Import_FL5_LH_PVTMP_Configs (Do'!E:E,'Import_FL5_LH_PVTMP_Configs (Do'!M:M,"TBD",0,1))</f>
        <v>G710-07670-01</v>
      </c>
      <c r="AM49" s="310" t="str">
        <f t="array" ref="AM49">if(isblank(E49),"", xlookup(E49,'Import_FL5_LH_PVTMP_Configs (Do'!E:E,'Import_FL5_LH_PVTMP_Configs (Do'!N:N,"TBD",0,1))</f>
        <v>G730-09533-03</v>
      </c>
      <c r="AN49" s="310" t="str">
        <f t="array" ref="AN49">if(isblank(E49),"", xlookup(E49,'Import_FL5_LH_PVTMP_Configs (Do'!E:E,'Import_FL5_LH_PVTMP_Configs (Do'!K:K,"TBD",0,1))</f>
        <v>G950-15935-16</v>
      </c>
      <c r="AO49" s="292" t="str">
        <f t="array" ref="AO49">if(isblank(E49),"",XLOOKUP(E49,'FL5_G954 Pkg ASSY (Pkg BOM)'!L:L,'FL5_G954 Pkg ASSY (Pkg BOM)'!G:G,"N/A",0,1))</f>
        <v>G954-08541-00</v>
      </c>
      <c r="AP49" s="292" t="str">
        <f t="array" ref="AP49">if(isblank(E49),"",xlookup(E49,'FL5_G962 Country kit (Accesorie'!L:L,'FL5_G962 Country kit (Accesorie'!G:G,"N/A",0,1))</f>
        <v>G962-00511-00</v>
      </c>
      <c r="AQ49" s="304" t="s">
        <v>646</v>
      </c>
      <c r="AR49" s="304" t="s">
        <v>499</v>
      </c>
      <c r="AS49" s="292" t="s">
        <v>596</v>
      </c>
      <c r="AT49" s="302" t="str">
        <f t="shared" si="6"/>
        <v>Yes</v>
      </c>
      <c r="AU49" s="302" t="str">
        <f t="shared" si="7"/>
        <v>No</v>
      </c>
      <c r="AV49" s="302" t="str">
        <f t="shared" si="8"/>
        <v>No</v>
      </c>
      <c r="AW49" s="302"/>
      <c r="AX49" s="302" t="s">
        <v>647</v>
      </c>
      <c r="AY49" s="302" t="s">
        <v>648</v>
      </c>
      <c r="AZ49" s="312" t="str">
        <f t="array" ref="AZ49">if(isblank(E49),"", xlookup(E49,Import_FL5_LH_PVT_BM!D:D,Import_FL5_LH_PVT_BM!AK:AK,$F$4,0,1))</f>
        <v>MP</v>
      </c>
      <c r="BA49" s="292" t="str">
        <f t="shared" si="9"/>
        <v>Retail_10ct</v>
      </c>
      <c r="BB49" s="313" t="str">
        <f t="array" ref="BB49">if(isblank(E49),"",xlookup(F49,z_Others!$B$21:$B$42,z_Others!$G$21:$G$42,"No",0,1))</f>
        <v>ROW Master Carton Label (UPC)</v>
      </c>
      <c r="BC49" s="313" t="str">
        <f t="array" ref="BC49">if(isblank(E49),"",xlookup(F49,z_Others!$B$21:$B$42,z_Others!$H$21:$H$42,"No",0,1))</f>
        <v>Standard Pallet Label (BTO)
Standard Pallet Label (BTS)</v>
      </c>
      <c r="BD49" s="314" t="s">
        <v>649</v>
      </c>
      <c r="BE49" s="314" t="str">
        <f t="array" ref="BE49">if(isblank(E49),"",xlookup(E49,'Import_VN_Label approve'!E:E,'Import_VN_Label approve'!N:N,"N/A",0,1))</f>
        <v>G990-09561-00-01
G990-09561-00-A</v>
      </c>
      <c r="BF49" s="315"/>
      <c r="BG49" s="332" t="s">
        <v>503</v>
      </c>
      <c r="BH49" s="317" t="s">
        <v>504</v>
      </c>
      <c r="BI49" s="318">
        <v>45773.0</v>
      </c>
      <c r="BJ49" s="319" t="str">
        <f t="array" ref="BJ49">if(isblank(E49),"", xlookup(D49,z_Others!$B$5:$B$17,z_Others!$C$5:$C$17,"",0,1))</f>
        <v>智能手機</v>
      </c>
      <c r="BK49" s="320">
        <v>45782.0</v>
      </c>
      <c r="BL49" s="320" t="str">
        <f t="array" ref="BL49">if(isblank(E49),"",xlookup(E49,'FL5_MP POR_LH_報關備案_G950 &amp; GA'!F:F,'FL5_MP POR_LH_報關備案_G950 &amp; GA'!E:E,"No Need",0,1))</f>
        <v>Close</v>
      </c>
      <c r="BM49" s="321" t="str">
        <f t="array" ref="BM49">if(isblank(E49),"",xlookup($BM$9&amp;E49,'Import_FL5 MPS (06.06.25) - Sor'!E45:E334&amp;'Import_FL5 MPS (06.06.25) - Sor'!F45:F334,'Import_FL5 MPS (06.06.25) - Sor'!ES45:ES334,"No demand",0,1))</f>
        <v>No demand</v>
      </c>
      <c r="BN49" s="321" t="str">
        <f t="array" ref="BN49">if(isblank(E49),"",xlookup($BN$9&amp;E49,'Import_FL5 MPS (06.06.25) - Sor'!E45:E334&amp;'Import_FL5 MPS (06.06.25) - Sor'!F45:F334,'Import_FL5 MPS (06.06.25) - Sor'!ES45:ES334,"No demand",0,1))</f>
        <v>No demand</v>
      </c>
      <c r="BO49" s="321" t="str">
        <f t="array" ref="BO49">if(isblank(E49),"",xlookup($BO$9&amp;E49,'Import_FL5 MPS (06.06.25) - Sor'!E45:E334&amp;'Import_FL5 MPS (06.06.25) - Sor'!F45:F334,'Import_FL5 MPS (06.06.25) - Sor'!ES45:ES334,"No demand",0,1))</f>
        <v>No demand</v>
      </c>
      <c r="BP49" s="322" t="str">
        <f t="array" ref="BP49">if(isblank(E49),"", xlookup(E49,'Import_LH_Label approve'!E:E,'Import_LH_Label approve'!L:L,"",0,1))</f>
        <v>NA</v>
      </c>
      <c r="BQ49" s="322" t="str">
        <f t="array" ref="BQ49">if(isblank(E49),"",xlookup(E49,'Import_VN_Label approve'!E:E,'Import_VN_Label approve'!M:M,"N/A",0,1))</f>
        <v>N/A</v>
      </c>
      <c r="BR49" s="325"/>
      <c r="BS49" s="323"/>
      <c r="BT49" s="324"/>
      <c r="BU49" s="91"/>
    </row>
    <row r="50">
      <c r="A50" s="176"/>
      <c r="B50" s="292">
        <v>39.0</v>
      </c>
      <c r="C50" s="231" t="s">
        <v>282</v>
      </c>
      <c r="D50" s="231" t="s">
        <v>408</v>
      </c>
      <c r="E50" s="293" t="s">
        <v>650</v>
      </c>
      <c r="F50" s="294" t="s">
        <v>492</v>
      </c>
      <c r="G50" s="294" t="s">
        <v>493</v>
      </c>
      <c r="H50" s="292" t="str">
        <f t="array" ref="H50">xlookup(F50,z_Others!$B$21:$B$45,z_Others!$E$21:$E$45,"",0,1)</f>
        <v>Sub6</v>
      </c>
      <c r="I50" s="295" t="s">
        <v>437</v>
      </c>
      <c r="J50" s="231" t="str">
        <f t="array" ref="J50">if(isblank(E50),"",xlookup(I50,z_Others!$M$17:$M$20,z_Others!$O$17:$O$20,"",0,1))</f>
        <v>Indigo</v>
      </c>
      <c r="K50" s="292" t="str">
        <f t="array" ref="K50">xlookup(I50,z_Others!$M$17:$M$20,z_Others!$N$17:$N$20,"",0,1)</f>
        <v>BUE</v>
      </c>
      <c r="L50" s="292" t="str">
        <f t="array" ref="L50">xlookup(F50,z_Others!$B$21:$B$45,z_Others!$D$21:$D$45,"",0,1)</f>
        <v>GK2MP</v>
      </c>
      <c r="M50" s="296" t="str">
        <f t="array" ref="M50">xlookup(F50,z_Others!$B$21:$B$45,z_Others!$C$21:$C$45,"",0,1)</f>
        <v>ROW</v>
      </c>
      <c r="N50" s="297">
        <v>3.5440766E7</v>
      </c>
      <c r="O50" s="331" t="s">
        <v>494</v>
      </c>
      <c r="P50" s="303" t="s">
        <v>495</v>
      </c>
      <c r="Q50" s="300" t="s">
        <v>413</v>
      </c>
      <c r="R50" s="301" t="s">
        <v>414</v>
      </c>
      <c r="S50" s="302">
        <f t="array" ref="S50">if(isblank(E50),"",xlookup($S$9&amp;M50,z_Others!$X$5:$X$17&amp;z_Others!$W$5:$W$17,z_Others!$Z$5:$Z$17,"",0,1))</f>
        <v>35795514</v>
      </c>
      <c r="T50" s="303" t="str">
        <f t="array" ref="T50">if(isblank(E50),"",xlookup($S$9&amp;M50,z_Others!$X$5:$X$17&amp;z_Others!$W$5:$W$17,z_Others!$AH$5:$AH$17,"",0,1))</f>
        <v>35 795514 040000x</v>
      </c>
      <c r="U50" s="303" t="str">
        <f t="array" ref="U50">if(isblank(E50),"",xlookup($S$9&amp;M50,z_Others!$X$5:$X$17&amp;z_Others!$W$5:$W$17,z_Others!$AI$5:$AI$17,"",0,1))</f>
        <v>35 795514 999999x</v>
      </c>
      <c r="V50" s="303" t="str">
        <f t="shared" si="2"/>
        <v>64:9D:38:32:91:82
B0:D5:FB:C6:60:70</v>
      </c>
      <c r="W50" s="303" t="str">
        <f t="shared" si="3"/>
        <v>64:9D:38:37:25:61
B0:D5:FB:CE:01:8F</v>
      </c>
      <c r="X50" s="304" t="str">
        <f t="shared" si="4"/>
        <v>MP1.0</v>
      </c>
      <c r="Y50" s="292"/>
      <c r="Z50" s="304" t="str">
        <f t="shared" si="32"/>
        <v>Android 16</v>
      </c>
      <c r="AA50" s="304" t="str">
        <f t="shared" si="34"/>
        <v>Android 16</v>
      </c>
      <c r="AB50" s="305" t="s">
        <v>651</v>
      </c>
      <c r="AC50" s="305" t="s">
        <v>652</v>
      </c>
      <c r="AD50" s="314" t="s">
        <v>447</v>
      </c>
      <c r="AE50" s="307" t="s">
        <v>418</v>
      </c>
      <c r="AF50" s="308" t="s">
        <v>447</v>
      </c>
      <c r="AG50" s="309" t="s">
        <v>418</v>
      </c>
      <c r="AH50" s="297" t="str">
        <f t="array" ref="AH50">if(isblank(E50),"",xlookup(F50,z_Others!$B$21:$B$45,z_Others!$F$21:$F$45,"TBD",0,1))</f>
        <v>00</v>
      </c>
      <c r="AI50" s="310" t="str">
        <f t="array" ref="AI50">if(isblank(E50),"", xlookup(E50,'Import_FL5_LH_PVTMP_Configs (Do'!E:E,'Import_FL5_LH_PVTMP_Configs (Do'!O:O,"TBD",0,1))</f>
        <v>G710-07800-10</v>
      </c>
      <c r="AJ50" s="311"/>
      <c r="AK50" s="310" t="str">
        <f t="array" ref="AK50">if(isblank(E50),"", xlookup(E50,'Import_FL5_LH_PVTMP_Configs (Do'!E:E,'Import_FL5_LH_PVTMP_Configs (Do'!Q:Q,"TBD",0,1))</f>
        <v>G650-14694-05</v>
      </c>
      <c r="AL50" s="310" t="str">
        <f t="array" ref="AL50">if(isblank(E50),"", xlookup(E50,'Import_FL5_LH_PVTMP_Configs (Do'!E:E,'Import_FL5_LH_PVTMP_Configs (Do'!M:M,"TBD",0,1))</f>
        <v>G710-07670-01</v>
      </c>
      <c r="AM50" s="310" t="str">
        <f t="array" ref="AM50">if(isblank(E50),"", xlookup(E50,'Import_FL5_LH_PVTMP_Configs (Do'!E:E,'Import_FL5_LH_PVTMP_Configs (Do'!N:N,"TBD",0,1))</f>
        <v>G730-09533-04</v>
      </c>
      <c r="AN50" s="310" t="str">
        <f t="array" ref="AN50">if(isblank(E50),"", xlookup(E50,'Import_FL5_LH_PVTMP_Configs (Do'!E:E,'Import_FL5_LH_PVTMP_Configs (Do'!K:K,"TBD",0,1))</f>
        <v>G950-15935-17</v>
      </c>
      <c r="AO50" s="292" t="str">
        <f t="array" ref="AO50">if(isblank(E50),"",XLOOKUP(E50,'FL5_G954 Pkg ASSY (Pkg BOM)'!L:L,'FL5_G954 Pkg ASSY (Pkg BOM)'!G:G,"N/A",0,1))</f>
        <v>G954-08541-00</v>
      </c>
      <c r="AP50" s="292" t="str">
        <f t="array" ref="AP50">if(isblank(E50),"",xlookup(E50,'FL5_G962 Country kit (Accesorie'!L:L,'FL5_G962 Country kit (Accesorie'!G:G,"N/A",0,1))</f>
        <v>G962-00511-00</v>
      </c>
      <c r="AQ50" s="304" t="s">
        <v>653</v>
      </c>
      <c r="AR50" s="304" t="s">
        <v>499</v>
      </c>
      <c r="AS50" s="292" t="s">
        <v>596</v>
      </c>
      <c r="AT50" s="302" t="str">
        <f t="shared" si="6"/>
        <v>Yes</v>
      </c>
      <c r="AU50" s="302" t="str">
        <f t="shared" si="7"/>
        <v>No</v>
      </c>
      <c r="AV50" s="302" t="str">
        <f t="shared" si="8"/>
        <v>No</v>
      </c>
      <c r="AW50" s="302"/>
      <c r="AX50" s="302" t="s">
        <v>654</v>
      </c>
      <c r="AY50" s="302" t="s">
        <v>655</v>
      </c>
      <c r="AZ50" s="312" t="str">
        <f t="array" ref="AZ50">if(isblank(E50),"", xlookup(E50,Import_FL5_LH_PVT_BM!D:D,Import_FL5_LH_PVT_BM!AK:AK,$F$4,0,1))</f>
        <v>MP</v>
      </c>
      <c r="BA50" s="292" t="str">
        <f t="shared" si="9"/>
        <v>Retail_10ct</v>
      </c>
      <c r="BB50" s="313" t="str">
        <f t="array" ref="BB50">if(isblank(E50),"",xlookup(F50,z_Others!$B$21:$B$42,z_Others!$G$21:$G$42,"No",0,1))</f>
        <v>ROW Master Carton Label (UPC)</v>
      </c>
      <c r="BC50" s="313" t="str">
        <f t="array" ref="BC50">if(isblank(E50),"",xlookup(F50,z_Others!$B$21:$B$42,z_Others!$H$21:$H$42,"No",0,1))</f>
        <v>Standard Pallet Label (BTO)
Standard Pallet Label (BTS)</v>
      </c>
      <c r="BD50" s="314" t="s">
        <v>656</v>
      </c>
      <c r="BE50" s="314" t="str">
        <f t="array" ref="BE50">if(isblank(E50),"",xlookup(E50,'Import_VN_Label approve'!E:E,'Import_VN_Label approve'!N:N,"N/A",0,1))</f>
        <v>G990-09561-00-01
G990-09561-00-A</v>
      </c>
      <c r="BF50" s="315"/>
      <c r="BG50" s="332" t="s">
        <v>503</v>
      </c>
      <c r="BH50" s="317" t="s">
        <v>504</v>
      </c>
      <c r="BI50" s="318">
        <v>45773.0</v>
      </c>
      <c r="BJ50" s="319" t="str">
        <f t="array" ref="BJ50">if(isblank(E50),"", xlookup(D50,z_Others!$B$5:$B$17,z_Others!$C$5:$C$17,"",0,1))</f>
        <v>智能手機</v>
      </c>
      <c r="BK50" s="320">
        <v>45782.0</v>
      </c>
      <c r="BL50" s="320" t="str">
        <f t="array" ref="BL50">if(isblank(E50),"",xlookup(E50,'FL5_MP POR_LH_報關備案_G950 &amp; GA'!F:F,'FL5_MP POR_LH_報關備案_G950 &amp; GA'!E:E,"No Need",0,1))</f>
        <v>Close</v>
      </c>
      <c r="BM50" s="321" t="str">
        <f t="array" ref="BM50">if(isblank(E50),"",xlookup($BM$9&amp;E50,'Import_FL5 MPS (06.06.25) - Sor'!E46:E334&amp;'Import_FL5 MPS (06.06.25) - Sor'!F46:F334,'Import_FL5 MPS (06.06.25) - Sor'!ES46:ES334,"No demand",0,1))</f>
        <v>No demand</v>
      </c>
      <c r="BN50" s="321" t="str">
        <f t="array" ref="BN50">if(isblank(E50),"",xlookup($BN$9&amp;E50,'Import_FL5 MPS (06.06.25) - Sor'!E46:E334&amp;'Import_FL5 MPS (06.06.25) - Sor'!F46:F334,'Import_FL5 MPS (06.06.25) - Sor'!ES46:ES334,"No demand",0,1))</f>
        <v>No demand</v>
      </c>
      <c r="BO50" s="321" t="str">
        <f t="array" ref="BO50">if(isblank(E50),"",xlookup($BO$9&amp;E50,'Import_FL5 MPS (06.06.25) - Sor'!E46:E334&amp;'Import_FL5 MPS (06.06.25) - Sor'!F46:F334,'Import_FL5 MPS (06.06.25) - Sor'!ES46:ES334,"No demand",0,1))</f>
        <v>No demand</v>
      </c>
      <c r="BP50" s="322" t="str">
        <f t="array" ref="BP50">if(isblank(E50),"", xlookup(E50,'Import_LH_Label approve'!E:E,'Import_LH_Label approve'!L:L,"",0,1))</f>
        <v>NA</v>
      </c>
      <c r="BQ50" s="322" t="str">
        <f t="array" ref="BQ50">if(isblank(E50),"",xlookup(E50,'Import_VN_Label approve'!E:E,'Import_VN_Label approve'!M:M,"N/A",0,1))</f>
        <v>N/A</v>
      </c>
      <c r="BR50" s="325"/>
      <c r="BS50" s="323"/>
      <c r="BT50" s="324"/>
      <c r="BU50" s="91"/>
    </row>
    <row r="51">
      <c r="A51" s="176"/>
      <c r="B51" s="292">
        <v>40.0</v>
      </c>
      <c r="C51" s="231" t="s">
        <v>282</v>
      </c>
      <c r="D51" s="231" t="s">
        <v>408</v>
      </c>
      <c r="E51" s="293" t="s">
        <v>657</v>
      </c>
      <c r="F51" s="313" t="s">
        <v>527</v>
      </c>
      <c r="G51" s="294" t="s">
        <v>528</v>
      </c>
      <c r="H51" s="292" t="str">
        <f t="array" ref="H51">xlookup(F51,z_Others!$B$21:$B$45,z_Others!$E$21:$E$45,"",0,1)</f>
        <v>Sub6</v>
      </c>
      <c r="I51" s="295" t="s">
        <v>412</v>
      </c>
      <c r="J51" s="231" t="str">
        <f t="array" ref="J51">if(isblank(E51),"",xlookup(I51,z_Others!$M$17:$M$20,z_Others!$O$17:$O$20,"",0,1))</f>
        <v>Obsidian</v>
      </c>
      <c r="K51" s="292" t="str">
        <f t="array" ref="K51">xlookup(I51,z_Others!$M$17:$M$20,z_Others!$N$17:$N$20,"",0,1)</f>
        <v>BLK</v>
      </c>
      <c r="L51" s="292" t="str">
        <f t="array" ref="L51">xlookup(F51,z_Others!$B$21:$B$45,z_Others!$D$21:$D$45,"",0,1)</f>
        <v>GK2MP
</v>
      </c>
      <c r="M51" s="296" t="str">
        <f t="array" ref="M51">xlookup(F51,z_Others!$B$21:$B$45,z_Others!$C$21:$C$45,"",0,1)</f>
        <v>ROW</v>
      </c>
      <c r="N51" s="297">
        <v>3.5440766E7</v>
      </c>
      <c r="O51" s="331" t="s">
        <v>494</v>
      </c>
      <c r="P51" s="303" t="s">
        <v>495</v>
      </c>
      <c r="Q51" s="300" t="s">
        <v>413</v>
      </c>
      <c r="R51" s="301" t="s">
        <v>414</v>
      </c>
      <c r="S51" s="302">
        <f t="array" ref="S51">if(isblank(E51),"",xlookup($S$9&amp;M51,z_Others!$X$5:$X$17&amp;z_Others!$W$5:$W$17,z_Others!$Z$5:$Z$17,"",0,1))</f>
        <v>35795514</v>
      </c>
      <c r="T51" s="303" t="str">
        <f t="array" ref="T51">if(isblank(E51),"",xlookup($S$9&amp;M51,z_Others!$X$5:$X$17&amp;z_Others!$W$5:$W$17,z_Others!$AH$5:$AH$17,"",0,1))</f>
        <v>35 795514 040000x</v>
      </c>
      <c r="U51" s="303" t="str">
        <f t="array" ref="U51">if(isblank(E51),"",xlookup($S$9&amp;M51,z_Others!$X$5:$X$17&amp;z_Others!$W$5:$W$17,z_Others!$AI$5:$AI$17,"",0,1))</f>
        <v>35 795514 999999x</v>
      </c>
      <c r="V51" s="303" t="str">
        <f t="shared" si="2"/>
        <v>64:9D:38:32:91:82
B0:D5:FB:C6:60:70</v>
      </c>
      <c r="W51" s="303" t="str">
        <f t="shared" si="3"/>
        <v>64:9D:38:37:25:61
B0:D5:FB:CE:01:8F</v>
      </c>
      <c r="X51" s="304" t="str">
        <f t="shared" si="4"/>
        <v>MP1.0</v>
      </c>
      <c r="Y51" s="292"/>
      <c r="Z51" s="304" t="str">
        <f t="shared" si="32"/>
        <v>Android 16</v>
      </c>
      <c r="AA51" s="304" t="str">
        <f t="shared" si="34"/>
        <v>Android 16</v>
      </c>
      <c r="AB51" s="305" t="s">
        <v>658</v>
      </c>
      <c r="AC51" s="305" t="s">
        <v>659</v>
      </c>
      <c r="AD51" s="314" t="s">
        <v>447</v>
      </c>
      <c r="AE51" s="307" t="s">
        <v>418</v>
      </c>
      <c r="AF51" s="308" t="s">
        <v>447</v>
      </c>
      <c r="AG51" s="309" t="s">
        <v>418</v>
      </c>
      <c r="AH51" s="297" t="str">
        <f t="array" ref="AH51">if(isblank(E51),"",xlookup(F51,z_Others!$B$21:$B$45,z_Others!$F$21:$F$45,"TBD",0,1))</f>
        <v>00</v>
      </c>
      <c r="AI51" s="310" t="str">
        <f t="array" ref="AI51">if(isblank(E51),"", xlookup(E51,'Import_FL5_LH_PVTMP_Configs (Do'!E:E,'Import_FL5_LH_PVTMP_Configs (Do'!O:O,"TBD",0,1))</f>
        <v>G710-07800-10</v>
      </c>
      <c r="AJ51" s="311"/>
      <c r="AK51" s="310" t="str">
        <f t="array" ref="AK51">if(isblank(E51),"", xlookup(E51,'Import_FL5_LH_PVTMP_Configs (Do'!E:E,'Import_FL5_LH_PVTMP_Configs (Do'!Q:Q,"TBD",0,1))</f>
        <v>G650-14694-05</v>
      </c>
      <c r="AL51" s="310" t="str">
        <f t="array" ref="AL51">if(isblank(E51),"", xlookup(E51,'Import_FL5_LH_PVTMP_Configs (Do'!E:E,'Import_FL5_LH_PVTMP_Configs (Do'!M:M,"TBD",0,1))</f>
        <v>G710-07670-01</v>
      </c>
      <c r="AM51" s="310" t="str">
        <f t="array" ref="AM51">if(isblank(E51),"", xlookup(E51,'Import_FL5_LH_PVTMP_Configs (Do'!E:E,'Import_FL5_LH_PVTMP_Configs (Do'!N:N,"TBD",0,1))</f>
        <v>G730-09533-01</v>
      </c>
      <c r="AN51" s="310" t="str">
        <f t="array" ref="AN51">if(isblank(E51),"", xlookup(E51,'Import_FL5_LH_PVTMP_Configs (Do'!E:E,'Import_FL5_LH_PVTMP_Configs (Do'!K:K,"TBD",0,1))</f>
        <v>G950-15935-14</v>
      </c>
      <c r="AO51" s="292" t="str">
        <f t="array" ref="AO51">if(isblank(E51),"",XLOOKUP(E51,'FL5_G954 Pkg ASSY (Pkg BOM)'!L:L,'FL5_G954 Pkg ASSY (Pkg BOM)'!G:G,"N/A",0,1))</f>
        <v>G954-08542-00</v>
      </c>
      <c r="AP51" s="292" t="str">
        <f t="array" ref="AP51">if(isblank(E51),"",xlookup(E51,'FL5_G962 Country kit (Accesorie'!L:L,'FL5_G962 Country kit (Accesorie'!G:G,"N/A",0,1))</f>
        <v>G962-00511-00</v>
      </c>
      <c r="AQ51" s="304" t="s">
        <v>660</v>
      </c>
      <c r="AR51" s="304" t="s">
        <v>532</v>
      </c>
      <c r="AS51" s="292" t="s">
        <v>596</v>
      </c>
      <c r="AT51" s="302" t="str">
        <f t="shared" si="6"/>
        <v>Yes</v>
      </c>
      <c r="AU51" s="302" t="str">
        <f t="shared" si="7"/>
        <v>Yes</v>
      </c>
      <c r="AV51" s="302" t="str">
        <f t="shared" si="8"/>
        <v>No</v>
      </c>
      <c r="AW51" s="302"/>
      <c r="AX51" s="302" t="s">
        <v>661</v>
      </c>
      <c r="AY51" s="302" t="s">
        <v>662</v>
      </c>
      <c r="AZ51" s="312" t="str">
        <f t="array" ref="AZ51">if(isblank(E51),"", xlookup(E51,Import_FL5_LH_PVT_BM!D:D,Import_FL5_LH_PVT_BM!AK:AK,$F$4,0,1))</f>
        <v>MP</v>
      </c>
      <c r="BA51" s="292" t="str">
        <f t="shared" si="9"/>
        <v>Retail_10ct</v>
      </c>
      <c r="BB51" s="313" t="str">
        <f t="array" ref="BB51">if(isblank(E51),"",xlookup(F51,z_Others!$B$21:$B$42,z_Others!$G$21:$G$42,"No",0,1))</f>
        <v>ROW Master Carton Label (EAN)</v>
      </c>
      <c r="BC51" s="313" t="str">
        <f t="array" ref="BC51">if(isblank(E51),"",xlookup(F51,z_Others!$B$21:$B$42,z_Others!$H$21:$H$42,"No",0,1))</f>
        <v>Standard Pallet Label (BTO)
Standard Pallet Label (BTS)</v>
      </c>
      <c r="BD51" s="314" t="str">
        <f t="array" ref="BD51">if(isblank(E51),"",xlookup(E51,'Import_VN_Label approve'!E:E,'Import_VN_Label approve'!L:L,"N/A",0,1))</f>
        <v>G990-08490-12-05
G990-08490-12-B</v>
      </c>
      <c r="BE51" s="314" t="str">
        <f t="array" ref="BE51">if(isblank(E51),"",xlookup(E51,'Import_VN_Label approve'!E:E,'Import_VN_Label approve'!N:N,"N/A",0,1))</f>
        <v>G990-09563-00-A
G990-09563-00-B</v>
      </c>
      <c r="BF51" s="315"/>
      <c r="BG51" s="332" t="s">
        <v>503</v>
      </c>
      <c r="BH51" s="317" t="s">
        <v>504</v>
      </c>
      <c r="BI51" s="318">
        <v>45773.0</v>
      </c>
      <c r="BJ51" s="319" t="str">
        <f t="array" ref="BJ51">if(isblank(E51),"", xlookup(D51,z_Others!$B$5:$B$17,z_Others!$C$5:$C$17,"",0,1))</f>
        <v>智能手機</v>
      </c>
      <c r="BK51" s="320">
        <v>45765.0</v>
      </c>
      <c r="BL51" s="320" t="str">
        <f t="array" ref="BL51">if(isblank(E51),"",xlookup(E51,'FL5_MP POR_LH_報關備案_G950 &amp; GA'!F:F,'FL5_MP POR_LH_報關備案_G950 &amp; GA'!E:E,"No Need",0,1))</f>
        <v>Close</v>
      </c>
      <c r="BM51" s="321" t="str">
        <f t="array" ref="BM51">if(isblank(E51),"",xlookup($BM$9&amp;E51,'Import_FL5 MPS (06.06.25) - Sor'!E47:E334&amp;'Import_FL5 MPS (06.06.25) - Sor'!F47:F334,'Import_FL5 MPS (06.06.25) - Sor'!ES47:ES334,"No demand",0,1))</f>
        <v>No demand</v>
      </c>
      <c r="BN51" s="321" t="str">
        <f t="array" ref="BN51">if(isblank(E51),"",xlookup($BN$9&amp;E51,'Import_FL5 MPS (06.06.25) - Sor'!E47:E334&amp;'Import_FL5 MPS (06.06.25) - Sor'!F47:F334,'Import_FL5 MPS (06.06.25) - Sor'!ES47:ES334,"No demand",0,1))</f>
        <v>No demand</v>
      </c>
      <c r="BO51" s="321" t="str">
        <f t="array" ref="BO51">if(isblank(E51),"",xlookup($BO$9&amp;E51,'Import_FL5 MPS (06.06.25) - Sor'!E47:E334&amp;'Import_FL5 MPS (06.06.25) - Sor'!F47:F334,'Import_FL5 MPS (06.06.25) - Sor'!ES47:ES334,"No demand",0,1))</f>
        <v>No demand</v>
      </c>
      <c r="BP51" s="322" t="str">
        <f t="array" ref="BP51">if(isblank(E51),"", xlookup(E51,'Import_LH_Label approve'!E:E,'Import_LH_Label approve'!L:L,"",0,1))</f>
        <v>NA</v>
      </c>
      <c r="BQ51" s="322" t="str">
        <f t="array" ref="BQ51">if(isblank(E51),"",xlookup(E51,'Import_VN_Label approve'!E:E,'Import_VN_Label approve'!M:M,"N/A",0,1))</f>
        <v>N/A</v>
      </c>
      <c r="BR51" s="325"/>
      <c r="BS51" s="323"/>
      <c r="BT51" s="324"/>
      <c r="BU51" s="91"/>
    </row>
    <row r="52">
      <c r="A52" s="176"/>
      <c r="B52" s="292">
        <v>41.0</v>
      </c>
      <c r="C52" s="231" t="s">
        <v>282</v>
      </c>
      <c r="D52" s="231" t="s">
        <v>408</v>
      </c>
      <c r="E52" s="293" t="s">
        <v>663</v>
      </c>
      <c r="F52" s="313" t="s">
        <v>527</v>
      </c>
      <c r="G52" s="294" t="s">
        <v>528</v>
      </c>
      <c r="H52" s="292" t="str">
        <f t="array" ref="H52">xlookup(F52,z_Others!$B$21:$B$45,z_Others!$E$21:$E$45,"",0,1)</f>
        <v>Sub6</v>
      </c>
      <c r="I52" s="295" t="s">
        <v>425</v>
      </c>
      <c r="J52" s="231" t="str">
        <f t="array" ref="J52">if(isblank(E52),"",xlookup(I52,z_Others!$M$17:$M$20,z_Others!$O$17:$O$20,"",0,1))</f>
        <v>Frost</v>
      </c>
      <c r="K52" s="292" t="str">
        <f t="array" ref="K52">xlookup(I52,z_Others!$M$17:$M$20,z_Others!$N$17:$N$20,"",0,1)</f>
        <v>PPL</v>
      </c>
      <c r="L52" s="292" t="str">
        <f t="array" ref="L52">xlookup(F52,z_Others!$B$21:$B$45,z_Others!$D$21:$D$45,"",0,1)</f>
        <v>GK2MP
</v>
      </c>
      <c r="M52" s="296" t="str">
        <f t="array" ref="M52">xlookup(F52,z_Others!$B$21:$B$45,z_Others!$C$21:$C$45,"",0,1)</f>
        <v>ROW</v>
      </c>
      <c r="N52" s="297">
        <v>3.5440766E7</v>
      </c>
      <c r="O52" s="331" t="s">
        <v>494</v>
      </c>
      <c r="P52" s="303" t="s">
        <v>495</v>
      </c>
      <c r="Q52" s="300" t="s">
        <v>413</v>
      </c>
      <c r="R52" s="301" t="s">
        <v>414</v>
      </c>
      <c r="S52" s="302">
        <f t="array" ref="S52">if(isblank(E52),"",xlookup($S$9&amp;M52,z_Others!$X$5:$X$17&amp;z_Others!$W$5:$W$17,z_Others!$Z$5:$Z$17,"",0,1))</f>
        <v>35795514</v>
      </c>
      <c r="T52" s="303" t="str">
        <f t="array" ref="T52">if(isblank(E52),"",xlookup($S$9&amp;M52,z_Others!$X$5:$X$17&amp;z_Others!$W$5:$W$17,z_Others!$AH$5:$AH$17,"",0,1))</f>
        <v>35 795514 040000x</v>
      </c>
      <c r="U52" s="303" t="str">
        <f t="array" ref="U52">if(isblank(E52),"",xlookup($S$9&amp;M52,z_Others!$X$5:$X$17&amp;z_Others!$W$5:$W$17,z_Others!$AI$5:$AI$17,"",0,1))</f>
        <v>35 795514 999999x</v>
      </c>
      <c r="V52" s="303" t="str">
        <f t="shared" si="2"/>
        <v>64:9D:38:32:91:82
B0:D5:FB:C6:60:70</v>
      </c>
      <c r="W52" s="303" t="str">
        <f t="shared" si="3"/>
        <v>64:9D:38:37:25:61
B0:D5:FB:CE:01:8F</v>
      </c>
      <c r="X52" s="304" t="str">
        <f t="shared" si="4"/>
        <v>MP1.0</v>
      </c>
      <c r="Y52" s="292"/>
      <c r="Z52" s="304" t="str">
        <f t="shared" si="32"/>
        <v>Android 16</v>
      </c>
      <c r="AA52" s="304" t="str">
        <f t="shared" si="34"/>
        <v>Android 16</v>
      </c>
      <c r="AB52" s="305" t="s">
        <v>664</v>
      </c>
      <c r="AC52" s="305" t="s">
        <v>665</v>
      </c>
      <c r="AD52" s="314" t="s">
        <v>447</v>
      </c>
      <c r="AE52" s="307" t="s">
        <v>418</v>
      </c>
      <c r="AF52" s="308" t="s">
        <v>447</v>
      </c>
      <c r="AG52" s="309" t="s">
        <v>418</v>
      </c>
      <c r="AH52" s="297" t="str">
        <f t="array" ref="AH52">if(isblank(E52),"",xlookup(F52,z_Others!$B$21:$B$45,z_Others!$F$21:$F$45,"TBD",0,1))</f>
        <v>00</v>
      </c>
      <c r="AI52" s="310" t="str">
        <f t="array" ref="AI52">if(isblank(E52),"", xlookup(E52,'Import_FL5_LH_PVTMP_Configs (Do'!E:E,'Import_FL5_LH_PVTMP_Configs (Do'!O:O,"TBD",0,1))</f>
        <v>G710-07800-10</v>
      </c>
      <c r="AJ52" s="311"/>
      <c r="AK52" s="310" t="str">
        <f t="array" ref="AK52">if(isblank(E52),"", xlookup(E52,'Import_FL5_LH_PVTMP_Configs (Do'!E:E,'Import_FL5_LH_PVTMP_Configs (Do'!Q:Q,"TBD",0,1))</f>
        <v>G650-14694-05</v>
      </c>
      <c r="AL52" s="310" t="str">
        <f t="array" ref="AL52">if(isblank(E52),"", xlookup(E52,'Import_FL5_LH_PVTMP_Configs (Do'!E:E,'Import_FL5_LH_PVTMP_Configs (Do'!M:M,"TBD",0,1))</f>
        <v>G710-07670-01</v>
      </c>
      <c r="AM52" s="310" t="str">
        <f t="array" ref="AM52">if(isblank(E52),"", xlookup(E52,'Import_FL5_LH_PVTMP_Configs (Do'!E:E,'Import_FL5_LH_PVTMP_Configs (Do'!N:N,"TBD",0,1))</f>
        <v>G730-09533-02</v>
      </c>
      <c r="AN52" s="310" t="str">
        <f t="array" ref="AN52">if(isblank(E52),"", xlookup(E52,'Import_FL5_LH_PVTMP_Configs (Do'!E:E,'Import_FL5_LH_PVTMP_Configs (Do'!K:K,"TBD",0,1))</f>
        <v>G950-15935-15</v>
      </c>
      <c r="AO52" s="292" t="str">
        <f t="array" ref="AO52">if(isblank(E52),"",XLOOKUP(E52,'FL5_G954 Pkg ASSY (Pkg BOM)'!L:L,'FL5_G954 Pkg ASSY (Pkg BOM)'!G:G,"N/A",0,1))</f>
        <v>G954-08542-00</v>
      </c>
      <c r="AP52" s="292" t="str">
        <f t="array" ref="AP52">if(isblank(E52),"",xlookup(E52,'FL5_G962 Country kit (Accesorie'!L:L,'FL5_G962 Country kit (Accesorie'!G:G,"N/A",0,1))</f>
        <v>G962-00511-00</v>
      </c>
      <c r="AQ52" s="304" t="s">
        <v>666</v>
      </c>
      <c r="AR52" s="304" t="s">
        <v>532</v>
      </c>
      <c r="AS52" s="292" t="s">
        <v>596</v>
      </c>
      <c r="AT52" s="302" t="str">
        <f t="shared" si="6"/>
        <v>Yes</v>
      </c>
      <c r="AU52" s="302" t="str">
        <f t="shared" si="7"/>
        <v>Yes</v>
      </c>
      <c r="AV52" s="302" t="str">
        <f t="shared" si="8"/>
        <v>No</v>
      </c>
      <c r="AW52" s="302"/>
      <c r="AX52" s="302" t="s">
        <v>667</v>
      </c>
      <c r="AY52" s="302" t="s">
        <v>668</v>
      </c>
      <c r="AZ52" s="312" t="str">
        <f t="array" ref="AZ52">if(isblank(E52),"", xlookup(E52,Import_FL5_LH_PVT_BM!D:D,Import_FL5_LH_PVT_BM!AK:AK,$F$4,0,1))</f>
        <v>MP</v>
      </c>
      <c r="BA52" s="292" t="str">
        <f t="shared" si="9"/>
        <v>Retail_10ct</v>
      </c>
      <c r="BB52" s="313" t="str">
        <f t="array" ref="BB52">if(isblank(E52),"",xlookup(F52,z_Others!$B$21:$B$42,z_Others!$G$21:$G$42,"No",0,1))</f>
        <v>ROW Master Carton Label (EAN)</v>
      </c>
      <c r="BC52" s="313" t="str">
        <f t="array" ref="BC52">if(isblank(E52),"",xlookup(F52,z_Others!$B$21:$B$42,z_Others!$H$21:$H$42,"No",0,1))</f>
        <v>Standard Pallet Label (BTO)
Standard Pallet Label (BTS)</v>
      </c>
      <c r="BD52" s="314" t="str">
        <f t="array" ref="BD52">if(isblank(E52),"",xlookup(E52,'Import_VN_Label approve'!E:E,'Import_VN_Label approve'!L:L,"N/A",0,1))</f>
        <v>G990-08490-22-05
G990-08490-22-B</v>
      </c>
      <c r="BE52" s="314" t="str">
        <f t="array" ref="BE52">if(isblank(E52),"",xlookup(E52,'Import_VN_Label approve'!E:E,'Import_VN_Label approve'!N:N,"N/A",0,1))</f>
        <v>G990-09563-00-A
G990-09563-00-B</v>
      </c>
      <c r="BF52" s="315"/>
      <c r="BG52" s="332" t="s">
        <v>503</v>
      </c>
      <c r="BH52" s="317" t="s">
        <v>504</v>
      </c>
      <c r="BI52" s="318">
        <v>45773.0</v>
      </c>
      <c r="BJ52" s="319" t="str">
        <f t="array" ref="BJ52">if(isblank(E52),"", xlookup(D52,z_Others!$B$5:$B$17,z_Others!$C$5:$C$17,"",0,1))</f>
        <v>智能手機</v>
      </c>
      <c r="BK52" s="320">
        <v>45765.0</v>
      </c>
      <c r="BL52" s="320" t="str">
        <f t="array" ref="BL52">if(isblank(E52),"",xlookup(E52,'FL5_MP POR_LH_報關備案_G950 &amp; GA'!F:F,'FL5_MP POR_LH_報關備案_G950 &amp; GA'!E:E,"No Need",0,1))</f>
        <v>Close</v>
      </c>
      <c r="BM52" s="321" t="str">
        <f t="array" ref="BM52">if(isblank(E52),"",xlookup($BM$9&amp;E52,'Import_FL5 MPS (06.06.25) - Sor'!E48:E334&amp;'Import_FL5 MPS (06.06.25) - Sor'!F48:F334,'Import_FL5 MPS (06.06.25) - Sor'!ES48:ES334,"No demand",0,1))</f>
        <v>No demand</v>
      </c>
      <c r="BN52" s="321" t="str">
        <f t="array" ref="BN52">if(isblank(E52),"",xlookup($BN$9&amp;E52,'Import_FL5 MPS (06.06.25) - Sor'!E48:E334&amp;'Import_FL5 MPS (06.06.25) - Sor'!F48:F334,'Import_FL5 MPS (06.06.25) - Sor'!ES48:ES334,"No demand",0,1))</f>
        <v>No demand</v>
      </c>
      <c r="BO52" s="321" t="str">
        <f t="array" ref="BO52">if(isblank(E52),"",xlookup($BO$9&amp;E52,'Import_FL5 MPS (06.06.25) - Sor'!E48:E334&amp;'Import_FL5 MPS (06.06.25) - Sor'!F48:F334,'Import_FL5 MPS (06.06.25) - Sor'!ES48:ES334,"No demand",0,1))</f>
        <v>No demand</v>
      </c>
      <c r="BP52" s="322" t="str">
        <f t="array" ref="BP52">if(isblank(E52),"", xlookup(E52,'Import_LH_Label approve'!E:E,'Import_LH_Label approve'!L:L,"",0,1))</f>
        <v>NA</v>
      </c>
      <c r="BQ52" s="322" t="str">
        <f t="array" ref="BQ52">if(isblank(E52),"",xlookup(E52,'Import_VN_Label approve'!E:E,'Import_VN_Label approve'!M:M,"N/A",0,1))</f>
        <v>N/A</v>
      </c>
      <c r="BR52" s="325"/>
      <c r="BS52" s="323"/>
      <c r="BT52" s="324"/>
      <c r="BU52" s="91"/>
    </row>
    <row r="53">
      <c r="A53" s="176"/>
      <c r="B53" s="292">
        <v>42.0</v>
      </c>
      <c r="C53" s="231" t="s">
        <v>282</v>
      </c>
      <c r="D53" s="231" t="s">
        <v>408</v>
      </c>
      <c r="E53" s="293" t="s">
        <v>669</v>
      </c>
      <c r="F53" s="313" t="s">
        <v>527</v>
      </c>
      <c r="G53" s="294" t="s">
        <v>528</v>
      </c>
      <c r="H53" s="292" t="str">
        <f t="array" ref="H53">xlookup(F53,z_Others!$B$21:$B$45,z_Others!$E$21:$E$45,"",0,1)</f>
        <v>Sub6</v>
      </c>
      <c r="I53" s="295" t="s">
        <v>431</v>
      </c>
      <c r="J53" s="231" t="str">
        <f t="array" ref="J53">if(isblank(E53),"",xlookup(I53,z_Others!$M$17:$M$20,z_Others!$O$17:$O$20,"",0,1))</f>
        <v>Lemongrass</v>
      </c>
      <c r="K53" s="292" t="str">
        <f t="array" ref="K53">xlookup(I53,z_Others!$M$17:$M$20,z_Others!$N$17:$N$20,"",0,1)</f>
        <v>YEL</v>
      </c>
      <c r="L53" s="292" t="str">
        <f t="array" ref="L53">xlookup(F53,z_Others!$B$21:$B$45,z_Others!$D$21:$D$45,"",0,1)</f>
        <v>GK2MP
</v>
      </c>
      <c r="M53" s="296" t="str">
        <f t="array" ref="M53">xlookup(F53,z_Others!$B$21:$B$45,z_Others!$C$21:$C$45,"",0,1)</f>
        <v>ROW</v>
      </c>
      <c r="N53" s="297">
        <v>3.5440766E7</v>
      </c>
      <c r="O53" s="331" t="s">
        <v>494</v>
      </c>
      <c r="P53" s="303" t="s">
        <v>495</v>
      </c>
      <c r="Q53" s="300" t="s">
        <v>413</v>
      </c>
      <c r="R53" s="301" t="s">
        <v>414</v>
      </c>
      <c r="S53" s="302">
        <f t="array" ref="S53">if(isblank(E53),"",xlookup($S$9&amp;M53,z_Others!$X$5:$X$17&amp;z_Others!$W$5:$W$17,z_Others!$Z$5:$Z$17,"",0,1))</f>
        <v>35795514</v>
      </c>
      <c r="T53" s="303" t="str">
        <f t="array" ref="T53">if(isblank(E53),"",xlookup($S$9&amp;M53,z_Others!$X$5:$X$17&amp;z_Others!$W$5:$W$17,z_Others!$AH$5:$AH$17,"",0,1))</f>
        <v>35 795514 040000x</v>
      </c>
      <c r="U53" s="303" t="str">
        <f t="array" ref="U53">if(isblank(E53),"",xlookup($S$9&amp;M53,z_Others!$X$5:$X$17&amp;z_Others!$W$5:$W$17,z_Others!$AI$5:$AI$17,"",0,1))</f>
        <v>35 795514 999999x</v>
      </c>
      <c r="V53" s="303" t="str">
        <f t="shared" si="2"/>
        <v>64:9D:38:32:91:82
B0:D5:FB:C6:60:70</v>
      </c>
      <c r="W53" s="303" t="str">
        <f t="shared" si="3"/>
        <v>64:9D:38:37:25:61
B0:D5:FB:CE:01:8F</v>
      </c>
      <c r="X53" s="304" t="str">
        <f t="shared" si="4"/>
        <v>MP1.0</v>
      </c>
      <c r="Y53" s="292"/>
      <c r="Z53" s="304" t="str">
        <f t="shared" si="32"/>
        <v>Android 16</v>
      </c>
      <c r="AA53" s="304" t="str">
        <f t="shared" si="34"/>
        <v>Android 16</v>
      </c>
      <c r="AB53" s="305" t="s">
        <v>670</v>
      </c>
      <c r="AC53" s="305" t="s">
        <v>671</v>
      </c>
      <c r="AD53" s="314" t="s">
        <v>447</v>
      </c>
      <c r="AE53" s="307" t="s">
        <v>418</v>
      </c>
      <c r="AF53" s="308" t="s">
        <v>447</v>
      </c>
      <c r="AG53" s="309" t="s">
        <v>418</v>
      </c>
      <c r="AH53" s="297" t="str">
        <f t="array" ref="AH53">if(isblank(E53),"",xlookup(F53,z_Others!$B$21:$B$45,z_Others!$F$21:$F$45,"TBD",0,1))</f>
        <v>00</v>
      </c>
      <c r="AI53" s="310" t="str">
        <f t="array" ref="AI53">if(isblank(E53),"", xlookup(E53,'Import_FL5_LH_PVTMP_Configs (Do'!E:E,'Import_FL5_LH_PVTMP_Configs (Do'!O:O,"TBD",0,1))</f>
        <v>G710-07800-10</v>
      </c>
      <c r="AJ53" s="311"/>
      <c r="AK53" s="310" t="str">
        <f t="array" ref="AK53">if(isblank(E53),"", xlookup(E53,'Import_FL5_LH_PVTMP_Configs (Do'!E:E,'Import_FL5_LH_PVTMP_Configs (Do'!Q:Q,"TBD",0,1))</f>
        <v>G650-14694-05</v>
      </c>
      <c r="AL53" s="310" t="str">
        <f t="array" ref="AL53">if(isblank(E53),"", xlookup(E53,'Import_FL5_LH_PVTMP_Configs (Do'!E:E,'Import_FL5_LH_PVTMP_Configs (Do'!M:M,"TBD",0,1))</f>
        <v>G710-07670-01</v>
      </c>
      <c r="AM53" s="310" t="str">
        <f t="array" ref="AM53">if(isblank(E53),"", xlookup(E53,'Import_FL5_LH_PVTMP_Configs (Do'!E:E,'Import_FL5_LH_PVTMP_Configs (Do'!N:N,"TBD",0,1))</f>
        <v>G730-09533-03</v>
      </c>
      <c r="AN53" s="310" t="str">
        <f t="array" ref="AN53">if(isblank(E53),"", xlookup(E53,'Import_FL5_LH_PVTMP_Configs (Do'!E:E,'Import_FL5_LH_PVTMP_Configs (Do'!K:K,"TBD",0,1))</f>
        <v>G950-15935-16</v>
      </c>
      <c r="AO53" s="292" t="str">
        <f t="array" ref="AO53">if(isblank(E53),"",XLOOKUP(E53,'FL5_G954 Pkg ASSY (Pkg BOM)'!L:L,'FL5_G954 Pkg ASSY (Pkg BOM)'!G:G,"N/A",0,1))</f>
        <v>G954-08542-00</v>
      </c>
      <c r="AP53" s="292" t="str">
        <f t="array" ref="AP53">if(isblank(E53),"",xlookup(E53,'FL5_G962 Country kit (Accesorie'!L:L,'FL5_G962 Country kit (Accesorie'!G:G,"N/A",0,1))</f>
        <v>G962-00511-00</v>
      </c>
      <c r="AQ53" s="304" t="s">
        <v>672</v>
      </c>
      <c r="AR53" s="304" t="s">
        <v>532</v>
      </c>
      <c r="AS53" s="292" t="s">
        <v>596</v>
      </c>
      <c r="AT53" s="302" t="str">
        <f t="shared" si="6"/>
        <v>Yes</v>
      </c>
      <c r="AU53" s="302" t="str">
        <f t="shared" si="7"/>
        <v>Yes</v>
      </c>
      <c r="AV53" s="302" t="str">
        <f t="shared" si="8"/>
        <v>No</v>
      </c>
      <c r="AW53" s="302"/>
      <c r="AX53" s="302" t="s">
        <v>673</v>
      </c>
      <c r="AY53" s="302" t="s">
        <v>674</v>
      </c>
      <c r="AZ53" s="312" t="str">
        <f t="array" ref="AZ53">if(isblank(E53),"", xlookup(E53,Import_FL5_LH_PVT_BM!D:D,Import_FL5_LH_PVT_BM!AK:AK,$F$4,0,1))</f>
        <v>MP</v>
      </c>
      <c r="BA53" s="292" t="str">
        <f t="shared" si="9"/>
        <v>Retail_10ct</v>
      </c>
      <c r="BB53" s="313" t="str">
        <f t="array" ref="BB53">if(isblank(E53),"",xlookup(F53,z_Others!$B$21:$B$42,z_Others!$G$21:$G$42,"No",0,1))</f>
        <v>ROW Master Carton Label (EAN)</v>
      </c>
      <c r="BC53" s="313" t="str">
        <f t="array" ref="BC53">if(isblank(E53),"",xlookup(F53,z_Others!$B$21:$B$42,z_Others!$H$21:$H$42,"No",0,1))</f>
        <v>Standard Pallet Label (BTO)
Standard Pallet Label (BTS)</v>
      </c>
      <c r="BD53" s="314" t="str">
        <f t="array" ref="BD53">if(isblank(E53),"",xlookup(E53,'Import_VN_Label approve'!E:E,'Import_VN_Label approve'!L:L,"N/A",0,1))</f>
        <v>G990-08490-32-05
G990-08490-32-B</v>
      </c>
      <c r="BE53" s="314" t="str">
        <f t="array" ref="BE53">if(isblank(E53),"",xlookup(E53,'Import_VN_Label approve'!E:E,'Import_VN_Label approve'!N:N,"N/A",0,1))</f>
        <v>G990-09563-00-A
G990-09563-00-B</v>
      </c>
      <c r="BF53" s="315"/>
      <c r="BG53" s="332" t="s">
        <v>503</v>
      </c>
      <c r="BH53" s="317" t="s">
        <v>504</v>
      </c>
      <c r="BI53" s="318">
        <v>45773.0</v>
      </c>
      <c r="BJ53" s="319" t="str">
        <f t="array" ref="BJ53">if(isblank(E53),"", xlookup(D53,z_Others!$B$5:$B$17,z_Others!$C$5:$C$17,"",0,1))</f>
        <v>智能手機</v>
      </c>
      <c r="BK53" s="320">
        <v>45782.0</v>
      </c>
      <c r="BL53" s="320" t="str">
        <f t="array" ref="BL53">if(isblank(E53),"",xlookup(E53,'FL5_MP POR_LH_報關備案_G950 &amp; GA'!F:F,'FL5_MP POR_LH_報關備案_G950 &amp; GA'!E:E,"No Need",0,1))</f>
        <v>Close</v>
      </c>
      <c r="BM53" s="321" t="str">
        <f t="array" ref="BM53">if(isblank(E53),"",xlookup($BM$9&amp;E53,'Import_FL5 MPS (06.06.25) - Sor'!E49:E334&amp;'Import_FL5 MPS (06.06.25) - Sor'!F49:F334,'Import_FL5 MPS (06.06.25) - Sor'!ES49:ES334,"No demand",0,1))</f>
        <v>No demand</v>
      </c>
      <c r="BN53" s="321" t="str">
        <f t="array" ref="BN53">if(isblank(E53),"",xlookup($BN$9&amp;E53,'Import_FL5 MPS (06.06.25) - Sor'!E49:E334&amp;'Import_FL5 MPS (06.06.25) - Sor'!F49:F334,'Import_FL5 MPS (06.06.25) - Sor'!ES49:ES334,"No demand",0,1))</f>
        <v>No demand</v>
      </c>
      <c r="BO53" s="321" t="str">
        <f t="array" ref="BO53">if(isblank(E53),"",xlookup($BO$9&amp;E53,'Import_FL5 MPS (06.06.25) - Sor'!E49:E334&amp;'Import_FL5 MPS (06.06.25) - Sor'!F49:F334,'Import_FL5 MPS (06.06.25) - Sor'!ES49:ES334,"No demand",0,1))</f>
        <v>No demand</v>
      </c>
      <c r="BP53" s="322" t="str">
        <f t="array" ref="BP53">if(isblank(E53),"", xlookup(E53,'Import_LH_Label approve'!E:E,'Import_LH_Label approve'!L:L,"",0,1))</f>
        <v>NA</v>
      </c>
      <c r="BQ53" s="322" t="str">
        <f t="array" ref="BQ53">if(isblank(E53),"",xlookup(E53,'Import_VN_Label approve'!E:E,'Import_VN_Label approve'!M:M,"N/A",0,1))</f>
        <v>N/A</v>
      </c>
      <c r="BR53" s="325"/>
      <c r="BS53" s="323"/>
      <c r="BT53" s="324"/>
      <c r="BU53" s="91"/>
    </row>
    <row r="54">
      <c r="A54" s="176"/>
      <c r="B54" s="292">
        <v>43.0</v>
      </c>
      <c r="C54" s="231" t="s">
        <v>282</v>
      </c>
      <c r="D54" s="231" t="s">
        <v>408</v>
      </c>
      <c r="E54" s="293" t="s">
        <v>675</v>
      </c>
      <c r="F54" s="313" t="s">
        <v>527</v>
      </c>
      <c r="G54" s="294" t="s">
        <v>528</v>
      </c>
      <c r="H54" s="292" t="str">
        <f t="array" ref="H54">xlookup(F54,z_Others!$B$21:$B$45,z_Others!$E$21:$E$45,"",0,1)</f>
        <v>Sub6</v>
      </c>
      <c r="I54" s="295" t="s">
        <v>437</v>
      </c>
      <c r="J54" s="231" t="str">
        <f t="array" ref="J54">if(isblank(E54),"",xlookup(I54,z_Others!$M$17:$M$20,z_Others!$O$17:$O$20,"",0,1))</f>
        <v>Indigo</v>
      </c>
      <c r="K54" s="292" t="str">
        <f t="array" ref="K54">xlookup(I54,z_Others!$M$17:$M$20,z_Others!$N$17:$N$20,"",0,1)</f>
        <v>BUE</v>
      </c>
      <c r="L54" s="292" t="str">
        <f t="array" ref="L54">xlookup(F54,z_Others!$B$21:$B$45,z_Others!$D$21:$D$45,"",0,1)</f>
        <v>GK2MP
</v>
      </c>
      <c r="M54" s="296" t="str">
        <f t="array" ref="M54">xlookup(F54,z_Others!$B$21:$B$45,z_Others!$C$21:$C$45,"",0,1)</f>
        <v>ROW</v>
      </c>
      <c r="N54" s="297">
        <v>3.5440766E7</v>
      </c>
      <c r="O54" s="331" t="s">
        <v>494</v>
      </c>
      <c r="P54" s="303" t="s">
        <v>495</v>
      </c>
      <c r="Q54" s="300" t="s">
        <v>413</v>
      </c>
      <c r="R54" s="301" t="s">
        <v>414</v>
      </c>
      <c r="S54" s="302">
        <f t="array" ref="S54">if(isblank(E54),"",xlookup($S$9&amp;M54,z_Others!$X$5:$X$17&amp;z_Others!$W$5:$W$17,z_Others!$Z$5:$Z$17,"",0,1))</f>
        <v>35795514</v>
      </c>
      <c r="T54" s="303" t="str">
        <f t="array" ref="T54">if(isblank(E54),"",xlookup($S$9&amp;M54,z_Others!$X$5:$X$17&amp;z_Others!$W$5:$W$17,z_Others!$AH$5:$AH$17,"",0,1))</f>
        <v>35 795514 040000x</v>
      </c>
      <c r="U54" s="303" t="str">
        <f t="array" ref="U54">if(isblank(E54),"",xlookup($S$9&amp;M54,z_Others!$X$5:$X$17&amp;z_Others!$W$5:$W$17,z_Others!$AI$5:$AI$17,"",0,1))</f>
        <v>35 795514 999999x</v>
      </c>
      <c r="V54" s="303" t="str">
        <f t="shared" si="2"/>
        <v>64:9D:38:32:91:82
B0:D5:FB:C6:60:70</v>
      </c>
      <c r="W54" s="303" t="str">
        <f t="shared" si="3"/>
        <v>64:9D:38:37:25:61
B0:D5:FB:CE:01:8F</v>
      </c>
      <c r="X54" s="304" t="str">
        <f t="shared" si="4"/>
        <v>MP1.0</v>
      </c>
      <c r="Y54" s="292"/>
      <c r="Z54" s="304" t="str">
        <f t="shared" si="32"/>
        <v>Android 16</v>
      </c>
      <c r="AA54" s="304" t="str">
        <f t="shared" si="34"/>
        <v>Android 16</v>
      </c>
      <c r="AB54" s="305" t="s">
        <v>676</v>
      </c>
      <c r="AC54" s="305" t="s">
        <v>677</v>
      </c>
      <c r="AD54" s="314" t="s">
        <v>447</v>
      </c>
      <c r="AE54" s="307" t="s">
        <v>418</v>
      </c>
      <c r="AF54" s="308" t="s">
        <v>447</v>
      </c>
      <c r="AG54" s="309" t="s">
        <v>418</v>
      </c>
      <c r="AH54" s="297" t="str">
        <f t="array" ref="AH54">if(isblank(E54),"",xlookup(F54,z_Others!$B$21:$B$45,z_Others!$F$21:$F$45,"TBD",0,1))</f>
        <v>00</v>
      </c>
      <c r="AI54" s="310" t="str">
        <f t="array" ref="AI54">if(isblank(E54),"", xlookup(E54,'Import_FL5_LH_PVTMP_Configs (Do'!E:E,'Import_FL5_LH_PVTMP_Configs (Do'!O:O,"TBD",0,1))</f>
        <v>G710-07800-10</v>
      </c>
      <c r="AJ54" s="311"/>
      <c r="AK54" s="310" t="str">
        <f t="array" ref="AK54">if(isblank(E54),"", xlookup(E54,'Import_FL5_LH_PVTMP_Configs (Do'!E:E,'Import_FL5_LH_PVTMP_Configs (Do'!Q:Q,"TBD",0,1))</f>
        <v>G650-14694-05</v>
      </c>
      <c r="AL54" s="310" t="str">
        <f t="array" ref="AL54">if(isblank(E54),"", xlookup(E54,'Import_FL5_LH_PVTMP_Configs (Do'!E:E,'Import_FL5_LH_PVTMP_Configs (Do'!M:M,"TBD",0,1))</f>
        <v>G710-07670-01</v>
      </c>
      <c r="AM54" s="310" t="str">
        <f t="array" ref="AM54">if(isblank(E54),"", xlookup(E54,'Import_FL5_LH_PVTMP_Configs (Do'!E:E,'Import_FL5_LH_PVTMP_Configs (Do'!N:N,"TBD",0,1))</f>
        <v>G730-09533-04</v>
      </c>
      <c r="AN54" s="310" t="str">
        <f t="array" ref="AN54">if(isblank(E54),"", xlookup(E54,'Import_FL5_LH_PVTMP_Configs (Do'!E:E,'Import_FL5_LH_PVTMP_Configs (Do'!K:K,"TBD",0,1))</f>
        <v>G950-15935-17</v>
      </c>
      <c r="AO54" s="292" t="str">
        <f t="array" ref="AO54">if(isblank(E54),"",XLOOKUP(E54,'FL5_G954 Pkg ASSY (Pkg BOM)'!L:L,'FL5_G954 Pkg ASSY (Pkg BOM)'!G:G,"N/A",0,1))</f>
        <v>G954-08542-00</v>
      </c>
      <c r="AP54" s="292" t="str">
        <f t="array" ref="AP54">if(isblank(E54),"",xlookup(E54,'FL5_G962 Country kit (Accesorie'!L:L,'FL5_G962 Country kit (Accesorie'!G:G,"N/A",0,1))</f>
        <v>G962-00511-00</v>
      </c>
      <c r="AQ54" s="304" t="s">
        <v>678</v>
      </c>
      <c r="AR54" s="304" t="s">
        <v>532</v>
      </c>
      <c r="AS54" s="292" t="s">
        <v>596</v>
      </c>
      <c r="AT54" s="302" t="str">
        <f t="shared" si="6"/>
        <v>Yes</v>
      </c>
      <c r="AU54" s="302" t="str">
        <f t="shared" si="7"/>
        <v>Yes</v>
      </c>
      <c r="AV54" s="302" t="str">
        <f t="shared" si="8"/>
        <v>No</v>
      </c>
      <c r="AW54" s="302"/>
      <c r="AX54" s="302" t="s">
        <v>679</v>
      </c>
      <c r="AY54" s="302" t="s">
        <v>680</v>
      </c>
      <c r="AZ54" s="312" t="str">
        <f t="array" ref="AZ54">if(isblank(E54),"", xlookup(E54,Import_FL5_LH_PVT_BM!D:D,Import_FL5_LH_PVT_BM!AK:AK,$F$4,0,1))</f>
        <v>MP</v>
      </c>
      <c r="BA54" s="292" t="str">
        <f t="shared" si="9"/>
        <v>Retail_10ct</v>
      </c>
      <c r="BB54" s="313" t="str">
        <f t="array" ref="BB54">if(isblank(E54),"",xlookup(F54,z_Others!$B$21:$B$42,z_Others!$G$21:$G$42,"No",0,1))</f>
        <v>ROW Master Carton Label (EAN)</v>
      </c>
      <c r="BC54" s="313" t="str">
        <f t="array" ref="BC54">if(isblank(E54),"",xlookup(F54,z_Others!$B$21:$B$42,z_Others!$H$21:$H$42,"No",0,1))</f>
        <v>Standard Pallet Label (BTO)
Standard Pallet Label (BTS)</v>
      </c>
      <c r="BD54" s="314" t="str">
        <f t="array" ref="BD54">if(isblank(E54),"",xlookup(E54,'Import_VN_Label approve'!E:E,'Import_VN_Label approve'!L:L,"N/A",0,1))</f>
        <v>G990-08490-42-05
G990-08490-42-B</v>
      </c>
      <c r="BE54" s="314" t="str">
        <f t="array" ref="BE54">if(isblank(E54),"",xlookup(E54,'Import_VN_Label approve'!E:E,'Import_VN_Label approve'!N:N,"N/A",0,1))</f>
        <v>G990-09563-00-A
G990-09563-00-B</v>
      </c>
      <c r="BF54" s="315"/>
      <c r="BG54" s="332" t="s">
        <v>503</v>
      </c>
      <c r="BH54" s="317" t="s">
        <v>504</v>
      </c>
      <c r="BI54" s="318">
        <v>45773.0</v>
      </c>
      <c r="BJ54" s="319" t="str">
        <f t="array" ref="BJ54">if(isblank(E54),"", xlookup(D54,z_Others!$B$5:$B$17,z_Others!$C$5:$C$17,"",0,1))</f>
        <v>智能手機</v>
      </c>
      <c r="BK54" s="320">
        <v>45782.0</v>
      </c>
      <c r="BL54" s="320" t="str">
        <f t="array" ref="BL54">if(isblank(E54),"",xlookup(E54,'FL5_MP POR_LH_報關備案_G950 &amp; GA'!F:F,'FL5_MP POR_LH_報關備案_G950 &amp; GA'!E:E,"No Need",0,1))</f>
        <v>Close</v>
      </c>
      <c r="BM54" s="321" t="str">
        <f t="array" ref="BM54">if(isblank(E54),"",xlookup($BM$9&amp;E54,'Import_FL5 MPS (06.06.25) - Sor'!E50:E334&amp;'Import_FL5 MPS (06.06.25) - Sor'!F50:F334,'Import_FL5 MPS (06.06.25) - Sor'!ES50:ES334,"No demand",0,1))</f>
        <v>No demand</v>
      </c>
      <c r="BN54" s="321" t="str">
        <f t="array" ref="BN54">if(isblank(E54),"",xlookup($BN$9&amp;E54,'Import_FL5 MPS (06.06.25) - Sor'!E50:E334&amp;'Import_FL5 MPS (06.06.25) - Sor'!F50:F334,'Import_FL5 MPS (06.06.25) - Sor'!ES50:ES334,"No demand",0,1))</f>
        <v>No demand</v>
      </c>
      <c r="BO54" s="321" t="str">
        <f t="array" ref="BO54">if(isblank(E54),"",xlookup($BO$9&amp;E54,'Import_FL5 MPS (06.06.25) - Sor'!E50:E334&amp;'Import_FL5 MPS (06.06.25) - Sor'!F50:F334,'Import_FL5 MPS (06.06.25) - Sor'!ES50:ES334,"No demand",0,1))</f>
        <v>No demand</v>
      </c>
      <c r="BP54" s="322" t="str">
        <f t="array" ref="BP54">if(isblank(E54),"", xlookup(E54,'Import_LH_Label approve'!E:E,'Import_LH_Label approve'!L:L,"",0,1))</f>
        <v>NA</v>
      </c>
      <c r="BQ54" s="322" t="str">
        <f t="array" ref="BQ54">if(isblank(E54),"",xlookup(E54,'Import_VN_Label approve'!E:E,'Import_VN_Label approve'!M:M,"N/A",0,1))</f>
        <v>N/A</v>
      </c>
      <c r="BR54" s="325"/>
      <c r="BS54" s="323"/>
      <c r="BT54" s="324"/>
      <c r="BU54" s="91"/>
    </row>
    <row r="55">
      <c r="A55" s="176"/>
      <c r="B55" s="292">
        <v>44.0</v>
      </c>
      <c r="C55" s="231" t="s">
        <v>282</v>
      </c>
      <c r="D55" s="231" t="s">
        <v>408</v>
      </c>
      <c r="E55" s="293" t="s">
        <v>681</v>
      </c>
      <c r="F55" s="313" t="s">
        <v>583</v>
      </c>
      <c r="G55" s="294" t="s">
        <v>493</v>
      </c>
      <c r="H55" s="292" t="str">
        <f t="array" ref="H55">xlookup(F55,z_Others!$B$21:$B$45,z_Others!$E$21:$E$45,"",0,1)</f>
        <v>Sub6</v>
      </c>
      <c r="I55" s="295" t="s">
        <v>412</v>
      </c>
      <c r="J55" s="231" t="str">
        <f t="array" ref="J55">if(isblank(E55),"",xlookup(I55,z_Others!$M$17:$M$20,z_Others!$O$17:$O$20,"",0,1))</f>
        <v>Obsidian</v>
      </c>
      <c r="K55" s="292" t="str">
        <f t="array" ref="K55">xlookup(I55,z_Others!$M$17:$M$20,z_Others!$N$17:$N$20,"",0,1)</f>
        <v>BLK</v>
      </c>
      <c r="L55" s="292" t="str">
        <f t="array" ref="L55">xlookup(F55,z_Others!$B$21:$B$45,z_Others!$D$21:$D$45,"",0,1)</f>
        <v>GK2MP</v>
      </c>
      <c r="M55" s="296" t="str">
        <f t="array" ref="M55">xlookup(F55,z_Others!$B$21:$B$45,z_Others!$C$21:$C$45,"",0,1)</f>
        <v>ROW</v>
      </c>
      <c r="N55" s="297">
        <v>3.5440766E7</v>
      </c>
      <c r="O55" s="331" t="s">
        <v>494</v>
      </c>
      <c r="P55" s="303" t="s">
        <v>495</v>
      </c>
      <c r="Q55" s="300" t="s">
        <v>413</v>
      </c>
      <c r="R55" s="301" t="s">
        <v>414</v>
      </c>
      <c r="S55" s="302">
        <f t="array" ref="S55">if(isblank(E55),"",xlookup($S$9&amp;M55,z_Others!$X$5:$X$17&amp;z_Others!$W$5:$W$17,z_Others!$Z$5:$Z$17,"",0,1))</f>
        <v>35795514</v>
      </c>
      <c r="T55" s="303" t="str">
        <f t="array" ref="T55">if(isblank(E55),"",xlookup($S$9&amp;M55,z_Others!$X$5:$X$17&amp;z_Others!$W$5:$W$17,z_Others!$AH$5:$AH$17,"",0,1))</f>
        <v>35 795514 040000x</v>
      </c>
      <c r="U55" s="303" t="str">
        <f t="array" ref="U55">if(isblank(E55),"",xlookup($S$9&amp;M55,z_Others!$X$5:$X$17&amp;z_Others!$W$5:$W$17,z_Others!$AI$5:$AI$17,"",0,1))</f>
        <v>35 795514 999999x</v>
      </c>
      <c r="V55" s="303" t="str">
        <f t="shared" si="2"/>
        <v>64:9D:38:32:91:82
B0:D5:FB:C6:60:70</v>
      </c>
      <c r="W55" s="303" t="str">
        <f t="shared" si="3"/>
        <v>64:9D:38:37:25:61
B0:D5:FB:CE:01:8F</v>
      </c>
      <c r="X55" s="304" t="str">
        <f t="shared" si="4"/>
        <v>MP1.0</v>
      </c>
      <c r="Y55" s="292"/>
      <c r="Z55" s="304" t="str">
        <f t="shared" si="32"/>
        <v>Android 16</v>
      </c>
      <c r="AA55" s="304" t="str">
        <f t="shared" si="34"/>
        <v>Android 16</v>
      </c>
      <c r="AB55" s="305" t="s">
        <v>682</v>
      </c>
      <c r="AC55" s="305" t="s">
        <v>683</v>
      </c>
      <c r="AD55" s="314" t="s">
        <v>447</v>
      </c>
      <c r="AE55" s="307" t="s">
        <v>418</v>
      </c>
      <c r="AF55" s="308" t="s">
        <v>447</v>
      </c>
      <c r="AG55" s="309" t="s">
        <v>418</v>
      </c>
      <c r="AH55" s="297" t="str">
        <f t="array" ref="AH55">if(isblank(E55),"",xlookup(F55,z_Others!$B$21:$B$45,z_Others!$F$21:$F$45,"TBD",0,1))</f>
        <v>00</v>
      </c>
      <c r="AI55" s="310" t="str">
        <f t="array" ref="AI55">if(isblank(E55),"", xlookup(E55,'Import_FL5_LH_PVTMP_Configs (Do'!E:E,'Import_FL5_LH_PVTMP_Configs (Do'!O:O,"TBD",0,1))</f>
        <v>G710-07800-10</v>
      </c>
      <c r="AJ55" s="311"/>
      <c r="AK55" s="310" t="str">
        <f t="array" ref="AK55">if(isblank(E55),"", xlookup(E55,'Import_FL5_LH_PVTMP_Configs (Do'!E:E,'Import_FL5_LH_PVTMP_Configs (Do'!Q:Q,"TBD",0,1))</f>
        <v>G650-14694-05</v>
      </c>
      <c r="AL55" s="310" t="str">
        <f t="array" ref="AL55">if(isblank(E55),"", xlookup(E55,'Import_FL5_LH_PVTMP_Configs (Do'!E:E,'Import_FL5_LH_PVTMP_Configs (Do'!M:M,"TBD",0,1))</f>
        <v>G710-07670-01</v>
      </c>
      <c r="AM55" s="310" t="str">
        <f t="array" ref="AM55">if(isblank(E55),"", xlookup(E55,'Import_FL5_LH_PVTMP_Configs (Do'!E:E,'Import_FL5_LH_PVTMP_Configs (Do'!N:N,"TBD",0,1))</f>
        <v>G730-09533-01</v>
      </c>
      <c r="AN55" s="310" t="str">
        <f t="array" ref="AN55">if(isblank(E55),"", xlookup(E55,'Import_FL5_LH_PVTMP_Configs (Do'!E:E,'Import_FL5_LH_PVTMP_Configs (Do'!K:K,"TBD",0,1))</f>
        <v>G950-15935-14</v>
      </c>
      <c r="AO55" s="292" t="str">
        <f t="array" ref="AO55">if(isblank(E55),"",XLOOKUP(E55,'FL5_G954 Pkg ASSY (Pkg BOM)'!L:L,'FL5_G954 Pkg ASSY (Pkg BOM)'!G:G,"N/A",0,1))</f>
        <v>G954-08541-00</v>
      </c>
      <c r="AP55" s="292" t="str">
        <f t="array" ref="AP55">if(isblank(E55),"",xlookup(E55,'FL5_G962 Country kit (Accesorie'!L:L,'FL5_G962 Country kit (Accesorie'!G:G,"N/A",0,1))</f>
        <v>G962-00511-00</v>
      </c>
      <c r="AQ55" s="304" t="s">
        <v>684</v>
      </c>
      <c r="AR55" s="304" t="s">
        <v>561</v>
      </c>
      <c r="AS55" s="292" t="s">
        <v>596</v>
      </c>
      <c r="AT55" s="302" t="str">
        <f t="shared" si="6"/>
        <v>Yes</v>
      </c>
      <c r="AU55" s="302" t="str">
        <f t="shared" si="7"/>
        <v>No</v>
      </c>
      <c r="AV55" s="302" t="str">
        <f t="shared" si="8"/>
        <v>Yes</v>
      </c>
      <c r="AW55" s="302"/>
      <c r="AX55" s="302" t="s">
        <v>685</v>
      </c>
      <c r="AY55" s="302" t="s">
        <v>686</v>
      </c>
      <c r="AZ55" s="312" t="str">
        <f t="array" ref="AZ55">if(isblank(E55),"", xlookup(E55,Import_FL5_LH_PVT_BM!D:D,Import_FL5_LH_PVT_BM!AK:AK,$F$4,0,1))</f>
        <v>MP</v>
      </c>
      <c r="BA55" s="292" t="str">
        <f t="shared" si="9"/>
        <v>Retail_10ct</v>
      </c>
      <c r="BB55" s="313" t="str">
        <f t="array" ref="BB55">if(isblank(E55),"",xlookup(F55,z_Others!$B$21:$B$42,z_Others!$G$21:$G$42,"No",0,1))</f>
        <v>IN Master Carton Label</v>
      </c>
      <c r="BC55" s="313" t="str">
        <f t="array" ref="BC55">if(isblank(E55),"",xlookup(F55,z_Others!$B$21:$B$42,z_Others!$H$21:$H$42,"No",0,1))</f>
        <v>Standard Pallet Label (BTO)
Standard Pallet Label (BTS)</v>
      </c>
      <c r="BD55" s="314" t="str">
        <f t="array" ref="BD55">if(isblank(E55),"",xlookup(E55,'Import_VN_Label approve'!E:E,'Import_VN_Label approve'!L:L,"N/A",0,1))</f>
        <v>G990-08488-12-03
G990-08488-12-B</v>
      </c>
      <c r="BE55" s="314" t="str">
        <f t="array" ref="BE55">if(isblank(E55),"",xlookup(E55,'Import_VN_Label approve'!E:E,'Import_VN_Label approve'!N:N,"N/A",0,1))</f>
        <v>G990-09562-00-01
G990-09562-00-A</v>
      </c>
      <c r="BF55" s="315"/>
      <c r="BG55" s="332" t="s">
        <v>503</v>
      </c>
      <c r="BH55" s="317" t="s">
        <v>504</v>
      </c>
      <c r="BI55" s="318">
        <v>45773.0</v>
      </c>
      <c r="BJ55" s="319" t="str">
        <f t="array" ref="BJ55">if(isblank(E55),"", xlookup(D55,z_Others!$B$5:$B$17,z_Others!$C$5:$C$17,"",0,1))</f>
        <v>智能手機</v>
      </c>
      <c r="BK55" s="320">
        <v>45765.0</v>
      </c>
      <c r="BL55" s="320" t="str">
        <f t="array" ref="BL55">if(isblank(E55),"",xlookup(E55,'FL5_MP POR_LH_報關備案_G950 &amp; GA'!F:F,'FL5_MP POR_LH_報關備案_G950 &amp; GA'!E:E,"No Need",0,1))</f>
        <v>Close</v>
      </c>
      <c r="BM55" s="321" t="str">
        <f t="array" ref="BM55">if(isblank(E55),"",xlookup($BM$9&amp;E55,'Import_FL5 MPS (06.06.25) - Sor'!E51:E334&amp;'Import_FL5 MPS (06.06.25) - Sor'!F51:F334,'Import_FL5 MPS (06.06.25) - Sor'!ES51:ES334,"No demand",0,1))</f>
        <v>No demand</v>
      </c>
      <c r="BN55" s="321" t="str">
        <f t="array" ref="BN55">if(isblank(E55),"",xlookup($BN$9&amp;E55,'Import_FL5 MPS (06.06.25) - Sor'!E51:E334&amp;'Import_FL5 MPS (06.06.25) - Sor'!F51:F334,'Import_FL5 MPS (06.06.25) - Sor'!ES51:ES334,"No demand",0,1))</f>
        <v>No demand</v>
      </c>
      <c r="BO55" s="321" t="str">
        <f t="array" ref="BO55">if(isblank(E55),"",xlookup($BO$9&amp;E55,'Import_FL5 MPS (06.06.25) - Sor'!E51:E334&amp;'Import_FL5 MPS (06.06.25) - Sor'!F51:F334,'Import_FL5 MPS (06.06.25) - Sor'!ES51:ES334,"No demand",0,1))</f>
        <v>No demand</v>
      </c>
      <c r="BP55" s="322" t="str">
        <f t="array" ref="BP55">if(isblank(E55),"", xlookup(E55,'Import_LH_Label approve'!E:E,'Import_LH_Label approve'!L:L,"",0,1))</f>
        <v>G952-05416-00-A</v>
      </c>
      <c r="BQ55" s="322" t="str">
        <f t="array" ref="BQ55">if(isblank(E55),"",xlookup(E55,'Import_VN_Label approve'!E:E,'Import_VN_Label approve'!M:M,"N/A",0,1))</f>
        <v>G952-05416-04-A</v>
      </c>
      <c r="BR55" s="325"/>
      <c r="BS55" s="323"/>
      <c r="BT55" s="324"/>
      <c r="BU55" s="91"/>
    </row>
    <row r="56">
      <c r="A56" s="176"/>
      <c r="B56" s="292">
        <v>45.0</v>
      </c>
      <c r="C56" s="231" t="s">
        <v>282</v>
      </c>
      <c r="D56" s="231" t="s">
        <v>408</v>
      </c>
      <c r="E56" s="293" t="s">
        <v>687</v>
      </c>
      <c r="F56" s="313" t="s">
        <v>583</v>
      </c>
      <c r="G56" s="294" t="s">
        <v>493</v>
      </c>
      <c r="H56" s="292" t="str">
        <f t="array" ref="H56">xlookup(F56,z_Others!$B$21:$B$45,z_Others!$E$21:$E$45,"",0,1)</f>
        <v>Sub6</v>
      </c>
      <c r="I56" s="310" t="s">
        <v>425</v>
      </c>
      <c r="J56" s="231" t="str">
        <f t="array" ref="J56">if(isblank(E56),"",xlookup(I56,z_Others!$M$17:$M$20,z_Others!$O$17:$O$20,"",0,1))</f>
        <v>Frost</v>
      </c>
      <c r="K56" s="292" t="str">
        <f t="array" ref="K56">xlookup(I56,z_Others!$M$17:$M$20,z_Others!$N$17:$N$20,"",0,1)</f>
        <v>PPL</v>
      </c>
      <c r="L56" s="292" t="str">
        <f t="array" ref="L56">xlookup(F56,z_Others!$B$21:$B$45,z_Others!$D$21:$D$45,"",0,1)</f>
        <v>GK2MP</v>
      </c>
      <c r="M56" s="296" t="str">
        <f t="array" ref="M56">xlookup(F56,z_Others!$B$21:$B$45,z_Others!$C$21:$C$45,"",0,1)</f>
        <v>ROW</v>
      </c>
      <c r="N56" s="297">
        <v>3.5440766E7</v>
      </c>
      <c r="O56" s="331" t="s">
        <v>494</v>
      </c>
      <c r="P56" s="303" t="s">
        <v>495</v>
      </c>
      <c r="Q56" s="300" t="s">
        <v>413</v>
      </c>
      <c r="R56" s="301" t="s">
        <v>414</v>
      </c>
      <c r="S56" s="302">
        <f t="array" ref="S56">if(isblank(E56),"",xlookup($S$9&amp;M56,z_Others!$X$5:$X$17&amp;z_Others!$W$5:$W$17,z_Others!$Z$5:$Z$17,"",0,1))</f>
        <v>35795514</v>
      </c>
      <c r="T56" s="303" t="str">
        <f t="array" ref="T56">if(isblank(E56),"",xlookup($S$9&amp;M56,z_Others!$X$5:$X$17&amp;z_Others!$W$5:$W$17,z_Others!$AH$5:$AH$17,"",0,1))</f>
        <v>35 795514 040000x</v>
      </c>
      <c r="U56" s="303" t="str">
        <f t="array" ref="U56">if(isblank(E56),"",xlookup($S$9&amp;M56,z_Others!$X$5:$X$17&amp;z_Others!$W$5:$W$17,z_Others!$AI$5:$AI$17,"",0,1))</f>
        <v>35 795514 999999x</v>
      </c>
      <c r="V56" s="303" t="str">
        <f t="shared" si="2"/>
        <v>64:9D:38:32:91:82
B0:D5:FB:C6:60:70</v>
      </c>
      <c r="W56" s="303" t="str">
        <f t="shared" si="3"/>
        <v>64:9D:38:37:25:61
B0:D5:FB:CE:01:8F</v>
      </c>
      <c r="X56" s="304" t="str">
        <f t="shared" si="4"/>
        <v>MP1.0</v>
      </c>
      <c r="Y56" s="292"/>
      <c r="Z56" s="304" t="str">
        <f t="shared" si="32"/>
        <v>Android 16</v>
      </c>
      <c r="AA56" s="304" t="str">
        <f t="shared" si="34"/>
        <v>Android 16</v>
      </c>
      <c r="AB56" s="305" t="s">
        <v>688</v>
      </c>
      <c r="AC56" s="305" t="s">
        <v>689</v>
      </c>
      <c r="AD56" s="314" t="s">
        <v>447</v>
      </c>
      <c r="AE56" s="307" t="s">
        <v>418</v>
      </c>
      <c r="AF56" s="308" t="s">
        <v>447</v>
      </c>
      <c r="AG56" s="309" t="s">
        <v>418</v>
      </c>
      <c r="AH56" s="297" t="str">
        <f t="array" ref="AH56">if(isblank(E56),"",xlookup(F56,z_Others!$B$21:$B$45,z_Others!$F$21:$F$45,"TBD",0,1))</f>
        <v>00</v>
      </c>
      <c r="AI56" s="310" t="str">
        <f t="array" ref="AI56">if(isblank(E56),"", xlookup(E56,'Import_FL5_LH_PVTMP_Configs (Do'!E:E,'Import_FL5_LH_PVTMP_Configs (Do'!O:O,"TBD",0,1))</f>
        <v>G710-07800-10</v>
      </c>
      <c r="AJ56" s="311"/>
      <c r="AK56" s="310" t="str">
        <f t="array" ref="AK56">if(isblank(E56),"", xlookup(E56,'Import_FL5_LH_PVTMP_Configs (Do'!E:E,'Import_FL5_LH_PVTMP_Configs (Do'!Q:Q,"TBD",0,1))</f>
        <v>G650-14694-05</v>
      </c>
      <c r="AL56" s="310" t="str">
        <f t="array" ref="AL56">if(isblank(E56),"", xlookup(E56,'Import_FL5_LH_PVTMP_Configs (Do'!E:E,'Import_FL5_LH_PVTMP_Configs (Do'!M:M,"TBD",0,1))</f>
        <v>G710-07670-01</v>
      </c>
      <c r="AM56" s="310" t="str">
        <f t="array" ref="AM56">if(isblank(E56),"", xlookup(E56,'Import_FL5_LH_PVTMP_Configs (Do'!E:E,'Import_FL5_LH_PVTMP_Configs (Do'!N:N,"TBD",0,1))</f>
        <v>G730-09533-02</v>
      </c>
      <c r="AN56" s="310" t="str">
        <f t="array" ref="AN56">if(isblank(E56),"", xlookup(E56,'Import_FL5_LH_PVTMP_Configs (Do'!E:E,'Import_FL5_LH_PVTMP_Configs (Do'!K:K,"TBD",0,1))</f>
        <v>G950-15935-15</v>
      </c>
      <c r="AO56" s="292" t="str">
        <f t="array" ref="AO56">if(isblank(E56),"",XLOOKUP(E56,'FL5_G954 Pkg ASSY (Pkg BOM)'!L:L,'FL5_G954 Pkg ASSY (Pkg BOM)'!G:G,"N/A",0,1))</f>
        <v>G954-08541-00</v>
      </c>
      <c r="AP56" s="292" t="str">
        <f t="array" ref="AP56">if(isblank(E56),"",xlookup(E56,'FL5_G962 Country kit (Accesorie'!L:L,'FL5_G962 Country kit (Accesorie'!G:G,"N/A",0,1))</f>
        <v>G962-00511-00</v>
      </c>
      <c r="AQ56" s="304" t="s">
        <v>690</v>
      </c>
      <c r="AR56" s="304" t="s">
        <v>561</v>
      </c>
      <c r="AS56" s="292" t="s">
        <v>596</v>
      </c>
      <c r="AT56" s="302" t="str">
        <f t="shared" si="6"/>
        <v>Yes</v>
      </c>
      <c r="AU56" s="302" t="str">
        <f t="shared" si="7"/>
        <v>No</v>
      </c>
      <c r="AV56" s="302" t="str">
        <f t="shared" si="8"/>
        <v>Yes</v>
      </c>
      <c r="AW56" s="302"/>
      <c r="AX56" s="302" t="s">
        <v>691</v>
      </c>
      <c r="AY56" s="302" t="s">
        <v>692</v>
      </c>
      <c r="AZ56" s="312" t="str">
        <f t="array" ref="AZ56">if(isblank(E56),"", xlookup(E56,Import_FL5_LH_PVT_BM!D:D,Import_FL5_LH_PVT_BM!AK:AK,$F$4,0,1))</f>
        <v>MP</v>
      </c>
      <c r="BA56" s="292" t="str">
        <f t="shared" si="9"/>
        <v>Retail_10ct</v>
      </c>
      <c r="BB56" s="313" t="str">
        <f t="array" ref="BB56">if(isblank(E56),"",xlookup(F56,z_Others!$B$21:$B$42,z_Others!$G$21:$G$42,"No",0,1))</f>
        <v>IN Master Carton Label</v>
      </c>
      <c r="BC56" s="313" t="str">
        <f t="array" ref="BC56">if(isblank(E56),"",xlookup(F56,z_Others!$B$21:$B$42,z_Others!$H$21:$H$42,"No",0,1))</f>
        <v>Standard Pallet Label (BTO)
Standard Pallet Label (BTS)</v>
      </c>
      <c r="BD56" s="314" t="str">
        <f t="array" ref="BD56">if(isblank(E56),"",xlookup(E56,'Import_VN_Label approve'!E:E,'Import_VN_Label approve'!L:L,"N/A",0,1))</f>
        <v>G990-08488-22-03
G990-08488-22-B</v>
      </c>
      <c r="BE56" s="314" t="str">
        <f t="array" ref="BE56">if(isblank(E56),"",xlookup(E56,'Import_VN_Label approve'!E:E,'Import_VN_Label approve'!N:N,"N/A",0,1))</f>
        <v>G990-09562-00-01
G990-09562-00-A</v>
      </c>
      <c r="BF56" s="315"/>
      <c r="BG56" s="332" t="s">
        <v>503</v>
      </c>
      <c r="BH56" s="317" t="s">
        <v>504</v>
      </c>
      <c r="BI56" s="318">
        <v>45773.0</v>
      </c>
      <c r="BJ56" s="319" t="str">
        <f t="array" ref="BJ56">if(isblank(E56),"", xlookup(D56,z_Others!$B$5:$B$17,z_Others!$C$5:$C$17,"",0,1))</f>
        <v>智能手機</v>
      </c>
      <c r="BK56" s="320">
        <v>45782.0</v>
      </c>
      <c r="BL56" s="320" t="str">
        <f t="array" ref="BL56">if(isblank(E56),"",xlookup(E56,'FL5_MP POR_LH_報關備案_G950 &amp; GA'!F:F,'FL5_MP POR_LH_報關備案_G950 &amp; GA'!E:E,"No Need",0,1))</f>
        <v>Close</v>
      </c>
      <c r="BM56" s="321" t="str">
        <f t="array" ref="BM56">if(isblank(E56),"",xlookup($BM$9&amp;E56,'Import_FL5 MPS (06.06.25) - Sor'!E52:E334&amp;'Import_FL5 MPS (06.06.25) - Sor'!F52:F334,'Import_FL5 MPS (06.06.25) - Sor'!ES52:ES334,"No demand",0,1))</f>
        <v>No demand</v>
      </c>
      <c r="BN56" s="321" t="str">
        <f t="array" ref="BN56">if(isblank(E56),"",xlookup($BN$9&amp;E56,'Import_FL5 MPS (06.06.25) - Sor'!E52:E334&amp;'Import_FL5 MPS (06.06.25) - Sor'!F52:F334,'Import_FL5 MPS (06.06.25) - Sor'!ES52:ES334,"No demand",0,1))</f>
        <v>No demand</v>
      </c>
      <c r="BO56" s="321" t="str">
        <f t="array" ref="BO56">if(isblank(E56),"",xlookup($BO$9&amp;E56,'Import_FL5 MPS (06.06.25) - Sor'!E52:E334&amp;'Import_FL5 MPS (06.06.25) - Sor'!F52:F334,'Import_FL5 MPS (06.06.25) - Sor'!ES52:ES334,"No demand",0,1))</f>
        <v>No demand</v>
      </c>
      <c r="BP56" s="322" t="str">
        <f t="array" ref="BP56">if(isblank(E56),"", xlookup(E56,'Import_LH_Label approve'!E:E,'Import_LH_Label approve'!L:L,"",0,1))</f>
        <v>G952-05416-00-A</v>
      </c>
      <c r="BQ56" s="322" t="str">
        <f t="array" ref="BQ56">if(isblank(E56),"",xlookup(E56,'Import_VN_Label approve'!E:E,'Import_VN_Label approve'!M:M,"N/A",0,1))</f>
        <v>G952-05416-04-A</v>
      </c>
      <c r="BR56" s="325"/>
      <c r="BS56" s="323"/>
      <c r="BT56" s="324"/>
      <c r="BU56" s="91"/>
    </row>
    <row r="57">
      <c r="A57" s="176"/>
      <c r="B57" s="292">
        <v>46.0</v>
      </c>
      <c r="C57" s="231" t="s">
        <v>282</v>
      </c>
      <c r="D57" s="231" t="s">
        <v>408</v>
      </c>
      <c r="E57" s="293" t="s">
        <v>693</v>
      </c>
      <c r="F57" s="313" t="s">
        <v>583</v>
      </c>
      <c r="G57" s="294" t="s">
        <v>493</v>
      </c>
      <c r="H57" s="292" t="str">
        <f t="array" ref="H57">xlookup(F57,z_Others!$B$21:$B$45,z_Others!$E$21:$E$45,"",0,1)</f>
        <v>Sub6</v>
      </c>
      <c r="I57" s="310" t="s">
        <v>431</v>
      </c>
      <c r="J57" s="231" t="str">
        <f t="array" ref="J57">if(isblank(E57),"",xlookup(I57,z_Others!$M$17:$M$20,z_Others!$O$17:$O$20,"",0,1))</f>
        <v>Lemongrass</v>
      </c>
      <c r="K57" s="292" t="str">
        <f t="array" ref="K57">xlookup(I57,z_Others!$M$17:$M$20,z_Others!$N$17:$N$20,"",0,1)</f>
        <v>YEL</v>
      </c>
      <c r="L57" s="292" t="str">
        <f t="array" ref="L57">xlookup(F57,z_Others!$B$21:$B$45,z_Others!$D$21:$D$45,"",0,1)</f>
        <v>GK2MP</v>
      </c>
      <c r="M57" s="296" t="str">
        <f t="array" ref="M57">xlookup(F57,z_Others!$B$21:$B$45,z_Others!$C$21:$C$45,"",0,1)</f>
        <v>ROW</v>
      </c>
      <c r="N57" s="297">
        <v>3.5440766E7</v>
      </c>
      <c r="O57" s="331" t="s">
        <v>494</v>
      </c>
      <c r="P57" s="303" t="s">
        <v>495</v>
      </c>
      <c r="Q57" s="300" t="s">
        <v>413</v>
      </c>
      <c r="R57" s="301" t="s">
        <v>414</v>
      </c>
      <c r="S57" s="302">
        <f t="array" ref="S57">if(isblank(E57),"",xlookup($S$9&amp;M57,z_Others!$X$5:$X$17&amp;z_Others!$W$5:$W$17,z_Others!$Z$5:$Z$17,"",0,1))</f>
        <v>35795514</v>
      </c>
      <c r="T57" s="303" t="str">
        <f t="array" ref="T57">if(isblank(E57),"",xlookup($S$9&amp;M57,z_Others!$X$5:$X$17&amp;z_Others!$W$5:$W$17,z_Others!$AH$5:$AH$17,"",0,1))</f>
        <v>35 795514 040000x</v>
      </c>
      <c r="U57" s="303" t="str">
        <f t="array" ref="U57">if(isblank(E57),"",xlookup($S$9&amp;M57,z_Others!$X$5:$X$17&amp;z_Others!$W$5:$W$17,z_Others!$AI$5:$AI$17,"",0,1))</f>
        <v>35 795514 999999x</v>
      </c>
      <c r="V57" s="303" t="str">
        <f t="shared" si="2"/>
        <v>64:9D:38:32:91:82
B0:D5:FB:C6:60:70</v>
      </c>
      <c r="W57" s="303" t="str">
        <f t="shared" si="3"/>
        <v>64:9D:38:37:25:61
B0:D5:FB:CE:01:8F</v>
      </c>
      <c r="X57" s="304" t="str">
        <f t="shared" si="4"/>
        <v>MP1.0</v>
      </c>
      <c r="Y57" s="292"/>
      <c r="Z57" s="304" t="str">
        <f t="shared" si="32"/>
        <v>Android 16</v>
      </c>
      <c r="AA57" s="304" t="str">
        <f t="shared" si="34"/>
        <v>Android 16</v>
      </c>
      <c r="AB57" s="305" t="s">
        <v>694</v>
      </c>
      <c r="AC57" s="305" t="s">
        <v>695</v>
      </c>
      <c r="AD57" s="314" t="s">
        <v>447</v>
      </c>
      <c r="AE57" s="307" t="s">
        <v>418</v>
      </c>
      <c r="AF57" s="308" t="s">
        <v>447</v>
      </c>
      <c r="AG57" s="309" t="s">
        <v>418</v>
      </c>
      <c r="AH57" s="297" t="str">
        <f t="array" ref="AH57">if(isblank(E57),"",xlookup(F57,z_Others!$B$21:$B$45,z_Others!$F$21:$F$45,"TBD",0,1))</f>
        <v>00</v>
      </c>
      <c r="AI57" s="310" t="str">
        <f t="array" ref="AI57">if(isblank(E57),"", xlookup(E57,'Import_FL5_LH_PVTMP_Configs (Do'!E:E,'Import_FL5_LH_PVTMP_Configs (Do'!O:O,"TBD",0,1))</f>
        <v>G710-07800-10</v>
      </c>
      <c r="AJ57" s="311"/>
      <c r="AK57" s="310" t="str">
        <f t="array" ref="AK57">if(isblank(E57),"", xlookup(E57,'Import_FL5_LH_PVTMP_Configs (Do'!E:E,'Import_FL5_LH_PVTMP_Configs (Do'!Q:Q,"TBD",0,1))</f>
        <v>G650-14694-05</v>
      </c>
      <c r="AL57" s="310" t="str">
        <f t="array" ref="AL57">if(isblank(E57),"", xlookup(E57,'Import_FL5_LH_PVTMP_Configs (Do'!E:E,'Import_FL5_LH_PVTMP_Configs (Do'!M:M,"TBD",0,1))</f>
        <v>G710-07670-01</v>
      </c>
      <c r="AM57" s="310" t="str">
        <f t="array" ref="AM57">if(isblank(E57),"", xlookup(E57,'Import_FL5_LH_PVTMP_Configs (Do'!E:E,'Import_FL5_LH_PVTMP_Configs (Do'!N:N,"TBD",0,1))</f>
        <v>G730-09533-03</v>
      </c>
      <c r="AN57" s="310" t="str">
        <f t="array" ref="AN57">if(isblank(E57),"", xlookup(E57,'Import_FL5_LH_PVTMP_Configs (Do'!E:E,'Import_FL5_LH_PVTMP_Configs (Do'!K:K,"TBD",0,1))</f>
        <v>G950-15935-16</v>
      </c>
      <c r="AO57" s="292" t="str">
        <f t="array" ref="AO57">if(isblank(E57),"",XLOOKUP(E57,'FL5_G954 Pkg ASSY (Pkg BOM)'!L:L,'FL5_G954 Pkg ASSY (Pkg BOM)'!G:G,"N/A",0,1))</f>
        <v>G954-08541-00</v>
      </c>
      <c r="AP57" s="292" t="str">
        <f t="array" ref="AP57">if(isblank(E57),"",xlookup(E57,'FL5_G962 Country kit (Accesorie'!L:L,'FL5_G962 Country kit (Accesorie'!G:G,"N/A",0,1))</f>
        <v>G962-00511-00</v>
      </c>
      <c r="AQ57" s="304" t="s">
        <v>696</v>
      </c>
      <c r="AR57" s="304" t="s">
        <v>561</v>
      </c>
      <c r="AS57" s="292" t="s">
        <v>596</v>
      </c>
      <c r="AT57" s="302" t="str">
        <f t="shared" si="6"/>
        <v>Yes</v>
      </c>
      <c r="AU57" s="302" t="str">
        <f t="shared" si="7"/>
        <v>No</v>
      </c>
      <c r="AV57" s="302" t="str">
        <f t="shared" si="8"/>
        <v>Yes</v>
      </c>
      <c r="AW57" s="302"/>
      <c r="AX57" s="302" t="s">
        <v>697</v>
      </c>
      <c r="AY57" s="302" t="s">
        <v>698</v>
      </c>
      <c r="AZ57" s="312" t="str">
        <f t="array" ref="AZ57">if(isblank(E57),"", xlookup(E57,Import_FL5_LH_PVT_BM!D:D,Import_FL5_LH_PVT_BM!AK:AK,$F$4,0,1))</f>
        <v>MP</v>
      </c>
      <c r="BA57" s="292" t="str">
        <f t="shared" si="9"/>
        <v>Retail_10ct</v>
      </c>
      <c r="BB57" s="313" t="str">
        <f t="array" ref="BB57">if(isblank(E57),"",xlookup(F57,z_Others!$B$21:$B$42,z_Others!$G$21:$G$42,"No",0,1))</f>
        <v>IN Master Carton Label</v>
      </c>
      <c r="BC57" s="313" t="str">
        <f t="array" ref="BC57">if(isblank(E57),"",xlookup(F57,z_Others!$B$21:$B$42,z_Others!$H$21:$H$42,"No",0,1))</f>
        <v>Standard Pallet Label (BTO)
Standard Pallet Label (BTS)</v>
      </c>
      <c r="BD57" s="314" t="str">
        <f t="array" ref="BD57">if(isblank(E57),"",xlookup(E57,'Import_VN_Label approve'!E:E,'Import_VN_Label approve'!L:L,"N/A",0,1))</f>
        <v>G990-08488-32-03
G990-08488-32-B</v>
      </c>
      <c r="BE57" s="314" t="str">
        <f t="array" ref="BE57">if(isblank(E57),"",xlookup(E57,'Import_VN_Label approve'!E:E,'Import_VN_Label approve'!N:N,"N/A",0,1))</f>
        <v>G990-09562-00-01
G990-09562-00-A</v>
      </c>
      <c r="BF57" s="315"/>
      <c r="BG57" s="332" t="s">
        <v>503</v>
      </c>
      <c r="BH57" s="317" t="s">
        <v>504</v>
      </c>
      <c r="BI57" s="318">
        <v>45773.0</v>
      </c>
      <c r="BJ57" s="319" t="str">
        <f t="array" ref="BJ57">if(isblank(E57),"", xlookup(D57,z_Others!$B$5:$B$17,z_Others!$C$5:$C$17,"",0,1))</f>
        <v>智能手機</v>
      </c>
      <c r="BK57" s="320">
        <v>45765.0</v>
      </c>
      <c r="BL57" s="320" t="str">
        <f t="array" ref="BL57">if(isblank(E57),"",xlookup(E57,'FL5_MP POR_LH_報關備案_G950 &amp; GA'!F:F,'FL5_MP POR_LH_報關備案_G950 &amp; GA'!E:E,"No Need",0,1))</f>
        <v>Close</v>
      </c>
      <c r="BM57" s="321" t="str">
        <f t="array" ref="BM57">if(isblank(E57),"",xlookup($BM$9&amp;E57,'Import_FL5 MPS (06.06.25) - Sor'!E53:E334&amp;'Import_FL5 MPS (06.06.25) - Sor'!F53:F334,'Import_FL5 MPS (06.06.25) - Sor'!ES53:ES334,"No demand",0,1))</f>
        <v>No demand</v>
      </c>
      <c r="BN57" s="321" t="str">
        <f t="array" ref="BN57">if(isblank(E57),"",xlookup($BN$9&amp;E57,'Import_FL5 MPS (06.06.25) - Sor'!E53:E334&amp;'Import_FL5 MPS (06.06.25) - Sor'!F53:F334,'Import_FL5 MPS (06.06.25) - Sor'!ES53:ES334,"No demand",0,1))</f>
        <v>No demand</v>
      </c>
      <c r="BO57" s="321" t="str">
        <f t="array" ref="BO57">if(isblank(E57),"",xlookup($BO$9&amp;E57,'Import_FL5 MPS (06.06.25) - Sor'!E53:E334&amp;'Import_FL5 MPS (06.06.25) - Sor'!F53:F334,'Import_FL5 MPS (06.06.25) - Sor'!ES53:ES334,"No demand",0,1))</f>
        <v>No demand</v>
      </c>
      <c r="BP57" s="322" t="str">
        <f t="array" ref="BP57">if(isblank(E57),"", xlookup(E57,'Import_LH_Label approve'!E:E,'Import_LH_Label approve'!L:L,"",0,1))</f>
        <v>G952-05416-00-A</v>
      </c>
      <c r="BQ57" s="322" t="str">
        <f t="array" ref="BQ57">if(isblank(E57),"",xlookup(E57,'Import_VN_Label approve'!E:E,'Import_VN_Label approve'!M:M,"N/A",0,1))</f>
        <v>G952-05416-04-A</v>
      </c>
      <c r="BR57" s="325"/>
      <c r="BS57" s="323"/>
      <c r="BT57" s="324"/>
      <c r="BU57" s="91"/>
    </row>
    <row r="58">
      <c r="A58" s="176"/>
      <c r="B58" s="292">
        <v>47.0</v>
      </c>
      <c r="C58" s="231" t="s">
        <v>282</v>
      </c>
      <c r="D58" s="231" t="s">
        <v>408</v>
      </c>
      <c r="E58" s="293" t="s">
        <v>699</v>
      </c>
      <c r="F58" s="313" t="s">
        <v>583</v>
      </c>
      <c r="G58" s="294" t="s">
        <v>493</v>
      </c>
      <c r="H58" s="292" t="str">
        <f t="array" ref="H58">xlookup(F58,z_Others!$B$21:$B$45,z_Others!$E$21:$E$45,"",0,1)</f>
        <v>Sub6</v>
      </c>
      <c r="I58" s="310" t="s">
        <v>437</v>
      </c>
      <c r="J58" s="231" t="str">
        <f t="array" ref="J58">if(isblank(E58),"",xlookup(I58,z_Others!$M$17:$M$20,z_Others!$O$17:$O$20,"",0,1))</f>
        <v>Indigo</v>
      </c>
      <c r="K58" s="292" t="str">
        <f t="array" ref="K58">xlookup(I58,z_Others!$M$17:$M$20,z_Others!$N$17:$N$20,"",0,1)</f>
        <v>BUE</v>
      </c>
      <c r="L58" s="292" t="str">
        <f t="array" ref="L58">xlookup(F58,z_Others!$B$21:$B$45,z_Others!$D$21:$D$45,"",0,1)</f>
        <v>GK2MP</v>
      </c>
      <c r="M58" s="296" t="str">
        <f t="array" ref="M58">xlookup(F58,z_Others!$B$21:$B$45,z_Others!$C$21:$C$45,"",0,1)</f>
        <v>ROW</v>
      </c>
      <c r="N58" s="297">
        <v>3.5440766E7</v>
      </c>
      <c r="O58" s="331" t="s">
        <v>494</v>
      </c>
      <c r="P58" s="303" t="s">
        <v>495</v>
      </c>
      <c r="Q58" s="300" t="s">
        <v>413</v>
      </c>
      <c r="R58" s="301" t="s">
        <v>414</v>
      </c>
      <c r="S58" s="302">
        <f t="array" ref="S58">if(isblank(E58),"",xlookup($S$9&amp;M58,z_Others!$X$5:$X$17&amp;z_Others!$W$5:$W$17,z_Others!$Z$5:$Z$17,"",0,1))</f>
        <v>35795514</v>
      </c>
      <c r="T58" s="303" t="str">
        <f t="array" ref="T58">if(isblank(E58),"",xlookup($S$9&amp;M58,z_Others!$X$5:$X$17&amp;z_Others!$W$5:$W$17,z_Others!$AH$5:$AH$17,"",0,1))</f>
        <v>35 795514 040000x</v>
      </c>
      <c r="U58" s="303" t="str">
        <f t="array" ref="U58">if(isblank(E58),"",xlookup($S$9&amp;M58,z_Others!$X$5:$X$17&amp;z_Others!$W$5:$W$17,z_Others!$AI$5:$AI$17,"",0,1))</f>
        <v>35 795514 999999x</v>
      </c>
      <c r="V58" s="303" t="str">
        <f t="shared" si="2"/>
        <v>64:9D:38:32:91:82
B0:D5:FB:C6:60:70</v>
      </c>
      <c r="W58" s="303" t="str">
        <f t="shared" si="3"/>
        <v>64:9D:38:37:25:61
B0:D5:FB:CE:01:8F</v>
      </c>
      <c r="X58" s="304" t="str">
        <f t="shared" si="4"/>
        <v>MP1.0</v>
      </c>
      <c r="Y58" s="292"/>
      <c r="Z58" s="304" t="str">
        <f t="shared" si="32"/>
        <v>Android 16</v>
      </c>
      <c r="AA58" s="304" t="str">
        <f t="shared" si="34"/>
        <v>Android 16</v>
      </c>
      <c r="AB58" s="305" t="s">
        <v>700</v>
      </c>
      <c r="AC58" s="305" t="s">
        <v>701</v>
      </c>
      <c r="AD58" s="314" t="s">
        <v>447</v>
      </c>
      <c r="AE58" s="307" t="s">
        <v>418</v>
      </c>
      <c r="AF58" s="308" t="s">
        <v>447</v>
      </c>
      <c r="AG58" s="309" t="s">
        <v>418</v>
      </c>
      <c r="AH58" s="297" t="str">
        <f t="array" ref="AH58">if(isblank(E58),"",xlookup(F58,z_Others!$B$21:$B$45,z_Others!$F$21:$F$45,"TBD",0,1))</f>
        <v>00</v>
      </c>
      <c r="AI58" s="310" t="str">
        <f t="array" ref="AI58">if(isblank(E58),"", xlookup(E58,'Import_FL5_LH_PVTMP_Configs (Do'!E:E,'Import_FL5_LH_PVTMP_Configs (Do'!O:O,"TBD",0,1))</f>
        <v>G710-07800-10</v>
      </c>
      <c r="AJ58" s="311"/>
      <c r="AK58" s="310" t="str">
        <f t="array" ref="AK58">if(isblank(E58),"", xlookup(E58,'Import_FL5_LH_PVTMP_Configs (Do'!E:E,'Import_FL5_LH_PVTMP_Configs (Do'!Q:Q,"TBD",0,1))</f>
        <v>G650-14694-05</v>
      </c>
      <c r="AL58" s="310" t="str">
        <f t="array" ref="AL58">if(isblank(E58),"", xlookup(E58,'Import_FL5_LH_PVTMP_Configs (Do'!E:E,'Import_FL5_LH_PVTMP_Configs (Do'!M:M,"TBD",0,1))</f>
        <v>G710-07670-01</v>
      </c>
      <c r="AM58" s="310" t="str">
        <f t="array" ref="AM58">if(isblank(E58),"", xlookup(E58,'Import_FL5_LH_PVTMP_Configs (Do'!E:E,'Import_FL5_LH_PVTMP_Configs (Do'!N:N,"TBD",0,1))</f>
        <v>G730-09533-04</v>
      </c>
      <c r="AN58" s="310" t="str">
        <f t="array" ref="AN58">if(isblank(E58),"", xlookup(E58,'Import_FL5_LH_PVTMP_Configs (Do'!E:E,'Import_FL5_LH_PVTMP_Configs (Do'!K:K,"TBD",0,1))</f>
        <v>G950-15935-17</v>
      </c>
      <c r="AO58" s="292" t="str">
        <f t="array" ref="AO58">if(isblank(E58),"",XLOOKUP(E58,'FL5_G954 Pkg ASSY (Pkg BOM)'!L:L,'FL5_G954 Pkg ASSY (Pkg BOM)'!G:G,"N/A",0,1))</f>
        <v>G954-08541-00</v>
      </c>
      <c r="AP58" s="292" t="str">
        <f t="array" ref="AP58">if(isblank(E58),"",xlookup(E58,'FL5_G962 Country kit (Accesorie'!L:L,'FL5_G962 Country kit (Accesorie'!G:G,"N/A",0,1))</f>
        <v>G962-00511-00</v>
      </c>
      <c r="AQ58" s="304" t="s">
        <v>702</v>
      </c>
      <c r="AR58" s="304" t="s">
        <v>561</v>
      </c>
      <c r="AS58" s="292" t="s">
        <v>596</v>
      </c>
      <c r="AT58" s="302" t="str">
        <f t="shared" si="6"/>
        <v>Yes</v>
      </c>
      <c r="AU58" s="302" t="str">
        <f t="shared" si="7"/>
        <v>No</v>
      </c>
      <c r="AV58" s="302" t="str">
        <f t="shared" si="8"/>
        <v>Yes</v>
      </c>
      <c r="AW58" s="302"/>
      <c r="AX58" s="302" t="s">
        <v>703</v>
      </c>
      <c r="AY58" s="302" t="s">
        <v>704</v>
      </c>
      <c r="AZ58" s="312" t="str">
        <f t="array" ref="AZ58">if(isblank(E58),"", xlookup(E58,Import_FL5_LH_PVT_BM!D:D,Import_FL5_LH_PVT_BM!AK:AK,$F$4,0,1))</f>
        <v>MP</v>
      </c>
      <c r="BA58" s="292" t="str">
        <f t="shared" si="9"/>
        <v>Retail_10ct</v>
      </c>
      <c r="BB58" s="313" t="str">
        <f t="array" ref="BB58">if(isblank(E58),"",xlookup(F58,z_Others!$B$21:$B$42,z_Others!$G$21:$G$42,"No",0,1))</f>
        <v>IN Master Carton Label</v>
      </c>
      <c r="BC58" s="313" t="str">
        <f t="array" ref="BC58">if(isblank(E58),"",xlookup(F58,z_Others!$B$21:$B$42,z_Others!$H$21:$H$42,"No",0,1))</f>
        <v>Standard Pallet Label (BTO)
Standard Pallet Label (BTS)</v>
      </c>
      <c r="BD58" s="314" t="str">
        <f t="array" ref="BD58">if(isblank(E58),"",xlookup(E58,'Import_VN_Label approve'!E:E,'Import_VN_Label approve'!L:L,"N/A",0,1))</f>
        <v>G990-08488-42-03
G990-08488-42-B</v>
      </c>
      <c r="BE58" s="314" t="str">
        <f t="array" ref="BE58">if(isblank(E58),"",xlookup(E58,'Import_VN_Label approve'!E:E,'Import_VN_Label approve'!N:N,"N/A",0,1))</f>
        <v>G990-09562-00-01
G990-09562-00-A</v>
      </c>
      <c r="BF58" s="315"/>
      <c r="BG58" s="332" t="s">
        <v>503</v>
      </c>
      <c r="BH58" s="317" t="s">
        <v>504</v>
      </c>
      <c r="BI58" s="318">
        <v>45773.0</v>
      </c>
      <c r="BJ58" s="319" t="str">
        <f t="array" ref="BJ58">if(isblank(E58),"", xlookup(D58,z_Others!$B$5:$B$17,z_Others!$C$5:$C$17,"",0,1))</f>
        <v>智能手機</v>
      </c>
      <c r="BK58" s="320">
        <v>45782.0</v>
      </c>
      <c r="BL58" s="320" t="str">
        <f t="array" ref="BL58">if(isblank(E58),"",xlookup(E58,'FL5_MP POR_LH_報關備案_G950 &amp; GA'!F:F,'FL5_MP POR_LH_報關備案_G950 &amp; GA'!E:E,"No Need",0,1))</f>
        <v>Close</v>
      </c>
      <c r="BM58" s="321" t="str">
        <f t="array" ref="BM58">if(isblank(E58),"",xlookup($BM$9&amp;E58,'Import_FL5 MPS (06.06.25) - Sor'!E54:E334&amp;'Import_FL5 MPS (06.06.25) - Sor'!F54:F334,'Import_FL5 MPS (06.06.25) - Sor'!ES54:ES334,"No demand",0,1))</f>
        <v>No demand</v>
      </c>
      <c r="BN58" s="321" t="str">
        <f t="array" ref="BN58">if(isblank(E58),"",xlookup($BN$9&amp;E58,'Import_FL5 MPS (06.06.25) - Sor'!E54:E334&amp;'Import_FL5 MPS (06.06.25) - Sor'!F54:F334,'Import_FL5 MPS (06.06.25) - Sor'!ES54:ES334,"No demand",0,1))</f>
        <v>No demand</v>
      </c>
      <c r="BO58" s="321" t="str">
        <f t="array" ref="BO58">if(isblank(E58),"",xlookup($BO$9&amp;E58,'Import_FL5 MPS (06.06.25) - Sor'!E54:E334&amp;'Import_FL5 MPS (06.06.25) - Sor'!F54:F334,'Import_FL5 MPS (06.06.25) - Sor'!ES54:ES334,"No demand",0,1))</f>
        <v>No demand</v>
      </c>
      <c r="BP58" s="322" t="str">
        <f t="array" ref="BP58">if(isblank(E58),"", xlookup(E58,'Import_LH_Label approve'!E:E,'Import_LH_Label approve'!L:L,"",0,1))</f>
        <v>G952-05416-00-A</v>
      </c>
      <c r="BQ58" s="322" t="str">
        <f t="array" ref="BQ58">if(isblank(E58),"",xlookup(E58,'Import_VN_Label approve'!E:E,'Import_VN_Label approve'!M:M,"N/A",0,1))</f>
        <v>G952-05416-04-A</v>
      </c>
      <c r="BR58" s="325"/>
      <c r="BS58" s="323"/>
      <c r="BT58" s="324"/>
      <c r="BU58" s="91"/>
    </row>
    <row r="59">
      <c r="A59" s="176"/>
      <c r="B59" s="292">
        <v>48.0</v>
      </c>
      <c r="C59" s="231" t="s">
        <v>282</v>
      </c>
      <c r="D59" s="231" t="s">
        <v>408</v>
      </c>
      <c r="E59" s="293" t="s">
        <v>705</v>
      </c>
      <c r="F59" s="294" t="s">
        <v>554</v>
      </c>
      <c r="G59" s="294" t="s">
        <v>555</v>
      </c>
      <c r="H59" s="292" t="str">
        <f t="array" ref="H59">xlookup(F59,z_Others!$B$21:$B$45,z_Others!$E$21:$E$45,"",0,1)</f>
        <v>JPN</v>
      </c>
      <c r="I59" s="295" t="s">
        <v>412</v>
      </c>
      <c r="J59" s="231" t="str">
        <f t="array" ref="J59">if(isblank(E59),"",xlookup(I59,z_Others!$M$17:$M$20,z_Others!$O$17:$O$20,"",0,1))</f>
        <v>Obsidian</v>
      </c>
      <c r="K59" s="292" t="str">
        <f t="array" ref="K59">xlookup(I59,z_Others!$M$17:$M$20,z_Others!$N$17:$N$20,"",0,1)</f>
        <v>BLK</v>
      </c>
      <c r="L59" s="292" t="str">
        <f t="array" ref="L59">xlookup(F59,z_Others!$B$21:$B$45,z_Others!$D$21:$D$45,"",0,1)</f>
        <v>GL066</v>
      </c>
      <c r="M59" s="296" t="str">
        <f t="array" ref="M59">xlookup(F59,z_Others!$B$21:$B$45,z_Others!$C$21:$C$45,"",0,1)</f>
        <v>JPN</v>
      </c>
      <c r="N59" s="297">
        <v>3.5416229E7</v>
      </c>
      <c r="O59" s="331" t="s">
        <v>556</v>
      </c>
      <c r="P59" s="303" t="s">
        <v>557</v>
      </c>
      <c r="Q59" s="300" t="s">
        <v>413</v>
      </c>
      <c r="R59" s="301" t="s">
        <v>414</v>
      </c>
      <c r="S59" s="302">
        <f t="array" ref="S59">if(isblank(E59),"",xlookup($S$9&amp;M59,z_Others!$X$5:$X$17&amp;z_Others!$W$5:$W$17,z_Others!$Z$5:$Z$17,"",0,1))</f>
        <v>35444932</v>
      </c>
      <c r="T59" s="303" t="str">
        <f t="array" ref="T59">if(isblank(E59),"",xlookup($S$9&amp;M59,z_Others!$X$5:$X$17&amp;z_Others!$W$5:$W$17,z_Others!$AH$5:$AH$17,"",0,1))</f>
        <v>35 444932 020000x</v>
      </c>
      <c r="U59" s="303" t="str">
        <f t="array" ref="U59">if(isblank(E59),"",xlookup($S$9&amp;M59,z_Others!$X$5:$X$17&amp;z_Others!$W$5:$W$17,z_Others!$AI$5:$AI$17,"",0,1))</f>
        <v>35 444932 999999x</v>
      </c>
      <c r="V59" s="303" t="str">
        <f t="shared" si="2"/>
        <v>64:9D:38:32:91:82
B0:D5:FB:C6:60:70</v>
      </c>
      <c r="W59" s="303" t="str">
        <f t="shared" si="3"/>
        <v>64:9D:38:37:25:61
B0:D5:FB:CE:01:8F</v>
      </c>
      <c r="X59" s="304" t="str">
        <f t="shared" si="4"/>
        <v>MP1.0</v>
      </c>
      <c r="Y59" s="292"/>
      <c r="Z59" s="304" t="str">
        <f t="shared" si="32"/>
        <v>Android 16</v>
      </c>
      <c r="AA59" s="304" t="str">
        <f t="shared" si="34"/>
        <v>Android 16</v>
      </c>
      <c r="AB59" s="305" t="s">
        <v>706</v>
      </c>
      <c r="AC59" s="305" t="s">
        <v>707</v>
      </c>
      <c r="AD59" s="314" t="s">
        <v>447</v>
      </c>
      <c r="AE59" s="307" t="s">
        <v>418</v>
      </c>
      <c r="AF59" s="308" t="s">
        <v>447</v>
      </c>
      <c r="AG59" s="309" t="s">
        <v>418</v>
      </c>
      <c r="AH59" s="297" t="str">
        <f t="array" ref="AH59">if(isblank(E59),"",xlookup(F59,z_Others!$B$21:$B$45,z_Others!$F$21:$F$45,"TBD",0,1))</f>
        <v>00</v>
      </c>
      <c r="AI59" s="310" t="str">
        <f t="array" ref="AI59">if(isblank(E59),"", xlookup(E59,'Import_FL5_LH_PVTMP_Configs (Do'!E:E,'Import_FL5_LH_PVTMP_Configs (Do'!O:O,"TBD",0,1))</f>
        <v>G710-07800-10</v>
      </c>
      <c r="AJ59" s="311"/>
      <c r="AK59" s="310" t="str">
        <f t="array" ref="AK59">if(isblank(E59),"", xlookup(E59,'Import_FL5_LH_PVTMP_Configs (Do'!E:E,'Import_FL5_LH_PVTMP_Configs (Do'!Q:Q,"TBD",0,1))</f>
        <v>G650-14694-05</v>
      </c>
      <c r="AL59" s="310" t="str">
        <f t="array" ref="AL59">if(isblank(E59),"", xlookup(E59,'Import_FL5_LH_PVTMP_Configs (Do'!E:E,'Import_FL5_LH_PVTMP_Configs (Do'!M:M,"TBD",0,1))</f>
        <v>G710-07670-01</v>
      </c>
      <c r="AM59" s="310" t="str">
        <f t="array" ref="AM59">if(isblank(E59),"", xlookup(E59,'Import_FL5_LH_PVTMP_Configs (Do'!E:E,'Import_FL5_LH_PVTMP_Configs (Do'!N:N,"TBD",0,1))</f>
        <v>G730-09533-01</v>
      </c>
      <c r="AN59" s="310" t="str">
        <f t="array" ref="AN59">if(isblank(E59),"", xlookup(E59,'Import_FL5_LH_PVTMP_Configs (Do'!E:E,'Import_FL5_LH_PVTMP_Configs (Do'!K:K,"TBD",0,1))</f>
        <v>G950-15935-14</v>
      </c>
      <c r="AO59" s="292" t="str">
        <f t="array" ref="AO59">if(isblank(E59),"",XLOOKUP(E59,'FL5_G954 Pkg ASSY (Pkg BOM)'!L:L,'FL5_G954 Pkg ASSY (Pkg BOM)'!G:G,"N/A",0,1))</f>
        <v>G954-08541-00</v>
      </c>
      <c r="AP59" s="292" t="str">
        <f t="array" ref="AP59">if(isblank(E59),"",xlookup(E59,'FL5_G962 Country kit (Accesorie'!L:L,'FL5_G962 Country kit (Accesorie'!G:G,"N/A",0,1))</f>
        <v>G962-00511-00</v>
      </c>
      <c r="AQ59" s="304" t="s">
        <v>708</v>
      </c>
      <c r="AR59" s="304" t="s">
        <v>561</v>
      </c>
      <c r="AS59" s="292" t="s">
        <v>596</v>
      </c>
      <c r="AT59" s="302" t="str">
        <f t="shared" si="6"/>
        <v>Yes</v>
      </c>
      <c r="AU59" s="302" t="str">
        <f t="shared" si="7"/>
        <v>No</v>
      </c>
      <c r="AV59" s="302" t="str">
        <f t="shared" si="8"/>
        <v>No</v>
      </c>
      <c r="AW59" s="302"/>
      <c r="AX59" s="302" t="s">
        <v>709</v>
      </c>
      <c r="AY59" s="302" t="s">
        <v>710</v>
      </c>
      <c r="AZ59" s="312" t="str">
        <f t="array" ref="AZ59">if(isblank(E59),"", xlookup(E59,Import_FL5_LH_PVT_BM!D:D,Import_FL5_LH_PVT_BM!AK:AK,$F$4,0,1))</f>
        <v>MP</v>
      </c>
      <c r="BA59" s="292" t="str">
        <f t="shared" si="9"/>
        <v>Retail_10ct</v>
      </c>
      <c r="BB59" s="313" t="str">
        <f t="array" ref="BB59">if(isblank(E59),"",xlookup(F59,z_Others!$B$21:$B$42,z_Others!$G$21:$G$42,"No",0,1))</f>
        <v>ROW Master Carton Label (UPC)</v>
      </c>
      <c r="BC59" s="313" t="str">
        <f t="array" ref="BC59">if(isblank(E59),"",xlookup(F59,z_Others!$B$21:$B$42,z_Others!$H$21:$H$42,"No",0,1))</f>
        <v>Standard Pallet Label (BTO)
Standard Pallet Label (BTS)</v>
      </c>
      <c r="BD59" s="314" t="str">
        <f t="array" ref="BD59">if(isblank(E59),"",xlookup(E59,'Import_VN_Label approve'!E:E,'Import_VN_Label approve'!L:L,"N/A",0,1))</f>
        <v>G990-08486-12-03
G990-08486-12-B</v>
      </c>
      <c r="BE59" s="314" t="str">
        <f t="array" ref="BE59">if(isblank(E59),"",xlookup(E59,'Import_VN_Label approve'!E:E,'Import_VN_Label approve'!N:N,"N/A",0,1))</f>
        <v>G990-09562-00-01
G990-09562-00-A</v>
      </c>
      <c r="BF59" s="315"/>
      <c r="BG59" s="332" t="s">
        <v>503</v>
      </c>
      <c r="BH59" s="317" t="s">
        <v>504</v>
      </c>
      <c r="BI59" s="318">
        <v>45773.0</v>
      </c>
      <c r="BJ59" s="319" t="str">
        <f t="array" ref="BJ59">if(isblank(E59),"", xlookup(D59,z_Others!$B$5:$B$17,z_Others!$C$5:$C$17,"",0,1))</f>
        <v>智能手機</v>
      </c>
      <c r="BK59" s="320">
        <v>45782.0</v>
      </c>
      <c r="BL59" s="320" t="str">
        <f t="array" ref="BL59">if(isblank(E59),"",xlookup(E59,'FL5_MP POR_LH_報關備案_G950 &amp; GA'!F:F,'FL5_MP POR_LH_報關備案_G950 &amp; GA'!E:E,"No Need",0,1))</f>
        <v>Close</v>
      </c>
      <c r="BM59" s="321" t="str">
        <f t="array" ref="BM59">if(isblank(E59),"",xlookup($BM$9&amp;E59,'Import_FL5 MPS (06.06.25) - Sor'!E55:E334&amp;'Import_FL5 MPS (06.06.25) - Sor'!F55:F334,'Import_FL5 MPS (06.06.25) - Sor'!ES55:ES334,"No demand",0,1))</f>
        <v>No demand</v>
      </c>
      <c r="BN59" s="321" t="str">
        <f t="array" ref="BN59">if(isblank(E59),"",xlookup($BN$9&amp;E59,'Import_FL5 MPS (06.06.25) - Sor'!E55:E334&amp;'Import_FL5 MPS (06.06.25) - Sor'!F55:F334,'Import_FL5 MPS (06.06.25) - Sor'!ES55:ES334,"No demand",0,1))</f>
        <v>No demand</v>
      </c>
      <c r="BO59" s="321" t="str">
        <f t="array" ref="BO59">if(isblank(E59),"",xlookup($BO$9&amp;E59,'Import_FL5 MPS (06.06.25) - Sor'!E55:E334&amp;'Import_FL5 MPS (06.06.25) - Sor'!F55:F334,'Import_FL5 MPS (06.06.25) - Sor'!ES55:ES334,"No demand",0,1))</f>
        <v>No demand</v>
      </c>
      <c r="BP59" s="322" t="str">
        <f t="array" ref="BP59">if(isblank(E59),"", xlookup(E59,'Import_LH_Label approve'!E:E,'Import_LH_Label approve'!L:L,"",0,1))</f>
        <v>NA</v>
      </c>
      <c r="BQ59" s="322" t="str">
        <f t="array" ref="BQ59">if(isblank(E59),"",xlookup(E59,'Import_VN_Label approve'!E:E,'Import_VN_Label approve'!M:M,"N/A",0,1))</f>
        <v>N/A</v>
      </c>
      <c r="BR59" s="325"/>
      <c r="BS59" s="323"/>
      <c r="BT59" s="324"/>
      <c r="BU59" s="91"/>
    </row>
    <row r="60">
      <c r="A60" s="176"/>
      <c r="B60" s="292">
        <v>49.0</v>
      </c>
      <c r="C60" s="231" t="s">
        <v>282</v>
      </c>
      <c r="D60" s="231" t="s">
        <v>408</v>
      </c>
      <c r="E60" s="293" t="s">
        <v>711</v>
      </c>
      <c r="F60" s="294" t="s">
        <v>554</v>
      </c>
      <c r="G60" s="294" t="s">
        <v>555</v>
      </c>
      <c r="H60" s="292" t="str">
        <f t="array" ref="H60">xlookup(F60,z_Others!$B$21:$B$45,z_Others!$E$21:$E$45,"",0,1)</f>
        <v>JPN</v>
      </c>
      <c r="I60" s="310" t="s">
        <v>425</v>
      </c>
      <c r="J60" s="231" t="str">
        <f t="array" ref="J60">if(isblank(E60),"",xlookup(I60,z_Others!$M$17:$M$20,z_Others!$O$17:$O$20,"",0,1))</f>
        <v>Frost</v>
      </c>
      <c r="K60" s="292" t="str">
        <f t="array" ref="K60">xlookup(I60,z_Others!$M$17:$M$20,z_Others!$N$17:$N$20,"",0,1)</f>
        <v>PPL</v>
      </c>
      <c r="L60" s="292" t="str">
        <f t="array" ref="L60">xlookup(F60,z_Others!$B$21:$B$45,z_Others!$D$21:$D$45,"",0,1)</f>
        <v>GL066</v>
      </c>
      <c r="M60" s="296" t="str">
        <f t="array" ref="M60">xlookup(F60,z_Others!$B$21:$B$45,z_Others!$C$21:$C$45,"",0,1)</f>
        <v>JPN</v>
      </c>
      <c r="N60" s="297">
        <v>3.5416229E7</v>
      </c>
      <c r="O60" s="331" t="s">
        <v>556</v>
      </c>
      <c r="P60" s="303" t="s">
        <v>557</v>
      </c>
      <c r="Q60" s="300" t="s">
        <v>413</v>
      </c>
      <c r="R60" s="301" t="s">
        <v>414</v>
      </c>
      <c r="S60" s="302">
        <f t="array" ref="S60">if(isblank(E60),"",xlookup($S$9&amp;M60,z_Others!$X$5:$X$17&amp;z_Others!$W$5:$W$17,z_Others!$Z$5:$Z$17,"",0,1))</f>
        <v>35444932</v>
      </c>
      <c r="T60" s="303" t="str">
        <f t="array" ref="T60">if(isblank(E60),"",xlookup($S$9&amp;M60,z_Others!$X$5:$X$17&amp;z_Others!$W$5:$W$17,z_Others!$AH$5:$AH$17,"",0,1))</f>
        <v>35 444932 020000x</v>
      </c>
      <c r="U60" s="303" t="str">
        <f t="array" ref="U60">if(isblank(E60),"",xlookup($S$9&amp;M60,z_Others!$X$5:$X$17&amp;z_Others!$W$5:$W$17,z_Others!$AI$5:$AI$17,"",0,1))</f>
        <v>35 444932 999999x</v>
      </c>
      <c r="V60" s="303" t="str">
        <f t="shared" si="2"/>
        <v>64:9D:38:32:91:82
B0:D5:FB:C6:60:70</v>
      </c>
      <c r="W60" s="303" t="str">
        <f t="shared" si="3"/>
        <v>64:9D:38:37:25:61
B0:D5:FB:CE:01:8F</v>
      </c>
      <c r="X60" s="304" t="str">
        <f t="shared" si="4"/>
        <v>MP1.0</v>
      </c>
      <c r="Y60" s="292"/>
      <c r="Z60" s="304" t="str">
        <f t="shared" si="32"/>
        <v>Android 16</v>
      </c>
      <c r="AA60" s="304" t="str">
        <f t="shared" si="34"/>
        <v>Android 16</v>
      </c>
      <c r="AB60" s="305" t="s">
        <v>712</v>
      </c>
      <c r="AC60" s="305" t="s">
        <v>713</v>
      </c>
      <c r="AD60" s="314" t="s">
        <v>447</v>
      </c>
      <c r="AE60" s="307" t="s">
        <v>418</v>
      </c>
      <c r="AF60" s="308" t="s">
        <v>447</v>
      </c>
      <c r="AG60" s="309" t="s">
        <v>418</v>
      </c>
      <c r="AH60" s="297" t="str">
        <f t="array" ref="AH60">if(isblank(E60),"",xlookup(F60,z_Others!$B$21:$B$45,z_Others!$F$21:$F$45,"TBD",0,1))</f>
        <v>00</v>
      </c>
      <c r="AI60" s="310" t="str">
        <f t="array" ref="AI60">if(isblank(E60),"", xlookup(E60,'Import_FL5_LH_PVTMP_Configs (Do'!E:E,'Import_FL5_LH_PVTMP_Configs (Do'!O:O,"TBD",0,1))</f>
        <v>G710-07800-10</v>
      </c>
      <c r="AJ60" s="311"/>
      <c r="AK60" s="310" t="str">
        <f t="array" ref="AK60">if(isblank(E60),"", xlookup(E60,'Import_FL5_LH_PVTMP_Configs (Do'!E:E,'Import_FL5_LH_PVTMP_Configs (Do'!Q:Q,"TBD",0,1))</f>
        <v>G650-14694-05</v>
      </c>
      <c r="AL60" s="310" t="str">
        <f t="array" ref="AL60">if(isblank(E60),"", xlookup(E60,'Import_FL5_LH_PVTMP_Configs (Do'!E:E,'Import_FL5_LH_PVTMP_Configs (Do'!M:M,"TBD",0,1))</f>
        <v>G710-07670-01</v>
      </c>
      <c r="AM60" s="310" t="str">
        <f t="array" ref="AM60">if(isblank(E60),"", xlookup(E60,'Import_FL5_LH_PVTMP_Configs (Do'!E:E,'Import_FL5_LH_PVTMP_Configs (Do'!N:N,"TBD",0,1))</f>
        <v>G730-09533-02</v>
      </c>
      <c r="AN60" s="310" t="str">
        <f t="array" ref="AN60">if(isblank(E60),"", xlookup(E60,'Import_FL5_LH_PVTMP_Configs (Do'!E:E,'Import_FL5_LH_PVTMP_Configs (Do'!K:K,"TBD",0,1))</f>
        <v>G950-15935-15</v>
      </c>
      <c r="AO60" s="292" t="str">
        <f t="array" ref="AO60">if(isblank(E60),"",XLOOKUP(E60,'FL5_G954 Pkg ASSY (Pkg BOM)'!L:L,'FL5_G954 Pkg ASSY (Pkg BOM)'!G:G,"N/A",0,1))</f>
        <v>G954-08541-00</v>
      </c>
      <c r="AP60" s="292" t="str">
        <f t="array" ref="AP60">if(isblank(E60),"",xlookup(E60,'FL5_G962 Country kit (Accesorie'!L:L,'FL5_G962 Country kit (Accesorie'!G:G,"N/A",0,1))</f>
        <v>G962-00511-00</v>
      </c>
      <c r="AQ60" s="304" t="s">
        <v>714</v>
      </c>
      <c r="AR60" s="304" t="s">
        <v>561</v>
      </c>
      <c r="AS60" s="292" t="s">
        <v>596</v>
      </c>
      <c r="AT60" s="302" t="str">
        <f t="shared" si="6"/>
        <v>Yes</v>
      </c>
      <c r="AU60" s="302" t="str">
        <f t="shared" si="7"/>
        <v>No</v>
      </c>
      <c r="AV60" s="302" t="str">
        <f t="shared" si="8"/>
        <v>No</v>
      </c>
      <c r="AW60" s="302"/>
      <c r="AX60" s="302" t="s">
        <v>715</v>
      </c>
      <c r="AY60" s="302" t="s">
        <v>716</v>
      </c>
      <c r="AZ60" s="312" t="str">
        <f t="array" ref="AZ60">if(isblank(E60),"", xlookup(E60,Import_FL5_LH_PVT_BM!D:D,Import_FL5_LH_PVT_BM!AK:AK,$F$4,0,1))</f>
        <v>MP</v>
      </c>
      <c r="BA60" s="292" t="str">
        <f t="shared" si="9"/>
        <v>Retail_10ct</v>
      </c>
      <c r="BB60" s="313" t="str">
        <f t="array" ref="BB60">if(isblank(E60),"",xlookup(F60,z_Others!$B$21:$B$42,z_Others!$G$21:$G$42,"No",0,1))</f>
        <v>ROW Master Carton Label (UPC)</v>
      </c>
      <c r="BC60" s="313" t="str">
        <f t="array" ref="BC60">if(isblank(E60),"",xlookup(F60,z_Others!$B$21:$B$42,z_Others!$H$21:$H$42,"No",0,1))</f>
        <v>Standard Pallet Label (BTO)
Standard Pallet Label (BTS)</v>
      </c>
      <c r="BD60" s="314" t="str">
        <f t="array" ref="BD60">if(isblank(E60),"",xlookup(E60,'Import_VN_Label approve'!E:E,'Import_VN_Label approve'!L:L,"N/A",0,1))</f>
        <v>G990-08486-22-03
G990-08486-22-B</v>
      </c>
      <c r="BE60" s="314" t="str">
        <f t="array" ref="BE60">if(isblank(E60),"",xlookup(E60,'Import_VN_Label approve'!E:E,'Import_VN_Label approve'!N:N,"N/A",0,1))</f>
        <v>G990-09562-00-01
G990-09562-00-A</v>
      </c>
      <c r="BF60" s="315"/>
      <c r="BG60" s="332" t="s">
        <v>503</v>
      </c>
      <c r="BH60" s="317" t="s">
        <v>504</v>
      </c>
      <c r="BI60" s="318">
        <v>45773.0</v>
      </c>
      <c r="BJ60" s="319" t="str">
        <f t="array" ref="BJ60">if(isblank(E60),"", xlookup(D60,z_Others!$B$5:$B$17,z_Others!$C$5:$C$17,"",0,1))</f>
        <v>智能手機</v>
      </c>
      <c r="BK60" s="320">
        <v>45782.0</v>
      </c>
      <c r="BL60" s="320" t="str">
        <f t="array" ref="BL60">if(isblank(E60),"",xlookup(E60,'FL5_MP POR_LH_報關備案_G950 &amp; GA'!F:F,'FL5_MP POR_LH_報關備案_G950 &amp; GA'!E:E,"No Need",0,1))</f>
        <v>Close</v>
      </c>
      <c r="BM60" s="321" t="str">
        <f t="array" ref="BM60">if(isblank(E60),"",xlookup($BM$9&amp;E60,'Import_FL5 MPS (06.06.25) - Sor'!E56:E334&amp;'Import_FL5 MPS (06.06.25) - Sor'!F56:F334,'Import_FL5 MPS (06.06.25) - Sor'!ES56:ES334,"No demand",0,1))</f>
        <v>No demand</v>
      </c>
      <c r="BN60" s="321" t="str">
        <f t="array" ref="BN60">if(isblank(E60),"",xlookup($BN$9&amp;E60,'Import_FL5 MPS (06.06.25) - Sor'!E56:E334&amp;'Import_FL5 MPS (06.06.25) - Sor'!F56:F334,'Import_FL5 MPS (06.06.25) - Sor'!ES56:ES334,"No demand",0,1))</f>
        <v>No demand</v>
      </c>
      <c r="BO60" s="321" t="str">
        <f t="array" ref="BO60">if(isblank(E60),"",xlookup($BO$9&amp;E60,'Import_FL5 MPS (06.06.25) - Sor'!E56:E334&amp;'Import_FL5 MPS (06.06.25) - Sor'!F56:F334,'Import_FL5 MPS (06.06.25) - Sor'!ES56:ES334,"No demand",0,1))</f>
        <v>No demand</v>
      </c>
      <c r="BP60" s="322" t="str">
        <f t="array" ref="BP60">if(isblank(E60),"", xlookup(E60,'Import_LH_Label approve'!E:E,'Import_LH_Label approve'!L:L,"",0,1))</f>
        <v>NA</v>
      </c>
      <c r="BQ60" s="322" t="str">
        <f t="array" ref="BQ60">if(isblank(E60),"",xlookup(E60,'Import_VN_Label approve'!E:E,'Import_VN_Label approve'!M:M,"N/A",0,1))</f>
        <v>N/A</v>
      </c>
      <c r="BR60" s="325"/>
      <c r="BS60" s="323"/>
      <c r="BT60" s="324"/>
      <c r="BU60" s="91"/>
    </row>
    <row r="61">
      <c r="A61" s="176"/>
      <c r="B61" s="292">
        <v>50.0</v>
      </c>
      <c r="C61" s="231" t="s">
        <v>282</v>
      </c>
      <c r="D61" s="231" t="s">
        <v>408</v>
      </c>
      <c r="E61" s="344" t="s">
        <v>717</v>
      </c>
      <c r="F61" s="294" t="s">
        <v>554</v>
      </c>
      <c r="G61" s="294" t="s">
        <v>555</v>
      </c>
      <c r="H61" s="292" t="str">
        <f t="array" ref="H61">xlookup(F61,z_Others!$B$21:$B$45,z_Others!$E$21:$E$45,"",0,1)</f>
        <v>JPN</v>
      </c>
      <c r="I61" s="310" t="s">
        <v>431</v>
      </c>
      <c r="J61" s="231" t="str">
        <f t="array" ref="J61">if(isblank(E61),"",xlookup(I61,z_Others!$M$17:$M$20,z_Others!$O$17:$O$20,"",0,1))</f>
        <v>Lemongrass</v>
      </c>
      <c r="K61" s="292" t="str">
        <f t="array" ref="K61">xlookup(I61,z_Others!$M$17:$M$20,z_Others!$N$17:$N$20,"",0,1)</f>
        <v>YEL</v>
      </c>
      <c r="L61" s="292" t="str">
        <f t="array" ref="L61">xlookup(F61,z_Others!$B$21:$B$45,z_Others!$D$21:$D$45,"",0,1)</f>
        <v>GL066</v>
      </c>
      <c r="M61" s="296" t="str">
        <f t="array" ref="M61">xlookup(F61,z_Others!$B$21:$B$45,z_Others!$C$21:$C$45,"",0,1)</f>
        <v>JPN</v>
      </c>
      <c r="N61" s="297">
        <v>3.5416229E7</v>
      </c>
      <c r="O61" s="331" t="s">
        <v>556</v>
      </c>
      <c r="P61" s="303" t="s">
        <v>557</v>
      </c>
      <c r="Q61" s="300" t="s">
        <v>413</v>
      </c>
      <c r="R61" s="301" t="s">
        <v>414</v>
      </c>
      <c r="S61" s="302">
        <f t="array" ref="S61">if(isblank(E61),"",xlookup($S$9&amp;M61,z_Others!$X$5:$X$17&amp;z_Others!$W$5:$W$17,z_Others!$Z$5:$Z$17,"",0,1))</f>
        <v>35444932</v>
      </c>
      <c r="T61" s="303" t="str">
        <f t="array" ref="T61">if(isblank(E61),"",xlookup($S$9&amp;M61,z_Others!$X$5:$X$17&amp;z_Others!$W$5:$W$17,z_Others!$AH$5:$AH$17,"",0,1))</f>
        <v>35 444932 020000x</v>
      </c>
      <c r="U61" s="303" t="str">
        <f t="array" ref="U61">if(isblank(E61),"",xlookup($S$9&amp;M61,z_Others!$X$5:$X$17&amp;z_Others!$W$5:$W$17,z_Others!$AI$5:$AI$17,"",0,1))</f>
        <v>35 444932 999999x</v>
      </c>
      <c r="V61" s="303" t="str">
        <f t="shared" si="2"/>
        <v>64:9D:38:32:91:82
B0:D5:FB:C6:60:70</v>
      </c>
      <c r="W61" s="303" t="str">
        <f t="shared" si="3"/>
        <v>64:9D:38:37:25:61
B0:D5:FB:CE:01:8F</v>
      </c>
      <c r="X61" s="304" t="str">
        <f t="shared" si="4"/>
        <v>MP1.0</v>
      </c>
      <c r="Y61" s="292"/>
      <c r="Z61" s="304" t="str">
        <f t="shared" si="32"/>
        <v>Android 16</v>
      </c>
      <c r="AA61" s="304" t="str">
        <f t="shared" si="34"/>
        <v>Android 16</v>
      </c>
      <c r="AB61" s="305" t="s">
        <v>718</v>
      </c>
      <c r="AC61" s="305" t="s">
        <v>719</v>
      </c>
      <c r="AD61" s="314" t="s">
        <v>447</v>
      </c>
      <c r="AE61" s="307" t="s">
        <v>418</v>
      </c>
      <c r="AF61" s="308" t="s">
        <v>447</v>
      </c>
      <c r="AG61" s="309" t="s">
        <v>418</v>
      </c>
      <c r="AH61" s="297" t="str">
        <f t="array" ref="AH61">if(isblank(E61),"",xlookup(F61,z_Others!$B$21:$B$45,z_Others!$F$21:$F$45,"TBD",0,1))</f>
        <v>00</v>
      </c>
      <c r="AI61" s="310" t="str">
        <f t="array" ref="AI61">if(isblank(E61),"", xlookup(E61,'Import_FL5_LH_PVTMP_Configs (Do'!E:E,'Import_FL5_LH_PVTMP_Configs (Do'!O:O,"TBD",0,1))</f>
        <v>G710-07800-10</v>
      </c>
      <c r="AJ61" s="311"/>
      <c r="AK61" s="310" t="str">
        <f t="array" ref="AK61">if(isblank(E61),"", xlookup(E61,'Import_FL5_LH_PVTMP_Configs (Do'!E:E,'Import_FL5_LH_PVTMP_Configs (Do'!Q:Q,"TBD",0,1))</f>
        <v>G650-14694-05</v>
      </c>
      <c r="AL61" s="310" t="str">
        <f t="array" ref="AL61">if(isblank(E61),"", xlookup(E61,'Import_FL5_LH_PVTMP_Configs (Do'!E:E,'Import_FL5_LH_PVTMP_Configs (Do'!M:M,"TBD",0,1))</f>
        <v>G710-07670-01</v>
      </c>
      <c r="AM61" s="310" t="str">
        <f t="array" ref="AM61">if(isblank(E61),"", xlookup(E61,'Import_FL5_LH_PVTMP_Configs (Do'!E:E,'Import_FL5_LH_PVTMP_Configs (Do'!N:N,"TBD",0,1))</f>
        <v>G730-09533-03</v>
      </c>
      <c r="AN61" s="310" t="str">
        <f t="array" ref="AN61">if(isblank(E61),"", xlookup(E61,'Import_FL5_LH_PVTMP_Configs (Do'!E:E,'Import_FL5_LH_PVTMP_Configs (Do'!K:K,"TBD",0,1))</f>
        <v>G950-15935-16</v>
      </c>
      <c r="AO61" s="292" t="str">
        <f t="array" ref="AO61">if(isblank(E61),"",XLOOKUP(E61,'FL5_G954 Pkg ASSY (Pkg BOM)'!L:L,'FL5_G954 Pkg ASSY (Pkg BOM)'!G:G,"N/A",0,1))</f>
        <v>G954-08541-00</v>
      </c>
      <c r="AP61" s="292" t="str">
        <f t="array" ref="AP61">if(isblank(E61),"",xlookup(E61,'FL5_G962 Country kit (Accesorie'!L:L,'FL5_G962 Country kit (Accesorie'!G:G,"N/A",0,1))</f>
        <v>G962-00511-00</v>
      </c>
      <c r="AQ61" s="304" t="s">
        <v>720</v>
      </c>
      <c r="AR61" s="304" t="s">
        <v>561</v>
      </c>
      <c r="AS61" s="292" t="s">
        <v>596</v>
      </c>
      <c r="AT61" s="302" t="str">
        <f t="shared" si="6"/>
        <v>Yes</v>
      </c>
      <c r="AU61" s="302" t="str">
        <f t="shared" si="7"/>
        <v>No</v>
      </c>
      <c r="AV61" s="302" t="str">
        <f t="shared" si="8"/>
        <v>No</v>
      </c>
      <c r="AW61" s="302"/>
      <c r="AX61" s="302" t="s">
        <v>721</v>
      </c>
      <c r="AY61" s="302" t="s">
        <v>722</v>
      </c>
      <c r="AZ61" s="312" t="str">
        <f t="array" ref="AZ61">if(isblank(E61),"", xlookup(E61,Import_FL5_LH_PVT_BM!D:D,Import_FL5_LH_PVT_BM!AK:AK,$F$4,0,1))</f>
        <v>MP</v>
      </c>
      <c r="BA61" s="292" t="str">
        <f t="shared" si="9"/>
        <v>Retail_10ct</v>
      </c>
      <c r="BB61" s="313" t="str">
        <f t="array" ref="BB61">if(isblank(E61),"",xlookup(F61,z_Others!$B$21:$B$42,z_Others!$G$21:$G$42,"No",0,1))</f>
        <v>ROW Master Carton Label (UPC)</v>
      </c>
      <c r="BC61" s="313" t="str">
        <f t="array" ref="BC61">if(isblank(E61),"",xlookup(F61,z_Others!$B$21:$B$42,z_Others!$H$21:$H$42,"No",0,1))</f>
        <v>Standard Pallet Label (BTO)
Standard Pallet Label (BTS)</v>
      </c>
      <c r="BD61" s="314" t="str">
        <f t="array" ref="BD61">if(isblank(E61),"",xlookup(E61,'Import_VN_Label approve'!E:E,'Import_VN_Label approve'!L:L,"N/A",0,1))</f>
        <v>G990-08486-32-03
G990-08486-32-B</v>
      </c>
      <c r="BE61" s="314" t="str">
        <f t="array" ref="BE61">if(isblank(E61),"",xlookup(E61,'Import_VN_Label approve'!E:E,'Import_VN_Label approve'!N:N,"N/A",0,1))</f>
        <v>G990-09562-00-01
G990-09562-00-A</v>
      </c>
      <c r="BF61" s="315"/>
      <c r="BG61" s="332" t="s">
        <v>503</v>
      </c>
      <c r="BH61" s="317" t="s">
        <v>504</v>
      </c>
      <c r="BI61" s="318">
        <v>45773.0</v>
      </c>
      <c r="BJ61" s="319" t="str">
        <f t="array" ref="BJ61">if(isblank(E61),"", xlookup(D61,z_Others!$B$5:$B$17,z_Others!$C$5:$C$17,"",0,1))</f>
        <v>智能手機</v>
      </c>
      <c r="BK61" s="320">
        <v>45782.0</v>
      </c>
      <c r="BL61" s="320" t="str">
        <f t="array" ref="BL61">if(isblank(E61),"",xlookup(E61,'FL5_MP POR_LH_報關備案_G950 &amp; GA'!F:F,'FL5_MP POR_LH_報關備案_G950 &amp; GA'!E:E,"No Need",0,1))</f>
        <v>Close</v>
      </c>
      <c r="BM61" s="321" t="str">
        <f t="array" ref="BM61">if(isblank(E61),"",xlookup($BM$9&amp;E61,'Import_FL5 MPS (06.06.25) - Sor'!E57:E334&amp;'Import_FL5 MPS (06.06.25) - Sor'!F57:F334,'Import_FL5 MPS (06.06.25) - Sor'!ES57:ES334,"No demand",0,1))</f>
        <v>No demand</v>
      </c>
      <c r="BN61" s="321" t="str">
        <f t="array" ref="BN61">if(isblank(E61),"",xlookup($BN$9&amp;E61,'Import_FL5 MPS (06.06.25) - Sor'!E57:E334&amp;'Import_FL5 MPS (06.06.25) - Sor'!F57:F334,'Import_FL5 MPS (06.06.25) - Sor'!ES57:ES334,"No demand",0,1))</f>
        <v>No demand</v>
      </c>
      <c r="BO61" s="321" t="str">
        <f t="array" ref="BO61">if(isblank(E61),"",xlookup($BO$9&amp;E61,'Import_FL5 MPS (06.06.25) - Sor'!E57:E334&amp;'Import_FL5 MPS (06.06.25) - Sor'!F57:F334,'Import_FL5 MPS (06.06.25) - Sor'!ES57:ES334,"No demand",0,1))</f>
        <v>No demand</v>
      </c>
      <c r="BP61" s="322" t="str">
        <f t="array" ref="BP61">if(isblank(E61),"", xlookup(E61,'Import_LH_Label approve'!E:E,'Import_LH_Label approve'!L:L,"",0,1))</f>
        <v>NA</v>
      </c>
      <c r="BQ61" s="322" t="str">
        <f t="array" ref="BQ61">if(isblank(E61),"",xlookup(E61,'Import_VN_Label approve'!E:E,'Import_VN_Label approve'!M:M,"N/A",0,1))</f>
        <v>N/A</v>
      </c>
      <c r="BR61" s="345"/>
      <c r="BS61" s="323"/>
      <c r="BT61" s="324"/>
      <c r="BU61" s="346"/>
    </row>
    <row r="62">
      <c r="A62" s="176"/>
      <c r="B62" s="292">
        <v>51.0</v>
      </c>
      <c r="C62" s="231" t="s">
        <v>282</v>
      </c>
      <c r="D62" s="231" t="s">
        <v>408</v>
      </c>
      <c r="E62" s="347" t="s">
        <v>723</v>
      </c>
      <c r="F62" s="294" t="s">
        <v>554</v>
      </c>
      <c r="G62" s="294" t="s">
        <v>555</v>
      </c>
      <c r="H62" s="292" t="str">
        <f t="array" ref="H62">xlookup(F62,z_Others!$B$21:$B$45,z_Others!$E$21:$E$45,"",0,1)</f>
        <v>JPN</v>
      </c>
      <c r="I62" s="310" t="s">
        <v>437</v>
      </c>
      <c r="J62" s="231" t="str">
        <f t="array" ref="J62">if(isblank(E62),"",xlookup(I62,z_Others!$M$17:$M$20,z_Others!$O$17:$O$20,"",0,1))</f>
        <v>Indigo</v>
      </c>
      <c r="K62" s="292" t="str">
        <f t="array" ref="K62">xlookup(I62,z_Others!$M$17:$M$20,z_Others!$N$17:$N$20,"",0,1)</f>
        <v>BUE</v>
      </c>
      <c r="L62" s="292" t="str">
        <f t="array" ref="L62">xlookup(F62,z_Others!$B$21:$B$45,z_Others!$D$21:$D$45,"",0,1)</f>
        <v>GL066</v>
      </c>
      <c r="M62" s="296" t="str">
        <f t="array" ref="M62">xlookup(F62,z_Others!$B$21:$B$45,z_Others!$C$21:$C$45,"",0,1)</f>
        <v>JPN</v>
      </c>
      <c r="N62" s="297">
        <v>3.5416229E7</v>
      </c>
      <c r="O62" s="331" t="s">
        <v>556</v>
      </c>
      <c r="P62" s="303" t="s">
        <v>557</v>
      </c>
      <c r="Q62" s="300" t="s">
        <v>413</v>
      </c>
      <c r="R62" s="301" t="s">
        <v>414</v>
      </c>
      <c r="S62" s="302">
        <f t="array" ref="S62">if(isblank(E62),"",xlookup($S$9&amp;M62,z_Others!$X$5:$X$17&amp;z_Others!$W$5:$W$17,z_Others!$Z$5:$Z$17,"",0,1))</f>
        <v>35444932</v>
      </c>
      <c r="T62" s="303" t="str">
        <f t="array" ref="T62">if(isblank(E62),"",xlookup($S$9&amp;M62,z_Others!$X$5:$X$17&amp;z_Others!$W$5:$W$17,z_Others!$AH$5:$AH$17,"",0,1))</f>
        <v>35 444932 020000x</v>
      </c>
      <c r="U62" s="303" t="str">
        <f t="array" ref="U62">if(isblank(E62),"",xlookup($S$9&amp;M62,z_Others!$X$5:$X$17&amp;z_Others!$W$5:$W$17,z_Others!$AI$5:$AI$17,"",0,1))</f>
        <v>35 444932 999999x</v>
      </c>
      <c r="V62" s="303" t="str">
        <f t="shared" si="2"/>
        <v>64:9D:38:32:91:82
B0:D5:FB:C6:60:70</v>
      </c>
      <c r="W62" s="303" t="str">
        <f t="shared" si="3"/>
        <v>64:9D:38:37:25:61
B0:D5:FB:CE:01:8F</v>
      </c>
      <c r="X62" s="304" t="str">
        <f t="shared" si="4"/>
        <v>MP1.0</v>
      </c>
      <c r="Y62" s="292"/>
      <c r="Z62" s="304" t="str">
        <f t="shared" si="32"/>
        <v>Android 16</v>
      </c>
      <c r="AA62" s="304" t="str">
        <f t="shared" si="34"/>
        <v>Android 16</v>
      </c>
      <c r="AB62" s="305" t="s">
        <v>724</v>
      </c>
      <c r="AC62" s="305" t="s">
        <v>725</v>
      </c>
      <c r="AD62" s="314" t="s">
        <v>447</v>
      </c>
      <c r="AE62" s="307" t="s">
        <v>418</v>
      </c>
      <c r="AF62" s="308" t="s">
        <v>447</v>
      </c>
      <c r="AG62" s="309" t="s">
        <v>418</v>
      </c>
      <c r="AH62" s="297" t="str">
        <f t="array" ref="AH62">if(isblank(E62),"",xlookup(F62,z_Others!$B$21:$B$45,z_Others!$F$21:$F$45,"TBD",0,1))</f>
        <v>00</v>
      </c>
      <c r="AI62" s="310" t="str">
        <f t="array" ref="AI62">if(isblank(E62),"", xlookup(E62,'Import_FL5_LH_PVTMP_Configs (Do'!E:E,'Import_FL5_LH_PVTMP_Configs (Do'!O:O,"TBD",0,1))</f>
        <v>G710-07800-10</v>
      </c>
      <c r="AJ62" s="311"/>
      <c r="AK62" s="310" t="str">
        <f t="array" ref="AK62">if(isblank(E62),"", xlookup(E62,'Import_FL5_LH_PVTMP_Configs (Do'!E:E,'Import_FL5_LH_PVTMP_Configs (Do'!Q:Q,"TBD",0,1))</f>
        <v>G650-14694-05</v>
      </c>
      <c r="AL62" s="310" t="str">
        <f t="array" ref="AL62">if(isblank(E62),"", xlookup(E62,'Import_FL5_LH_PVTMP_Configs (Do'!E:E,'Import_FL5_LH_PVTMP_Configs (Do'!M:M,"TBD",0,1))</f>
        <v>G710-07670-01</v>
      </c>
      <c r="AM62" s="310" t="str">
        <f t="array" ref="AM62">if(isblank(E62),"", xlookup(E62,'Import_FL5_LH_PVTMP_Configs (Do'!E:E,'Import_FL5_LH_PVTMP_Configs (Do'!N:N,"TBD",0,1))</f>
        <v>G730-09533-04</v>
      </c>
      <c r="AN62" s="310" t="str">
        <f t="array" ref="AN62">if(isblank(E62),"", xlookup(E62,'Import_FL5_LH_PVTMP_Configs (Do'!E:E,'Import_FL5_LH_PVTMP_Configs (Do'!K:K,"TBD",0,1))</f>
        <v>G950-15935-17</v>
      </c>
      <c r="AO62" s="292" t="str">
        <f t="array" ref="AO62">if(isblank(E62),"",XLOOKUP(E62,'FL5_G954 Pkg ASSY (Pkg BOM)'!L:L,'FL5_G954 Pkg ASSY (Pkg BOM)'!G:G,"N/A",0,1))</f>
        <v>G954-08541-00</v>
      </c>
      <c r="AP62" s="292" t="str">
        <f t="array" ref="AP62">if(isblank(E62),"",xlookup(E62,'FL5_G962 Country kit (Accesorie'!L:L,'FL5_G962 Country kit (Accesorie'!G:G,"N/A",0,1))</f>
        <v>G962-00511-00</v>
      </c>
      <c r="AQ62" s="304" t="s">
        <v>726</v>
      </c>
      <c r="AR62" s="304" t="s">
        <v>561</v>
      </c>
      <c r="AS62" s="292" t="s">
        <v>596</v>
      </c>
      <c r="AT62" s="302" t="str">
        <f t="shared" si="6"/>
        <v>Yes</v>
      </c>
      <c r="AU62" s="302" t="str">
        <f t="shared" si="7"/>
        <v>No</v>
      </c>
      <c r="AV62" s="302" t="str">
        <f t="shared" si="8"/>
        <v>No</v>
      </c>
      <c r="AW62" s="302"/>
      <c r="AX62" s="302" t="s">
        <v>727</v>
      </c>
      <c r="AY62" s="302" t="s">
        <v>728</v>
      </c>
      <c r="AZ62" s="312" t="str">
        <f t="array" ref="AZ62">if(isblank(E62),"", xlookup(E62,Import_FL5_LH_PVT_BM!D:D,Import_FL5_LH_PVT_BM!AK:AK,$F$4,0,1))</f>
        <v>MP</v>
      </c>
      <c r="BA62" s="292" t="str">
        <f t="shared" si="9"/>
        <v>Retail_10ct</v>
      </c>
      <c r="BB62" s="313" t="str">
        <f t="array" ref="BB62">if(isblank(E62),"",xlookup(F62,z_Others!$B$21:$B$42,z_Others!$G$21:$G$42,"No",0,1))</f>
        <v>ROW Master Carton Label (UPC)</v>
      </c>
      <c r="BC62" s="313" t="str">
        <f t="array" ref="BC62">if(isblank(E62),"",xlookup(F62,z_Others!$B$21:$B$42,z_Others!$H$21:$H$42,"No",0,1))</f>
        <v>Standard Pallet Label (BTO)
Standard Pallet Label (BTS)</v>
      </c>
      <c r="BD62" s="314" t="str">
        <f t="array" ref="BD62">if(isblank(E62),"",xlookup(E62,'Import_VN_Label approve'!E:E,'Import_VN_Label approve'!L:L,"N/A",0,1))</f>
        <v>G990-08486-42-03
G990-08486-42-B</v>
      </c>
      <c r="BE62" s="314" t="str">
        <f t="array" ref="BE62">if(isblank(E62),"",xlookup(E62,'Import_VN_Label approve'!E:E,'Import_VN_Label approve'!N:N,"N/A",0,1))</f>
        <v>G990-09562-00-01
G990-09562-00-A</v>
      </c>
      <c r="BF62" s="315"/>
      <c r="BG62" s="332" t="s">
        <v>503</v>
      </c>
      <c r="BH62" s="317" t="s">
        <v>504</v>
      </c>
      <c r="BI62" s="318">
        <v>45773.0</v>
      </c>
      <c r="BJ62" s="319" t="str">
        <f t="array" ref="BJ62">if(isblank(E62),"", xlookup(D62,z_Others!$B$5:$B$17,z_Others!$C$5:$C$17,"",0,1))</f>
        <v>智能手機</v>
      </c>
      <c r="BK62" s="320">
        <v>45782.0</v>
      </c>
      <c r="BL62" s="320" t="str">
        <f t="array" ref="BL62">if(isblank(E62),"",xlookup(E62,'FL5_MP POR_LH_報關備案_G950 &amp; GA'!F:F,'FL5_MP POR_LH_報關備案_G950 &amp; GA'!E:E,"No Need",0,1))</f>
        <v>Close</v>
      </c>
      <c r="BM62" s="321" t="str">
        <f t="array" ref="BM62">if(isblank(E62),"",xlookup($BM$9&amp;E62,'Import_FL5 MPS (06.06.25) - Sor'!E58:E334&amp;'Import_FL5 MPS (06.06.25) - Sor'!F58:F334,'Import_FL5 MPS (06.06.25) - Sor'!ES58:ES334,"No demand",0,1))</f>
        <v>No demand</v>
      </c>
      <c r="BN62" s="321" t="str">
        <f t="array" ref="BN62">if(isblank(E62),"",xlookup($BN$9&amp;E62,'Import_FL5 MPS (06.06.25) - Sor'!E58:E334&amp;'Import_FL5 MPS (06.06.25) - Sor'!F58:F334,'Import_FL5 MPS (06.06.25) - Sor'!ES58:ES334,"No demand",0,1))</f>
        <v>No demand</v>
      </c>
      <c r="BO62" s="321" t="str">
        <f t="array" ref="BO62">if(isblank(E62),"",xlookup($BO$9&amp;E62,'Import_FL5 MPS (06.06.25) - Sor'!E58:E334&amp;'Import_FL5 MPS (06.06.25) - Sor'!F58:F334,'Import_FL5 MPS (06.06.25) - Sor'!ES58:ES334,"No demand",0,1))</f>
        <v>No demand</v>
      </c>
      <c r="BP62" s="322" t="str">
        <f t="array" ref="BP62">if(isblank(E62),"", xlookup(E62,'Import_LH_Label approve'!E:E,'Import_LH_Label approve'!L:L,"",0,1))</f>
        <v>NA</v>
      </c>
      <c r="BQ62" s="322" t="str">
        <f t="array" ref="BQ62">if(isblank(E62),"",xlookup(E62,'Import_VN_Label approve'!E:E,'Import_VN_Label approve'!M:M,"N/A",0,1))</f>
        <v>N/A</v>
      </c>
      <c r="BR62" s="325"/>
      <c r="BS62" s="323"/>
      <c r="BT62" s="324"/>
      <c r="BU62" s="91"/>
    </row>
    <row r="63">
      <c r="A63" s="176"/>
      <c r="B63" s="292">
        <v>52.0</v>
      </c>
      <c r="C63" s="231" t="s">
        <v>286</v>
      </c>
      <c r="D63" s="231" t="s">
        <v>408</v>
      </c>
      <c r="E63" s="347" t="s">
        <v>729</v>
      </c>
      <c r="F63" s="294" t="s">
        <v>410</v>
      </c>
      <c r="G63" s="294" t="s">
        <v>411</v>
      </c>
      <c r="H63" s="292" t="str">
        <f t="array" ref="H63">xlookup(F63,z_Others!$B$21:$B$45,z_Others!$E$21:$E$45,"",0,1)</f>
        <v>mmWave</v>
      </c>
      <c r="I63" s="310" t="s">
        <v>412</v>
      </c>
      <c r="J63" s="231" t="str">
        <f t="array" ref="J63">if(isblank(E63),"",xlookup(I63,z_Others!$M$17:$M$20,z_Others!$O$17:$O$20,"",0,1))</f>
        <v>Obsidian</v>
      </c>
      <c r="K63" s="292" t="str">
        <f t="array" ref="K63">xlookup(I63,z_Others!$M$17:$M$20,z_Others!$N$17:$N$20,"",0,1)</f>
        <v>BLK</v>
      </c>
      <c r="L63" s="292" t="str">
        <f t="array" ref="L63">xlookup(F63,z_Others!$B$21:$B$45,z_Others!$D$21:$D$45,"",0,1)</f>
        <v>GLBW0</v>
      </c>
      <c r="M63" s="296" t="str">
        <f t="array" ref="M63">xlookup(F63,z_Others!$B$21:$B$45,z_Others!$C$21:$C$45,"",0,1)</f>
        <v>VZW</v>
      </c>
      <c r="N63" s="297">
        <f t="array" ref="N63">if(isblank(E63),"",xlookup($N$9&amp;M63,z_Others!$X$5:$X$17&amp;z_Others!$W$5:$W$17,z_Others!$Z$5:$Z$17,"",0,1))</f>
        <v>35560678</v>
      </c>
      <c r="O63" s="298" t="str">
        <f t="array" ref="O63">if(isblank(E63),"",xlookup($N$9&amp;M63,z_Others!$X$5:$X$17&amp;z_Others!$W$5:$W$17,z_Others!$AH$5:$AH$17,"",0,1))</f>
        <v>35 560678 020000x</v>
      </c>
      <c r="P63" s="299" t="str">
        <f t="array" ref="P63">if(isblank(E63),"",xlookup($N$9&amp;M63,z_Others!$X$5:$X$17&amp;z_Others!$W$5:$W$17,z_Others!$AI$5:$AI$17,"",0,1))</f>
        <v>35 560678 999999x</v>
      </c>
      <c r="Q63" s="300" t="s">
        <v>413</v>
      </c>
      <c r="R63" s="301" t="s">
        <v>414</v>
      </c>
      <c r="S63" s="302">
        <f t="array" ref="S63">if(isblank(E63),"",xlookup($S$9&amp;M63,z_Others!$X$5:$X$17&amp;z_Others!$W$5:$W$17,z_Others!$Z$5:$Z$17,"",0,1))</f>
        <v>35931451</v>
      </c>
      <c r="T63" s="303" t="str">
        <f t="array" ref="T63">if(isblank(E63),"",xlookup($S$9&amp;M63,z_Others!$X$5:$X$17&amp;z_Others!$W$5:$W$17,z_Others!$AH$5:$AH$17,"",0,1))</f>
        <v>35 931451 020000x</v>
      </c>
      <c r="U63" s="303" t="str">
        <f t="array" ref="U63">if(isblank(E63),"",xlookup($S$9&amp;M63,z_Others!$X$5:$X$17&amp;z_Others!$W$5:$W$17,z_Others!$AI$5:$AI$17,"",0,1))</f>
        <v>35 931451 999999x</v>
      </c>
      <c r="V63" s="303" t="str">
        <f t="shared" si="2"/>
        <v>64:9D:38:32:91:82
B0:D5:FB:C6:60:70</v>
      </c>
      <c r="W63" s="303" t="str">
        <f t="shared" si="3"/>
        <v>64:9D:38:37:25:61
B0:D5:FB:CE:01:8F</v>
      </c>
      <c r="X63" s="304" t="str">
        <f t="shared" si="4"/>
        <v>MP1.0</v>
      </c>
      <c r="Y63" s="292"/>
      <c r="Z63" s="304" t="str">
        <f t="shared" si="32"/>
        <v>Android 16</v>
      </c>
      <c r="AA63" s="304" t="str">
        <f>if(isblank(E63),"",IF(AG63="AD1A.240530.047","Android 14",IF(AG63="AP3A.241105.008","Android 15","TBD")))</f>
        <v>TBD</v>
      </c>
      <c r="AB63" s="305" t="s">
        <v>730</v>
      </c>
      <c r="AC63" s="305" t="s">
        <v>731</v>
      </c>
      <c r="AD63" s="306" t="s">
        <v>417</v>
      </c>
      <c r="AE63" s="307" t="s">
        <v>418</v>
      </c>
      <c r="AF63" s="308" t="s">
        <v>417</v>
      </c>
      <c r="AG63" s="309" t="s">
        <v>418</v>
      </c>
      <c r="AH63" s="297" t="str">
        <f t="array" ref="AH63">if(isblank(E63),"",xlookup(F63,z_Others!$B$21:$B$45,z_Others!$F$21:$F$45,"TBD",0,1))</f>
        <v>US</v>
      </c>
      <c r="AI63" s="310" t="str">
        <f t="array" ref="AI63">if(isblank(E63),"", xlookup(E63,'Import_FL5_LH_PVTMP_Configs (Do'!E:E,'Import_FL5_LH_PVTMP_Configs (Do'!O:O,"TBD",0,1))</f>
        <v>G710-07800-01</v>
      </c>
      <c r="AJ63" s="311"/>
      <c r="AK63" s="310" t="str">
        <f t="array" ref="AK63">if(isblank(E63),"", xlookup(E63,'Import_FL5_LH_PVTMP_Configs (Do'!E:E,'Import_FL5_LH_PVTMP_Configs (Do'!Q:Q,"TBD",0,1))</f>
        <v>G650-14694-05</v>
      </c>
      <c r="AL63" s="310" t="str">
        <f t="array" ref="AL63">if(isblank(E63),"", xlookup(E63,'Import_FL5_LH_PVTMP_Configs (Do'!E:E,'Import_FL5_LH_PVTMP_Configs (Do'!M:M,"TBD",0,1))</f>
        <v>G710-07670-01</v>
      </c>
      <c r="AM63" s="310" t="str">
        <f t="array" ref="AM63">if(isblank(E63),"", xlookup(E63,'Import_FL5_LH_PVTMP_Configs (Do'!E:E,'Import_FL5_LH_PVTMP_Configs (Do'!N:N,"TBD",0,1))</f>
        <v>G730-09533-01</v>
      </c>
      <c r="AN63" s="310" t="str">
        <f t="array" ref="AN63">if(isblank(E63),"", xlookup(E63,'Import_FL5_LH_PVTMP_Configs (Do'!E:E,'Import_FL5_LH_PVTMP_Configs (Do'!K:K,"TBD",0,1))</f>
        <v>G950-15935-00</v>
      </c>
      <c r="AO63" s="292" t="str">
        <f t="array" ref="AO63">if(isblank(E63),"",XLOOKUP(E63,'FL5_G954 Pkg ASSY (Pkg BOM)'!L:L,'FL5_G954 Pkg ASSY (Pkg BOM)'!G:G,"N/A",0,1))</f>
        <v>G954-08540-00</v>
      </c>
      <c r="AP63" s="292" t="str">
        <f t="array" ref="AP63">if(isblank(E63),"",xlookup(E63,'FL5_G962 Country kit (Accesorie'!L:L,'FL5_G962 Country kit (Accesorie'!G:G,"N/A",0,1))</f>
        <v>G962-00511-00</v>
      </c>
      <c r="AQ63" s="304" t="str">
        <f t="array" ref="AQ63">if(isblank(E63),"", xlookup(E63,'Import_LH_Label approve'!E:E,'Import_LH_Label approve'!M:M,"",0,1))</f>
        <v>G990-08380-11-01
G990-08380-11-A</v>
      </c>
      <c r="AR63" s="304" t="str">
        <f t="array" ref="AR63">if(isblank(E63),"",xlookup(E63,'Import_LH_Label approve'!E:E,'Import_LH_Label approve'!N:N,"",0,1))</f>
        <v>G990-08382-11-01
G990-08382-11-A</v>
      </c>
      <c r="AS63" s="292" t="s">
        <v>419</v>
      </c>
      <c r="AT63" s="302" t="str">
        <f t="shared" si="6"/>
        <v>Yes</v>
      </c>
      <c r="AU63" s="302" t="str">
        <f t="shared" si="7"/>
        <v>No</v>
      </c>
      <c r="AV63" s="302" t="str">
        <f t="shared" si="8"/>
        <v>No</v>
      </c>
      <c r="AW63" s="302"/>
      <c r="AX63" s="302" t="s">
        <v>732</v>
      </c>
      <c r="AY63" s="302" t="s">
        <v>733</v>
      </c>
      <c r="AZ63" s="312" t="str">
        <f t="array" ref="AZ63">if(isblank(E63),"", xlookup(E63,Import_FL5_LH_PVT_BM!D:D,Import_FL5_LH_PVT_BM!AK:AK,$F$4,0,1))</f>
        <v>MP</v>
      </c>
      <c r="BA63" s="292" t="str">
        <f t="shared" si="9"/>
        <v>Retail_10ct</v>
      </c>
      <c r="BB63" s="313" t="str">
        <f t="array" ref="BB63">if(isblank(E63),"",xlookup(F63,z_Others!$B$21:$B$42,z_Others!$G$21:$G$42,"No",0,1))</f>
        <v>VZN Master Carton Label</v>
      </c>
      <c r="BC63" s="313" t="str">
        <f t="array" ref="BC63">if(isblank(E63),"",xlookup(F63,z_Others!$B$21:$B$42,z_Others!$H$21:$H$42,"No",0,1))</f>
        <v>VZN Pallet Label (BTS)</v>
      </c>
      <c r="BD63" s="314" t="str">
        <f t="array" ref="BD63">if(isblank(E63),"",xlookup(E63,'Import_VN_Label approve'!E:E,'Import_VN_Label approve'!L:L,"N/A",0,1))</f>
        <v>G990-08482-11-01
G990-08482-11-A</v>
      </c>
      <c r="BE63" s="314" t="str">
        <f t="array" ref="BE63">if(isblank(E63),"",xlookup(E63,'Import_VN_Label approve'!E:E,'Import_VN_Label approve'!N:N,"N/A",0,1))</f>
        <v>G990-08382-11-01
G990-08382-11-A</v>
      </c>
      <c r="BF63" s="315"/>
      <c r="BG63" s="316" t="s">
        <v>422</v>
      </c>
      <c r="BH63" s="317" t="s">
        <v>423</v>
      </c>
      <c r="BI63" s="318">
        <v>45773.0</v>
      </c>
      <c r="BJ63" s="319" t="str">
        <f t="array" ref="BJ63">if(isblank(E63),"", xlookup(D63,z_Others!$B$5:$B$17,z_Others!$C$5:$C$17,"",0,1))</f>
        <v>智能手機</v>
      </c>
      <c r="BK63" s="320">
        <v>45782.0</v>
      </c>
      <c r="BL63" s="320" t="str">
        <f t="array" ref="BL63">if(isblank(E63),"",xlookup(E63,'FL5_MP POR_LH_報關備案_G950 &amp; GA'!F:F,'FL5_MP POR_LH_報關備案_G950 &amp; GA'!E:E,"No Need",0,1))</f>
        <v>Close</v>
      </c>
      <c r="BM63" s="321" t="str">
        <f t="array" ref="BM63">if(isblank(E63),"",xlookup($BM$9&amp;E63,'Import_FL5 MPS (06.06.25) - Sor'!E59:E334&amp;'Import_FL5 MPS (06.06.25) - Sor'!F59:F334,'Import_FL5 MPS (06.06.25) - Sor'!ES59:ES334,"No demand",0,1))</f>
        <v>No demand</v>
      </c>
      <c r="BN63" s="321" t="str">
        <f t="array" ref="BN63">if(isblank(E63),"",xlookup($BN$9&amp;E63,'Import_FL5 MPS (06.06.25) - Sor'!E59:E334&amp;'Import_FL5 MPS (06.06.25) - Sor'!F59:F334,'Import_FL5 MPS (06.06.25) - Sor'!ES59:ES334,"No demand",0,1))</f>
        <v>No demand</v>
      </c>
      <c r="BO63" s="321" t="str">
        <f t="array" ref="BO63">if(isblank(E63),"",xlookup($BO$9&amp;E63,'Import_FL5 MPS (06.06.25) - Sor'!E59:E334&amp;'Import_FL5 MPS (06.06.25) - Sor'!F59:F334,'Import_FL5 MPS (06.06.25) - Sor'!ES59:ES334,"No demand",0,1))</f>
        <v>No demand</v>
      </c>
      <c r="BP63" s="322" t="str">
        <f t="array" ref="BP63">if(isblank(E63),"", xlookup(E63,'Import_LH_Label approve'!E:E,'Import_LH_Label approve'!L:L,"",0,1))</f>
        <v/>
      </c>
      <c r="BQ63" s="322" t="str">
        <f t="array" ref="BQ63">if(isblank(E63),"",xlookup(E63,'Import_VN_Label approve'!E:E,'Import_VN_Label approve'!M:M,"N/A",0,1))</f>
        <v/>
      </c>
      <c r="BR63" s="325"/>
      <c r="BS63" s="323"/>
      <c r="BT63" s="324"/>
      <c r="BU63" s="91"/>
    </row>
    <row r="64">
      <c r="A64" s="176"/>
      <c r="B64" s="292">
        <v>53.0</v>
      </c>
      <c r="C64" s="231" t="s">
        <v>286</v>
      </c>
      <c r="D64" s="231" t="s">
        <v>408</v>
      </c>
      <c r="E64" s="347" t="s">
        <v>734</v>
      </c>
      <c r="F64" s="294" t="s">
        <v>410</v>
      </c>
      <c r="G64" s="294" t="s">
        <v>411</v>
      </c>
      <c r="H64" s="292" t="str">
        <f t="array" ref="H64">xlookup(F64,z_Others!$B$21:$B$45,z_Others!$E$21:$E$45,"",0,1)</f>
        <v>mmWave</v>
      </c>
      <c r="I64" s="310" t="s">
        <v>425</v>
      </c>
      <c r="J64" s="231" t="str">
        <f t="array" ref="J64">if(isblank(E64),"",xlookup(I64,z_Others!$M$17:$M$20,z_Others!$O$17:$O$20,"",0,1))</f>
        <v>Frost</v>
      </c>
      <c r="K64" s="292" t="str">
        <f t="array" ref="K64">xlookup(I64,z_Others!$M$17:$M$20,z_Others!$N$17:$N$20,"",0,1)</f>
        <v>PPL</v>
      </c>
      <c r="L64" s="292" t="str">
        <f t="array" ref="L64">xlookup(F64,z_Others!$B$21:$B$45,z_Others!$D$21:$D$45,"",0,1)</f>
        <v>GLBW0</v>
      </c>
      <c r="M64" s="296" t="str">
        <f t="array" ref="M64">xlookup(F64,z_Others!$B$21:$B$45,z_Others!$C$21:$C$45,"",0,1)</f>
        <v>VZW</v>
      </c>
      <c r="N64" s="297">
        <f t="array" ref="N64">if(isblank(E64),"",xlookup($N$9&amp;M64,z_Others!$X$5:$X$17&amp;z_Others!$W$5:$W$17,z_Others!$Z$5:$Z$17,"",0,1))</f>
        <v>35560678</v>
      </c>
      <c r="O64" s="298" t="str">
        <f t="array" ref="O64">if(isblank(E64),"",xlookup($N$9&amp;M64,z_Others!$X$5:$X$17&amp;z_Others!$W$5:$W$17,z_Others!$AH$5:$AH$17,"",0,1))</f>
        <v>35 560678 020000x</v>
      </c>
      <c r="P64" s="299" t="str">
        <f t="array" ref="P64">if(isblank(E64),"",xlookup($N$9&amp;M64,z_Others!$X$5:$X$17&amp;z_Others!$W$5:$W$17,z_Others!$AI$5:$AI$17,"",0,1))</f>
        <v>35 560678 999999x</v>
      </c>
      <c r="Q64" s="300" t="s">
        <v>413</v>
      </c>
      <c r="R64" s="301" t="s">
        <v>414</v>
      </c>
      <c r="S64" s="302">
        <f t="array" ref="S64">if(isblank(E64),"",xlookup($S$9&amp;M64,z_Others!$X$5:$X$17&amp;z_Others!$W$5:$W$17,z_Others!$Z$5:$Z$17,"",0,1))</f>
        <v>35931451</v>
      </c>
      <c r="T64" s="303" t="str">
        <f t="array" ref="T64">if(isblank(E64),"",xlookup($S$9&amp;M64,z_Others!$X$5:$X$17&amp;z_Others!$W$5:$W$17,z_Others!$AH$5:$AH$17,"",0,1))</f>
        <v>35 931451 020000x</v>
      </c>
      <c r="U64" s="303" t="str">
        <f t="array" ref="U64">if(isblank(E64),"",xlookup($S$9&amp;M64,z_Others!$X$5:$X$17&amp;z_Others!$W$5:$W$17,z_Others!$AI$5:$AI$17,"",0,1))</f>
        <v>35 931451 999999x</v>
      </c>
      <c r="V64" s="303" t="str">
        <f t="shared" si="2"/>
        <v>64:9D:38:32:91:82
B0:D5:FB:C6:60:70</v>
      </c>
      <c r="W64" s="303" t="str">
        <f t="shared" si="3"/>
        <v>64:9D:38:37:25:61
B0:D5:FB:CE:01:8F</v>
      </c>
      <c r="X64" s="304" t="str">
        <f t="shared" si="4"/>
        <v>MP1.0</v>
      </c>
      <c r="Y64" s="292"/>
      <c r="Z64" s="304" t="str">
        <f t="shared" si="32"/>
        <v>Android 16</v>
      </c>
      <c r="AA64" s="304" t="str">
        <f t="shared" ref="AA64:AA67" si="35">if(isblank(E64),"",IF(AG64="AD1A.240530.047","Android 14",IF(AG64="AP3A.241105.008","Android 15",if(AG64="AP4A.241205.013","Android 15",if(AG64="AP4A.241205.013.C1","Android 15","TBD")))))</f>
        <v>TBD</v>
      </c>
      <c r="AB64" s="305" t="s">
        <v>735</v>
      </c>
      <c r="AC64" s="305" t="s">
        <v>736</v>
      </c>
      <c r="AD64" s="306" t="s">
        <v>417</v>
      </c>
      <c r="AE64" s="307" t="s">
        <v>418</v>
      </c>
      <c r="AF64" s="308" t="s">
        <v>417</v>
      </c>
      <c r="AG64" s="309" t="s">
        <v>418</v>
      </c>
      <c r="AH64" s="297" t="str">
        <f t="array" ref="AH64">if(isblank(E64),"",xlookup(F64,z_Others!$B$21:$B$45,z_Others!$F$21:$F$45,"TBD",0,1))</f>
        <v>US</v>
      </c>
      <c r="AI64" s="310" t="str">
        <f t="array" ref="AI64">if(isblank(E64),"", xlookup(E64,'Import_FL5_LH_PVTMP_Configs (Do'!E:E,'Import_FL5_LH_PVTMP_Configs (Do'!O:O,"TBD",0,1))</f>
        <v>G710-07800-01</v>
      </c>
      <c r="AJ64" s="311"/>
      <c r="AK64" s="310" t="str">
        <f t="array" ref="AK64">if(isblank(E64),"", xlookup(E64,'Import_FL5_LH_PVTMP_Configs (Do'!E:E,'Import_FL5_LH_PVTMP_Configs (Do'!Q:Q,"TBD",0,1))</f>
        <v>G650-14694-05</v>
      </c>
      <c r="AL64" s="310" t="str">
        <f t="array" ref="AL64">if(isblank(E64),"", xlookup(E64,'Import_FL5_LH_PVTMP_Configs (Do'!E:E,'Import_FL5_LH_PVTMP_Configs (Do'!M:M,"TBD",0,1))</f>
        <v>G710-07670-01</v>
      </c>
      <c r="AM64" s="310" t="str">
        <f t="array" ref="AM64">if(isblank(E64),"", xlookup(E64,'Import_FL5_LH_PVTMP_Configs (Do'!E:E,'Import_FL5_LH_PVTMP_Configs (Do'!N:N,"TBD",0,1))</f>
        <v>G730-09533-02</v>
      </c>
      <c r="AN64" s="310" t="str">
        <f t="array" ref="AN64">if(isblank(E64),"", xlookup(E64,'Import_FL5_LH_PVTMP_Configs (Do'!E:E,'Import_FL5_LH_PVTMP_Configs (Do'!K:K,"TBD",0,1))</f>
        <v>G950-15935-01</v>
      </c>
      <c r="AO64" s="292" t="str">
        <f t="array" ref="AO64">if(isblank(E64),"",XLOOKUP(E64,'FL5_G954 Pkg ASSY (Pkg BOM)'!L:L,'FL5_G954 Pkg ASSY (Pkg BOM)'!G:G,"N/A",0,1))</f>
        <v>G954-08540-00</v>
      </c>
      <c r="AP64" s="292" t="str">
        <f t="array" ref="AP64">if(isblank(E64),"",xlookup(E64,'FL5_G962 Country kit (Accesorie'!L:L,'FL5_G962 Country kit (Accesorie'!G:G,"N/A",0,1))</f>
        <v>G962-00511-00</v>
      </c>
      <c r="AQ64" s="304" t="str">
        <f t="array" ref="AQ64">if(isblank(E64),"", xlookup(E64,'Import_LH_Label approve'!E:E,'Import_LH_Label approve'!M:M,"",0,1))</f>
        <v>G990-08380-21-01
G990-08380-21-A</v>
      </c>
      <c r="AR64" s="304" t="str">
        <f t="array" ref="AR64">if(isblank(E64),"",xlookup(E64,'Import_LH_Label approve'!E:E,'Import_LH_Label approve'!N:N,"",0,1))</f>
        <v>G990-08382-11-01
G990-08382-11-A</v>
      </c>
      <c r="AS64" s="292" t="s">
        <v>419</v>
      </c>
      <c r="AT64" s="302" t="str">
        <f t="shared" si="6"/>
        <v>Yes</v>
      </c>
      <c r="AU64" s="302" t="str">
        <f t="shared" si="7"/>
        <v>No</v>
      </c>
      <c r="AV64" s="302" t="str">
        <f t="shared" si="8"/>
        <v>No</v>
      </c>
      <c r="AW64" s="302"/>
      <c r="AX64" s="302" t="s">
        <v>737</v>
      </c>
      <c r="AY64" s="302" t="s">
        <v>738</v>
      </c>
      <c r="AZ64" s="312" t="str">
        <f t="array" ref="AZ64">if(isblank(E64),"", xlookup(E64,Import_FL5_LH_PVT_BM!D:D,Import_FL5_LH_PVT_BM!AK:AK,$F$4,0,1))</f>
        <v>MP</v>
      </c>
      <c r="BA64" s="292" t="str">
        <f t="shared" si="9"/>
        <v>Retail_10ct</v>
      </c>
      <c r="BB64" s="313" t="str">
        <f t="array" ref="BB64">if(isblank(E64),"",xlookup(F64,z_Others!$B$21:$B$42,z_Others!$G$21:$G$42,"No",0,1))</f>
        <v>VZN Master Carton Label</v>
      </c>
      <c r="BC64" s="313" t="str">
        <f t="array" ref="BC64">if(isblank(E64),"",xlookup(F64,z_Others!$B$21:$B$42,z_Others!$H$21:$H$42,"No",0,1))</f>
        <v>VZN Pallet Label (BTS)</v>
      </c>
      <c r="BD64" s="314" t="str">
        <f t="array" ref="BD64">if(isblank(E64),"",xlookup(E64,'Import_VN_Label approve'!E:E,'Import_VN_Label approve'!L:L,"N/A",0,1))</f>
        <v>G990-08482-21-01
G990-08482-21-A</v>
      </c>
      <c r="BE64" s="314" t="str">
        <f t="array" ref="BE64">if(isblank(E64),"",xlookup(E64,'Import_VN_Label approve'!E:E,'Import_VN_Label approve'!N:N,"N/A",0,1))</f>
        <v>G990-08382-11-01
G990-08382-11-A</v>
      </c>
      <c r="BF64" s="315"/>
      <c r="BG64" s="316" t="s">
        <v>422</v>
      </c>
      <c r="BH64" s="317" t="s">
        <v>423</v>
      </c>
      <c r="BI64" s="318">
        <v>45773.0</v>
      </c>
      <c r="BJ64" s="319" t="str">
        <f t="array" ref="BJ64">if(isblank(E64),"", xlookup(D64,z_Others!$B$5:$B$17,z_Others!$C$5:$C$17,"",0,1))</f>
        <v>智能手機</v>
      </c>
      <c r="BK64" s="320">
        <v>45782.0</v>
      </c>
      <c r="BL64" s="320" t="str">
        <f t="array" ref="BL64">if(isblank(E64),"",xlookup(E64,'FL5_MP POR_LH_報關備案_G950 &amp; GA'!F:F,'FL5_MP POR_LH_報關備案_G950 &amp; GA'!E:E,"No Need",0,1))</f>
        <v>Close</v>
      </c>
      <c r="BM64" s="321" t="str">
        <f t="array" ref="BM64">if(isblank(E64),"",xlookup($BM$9&amp;E64,'Import_FL5 MPS (06.06.25) - Sor'!E60:E334&amp;'Import_FL5 MPS (06.06.25) - Sor'!F60:F334,'Import_FL5 MPS (06.06.25) - Sor'!ES60:ES334,"No demand",0,1))</f>
        <v>No demand</v>
      </c>
      <c r="BN64" s="321" t="str">
        <f t="array" ref="BN64">if(isblank(E64),"",xlookup($BN$9&amp;E64,'Import_FL5 MPS (06.06.25) - Sor'!E60:E334&amp;'Import_FL5 MPS (06.06.25) - Sor'!F60:F334,'Import_FL5 MPS (06.06.25) - Sor'!ES60:ES334,"No demand",0,1))</f>
        <v>No demand</v>
      </c>
      <c r="BO64" s="321" t="str">
        <f t="array" ref="BO64">if(isblank(E64),"",xlookup($BO$9&amp;E64,'Import_FL5 MPS (06.06.25) - Sor'!E60:E334&amp;'Import_FL5 MPS (06.06.25) - Sor'!F60:F334,'Import_FL5 MPS (06.06.25) - Sor'!ES60:ES334,"No demand",0,1))</f>
        <v>No demand</v>
      </c>
      <c r="BP64" s="322" t="str">
        <f t="array" ref="BP64">if(isblank(E64),"", xlookup(E64,'Import_LH_Label approve'!E:E,'Import_LH_Label approve'!L:L,"",0,1))</f>
        <v/>
      </c>
      <c r="BQ64" s="322" t="str">
        <f t="array" ref="BQ64">if(isblank(E64),"",xlookup(E64,'Import_VN_Label approve'!E:E,'Import_VN_Label approve'!M:M,"N/A",0,1))</f>
        <v/>
      </c>
      <c r="BR64" s="325"/>
      <c r="BS64" s="323"/>
      <c r="BT64" s="324"/>
      <c r="BU64" s="91"/>
    </row>
    <row r="65">
      <c r="A65" s="176"/>
      <c r="B65" s="292">
        <v>54.0</v>
      </c>
      <c r="C65" s="231" t="s">
        <v>286</v>
      </c>
      <c r="D65" s="231" t="s">
        <v>408</v>
      </c>
      <c r="E65" s="347" t="s">
        <v>739</v>
      </c>
      <c r="F65" s="294" t="s">
        <v>410</v>
      </c>
      <c r="G65" s="294" t="s">
        <v>411</v>
      </c>
      <c r="H65" s="292" t="str">
        <f t="array" ref="H65">xlookup(F65,z_Others!$B$21:$B$45,z_Others!$E$21:$E$45,"",0,1)</f>
        <v>mmWave</v>
      </c>
      <c r="I65" s="310" t="s">
        <v>431</v>
      </c>
      <c r="J65" s="231" t="str">
        <f t="array" ref="J65">if(isblank(E65),"",xlookup(I65,z_Others!$M$17:$M$20,z_Others!$O$17:$O$20,"",0,1))</f>
        <v>Lemongrass</v>
      </c>
      <c r="K65" s="292" t="str">
        <f t="array" ref="K65">xlookup(I65,z_Others!$M$17:$M$20,z_Others!$N$17:$N$20,"",0,1)</f>
        <v>YEL</v>
      </c>
      <c r="L65" s="292" t="str">
        <f t="array" ref="L65">xlookup(F65,z_Others!$B$21:$B$45,z_Others!$D$21:$D$45,"",0,1)</f>
        <v>GLBW0</v>
      </c>
      <c r="M65" s="296" t="str">
        <f t="array" ref="M65">xlookup(F65,z_Others!$B$21:$B$45,z_Others!$C$21:$C$45,"",0,1)</f>
        <v>VZW</v>
      </c>
      <c r="N65" s="297">
        <f t="array" ref="N65">if(isblank(E65),"",xlookup($N$9&amp;M65,z_Others!$X$5:$X$17&amp;z_Others!$W$5:$W$17,z_Others!$Z$5:$Z$17,"",0,1))</f>
        <v>35560678</v>
      </c>
      <c r="O65" s="298" t="str">
        <f t="array" ref="O65">if(isblank(E65),"",xlookup($N$9&amp;M65,z_Others!$X$5:$X$17&amp;z_Others!$W$5:$W$17,z_Others!$AH$5:$AH$17,"",0,1))</f>
        <v>35 560678 020000x</v>
      </c>
      <c r="P65" s="299" t="str">
        <f t="array" ref="P65">if(isblank(E65),"",xlookup($N$9&amp;M65,z_Others!$X$5:$X$17&amp;z_Others!$W$5:$W$17,z_Others!$AI$5:$AI$17,"",0,1))</f>
        <v>35 560678 999999x</v>
      </c>
      <c r="Q65" s="300" t="s">
        <v>413</v>
      </c>
      <c r="R65" s="301" t="s">
        <v>414</v>
      </c>
      <c r="S65" s="302">
        <f t="array" ref="S65">if(isblank(E65),"",xlookup($S$9&amp;M65,z_Others!$X$5:$X$17&amp;z_Others!$W$5:$W$17,z_Others!$Z$5:$Z$17,"",0,1))</f>
        <v>35931451</v>
      </c>
      <c r="T65" s="303" t="str">
        <f t="array" ref="T65">if(isblank(E65),"",xlookup($S$9&amp;M65,z_Others!$X$5:$X$17&amp;z_Others!$W$5:$W$17,z_Others!$AH$5:$AH$17,"",0,1))</f>
        <v>35 931451 020000x</v>
      </c>
      <c r="U65" s="303" t="str">
        <f t="array" ref="U65">if(isblank(E65),"",xlookup($S$9&amp;M65,z_Others!$X$5:$X$17&amp;z_Others!$W$5:$W$17,z_Others!$AI$5:$AI$17,"",0,1))</f>
        <v>35 931451 999999x</v>
      </c>
      <c r="V65" s="303" t="str">
        <f t="shared" si="2"/>
        <v>64:9D:38:32:91:82
B0:D5:FB:C6:60:70</v>
      </c>
      <c r="W65" s="303" t="str">
        <f t="shared" si="3"/>
        <v>64:9D:38:37:25:61
B0:D5:FB:CE:01:8F</v>
      </c>
      <c r="X65" s="304" t="str">
        <f t="shared" si="4"/>
        <v>MP1.0</v>
      </c>
      <c r="Y65" s="292"/>
      <c r="Z65" s="304" t="str">
        <f t="shared" si="32"/>
        <v>Android 16</v>
      </c>
      <c r="AA65" s="304" t="str">
        <f t="shared" si="35"/>
        <v>TBD</v>
      </c>
      <c r="AB65" s="305" t="s">
        <v>740</v>
      </c>
      <c r="AC65" s="305" t="s">
        <v>741</v>
      </c>
      <c r="AD65" s="306" t="s">
        <v>417</v>
      </c>
      <c r="AE65" s="307" t="s">
        <v>418</v>
      </c>
      <c r="AF65" s="308" t="s">
        <v>417</v>
      </c>
      <c r="AG65" s="309" t="s">
        <v>418</v>
      </c>
      <c r="AH65" s="297" t="str">
        <f t="array" ref="AH65">if(isblank(E65),"",xlookup(F65,z_Others!$B$21:$B$45,z_Others!$F$21:$F$45,"TBD",0,1))</f>
        <v>US</v>
      </c>
      <c r="AI65" s="310" t="str">
        <f t="array" ref="AI65">if(isblank(E65),"", xlookup(E65,'Import_FL5_LH_PVTMP_Configs (Do'!E:E,'Import_FL5_LH_PVTMP_Configs (Do'!O:O,"TBD",0,1))</f>
        <v>G710-07800-01</v>
      </c>
      <c r="AJ65" s="311"/>
      <c r="AK65" s="310" t="str">
        <f t="array" ref="AK65">if(isblank(E65),"", xlookup(E65,'Import_FL5_LH_PVTMP_Configs (Do'!E:E,'Import_FL5_LH_PVTMP_Configs (Do'!Q:Q,"TBD",0,1))</f>
        <v>G650-14694-05</v>
      </c>
      <c r="AL65" s="310" t="str">
        <f t="array" ref="AL65">if(isblank(E65),"", xlookup(E65,'Import_FL5_LH_PVTMP_Configs (Do'!E:E,'Import_FL5_LH_PVTMP_Configs (Do'!M:M,"TBD",0,1))</f>
        <v>G710-07670-01</v>
      </c>
      <c r="AM65" s="310" t="str">
        <f t="array" ref="AM65">if(isblank(E65),"", xlookup(E65,'Import_FL5_LH_PVTMP_Configs (Do'!E:E,'Import_FL5_LH_PVTMP_Configs (Do'!N:N,"TBD",0,1))</f>
        <v>G730-09533-03</v>
      </c>
      <c r="AN65" s="310" t="str">
        <f t="array" ref="AN65">if(isblank(E65),"", xlookup(E65,'Import_FL5_LH_PVTMP_Configs (Do'!E:E,'Import_FL5_LH_PVTMP_Configs (Do'!K:K,"TBD",0,1))</f>
        <v>G950-15935-02</v>
      </c>
      <c r="AO65" s="292" t="str">
        <f t="array" ref="AO65">if(isblank(E65),"",XLOOKUP(E65,'FL5_G954 Pkg ASSY (Pkg BOM)'!L:L,'FL5_G954 Pkg ASSY (Pkg BOM)'!G:G,"N/A",0,1))</f>
        <v>G954-08540-00</v>
      </c>
      <c r="AP65" s="292" t="str">
        <f t="array" ref="AP65">if(isblank(E65),"",xlookup(E65,'FL5_G962 Country kit (Accesorie'!L:L,'FL5_G962 Country kit (Accesorie'!G:G,"N/A",0,1))</f>
        <v>G962-00511-00</v>
      </c>
      <c r="AQ65" s="304" t="str">
        <f t="array" ref="AQ65">if(isblank(E65),"", xlookup(E65,'Import_LH_Label approve'!E:E,'Import_LH_Label approve'!M:M,"",0,1))</f>
        <v>G990-08380-31-02
G990-08380-31-A</v>
      </c>
      <c r="AR65" s="304" t="str">
        <f t="array" ref="AR65">if(isblank(E65),"",xlookup(E65,'Import_LH_Label approve'!E:E,'Import_LH_Label approve'!N:N,"",0,1))</f>
        <v>G990-08382-11-01
G990-08382-11-A</v>
      </c>
      <c r="AS65" s="292" t="s">
        <v>419</v>
      </c>
      <c r="AT65" s="302" t="str">
        <f t="shared" si="6"/>
        <v>Yes</v>
      </c>
      <c r="AU65" s="302" t="str">
        <f t="shared" si="7"/>
        <v>No</v>
      </c>
      <c r="AV65" s="302" t="str">
        <f t="shared" si="8"/>
        <v>No</v>
      </c>
      <c r="AW65" s="302"/>
      <c r="AX65" s="302" t="s">
        <v>742</v>
      </c>
      <c r="AY65" s="302" t="s">
        <v>743</v>
      </c>
      <c r="AZ65" s="312" t="str">
        <f t="array" ref="AZ65">if(isblank(E65),"", xlookup(E65,Import_FL5_LH_PVT_BM!D:D,Import_FL5_LH_PVT_BM!AK:AK,$F$4,0,1))</f>
        <v>MP</v>
      </c>
      <c r="BA65" s="292" t="str">
        <f t="shared" si="9"/>
        <v>Retail_10ct</v>
      </c>
      <c r="BB65" s="313" t="str">
        <f t="array" ref="BB65">if(isblank(E65),"",xlookup(F65,z_Others!$B$21:$B$42,z_Others!$G$21:$G$42,"No",0,1))</f>
        <v>VZN Master Carton Label</v>
      </c>
      <c r="BC65" s="313" t="str">
        <f t="array" ref="BC65">if(isblank(E65),"",xlookup(F65,z_Others!$B$21:$B$42,z_Others!$H$21:$H$42,"No",0,1))</f>
        <v>VZN Pallet Label (BTS)</v>
      </c>
      <c r="BD65" s="314" t="str">
        <f t="array" ref="BD65">if(isblank(E65),"",xlookup(E65,'Import_VN_Label approve'!E:E,'Import_VN_Label approve'!L:L,"N/A",0,1))</f>
        <v>G990-08482-31-01
G990-08482-31-A</v>
      </c>
      <c r="BE65" s="314" t="str">
        <f t="array" ref="BE65">if(isblank(E65),"",xlookup(E65,'Import_VN_Label approve'!E:E,'Import_VN_Label approve'!N:N,"N/A",0,1))</f>
        <v>G990-08382-11-01
G990-08382-11-A</v>
      </c>
      <c r="BF65" s="315"/>
      <c r="BG65" s="316" t="s">
        <v>422</v>
      </c>
      <c r="BH65" s="317" t="s">
        <v>423</v>
      </c>
      <c r="BI65" s="318">
        <v>45773.0</v>
      </c>
      <c r="BJ65" s="319" t="str">
        <f t="array" ref="BJ65">if(isblank(E65),"", xlookup(D65,z_Others!$B$5:$B$17,z_Others!$C$5:$C$17,"",0,1))</f>
        <v>智能手機</v>
      </c>
      <c r="BK65" s="320">
        <v>45782.0</v>
      </c>
      <c r="BL65" s="320" t="str">
        <f t="array" ref="BL65">if(isblank(E65),"",xlookup(E65,'FL5_MP POR_LH_報關備案_G950 &amp; GA'!F:F,'FL5_MP POR_LH_報關備案_G950 &amp; GA'!E:E,"No Need",0,1))</f>
        <v>Close</v>
      </c>
      <c r="BM65" s="321" t="str">
        <f t="array" ref="BM65">if(isblank(E65),"",xlookup($BM$9&amp;E65,'Import_FL5 MPS (06.06.25) - Sor'!E61:E334&amp;'Import_FL5 MPS (06.06.25) - Sor'!F61:F334,'Import_FL5 MPS (06.06.25) - Sor'!ES61:ES334,"No demand",0,1))</f>
        <v>No demand</v>
      </c>
      <c r="BN65" s="321" t="str">
        <f t="array" ref="BN65">if(isblank(E65),"",xlookup($BN$9&amp;E65,'Import_FL5 MPS (06.06.25) - Sor'!E61:E334&amp;'Import_FL5 MPS (06.06.25) - Sor'!F61:F334,'Import_FL5 MPS (06.06.25) - Sor'!ES61:ES334,"No demand",0,1))</f>
        <v>No demand</v>
      </c>
      <c r="BO65" s="321" t="str">
        <f t="array" ref="BO65">if(isblank(E65),"",xlookup($BO$9&amp;E65,'Import_FL5 MPS (06.06.25) - Sor'!E61:E334&amp;'Import_FL5 MPS (06.06.25) - Sor'!F61:F334,'Import_FL5 MPS (06.06.25) - Sor'!ES61:ES334,"No demand",0,1))</f>
        <v>No demand</v>
      </c>
      <c r="BP65" s="322" t="str">
        <f t="array" ref="BP65">if(isblank(E65),"", xlookup(E65,'Import_LH_Label approve'!E:E,'Import_LH_Label approve'!L:L,"",0,1))</f>
        <v/>
      </c>
      <c r="BQ65" s="322" t="str">
        <f t="array" ref="BQ65">if(isblank(E65),"",xlookup(E65,'Import_VN_Label approve'!E:E,'Import_VN_Label approve'!M:M,"N/A",0,1))</f>
        <v/>
      </c>
      <c r="BR65" s="313"/>
      <c r="BS65" s="323"/>
      <c r="BT65" s="324"/>
      <c r="BU65" s="91"/>
    </row>
    <row r="66">
      <c r="A66" s="176"/>
      <c r="B66" s="292">
        <v>55.0</v>
      </c>
      <c r="C66" s="231" t="s">
        <v>286</v>
      </c>
      <c r="D66" s="231" t="s">
        <v>408</v>
      </c>
      <c r="E66" s="344" t="s">
        <v>744</v>
      </c>
      <c r="F66" s="294" t="s">
        <v>410</v>
      </c>
      <c r="G66" s="294" t="s">
        <v>411</v>
      </c>
      <c r="H66" s="292" t="str">
        <f t="array" ref="H66">xlookup(F66,z_Others!$B$21:$B$45,z_Others!$E$21:$E$45,"",0,1)</f>
        <v>mmWave</v>
      </c>
      <c r="I66" s="310" t="s">
        <v>437</v>
      </c>
      <c r="J66" s="231" t="str">
        <f t="array" ref="J66">if(isblank(E66),"",xlookup(I66,z_Others!$M$17:$M$20,z_Others!$O$17:$O$20,"",0,1))</f>
        <v>Indigo</v>
      </c>
      <c r="K66" s="292" t="str">
        <f t="array" ref="K66">xlookup(I66,z_Others!$M$17:$M$20,z_Others!$N$17:$N$20,"",0,1)</f>
        <v>BUE</v>
      </c>
      <c r="L66" s="292" t="str">
        <f t="array" ref="L66">xlookup(F66,z_Others!$B$21:$B$45,z_Others!$D$21:$D$45,"",0,1)</f>
        <v>GLBW0</v>
      </c>
      <c r="M66" s="296" t="str">
        <f t="array" ref="M66">xlookup(F66,z_Others!$B$21:$B$45,z_Others!$C$21:$C$45,"",0,1)</f>
        <v>VZW</v>
      </c>
      <c r="N66" s="297">
        <f t="array" ref="N66">if(isblank(E66),"",xlookup($N$9&amp;M66,z_Others!$X$5:$X$17&amp;z_Others!$W$5:$W$17,z_Others!$Z$5:$Z$17,"",0,1))</f>
        <v>35560678</v>
      </c>
      <c r="O66" s="298" t="str">
        <f t="array" ref="O66">if(isblank(E66),"",xlookup($N$9&amp;M66,z_Others!$X$5:$X$17&amp;z_Others!$W$5:$W$17,z_Others!$AH$5:$AH$17,"",0,1))</f>
        <v>35 560678 020000x</v>
      </c>
      <c r="P66" s="299" t="str">
        <f t="array" ref="P66">if(isblank(E66),"",xlookup($N$9&amp;M66,z_Others!$X$5:$X$17&amp;z_Others!$W$5:$W$17,z_Others!$AI$5:$AI$17,"",0,1))</f>
        <v>35 560678 999999x</v>
      </c>
      <c r="Q66" s="300" t="s">
        <v>413</v>
      </c>
      <c r="R66" s="301" t="s">
        <v>414</v>
      </c>
      <c r="S66" s="302">
        <f t="array" ref="S66">if(isblank(E66),"",xlookup($S$9&amp;M66,z_Others!$X$5:$X$17&amp;z_Others!$W$5:$W$17,z_Others!$Z$5:$Z$17,"",0,1))</f>
        <v>35931451</v>
      </c>
      <c r="T66" s="303" t="str">
        <f t="array" ref="T66">if(isblank(E66),"",xlookup($S$9&amp;M66,z_Others!$X$5:$X$17&amp;z_Others!$W$5:$W$17,z_Others!$AH$5:$AH$17,"",0,1))</f>
        <v>35 931451 020000x</v>
      </c>
      <c r="U66" s="303" t="str">
        <f t="array" ref="U66">if(isblank(E66),"",xlookup($S$9&amp;M66,z_Others!$X$5:$X$17&amp;z_Others!$W$5:$W$17,z_Others!$AI$5:$AI$17,"",0,1))</f>
        <v>35 931451 999999x</v>
      </c>
      <c r="V66" s="303" t="str">
        <f t="shared" si="2"/>
        <v>64:9D:38:32:91:82
B0:D5:FB:C6:60:70</v>
      </c>
      <c r="W66" s="303" t="str">
        <f t="shared" si="3"/>
        <v>64:9D:38:37:25:61
B0:D5:FB:CE:01:8F</v>
      </c>
      <c r="X66" s="304" t="str">
        <f t="shared" si="4"/>
        <v>MP1.0</v>
      </c>
      <c r="Y66" s="292"/>
      <c r="Z66" s="304" t="str">
        <f t="shared" si="32"/>
        <v>Android 16</v>
      </c>
      <c r="AA66" s="304" t="str">
        <f t="shared" si="35"/>
        <v>TBD</v>
      </c>
      <c r="AB66" s="305" t="s">
        <v>745</v>
      </c>
      <c r="AC66" s="305" t="s">
        <v>746</v>
      </c>
      <c r="AD66" s="306" t="s">
        <v>417</v>
      </c>
      <c r="AE66" s="307" t="s">
        <v>418</v>
      </c>
      <c r="AF66" s="308" t="s">
        <v>417</v>
      </c>
      <c r="AG66" s="309" t="s">
        <v>418</v>
      </c>
      <c r="AH66" s="297" t="str">
        <f t="array" ref="AH66">if(isblank(E66),"",xlookup(F66,z_Others!$B$21:$B$45,z_Others!$F$21:$F$45,"TBD",0,1))</f>
        <v>US</v>
      </c>
      <c r="AI66" s="310" t="str">
        <f t="array" ref="AI66">if(isblank(E66),"", xlookup(E66,'Import_FL5_LH_PVTMP_Configs (Do'!E:E,'Import_FL5_LH_PVTMP_Configs (Do'!O:O,"TBD",0,1))</f>
        <v>G710-07800-01</v>
      </c>
      <c r="AJ66" s="311"/>
      <c r="AK66" s="310" t="str">
        <f t="array" ref="AK66">if(isblank(E66),"", xlookup(E66,'Import_FL5_LH_PVTMP_Configs (Do'!E:E,'Import_FL5_LH_PVTMP_Configs (Do'!Q:Q,"TBD",0,1))</f>
        <v>G650-14694-05</v>
      </c>
      <c r="AL66" s="310" t="str">
        <f t="array" ref="AL66">if(isblank(E66),"", xlookup(E66,'Import_FL5_LH_PVTMP_Configs (Do'!E:E,'Import_FL5_LH_PVTMP_Configs (Do'!M:M,"TBD",0,1))</f>
        <v>G710-07670-01</v>
      </c>
      <c r="AM66" s="310" t="str">
        <f t="array" ref="AM66">if(isblank(E66),"", xlookup(E66,'Import_FL5_LH_PVTMP_Configs (Do'!E:E,'Import_FL5_LH_PVTMP_Configs (Do'!N:N,"TBD",0,1))</f>
        <v>G730-09533-04</v>
      </c>
      <c r="AN66" s="310" t="str">
        <f t="array" ref="AN66">if(isblank(E66),"", xlookup(E66,'Import_FL5_LH_PVTMP_Configs (Do'!E:E,'Import_FL5_LH_PVTMP_Configs (Do'!K:K,"TBD",0,1))</f>
        <v>G950-15935-03</v>
      </c>
      <c r="AO66" s="292" t="str">
        <f t="array" ref="AO66">if(isblank(E66),"",XLOOKUP(E66,'FL5_G954 Pkg ASSY (Pkg BOM)'!L:L,'FL5_G954 Pkg ASSY (Pkg BOM)'!G:G,"N/A",0,1))</f>
        <v>G954-08540-00</v>
      </c>
      <c r="AP66" s="292" t="str">
        <f t="array" ref="AP66">if(isblank(E66),"",xlookup(E66,'FL5_G962 Country kit (Accesorie'!L:L,'FL5_G962 Country kit (Accesorie'!G:G,"N/A",0,1))</f>
        <v>G962-00511-00</v>
      </c>
      <c r="AQ66" s="304" t="str">
        <f t="array" ref="AQ66">if(isblank(E66),"", xlookup(E66,'Import_LH_Label approve'!E:E,'Import_LH_Label approve'!M:M,"",0,1))</f>
        <v>G990-08380-41-01
G990-08380-41-A</v>
      </c>
      <c r="AR66" s="304" t="str">
        <f t="array" ref="AR66">if(isblank(E66),"",xlookup(E66,'Import_LH_Label approve'!E:E,'Import_LH_Label approve'!N:N,"",0,1))</f>
        <v>G990-08382-11-01
G990-08382-11-A</v>
      </c>
      <c r="AS66" s="292" t="s">
        <v>419</v>
      </c>
      <c r="AT66" s="302" t="str">
        <f t="shared" si="6"/>
        <v>Yes</v>
      </c>
      <c r="AU66" s="302" t="str">
        <f t="shared" si="7"/>
        <v>No</v>
      </c>
      <c r="AV66" s="302" t="str">
        <f t="shared" si="8"/>
        <v>No</v>
      </c>
      <c r="AW66" s="302"/>
      <c r="AX66" s="302" t="s">
        <v>747</v>
      </c>
      <c r="AY66" s="302" t="s">
        <v>748</v>
      </c>
      <c r="AZ66" s="312" t="str">
        <f t="array" ref="AZ66">if(isblank(E66),"", xlookup(E66,Import_FL5_LH_PVT_BM!D:D,Import_FL5_LH_PVT_BM!AK:AK,$F$4,0,1))</f>
        <v>MP</v>
      </c>
      <c r="BA66" s="292" t="str">
        <f t="shared" si="9"/>
        <v>Retail_10ct</v>
      </c>
      <c r="BB66" s="313" t="str">
        <f t="array" ref="BB66">if(isblank(E66),"",xlookup(F66,z_Others!$B$21:$B$42,z_Others!$G$21:$G$42,"No",0,1))</f>
        <v>VZN Master Carton Label</v>
      </c>
      <c r="BC66" s="313" t="str">
        <f t="array" ref="BC66">if(isblank(E66),"",xlookup(F66,z_Others!$B$21:$B$42,z_Others!$H$21:$H$42,"No",0,1))</f>
        <v>VZN Pallet Label (BTS)</v>
      </c>
      <c r="BD66" s="314" t="str">
        <f t="array" ref="BD66">if(isblank(E66),"",xlookup(E66,'Import_VN_Label approve'!E:E,'Import_VN_Label approve'!L:L,"N/A",0,1))</f>
        <v>G990-08482-41-01
G990-08482-41-A</v>
      </c>
      <c r="BE66" s="314" t="str">
        <f t="array" ref="BE66">if(isblank(E66),"",xlookup(E66,'Import_VN_Label approve'!E:E,'Import_VN_Label approve'!N:N,"N/A",0,1))</f>
        <v>G990-08382-11-01
G990-08382-11-A</v>
      </c>
      <c r="BF66" s="315"/>
      <c r="BG66" s="316" t="s">
        <v>422</v>
      </c>
      <c r="BH66" s="317" t="s">
        <v>423</v>
      </c>
      <c r="BI66" s="318">
        <v>45773.0</v>
      </c>
      <c r="BJ66" s="319" t="str">
        <f t="array" ref="BJ66">if(isblank(E66),"", xlookup(D66,z_Others!$B$5:$B$17,z_Others!$C$5:$C$17,"",0,1))</f>
        <v>智能手機</v>
      </c>
      <c r="BK66" s="320">
        <v>45782.0</v>
      </c>
      <c r="BL66" s="320" t="str">
        <f t="array" ref="BL66">if(isblank(E66),"",xlookup(E66,'FL5_MP POR_LH_報關備案_G950 &amp; GA'!F:F,'FL5_MP POR_LH_報關備案_G950 &amp; GA'!E:E,"No Need",0,1))</f>
        <v>Close</v>
      </c>
      <c r="BM66" s="321" t="str">
        <f t="array" ref="BM66">if(isblank(E66),"",xlookup($BM$9&amp;E66,'Import_FL5 MPS (06.06.25) - Sor'!E62:E334&amp;'Import_FL5 MPS (06.06.25) - Sor'!F62:F334,'Import_FL5 MPS (06.06.25) - Sor'!ES62:ES334,"No demand",0,1))</f>
        <v>No demand</v>
      </c>
      <c r="BN66" s="321" t="str">
        <f t="array" ref="BN66">if(isblank(E66),"",xlookup($BN$9&amp;E66,'Import_FL5 MPS (06.06.25) - Sor'!E62:E334&amp;'Import_FL5 MPS (06.06.25) - Sor'!F62:F334,'Import_FL5 MPS (06.06.25) - Sor'!ES62:ES334,"No demand",0,1))</f>
        <v>No demand</v>
      </c>
      <c r="BO66" s="321" t="str">
        <f t="array" ref="BO66">if(isblank(E66),"",xlookup($BO$9&amp;E66,'Import_FL5 MPS (06.06.25) - Sor'!E62:E334&amp;'Import_FL5 MPS (06.06.25) - Sor'!F62:F334,'Import_FL5 MPS (06.06.25) - Sor'!ES62:ES334,"No demand",0,1))</f>
        <v>No demand</v>
      </c>
      <c r="BP66" s="322" t="str">
        <f t="array" ref="BP66">if(isblank(E66),"", xlookup(E66,'Import_LH_Label approve'!E:E,'Import_LH_Label approve'!L:L,"",0,1))</f>
        <v/>
      </c>
      <c r="BQ66" s="322" t="str">
        <f t="array" ref="BQ66">if(isblank(E66),"",xlookup(E66,'Import_VN_Label approve'!E:E,'Import_VN_Label approve'!M:M,"N/A",0,1))</f>
        <v/>
      </c>
      <c r="BR66" s="325"/>
      <c r="BS66" s="323"/>
      <c r="BT66" s="324"/>
      <c r="BU66" s="91"/>
    </row>
    <row r="67">
      <c r="A67" s="176"/>
      <c r="B67" s="292">
        <v>56.0</v>
      </c>
      <c r="C67" s="231" t="s">
        <v>286</v>
      </c>
      <c r="D67" s="231" t="s">
        <v>408</v>
      </c>
      <c r="E67" s="344" t="s">
        <v>749</v>
      </c>
      <c r="F67" s="294" t="s">
        <v>458</v>
      </c>
      <c r="G67" s="294" t="s">
        <v>459</v>
      </c>
      <c r="H67" s="292" t="str">
        <f t="array" ref="H67">xlookup(F67,z_Others!$B$21:$B$45,z_Others!$E$21:$E$45,"",0,1)</f>
        <v>mmWave</v>
      </c>
      <c r="I67" s="310" t="s">
        <v>437</v>
      </c>
      <c r="J67" s="231" t="str">
        <f t="array" ref="J67">if(isblank(E67),"",xlookup(I67,z_Others!$M$17:$M$20,z_Others!$O$17:$O$20,"",0,1))</f>
        <v>Indigo</v>
      </c>
      <c r="K67" s="292" t="str">
        <f t="array" ref="K67">xlookup(I67,z_Others!$M$17:$M$20,z_Others!$N$17:$N$20,"",0,1)</f>
        <v>BUE</v>
      </c>
      <c r="L67" s="292" t="str">
        <f t="array" ref="L67">xlookup(F67,z_Others!$B$21:$B$45,z_Others!$D$21:$D$45,"",0,1)</f>
        <v>GLBW0</v>
      </c>
      <c r="M67" s="296" t="str">
        <f t="array" ref="M67">xlookup(F67,z_Others!$B$21:$B$45,z_Others!$C$21:$C$45,"",0,1)</f>
        <v>TMO</v>
      </c>
      <c r="N67" s="297">
        <f t="array" ref="N67">if(isblank(E67),"",xlookup($N$9&amp;M67,z_Others!$X$5:$X$17&amp;z_Others!$W$5:$W$17,z_Others!$Z$5:$Z$17,"",0,1))</f>
        <v>35163422</v>
      </c>
      <c r="O67" s="298" t="str">
        <f t="array" ref="O67">if(isblank(E67),"",xlookup($N$9&amp;M67,z_Others!$X$5:$X$17&amp;z_Others!$W$5:$W$17,z_Others!$AH$5:$AH$17,"",0,1))</f>
        <v>35 163422 020000x</v>
      </c>
      <c r="P67" s="299" t="str">
        <f t="array" ref="P67">if(isblank(E67),"",xlookup($N$9&amp;M67,z_Others!$X$5:$X$17&amp;z_Others!$W$5:$W$17,z_Others!$AI$5:$AI$17,"",0,1))</f>
        <v>35 163422 999999x</v>
      </c>
      <c r="Q67" s="300" t="s">
        <v>413</v>
      </c>
      <c r="R67" s="301" t="s">
        <v>414</v>
      </c>
      <c r="S67" s="302">
        <f t="array" ref="S67">if(isblank(E67),"",xlookup($S$9&amp;M67,z_Others!$X$5:$X$17&amp;z_Others!$W$5:$W$17,z_Others!$Z$5:$Z$17,"",0,1))</f>
        <v>35676321</v>
      </c>
      <c r="T67" s="303" t="str">
        <f t="array" ref="T67">if(isblank(E67),"",xlookup($S$9&amp;M67,z_Others!$X$5:$X$17&amp;z_Others!$W$5:$W$17,z_Others!$AH$5:$AH$17,"",0,1))</f>
        <v>35 676321 020000x</v>
      </c>
      <c r="U67" s="303" t="str">
        <f t="array" ref="U67">if(isblank(E67),"",xlookup($S$9&amp;M67,z_Others!$X$5:$X$17&amp;z_Others!$W$5:$W$17,z_Others!$AI$5:$AI$17,"",0,1))</f>
        <v>35 676321 999999x</v>
      </c>
      <c r="V67" s="303" t="str">
        <f t="shared" si="2"/>
        <v>64:9D:38:32:91:82
B0:D5:FB:C6:60:70</v>
      </c>
      <c r="W67" s="303" t="str">
        <f t="shared" si="3"/>
        <v>64:9D:38:37:25:61
B0:D5:FB:CE:01:8F</v>
      </c>
      <c r="X67" s="304" t="str">
        <f t="shared" si="4"/>
        <v>MP1.0</v>
      </c>
      <c r="Y67" s="292"/>
      <c r="Z67" s="304" t="str">
        <f t="shared" si="32"/>
        <v>Android 16</v>
      </c>
      <c r="AA67" s="304" t="str">
        <f t="shared" si="35"/>
        <v>TBD</v>
      </c>
      <c r="AB67" s="305" t="s">
        <v>750</v>
      </c>
      <c r="AC67" s="348" t="s">
        <v>751</v>
      </c>
      <c r="AD67" s="314" t="s">
        <v>447</v>
      </c>
      <c r="AE67" s="307" t="s">
        <v>418</v>
      </c>
      <c r="AF67" s="308" t="s">
        <v>447</v>
      </c>
      <c r="AG67" s="309" t="s">
        <v>418</v>
      </c>
      <c r="AH67" s="297" t="str">
        <f t="array" ref="AH67">if(isblank(E67),"",xlookup(F67,z_Others!$B$21:$B$45,z_Others!$F$21:$F$45,"TBD",0,1))</f>
        <v>US</v>
      </c>
      <c r="AI67" s="310" t="str">
        <f t="array" ref="AI67">if(isblank(E67),"", xlookup(E67,'Import_FL5_LH_PVTMP_Configs (Do'!E:E,'Import_FL5_LH_PVTMP_Configs (Do'!O:O,"TBD",0,1))</f>
        <v>G710-07800-01</v>
      </c>
      <c r="AJ67" s="311"/>
      <c r="AK67" s="310" t="str">
        <f t="array" ref="AK67">if(isblank(E67),"", xlookup(E67,'Import_FL5_LH_PVTMP_Configs (Do'!E:E,'Import_FL5_LH_PVTMP_Configs (Do'!Q:Q,"TBD",0,1))</f>
        <v>G650-14694-05</v>
      </c>
      <c r="AL67" s="310" t="str">
        <f t="array" ref="AL67">if(isblank(E67),"", xlookup(E67,'Import_FL5_LH_PVTMP_Configs (Do'!E:E,'Import_FL5_LH_PVTMP_Configs (Do'!M:M,"TBD",0,1))</f>
        <v>G710-07670-01</v>
      </c>
      <c r="AM67" s="310" t="str">
        <f t="array" ref="AM67">if(isblank(E67),"", xlookup(E67,'Import_FL5_LH_PVTMP_Configs (Do'!E:E,'Import_FL5_LH_PVTMP_Configs (Do'!N:N,"TBD",0,1))</f>
        <v>G730-09533-04</v>
      </c>
      <c r="AN67" s="310" t="str">
        <f t="array" ref="AN67">if(isblank(E67),"", xlookup(E67,'Import_FL5_LH_PVTMP_Configs (Do'!E:E,'Import_FL5_LH_PVTMP_Configs (Do'!K:K,"TBD",0,1))</f>
        <v>G950-15935-03</v>
      </c>
      <c r="AO67" s="292" t="str">
        <f t="array" ref="AO67">if(isblank(E67),"",XLOOKUP(E67,'FL5_G954 Pkg ASSY (Pkg BOM)'!L:L,'FL5_G954 Pkg ASSY (Pkg BOM)'!G:G,"N/A",0,1))</f>
        <v>G954-08540-00</v>
      </c>
      <c r="AP67" s="292" t="str">
        <f t="array" ref="AP67">if(isblank(E67),"",xlookup(E67,'FL5_G962 Country kit (Accesorie'!L:L,'FL5_G962 Country kit (Accesorie'!G:G,"N/A",0,1))</f>
        <v>G962-00511-00</v>
      </c>
      <c r="AQ67" s="304" t="str">
        <f t="array" ref="AQ67">if(isblank(E67),"", xlookup(E67,'Import_LH_Label approve'!E:E,'Import_LH_Label approve'!M:M,"",0,1))</f>
        <v>G990-08380-41-01
G990-08380-41-A</v>
      </c>
      <c r="AR67" s="304" t="str">
        <f t="array" ref="AR67">if(isblank(E67),"",xlookup(E67,'Import_LH_Label approve'!E:E,'Import_LH_Label approve'!N:N,"",0,1))</f>
        <v>G990-09769-00-02
G990-09769-00-A</v>
      </c>
      <c r="AS67" s="292" t="s">
        <v>419</v>
      </c>
      <c r="AT67" s="302" t="str">
        <f t="shared" si="6"/>
        <v>Yes</v>
      </c>
      <c r="AU67" s="302" t="str">
        <f t="shared" si="7"/>
        <v>No</v>
      </c>
      <c r="AV67" s="302" t="str">
        <f t="shared" si="8"/>
        <v>No</v>
      </c>
      <c r="AW67" s="302" t="s">
        <v>752</v>
      </c>
      <c r="AX67" s="302" t="s">
        <v>752</v>
      </c>
      <c r="AY67" s="302" t="s">
        <v>753</v>
      </c>
      <c r="AZ67" s="312" t="str">
        <f t="array" ref="AZ67">if(isblank(E67),"", xlookup(E67,Import_FL5_LH_PVT_BM!D:D,Import_FL5_LH_PVT_BM!AK:AK,$F$4,0,1))</f>
        <v>MP</v>
      </c>
      <c r="BA67" s="292" t="str">
        <f t="shared" si="9"/>
        <v>Retail_10ct</v>
      </c>
      <c r="BB67" s="313" t="str">
        <f t="array" ref="BB67">if(isblank(E67),"",xlookup(F67,z_Others!$B$21:$B$42,z_Others!$G$21:$G$42,"No",0,1))</f>
        <v>TMO Master Carton Label</v>
      </c>
      <c r="BC67" s="313" t="str">
        <f t="array" ref="BC67">if(isblank(E67),"",xlookup(F67,z_Others!$B$21:$B$42,z_Others!$H$21:$H$42,"No",0,1))</f>
        <v>T-Mobile Pallet Label (BTO)
T-Mobile Pallet Label (BTS)</v>
      </c>
      <c r="BD67" s="314" t="str">
        <f t="array" ref="BD67">if(isblank(E67),"",xlookup(E67,'Import_VN_Label approve'!E:E,'Import_VN_Label approve'!L:L,"N/A",0,1))</f>
        <v>N/A</v>
      </c>
      <c r="BE67" s="314" t="str">
        <f t="array" ref="BE67">if(isblank(E67),"",xlookup(E67,'Import_VN_Label approve'!E:E,'Import_VN_Label approve'!N:N,"N/A",0,1))</f>
        <v>N/A</v>
      </c>
      <c r="BF67" s="315"/>
      <c r="BG67" s="316" t="s">
        <v>422</v>
      </c>
      <c r="BH67" s="317" t="s">
        <v>423</v>
      </c>
      <c r="BI67" s="318">
        <v>45773.0</v>
      </c>
      <c r="BJ67" s="319" t="str">
        <f t="array" ref="BJ67">if(isblank(E67),"", xlookup(D67,z_Others!$B$5:$B$17,z_Others!$C$5:$C$17,"",0,1))</f>
        <v>智能手機</v>
      </c>
      <c r="BK67" s="320">
        <v>45782.0</v>
      </c>
      <c r="BL67" s="320" t="str">
        <f t="array" ref="BL67">if(isblank(E67),"",xlookup(E67,'FL5_MP POR_LH_報關備案_G950 &amp; GA'!F:F,'FL5_MP POR_LH_報關備案_G950 &amp; GA'!E:E,"No Need",0,1))</f>
        <v>Close</v>
      </c>
      <c r="BM67" s="321" t="str">
        <f t="array" ref="BM67">if(isblank(E67),"",xlookup($BM$9&amp;E67,'Import_FL5 MPS (06.06.25) - Sor'!E63:E334&amp;'Import_FL5 MPS (06.06.25) - Sor'!F63:F334,'Import_FL5 MPS (06.06.25) - Sor'!ES63:ES334,"No demand",0,1))</f>
        <v>No demand</v>
      </c>
      <c r="BN67" s="321" t="str">
        <f t="array" ref="BN67">if(isblank(E67),"",xlookup($BN$9&amp;E67,'Import_FL5 MPS (06.06.25) - Sor'!E63:E334&amp;'Import_FL5 MPS (06.06.25) - Sor'!F63:F334,'Import_FL5 MPS (06.06.25) - Sor'!ES63:ES334,"No demand",0,1))</f>
        <v>No demand</v>
      </c>
      <c r="BO67" s="321" t="str">
        <f t="array" ref="BO67">if(isblank(E67),"",xlookup($BO$9&amp;E67,'Import_FL5 MPS (06.06.25) - Sor'!E63:E334&amp;'Import_FL5 MPS (06.06.25) - Sor'!F63:F334,'Import_FL5 MPS (06.06.25) - Sor'!ES63:ES334,"No demand",0,1))</f>
        <v>No demand</v>
      </c>
      <c r="BP67" s="322" t="str">
        <f t="array" ref="BP67">if(isblank(E67),"", xlookup(E67,'Import_LH_Label approve'!E:E,'Import_LH_Label approve'!L:L,"",0,1))</f>
        <v/>
      </c>
      <c r="BQ67" s="322" t="str">
        <f t="array" ref="BQ67">if(isblank(E67),"",xlookup(E67,'Import_VN_Label approve'!E:E,'Import_VN_Label approve'!M:M,"N/A",0,1))</f>
        <v>N/A</v>
      </c>
      <c r="BR67" s="325"/>
      <c r="BS67" s="323"/>
      <c r="BT67" s="324"/>
      <c r="BU67" s="91"/>
    </row>
    <row r="68">
      <c r="A68" s="176"/>
      <c r="B68" s="292">
        <v>57.0</v>
      </c>
      <c r="C68" s="231" t="s">
        <v>286</v>
      </c>
      <c r="D68" s="231" t="s">
        <v>408</v>
      </c>
      <c r="E68" s="344" t="s">
        <v>754</v>
      </c>
      <c r="F68" s="294" t="s">
        <v>410</v>
      </c>
      <c r="G68" s="294" t="s">
        <v>411</v>
      </c>
      <c r="H68" s="292" t="str">
        <f t="array" ref="H68">xlookup(F68,z_Others!$B$21:$B$45,z_Others!$E$21:$E$45,"",0,1)</f>
        <v>mmWave</v>
      </c>
      <c r="I68" s="310" t="s">
        <v>412</v>
      </c>
      <c r="J68" s="231" t="str">
        <f t="array" ref="J68">if(isblank(E68),"",xlookup(I68,z_Others!$M$17:$M$20,z_Others!$O$17:$O$20,"",0,1))</f>
        <v>Obsidian</v>
      </c>
      <c r="K68" s="292" t="str">
        <f t="array" ref="K68">xlookup(I68,z_Others!$M$17:$M$20,z_Others!$N$17:$N$20,"",0,1)</f>
        <v>BLK</v>
      </c>
      <c r="L68" s="292" t="str">
        <f t="array" ref="L68">xlookup(F68,z_Others!$B$21:$B$45,z_Others!$D$21:$D$45,"",0,1)</f>
        <v>GLBW0</v>
      </c>
      <c r="M68" s="296" t="str">
        <f t="array" ref="M68">xlookup(F68,z_Others!$B$21:$B$45,z_Others!$C$21:$C$45,"",0,1)</f>
        <v>VZW</v>
      </c>
      <c r="N68" s="297">
        <f t="array" ref="N68">if(isblank(E68),"",xlookup($N$9&amp;M68,z_Others!$X$5:$X$17&amp;z_Others!$W$5:$W$17,z_Others!$Z$5:$Z$17,"",0,1))</f>
        <v>35560678</v>
      </c>
      <c r="O68" s="298" t="str">
        <f t="array" ref="O68">if(isblank(E68),"",xlookup($N$9&amp;M68,z_Others!$X$5:$X$17&amp;z_Others!$W$5:$W$17,z_Others!$AH$5:$AH$17,"",0,1))</f>
        <v>35 560678 020000x</v>
      </c>
      <c r="P68" s="299" t="str">
        <f t="array" ref="P68">if(isblank(E68),"",xlookup($N$9&amp;M68,z_Others!$X$5:$X$17&amp;z_Others!$W$5:$W$17,z_Others!$AI$5:$AI$17,"",0,1))</f>
        <v>35 560678 999999x</v>
      </c>
      <c r="Q68" s="300" t="s">
        <v>413</v>
      </c>
      <c r="R68" s="301" t="s">
        <v>414</v>
      </c>
      <c r="S68" s="302">
        <f t="array" ref="S68">if(isblank(E68),"",xlookup($S$9&amp;M68,z_Others!$X$5:$X$17&amp;z_Others!$W$5:$W$17,z_Others!$Z$5:$Z$17,"",0,1))</f>
        <v>35931451</v>
      </c>
      <c r="T68" s="303" t="str">
        <f t="array" ref="T68">if(isblank(E68),"",xlookup($S$9&amp;M68,z_Others!$X$5:$X$17&amp;z_Others!$W$5:$W$17,z_Others!$AH$5:$AH$17,"",0,1))</f>
        <v>35 931451 020000x</v>
      </c>
      <c r="U68" s="303" t="str">
        <f t="array" ref="U68">if(isblank(E68),"",xlookup($S$9&amp;M68,z_Others!$X$5:$X$17&amp;z_Others!$W$5:$W$17,z_Others!$AI$5:$AI$17,"",0,1))</f>
        <v>35 931451 999999x</v>
      </c>
      <c r="V68" s="303" t="str">
        <f t="shared" si="2"/>
        <v>64:9D:38:32:91:82
B0:D5:FB:C6:60:70</v>
      </c>
      <c r="W68" s="303" t="str">
        <f t="shared" si="3"/>
        <v>64:9D:38:37:25:61
B0:D5:FB:CE:01:8F</v>
      </c>
      <c r="X68" s="304" t="str">
        <f t="shared" si="4"/>
        <v>MP1.0</v>
      </c>
      <c r="Y68" s="292"/>
      <c r="Z68" s="304" t="str">
        <f t="shared" si="32"/>
        <v>Android 16</v>
      </c>
      <c r="AA68" s="304" t="str">
        <f t="shared" ref="AA68:AA69" si="36">if(isblank(E68),"",IF(AG68="AD1A.240530.047","Android 14",IF(AG68="AP3A.241105.008","Android 15","TBD")))</f>
        <v>TBD</v>
      </c>
      <c r="AB68" s="305" t="s">
        <v>755</v>
      </c>
      <c r="AC68" s="305" t="s">
        <v>756</v>
      </c>
      <c r="AD68" s="306" t="s">
        <v>417</v>
      </c>
      <c r="AE68" s="307" t="s">
        <v>418</v>
      </c>
      <c r="AF68" s="308" t="s">
        <v>417</v>
      </c>
      <c r="AG68" s="309" t="s">
        <v>418</v>
      </c>
      <c r="AH68" s="297" t="str">
        <f t="array" ref="AH68">if(isblank(E68),"",xlookup(F68,z_Others!$B$21:$B$45,z_Others!$F$21:$F$45,"TBD",0,1))</f>
        <v>US</v>
      </c>
      <c r="AI68" s="310" t="str">
        <f t="array" ref="AI68">if(isblank(E68),"", xlookup(E68,'Import_FL5_LH_PVTMP_Configs (Do'!E:E,'Import_FL5_LH_PVTMP_Configs (Do'!O:O,"TBD",0,1))</f>
        <v>G710-07800-11</v>
      </c>
      <c r="AJ68" s="311"/>
      <c r="AK68" s="310" t="str">
        <f t="array" ref="AK68">if(isblank(E68),"", xlookup(E68,'Import_FL5_LH_PVTMP_Configs (Do'!E:E,'Import_FL5_LH_PVTMP_Configs (Do'!Q:Q,"TBD",0,1))</f>
        <v>G650-14694-05</v>
      </c>
      <c r="AL68" s="310" t="str">
        <f t="array" ref="AL68">if(isblank(E68),"", xlookup(E68,'Import_FL5_LH_PVTMP_Configs (Do'!E:E,'Import_FL5_LH_PVTMP_Configs (Do'!M:M,"TBD",0,1))</f>
        <v>G710-07670-01</v>
      </c>
      <c r="AM68" s="310" t="str">
        <f t="array" ref="AM68">if(isblank(E68),"", xlookup(E68,'Import_FL5_LH_PVTMP_Configs (Do'!E:E,'Import_FL5_LH_PVTMP_Configs (Do'!N:N,"TBD",0,1))</f>
        <v>G730-09533-01</v>
      </c>
      <c r="AN68" s="310" t="str">
        <f t="array" ref="AN68">if(isblank(E68),"", xlookup(E68,'Import_FL5_LH_PVTMP_Configs (Do'!E:E,'Import_FL5_LH_PVTMP_Configs (Do'!K:K,"TBD",0,1))</f>
        <v>G950-15935-04</v>
      </c>
      <c r="AO68" s="292" t="str">
        <f t="array" ref="AO68">if(isblank(E68),"",XLOOKUP(E68,'FL5_G954 Pkg ASSY (Pkg BOM)'!L:L,'FL5_G954 Pkg ASSY (Pkg BOM)'!G:G,"N/A",0,1))</f>
        <v>G954-08540-00</v>
      </c>
      <c r="AP68" s="292" t="str">
        <f t="array" ref="AP68">if(isblank(E68),"",xlookup(E68,'FL5_G962 Country kit (Accesorie'!L:L,'FL5_G962 Country kit (Accesorie'!G:G,"N/A",0,1))</f>
        <v>G962-00511-00</v>
      </c>
      <c r="AQ68" s="304" t="str">
        <f t="array" ref="AQ68">if(isblank(E68),"", xlookup(E68,'Import_LH_Label approve'!E:E,'Import_LH_Label approve'!M:M,"",0,1))</f>
        <v>G990-08380-12-01
G990-08380-12-A</v>
      </c>
      <c r="AR68" s="304" t="str">
        <f t="array" ref="AR68">if(isblank(E68),"",xlookup(E68,'Import_LH_Label approve'!E:E,'Import_LH_Label approve'!N:N,"",0,1))</f>
        <v>G990-08382-11-01
G990-08382-11-A</v>
      </c>
      <c r="AS68" s="292" t="s">
        <v>596</v>
      </c>
      <c r="AT68" s="302" t="str">
        <f t="shared" si="6"/>
        <v>Yes</v>
      </c>
      <c r="AU68" s="302" t="str">
        <f t="shared" si="7"/>
        <v>No</v>
      </c>
      <c r="AV68" s="302" t="str">
        <f t="shared" si="8"/>
        <v>No</v>
      </c>
      <c r="AW68" s="302"/>
      <c r="AX68" s="302" t="s">
        <v>757</v>
      </c>
      <c r="AY68" s="302" t="s">
        <v>758</v>
      </c>
      <c r="AZ68" s="312" t="str">
        <f t="array" ref="AZ68">if(isblank(E68),"", xlookup(E68,Import_FL5_LH_PVT_BM!D:D,Import_FL5_LH_PVT_BM!AK:AK,$F$4,0,1))</f>
        <v>MP</v>
      </c>
      <c r="BA68" s="292" t="str">
        <f t="shared" si="9"/>
        <v>Retail_10ct</v>
      </c>
      <c r="BB68" s="313" t="str">
        <f t="array" ref="BB68">if(isblank(E68),"",xlookup(F68,z_Others!$B$21:$B$42,z_Others!$G$21:$G$42,"No",0,1))</f>
        <v>VZN Master Carton Label</v>
      </c>
      <c r="BC68" s="313" t="str">
        <f t="array" ref="BC68">if(isblank(E68),"",xlookup(F68,z_Others!$B$21:$B$42,z_Others!$H$21:$H$42,"No",0,1))</f>
        <v>VZN Pallet Label (BTS)</v>
      </c>
      <c r="BD68" s="314" t="str">
        <f t="array" ref="BD68">if(isblank(E68),"",xlookup(E68,'Import_VN_Label approve'!E:E,'Import_VN_Label approve'!L:L,"N/A",0,1))</f>
        <v>G990-08482-12-01
G990-08482-12-A</v>
      </c>
      <c r="BE68" s="314" t="str">
        <f t="array" ref="BE68">if(isblank(E68),"",xlookup(E68,'Import_VN_Label approve'!E:E,'Import_VN_Label approve'!N:N,"N/A",0,1))</f>
        <v>G990-08382-11-01
G990-08382-11-A</v>
      </c>
      <c r="BF68" s="315"/>
      <c r="BG68" s="316" t="s">
        <v>422</v>
      </c>
      <c r="BH68" s="317" t="s">
        <v>423</v>
      </c>
      <c r="BI68" s="318">
        <v>45773.0</v>
      </c>
      <c r="BJ68" s="319" t="str">
        <f t="array" ref="BJ68">if(isblank(E68),"", xlookup(D68,z_Others!$B$5:$B$17,z_Others!$C$5:$C$17,"",0,1))</f>
        <v>智能手機</v>
      </c>
      <c r="BK68" s="320">
        <v>45782.0</v>
      </c>
      <c r="BL68" s="320" t="str">
        <f t="array" ref="BL68">if(isblank(E68),"",xlookup(E68,'FL5_MP POR_LH_報關備案_G950 &amp; GA'!F:F,'FL5_MP POR_LH_報關備案_G950 &amp; GA'!E:E,"No Need",0,1))</f>
        <v>Close</v>
      </c>
      <c r="BM68" s="321" t="str">
        <f t="array" ref="BM68">if(isblank(E68),"",xlookup($BM$9&amp;E68,'Import_FL5 MPS (06.06.25) - Sor'!E64:E334&amp;'Import_FL5 MPS (06.06.25) - Sor'!F64:F334,'Import_FL5 MPS (06.06.25) - Sor'!ES64:ES334,"No demand",0,1))</f>
        <v>No demand</v>
      </c>
      <c r="BN68" s="321" t="str">
        <f t="array" ref="BN68">if(isblank(E68),"",xlookup($BN$9&amp;E68,'Import_FL5 MPS (06.06.25) - Sor'!E64:E334&amp;'Import_FL5 MPS (06.06.25) - Sor'!F64:F334,'Import_FL5 MPS (06.06.25) - Sor'!ES64:ES334,"No demand",0,1))</f>
        <v>No demand</v>
      </c>
      <c r="BO68" s="321" t="str">
        <f t="array" ref="BO68">if(isblank(E68),"",xlookup($BO$9&amp;E68,'Import_FL5 MPS (06.06.25) - Sor'!E64:E334&amp;'Import_FL5 MPS (06.06.25) - Sor'!F64:F334,'Import_FL5 MPS (06.06.25) - Sor'!ES64:ES334,"No demand",0,1))</f>
        <v>No demand</v>
      </c>
      <c r="BP68" s="322" t="str">
        <f t="array" ref="BP68">if(isblank(E68),"", xlookup(E68,'Import_LH_Label approve'!E:E,'Import_LH_Label approve'!L:L,"",0,1))</f>
        <v/>
      </c>
      <c r="BQ68" s="322" t="str">
        <f t="array" ref="BQ68">if(isblank(E68),"",xlookup(E68,'Import_VN_Label approve'!E:E,'Import_VN_Label approve'!M:M,"N/A",0,1))</f>
        <v/>
      </c>
      <c r="BR68" s="325"/>
      <c r="BS68" s="323"/>
      <c r="BT68" s="324"/>
      <c r="BU68" s="91"/>
    </row>
    <row r="69">
      <c r="A69" s="176"/>
      <c r="B69" s="292">
        <v>58.0</v>
      </c>
      <c r="C69" s="231" t="s">
        <v>286</v>
      </c>
      <c r="D69" s="231" t="s">
        <v>408</v>
      </c>
      <c r="E69" s="344" t="s">
        <v>759</v>
      </c>
      <c r="F69" s="294" t="s">
        <v>410</v>
      </c>
      <c r="G69" s="294" t="s">
        <v>411</v>
      </c>
      <c r="H69" s="292" t="str">
        <f t="array" ref="H69">xlookup(F69,z_Others!$B$21:$B$45,z_Others!$E$21:$E$45,"",0,1)</f>
        <v>mmWave</v>
      </c>
      <c r="I69" s="310" t="s">
        <v>437</v>
      </c>
      <c r="J69" s="231" t="str">
        <f t="array" ref="J69">if(isblank(E69),"",xlookup(I69,z_Others!$M$17:$M$20,z_Others!$O$17:$O$20,"",0,1))</f>
        <v>Indigo</v>
      </c>
      <c r="K69" s="292" t="str">
        <f t="array" ref="K69">xlookup(I69,z_Others!$M$17:$M$20,z_Others!$N$17:$N$20,"",0,1)</f>
        <v>BUE</v>
      </c>
      <c r="L69" s="292" t="str">
        <f t="array" ref="L69">xlookup(F69,z_Others!$B$21:$B$45,z_Others!$D$21:$D$45,"",0,1)</f>
        <v>GLBW0</v>
      </c>
      <c r="M69" s="296" t="str">
        <f t="array" ref="M69">xlookup(F69,z_Others!$B$21:$B$45,z_Others!$C$21:$C$45,"",0,1)</f>
        <v>VZW</v>
      </c>
      <c r="N69" s="297">
        <f t="array" ref="N69">if(isblank(E69),"",xlookup($N$9&amp;M69,z_Others!$X$5:$X$17&amp;z_Others!$W$5:$W$17,z_Others!$Z$5:$Z$17,"",0,1))</f>
        <v>35560678</v>
      </c>
      <c r="O69" s="298" t="str">
        <f t="array" ref="O69">if(isblank(E69),"",xlookup($N$9&amp;M69,z_Others!$X$5:$X$17&amp;z_Others!$W$5:$W$17,z_Others!$AH$5:$AH$17,"",0,1))</f>
        <v>35 560678 020000x</v>
      </c>
      <c r="P69" s="299" t="str">
        <f t="array" ref="P69">if(isblank(E69),"",xlookup($N$9&amp;M69,z_Others!$X$5:$X$17&amp;z_Others!$W$5:$W$17,z_Others!$AI$5:$AI$17,"",0,1))</f>
        <v>35 560678 999999x</v>
      </c>
      <c r="Q69" s="300" t="s">
        <v>413</v>
      </c>
      <c r="R69" s="301" t="s">
        <v>414</v>
      </c>
      <c r="S69" s="302">
        <f t="array" ref="S69">if(isblank(E69),"",xlookup($S$9&amp;M69,z_Others!$X$5:$X$17&amp;z_Others!$W$5:$W$17,z_Others!$Z$5:$Z$17,"",0,1))</f>
        <v>35931451</v>
      </c>
      <c r="T69" s="303" t="str">
        <f t="array" ref="T69">if(isblank(E69),"",xlookup($S$9&amp;M69,z_Others!$X$5:$X$17&amp;z_Others!$W$5:$W$17,z_Others!$AH$5:$AH$17,"",0,1))</f>
        <v>35 931451 020000x</v>
      </c>
      <c r="U69" s="303" t="str">
        <f t="array" ref="U69">if(isblank(E69),"",xlookup($S$9&amp;M69,z_Others!$X$5:$X$17&amp;z_Others!$W$5:$W$17,z_Others!$AI$5:$AI$17,"",0,1))</f>
        <v>35 931451 999999x</v>
      </c>
      <c r="V69" s="303" t="str">
        <f t="shared" si="2"/>
        <v>64:9D:38:32:91:82
B0:D5:FB:C6:60:70</v>
      </c>
      <c r="W69" s="303" t="str">
        <f t="shared" si="3"/>
        <v>64:9D:38:37:25:61
B0:D5:FB:CE:01:8F</v>
      </c>
      <c r="X69" s="304" t="str">
        <f t="shared" si="4"/>
        <v>MP1.0</v>
      </c>
      <c r="Y69" s="292"/>
      <c r="Z69" s="304" t="str">
        <f t="shared" si="32"/>
        <v>Android 16</v>
      </c>
      <c r="AA69" s="304" t="str">
        <f t="shared" si="36"/>
        <v>TBD</v>
      </c>
      <c r="AB69" s="305" t="s">
        <v>760</v>
      </c>
      <c r="AC69" s="305" t="s">
        <v>761</v>
      </c>
      <c r="AD69" s="306" t="s">
        <v>417</v>
      </c>
      <c r="AE69" s="307" t="s">
        <v>418</v>
      </c>
      <c r="AF69" s="308" t="s">
        <v>417</v>
      </c>
      <c r="AG69" s="309" t="s">
        <v>418</v>
      </c>
      <c r="AH69" s="297" t="str">
        <f t="array" ref="AH69">if(isblank(E69),"",xlookup(F69,z_Others!$B$21:$B$45,z_Others!$F$21:$F$45,"TBD",0,1))</f>
        <v>US</v>
      </c>
      <c r="AI69" s="310" t="str">
        <f t="array" ref="AI69">if(isblank(E69),"", xlookup(E69,'Import_FL5_LH_PVTMP_Configs (Do'!E:E,'Import_FL5_LH_PVTMP_Configs (Do'!O:O,"TBD",0,1))</f>
        <v>G710-07800-11</v>
      </c>
      <c r="AJ69" s="311"/>
      <c r="AK69" s="310" t="str">
        <f t="array" ref="AK69">if(isblank(E69),"", xlookup(E69,'Import_FL5_LH_PVTMP_Configs (Do'!E:E,'Import_FL5_LH_PVTMP_Configs (Do'!Q:Q,"TBD",0,1))</f>
        <v>G650-14694-05</v>
      </c>
      <c r="AL69" s="310" t="str">
        <f t="array" ref="AL69">if(isblank(E69),"", xlookup(E69,'Import_FL5_LH_PVTMP_Configs (Do'!E:E,'Import_FL5_LH_PVTMP_Configs (Do'!M:M,"TBD",0,1))</f>
        <v>G710-07670-01</v>
      </c>
      <c r="AM69" s="310" t="str">
        <f t="array" ref="AM69">if(isblank(E69),"", xlookup(E69,'Import_FL5_LH_PVTMP_Configs (Do'!E:E,'Import_FL5_LH_PVTMP_Configs (Do'!N:N,"TBD",0,1))</f>
        <v>G730-09533-04</v>
      </c>
      <c r="AN69" s="310" t="str">
        <f t="array" ref="AN69">if(isblank(E69),"", xlookup(E69,'Import_FL5_LH_PVTMP_Configs (Do'!E:E,'Import_FL5_LH_PVTMP_Configs (Do'!K:K,"TBD",0,1))</f>
        <v>G950-15935-07</v>
      </c>
      <c r="AO69" s="292" t="str">
        <f t="array" ref="AO69">if(isblank(E69),"",XLOOKUP(E69,'FL5_G954 Pkg ASSY (Pkg BOM)'!L:L,'FL5_G954 Pkg ASSY (Pkg BOM)'!G:G,"N/A",0,1))</f>
        <v>G954-08540-00</v>
      </c>
      <c r="AP69" s="292" t="str">
        <f t="array" ref="AP69">if(isblank(E69),"",xlookup(E69,'FL5_G962 Country kit (Accesorie'!L:L,'FL5_G962 Country kit (Accesorie'!G:G,"N/A",0,1))</f>
        <v>G962-00511-00</v>
      </c>
      <c r="AQ69" s="304" t="str">
        <f t="array" ref="AQ69">if(isblank(E69),"", xlookup(E69,'Import_LH_Label approve'!E:E,'Import_LH_Label approve'!M:M,"",0,1))</f>
        <v>G990-08380-42-01
G990-08380-42-A</v>
      </c>
      <c r="AR69" s="304" t="str">
        <f t="array" ref="AR69">if(isblank(E69),"",xlookup(E69,'Import_LH_Label approve'!E:E,'Import_LH_Label approve'!N:N,"",0,1))</f>
        <v>G990-08382-11-01
G990-08382-11-A</v>
      </c>
      <c r="AS69" s="292" t="s">
        <v>596</v>
      </c>
      <c r="AT69" s="302" t="str">
        <f t="shared" si="6"/>
        <v>Yes</v>
      </c>
      <c r="AU69" s="302" t="str">
        <f t="shared" si="7"/>
        <v>No</v>
      </c>
      <c r="AV69" s="302" t="str">
        <f t="shared" si="8"/>
        <v>No</v>
      </c>
      <c r="AW69" s="302"/>
      <c r="AX69" s="302" t="s">
        <v>762</v>
      </c>
      <c r="AY69" s="302" t="s">
        <v>763</v>
      </c>
      <c r="AZ69" s="312" t="str">
        <f t="array" ref="AZ69">if(isblank(E69),"", xlookup(E69,Import_FL5_LH_PVT_BM!D:D,Import_FL5_LH_PVT_BM!AK:AK,$F$4,0,1))</f>
        <v>MP</v>
      </c>
      <c r="BA69" s="292" t="str">
        <f t="shared" si="9"/>
        <v>Retail_10ct</v>
      </c>
      <c r="BB69" s="313" t="str">
        <f t="array" ref="BB69">if(isblank(E69),"",xlookup(F69,z_Others!$B$21:$B$42,z_Others!$G$21:$G$42,"No",0,1))</f>
        <v>VZN Master Carton Label</v>
      </c>
      <c r="BC69" s="313" t="str">
        <f t="array" ref="BC69">if(isblank(E69),"",xlookup(F69,z_Others!$B$21:$B$42,z_Others!$H$21:$H$42,"No",0,1))</f>
        <v>VZN Pallet Label (BTS)</v>
      </c>
      <c r="BD69" s="314" t="str">
        <f t="array" ref="BD69">if(isblank(E69),"",xlookup(E69,'Import_VN_Label approve'!E:E,'Import_VN_Label approve'!L:L,"N/A",0,1))</f>
        <v>G990-08482-42-01
G990-08482-42-A</v>
      </c>
      <c r="BE69" s="314" t="str">
        <f t="array" ref="BE69">if(isblank(E69),"",xlookup(E69,'Import_VN_Label approve'!E:E,'Import_VN_Label approve'!N:N,"N/A",0,1))</f>
        <v>G990-08382-11-01
G990-08382-11-A</v>
      </c>
      <c r="BF69" s="315"/>
      <c r="BG69" s="316" t="s">
        <v>422</v>
      </c>
      <c r="BH69" s="317" t="s">
        <v>423</v>
      </c>
      <c r="BI69" s="318">
        <v>45773.0</v>
      </c>
      <c r="BJ69" s="319" t="str">
        <f t="array" ref="BJ69">if(isblank(E69),"", xlookup(D69,z_Others!$B$5:$B$17,z_Others!$C$5:$C$17,"",0,1))</f>
        <v>智能手機</v>
      </c>
      <c r="BK69" s="320">
        <v>45782.0</v>
      </c>
      <c r="BL69" s="320" t="str">
        <f t="array" ref="BL69">if(isblank(E69),"",xlookup(E69,'FL5_MP POR_LH_報關備案_G950 &amp; GA'!F:F,'FL5_MP POR_LH_報關備案_G950 &amp; GA'!E:E,"No Need",0,1))</f>
        <v>Close</v>
      </c>
      <c r="BM69" s="321" t="str">
        <f t="array" ref="BM69">if(isblank(E69),"",xlookup($BM$9&amp;E69,'Import_FL5 MPS (06.06.25) - Sor'!E65:E334&amp;'Import_FL5 MPS (06.06.25) - Sor'!F65:F334,'Import_FL5 MPS (06.06.25) - Sor'!ES65:ES334,"No demand",0,1))</f>
        <v>No demand</v>
      </c>
      <c r="BN69" s="321" t="str">
        <f t="array" ref="BN69">if(isblank(E69),"",xlookup($BN$9&amp;E69,'Import_FL5 MPS (06.06.25) - Sor'!E65:E334&amp;'Import_FL5 MPS (06.06.25) - Sor'!F65:F334,'Import_FL5 MPS (06.06.25) - Sor'!ES65:ES334,"No demand",0,1))</f>
        <v>No demand</v>
      </c>
      <c r="BO69" s="321" t="str">
        <f t="array" ref="BO69">if(isblank(E69),"",xlookup($BO$9&amp;E69,'Import_FL5 MPS (06.06.25) - Sor'!E65:E334&amp;'Import_FL5 MPS (06.06.25) - Sor'!F65:F334,'Import_FL5 MPS (06.06.25) - Sor'!ES65:ES334,"No demand",0,1))</f>
        <v>No demand</v>
      </c>
      <c r="BP69" s="322" t="str">
        <f t="array" ref="BP69">if(isblank(E69),"", xlookup(E69,'Import_LH_Label approve'!E:E,'Import_LH_Label approve'!L:L,"",0,1))</f>
        <v/>
      </c>
      <c r="BQ69" s="322" t="str">
        <f t="array" ref="BQ69">if(isblank(E69),"",xlookup(E69,'Import_VN_Label approve'!E:E,'Import_VN_Label approve'!M:M,"N/A",0,1))</f>
        <v/>
      </c>
      <c r="BR69" s="325"/>
      <c r="BS69" s="323"/>
      <c r="BT69" s="324"/>
      <c r="BU69" s="91"/>
    </row>
    <row r="70" hidden="1">
      <c r="A70" s="176"/>
      <c r="B70" s="292">
        <v>59.0</v>
      </c>
      <c r="C70" s="231" t="s">
        <v>289</v>
      </c>
      <c r="D70" s="231" t="s">
        <v>764</v>
      </c>
      <c r="E70" s="344" t="s">
        <v>765</v>
      </c>
      <c r="F70" s="294" t="s">
        <v>410</v>
      </c>
      <c r="G70" s="294" t="s">
        <v>411</v>
      </c>
      <c r="H70" s="292" t="str">
        <f t="array" ref="H70">xlookup(F70,z_Others!$B$21:$B$45,z_Others!$E$21:$E$45,"",0,1)</f>
        <v>mmWave</v>
      </c>
      <c r="I70" s="310" t="s">
        <v>412</v>
      </c>
      <c r="J70" s="231" t="str">
        <f t="array" ref="J70">if(isblank(E70),"",xlookup(I70,z_Others!$M$17:$M$20,z_Others!$O$17:$O$20,"",0,1))</f>
        <v>Obsidian</v>
      </c>
      <c r="K70" s="292" t="str">
        <f t="array" ref="K70">xlookup(I70,z_Others!$M$17:$M$20,z_Others!$N$17:$N$20,"",0,1)</f>
        <v>BLK</v>
      </c>
      <c r="L70" s="292" t="str">
        <f t="array" ref="L70">xlookup(F70,z_Others!$B$21:$B$45,z_Others!$D$21:$D$45,"",0,1)</f>
        <v>GLBW0</v>
      </c>
      <c r="M70" s="296" t="str">
        <f t="array" ref="M70">xlookup(F70,z_Others!$B$21:$B$45,z_Others!$C$21:$C$45,"",0,1)</f>
        <v>VZW</v>
      </c>
      <c r="N70" s="297">
        <f t="array" ref="N70">if(isblank(E70),"",xlookup($N$9&amp;M70,z_Others!$X$5:$X$17&amp;z_Others!$W$5:$W$17,z_Others!$Z$5:$Z$17,"",0,1))</f>
        <v>35560678</v>
      </c>
      <c r="O70" s="298" t="str">
        <f t="array" ref="O70">if(isblank(E70),"",xlookup($N$9&amp;M70,z_Others!$X$5:$X$17&amp;z_Others!$W$5:$W$17,z_Others!$AH$5:$AH$17,"",0,1))</f>
        <v>35 560678 020000x</v>
      </c>
      <c r="P70" s="299" t="str">
        <f t="array" ref="P70">if(isblank(E70),"",xlookup($N$9&amp;M70,z_Others!$X$5:$X$17&amp;z_Others!$W$5:$W$17,z_Others!$AI$5:$AI$17,"",0,1))</f>
        <v>35 560678 999999x</v>
      </c>
      <c r="Q70" s="300" t="s">
        <v>413</v>
      </c>
      <c r="R70" s="301" t="s">
        <v>414</v>
      </c>
      <c r="S70" s="302">
        <f t="array" ref="S70">if(isblank(E70),"",xlookup($S$9&amp;M70,z_Others!$X$5:$X$17&amp;z_Others!$W$5:$W$17,z_Others!$Z$5:$Z$17,"",0,1))</f>
        <v>35931451</v>
      </c>
      <c r="T70" s="303" t="str">
        <f t="array" ref="T70">if(isblank(E70),"",xlookup($S$9&amp;M70,z_Others!$X$5:$X$17&amp;z_Others!$W$5:$W$17,z_Others!$AH$5:$AH$17,"",0,1))</f>
        <v>35 931451 020000x</v>
      </c>
      <c r="U70" s="303" t="str">
        <f t="array" ref="U70">if(isblank(E70),"",xlookup($S$9&amp;M70,z_Others!$X$5:$X$17&amp;z_Others!$W$5:$W$17,z_Others!$AI$5:$AI$17,"",0,1))</f>
        <v>35 931451 999999x</v>
      </c>
      <c r="V70" s="303" t="str">
        <f t="shared" si="2"/>
        <v>64:9D:38:32:91:82
B0:D5:FB:C6:60:70</v>
      </c>
      <c r="W70" s="303" t="str">
        <f t="shared" si="3"/>
        <v>64:9D:38:37:25:61
B0:D5:FB:CE:01:8F</v>
      </c>
      <c r="X70" s="304" t="str">
        <f t="shared" si="4"/>
        <v>MP1.0</v>
      </c>
      <c r="Y70" s="292"/>
      <c r="Z70" s="304" t="str">
        <f t="shared" si="32"/>
        <v>Android 16</v>
      </c>
      <c r="AA70" s="304" t="str">
        <f t="shared" ref="AA70:AA102" si="37">if(isblank(F70),"",$Z$9)</f>
        <v>Android 16</v>
      </c>
      <c r="AB70" s="305" t="s">
        <v>766</v>
      </c>
      <c r="AC70" s="305" t="s">
        <v>767</v>
      </c>
      <c r="AD70" s="306" t="s">
        <v>417</v>
      </c>
      <c r="AE70" s="307" t="s">
        <v>418</v>
      </c>
      <c r="AF70" s="308" t="s">
        <v>417</v>
      </c>
      <c r="AG70" s="309" t="s">
        <v>418</v>
      </c>
      <c r="AH70" s="297" t="str">
        <f t="array" ref="AH70">if(isblank(E70),"",xlookup(F70,z_Others!$B$21:$B$45,z_Others!$F$21:$F$45,"TBD",0,1))</f>
        <v>US</v>
      </c>
      <c r="AI70" s="310" t="str">
        <f t="array" ref="AI70">if(isblank(E70),"", xlookup(E70,'Import_FL5_LH_PVTMP_Configs (Do'!E:E,'Import_FL5_LH_PVTMP_Configs (Do'!O:O,"TBD",0,1))</f>
        <v>G710-07800-01</v>
      </c>
      <c r="AJ70" s="311"/>
      <c r="AK70" s="310" t="str">
        <f t="array" ref="AK70">if(isblank(E70),"", xlookup(E70,'Import_FL5_LH_PVTMP_Configs (Do'!E:E,'Import_FL5_LH_PVTMP_Configs (Do'!Q:Q,"TBD",0,1))</f>
        <v>G650-14694-05</v>
      </c>
      <c r="AL70" s="310" t="str">
        <f t="array" ref="AL70">if(isblank(E70),"", xlookup(E70,'Import_FL5_LH_PVTMP_Configs (Do'!E:E,'Import_FL5_LH_PVTMP_Configs (Do'!M:M,"TBD",0,1))</f>
        <v>G710-07670-01</v>
      </c>
      <c r="AM70" s="310" t="str">
        <f t="array" ref="AM70">if(isblank(E70),"", xlookup(E70,'Import_FL5_LH_PVTMP_Configs (Do'!E:E,'Import_FL5_LH_PVTMP_Configs (Do'!N:N,"TBD",0,1))</f>
        <v>G730-09533-01</v>
      </c>
      <c r="AN70" s="310" t="str">
        <f t="array" ref="AN70">if(isblank(E70),"", xlookup(E70,'Import_FL5_LH_PVTMP_Configs (Do'!E:E,'Import_FL5_LH_PVTMP_Configs (Do'!K:K,"TBD",0,1))</f>
        <v>G950-15935-00</v>
      </c>
      <c r="AO70" s="292" t="str">
        <f t="array" ref="AO70">if(isblank(E70),"",XLOOKUP(E70,'FL5_G954 Pkg ASSY (Pkg BOM)'!L:L,'FL5_G954 Pkg ASSY (Pkg BOM)'!G:G,"N/A",0,1))</f>
        <v>G954-09388-00</v>
      </c>
      <c r="AP70" s="292" t="str">
        <f t="array" ref="AP70">if(isblank(E70),"",xlookup(E70,'FL5_G962 Country kit (Accesorie'!L:L,'FL5_G962 Country kit (Accesorie'!G:G,"N/A",0,1))</f>
        <v>N/A</v>
      </c>
      <c r="AQ70" s="304" t="str">
        <f t="array" ref="AQ70">if(isblank(E70),"", xlookup(E70,'Import_LH_Label approve'!E:E,'Import_LH_Label approve'!M:M,"",0,1))</f>
        <v>N/A</v>
      </c>
      <c r="AR70" s="304" t="str">
        <f t="array" ref="AR70">if(isblank(E70),"",xlookup(E70,'Import_LH_Label approve'!E:E,'Import_LH_Label approve'!N:N,"",0,1))</f>
        <v>N/A</v>
      </c>
      <c r="AS70" s="292" t="s">
        <v>419</v>
      </c>
      <c r="AT70" s="302" t="str">
        <f t="shared" si="6"/>
        <v>Yes</v>
      </c>
      <c r="AU70" s="302" t="str">
        <f t="shared" si="7"/>
        <v>No</v>
      </c>
      <c r="AV70" s="302" t="str">
        <f t="shared" si="8"/>
        <v>No</v>
      </c>
      <c r="AW70" s="302"/>
      <c r="AX70" s="302" t="s">
        <v>768</v>
      </c>
      <c r="AY70" s="302" t="s">
        <v>769</v>
      </c>
      <c r="AZ70" s="312" t="str">
        <f t="array" ref="AZ70">if(isblank(E70),"", xlookup(E70,Import_FL5_LH_PVT_BM!D:D,Import_FL5_LH_PVT_BM!AK:AK,$F$4,0,1))</f>
        <v>MP</v>
      </c>
      <c r="BA70" s="292" t="str">
        <f t="shared" si="9"/>
        <v>Bulk_30ct</v>
      </c>
      <c r="BB70" s="313" t="str">
        <f t="array" ref="BB70">if(isblank(E70),"",xlookup(F70,z_Others!$B$21:$B$42,z_Others!$G$21:$G$42,"No",0,1))</f>
        <v>VZN Master Carton Label</v>
      </c>
      <c r="BC70" s="313" t="str">
        <f t="array" ref="BC70">if(isblank(E70),"",xlookup(F70,z_Others!$B$21:$B$42,z_Others!$H$21:$H$42,"No",0,1))</f>
        <v>VZN Pallet Label (BTS)</v>
      </c>
      <c r="BD70" s="314" t="str">
        <f t="array" ref="BD70">if(isblank(E70),"",xlookup(E70,'Import_VN_Label approve'!E:E,'Import_VN_Label approve'!L:L,"N/A",0,1))</f>
        <v>N/A</v>
      </c>
      <c r="BE70" s="314" t="str">
        <f t="array" ref="BE70">if(isblank(E70),"",xlookup(E70,'Import_VN_Label approve'!E:E,'Import_VN_Label approve'!N:N,"N/A",0,1))</f>
        <v>N/A</v>
      </c>
      <c r="BF70" s="315"/>
      <c r="BG70" s="349" t="s">
        <v>770</v>
      </c>
      <c r="BH70" s="317" t="s">
        <v>771</v>
      </c>
      <c r="BI70" s="318">
        <v>45773.0</v>
      </c>
      <c r="BJ70" s="319" t="str">
        <f t="array" ref="BJ70">if(isblank(E70),"", xlookup(D70,z_Others!$B$5:$B$17,z_Others!$C$5:$C$17,"",0,1))</f>
        <v>智能手機</v>
      </c>
      <c r="BK70" s="320">
        <v>45782.0</v>
      </c>
      <c r="BL70" s="320" t="str">
        <f t="array" ref="BL70">if(isblank(E70),"",xlookup(E70,'FL5_MP POR_LH_報關備案_G950 &amp; GA'!F:F,'FL5_MP POR_LH_報關備案_G950 &amp; GA'!E:E,"No Need",0,1))</f>
        <v>Close</v>
      </c>
      <c r="BM70" s="321" t="str">
        <f t="array" ref="BM70">if(isblank(E70),"",xlookup($BM$9&amp;E70,'Import_FL5 MPS (06.06.25) - Sor'!E66:E334&amp;'Import_FL5 MPS (06.06.25) - Sor'!F66:F334,'Import_FL5 MPS (06.06.25) - Sor'!ES66:ES334,"No demand",0,1))</f>
        <v>No demand</v>
      </c>
      <c r="BN70" s="321" t="str">
        <f t="array" ref="BN70">if(isblank(E70),"",xlookup($BN$9&amp;E70,'Import_FL5 MPS (06.06.25) - Sor'!E66:E334&amp;'Import_FL5 MPS (06.06.25) - Sor'!F66:F334,'Import_FL5 MPS (06.06.25) - Sor'!ES66:ES334,"No demand",0,1))</f>
        <v>No demand</v>
      </c>
      <c r="BO70" s="321" t="str">
        <f t="array" ref="BO70">if(isblank(E70),"",xlookup($BO$9&amp;E70,'Import_FL5 MPS (06.06.25) - Sor'!E66:E334&amp;'Import_FL5 MPS (06.06.25) - Sor'!F66:F334,'Import_FL5 MPS (06.06.25) - Sor'!ES66:ES334,"No demand",0,1))</f>
        <v>No demand</v>
      </c>
      <c r="BP70" s="322" t="str">
        <f t="array" ref="BP70">if(isblank(E70),"", xlookup(E70,'Import_LH_Label approve'!E:E,'Import_LH_Label approve'!L:L,"",0,1))</f>
        <v/>
      </c>
      <c r="BQ70" s="322" t="str">
        <f t="array" ref="BQ70">if(isblank(E70),"",xlookup(E70,'Import_VN_Label approve'!E:E,'Import_VN_Label approve'!M:M,"N/A",0,1))</f>
        <v/>
      </c>
      <c r="BR70" s="313"/>
      <c r="BS70" s="323"/>
      <c r="BT70" s="324"/>
      <c r="BU70" s="91"/>
    </row>
    <row r="71" hidden="1">
      <c r="A71" s="176"/>
      <c r="B71" s="292">
        <v>60.0</v>
      </c>
      <c r="C71" s="231" t="s">
        <v>289</v>
      </c>
      <c r="D71" s="231" t="s">
        <v>764</v>
      </c>
      <c r="E71" s="344" t="s">
        <v>772</v>
      </c>
      <c r="F71" s="294" t="s">
        <v>410</v>
      </c>
      <c r="G71" s="294" t="s">
        <v>411</v>
      </c>
      <c r="H71" s="292" t="str">
        <f t="array" ref="H71">xlookup(F71,z_Others!$B$21:$B$45,z_Others!$E$21:$E$45,"",0,1)</f>
        <v>mmWave</v>
      </c>
      <c r="I71" s="310" t="s">
        <v>425</v>
      </c>
      <c r="J71" s="231" t="str">
        <f t="array" ref="J71">if(isblank(E71),"",xlookup(I71,z_Others!$M$17:$M$20,z_Others!$O$17:$O$20,"",0,1))</f>
        <v>Frost</v>
      </c>
      <c r="K71" s="292" t="str">
        <f t="array" ref="K71">xlookup(I71,z_Others!$M$17:$M$20,z_Others!$N$17:$N$20,"",0,1)</f>
        <v>PPL</v>
      </c>
      <c r="L71" s="292" t="str">
        <f t="array" ref="L71">xlookup(F71,z_Others!$B$21:$B$45,z_Others!$D$21:$D$45,"",0,1)</f>
        <v>GLBW0</v>
      </c>
      <c r="M71" s="296" t="str">
        <f t="array" ref="M71">xlookup(F71,z_Others!$B$21:$B$45,z_Others!$C$21:$C$45,"",0,1)</f>
        <v>VZW</v>
      </c>
      <c r="N71" s="297">
        <f t="array" ref="N71">if(isblank(E71),"",xlookup($N$9&amp;M71,z_Others!$X$5:$X$17&amp;z_Others!$W$5:$W$17,z_Others!$Z$5:$Z$17,"",0,1))</f>
        <v>35560678</v>
      </c>
      <c r="O71" s="298" t="str">
        <f t="array" ref="O71">if(isblank(E71),"",xlookup($N$9&amp;M71,z_Others!$X$5:$X$17&amp;z_Others!$W$5:$W$17,z_Others!$AH$5:$AH$17,"",0,1))</f>
        <v>35 560678 020000x</v>
      </c>
      <c r="P71" s="299" t="str">
        <f t="array" ref="P71">if(isblank(E71),"",xlookup($N$9&amp;M71,z_Others!$X$5:$X$17&amp;z_Others!$W$5:$W$17,z_Others!$AI$5:$AI$17,"",0,1))</f>
        <v>35 560678 999999x</v>
      </c>
      <c r="Q71" s="300" t="s">
        <v>413</v>
      </c>
      <c r="R71" s="301" t="s">
        <v>414</v>
      </c>
      <c r="S71" s="302">
        <f t="array" ref="S71">if(isblank(E71),"",xlookup($S$9&amp;M71,z_Others!$X$5:$X$17&amp;z_Others!$W$5:$W$17,z_Others!$Z$5:$Z$17,"",0,1))</f>
        <v>35931451</v>
      </c>
      <c r="T71" s="303" t="str">
        <f t="array" ref="T71">if(isblank(E71),"",xlookup($S$9&amp;M71,z_Others!$X$5:$X$17&amp;z_Others!$W$5:$W$17,z_Others!$AH$5:$AH$17,"",0,1))</f>
        <v>35 931451 020000x</v>
      </c>
      <c r="U71" s="303" t="str">
        <f t="array" ref="U71">if(isblank(E71),"",xlookup($S$9&amp;M71,z_Others!$X$5:$X$17&amp;z_Others!$W$5:$W$17,z_Others!$AI$5:$AI$17,"",0,1))</f>
        <v>35 931451 999999x</v>
      </c>
      <c r="V71" s="303" t="str">
        <f t="shared" si="2"/>
        <v>64:9D:38:32:91:82
B0:D5:FB:C6:60:70</v>
      </c>
      <c r="W71" s="303" t="str">
        <f t="shared" si="3"/>
        <v>64:9D:38:37:25:61
B0:D5:FB:CE:01:8F</v>
      </c>
      <c r="X71" s="304" t="str">
        <f t="shared" si="4"/>
        <v>MP1.0</v>
      </c>
      <c r="Y71" s="292"/>
      <c r="Z71" s="304" t="str">
        <f t="shared" si="32"/>
        <v>Android 16</v>
      </c>
      <c r="AA71" s="304" t="str">
        <f t="shared" si="37"/>
        <v>Android 16</v>
      </c>
      <c r="AB71" s="305" t="s">
        <v>773</v>
      </c>
      <c r="AC71" s="305" t="s">
        <v>774</v>
      </c>
      <c r="AD71" s="306" t="s">
        <v>417</v>
      </c>
      <c r="AE71" s="307" t="s">
        <v>418</v>
      </c>
      <c r="AF71" s="308" t="s">
        <v>417</v>
      </c>
      <c r="AG71" s="309" t="s">
        <v>418</v>
      </c>
      <c r="AH71" s="297" t="str">
        <f t="array" ref="AH71">if(isblank(E71),"",xlookup(F71,z_Others!$B$21:$B$45,z_Others!$F$21:$F$45,"TBD",0,1))</f>
        <v>US</v>
      </c>
      <c r="AI71" s="310" t="str">
        <f t="array" ref="AI71">if(isblank(E71),"", xlookup(E71,'Import_FL5_LH_PVTMP_Configs (Do'!E:E,'Import_FL5_LH_PVTMP_Configs (Do'!O:O,"TBD",0,1))</f>
        <v>G710-07800-01</v>
      </c>
      <c r="AJ71" s="311"/>
      <c r="AK71" s="310" t="str">
        <f t="array" ref="AK71">if(isblank(E71),"", xlookup(E71,'Import_FL5_LH_PVTMP_Configs (Do'!E:E,'Import_FL5_LH_PVTMP_Configs (Do'!Q:Q,"TBD",0,1))</f>
        <v>G650-14694-05</v>
      </c>
      <c r="AL71" s="310" t="str">
        <f t="array" ref="AL71">if(isblank(E71),"", xlookup(E71,'Import_FL5_LH_PVTMP_Configs (Do'!E:E,'Import_FL5_LH_PVTMP_Configs (Do'!M:M,"TBD",0,1))</f>
        <v>G710-07670-01</v>
      </c>
      <c r="AM71" s="310" t="str">
        <f t="array" ref="AM71">if(isblank(E71),"", xlookup(E71,'Import_FL5_LH_PVTMP_Configs (Do'!E:E,'Import_FL5_LH_PVTMP_Configs (Do'!N:N,"TBD",0,1))</f>
        <v>G730-09533-02</v>
      </c>
      <c r="AN71" s="310" t="str">
        <f t="array" ref="AN71">if(isblank(E71),"", xlookup(E71,'Import_FL5_LH_PVTMP_Configs (Do'!E:E,'Import_FL5_LH_PVTMP_Configs (Do'!K:K,"TBD",0,1))</f>
        <v>G950-15935-01</v>
      </c>
      <c r="AO71" s="292" t="str">
        <f t="array" ref="AO71">if(isblank(E71),"",XLOOKUP(E71,'FL5_G954 Pkg ASSY (Pkg BOM)'!L:L,'FL5_G954 Pkg ASSY (Pkg BOM)'!G:G,"N/A",0,1))</f>
        <v>G954-09388-00</v>
      </c>
      <c r="AP71" s="292" t="str">
        <f t="array" ref="AP71">if(isblank(E71),"",xlookup(E71,'FL5_G962 Country kit (Accesorie'!L:L,'FL5_G962 Country kit (Accesorie'!G:G,"N/A",0,1))</f>
        <v>N/A</v>
      </c>
      <c r="AQ71" s="304" t="str">
        <f t="array" ref="AQ71">if(isblank(E71),"", xlookup(E71,'Import_LH_Label approve'!E:E,'Import_LH_Label approve'!M:M,"",0,1))</f>
        <v>N/A</v>
      </c>
      <c r="AR71" s="304" t="str">
        <f t="array" ref="AR71">if(isblank(E71),"",xlookup(E71,'Import_LH_Label approve'!E:E,'Import_LH_Label approve'!N:N,"",0,1))</f>
        <v>N/A</v>
      </c>
      <c r="AS71" s="292" t="s">
        <v>419</v>
      </c>
      <c r="AT71" s="302" t="str">
        <f t="shared" si="6"/>
        <v>Yes</v>
      </c>
      <c r="AU71" s="302" t="str">
        <f t="shared" si="7"/>
        <v>No</v>
      </c>
      <c r="AV71" s="302" t="str">
        <f t="shared" si="8"/>
        <v>No</v>
      </c>
      <c r="AW71" s="302"/>
      <c r="AX71" s="302" t="s">
        <v>775</v>
      </c>
      <c r="AY71" s="302" t="s">
        <v>776</v>
      </c>
      <c r="AZ71" s="312" t="str">
        <f t="array" ref="AZ71">if(isblank(E71),"", xlookup(E71,Import_FL5_LH_PVT_BM!D:D,Import_FL5_LH_PVT_BM!AK:AK,$F$4,0,1))</f>
        <v>MP</v>
      </c>
      <c r="BA71" s="292" t="str">
        <f t="shared" si="9"/>
        <v>Bulk_30ct</v>
      </c>
      <c r="BB71" s="313" t="str">
        <f t="array" ref="BB71">if(isblank(E71),"",xlookup(F71,z_Others!$B$21:$B$42,z_Others!$G$21:$G$42,"No",0,1))</f>
        <v>VZN Master Carton Label</v>
      </c>
      <c r="BC71" s="313" t="str">
        <f t="array" ref="BC71">if(isblank(E71),"",xlookup(F71,z_Others!$B$21:$B$42,z_Others!$H$21:$H$42,"No",0,1))</f>
        <v>VZN Pallet Label (BTS)</v>
      </c>
      <c r="BD71" s="314" t="str">
        <f t="array" ref="BD71">if(isblank(E71),"",xlookup(E71,'Import_VN_Label approve'!E:E,'Import_VN_Label approve'!L:L,"N/A",0,1))</f>
        <v>N/A</v>
      </c>
      <c r="BE71" s="314" t="str">
        <f t="array" ref="BE71">if(isblank(E71),"",xlookup(E71,'Import_VN_Label approve'!E:E,'Import_VN_Label approve'!N:N,"N/A",0,1))</f>
        <v>N/A</v>
      </c>
      <c r="BF71" s="315"/>
      <c r="BG71" s="349" t="s">
        <v>770</v>
      </c>
      <c r="BH71" s="317" t="s">
        <v>771</v>
      </c>
      <c r="BI71" s="318">
        <v>45773.0</v>
      </c>
      <c r="BJ71" s="319" t="str">
        <f t="array" ref="BJ71">if(isblank(E71),"", xlookup(D71,z_Others!$B$5:$B$17,z_Others!$C$5:$C$17,"",0,1))</f>
        <v>智能手機</v>
      </c>
      <c r="BK71" s="320">
        <v>45782.0</v>
      </c>
      <c r="BL71" s="320" t="str">
        <f t="array" ref="BL71">if(isblank(E71),"",xlookup(E71,'FL5_MP POR_LH_報關備案_G950 &amp; GA'!F:F,'FL5_MP POR_LH_報關備案_G950 &amp; GA'!E:E,"No Need",0,1))</f>
        <v>Close</v>
      </c>
      <c r="BM71" s="321" t="str">
        <f t="array" ref="BM71">if(isblank(E71),"",xlookup($BM$9&amp;E71,'Import_FL5 MPS (06.06.25) - Sor'!E67:E334&amp;'Import_FL5 MPS (06.06.25) - Sor'!F67:F334,'Import_FL5 MPS (06.06.25) - Sor'!ES67:ES334,"No demand",0,1))</f>
        <v>No demand</v>
      </c>
      <c r="BN71" s="321" t="str">
        <f t="array" ref="BN71">if(isblank(E71),"",xlookup($BN$9&amp;E71,'Import_FL5 MPS (06.06.25) - Sor'!E67:E334&amp;'Import_FL5 MPS (06.06.25) - Sor'!F67:F334,'Import_FL5 MPS (06.06.25) - Sor'!ES67:ES334,"No demand",0,1))</f>
        <v>No demand</v>
      </c>
      <c r="BO71" s="321" t="str">
        <f t="array" ref="BO71">if(isblank(E71),"",xlookup($BO$9&amp;E71,'Import_FL5 MPS (06.06.25) - Sor'!E67:E334&amp;'Import_FL5 MPS (06.06.25) - Sor'!F67:F334,'Import_FL5 MPS (06.06.25) - Sor'!ES67:ES334,"No demand",0,1))</f>
        <v>No demand</v>
      </c>
      <c r="BP71" s="322" t="str">
        <f t="array" ref="BP71">if(isblank(E71),"", xlookup(E71,'Import_LH_Label approve'!E:E,'Import_LH_Label approve'!L:L,"",0,1))</f>
        <v/>
      </c>
      <c r="BQ71" s="322" t="str">
        <f t="array" ref="BQ71">if(isblank(E71),"",xlookup(E71,'Import_VN_Label approve'!E:E,'Import_VN_Label approve'!M:M,"N/A",0,1))</f>
        <v/>
      </c>
      <c r="BR71" s="325"/>
      <c r="BS71" s="323"/>
      <c r="BT71" s="324"/>
      <c r="BU71" s="91"/>
    </row>
    <row r="72" hidden="1">
      <c r="A72" s="176"/>
      <c r="B72" s="292">
        <v>61.0</v>
      </c>
      <c r="C72" s="231" t="s">
        <v>289</v>
      </c>
      <c r="D72" s="231" t="s">
        <v>764</v>
      </c>
      <c r="E72" s="350" t="s">
        <v>777</v>
      </c>
      <c r="F72" s="294" t="s">
        <v>410</v>
      </c>
      <c r="G72" s="294" t="s">
        <v>411</v>
      </c>
      <c r="H72" s="292" t="str">
        <f t="array" ref="H72">xlookup(F72,z_Others!$B$21:$B$45,z_Others!$E$21:$E$45,"",0,1)</f>
        <v>mmWave</v>
      </c>
      <c r="I72" s="310" t="s">
        <v>431</v>
      </c>
      <c r="J72" s="231" t="str">
        <f t="array" ref="J72">if(isblank(E72),"",xlookup(I72,z_Others!$M$17:$M$20,z_Others!$O$17:$O$20,"",0,1))</f>
        <v>Lemongrass</v>
      </c>
      <c r="K72" s="292" t="str">
        <f t="array" ref="K72">xlookup(I72,z_Others!$M$17:$M$20,z_Others!$N$17:$N$20,"",0,1)</f>
        <v>YEL</v>
      </c>
      <c r="L72" s="292" t="str">
        <f t="array" ref="L72">xlookup(F72,z_Others!$B$21:$B$45,z_Others!$D$21:$D$45,"",0,1)</f>
        <v>GLBW0</v>
      </c>
      <c r="M72" s="296" t="str">
        <f t="array" ref="M72">xlookup(F72,z_Others!$B$21:$B$45,z_Others!$C$21:$C$45,"",0,1)</f>
        <v>VZW</v>
      </c>
      <c r="N72" s="297">
        <f t="array" ref="N72">if(isblank(E72),"",xlookup($N$9&amp;M72,z_Others!$X$5:$X$17&amp;z_Others!$W$5:$W$17,z_Others!$Z$5:$Z$17,"",0,1))</f>
        <v>35560678</v>
      </c>
      <c r="O72" s="298" t="str">
        <f t="array" ref="O72">if(isblank(E72),"",xlookup($N$9&amp;M72,z_Others!$X$5:$X$17&amp;z_Others!$W$5:$W$17,z_Others!$AH$5:$AH$17,"",0,1))</f>
        <v>35 560678 020000x</v>
      </c>
      <c r="P72" s="299" t="str">
        <f t="array" ref="P72">if(isblank(E72),"",xlookup($N$9&amp;M72,z_Others!$X$5:$X$17&amp;z_Others!$W$5:$W$17,z_Others!$AI$5:$AI$17,"",0,1))</f>
        <v>35 560678 999999x</v>
      </c>
      <c r="Q72" s="300" t="s">
        <v>413</v>
      </c>
      <c r="R72" s="301" t="s">
        <v>414</v>
      </c>
      <c r="S72" s="302">
        <f t="array" ref="S72">if(isblank(E72),"",xlookup($S$9&amp;M72,z_Others!$X$5:$X$17&amp;z_Others!$W$5:$W$17,z_Others!$Z$5:$Z$17,"",0,1))</f>
        <v>35931451</v>
      </c>
      <c r="T72" s="303" t="str">
        <f t="array" ref="T72">if(isblank(E72),"",xlookup($S$9&amp;M72,z_Others!$X$5:$X$17&amp;z_Others!$W$5:$W$17,z_Others!$AH$5:$AH$17,"",0,1))</f>
        <v>35 931451 020000x</v>
      </c>
      <c r="U72" s="303" t="str">
        <f t="array" ref="U72">if(isblank(E72),"",xlookup($S$9&amp;M72,z_Others!$X$5:$X$17&amp;z_Others!$W$5:$W$17,z_Others!$AI$5:$AI$17,"",0,1))</f>
        <v>35 931451 999999x</v>
      </c>
      <c r="V72" s="303" t="str">
        <f t="shared" si="2"/>
        <v>64:9D:38:32:91:82
B0:D5:FB:C6:60:70</v>
      </c>
      <c r="W72" s="303" t="str">
        <f t="shared" si="3"/>
        <v>64:9D:38:37:25:61
B0:D5:FB:CE:01:8F</v>
      </c>
      <c r="X72" s="304" t="str">
        <f t="shared" si="4"/>
        <v>MP1.0</v>
      </c>
      <c r="Y72" s="292"/>
      <c r="Z72" s="304" t="str">
        <f t="shared" si="32"/>
        <v>Android 16</v>
      </c>
      <c r="AA72" s="304" t="str">
        <f t="shared" si="37"/>
        <v>Android 16</v>
      </c>
      <c r="AB72" s="305" t="s">
        <v>778</v>
      </c>
      <c r="AC72" s="305" t="s">
        <v>779</v>
      </c>
      <c r="AD72" s="306" t="s">
        <v>417</v>
      </c>
      <c r="AE72" s="307" t="s">
        <v>418</v>
      </c>
      <c r="AF72" s="308" t="s">
        <v>417</v>
      </c>
      <c r="AG72" s="309" t="s">
        <v>418</v>
      </c>
      <c r="AH72" s="297" t="str">
        <f t="array" ref="AH72">if(isblank(E72),"",xlookup(F72,z_Others!$B$21:$B$45,z_Others!$F$21:$F$45,"TBD",0,1))</f>
        <v>US</v>
      </c>
      <c r="AI72" s="310" t="str">
        <f t="array" ref="AI72">if(isblank(E72),"", xlookup(E72,'Import_FL5_LH_PVTMP_Configs (Do'!E:E,'Import_FL5_LH_PVTMP_Configs (Do'!O:O,"TBD",0,1))</f>
        <v>G710-07800-01</v>
      </c>
      <c r="AJ72" s="311"/>
      <c r="AK72" s="310" t="str">
        <f t="array" ref="AK72">if(isblank(E72),"", xlookup(E72,'Import_FL5_LH_PVTMP_Configs (Do'!E:E,'Import_FL5_LH_PVTMP_Configs (Do'!Q:Q,"TBD",0,1))</f>
        <v>G650-14694-05</v>
      </c>
      <c r="AL72" s="310" t="str">
        <f t="array" ref="AL72">if(isblank(E72),"", xlookup(E72,'Import_FL5_LH_PVTMP_Configs (Do'!E:E,'Import_FL5_LH_PVTMP_Configs (Do'!M:M,"TBD",0,1))</f>
        <v>G710-07670-01</v>
      </c>
      <c r="AM72" s="310" t="str">
        <f t="array" ref="AM72">if(isblank(E72),"", xlookup(E72,'Import_FL5_LH_PVTMP_Configs (Do'!E:E,'Import_FL5_LH_PVTMP_Configs (Do'!N:N,"TBD",0,1))</f>
        <v>G730-09533-03</v>
      </c>
      <c r="AN72" s="310" t="str">
        <f t="array" ref="AN72">if(isblank(E72),"", xlookup(E72,'Import_FL5_LH_PVTMP_Configs (Do'!E:E,'Import_FL5_LH_PVTMP_Configs (Do'!K:K,"TBD",0,1))</f>
        <v>G950-15935-02</v>
      </c>
      <c r="AO72" s="292" t="str">
        <f t="array" ref="AO72">if(isblank(E72),"",XLOOKUP(E72,'FL5_G954 Pkg ASSY (Pkg BOM)'!L:L,'FL5_G954 Pkg ASSY (Pkg BOM)'!G:G,"N/A",0,1))</f>
        <v>G954-09388-00</v>
      </c>
      <c r="AP72" s="292" t="str">
        <f t="array" ref="AP72">if(isblank(E72),"",xlookup(E72,'FL5_G962 Country kit (Accesorie'!L:L,'FL5_G962 Country kit (Accesorie'!G:G,"N/A",0,1))</f>
        <v>N/A</v>
      </c>
      <c r="AQ72" s="304" t="str">
        <f t="array" ref="AQ72">if(isblank(E72),"", xlookup(E72,'Import_LH_Label approve'!E:E,'Import_LH_Label approve'!M:M,"",0,1))</f>
        <v>N/A</v>
      </c>
      <c r="AR72" s="304" t="str">
        <f t="array" ref="AR72">if(isblank(E72),"",xlookup(E72,'Import_LH_Label approve'!E:E,'Import_LH_Label approve'!N:N,"",0,1))</f>
        <v>N/A</v>
      </c>
      <c r="AS72" s="292" t="s">
        <v>419</v>
      </c>
      <c r="AT72" s="302" t="str">
        <f t="shared" si="6"/>
        <v>Yes</v>
      </c>
      <c r="AU72" s="302" t="str">
        <f t="shared" si="7"/>
        <v>No</v>
      </c>
      <c r="AV72" s="302" t="str">
        <f t="shared" si="8"/>
        <v>No</v>
      </c>
      <c r="AW72" s="302"/>
      <c r="AX72" s="302" t="s">
        <v>780</v>
      </c>
      <c r="AY72" s="302" t="s">
        <v>781</v>
      </c>
      <c r="AZ72" s="312" t="str">
        <f t="array" ref="AZ72">if(isblank(E72),"", xlookup(E72,Import_FL5_LH_PVT_BM!D:D,Import_FL5_LH_PVT_BM!AK:AK,$F$4,0,1))</f>
        <v>MP</v>
      </c>
      <c r="BA72" s="292" t="str">
        <f t="shared" si="9"/>
        <v>Bulk_30ct</v>
      </c>
      <c r="BB72" s="313" t="str">
        <f t="array" ref="BB72">if(isblank(E72),"",xlookup(F72,z_Others!$B$21:$B$42,z_Others!$G$21:$G$42,"No",0,1))</f>
        <v>VZN Master Carton Label</v>
      </c>
      <c r="BC72" s="313" t="str">
        <f t="array" ref="BC72">if(isblank(E72),"",xlookup(F72,z_Others!$B$21:$B$42,z_Others!$H$21:$H$42,"No",0,1))</f>
        <v>VZN Pallet Label (BTS)</v>
      </c>
      <c r="BD72" s="314" t="str">
        <f t="array" ref="BD72">if(isblank(E72),"",xlookup(E72,'Import_VN_Label approve'!E:E,'Import_VN_Label approve'!L:L,"N/A",0,1))</f>
        <v>N/A</v>
      </c>
      <c r="BE72" s="314" t="str">
        <f t="array" ref="BE72">if(isblank(E72),"",xlookup(E72,'Import_VN_Label approve'!E:E,'Import_VN_Label approve'!N:N,"N/A",0,1))</f>
        <v>N/A</v>
      </c>
      <c r="BF72" s="315"/>
      <c r="BG72" s="349" t="s">
        <v>770</v>
      </c>
      <c r="BH72" s="317" t="s">
        <v>771</v>
      </c>
      <c r="BI72" s="318">
        <v>45773.0</v>
      </c>
      <c r="BJ72" s="319" t="str">
        <f t="array" ref="BJ72">if(isblank(E72),"", xlookup(D72,z_Others!$B$5:$B$17,z_Others!$C$5:$C$17,"",0,1))</f>
        <v>智能手機</v>
      </c>
      <c r="BK72" s="320">
        <v>45782.0</v>
      </c>
      <c r="BL72" s="320" t="str">
        <f t="array" ref="BL72">if(isblank(E72),"",xlookup(E72,'FL5_MP POR_LH_報關備案_G950 &amp; GA'!F:F,'FL5_MP POR_LH_報關備案_G950 &amp; GA'!E:E,"No Need",0,1))</f>
        <v>Close</v>
      </c>
      <c r="BM72" s="321" t="str">
        <f t="array" ref="BM72">if(isblank(E72),"",xlookup($BM$9&amp;E72,'Import_FL5 MPS (06.06.25) - Sor'!E68:E334&amp;'Import_FL5 MPS (06.06.25) - Sor'!F68:F334,'Import_FL5 MPS (06.06.25) - Sor'!ES68:ES334,"No demand",0,1))</f>
        <v>No demand</v>
      </c>
      <c r="BN72" s="321" t="str">
        <f t="array" ref="BN72">if(isblank(E72),"",xlookup($BN$9&amp;E72,'Import_FL5 MPS (06.06.25) - Sor'!E68:E334&amp;'Import_FL5 MPS (06.06.25) - Sor'!F68:F334,'Import_FL5 MPS (06.06.25) - Sor'!ES68:ES334,"No demand",0,1))</f>
        <v>No demand</v>
      </c>
      <c r="BO72" s="321" t="str">
        <f t="array" ref="BO72">if(isblank(E72),"",xlookup($BO$9&amp;E72,'Import_FL5 MPS (06.06.25) - Sor'!E68:E334&amp;'Import_FL5 MPS (06.06.25) - Sor'!F68:F334,'Import_FL5 MPS (06.06.25) - Sor'!ES68:ES334,"No demand",0,1))</f>
        <v>No demand</v>
      </c>
      <c r="BP72" s="322" t="str">
        <f t="array" ref="BP72">if(isblank(E72),"", xlookup(E72,'Import_LH_Label approve'!E:E,'Import_LH_Label approve'!L:L,"",0,1))</f>
        <v/>
      </c>
      <c r="BQ72" s="322" t="str">
        <f t="array" ref="BQ72">if(isblank(E72),"",xlookup(E72,'Import_VN_Label approve'!E:E,'Import_VN_Label approve'!M:M,"N/A",0,1))</f>
        <v/>
      </c>
      <c r="BR72" s="313"/>
      <c r="BS72" s="323"/>
      <c r="BT72" s="324"/>
      <c r="BU72" s="91"/>
    </row>
    <row r="73" hidden="1">
      <c r="A73" s="176"/>
      <c r="B73" s="292">
        <v>62.0</v>
      </c>
      <c r="C73" s="231" t="s">
        <v>289</v>
      </c>
      <c r="D73" s="231" t="s">
        <v>764</v>
      </c>
      <c r="E73" s="350" t="s">
        <v>782</v>
      </c>
      <c r="F73" s="294" t="s">
        <v>410</v>
      </c>
      <c r="G73" s="294" t="s">
        <v>411</v>
      </c>
      <c r="H73" s="292" t="str">
        <f t="array" ref="H73">xlookup(F73,z_Others!$B$21:$B$45,z_Others!$E$21:$E$45,"",0,1)</f>
        <v>mmWave</v>
      </c>
      <c r="I73" s="310" t="s">
        <v>437</v>
      </c>
      <c r="J73" s="231" t="str">
        <f t="array" ref="J73">if(isblank(E73),"",xlookup(I73,z_Others!$M$17:$M$20,z_Others!$O$17:$O$20,"",0,1))</f>
        <v>Indigo</v>
      </c>
      <c r="K73" s="292" t="str">
        <f t="array" ref="K73">xlookup(I73,z_Others!$M$17:$M$20,z_Others!$N$17:$N$20,"",0,1)</f>
        <v>BUE</v>
      </c>
      <c r="L73" s="292" t="str">
        <f t="array" ref="L73">xlookup(F73,z_Others!$B$21:$B$45,z_Others!$D$21:$D$45,"",0,1)</f>
        <v>GLBW0</v>
      </c>
      <c r="M73" s="296" t="str">
        <f t="array" ref="M73">xlookup(F73,z_Others!$B$21:$B$45,z_Others!$C$21:$C$45,"",0,1)</f>
        <v>VZW</v>
      </c>
      <c r="N73" s="297">
        <f t="array" ref="N73">if(isblank(E73),"",xlookup($N$9&amp;M73,z_Others!$X$5:$X$17&amp;z_Others!$W$5:$W$17,z_Others!$Z$5:$Z$17,"",0,1))</f>
        <v>35560678</v>
      </c>
      <c r="O73" s="298" t="str">
        <f t="array" ref="O73">if(isblank(E73),"",xlookup($N$9&amp;M73,z_Others!$X$5:$X$17&amp;z_Others!$W$5:$W$17,z_Others!$AH$5:$AH$17,"",0,1))</f>
        <v>35 560678 020000x</v>
      </c>
      <c r="P73" s="299" t="str">
        <f t="array" ref="P73">if(isblank(E73),"",xlookup($N$9&amp;M73,z_Others!$X$5:$X$17&amp;z_Others!$W$5:$W$17,z_Others!$AI$5:$AI$17,"",0,1))</f>
        <v>35 560678 999999x</v>
      </c>
      <c r="Q73" s="300" t="s">
        <v>413</v>
      </c>
      <c r="R73" s="301" t="s">
        <v>414</v>
      </c>
      <c r="S73" s="302">
        <f t="array" ref="S73">if(isblank(E73),"",xlookup($S$9&amp;M73,z_Others!$X$5:$X$17&amp;z_Others!$W$5:$W$17,z_Others!$Z$5:$Z$17,"",0,1))</f>
        <v>35931451</v>
      </c>
      <c r="T73" s="303" t="str">
        <f t="array" ref="T73">if(isblank(E73),"",xlookup($S$9&amp;M73,z_Others!$X$5:$X$17&amp;z_Others!$W$5:$W$17,z_Others!$AH$5:$AH$17,"",0,1))</f>
        <v>35 931451 020000x</v>
      </c>
      <c r="U73" s="303" t="str">
        <f t="array" ref="U73">if(isblank(E73),"",xlookup($S$9&amp;M73,z_Others!$X$5:$X$17&amp;z_Others!$W$5:$W$17,z_Others!$AI$5:$AI$17,"",0,1))</f>
        <v>35 931451 999999x</v>
      </c>
      <c r="V73" s="303" t="str">
        <f t="shared" si="2"/>
        <v>64:9D:38:32:91:82
B0:D5:FB:C6:60:70</v>
      </c>
      <c r="W73" s="303" t="str">
        <f t="shared" si="3"/>
        <v>64:9D:38:37:25:61
B0:D5:FB:CE:01:8F</v>
      </c>
      <c r="X73" s="304" t="str">
        <f t="shared" si="4"/>
        <v>MP1.0</v>
      </c>
      <c r="Y73" s="292"/>
      <c r="Z73" s="304" t="str">
        <f t="shared" si="32"/>
        <v>Android 16</v>
      </c>
      <c r="AA73" s="304" t="str">
        <f t="shared" si="37"/>
        <v>Android 16</v>
      </c>
      <c r="AB73" s="305" t="s">
        <v>783</v>
      </c>
      <c r="AC73" s="305" t="s">
        <v>784</v>
      </c>
      <c r="AD73" s="306" t="s">
        <v>417</v>
      </c>
      <c r="AE73" s="307" t="s">
        <v>418</v>
      </c>
      <c r="AF73" s="308" t="s">
        <v>417</v>
      </c>
      <c r="AG73" s="309" t="s">
        <v>418</v>
      </c>
      <c r="AH73" s="297" t="str">
        <f t="array" ref="AH73">if(isblank(E73),"",xlookup(F73,z_Others!$B$21:$B$45,z_Others!$F$21:$F$45,"TBD",0,1))</f>
        <v>US</v>
      </c>
      <c r="AI73" s="310" t="str">
        <f t="array" ref="AI73">if(isblank(E73),"", xlookup(E73,'Import_FL5_LH_PVTMP_Configs (Do'!E:E,'Import_FL5_LH_PVTMP_Configs (Do'!O:O,"TBD",0,1))</f>
        <v>G710-07800-01</v>
      </c>
      <c r="AJ73" s="311"/>
      <c r="AK73" s="310" t="str">
        <f t="array" ref="AK73">if(isblank(E73),"", xlookup(E73,'Import_FL5_LH_PVTMP_Configs (Do'!E:E,'Import_FL5_LH_PVTMP_Configs (Do'!Q:Q,"TBD",0,1))</f>
        <v>G650-14694-05</v>
      </c>
      <c r="AL73" s="310" t="str">
        <f t="array" ref="AL73">if(isblank(E73),"", xlookup(E73,'Import_FL5_LH_PVTMP_Configs (Do'!E:E,'Import_FL5_LH_PVTMP_Configs (Do'!M:M,"TBD",0,1))</f>
        <v>G710-07670-01</v>
      </c>
      <c r="AM73" s="310" t="str">
        <f t="array" ref="AM73">if(isblank(E73),"", xlookup(E73,'Import_FL5_LH_PVTMP_Configs (Do'!E:E,'Import_FL5_LH_PVTMP_Configs (Do'!N:N,"TBD",0,1))</f>
        <v>G730-09533-04</v>
      </c>
      <c r="AN73" s="310" t="str">
        <f t="array" ref="AN73">if(isblank(E73),"", xlookup(E73,'Import_FL5_LH_PVTMP_Configs (Do'!E:E,'Import_FL5_LH_PVTMP_Configs (Do'!K:K,"TBD",0,1))</f>
        <v>G950-15935-03</v>
      </c>
      <c r="AO73" s="292" t="str">
        <f t="array" ref="AO73">if(isblank(E73),"",XLOOKUP(E73,'FL5_G954 Pkg ASSY (Pkg BOM)'!L:L,'FL5_G954 Pkg ASSY (Pkg BOM)'!G:G,"N/A",0,1))</f>
        <v>G954-09388-00</v>
      </c>
      <c r="AP73" s="292" t="str">
        <f t="array" ref="AP73">if(isblank(E73),"",xlookup(E73,'FL5_G962 Country kit (Accesorie'!L:L,'FL5_G962 Country kit (Accesorie'!G:G,"N/A",0,1))</f>
        <v>N/A</v>
      </c>
      <c r="AQ73" s="304" t="str">
        <f t="array" ref="AQ73">if(isblank(E73),"", xlookup(E73,'Import_LH_Label approve'!E:E,'Import_LH_Label approve'!M:M,"",0,1))</f>
        <v>N/A</v>
      </c>
      <c r="AR73" s="304" t="str">
        <f t="array" ref="AR73">if(isblank(E73),"",xlookup(E73,'Import_LH_Label approve'!E:E,'Import_LH_Label approve'!N:N,"",0,1))</f>
        <v>N/A</v>
      </c>
      <c r="AS73" s="292" t="s">
        <v>419</v>
      </c>
      <c r="AT73" s="302" t="str">
        <f t="shared" si="6"/>
        <v>Yes</v>
      </c>
      <c r="AU73" s="302" t="str">
        <f t="shared" si="7"/>
        <v>No</v>
      </c>
      <c r="AV73" s="302" t="str">
        <f t="shared" si="8"/>
        <v>No</v>
      </c>
      <c r="AW73" s="302"/>
      <c r="AX73" s="302" t="s">
        <v>785</v>
      </c>
      <c r="AY73" s="302" t="s">
        <v>786</v>
      </c>
      <c r="AZ73" s="312" t="str">
        <f t="array" ref="AZ73">if(isblank(E73),"", xlookup(E73,Import_FL5_LH_PVT_BM!D:D,Import_FL5_LH_PVT_BM!AK:AK,$F$4,0,1))</f>
        <v>MP</v>
      </c>
      <c r="BA73" s="292" t="str">
        <f t="shared" si="9"/>
        <v>Bulk_30ct</v>
      </c>
      <c r="BB73" s="313" t="str">
        <f t="array" ref="BB73">if(isblank(E73),"",xlookup(F73,z_Others!$B$21:$B$42,z_Others!$G$21:$G$42,"No",0,1))</f>
        <v>VZN Master Carton Label</v>
      </c>
      <c r="BC73" s="313" t="str">
        <f t="array" ref="BC73">if(isblank(E73),"",xlookup(F73,z_Others!$B$21:$B$42,z_Others!$H$21:$H$42,"No",0,1))</f>
        <v>VZN Pallet Label (BTS)</v>
      </c>
      <c r="BD73" s="314" t="str">
        <f t="array" ref="BD73">if(isblank(E73),"",xlookup(E73,'Import_VN_Label approve'!E:E,'Import_VN_Label approve'!L:L,"N/A",0,1))</f>
        <v>N/A</v>
      </c>
      <c r="BE73" s="314" t="str">
        <f t="array" ref="BE73">if(isblank(E73),"",xlookup(E73,'Import_VN_Label approve'!E:E,'Import_VN_Label approve'!N:N,"N/A",0,1))</f>
        <v>N/A</v>
      </c>
      <c r="BF73" s="315"/>
      <c r="BG73" s="349" t="s">
        <v>770</v>
      </c>
      <c r="BH73" s="317" t="s">
        <v>771</v>
      </c>
      <c r="BI73" s="318">
        <v>45773.0</v>
      </c>
      <c r="BJ73" s="319" t="str">
        <f t="array" ref="BJ73">if(isblank(E73),"", xlookup(D73,z_Others!$B$5:$B$17,z_Others!$C$5:$C$17,"",0,1))</f>
        <v>智能手機</v>
      </c>
      <c r="BK73" s="320">
        <v>45782.0</v>
      </c>
      <c r="BL73" s="320" t="str">
        <f t="array" ref="BL73">if(isblank(E73),"",xlookup(E73,'FL5_MP POR_LH_報關備案_G950 &amp; GA'!F:F,'FL5_MP POR_LH_報關備案_G950 &amp; GA'!E:E,"No Need",0,1))</f>
        <v>Close</v>
      </c>
      <c r="BM73" s="321" t="str">
        <f t="array" ref="BM73">if(isblank(E73),"",xlookup($BM$9&amp;E73,'Import_FL5 MPS (06.06.25) - Sor'!E69:E334&amp;'Import_FL5 MPS (06.06.25) - Sor'!F69:F334,'Import_FL5 MPS (06.06.25) - Sor'!ES69:ES334,"No demand",0,1))</f>
        <v>No demand</v>
      </c>
      <c r="BN73" s="321" t="str">
        <f t="array" ref="BN73">if(isblank(E73),"",xlookup($BN$9&amp;E73,'Import_FL5 MPS (06.06.25) - Sor'!E69:E334&amp;'Import_FL5 MPS (06.06.25) - Sor'!F69:F334,'Import_FL5 MPS (06.06.25) - Sor'!ES69:ES334,"No demand",0,1))</f>
        <v>No demand</v>
      </c>
      <c r="BO73" s="321" t="str">
        <f t="array" ref="BO73">if(isblank(E73),"",xlookup($BO$9&amp;E73,'Import_FL5 MPS (06.06.25) - Sor'!E69:E334&amp;'Import_FL5 MPS (06.06.25) - Sor'!F69:F334,'Import_FL5 MPS (06.06.25) - Sor'!ES69:ES334,"No demand",0,1))</f>
        <v>No demand</v>
      </c>
      <c r="BP73" s="322" t="str">
        <f t="array" ref="BP73">if(isblank(E73),"", xlookup(E73,'Import_LH_Label approve'!E:E,'Import_LH_Label approve'!L:L,"",0,1))</f>
        <v/>
      </c>
      <c r="BQ73" s="322" t="str">
        <f t="array" ref="BQ73">if(isblank(E73),"",xlookup(E73,'Import_VN_Label approve'!E:E,'Import_VN_Label approve'!M:M,"N/A",0,1))</f>
        <v/>
      </c>
      <c r="BR73" s="313"/>
      <c r="BS73" s="323"/>
      <c r="BT73" s="324"/>
      <c r="BU73" s="91"/>
    </row>
    <row r="74" hidden="1">
      <c r="A74" s="176"/>
      <c r="B74" s="292">
        <v>63.0</v>
      </c>
      <c r="C74" s="231" t="s">
        <v>289</v>
      </c>
      <c r="D74" s="231" t="s">
        <v>764</v>
      </c>
      <c r="E74" s="351" t="s">
        <v>787</v>
      </c>
      <c r="F74" s="323" t="s">
        <v>458</v>
      </c>
      <c r="G74" s="294" t="s">
        <v>459</v>
      </c>
      <c r="H74" s="292" t="str">
        <f t="array" ref="H74">xlookup(F74,z_Others!$B$21:$B$45,z_Others!$E$21:$E$45,"",0,1)</f>
        <v>mmWave</v>
      </c>
      <c r="I74" s="310" t="s">
        <v>412</v>
      </c>
      <c r="J74" s="231" t="str">
        <f t="array" ref="J74">if(isblank(E74),"",xlookup(I74,z_Others!$M$17:$M$20,z_Others!$O$17:$O$20,"",0,1))</f>
        <v>Obsidian</v>
      </c>
      <c r="K74" s="292" t="str">
        <f t="array" ref="K74">xlookup(I74,z_Others!$M$17:$M$20,z_Others!$N$17:$N$20,"",0,1)</f>
        <v>BLK</v>
      </c>
      <c r="L74" s="292" t="str">
        <f t="array" ref="L74">xlookup(F74,z_Others!$B$21:$B$45,z_Others!$D$21:$D$45,"",0,1)</f>
        <v>GLBW0</v>
      </c>
      <c r="M74" s="296" t="str">
        <f t="array" ref="M74">xlookup(F74,z_Others!$B$21:$B$45,z_Others!$C$21:$C$45,"",0,1)</f>
        <v>TMO</v>
      </c>
      <c r="N74" s="297">
        <f t="array" ref="N74">if(isblank(E74),"",xlookup($N$9&amp;M74,z_Others!$X$5:$X$17&amp;z_Others!$W$5:$W$17,z_Others!$Z$5:$Z$17,"",0,1))</f>
        <v>35163422</v>
      </c>
      <c r="O74" s="298" t="str">
        <f t="array" ref="O74">if(isblank(E74),"",xlookup($N$9&amp;M74,z_Others!$X$5:$X$17&amp;z_Others!$W$5:$W$17,z_Others!$AH$5:$AH$17,"",0,1))</f>
        <v>35 163422 020000x</v>
      </c>
      <c r="P74" s="299" t="str">
        <f t="array" ref="P74">if(isblank(E74),"",xlookup($N$9&amp;M74,z_Others!$X$5:$X$17&amp;z_Others!$W$5:$W$17,z_Others!$AI$5:$AI$17,"",0,1))</f>
        <v>35 163422 999999x</v>
      </c>
      <c r="Q74" s="300" t="s">
        <v>413</v>
      </c>
      <c r="R74" s="301" t="s">
        <v>414</v>
      </c>
      <c r="S74" s="302">
        <f t="array" ref="S74">if(isblank(E74),"",xlookup($S$9&amp;M74,z_Others!$X$5:$X$17&amp;z_Others!$W$5:$W$17,z_Others!$Z$5:$Z$17,"",0,1))</f>
        <v>35676321</v>
      </c>
      <c r="T74" s="303" t="str">
        <f t="array" ref="T74">if(isblank(E74),"",xlookup($S$9&amp;M74,z_Others!$X$5:$X$17&amp;z_Others!$W$5:$W$17,z_Others!$AH$5:$AH$17,"",0,1))</f>
        <v>35 676321 020000x</v>
      </c>
      <c r="U74" s="303" t="str">
        <f t="array" ref="U74">if(isblank(E74),"",xlookup($S$9&amp;M74,z_Others!$X$5:$X$17&amp;z_Others!$W$5:$W$17,z_Others!$AI$5:$AI$17,"",0,1))</f>
        <v>35 676321 999999x</v>
      </c>
      <c r="V74" s="303" t="str">
        <f t="shared" si="2"/>
        <v>64:9D:38:32:91:82
B0:D5:FB:C6:60:70</v>
      </c>
      <c r="W74" s="303" t="str">
        <f t="shared" si="3"/>
        <v>64:9D:38:37:25:61
B0:D5:FB:CE:01:8F</v>
      </c>
      <c r="X74" s="304" t="str">
        <f t="shared" si="4"/>
        <v>MP1.0</v>
      </c>
      <c r="Y74" s="292"/>
      <c r="Z74" s="304" t="str">
        <f t="shared" si="32"/>
        <v>Android 16</v>
      </c>
      <c r="AA74" s="304" t="str">
        <f t="shared" si="37"/>
        <v>Android 16</v>
      </c>
      <c r="AB74" s="305" t="s">
        <v>788</v>
      </c>
      <c r="AC74" s="348" t="s">
        <v>788</v>
      </c>
      <c r="AD74" s="314" t="s">
        <v>447</v>
      </c>
      <c r="AE74" s="307" t="s">
        <v>418</v>
      </c>
      <c r="AF74" s="308" t="s">
        <v>447</v>
      </c>
      <c r="AG74" s="309" t="s">
        <v>418</v>
      </c>
      <c r="AH74" s="297" t="str">
        <f t="array" ref="AH74">if(isblank(E74),"",xlookup(F74,z_Others!$B$21:$B$45,z_Others!$F$21:$F$45,"TBD",0,1))</f>
        <v>US</v>
      </c>
      <c r="AI74" s="310" t="str">
        <f t="array" ref="AI74">if(isblank(E74),"", xlookup(E74,'Import_FL5_LH_PVTMP_Configs (Do'!E:E,'Import_FL5_LH_PVTMP_Configs (Do'!O:O,"TBD",0,1))</f>
        <v>G710-07800-01</v>
      </c>
      <c r="AJ74" s="311"/>
      <c r="AK74" s="310" t="str">
        <f t="array" ref="AK74">if(isblank(E74),"", xlookup(E74,'Import_FL5_LH_PVTMP_Configs (Do'!E:E,'Import_FL5_LH_PVTMP_Configs (Do'!Q:Q,"TBD",0,1))</f>
        <v>G650-14694-05</v>
      </c>
      <c r="AL74" s="310" t="str">
        <f t="array" ref="AL74">if(isblank(E74),"", xlookup(E74,'Import_FL5_LH_PVTMP_Configs (Do'!E:E,'Import_FL5_LH_PVTMP_Configs (Do'!M:M,"TBD",0,1))</f>
        <v>G710-07670-01</v>
      </c>
      <c r="AM74" s="310" t="str">
        <f t="array" ref="AM74">if(isblank(E74),"", xlookup(E74,'Import_FL5_LH_PVTMP_Configs (Do'!E:E,'Import_FL5_LH_PVTMP_Configs (Do'!N:N,"TBD",0,1))</f>
        <v>G730-09533-01</v>
      </c>
      <c r="AN74" s="310" t="str">
        <f t="array" ref="AN74">if(isblank(E74),"", xlookup(E74,'Import_FL5_LH_PVTMP_Configs (Do'!E:E,'Import_FL5_LH_PVTMP_Configs (Do'!K:K,"TBD",0,1))</f>
        <v>G950-15935-00</v>
      </c>
      <c r="AO74" s="292" t="str">
        <f t="array" ref="AO74">if(isblank(E74),"",XLOOKUP(E74,'FL5_G954 Pkg ASSY (Pkg BOM)'!L:L,'FL5_G954 Pkg ASSY (Pkg BOM)'!G:G,"N/A",0,1))</f>
        <v>G954-09387-00</v>
      </c>
      <c r="AP74" s="292" t="str">
        <f t="array" ref="AP74">if(isblank(E74),"",xlookup(E74,'FL5_G962 Country kit (Accesorie'!L:L,'FL5_G962 Country kit (Accesorie'!G:G,"N/A",0,1))</f>
        <v>N/A</v>
      </c>
      <c r="AQ74" s="304" t="str">
        <f t="array" ref="AQ74">if(isblank(E74),"", xlookup(E74,'Import_LH_Label approve'!E:E,'Import_LH_Label approve'!M:M,"",0,1))</f>
        <v>N/A</v>
      </c>
      <c r="AR74" s="304" t="str">
        <f t="array" ref="AR74">if(isblank(E74),"",xlookup(E74,'Import_LH_Label approve'!E:E,'Import_LH_Label approve'!N:N,"",0,1))</f>
        <v>N/A</v>
      </c>
      <c r="AS74" s="292" t="s">
        <v>419</v>
      </c>
      <c r="AT74" s="302" t="str">
        <f t="shared" si="6"/>
        <v>Yes</v>
      </c>
      <c r="AU74" s="302" t="str">
        <f t="shared" si="7"/>
        <v>No</v>
      </c>
      <c r="AV74" s="302" t="str">
        <f t="shared" si="8"/>
        <v>No</v>
      </c>
      <c r="AW74" s="302" t="s">
        <v>789</v>
      </c>
      <c r="AX74" s="302" t="s">
        <v>789</v>
      </c>
      <c r="AY74" s="302" t="s">
        <v>790</v>
      </c>
      <c r="AZ74" s="312" t="str">
        <f t="array" ref="AZ74">if(isblank(E74),"", xlookup(E74,Import_FL5_LH_PVT_BM!D:D,Import_FL5_LH_PVT_BM!AK:AK,$F$4,0,1))</f>
        <v>MP</v>
      </c>
      <c r="BA74" s="292" t="str">
        <f t="shared" si="9"/>
        <v>Bulk_30ct</v>
      </c>
      <c r="BB74" s="313" t="str">
        <f t="array" ref="BB74">if(isblank(E74),"",xlookup(F74,z_Others!$B$21:$B$42,z_Others!$G$21:$G$42,"No",0,1))</f>
        <v>TMO Master Carton Label</v>
      </c>
      <c r="BC74" s="313" t="str">
        <f t="array" ref="BC74">if(isblank(E74),"",xlookup(F74,z_Others!$B$21:$B$42,z_Others!$H$21:$H$42,"No",0,1))</f>
        <v>T-Mobile Pallet Label (BTO)
T-Mobile Pallet Label (BTS)</v>
      </c>
      <c r="BD74" s="314" t="str">
        <f t="array" ref="BD74">if(isblank(E74),"",xlookup(E74,'Import_VN_Label approve'!E:E,'Import_VN_Label approve'!L:L,"N/A",0,1))</f>
        <v>N/A</v>
      </c>
      <c r="BE74" s="314" t="str">
        <f t="array" ref="BE74">if(isblank(E74),"",xlookup(E74,'Import_VN_Label approve'!E:E,'Import_VN_Label approve'!N:N,"N/A",0,1))</f>
        <v>N/A</v>
      </c>
      <c r="BF74" s="315"/>
      <c r="BG74" s="349" t="s">
        <v>791</v>
      </c>
      <c r="BH74" s="317" t="s">
        <v>792</v>
      </c>
      <c r="BI74" s="318">
        <v>45773.0</v>
      </c>
      <c r="BJ74" s="319" t="str">
        <f t="array" ref="BJ74">if(isblank(E74),"", xlookup(D74,z_Others!$B$5:$B$17,z_Others!$C$5:$C$17,"",0,1))</f>
        <v>智能手機</v>
      </c>
      <c r="BK74" s="320">
        <v>45782.0</v>
      </c>
      <c r="BL74" s="320" t="str">
        <f t="array" ref="BL74">if(isblank(E74),"",xlookup(E74,'FL5_MP POR_LH_報關備案_G950 &amp; GA'!F:F,'FL5_MP POR_LH_報關備案_G950 &amp; GA'!E:E,"No Need",0,1))</f>
        <v>Close</v>
      </c>
      <c r="BM74" s="321" t="str">
        <f t="array" ref="BM74">if(isblank(E74),"",xlookup($BM$9&amp;E74,'Import_FL5 MPS (06.06.25) - Sor'!E70:E334&amp;'Import_FL5 MPS (06.06.25) - Sor'!F70:F334,'Import_FL5 MPS (06.06.25) - Sor'!ES70:ES334,"No demand",0,1))</f>
        <v>No demand</v>
      </c>
      <c r="BN74" s="321" t="str">
        <f t="array" ref="BN74">if(isblank(E74),"",xlookup($BN$9&amp;E74,'Import_FL5 MPS (06.06.25) - Sor'!E70:E334&amp;'Import_FL5 MPS (06.06.25) - Sor'!F70:F334,'Import_FL5 MPS (06.06.25) - Sor'!ES70:ES334,"No demand",0,1))</f>
        <v>No demand</v>
      </c>
      <c r="BO74" s="321" t="str">
        <f t="array" ref="BO74">if(isblank(E74),"",xlookup($BO$9&amp;E74,'Import_FL5 MPS (06.06.25) - Sor'!E70:E334&amp;'Import_FL5 MPS (06.06.25) - Sor'!F70:F334,'Import_FL5 MPS (06.06.25) - Sor'!ES70:ES334,"No demand",0,1))</f>
        <v>No demand</v>
      </c>
      <c r="BP74" s="322" t="str">
        <f t="array" ref="BP74">if(isblank(E74),"", xlookup(E74,'Import_LH_Label approve'!E:E,'Import_LH_Label approve'!L:L,"",0,1))</f>
        <v/>
      </c>
      <c r="BQ74" s="322" t="str">
        <f t="array" ref="BQ74">if(isblank(E74),"",xlookup(E74,'Import_VN_Label approve'!E:E,'Import_VN_Label approve'!M:M,"N/A",0,1))</f>
        <v/>
      </c>
      <c r="BR74" s="313"/>
      <c r="BS74" s="323"/>
      <c r="BT74" s="324"/>
      <c r="BU74" s="91"/>
    </row>
    <row r="75" hidden="1">
      <c r="A75" s="176"/>
      <c r="B75" s="292">
        <v>64.0</v>
      </c>
      <c r="C75" s="231" t="s">
        <v>289</v>
      </c>
      <c r="D75" s="231" t="s">
        <v>764</v>
      </c>
      <c r="E75" s="351" t="s">
        <v>793</v>
      </c>
      <c r="F75" s="323" t="s">
        <v>458</v>
      </c>
      <c r="G75" s="294" t="s">
        <v>459</v>
      </c>
      <c r="H75" s="292" t="str">
        <f t="array" ref="H75">xlookup(F75,z_Others!$B$21:$B$45,z_Others!$E$21:$E$45,"",0,1)</f>
        <v>mmWave</v>
      </c>
      <c r="I75" s="352" t="s">
        <v>437</v>
      </c>
      <c r="J75" s="231" t="str">
        <f t="array" ref="J75">if(isblank(E75),"",xlookup(I75,z_Others!$M$17:$M$20,z_Others!$O$17:$O$20,"",0,1))</f>
        <v>Indigo</v>
      </c>
      <c r="K75" s="292" t="str">
        <f t="array" ref="K75">xlookup(I75,z_Others!$M$17:$M$20,z_Others!$N$17:$N$20,"",0,1)</f>
        <v>BUE</v>
      </c>
      <c r="L75" s="292" t="str">
        <f t="array" ref="L75">xlookup(F75,z_Others!$B$21:$B$45,z_Others!$D$21:$D$45,"",0,1)</f>
        <v>GLBW0</v>
      </c>
      <c r="M75" s="296" t="str">
        <f t="array" ref="M75">xlookup(F75,z_Others!$B$21:$B$45,z_Others!$C$21:$C$45,"",0,1)</f>
        <v>TMO</v>
      </c>
      <c r="N75" s="297">
        <f t="array" ref="N75">if(isblank(E75),"",xlookup($N$9&amp;M75,z_Others!$X$5:$X$17&amp;z_Others!$W$5:$W$17,z_Others!$Z$5:$Z$17,"",0,1))</f>
        <v>35163422</v>
      </c>
      <c r="O75" s="298" t="str">
        <f t="array" ref="O75">if(isblank(E75),"",xlookup($N$9&amp;M75,z_Others!$X$5:$X$17&amp;z_Others!$W$5:$W$17,z_Others!$AH$5:$AH$17,"",0,1))</f>
        <v>35 163422 020000x</v>
      </c>
      <c r="P75" s="299" t="str">
        <f t="array" ref="P75">if(isblank(E75),"",xlookup($N$9&amp;M75,z_Others!$X$5:$X$17&amp;z_Others!$W$5:$W$17,z_Others!$AI$5:$AI$17,"",0,1))</f>
        <v>35 163422 999999x</v>
      </c>
      <c r="Q75" s="300" t="s">
        <v>413</v>
      </c>
      <c r="R75" s="301" t="s">
        <v>414</v>
      </c>
      <c r="S75" s="302">
        <f t="array" ref="S75">if(isblank(E75),"",xlookup($S$9&amp;M75,z_Others!$X$5:$X$17&amp;z_Others!$W$5:$W$17,z_Others!$Z$5:$Z$17,"",0,1))</f>
        <v>35676321</v>
      </c>
      <c r="T75" s="303" t="str">
        <f t="array" ref="T75">if(isblank(E75),"",xlookup($S$9&amp;M75,z_Others!$X$5:$X$17&amp;z_Others!$W$5:$W$17,z_Others!$AH$5:$AH$17,"",0,1))</f>
        <v>35 676321 020000x</v>
      </c>
      <c r="U75" s="303" t="str">
        <f t="array" ref="U75">if(isblank(E75),"",xlookup($S$9&amp;M75,z_Others!$X$5:$X$17&amp;z_Others!$W$5:$W$17,z_Others!$AI$5:$AI$17,"",0,1))</f>
        <v>35 676321 999999x</v>
      </c>
      <c r="V75" s="303" t="str">
        <f t="shared" si="2"/>
        <v>64:9D:38:32:91:82
B0:D5:FB:C6:60:70</v>
      </c>
      <c r="W75" s="303" t="str">
        <f t="shared" si="3"/>
        <v>64:9D:38:37:25:61
B0:D5:FB:CE:01:8F</v>
      </c>
      <c r="X75" s="304" t="str">
        <f t="shared" si="4"/>
        <v>MP1.0</v>
      </c>
      <c r="Y75" s="292"/>
      <c r="Z75" s="304" t="str">
        <f t="shared" si="32"/>
        <v>Android 16</v>
      </c>
      <c r="AA75" s="304" t="str">
        <f t="shared" si="37"/>
        <v>Android 16</v>
      </c>
      <c r="AB75" s="305" t="s">
        <v>794</v>
      </c>
      <c r="AC75" s="305" t="s">
        <v>795</v>
      </c>
      <c r="AD75" s="314" t="s">
        <v>447</v>
      </c>
      <c r="AE75" s="307" t="s">
        <v>418</v>
      </c>
      <c r="AF75" s="308" t="s">
        <v>447</v>
      </c>
      <c r="AG75" s="309" t="s">
        <v>418</v>
      </c>
      <c r="AH75" s="297" t="str">
        <f t="array" ref="AH75">if(isblank(E75),"",xlookup(F75,z_Others!$B$21:$B$45,z_Others!$F$21:$F$45,"TBD",0,1))</f>
        <v>US</v>
      </c>
      <c r="AI75" s="310" t="str">
        <f t="array" ref="AI75">if(isblank(E75),"", xlookup(E75,'Import_FL5_LH_PVTMP_Configs (Do'!E:E,'Import_FL5_LH_PVTMP_Configs (Do'!O:O,"TBD",0,1))</f>
        <v>G710-07800-01</v>
      </c>
      <c r="AJ75" s="311"/>
      <c r="AK75" s="310" t="str">
        <f t="array" ref="AK75">if(isblank(E75),"", xlookup(E75,'Import_FL5_LH_PVTMP_Configs (Do'!E:E,'Import_FL5_LH_PVTMP_Configs (Do'!Q:Q,"TBD",0,1))</f>
        <v>G650-14694-05</v>
      </c>
      <c r="AL75" s="310" t="str">
        <f t="array" ref="AL75">if(isblank(E75),"", xlookup(E75,'Import_FL5_LH_PVTMP_Configs (Do'!E:E,'Import_FL5_LH_PVTMP_Configs (Do'!M:M,"TBD",0,1))</f>
        <v>G710-07670-01</v>
      </c>
      <c r="AM75" s="310" t="str">
        <f t="array" ref="AM75">if(isblank(E75),"", xlookup(E75,'Import_FL5_LH_PVTMP_Configs (Do'!E:E,'Import_FL5_LH_PVTMP_Configs (Do'!N:N,"TBD",0,1))</f>
        <v>G730-09533-04</v>
      </c>
      <c r="AN75" s="310" t="str">
        <f t="array" ref="AN75">if(isblank(E75),"", xlookup(E75,'Import_FL5_LH_PVTMP_Configs (Do'!E:E,'Import_FL5_LH_PVTMP_Configs (Do'!K:K,"TBD",0,1))</f>
        <v>G950-15935-03</v>
      </c>
      <c r="AO75" s="292" t="str">
        <f t="array" ref="AO75">if(isblank(E75),"",XLOOKUP(E75,'FL5_G954 Pkg ASSY (Pkg BOM)'!L:L,'FL5_G954 Pkg ASSY (Pkg BOM)'!G:G,"N/A",0,1))</f>
        <v>G954-09387-00</v>
      </c>
      <c r="AP75" s="292" t="str">
        <f t="array" ref="AP75">if(isblank(E75),"",xlookup(E75,'FL5_G962 Country kit (Accesorie'!L:L,'FL5_G962 Country kit (Accesorie'!G:G,"N/A",0,1))</f>
        <v>N/A</v>
      </c>
      <c r="AQ75" s="304" t="str">
        <f t="array" ref="AQ75">if(isblank(E75),"", xlookup(E75,'Import_LH_Label approve'!E:E,'Import_LH_Label approve'!M:M,"",0,1))</f>
        <v>N/A</v>
      </c>
      <c r="AR75" s="304" t="str">
        <f t="array" ref="AR75">if(isblank(E75),"",xlookup(E75,'Import_LH_Label approve'!E:E,'Import_LH_Label approve'!N:N,"",0,1))</f>
        <v>N/A</v>
      </c>
      <c r="AS75" s="292" t="s">
        <v>419</v>
      </c>
      <c r="AT75" s="302" t="str">
        <f t="shared" si="6"/>
        <v>Yes</v>
      </c>
      <c r="AU75" s="302" t="str">
        <f t="shared" si="7"/>
        <v>No</v>
      </c>
      <c r="AV75" s="302" t="str">
        <f t="shared" si="8"/>
        <v>No</v>
      </c>
      <c r="AW75" s="302" t="s">
        <v>796</v>
      </c>
      <c r="AX75" s="302" t="s">
        <v>796</v>
      </c>
      <c r="AY75" s="302" t="s">
        <v>797</v>
      </c>
      <c r="AZ75" s="312" t="str">
        <f t="array" ref="AZ75">if(isblank(E75),"", xlookup(E75,Import_FL5_LH_PVT_BM!D:D,Import_FL5_LH_PVT_BM!AK:AK,$F$4,0,1))</f>
        <v>MP</v>
      </c>
      <c r="BA75" s="292" t="str">
        <f t="shared" si="9"/>
        <v>Bulk_30ct</v>
      </c>
      <c r="BB75" s="313" t="str">
        <f t="array" ref="BB75">if(isblank(E75),"",xlookup(F75,z_Others!$B$21:$B$42,z_Others!$G$21:$G$42,"No",0,1))</f>
        <v>TMO Master Carton Label</v>
      </c>
      <c r="BC75" s="313" t="str">
        <f t="array" ref="BC75">if(isblank(E75),"",xlookup(F75,z_Others!$B$21:$B$42,z_Others!$H$21:$H$42,"No",0,1))</f>
        <v>T-Mobile Pallet Label (BTO)
T-Mobile Pallet Label (BTS)</v>
      </c>
      <c r="BD75" s="314" t="str">
        <f t="array" ref="BD75">if(isblank(E75),"",xlookup(E75,'Import_VN_Label approve'!E:E,'Import_VN_Label approve'!L:L,"N/A",0,1))</f>
        <v>N/A</v>
      </c>
      <c r="BE75" s="314" t="str">
        <f t="array" ref="BE75">if(isblank(E75),"",xlookup(E75,'Import_VN_Label approve'!E:E,'Import_VN_Label approve'!N:N,"N/A",0,1))</f>
        <v>N/A</v>
      </c>
      <c r="BF75" s="315"/>
      <c r="BG75" s="349" t="s">
        <v>791</v>
      </c>
      <c r="BH75" s="317" t="s">
        <v>792</v>
      </c>
      <c r="BI75" s="318">
        <v>45773.0</v>
      </c>
      <c r="BJ75" s="319" t="str">
        <f t="array" ref="BJ75">if(isblank(E75),"", xlookup(D75,z_Others!$B$5:$B$17,z_Others!$C$5:$C$17,"",0,1))</f>
        <v>智能手機</v>
      </c>
      <c r="BK75" s="320">
        <v>45782.0</v>
      </c>
      <c r="BL75" s="320" t="str">
        <f t="array" ref="BL75">if(isblank(E75),"",xlookup(E75,'FL5_MP POR_LH_報關備案_G950 &amp; GA'!F:F,'FL5_MP POR_LH_報關備案_G950 &amp; GA'!E:E,"No Need",0,1))</f>
        <v>Close</v>
      </c>
      <c r="BM75" s="321" t="str">
        <f t="array" ref="BM75">if(isblank(E75),"",xlookup($BM$9&amp;E75,'Import_FL5 MPS (06.06.25) - Sor'!E71:E334&amp;'Import_FL5 MPS (06.06.25) - Sor'!F71:F334,'Import_FL5 MPS (06.06.25) - Sor'!ES71:ES334,"No demand",0,1))</f>
        <v>No demand</v>
      </c>
      <c r="BN75" s="321" t="str">
        <f t="array" ref="BN75">if(isblank(E75),"",xlookup($BN$9&amp;E75,'Import_FL5 MPS (06.06.25) - Sor'!E71:E334&amp;'Import_FL5 MPS (06.06.25) - Sor'!F71:F334,'Import_FL5 MPS (06.06.25) - Sor'!ES71:ES334,"No demand",0,1))</f>
        <v>No demand</v>
      </c>
      <c r="BO75" s="321" t="str">
        <f t="array" ref="BO75">if(isblank(E75),"",xlookup($BO$9&amp;E75,'Import_FL5 MPS (06.06.25) - Sor'!E71:E334&amp;'Import_FL5 MPS (06.06.25) - Sor'!F71:F334,'Import_FL5 MPS (06.06.25) - Sor'!ES71:ES334,"No demand",0,1))</f>
        <v>No demand</v>
      </c>
      <c r="BP75" s="322" t="str">
        <f t="array" ref="BP75">if(isblank(E75),"", xlookup(E75,'Import_LH_Label approve'!E:E,'Import_LH_Label approve'!L:L,"",0,1))</f>
        <v/>
      </c>
      <c r="BQ75" s="322" t="str">
        <f t="array" ref="BQ75">if(isblank(E75),"",xlookup(E75,'Import_VN_Label approve'!E:E,'Import_VN_Label approve'!M:M,"N/A",0,1))</f>
        <v/>
      </c>
      <c r="BR75" s="313"/>
      <c r="BS75" s="323"/>
      <c r="BT75" s="324"/>
      <c r="BU75" s="91"/>
    </row>
    <row r="76" hidden="1">
      <c r="A76" s="176"/>
      <c r="B76" s="292">
        <v>65.0</v>
      </c>
      <c r="C76" s="231" t="s">
        <v>289</v>
      </c>
      <c r="D76" s="231" t="s">
        <v>764</v>
      </c>
      <c r="E76" s="353" t="s">
        <v>798</v>
      </c>
      <c r="F76" s="323" t="s">
        <v>470</v>
      </c>
      <c r="G76" s="294" t="s">
        <v>471</v>
      </c>
      <c r="H76" s="292" t="str">
        <f t="array" ref="H76">xlookup(F76,z_Others!$B$21:$B$45,z_Others!$E$21:$E$45,"",0,1)</f>
        <v>mmWave</v>
      </c>
      <c r="I76" s="310" t="s">
        <v>412</v>
      </c>
      <c r="J76" s="231" t="str">
        <f t="array" ref="J76">if(isblank(E76),"",xlookup(I76,z_Others!$M$17:$M$20,z_Others!$O$17:$O$20,"",0,1))</f>
        <v>Obsidian</v>
      </c>
      <c r="K76" s="292" t="str">
        <f t="array" ref="K76">xlookup(I76,z_Others!$M$17:$M$20,z_Others!$N$17:$N$20,"",0,1)</f>
        <v>BLK</v>
      </c>
      <c r="L76" s="292" t="str">
        <f t="array" ref="L76">xlookup(F76,z_Others!$B$21:$B$45,z_Others!$D$21:$D$45,"",0,1)</f>
        <v>GLBW0</v>
      </c>
      <c r="M76" s="296" t="str">
        <f t="array" ref="M76">xlookup(F76,z_Others!$B$21:$B$45,z_Others!$C$21:$C$45,"",0,1)</f>
        <v>NA</v>
      </c>
      <c r="N76" s="297">
        <f t="array" ref="N76">if(isblank(E76),"",xlookup($N$9&amp;M76,z_Others!$X$5:$X$17&amp;z_Others!$W$5:$W$17,z_Others!$Z$5:$Z$17,"",0,1))</f>
        <v>35124436</v>
      </c>
      <c r="O76" s="298" t="str">
        <f t="array" ref="O76">if(isblank(E76),"",xlookup($N$9&amp;M76,z_Others!$X$5:$X$17&amp;z_Others!$W$5:$W$17,z_Others!$AH$5:$AH$17,"",0,1))</f>
        <v>35 124436 070000x
</v>
      </c>
      <c r="P76" s="299" t="str">
        <f t="array" ref="P76">if(isblank(E76),"",xlookup($N$9&amp;M76,z_Others!$X$5:$X$17&amp;z_Others!$W$5:$W$17,z_Others!$AI$5:$AI$17,"",0,1))</f>
        <v>35 124436 999999x</v>
      </c>
      <c r="Q76" s="300" t="s">
        <v>413</v>
      </c>
      <c r="R76" s="301" t="s">
        <v>414</v>
      </c>
      <c r="S76" s="302">
        <f t="array" ref="S76">if(isblank(E76),"",xlookup($S$9&amp;M76,z_Others!$X$5:$X$17&amp;z_Others!$W$5:$W$17,z_Others!$Z$5:$Z$17,"",0,1))</f>
        <v>35676628</v>
      </c>
      <c r="T76" s="303" t="str">
        <f t="array" ref="T76">if(isblank(E76),"",xlookup($S$9&amp;M76,z_Others!$X$5:$X$17&amp;z_Others!$W$5:$W$17,z_Others!$AH$5:$AH$17,"",0,1))</f>
        <v>35 676628 040000x
35 676628 340000x</v>
      </c>
      <c r="U76" s="303" t="str">
        <f t="array" ref="U76">if(isblank(E76),"",xlookup($S$9&amp;M76,z_Others!$X$5:$X$17&amp;z_Others!$W$5:$W$17,z_Others!$AI$5:$AI$17,"",0,1))</f>
        <v>35 676628 999999x
35 676628 639999x</v>
      </c>
      <c r="V76" s="303" t="str">
        <f t="shared" si="2"/>
        <v>64:9D:38:32:91:82
B0:D5:FB:C6:60:70</v>
      </c>
      <c r="W76" s="303" t="str">
        <f t="shared" si="3"/>
        <v>64:9D:38:37:25:61
B0:D5:FB:CE:01:8F</v>
      </c>
      <c r="X76" s="304" t="str">
        <f t="shared" si="4"/>
        <v>MP1.0</v>
      </c>
      <c r="Y76" s="292"/>
      <c r="Z76" s="304" t="str">
        <f t="shared" si="32"/>
        <v>Android 16</v>
      </c>
      <c r="AA76" s="304" t="str">
        <f t="shared" si="37"/>
        <v>Android 16</v>
      </c>
      <c r="AB76" s="305" t="s">
        <v>799</v>
      </c>
      <c r="AC76" s="305" t="s">
        <v>800</v>
      </c>
      <c r="AD76" s="314" t="s">
        <v>447</v>
      </c>
      <c r="AE76" s="307" t="s">
        <v>418</v>
      </c>
      <c r="AF76" s="308" t="s">
        <v>447</v>
      </c>
      <c r="AG76" s="309" t="s">
        <v>418</v>
      </c>
      <c r="AH76" s="297" t="str">
        <f t="array" ref="AH76">if(isblank(E76),"",xlookup(F76,z_Others!$B$21:$B$45,z_Others!$F$21:$F$45,"TBD",0,1))</f>
        <v>00</v>
      </c>
      <c r="AI76" s="310" t="str">
        <f t="array" ref="AI76">if(isblank(E76),"", xlookup(E76,'Import_FL5_LH_PVTMP_Configs (Do'!E:E,'Import_FL5_LH_PVTMP_Configs (Do'!O:O,"TBD",0,1))</f>
        <v>G710-07800-01</v>
      </c>
      <c r="AJ76" s="311"/>
      <c r="AK76" s="310" t="str">
        <f t="array" ref="AK76">if(isblank(E76),"", xlookup(E76,'Import_FL5_LH_PVTMP_Configs (Do'!E:E,'Import_FL5_LH_PVTMP_Configs (Do'!Q:Q,"TBD",0,1))</f>
        <v>G650-14694-05</v>
      </c>
      <c r="AL76" s="310" t="str">
        <f t="array" ref="AL76">if(isblank(E76),"", xlookup(E76,'Import_FL5_LH_PVTMP_Configs (Do'!E:E,'Import_FL5_LH_PVTMP_Configs (Do'!M:M,"TBD",0,1))</f>
        <v>G710-07670-01</v>
      </c>
      <c r="AM76" s="310" t="str">
        <f t="array" ref="AM76">if(isblank(E76),"", xlookup(E76,'Import_FL5_LH_PVTMP_Configs (Do'!E:E,'Import_FL5_LH_PVTMP_Configs (Do'!N:N,"TBD",0,1))</f>
        <v>G730-09533-01</v>
      </c>
      <c r="AN76" s="310" t="str">
        <f t="array" ref="AN76">if(isblank(E76),"", xlookup(E76,'Import_FL5_LH_PVTMP_Configs (Do'!E:E,'Import_FL5_LH_PVTMP_Configs (Do'!K:K,"TBD",0,1))</f>
        <v>G950-15935-00</v>
      </c>
      <c r="AO76" s="292" t="str">
        <f t="array" ref="AO76">if(isblank(E76),"",XLOOKUP(E76,'FL5_G954 Pkg ASSY (Pkg BOM)'!L:L,'FL5_G954 Pkg ASSY (Pkg BOM)'!G:G,"N/A",0,1))</f>
        <v>G954-09389-00</v>
      </c>
      <c r="AP76" s="292" t="str">
        <f t="array" ref="AP76">if(isblank(E76),"",xlookup(E76,'FL5_G962 Country kit (Accesorie'!L:L,'FL5_G962 Country kit (Accesorie'!G:G,"N/A",0,1))</f>
        <v>N/A</v>
      </c>
      <c r="AQ76" s="304" t="str">
        <f t="array" ref="AQ76">if(isblank(E76),"", xlookup(E76,'Import_LH_Label approve'!E:E,'Import_LH_Label approve'!M:M,"",0,1))</f>
        <v>N/A</v>
      </c>
      <c r="AR76" s="304" t="str">
        <f t="array" ref="AR76">if(isblank(E76),"",xlookup(E76,'Import_LH_Label approve'!E:E,'Import_LH_Label approve'!N:N,"",0,1))</f>
        <v>N/A</v>
      </c>
      <c r="AS76" s="292" t="s">
        <v>419</v>
      </c>
      <c r="AT76" s="302" t="str">
        <f t="shared" si="6"/>
        <v>Yes</v>
      </c>
      <c r="AU76" s="302" t="str">
        <f t="shared" si="7"/>
        <v>No</v>
      </c>
      <c r="AV76" s="302" t="str">
        <f t="shared" si="8"/>
        <v>No</v>
      </c>
      <c r="AW76" s="302"/>
      <c r="AX76" s="302" t="s">
        <v>801</v>
      </c>
      <c r="AY76" s="302" t="s">
        <v>802</v>
      </c>
      <c r="AZ76" s="312" t="str">
        <f t="array" ref="AZ76">if(isblank(E76),"", xlookup(E76,Import_FL5_LH_PVT_BM!D:D,Import_FL5_LH_PVT_BM!AK:AK,$F$4,0,1))</f>
        <v>MP</v>
      </c>
      <c r="BA76" s="292" t="str">
        <f t="shared" si="9"/>
        <v>Bulk_30ct</v>
      </c>
      <c r="BB76" s="313" t="str">
        <f t="array" ref="BB76">if(isblank(E76),"",xlookup(F76,z_Others!$B$21:$B$42,z_Others!$G$21:$G$42,"No",0,1))</f>
        <v>ROW Master Carton Label (UPC)</v>
      </c>
      <c r="BC76" s="313" t="str">
        <f t="array" ref="BC76">if(isblank(E76),"",xlookup(F76,z_Others!$B$21:$B$42,z_Others!$H$21:$H$42,"No",0,1))</f>
        <v>Standard Pallet Label (BTO)
Standard Pallet Label (BTS)</v>
      </c>
      <c r="BD76" s="314" t="str">
        <f t="array" ref="BD76">if(isblank(E76),"",xlookup(E76,'Import_VN_Label approve'!E:E,'Import_VN_Label approve'!L:L,"N/A",0,1))</f>
        <v>N/A</v>
      </c>
      <c r="BE76" s="314" t="str">
        <f t="array" ref="BE76">if(isblank(E76),"",xlookup(E76,'Import_VN_Label approve'!E:E,'Import_VN_Label approve'!N:N,"N/A",0,1))</f>
        <v>N/A</v>
      </c>
      <c r="BF76" s="315"/>
      <c r="BG76" s="349" t="s">
        <v>791</v>
      </c>
      <c r="BH76" s="317" t="s">
        <v>792</v>
      </c>
      <c r="BI76" s="318">
        <v>45773.0</v>
      </c>
      <c r="BJ76" s="319" t="str">
        <f t="array" ref="BJ76">if(isblank(E76),"", xlookup(D76,z_Others!$B$5:$B$17,z_Others!$C$5:$C$17,"",0,1))</f>
        <v>智能手機</v>
      </c>
      <c r="BK76" s="320">
        <v>45782.0</v>
      </c>
      <c r="BL76" s="320" t="str">
        <f t="array" ref="BL76">if(isblank(E76),"",xlookup(E76,'FL5_MP POR_LH_報關備案_G950 &amp; GA'!F:F,'FL5_MP POR_LH_報關備案_G950 &amp; GA'!E:E,"No Need",0,1))</f>
        <v>Close</v>
      </c>
      <c r="BM76" s="321" t="str">
        <f t="array" ref="BM76">if(isblank(E76),"",xlookup($BM$9&amp;E76,'Import_FL5 MPS (06.06.25) - Sor'!E72:E334&amp;'Import_FL5 MPS (06.06.25) - Sor'!F72:F334,'Import_FL5 MPS (06.06.25) - Sor'!ES72:ES334,"No demand",0,1))</f>
        <v>No demand</v>
      </c>
      <c r="BN76" s="321" t="str">
        <f t="array" ref="BN76">if(isblank(E76),"",xlookup($BN$9&amp;E76,'Import_FL5 MPS (06.06.25) - Sor'!E72:E334&amp;'Import_FL5 MPS (06.06.25) - Sor'!F72:F334,'Import_FL5 MPS (06.06.25) - Sor'!ES72:ES334,"No demand",0,1))</f>
        <v>No demand</v>
      </c>
      <c r="BO76" s="321" t="str">
        <f t="array" ref="BO76">if(isblank(E76),"",xlookup($BO$9&amp;E76,'Import_FL5 MPS (06.06.25) - Sor'!E72:E334&amp;'Import_FL5 MPS (06.06.25) - Sor'!F72:F334,'Import_FL5 MPS (06.06.25) - Sor'!ES72:ES334,"No demand",0,1))</f>
        <v>No demand</v>
      </c>
      <c r="BP76" s="322" t="str">
        <f t="array" ref="BP76">if(isblank(E76),"", xlookup(E76,'Import_LH_Label approve'!E:E,'Import_LH_Label approve'!L:L,"",0,1))</f>
        <v>NA</v>
      </c>
      <c r="BQ76" s="322" t="str">
        <f t="array" ref="BQ76">if(isblank(E76),"",xlookup(E76,'Import_VN_Label approve'!E:E,'Import_VN_Label approve'!M:M,"N/A",0,1))</f>
        <v>N/A</v>
      </c>
      <c r="BR76" s="325"/>
      <c r="BS76" s="323"/>
      <c r="BT76" s="324"/>
      <c r="BU76" s="117"/>
    </row>
    <row r="77" hidden="1">
      <c r="A77" s="176"/>
      <c r="B77" s="292">
        <v>66.0</v>
      </c>
      <c r="C77" s="231" t="s">
        <v>289</v>
      </c>
      <c r="D77" s="231" t="s">
        <v>764</v>
      </c>
      <c r="E77" s="351" t="s">
        <v>803</v>
      </c>
      <c r="F77" s="323" t="s">
        <v>470</v>
      </c>
      <c r="G77" s="294" t="s">
        <v>471</v>
      </c>
      <c r="H77" s="292" t="str">
        <f t="array" ref="H77">xlookup(F77,z_Others!$B$21:$B$45,z_Others!$E$21:$E$45,"",0,1)</f>
        <v>mmWave</v>
      </c>
      <c r="I77" s="310" t="s">
        <v>425</v>
      </c>
      <c r="J77" s="231" t="str">
        <f t="array" ref="J77">if(isblank(E77),"",xlookup(I77,z_Others!$M$17:$M$20,z_Others!$O$17:$O$20,"",0,1))</f>
        <v>Frost</v>
      </c>
      <c r="K77" s="292" t="str">
        <f t="array" ref="K77">xlookup(I77,z_Others!$M$17:$M$20,z_Others!$N$17:$N$20,"",0,1)</f>
        <v>PPL</v>
      </c>
      <c r="L77" s="292" t="str">
        <f t="array" ref="L77">xlookup(F77,z_Others!$B$21:$B$45,z_Others!$D$21:$D$45,"",0,1)</f>
        <v>GLBW0</v>
      </c>
      <c r="M77" s="296" t="str">
        <f t="array" ref="M77">xlookup(F77,z_Others!$B$21:$B$45,z_Others!$C$21:$C$45,"",0,1)</f>
        <v>NA</v>
      </c>
      <c r="N77" s="297">
        <f t="array" ref="N77">if(isblank(E77),"",xlookup($N$9&amp;M77,z_Others!$X$5:$X$17&amp;z_Others!$W$5:$W$17,z_Others!$Z$5:$Z$17,"",0,1))</f>
        <v>35124436</v>
      </c>
      <c r="O77" s="298" t="str">
        <f t="array" ref="O77">if(isblank(E77),"",xlookup($N$9&amp;M77,z_Others!$X$5:$X$17&amp;z_Others!$W$5:$W$17,z_Others!$AH$5:$AH$17,"",0,1))</f>
        <v>35 124436 070000x
</v>
      </c>
      <c r="P77" s="299" t="str">
        <f t="array" ref="P77">if(isblank(E77),"",xlookup($N$9&amp;M77,z_Others!$X$5:$X$17&amp;z_Others!$W$5:$W$17,z_Others!$AI$5:$AI$17,"",0,1))</f>
        <v>35 124436 999999x</v>
      </c>
      <c r="Q77" s="300" t="s">
        <v>413</v>
      </c>
      <c r="R77" s="301" t="s">
        <v>414</v>
      </c>
      <c r="S77" s="302">
        <f t="array" ref="S77">if(isblank(E77),"",xlookup($S$9&amp;M77,z_Others!$X$5:$X$17&amp;z_Others!$W$5:$W$17,z_Others!$Z$5:$Z$17,"",0,1))</f>
        <v>35676628</v>
      </c>
      <c r="T77" s="303" t="str">
        <f t="array" ref="T77">if(isblank(E77),"",xlookup($S$9&amp;M77,z_Others!$X$5:$X$17&amp;z_Others!$W$5:$W$17,z_Others!$AH$5:$AH$17,"",0,1))</f>
        <v>35 676628 040000x
35 676628 340000x</v>
      </c>
      <c r="U77" s="303" t="str">
        <f t="array" ref="U77">if(isblank(E77),"",xlookup($S$9&amp;M77,z_Others!$X$5:$X$17&amp;z_Others!$W$5:$W$17,z_Others!$AI$5:$AI$17,"",0,1))</f>
        <v>35 676628 999999x
35 676628 639999x</v>
      </c>
      <c r="V77" s="303" t="str">
        <f t="shared" si="2"/>
        <v>64:9D:38:32:91:82
B0:D5:FB:C6:60:70</v>
      </c>
      <c r="W77" s="303" t="str">
        <f t="shared" si="3"/>
        <v>64:9D:38:37:25:61
B0:D5:FB:CE:01:8F</v>
      </c>
      <c r="X77" s="304" t="str">
        <f t="shared" si="4"/>
        <v>MP1.0</v>
      </c>
      <c r="Y77" s="292"/>
      <c r="Z77" s="304" t="str">
        <f t="shared" si="32"/>
        <v>Android 16</v>
      </c>
      <c r="AA77" s="304" t="str">
        <f t="shared" si="37"/>
        <v>Android 16</v>
      </c>
      <c r="AB77" s="305" t="s">
        <v>804</v>
      </c>
      <c r="AC77" s="348" t="s">
        <v>804</v>
      </c>
      <c r="AD77" s="314" t="s">
        <v>447</v>
      </c>
      <c r="AE77" s="307" t="s">
        <v>418</v>
      </c>
      <c r="AF77" s="308" t="s">
        <v>447</v>
      </c>
      <c r="AG77" s="309" t="s">
        <v>418</v>
      </c>
      <c r="AH77" s="297" t="str">
        <f t="array" ref="AH77">if(isblank(E77),"",xlookup(F77,z_Others!$B$21:$B$45,z_Others!$F$21:$F$45,"TBD",0,1))</f>
        <v>00</v>
      </c>
      <c r="AI77" s="310" t="str">
        <f t="array" ref="AI77">if(isblank(E77),"", xlookup(E77,'Import_FL5_LH_PVTMP_Configs (Do'!E:E,'Import_FL5_LH_PVTMP_Configs (Do'!O:O,"TBD",0,1))</f>
        <v>G710-07800-01</v>
      </c>
      <c r="AJ77" s="311"/>
      <c r="AK77" s="310" t="str">
        <f t="array" ref="AK77">if(isblank(E77),"", xlookup(E77,'Import_FL5_LH_PVTMP_Configs (Do'!E:E,'Import_FL5_LH_PVTMP_Configs (Do'!Q:Q,"TBD",0,1))</f>
        <v>G650-14694-05</v>
      </c>
      <c r="AL77" s="310" t="str">
        <f t="array" ref="AL77">if(isblank(E77),"", xlookup(E77,'Import_FL5_LH_PVTMP_Configs (Do'!E:E,'Import_FL5_LH_PVTMP_Configs (Do'!M:M,"TBD",0,1))</f>
        <v>G710-07670-01</v>
      </c>
      <c r="AM77" s="310" t="str">
        <f t="array" ref="AM77">if(isblank(E77),"", xlookup(E77,'Import_FL5_LH_PVTMP_Configs (Do'!E:E,'Import_FL5_LH_PVTMP_Configs (Do'!N:N,"TBD",0,1))</f>
        <v>G730-09533-02</v>
      </c>
      <c r="AN77" s="310" t="str">
        <f t="array" ref="AN77">if(isblank(E77),"", xlookup(E77,'Import_FL5_LH_PVTMP_Configs (Do'!E:E,'Import_FL5_LH_PVTMP_Configs (Do'!K:K,"TBD",0,1))</f>
        <v>G950-15935-01</v>
      </c>
      <c r="AO77" s="292" t="str">
        <f t="array" ref="AO77">if(isblank(E77),"",XLOOKUP(E77,'FL5_G954 Pkg ASSY (Pkg BOM)'!L:L,'FL5_G954 Pkg ASSY (Pkg BOM)'!G:G,"N/A",0,1))</f>
        <v>G954-09389-00</v>
      </c>
      <c r="AP77" s="292" t="str">
        <f t="array" ref="AP77">if(isblank(E77),"",xlookup(E77,'FL5_G962 Country kit (Accesorie'!L:L,'FL5_G962 Country kit (Accesorie'!G:G,"N/A",0,1))</f>
        <v>N/A</v>
      </c>
      <c r="AQ77" s="304" t="str">
        <f t="array" ref="AQ77">if(isblank(E77),"", xlookup(E77,'Import_LH_Label approve'!E:E,'Import_LH_Label approve'!M:M,"",0,1))</f>
        <v>N/A</v>
      </c>
      <c r="AR77" s="304" t="str">
        <f t="array" ref="AR77">if(isblank(E77),"",xlookup(E77,'Import_LH_Label approve'!E:E,'Import_LH_Label approve'!N:N,"",0,1))</f>
        <v>N/A</v>
      </c>
      <c r="AS77" s="292" t="s">
        <v>419</v>
      </c>
      <c r="AT77" s="302" t="str">
        <f t="shared" si="6"/>
        <v>Yes</v>
      </c>
      <c r="AU77" s="302" t="str">
        <f t="shared" si="7"/>
        <v>No</v>
      </c>
      <c r="AV77" s="302" t="str">
        <f t="shared" si="8"/>
        <v>No</v>
      </c>
      <c r="AW77" s="302"/>
      <c r="AX77" s="302" t="s">
        <v>805</v>
      </c>
      <c r="AY77" s="302" t="s">
        <v>806</v>
      </c>
      <c r="AZ77" s="312" t="str">
        <f t="array" ref="AZ77">if(isblank(E77),"", xlookup(E77,Import_FL5_LH_PVT_BM!D:D,Import_FL5_LH_PVT_BM!AK:AK,$F$4,0,1))</f>
        <v>MP</v>
      </c>
      <c r="BA77" s="292" t="str">
        <f t="shared" si="9"/>
        <v>Bulk_30ct</v>
      </c>
      <c r="BB77" s="313" t="str">
        <f t="array" ref="BB77">if(isblank(E77),"",xlookup(F77,z_Others!$B$21:$B$42,z_Others!$G$21:$G$42,"No",0,1))</f>
        <v>ROW Master Carton Label (UPC)</v>
      </c>
      <c r="BC77" s="313" t="str">
        <f t="array" ref="BC77">if(isblank(E77),"",xlookup(F77,z_Others!$B$21:$B$42,z_Others!$H$21:$H$42,"No",0,1))</f>
        <v>Standard Pallet Label (BTO)
Standard Pallet Label (BTS)</v>
      </c>
      <c r="BD77" s="314" t="str">
        <f t="array" ref="BD77">if(isblank(E77),"",xlookup(E77,'Import_VN_Label approve'!E:E,'Import_VN_Label approve'!L:L,"N/A",0,1))</f>
        <v>N/A</v>
      </c>
      <c r="BE77" s="314" t="str">
        <f t="array" ref="BE77">if(isblank(E77),"",xlookup(E77,'Import_VN_Label approve'!E:E,'Import_VN_Label approve'!N:N,"N/A",0,1))</f>
        <v>N/A</v>
      </c>
      <c r="BF77" s="315"/>
      <c r="BG77" s="349" t="s">
        <v>791</v>
      </c>
      <c r="BH77" s="317" t="s">
        <v>792</v>
      </c>
      <c r="BI77" s="318">
        <v>45773.0</v>
      </c>
      <c r="BJ77" s="319" t="str">
        <f t="array" ref="BJ77">if(isblank(E77),"", xlookup(D77,z_Others!$B$5:$B$17,z_Others!$C$5:$C$17,"",0,1))</f>
        <v>智能手機</v>
      </c>
      <c r="BK77" s="320">
        <v>45782.0</v>
      </c>
      <c r="BL77" s="320" t="str">
        <f t="array" ref="BL77">if(isblank(E77),"",xlookup(E77,'FL5_MP POR_LH_報關備案_G950 &amp; GA'!F:F,'FL5_MP POR_LH_報關備案_G950 &amp; GA'!E:E,"No Need",0,1))</f>
        <v>Close</v>
      </c>
      <c r="BM77" s="321" t="str">
        <f t="array" ref="BM77">if(isblank(E77),"",xlookup($BM$9&amp;E77,'Import_FL5 MPS (06.06.25) - Sor'!E73:E334&amp;'Import_FL5 MPS (06.06.25) - Sor'!F73:F334,'Import_FL5 MPS (06.06.25) - Sor'!ES73:ES334,"No demand",0,1))</f>
        <v>No demand</v>
      </c>
      <c r="BN77" s="321" t="str">
        <f t="array" ref="BN77">if(isblank(E77),"",xlookup($BN$9&amp;E77,'Import_FL5 MPS (06.06.25) - Sor'!E73:E334&amp;'Import_FL5 MPS (06.06.25) - Sor'!F73:F334,'Import_FL5 MPS (06.06.25) - Sor'!ES73:ES334,"No demand",0,1))</f>
        <v>No demand</v>
      </c>
      <c r="BO77" s="321" t="str">
        <f t="array" ref="BO77">if(isblank(E77),"",xlookup($BO$9&amp;E77,'Import_FL5 MPS (06.06.25) - Sor'!E73:E334&amp;'Import_FL5 MPS (06.06.25) - Sor'!F73:F334,'Import_FL5 MPS (06.06.25) - Sor'!ES73:ES334,"No demand",0,1))</f>
        <v>No demand</v>
      </c>
      <c r="BP77" s="322" t="str">
        <f t="array" ref="BP77">if(isblank(E77),"", xlookup(E77,'Import_LH_Label approve'!E:E,'Import_LH_Label approve'!L:L,"",0,1))</f>
        <v>NA</v>
      </c>
      <c r="BQ77" s="322" t="str">
        <f t="array" ref="BQ77">if(isblank(E77),"",xlookup(E77,'Import_VN_Label approve'!E:E,'Import_VN_Label approve'!M:M,"N/A",0,1))</f>
        <v>N/A</v>
      </c>
      <c r="BR77" s="325"/>
      <c r="BS77" s="323"/>
      <c r="BT77" s="324"/>
      <c r="BU77" s="117"/>
    </row>
    <row r="78" hidden="1">
      <c r="A78" s="176"/>
      <c r="B78" s="292">
        <v>67.0</v>
      </c>
      <c r="C78" s="231" t="s">
        <v>289</v>
      </c>
      <c r="D78" s="231" t="s">
        <v>764</v>
      </c>
      <c r="E78" s="351" t="s">
        <v>807</v>
      </c>
      <c r="F78" s="323" t="s">
        <v>470</v>
      </c>
      <c r="G78" s="294" t="s">
        <v>471</v>
      </c>
      <c r="H78" s="292" t="str">
        <f t="array" ref="H78">xlookup(F78,z_Others!$B$21:$B$45,z_Others!$E$21:$E$45,"",0,1)</f>
        <v>mmWave</v>
      </c>
      <c r="I78" s="310" t="s">
        <v>431</v>
      </c>
      <c r="J78" s="231" t="str">
        <f t="array" ref="J78">if(isblank(E78),"",xlookup(I78,z_Others!$M$17:$M$20,z_Others!$O$17:$O$20,"",0,1))</f>
        <v>Lemongrass</v>
      </c>
      <c r="K78" s="292" t="str">
        <f t="array" ref="K78">xlookup(I78,z_Others!$M$17:$M$20,z_Others!$N$17:$N$20,"",0,1)</f>
        <v>YEL</v>
      </c>
      <c r="L78" s="292" t="str">
        <f t="array" ref="L78">xlookup(F78,z_Others!$B$21:$B$45,z_Others!$D$21:$D$45,"",0,1)</f>
        <v>GLBW0</v>
      </c>
      <c r="M78" s="296" t="str">
        <f t="array" ref="M78">xlookup(F78,z_Others!$B$21:$B$45,z_Others!$C$21:$C$45,"",0,1)</f>
        <v>NA</v>
      </c>
      <c r="N78" s="297">
        <f t="array" ref="N78">if(isblank(E78),"",xlookup($N$9&amp;M78,z_Others!$X$5:$X$17&amp;z_Others!$W$5:$W$17,z_Others!$Z$5:$Z$17,"",0,1))</f>
        <v>35124436</v>
      </c>
      <c r="O78" s="298" t="str">
        <f t="array" ref="O78">if(isblank(E78),"",xlookup($N$9&amp;M78,z_Others!$X$5:$X$17&amp;z_Others!$W$5:$W$17,z_Others!$AH$5:$AH$17,"",0,1))</f>
        <v>35 124436 070000x
</v>
      </c>
      <c r="P78" s="299" t="str">
        <f t="array" ref="P78">if(isblank(E78),"",xlookup($N$9&amp;M78,z_Others!$X$5:$X$17&amp;z_Others!$W$5:$W$17,z_Others!$AI$5:$AI$17,"",0,1))</f>
        <v>35 124436 999999x</v>
      </c>
      <c r="Q78" s="300" t="s">
        <v>413</v>
      </c>
      <c r="R78" s="301" t="s">
        <v>414</v>
      </c>
      <c r="S78" s="302">
        <f t="array" ref="S78">if(isblank(E78),"",xlookup($S$9&amp;M78,z_Others!$X$5:$X$17&amp;z_Others!$W$5:$W$17,z_Others!$Z$5:$Z$17,"",0,1))</f>
        <v>35676628</v>
      </c>
      <c r="T78" s="303" t="str">
        <f t="array" ref="T78">if(isblank(E78),"",xlookup($S$9&amp;M78,z_Others!$X$5:$X$17&amp;z_Others!$W$5:$W$17,z_Others!$AH$5:$AH$17,"",0,1))</f>
        <v>35 676628 040000x
35 676628 340000x</v>
      </c>
      <c r="U78" s="303" t="str">
        <f t="array" ref="U78">if(isblank(E78),"",xlookup($S$9&amp;M78,z_Others!$X$5:$X$17&amp;z_Others!$W$5:$W$17,z_Others!$AI$5:$AI$17,"",0,1))</f>
        <v>35 676628 999999x
35 676628 639999x</v>
      </c>
      <c r="V78" s="303" t="str">
        <f t="shared" si="2"/>
        <v>64:9D:38:32:91:82
B0:D5:FB:C6:60:70</v>
      </c>
      <c r="W78" s="303" t="str">
        <f t="shared" si="3"/>
        <v>64:9D:38:37:25:61
B0:D5:FB:CE:01:8F</v>
      </c>
      <c r="X78" s="304" t="str">
        <f t="shared" si="4"/>
        <v>MP1.0</v>
      </c>
      <c r="Y78" s="292"/>
      <c r="Z78" s="304" t="str">
        <f t="shared" si="32"/>
        <v>Android 16</v>
      </c>
      <c r="AA78" s="304" t="str">
        <f t="shared" si="37"/>
        <v>Android 16</v>
      </c>
      <c r="AB78" s="305" t="s">
        <v>808</v>
      </c>
      <c r="AC78" s="305" t="s">
        <v>809</v>
      </c>
      <c r="AD78" s="314" t="s">
        <v>447</v>
      </c>
      <c r="AE78" s="307" t="s">
        <v>418</v>
      </c>
      <c r="AF78" s="308" t="s">
        <v>447</v>
      </c>
      <c r="AG78" s="309" t="s">
        <v>418</v>
      </c>
      <c r="AH78" s="297" t="str">
        <f t="array" ref="AH78">if(isblank(E78),"",xlookup(F78,z_Others!$B$21:$B$45,z_Others!$F$21:$F$45,"TBD",0,1))</f>
        <v>00</v>
      </c>
      <c r="AI78" s="310" t="str">
        <f t="array" ref="AI78">if(isblank(E78),"", xlookup(E78,'Import_FL5_LH_PVTMP_Configs (Do'!E:E,'Import_FL5_LH_PVTMP_Configs (Do'!O:O,"TBD",0,1))</f>
        <v>G710-07800-01</v>
      </c>
      <c r="AJ78" s="311"/>
      <c r="AK78" s="310" t="str">
        <f t="array" ref="AK78">if(isblank(E78),"", xlookup(E78,'Import_FL5_LH_PVTMP_Configs (Do'!E:E,'Import_FL5_LH_PVTMP_Configs (Do'!Q:Q,"TBD",0,1))</f>
        <v>G650-14694-05</v>
      </c>
      <c r="AL78" s="310" t="str">
        <f t="array" ref="AL78">if(isblank(E78),"", xlookup(E78,'Import_FL5_LH_PVTMP_Configs (Do'!E:E,'Import_FL5_LH_PVTMP_Configs (Do'!M:M,"TBD",0,1))</f>
        <v>G710-07670-01</v>
      </c>
      <c r="AM78" s="310" t="str">
        <f t="array" ref="AM78">if(isblank(E78),"", xlookup(E78,'Import_FL5_LH_PVTMP_Configs (Do'!E:E,'Import_FL5_LH_PVTMP_Configs (Do'!N:N,"TBD",0,1))</f>
        <v>G730-09533-03</v>
      </c>
      <c r="AN78" s="310" t="str">
        <f t="array" ref="AN78">if(isblank(E78),"", xlookup(E78,'Import_FL5_LH_PVTMP_Configs (Do'!E:E,'Import_FL5_LH_PVTMP_Configs (Do'!K:K,"TBD",0,1))</f>
        <v>G950-15935-02</v>
      </c>
      <c r="AO78" s="292" t="str">
        <f t="array" ref="AO78">if(isblank(E78),"",XLOOKUP(E78,'FL5_G954 Pkg ASSY (Pkg BOM)'!L:L,'FL5_G954 Pkg ASSY (Pkg BOM)'!G:G,"N/A",0,1))</f>
        <v>G954-09389-00</v>
      </c>
      <c r="AP78" s="292" t="str">
        <f t="array" ref="AP78">if(isblank(E78),"",xlookup(E78,'FL5_G962 Country kit (Accesorie'!L:L,'FL5_G962 Country kit (Accesorie'!G:G,"N/A",0,1))</f>
        <v>N/A</v>
      </c>
      <c r="AQ78" s="304" t="str">
        <f t="array" ref="AQ78">if(isblank(E78),"", xlookup(E78,'Import_LH_Label approve'!E:E,'Import_LH_Label approve'!M:M,"",0,1))</f>
        <v>N/A</v>
      </c>
      <c r="AR78" s="304" t="str">
        <f t="array" ref="AR78">if(isblank(E78),"",xlookup(E78,'Import_LH_Label approve'!E:E,'Import_LH_Label approve'!N:N,"",0,1))</f>
        <v>N/A</v>
      </c>
      <c r="AS78" s="292" t="s">
        <v>419</v>
      </c>
      <c r="AT78" s="302" t="str">
        <f t="shared" si="6"/>
        <v>Yes</v>
      </c>
      <c r="AU78" s="302" t="str">
        <f t="shared" si="7"/>
        <v>No</v>
      </c>
      <c r="AV78" s="302" t="str">
        <f t="shared" si="8"/>
        <v>No</v>
      </c>
      <c r="AW78" s="302"/>
      <c r="AX78" s="302" t="s">
        <v>810</v>
      </c>
      <c r="AY78" s="302" t="s">
        <v>811</v>
      </c>
      <c r="AZ78" s="312" t="str">
        <f t="array" ref="AZ78">if(isblank(E78),"", xlookup(E78,Import_FL5_LH_PVT_BM!D:D,Import_FL5_LH_PVT_BM!AK:AK,$F$4,0,1))</f>
        <v>MP</v>
      </c>
      <c r="BA78" s="292" t="str">
        <f t="shared" si="9"/>
        <v>Bulk_30ct</v>
      </c>
      <c r="BB78" s="313" t="str">
        <f t="array" ref="BB78">if(isblank(E78),"",xlookup(F78,z_Others!$B$21:$B$42,z_Others!$G$21:$G$42,"No",0,1))</f>
        <v>ROW Master Carton Label (UPC)</v>
      </c>
      <c r="BC78" s="313" t="str">
        <f t="array" ref="BC78">if(isblank(E78),"",xlookup(F78,z_Others!$B$21:$B$42,z_Others!$H$21:$H$42,"No",0,1))</f>
        <v>Standard Pallet Label (BTO)
Standard Pallet Label (BTS)</v>
      </c>
      <c r="BD78" s="314" t="str">
        <f t="array" ref="BD78">if(isblank(E78),"",xlookup(E78,'Import_VN_Label approve'!E:E,'Import_VN_Label approve'!L:L,"N/A",0,1))</f>
        <v>N/A</v>
      </c>
      <c r="BE78" s="314" t="str">
        <f t="array" ref="BE78">if(isblank(E78),"",xlookup(E78,'Import_VN_Label approve'!E:E,'Import_VN_Label approve'!N:N,"N/A",0,1))</f>
        <v>N/A</v>
      </c>
      <c r="BF78" s="315"/>
      <c r="BG78" s="349" t="s">
        <v>791</v>
      </c>
      <c r="BH78" s="317" t="s">
        <v>792</v>
      </c>
      <c r="BI78" s="318">
        <v>45773.0</v>
      </c>
      <c r="BJ78" s="319" t="str">
        <f t="array" ref="BJ78">if(isblank(E78),"", xlookup(D78,z_Others!$B$5:$B$17,z_Others!$C$5:$C$17,"",0,1))</f>
        <v>智能手機</v>
      </c>
      <c r="BK78" s="320">
        <v>45782.0</v>
      </c>
      <c r="BL78" s="320" t="str">
        <f t="array" ref="BL78">if(isblank(E78),"",xlookup(E78,'FL5_MP POR_LH_報關備案_G950 &amp; GA'!F:F,'FL5_MP POR_LH_報關備案_G950 &amp; GA'!E:E,"No Need",0,1))</f>
        <v>Close</v>
      </c>
      <c r="BM78" s="321" t="str">
        <f t="array" ref="BM78">if(isblank(E78),"",xlookup($BM$9&amp;E78,'Import_FL5 MPS (06.06.25) - Sor'!E74:E334&amp;'Import_FL5 MPS (06.06.25) - Sor'!F74:F334,'Import_FL5 MPS (06.06.25) - Sor'!ES74:ES334,"No demand",0,1))</f>
        <v>No demand</v>
      </c>
      <c r="BN78" s="321" t="str">
        <f t="array" ref="BN78">if(isblank(E78),"",xlookup($BN$9&amp;E78,'Import_FL5 MPS (06.06.25) - Sor'!E74:E334&amp;'Import_FL5 MPS (06.06.25) - Sor'!F74:F334,'Import_FL5 MPS (06.06.25) - Sor'!ES74:ES334,"No demand",0,1))</f>
        <v>No demand</v>
      </c>
      <c r="BO78" s="321" t="str">
        <f t="array" ref="BO78">if(isblank(E78),"",xlookup($BO$9&amp;E78,'Import_FL5 MPS (06.06.25) - Sor'!E74:E334&amp;'Import_FL5 MPS (06.06.25) - Sor'!F74:F334,'Import_FL5 MPS (06.06.25) - Sor'!ES74:ES334,"No demand",0,1))</f>
        <v>No demand</v>
      </c>
      <c r="BP78" s="322" t="str">
        <f t="array" ref="BP78">if(isblank(E78),"", xlookup(E78,'Import_LH_Label approve'!E:E,'Import_LH_Label approve'!L:L,"",0,1))</f>
        <v>NA</v>
      </c>
      <c r="BQ78" s="322" t="str">
        <f t="array" ref="BQ78">if(isblank(E78),"",xlookup(E78,'Import_VN_Label approve'!E:E,'Import_VN_Label approve'!M:M,"N/A",0,1))</f>
        <v>N/A</v>
      </c>
      <c r="BR78" s="325"/>
      <c r="BS78" s="323"/>
      <c r="BT78" s="324"/>
      <c r="BU78" s="117"/>
    </row>
    <row r="79" hidden="1">
      <c r="A79" s="176"/>
      <c r="B79" s="292">
        <v>68.0</v>
      </c>
      <c r="C79" s="231" t="s">
        <v>289</v>
      </c>
      <c r="D79" s="231" t="s">
        <v>764</v>
      </c>
      <c r="E79" s="351" t="s">
        <v>812</v>
      </c>
      <c r="F79" s="323" t="s">
        <v>470</v>
      </c>
      <c r="G79" s="294" t="s">
        <v>471</v>
      </c>
      <c r="H79" s="292" t="str">
        <f t="array" ref="H79">xlookup(F79,z_Others!$B$21:$B$45,z_Others!$E$21:$E$45,"",0,1)</f>
        <v>mmWave</v>
      </c>
      <c r="I79" s="310" t="s">
        <v>437</v>
      </c>
      <c r="J79" s="231" t="str">
        <f t="array" ref="J79">if(isblank(E79),"",xlookup(I79,z_Others!$M$17:$M$20,z_Others!$O$17:$O$20,"",0,1))</f>
        <v>Indigo</v>
      </c>
      <c r="K79" s="292" t="str">
        <f t="array" ref="K79">xlookup(I79,z_Others!$M$17:$M$20,z_Others!$N$17:$N$20,"",0,1)</f>
        <v>BUE</v>
      </c>
      <c r="L79" s="292" t="str">
        <f t="array" ref="L79">xlookup(F79,z_Others!$B$21:$B$45,z_Others!$D$21:$D$45,"",0,1)</f>
        <v>GLBW0</v>
      </c>
      <c r="M79" s="296" t="str">
        <f t="array" ref="M79">xlookup(F79,z_Others!$B$21:$B$45,z_Others!$C$21:$C$45,"",0,1)</f>
        <v>NA</v>
      </c>
      <c r="N79" s="297">
        <f t="array" ref="N79">if(isblank(E79),"",xlookup($N$9&amp;M79,z_Others!$X$5:$X$17&amp;z_Others!$W$5:$W$17,z_Others!$Z$5:$Z$17,"",0,1))</f>
        <v>35124436</v>
      </c>
      <c r="O79" s="298" t="str">
        <f t="array" ref="O79">if(isblank(E79),"",xlookup($N$9&amp;M79,z_Others!$X$5:$X$17&amp;z_Others!$W$5:$W$17,z_Others!$AH$5:$AH$17,"",0,1))</f>
        <v>35 124436 070000x
</v>
      </c>
      <c r="P79" s="299" t="str">
        <f t="array" ref="P79">if(isblank(E79),"",xlookup($N$9&amp;M79,z_Others!$X$5:$X$17&amp;z_Others!$W$5:$W$17,z_Others!$AI$5:$AI$17,"",0,1))</f>
        <v>35 124436 999999x</v>
      </c>
      <c r="Q79" s="300" t="s">
        <v>413</v>
      </c>
      <c r="R79" s="301" t="s">
        <v>414</v>
      </c>
      <c r="S79" s="302">
        <f t="array" ref="S79">if(isblank(E79),"",xlookup($S$9&amp;M79,z_Others!$X$5:$X$17&amp;z_Others!$W$5:$W$17,z_Others!$Z$5:$Z$17,"",0,1))</f>
        <v>35676628</v>
      </c>
      <c r="T79" s="303" t="str">
        <f t="array" ref="T79">if(isblank(E79),"",xlookup($S$9&amp;M79,z_Others!$X$5:$X$17&amp;z_Others!$W$5:$W$17,z_Others!$AH$5:$AH$17,"",0,1))</f>
        <v>35 676628 040000x
35 676628 340000x</v>
      </c>
      <c r="U79" s="303" t="str">
        <f t="array" ref="U79">if(isblank(E79),"",xlookup($S$9&amp;M79,z_Others!$X$5:$X$17&amp;z_Others!$W$5:$W$17,z_Others!$AI$5:$AI$17,"",0,1))</f>
        <v>35 676628 999999x
35 676628 639999x</v>
      </c>
      <c r="V79" s="303" t="str">
        <f t="shared" si="2"/>
        <v>64:9D:38:32:91:82
B0:D5:FB:C6:60:70</v>
      </c>
      <c r="W79" s="303" t="str">
        <f t="shared" si="3"/>
        <v>64:9D:38:37:25:61
B0:D5:FB:CE:01:8F</v>
      </c>
      <c r="X79" s="304" t="str">
        <f t="shared" si="4"/>
        <v>MP1.0</v>
      </c>
      <c r="Y79" s="292"/>
      <c r="Z79" s="304" t="str">
        <f t="shared" si="32"/>
        <v>Android 16</v>
      </c>
      <c r="AA79" s="304" t="str">
        <f t="shared" si="37"/>
        <v>Android 16</v>
      </c>
      <c r="AB79" s="305" t="s">
        <v>813</v>
      </c>
      <c r="AC79" s="348" t="s">
        <v>813</v>
      </c>
      <c r="AD79" s="314" t="s">
        <v>447</v>
      </c>
      <c r="AE79" s="307" t="s">
        <v>418</v>
      </c>
      <c r="AF79" s="308" t="s">
        <v>447</v>
      </c>
      <c r="AG79" s="309" t="s">
        <v>418</v>
      </c>
      <c r="AH79" s="297" t="str">
        <f t="array" ref="AH79">if(isblank(E79),"",xlookup(F79,z_Others!$B$21:$B$45,z_Others!$F$21:$F$45,"TBD",0,1))</f>
        <v>00</v>
      </c>
      <c r="AI79" s="310" t="str">
        <f t="array" ref="AI79">if(isblank(E79),"", xlookup(E79,'Import_FL5_LH_PVTMP_Configs (Do'!E:E,'Import_FL5_LH_PVTMP_Configs (Do'!O:O,"TBD",0,1))</f>
        <v>G710-07800-01</v>
      </c>
      <c r="AJ79" s="311"/>
      <c r="AK79" s="310" t="str">
        <f t="array" ref="AK79">if(isblank(E79),"", xlookup(E79,'Import_FL5_LH_PVTMP_Configs (Do'!E:E,'Import_FL5_LH_PVTMP_Configs (Do'!Q:Q,"TBD",0,1))</f>
        <v>G650-14694-05</v>
      </c>
      <c r="AL79" s="310" t="str">
        <f t="array" ref="AL79">if(isblank(E79),"", xlookup(E79,'Import_FL5_LH_PVTMP_Configs (Do'!E:E,'Import_FL5_LH_PVTMP_Configs (Do'!M:M,"TBD",0,1))</f>
        <v>G710-07670-01</v>
      </c>
      <c r="AM79" s="310" t="str">
        <f t="array" ref="AM79">if(isblank(E79),"", xlookup(E79,'Import_FL5_LH_PVTMP_Configs (Do'!E:E,'Import_FL5_LH_PVTMP_Configs (Do'!N:N,"TBD",0,1))</f>
        <v>G730-09533-04</v>
      </c>
      <c r="AN79" s="310" t="str">
        <f t="array" ref="AN79">if(isblank(E79),"", xlookup(E79,'Import_FL5_LH_PVTMP_Configs (Do'!E:E,'Import_FL5_LH_PVTMP_Configs (Do'!K:K,"TBD",0,1))</f>
        <v>G950-15935-03</v>
      </c>
      <c r="AO79" s="292" t="str">
        <f t="array" ref="AO79">if(isblank(E79),"",XLOOKUP(E79,'FL5_G954 Pkg ASSY (Pkg BOM)'!L:L,'FL5_G954 Pkg ASSY (Pkg BOM)'!G:G,"N/A",0,1))</f>
        <v>G954-09389-00</v>
      </c>
      <c r="AP79" s="292" t="str">
        <f t="array" ref="AP79">if(isblank(E79),"",xlookup(E79,'FL5_G962 Country kit (Accesorie'!L:L,'FL5_G962 Country kit (Accesorie'!G:G,"N/A",0,1))</f>
        <v>N/A</v>
      </c>
      <c r="AQ79" s="304" t="str">
        <f t="array" ref="AQ79">if(isblank(E79),"", xlookup(E79,'Import_LH_Label approve'!E:E,'Import_LH_Label approve'!M:M,"",0,1))</f>
        <v>N/A</v>
      </c>
      <c r="AR79" s="304" t="str">
        <f t="array" ref="AR79">if(isblank(E79),"",xlookup(E79,'Import_LH_Label approve'!E:E,'Import_LH_Label approve'!N:N,"",0,1))</f>
        <v>N/A</v>
      </c>
      <c r="AS79" s="292" t="s">
        <v>419</v>
      </c>
      <c r="AT79" s="302" t="str">
        <f t="shared" si="6"/>
        <v>Yes</v>
      </c>
      <c r="AU79" s="302" t="str">
        <f t="shared" si="7"/>
        <v>No</v>
      </c>
      <c r="AV79" s="302" t="str">
        <f t="shared" si="8"/>
        <v>No</v>
      </c>
      <c r="AW79" s="302"/>
      <c r="AX79" s="302" t="s">
        <v>814</v>
      </c>
      <c r="AY79" s="302" t="s">
        <v>815</v>
      </c>
      <c r="AZ79" s="312" t="str">
        <f t="array" ref="AZ79">if(isblank(E79),"", xlookup(E79,Import_FL5_LH_PVT_BM!D:D,Import_FL5_LH_PVT_BM!AK:AK,$F$4,0,1))</f>
        <v>MP</v>
      </c>
      <c r="BA79" s="292" t="str">
        <f t="shared" si="9"/>
        <v>Bulk_30ct</v>
      </c>
      <c r="BB79" s="313" t="str">
        <f t="array" ref="BB79">if(isblank(E79),"",xlookup(F79,z_Others!$B$21:$B$42,z_Others!$G$21:$G$42,"No",0,1))</f>
        <v>ROW Master Carton Label (UPC)</v>
      </c>
      <c r="BC79" s="313" t="str">
        <f t="array" ref="BC79">if(isblank(E79),"",xlookup(F79,z_Others!$B$21:$B$42,z_Others!$H$21:$H$42,"No",0,1))</f>
        <v>Standard Pallet Label (BTO)
Standard Pallet Label (BTS)</v>
      </c>
      <c r="BD79" s="314" t="str">
        <f t="array" ref="BD79">if(isblank(E79),"",xlookup(E79,'Import_VN_Label approve'!E:E,'Import_VN_Label approve'!L:L,"N/A",0,1))</f>
        <v>N/A</v>
      </c>
      <c r="BE79" s="314" t="str">
        <f t="array" ref="BE79">if(isblank(E79),"",xlookup(E79,'Import_VN_Label approve'!E:E,'Import_VN_Label approve'!N:N,"N/A",0,1))</f>
        <v>N/A</v>
      </c>
      <c r="BF79" s="315"/>
      <c r="BG79" s="349" t="s">
        <v>791</v>
      </c>
      <c r="BH79" s="317" t="s">
        <v>792</v>
      </c>
      <c r="BI79" s="318">
        <v>45773.0</v>
      </c>
      <c r="BJ79" s="319" t="str">
        <f t="array" ref="BJ79">if(isblank(E79),"", xlookup(D79,z_Others!$B$5:$B$17,z_Others!$C$5:$C$17,"",0,1))</f>
        <v>智能手機</v>
      </c>
      <c r="BK79" s="320">
        <v>45782.0</v>
      </c>
      <c r="BL79" s="320" t="str">
        <f t="array" ref="BL79">if(isblank(E79),"",xlookup(E79,'FL5_MP POR_LH_報關備案_G950 &amp; GA'!F:F,'FL5_MP POR_LH_報關備案_G950 &amp; GA'!E:E,"No Need",0,1))</f>
        <v>Close</v>
      </c>
      <c r="BM79" s="321" t="str">
        <f t="array" ref="BM79">if(isblank(E79),"",xlookup($BM$9&amp;E79,'Import_FL5 MPS (06.06.25) - Sor'!E75:E334&amp;'Import_FL5 MPS (06.06.25) - Sor'!F75:F334,'Import_FL5 MPS (06.06.25) - Sor'!ES75:ES334,"No demand",0,1))</f>
        <v>No demand</v>
      </c>
      <c r="BN79" s="321" t="str">
        <f t="array" ref="BN79">if(isblank(E79),"",xlookup($BN$9&amp;E79,'Import_FL5 MPS (06.06.25) - Sor'!E75:E334&amp;'Import_FL5 MPS (06.06.25) - Sor'!F75:F334,'Import_FL5 MPS (06.06.25) - Sor'!ES75:ES334,"No demand",0,1))</f>
        <v>No demand</v>
      </c>
      <c r="BO79" s="321" t="str">
        <f t="array" ref="BO79">if(isblank(E79),"",xlookup($BO$9&amp;E79,'Import_FL5 MPS (06.06.25) - Sor'!E75:E334&amp;'Import_FL5 MPS (06.06.25) - Sor'!F75:F334,'Import_FL5 MPS (06.06.25) - Sor'!ES75:ES334,"No demand",0,1))</f>
        <v>No demand</v>
      </c>
      <c r="BP79" s="322" t="str">
        <f t="array" ref="BP79">if(isblank(E79),"", xlookup(E79,'Import_LH_Label approve'!E:E,'Import_LH_Label approve'!L:L,"",0,1))</f>
        <v>NA</v>
      </c>
      <c r="BQ79" s="322" t="str">
        <f t="array" ref="BQ79">if(isblank(E79),"",xlookup(E79,'Import_VN_Label approve'!E:E,'Import_VN_Label approve'!M:M,"N/A",0,1))</f>
        <v>N/A</v>
      </c>
      <c r="BR79" s="325"/>
      <c r="BS79" s="323"/>
      <c r="BT79" s="324"/>
      <c r="BU79" s="117"/>
    </row>
    <row r="80" hidden="1">
      <c r="A80" s="176"/>
      <c r="B80" s="292">
        <v>69.0</v>
      </c>
      <c r="C80" s="231" t="s">
        <v>289</v>
      </c>
      <c r="D80" s="231" t="s">
        <v>764</v>
      </c>
      <c r="E80" s="354" t="s">
        <v>816</v>
      </c>
      <c r="F80" s="294" t="s">
        <v>817</v>
      </c>
      <c r="G80" s="294" t="s">
        <v>493</v>
      </c>
      <c r="H80" s="292" t="str">
        <f t="array" ref="H80">xlookup(F80,z_Others!$B$21:$B$45,z_Others!$E$21:$E$45,"",0,1)</f>
        <v>Sub6</v>
      </c>
      <c r="I80" s="310" t="s">
        <v>412</v>
      </c>
      <c r="J80" s="231" t="str">
        <f t="array" ref="J80">if(isblank(E80),"",xlookup(I80,z_Others!$M$17:$M$20,z_Others!$O$17:$O$20,"",0,1))</f>
        <v>Obsidian</v>
      </c>
      <c r="K80" s="292" t="str">
        <f t="array" ref="K80">xlookup(I80,z_Others!$M$17:$M$20,z_Others!$N$17:$N$20,"",0,1)</f>
        <v>BLK</v>
      </c>
      <c r="L80" s="292" t="str">
        <f t="array" ref="L80">xlookup(F80,z_Others!$B$21:$B$45,z_Others!$D$21:$D$45,"",0,1)</f>
        <v>GK2MP</v>
      </c>
      <c r="M80" s="296" t="str">
        <f t="array" ref="M80">xlookup(F80,z_Others!$B$21:$B$45,z_Others!$C$21:$C$45,"",0,1)</f>
        <v>ROW</v>
      </c>
      <c r="N80" s="297">
        <f t="array" ref="N80">if(isblank(E80),"",xlookup($N$9&amp;M80,z_Others!$X$5:$X$17&amp;z_Others!$W$5:$W$17,z_Others!$Z$5:$Z$17,"",0,1))</f>
        <v>35440766</v>
      </c>
      <c r="O80" s="331" t="s">
        <v>494</v>
      </c>
      <c r="P80" s="303" t="s">
        <v>495</v>
      </c>
      <c r="Q80" s="300" t="s">
        <v>413</v>
      </c>
      <c r="R80" s="301" t="s">
        <v>414</v>
      </c>
      <c r="S80" s="302">
        <f t="array" ref="S80">if(isblank(E80),"",xlookup($S$9&amp;M80,z_Others!$X$5:$X$17&amp;z_Others!$W$5:$W$17,z_Others!$Z$5:$Z$17,"",0,1))</f>
        <v>35795514</v>
      </c>
      <c r="T80" s="303" t="str">
        <f t="array" ref="T80">if(isblank(E80),"",xlookup($S$9&amp;M80,z_Others!$X$5:$X$17&amp;z_Others!$W$5:$W$17,z_Others!$AH$5:$AH$17,"",0,1))</f>
        <v>35 795514 040000x</v>
      </c>
      <c r="U80" s="303" t="str">
        <f t="array" ref="U80">if(isblank(E80),"",xlookup($S$9&amp;M80,z_Others!$X$5:$X$17&amp;z_Others!$W$5:$W$17,z_Others!$AI$5:$AI$17,"",0,1))</f>
        <v>35 795514 999999x</v>
      </c>
      <c r="V80" s="303" t="str">
        <f t="shared" si="2"/>
        <v>64:9D:38:32:91:82
B0:D5:FB:C6:60:70</v>
      </c>
      <c r="W80" s="303" t="str">
        <f t="shared" si="3"/>
        <v>64:9D:38:37:25:61
B0:D5:FB:CE:01:8F</v>
      </c>
      <c r="X80" s="304" t="str">
        <f t="shared" si="4"/>
        <v>MP1.0</v>
      </c>
      <c r="Y80" s="292"/>
      <c r="Z80" s="304" t="str">
        <f t="shared" si="32"/>
        <v>Android 16</v>
      </c>
      <c r="AA80" s="304" t="str">
        <f t="shared" si="37"/>
        <v>Android 16</v>
      </c>
      <c r="AB80" s="305" t="s">
        <v>818</v>
      </c>
      <c r="AC80" s="305" t="s">
        <v>819</v>
      </c>
      <c r="AD80" s="314" t="s">
        <v>447</v>
      </c>
      <c r="AE80" s="307" t="s">
        <v>418</v>
      </c>
      <c r="AF80" s="308" t="s">
        <v>447</v>
      </c>
      <c r="AG80" s="309" t="s">
        <v>418</v>
      </c>
      <c r="AH80" s="297" t="str">
        <f t="array" ref="AH80">if(isblank(E80),"",xlookup(F80,z_Others!$B$21:$B$45,z_Others!$F$21:$F$45,"TBD",0,1))</f>
        <v>00</v>
      </c>
      <c r="AI80" s="310" t="str">
        <f t="array" ref="AI80">if(isblank(E80),"", xlookup(E80,'Import_FL5_LH_PVTMP_Configs (Do'!E:E,'Import_FL5_LH_PVTMP_Configs (Do'!O:O,"TBD",0,1))</f>
        <v>G710-07800-00</v>
      </c>
      <c r="AJ80" s="311"/>
      <c r="AK80" s="310" t="str">
        <f t="array" ref="AK80">if(isblank(E80),"", xlookup(E80,'Import_FL5_LH_PVTMP_Configs (Do'!E:E,'Import_FL5_LH_PVTMP_Configs (Do'!Q:Q,"TBD",0,1))</f>
        <v>G650-14694-05</v>
      </c>
      <c r="AL80" s="310" t="str">
        <f t="array" ref="AL80">if(isblank(E80),"", xlookup(E80,'Import_FL5_LH_PVTMP_Configs (Do'!E:E,'Import_FL5_LH_PVTMP_Configs (Do'!M:M,"TBD",0,1))</f>
        <v>G710-07670-01</v>
      </c>
      <c r="AM80" s="310" t="str">
        <f t="array" ref="AM80">if(isblank(E80),"", xlookup(E80,'Import_FL5_LH_PVTMP_Configs (Do'!E:E,'Import_FL5_LH_PVTMP_Configs (Do'!N:N,"TBD",0,1))</f>
        <v>G730-09533-01</v>
      </c>
      <c r="AN80" s="310" t="str">
        <f t="array" ref="AN80">if(isblank(E80),"", xlookup(E80,'Import_FL5_LH_PVTMP_Configs (Do'!E:E,'Import_FL5_LH_PVTMP_Configs (Do'!K:K,"TBD",0,1))</f>
        <v>G950-15935-10</v>
      </c>
      <c r="AO80" s="292" t="str">
        <f t="array" ref="AO80">if(isblank(E80),"",XLOOKUP(E80,'FL5_G954 Pkg ASSY (Pkg BOM)'!L:L,'FL5_G954 Pkg ASSY (Pkg BOM)'!G:G,"N/A",0,1))</f>
        <v>G954-09475-00</v>
      </c>
      <c r="AP80" s="292" t="str">
        <f t="array" ref="AP80">if(isblank(E80),"",xlookup(E80,'FL5_G962 Country kit (Accesorie'!L:L,'FL5_G962 Country kit (Accesorie'!G:G,"N/A",0,1))</f>
        <v>N/A</v>
      </c>
      <c r="AQ80" s="304" t="str">
        <f t="array" ref="AQ80">if(isblank(E80),"", xlookup(E80,'Import_LH_Label approve'!E:E,'Import_LH_Label approve'!M:M,"",0,1))</f>
        <v>N/A</v>
      </c>
      <c r="AR80" s="304" t="str">
        <f t="array" ref="AR80">if(isblank(E80),"",xlookup(E80,'Import_LH_Label approve'!E:E,'Import_LH_Label approve'!N:N,"",0,1))</f>
        <v>N/A</v>
      </c>
      <c r="AS80" s="292" t="s">
        <v>419</v>
      </c>
      <c r="AT80" s="302" t="str">
        <f t="shared" si="6"/>
        <v>Yes</v>
      </c>
      <c r="AU80" s="302" t="str">
        <f t="shared" si="7"/>
        <v>No</v>
      </c>
      <c r="AV80" s="302" t="str">
        <f t="shared" si="8"/>
        <v>No</v>
      </c>
      <c r="AW80" s="302"/>
      <c r="AX80" s="302" t="s">
        <v>820</v>
      </c>
      <c r="AY80" s="302" t="s">
        <v>821</v>
      </c>
      <c r="AZ80" s="312" t="str">
        <f t="array" ref="AZ80">if(isblank(E80),"", xlookup(E80,Import_FL5_LH_PVT_BM!D:D,Import_FL5_LH_PVT_BM!AK:AK,$F$4,0,1))</f>
        <v>MP</v>
      </c>
      <c r="BA80" s="292" t="str">
        <f t="shared" si="9"/>
        <v>Bulk_30ct</v>
      </c>
      <c r="BB80" s="313" t="str">
        <f t="array" ref="BB80">if(isblank(E80),"",xlookup(F80,z_Others!$B$21:$B$42,z_Others!$G$21:$G$42,"No",0,1))</f>
        <v>ROW Master Carton Label (UPC)</v>
      </c>
      <c r="BC80" s="313" t="str">
        <f t="array" ref="BC80">if(isblank(E80),"",xlookup(F80,z_Others!$B$21:$B$42,z_Others!$H$21:$H$42,"No",0,1))</f>
        <v>Standard Pallet Label (BTO)
Standard Pallet Label (BTS)</v>
      </c>
      <c r="BD80" s="314" t="str">
        <f t="array" ref="BD80">if(isblank(E80),"",xlookup(E80,'Import_VN_Label approve'!E:E,'Import_VN_Label approve'!L:L,"N/A",0,1))</f>
        <v>N/A</v>
      </c>
      <c r="BE80" s="314" t="str">
        <f t="array" ref="BE80">if(isblank(E80),"",xlookup(E80,'Import_VN_Label approve'!E:E,'Import_VN_Label approve'!N:N,"N/A",0,1))</f>
        <v>N/A</v>
      </c>
      <c r="BF80" s="315"/>
      <c r="BG80" s="349" t="s">
        <v>822</v>
      </c>
      <c r="BH80" s="317" t="s">
        <v>823</v>
      </c>
      <c r="BI80" s="318">
        <v>45773.0</v>
      </c>
      <c r="BJ80" s="319" t="str">
        <f t="array" ref="BJ80">if(isblank(E80),"", xlookup(D80,z_Others!$B$5:$B$17,z_Others!$C$5:$C$17,"",0,1))</f>
        <v>智能手機</v>
      </c>
      <c r="BK80" s="320">
        <v>45782.0</v>
      </c>
      <c r="BL80" s="320" t="str">
        <f t="array" ref="BL80">if(isblank(E80),"",xlookup(E80,'FL5_MP POR_LH_報關備案_G950 &amp; GA'!F:F,'FL5_MP POR_LH_報關備案_G950 &amp; GA'!E:E,"No Need",0,1))</f>
        <v>Close</v>
      </c>
      <c r="BM80" s="321" t="str">
        <f t="array" ref="BM80">if(isblank(E80),"",xlookup($BM$9&amp;E80,'Import_FL5 MPS (06.06.25) - Sor'!E76:E334&amp;'Import_FL5 MPS (06.06.25) - Sor'!F76:F334,'Import_FL5 MPS (06.06.25) - Sor'!ES76:ES334,"No demand",0,1))</f>
        <v>No demand</v>
      </c>
      <c r="BN80" s="321" t="str">
        <f t="array" ref="BN80">if(isblank(E80),"",xlookup($BN$9&amp;E80,'Import_FL5 MPS (06.06.25) - Sor'!E76:E334&amp;'Import_FL5 MPS (06.06.25) - Sor'!F76:F334,'Import_FL5 MPS (06.06.25) - Sor'!ES76:ES334,"No demand",0,1))</f>
        <v>No demand</v>
      </c>
      <c r="BO80" s="321" t="str">
        <f t="array" ref="BO80">if(isblank(E80),"",xlookup($BO$9&amp;E80,'Import_FL5 MPS (06.06.25) - Sor'!E76:E334&amp;'Import_FL5 MPS (06.06.25) - Sor'!F76:F334,'Import_FL5 MPS (06.06.25) - Sor'!ES76:ES334,"No demand",0,1))</f>
        <v>No demand</v>
      </c>
      <c r="BP80" s="322" t="str">
        <f t="array" ref="BP80">if(isblank(E80),"", xlookup(E80,'Import_LH_Label approve'!E:E,'Import_LH_Label approve'!L:L,"",0,1))</f>
        <v>NA</v>
      </c>
      <c r="BQ80" s="322" t="str">
        <f t="array" ref="BQ80">if(isblank(E80),"",xlookup(E80,'Import_VN_Label approve'!E:E,'Import_VN_Label approve'!M:M,"N/A",0,1))</f>
        <v>N/A</v>
      </c>
      <c r="BR80" s="325"/>
      <c r="BS80" s="323"/>
      <c r="BT80" s="324"/>
      <c r="BU80" s="117"/>
    </row>
    <row r="81" hidden="1">
      <c r="A81" s="176"/>
      <c r="B81" s="292">
        <v>70.0</v>
      </c>
      <c r="C81" s="231" t="s">
        <v>289</v>
      </c>
      <c r="D81" s="231" t="s">
        <v>764</v>
      </c>
      <c r="E81" s="354" t="s">
        <v>824</v>
      </c>
      <c r="F81" s="294" t="s">
        <v>817</v>
      </c>
      <c r="G81" s="294" t="s">
        <v>493</v>
      </c>
      <c r="H81" s="292" t="str">
        <f t="array" ref="H81">xlookup(F81,z_Others!$B$21:$B$45,z_Others!$E$21:$E$45,"",0,1)</f>
        <v>Sub6</v>
      </c>
      <c r="I81" s="310" t="s">
        <v>425</v>
      </c>
      <c r="J81" s="231" t="str">
        <f t="array" ref="J81">if(isblank(E81),"",xlookup(I81,z_Others!$M$17:$M$20,z_Others!$O$17:$O$20,"",0,1))</f>
        <v>Frost</v>
      </c>
      <c r="K81" s="292" t="str">
        <f t="array" ref="K81">xlookup(I81,z_Others!$M$17:$M$20,z_Others!$N$17:$N$20,"",0,1)</f>
        <v>PPL</v>
      </c>
      <c r="L81" s="292" t="str">
        <f t="array" ref="L81">xlookup(F81,z_Others!$B$21:$B$45,z_Others!$D$21:$D$45,"",0,1)</f>
        <v>GK2MP</v>
      </c>
      <c r="M81" s="296" t="str">
        <f t="array" ref="M81">xlookup(F81,z_Others!$B$21:$B$45,z_Others!$C$21:$C$45,"",0,1)</f>
        <v>ROW</v>
      </c>
      <c r="N81" s="297">
        <f t="array" ref="N81">if(isblank(E81),"",xlookup($N$9&amp;M81,z_Others!$X$5:$X$17&amp;z_Others!$W$5:$W$17,z_Others!$Z$5:$Z$17,"",0,1))</f>
        <v>35440766</v>
      </c>
      <c r="O81" s="331" t="s">
        <v>494</v>
      </c>
      <c r="P81" s="303" t="s">
        <v>495</v>
      </c>
      <c r="Q81" s="300" t="s">
        <v>413</v>
      </c>
      <c r="R81" s="301" t="s">
        <v>414</v>
      </c>
      <c r="S81" s="302">
        <f t="array" ref="S81">if(isblank(E81),"",xlookup($S$9&amp;M81,z_Others!$X$5:$X$17&amp;z_Others!$W$5:$W$17,z_Others!$Z$5:$Z$17,"",0,1))</f>
        <v>35795514</v>
      </c>
      <c r="T81" s="303" t="str">
        <f t="array" ref="T81">if(isblank(E81),"",xlookup($S$9&amp;M81,z_Others!$X$5:$X$17&amp;z_Others!$W$5:$W$17,z_Others!$AH$5:$AH$17,"",0,1))</f>
        <v>35 795514 040000x</v>
      </c>
      <c r="U81" s="303" t="str">
        <f t="array" ref="U81">if(isblank(E81),"",xlookup($S$9&amp;M81,z_Others!$X$5:$X$17&amp;z_Others!$W$5:$W$17,z_Others!$AI$5:$AI$17,"",0,1))</f>
        <v>35 795514 999999x</v>
      </c>
      <c r="V81" s="303" t="str">
        <f t="shared" si="2"/>
        <v>64:9D:38:32:91:82
B0:D5:FB:C6:60:70</v>
      </c>
      <c r="W81" s="303" t="str">
        <f t="shared" si="3"/>
        <v>64:9D:38:37:25:61
B0:D5:FB:CE:01:8F</v>
      </c>
      <c r="X81" s="304" t="str">
        <f t="shared" si="4"/>
        <v>MP1.0</v>
      </c>
      <c r="Y81" s="292"/>
      <c r="Z81" s="304" t="str">
        <f t="shared" si="32"/>
        <v>Android 16</v>
      </c>
      <c r="AA81" s="304" t="str">
        <f t="shared" si="37"/>
        <v>Android 16</v>
      </c>
      <c r="AB81" s="305" t="s">
        <v>825</v>
      </c>
      <c r="AC81" s="348" t="s">
        <v>825</v>
      </c>
      <c r="AD81" s="314" t="s">
        <v>447</v>
      </c>
      <c r="AE81" s="307" t="s">
        <v>418</v>
      </c>
      <c r="AF81" s="308" t="s">
        <v>447</v>
      </c>
      <c r="AG81" s="309" t="s">
        <v>418</v>
      </c>
      <c r="AH81" s="297" t="str">
        <f t="array" ref="AH81">if(isblank(E81),"",xlookup(F81,z_Others!$B$21:$B$45,z_Others!$F$21:$F$45,"TBD",0,1))</f>
        <v>00</v>
      </c>
      <c r="AI81" s="310" t="str">
        <f t="array" ref="AI81">if(isblank(E81),"", xlookup(E81,'Import_FL5_LH_PVTMP_Configs (Do'!E:E,'Import_FL5_LH_PVTMP_Configs (Do'!O:O,"TBD",0,1))</f>
        <v>G710-07800-00</v>
      </c>
      <c r="AJ81" s="311"/>
      <c r="AK81" s="310" t="str">
        <f t="array" ref="AK81">if(isblank(E81),"", xlookup(E81,'Import_FL5_LH_PVTMP_Configs (Do'!E:E,'Import_FL5_LH_PVTMP_Configs (Do'!Q:Q,"TBD",0,1))</f>
        <v>G650-14694-05</v>
      </c>
      <c r="AL81" s="310" t="str">
        <f t="array" ref="AL81">if(isblank(E81),"", xlookup(E81,'Import_FL5_LH_PVTMP_Configs (Do'!E:E,'Import_FL5_LH_PVTMP_Configs (Do'!M:M,"TBD",0,1))</f>
        <v>G710-07670-01</v>
      </c>
      <c r="AM81" s="310" t="str">
        <f t="array" ref="AM81">if(isblank(E81),"", xlookup(E81,'Import_FL5_LH_PVTMP_Configs (Do'!E:E,'Import_FL5_LH_PVTMP_Configs (Do'!N:N,"TBD",0,1))</f>
        <v>G730-09533-02</v>
      </c>
      <c r="AN81" s="310" t="str">
        <f t="array" ref="AN81">if(isblank(E81),"", xlookup(E81,'Import_FL5_LH_PVTMP_Configs (Do'!E:E,'Import_FL5_LH_PVTMP_Configs (Do'!K:K,"TBD",0,1))</f>
        <v>G950-15935-11</v>
      </c>
      <c r="AO81" s="292" t="str">
        <f t="array" ref="AO81">if(isblank(E81),"",XLOOKUP(E81,'FL5_G954 Pkg ASSY (Pkg BOM)'!L:L,'FL5_G954 Pkg ASSY (Pkg BOM)'!G:G,"N/A",0,1))</f>
        <v>G954-09475-00</v>
      </c>
      <c r="AP81" s="292" t="str">
        <f t="array" ref="AP81">if(isblank(E81),"",xlookup(E81,'FL5_G962 Country kit (Accesorie'!L:L,'FL5_G962 Country kit (Accesorie'!G:G,"N/A",0,1))</f>
        <v>N/A</v>
      </c>
      <c r="AQ81" s="304" t="str">
        <f t="array" ref="AQ81">if(isblank(E81),"", xlookup(E81,'Import_LH_Label approve'!E:E,'Import_LH_Label approve'!M:M,"",0,1))</f>
        <v>N/A</v>
      </c>
      <c r="AR81" s="304" t="str">
        <f t="array" ref="AR81">if(isblank(E81),"",xlookup(E81,'Import_LH_Label approve'!E:E,'Import_LH_Label approve'!N:N,"",0,1))</f>
        <v>N/A</v>
      </c>
      <c r="AS81" s="292" t="s">
        <v>419</v>
      </c>
      <c r="AT81" s="302" t="str">
        <f t="shared" si="6"/>
        <v>Yes</v>
      </c>
      <c r="AU81" s="302" t="str">
        <f t="shared" si="7"/>
        <v>No</v>
      </c>
      <c r="AV81" s="302" t="str">
        <f t="shared" si="8"/>
        <v>No</v>
      </c>
      <c r="AW81" s="302"/>
      <c r="AX81" s="302" t="s">
        <v>826</v>
      </c>
      <c r="AY81" s="302" t="s">
        <v>827</v>
      </c>
      <c r="AZ81" s="312" t="str">
        <f t="array" ref="AZ81">if(isblank(E81),"", xlookup(E81,Import_FL5_LH_PVT_BM!D:D,Import_FL5_LH_PVT_BM!AK:AK,$F$4,0,1))</f>
        <v>MP</v>
      </c>
      <c r="BA81" s="292" t="str">
        <f t="shared" si="9"/>
        <v>Bulk_30ct</v>
      </c>
      <c r="BB81" s="313" t="str">
        <f t="array" ref="BB81">if(isblank(E81),"",xlookup(F81,z_Others!$B$21:$B$42,z_Others!$G$21:$G$42,"No",0,1))</f>
        <v>ROW Master Carton Label (UPC)</v>
      </c>
      <c r="BC81" s="313" t="str">
        <f t="array" ref="BC81">if(isblank(E81),"",xlookup(F81,z_Others!$B$21:$B$42,z_Others!$H$21:$H$42,"No",0,1))</f>
        <v>Standard Pallet Label (BTO)
Standard Pallet Label (BTS)</v>
      </c>
      <c r="BD81" s="314" t="str">
        <f t="array" ref="BD81">if(isblank(E81),"",xlookup(E81,'Import_VN_Label approve'!E:E,'Import_VN_Label approve'!L:L,"N/A",0,1))</f>
        <v>N/A</v>
      </c>
      <c r="BE81" s="314" t="str">
        <f t="array" ref="BE81">if(isblank(E81),"",xlookup(E81,'Import_VN_Label approve'!E:E,'Import_VN_Label approve'!N:N,"N/A",0,1))</f>
        <v>N/A</v>
      </c>
      <c r="BF81" s="315"/>
      <c r="BG81" s="349" t="s">
        <v>822</v>
      </c>
      <c r="BH81" s="317" t="s">
        <v>823</v>
      </c>
      <c r="BI81" s="318">
        <v>45773.0</v>
      </c>
      <c r="BJ81" s="319" t="str">
        <f t="array" ref="BJ81">if(isblank(E81),"", xlookup(D81,z_Others!$B$5:$B$17,z_Others!$C$5:$C$17,"",0,1))</f>
        <v>智能手機</v>
      </c>
      <c r="BK81" s="320">
        <v>45782.0</v>
      </c>
      <c r="BL81" s="320" t="str">
        <f t="array" ref="BL81">if(isblank(E81),"",xlookup(E81,'FL5_MP POR_LH_報關備案_G950 &amp; GA'!F:F,'FL5_MP POR_LH_報關備案_G950 &amp; GA'!E:E,"No Need",0,1))</f>
        <v>Close</v>
      </c>
      <c r="BM81" s="321" t="str">
        <f t="array" ref="BM81">if(isblank(E81),"",xlookup($BM$9&amp;E81,'Import_FL5 MPS (06.06.25) - Sor'!E77:E334&amp;'Import_FL5 MPS (06.06.25) - Sor'!F77:F334,'Import_FL5 MPS (06.06.25) - Sor'!ES77:ES334,"No demand",0,1))</f>
        <v>No demand</v>
      </c>
      <c r="BN81" s="321" t="str">
        <f t="array" ref="BN81">if(isblank(E81),"",xlookup($BN$9&amp;E81,'Import_FL5 MPS (06.06.25) - Sor'!E77:E334&amp;'Import_FL5 MPS (06.06.25) - Sor'!F77:F334,'Import_FL5 MPS (06.06.25) - Sor'!ES77:ES334,"No demand",0,1))</f>
        <v>No demand</v>
      </c>
      <c r="BO81" s="321" t="str">
        <f t="array" ref="BO81">if(isblank(E81),"",xlookup($BO$9&amp;E81,'Import_FL5 MPS (06.06.25) - Sor'!E77:E334&amp;'Import_FL5 MPS (06.06.25) - Sor'!F77:F334,'Import_FL5 MPS (06.06.25) - Sor'!ES77:ES334,"No demand",0,1))</f>
        <v>No demand</v>
      </c>
      <c r="BP81" s="322" t="str">
        <f t="array" ref="BP81">if(isblank(E81),"", xlookup(E81,'Import_LH_Label approve'!E:E,'Import_LH_Label approve'!L:L,"",0,1))</f>
        <v>NA</v>
      </c>
      <c r="BQ81" s="322" t="str">
        <f t="array" ref="BQ81">if(isblank(E81),"",xlookup(E81,'Import_VN_Label approve'!E:E,'Import_VN_Label approve'!M:M,"N/A",0,1))</f>
        <v>N/A</v>
      </c>
      <c r="BR81" s="313"/>
      <c r="BS81" s="323"/>
      <c r="BT81" s="324"/>
      <c r="BU81" s="91"/>
    </row>
    <row r="82" hidden="1">
      <c r="A82" s="176"/>
      <c r="B82" s="292">
        <v>71.0</v>
      </c>
      <c r="C82" s="231" t="s">
        <v>289</v>
      </c>
      <c r="D82" s="231" t="s">
        <v>764</v>
      </c>
      <c r="E82" s="354" t="s">
        <v>828</v>
      </c>
      <c r="F82" s="294" t="s">
        <v>817</v>
      </c>
      <c r="G82" s="294" t="s">
        <v>493</v>
      </c>
      <c r="H82" s="292" t="str">
        <f t="array" ref="H82">xlookup(F82,z_Others!$B$21:$B$45,z_Others!$E$21:$E$45,"",0,1)</f>
        <v>Sub6</v>
      </c>
      <c r="I82" s="310" t="s">
        <v>431</v>
      </c>
      <c r="J82" s="231" t="str">
        <f t="array" ref="J82">if(isblank(E82),"",xlookup(I82,z_Others!$M$17:$M$20,z_Others!$O$17:$O$20,"",0,1))</f>
        <v>Lemongrass</v>
      </c>
      <c r="K82" s="292" t="str">
        <f t="array" ref="K82">xlookup(I82,z_Others!$M$17:$M$20,z_Others!$N$17:$N$20,"",0,1)</f>
        <v>YEL</v>
      </c>
      <c r="L82" s="292" t="str">
        <f t="array" ref="L82">xlookup(F82,z_Others!$B$21:$B$45,z_Others!$D$21:$D$45,"",0,1)</f>
        <v>GK2MP</v>
      </c>
      <c r="M82" s="296" t="str">
        <f t="array" ref="M82">xlookup(F82,z_Others!$B$21:$B$45,z_Others!$C$21:$C$45,"",0,1)</f>
        <v>ROW</v>
      </c>
      <c r="N82" s="297">
        <f t="array" ref="N82">if(isblank(E82),"",xlookup($N$9&amp;M82,z_Others!$X$5:$X$17&amp;z_Others!$W$5:$W$17,z_Others!$Z$5:$Z$17,"",0,1))</f>
        <v>35440766</v>
      </c>
      <c r="O82" s="331" t="s">
        <v>494</v>
      </c>
      <c r="P82" s="303" t="s">
        <v>495</v>
      </c>
      <c r="Q82" s="300" t="s">
        <v>413</v>
      </c>
      <c r="R82" s="301" t="s">
        <v>414</v>
      </c>
      <c r="S82" s="302">
        <f t="array" ref="S82">if(isblank(E82),"",xlookup($S$9&amp;M82,z_Others!$X$5:$X$17&amp;z_Others!$W$5:$W$17,z_Others!$Z$5:$Z$17,"",0,1))</f>
        <v>35795514</v>
      </c>
      <c r="T82" s="303" t="str">
        <f t="array" ref="T82">if(isblank(E82),"",xlookup($S$9&amp;M82,z_Others!$X$5:$X$17&amp;z_Others!$W$5:$W$17,z_Others!$AH$5:$AH$17,"",0,1))</f>
        <v>35 795514 040000x</v>
      </c>
      <c r="U82" s="303" t="str">
        <f t="array" ref="U82">if(isblank(E82),"",xlookup($S$9&amp;M82,z_Others!$X$5:$X$17&amp;z_Others!$W$5:$W$17,z_Others!$AI$5:$AI$17,"",0,1))</f>
        <v>35 795514 999999x</v>
      </c>
      <c r="V82" s="303" t="str">
        <f t="shared" si="2"/>
        <v>64:9D:38:32:91:82
B0:D5:FB:C6:60:70</v>
      </c>
      <c r="W82" s="303" t="str">
        <f t="shared" si="3"/>
        <v>64:9D:38:37:25:61
B0:D5:FB:CE:01:8F</v>
      </c>
      <c r="X82" s="304" t="str">
        <f t="shared" si="4"/>
        <v>MP1.0</v>
      </c>
      <c r="Y82" s="292"/>
      <c r="Z82" s="304" t="str">
        <f t="shared" si="32"/>
        <v>Android 16</v>
      </c>
      <c r="AA82" s="304" t="str">
        <f t="shared" si="37"/>
        <v>Android 16</v>
      </c>
      <c r="AB82" s="305" t="s">
        <v>829</v>
      </c>
      <c r="AC82" s="305" t="s">
        <v>829</v>
      </c>
      <c r="AD82" s="314" t="s">
        <v>447</v>
      </c>
      <c r="AE82" s="307" t="s">
        <v>418</v>
      </c>
      <c r="AF82" s="308" t="s">
        <v>447</v>
      </c>
      <c r="AG82" s="309" t="s">
        <v>418</v>
      </c>
      <c r="AH82" s="297" t="str">
        <f t="array" ref="AH82">if(isblank(E82),"",xlookup(F82,z_Others!$B$21:$B$45,z_Others!$F$21:$F$45,"TBD",0,1))</f>
        <v>00</v>
      </c>
      <c r="AI82" s="310" t="str">
        <f t="array" ref="AI82">if(isblank(E82),"", xlookup(E82,'Import_FL5_LH_PVTMP_Configs (Do'!E:E,'Import_FL5_LH_PVTMP_Configs (Do'!O:O,"TBD",0,1))</f>
        <v>G710-07800-00</v>
      </c>
      <c r="AJ82" s="311"/>
      <c r="AK82" s="310" t="str">
        <f t="array" ref="AK82">if(isblank(E82),"", xlookup(E82,'Import_FL5_LH_PVTMP_Configs (Do'!E:E,'Import_FL5_LH_PVTMP_Configs (Do'!Q:Q,"TBD",0,1))</f>
        <v>G650-14694-05</v>
      </c>
      <c r="AL82" s="310" t="str">
        <f t="array" ref="AL82">if(isblank(E82),"", xlookup(E82,'Import_FL5_LH_PVTMP_Configs (Do'!E:E,'Import_FL5_LH_PVTMP_Configs (Do'!M:M,"TBD",0,1))</f>
        <v>G710-07670-01</v>
      </c>
      <c r="AM82" s="310" t="str">
        <f t="array" ref="AM82">if(isblank(E82),"", xlookup(E82,'Import_FL5_LH_PVTMP_Configs (Do'!E:E,'Import_FL5_LH_PVTMP_Configs (Do'!N:N,"TBD",0,1))</f>
        <v>G730-09533-03</v>
      </c>
      <c r="AN82" s="310" t="str">
        <f t="array" ref="AN82">if(isblank(E82),"", xlookup(E82,'Import_FL5_LH_PVTMP_Configs (Do'!E:E,'Import_FL5_LH_PVTMP_Configs (Do'!K:K,"TBD",0,1))</f>
        <v>G950-15935-12</v>
      </c>
      <c r="AO82" s="292" t="str">
        <f t="array" ref="AO82">if(isblank(E82),"",XLOOKUP(E82,'FL5_G954 Pkg ASSY (Pkg BOM)'!L:L,'FL5_G954 Pkg ASSY (Pkg BOM)'!G:G,"N/A",0,1))</f>
        <v>G954-09475-00</v>
      </c>
      <c r="AP82" s="292" t="str">
        <f t="array" ref="AP82">if(isblank(E82),"",xlookup(E82,'FL5_G962 Country kit (Accesorie'!L:L,'FL5_G962 Country kit (Accesorie'!G:G,"N/A",0,1))</f>
        <v>N/A</v>
      </c>
      <c r="AQ82" s="304" t="str">
        <f t="array" ref="AQ82">if(isblank(E82),"", xlookup(E82,'Import_LH_Label approve'!E:E,'Import_LH_Label approve'!M:M,"",0,1))</f>
        <v>N/A</v>
      </c>
      <c r="AR82" s="304" t="str">
        <f t="array" ref="AR82">if(isblank(E82),"",xlookup(E82,'Import_LH_Label approve'!E:E,'Import_LH_Label approve'!N:N,"",0,1))</f>
        <v>N/A</v>
      </c>
      <c r="AS82" s="292" t="s">
        <v>419</v>
      </c>
      <c r="AT82" s="302" t="str">
        <f t="shared" si="6"/>
        <v>Yes</v>
      </c>
      <c r="AU82" s="302" t="str">
        <f t="shared" si="7"/>
        <v>No</v>
      </c>
      <c r="AV82" s="302" t="str">
        <f t="shared" si="8"/>
        <v>No</v>
      </c>
      <c r="AW82" s="302"/>
      <c r="AX82" s="302" t="s">
        <v>830</v>
      </c>
      <c r="AY82" s="302" t="s">
        <v>831</v>
      </c>
      <c r="AZ82" s="312" t="str">
        <f t="array" ref="AZ82">if(isblank(E82),"", xlookup(E82,Import_FL5_LH_PVT_BM!D:D,Import_FL5_LH_PVT_BM!AK:AK,$F$4,0,1))</f>
        <v>MP</v>
      </c>
      <c r="BA82" s="292" t="str">
        <f t="shared" si="9"/>
        <v>Bulk_30ct</v>
      </c>
      <c r="BB82" s="313" t="str">
        <f t="array" ref="BB82">if(isblank(E82),"",xlookup(F82,z_Others!$B$21:$B$42,z_Others!$G$21:$G$42,"No",0,1))</f>
        <v>ROW Master Carton Label (UPC)</v>
      </c>
      <c r="BC82" s="313" t="str">
        <f t="array" ref="BC82">if(isblank(E82),"",xlookup(F82,z_Others!$B$21:$B$42,z_Others!$H$21:$H$42,"No",0,1))</f>
        <v>Standard Pallet Label (BTO)
Standard Pallet Label (BTS)</v>
      </c>
      <c r="BD82" s="314" t="str">
        <f t="array" ref="BD82">if(isblank(E82),"",xlookup(E82,'Import_VN_Label approve'!E:E,'Import_VN_Label approve'!L:L,"N/A",0,1))</f>
        <v>N/A</v>
      </c>
      <c r="BE82" s="314" t="str">
        <f t="array" ref="BE82">if(isblank(E82),"",xlookup(E82,'Import_VN_Label approve'!E:E,'Import_VN_Label approve'!N:N,"N/A",0,1))</f>
        <v>N/A</v>
      </c>
      <c r="BF82" s="315"/>
      <c r="BG82" s="349" t="s">
        <v>822</v>
      </c>
      <c r="BH82" s="317" t="s">
        <v>823</v>
      </c>
      <c r="BI82" s="318">
        <v>45773.0</v>
      </c>
      <c r="BJ82" s="319" t="str">
        <f t="array" ref="BJ82">if(isblank(E82),"", xlookup(D82,z_Others!$B$5:$B$17,z_Others!$C$5:$C$17,"",0,1))</f>
        <v>智能手機</v>
      </c>
      <c r="BK82" s="320">
        <v>45782.0</v>
      </c>
      <c r="BL82" s="320" t="str">
        <f t="array" ref="BL82">if(isblank(E82),"",xlookup(E82,'FL5_MP POR_LH_報關備案_G950 &amp; GA'!F:F,'FL5_MP POR_LH_報關備案_G950 &amp; GA'!E:E,"No Need",0,1))</f>
        <v>Close</v>
      </c>
      <c r="BM82" s="321" t="str">
        <f t="array" ref="BM82">if(isblank(E82),"",xlookup($BM$9&amp;E82,'Import_FL5 MPS (06.06.25) - Sor'!E78:E334&amp;'Import_FL5 MPS (06.06.25) - Sor'!F78:F334,'Import_FL5 MPS (06.06.25) - Sor'!ES78:ES334,"No demand",0,1))</f>
        <v>No demand</v>
      </c>
      <c r="BN82" s="321" t="str">
        <f t="array" ref="BN82">if(isblank(E82),"",xlookup($BN$9&amp;E82,'Import_FL5 MPS (06.06.25) - Sor'!E78:E334&amp;'Import_FL5 MPS (06.06.25) - Sor'!F78:F334,'Import_FL5 MPS (06.06.25) - Sor'!ES78:ES334,"No demand",0,1))</f>
        <v>No demand</v>
      </c>
      <c r="BO82" s="321" t="str">
        <f t="array" ref="BO82">if(isblank(E82),"",xlookup($BO$9&amp;E82,'Import_FL5 MPS (06.06.25) - Sor'!E78:E334&amp;'Import_FL5 MPS (06.06.25) - Sor'!F78:F334,'Import_FL5 MPS (06.06.25) - Sor'!ES78:ES334,"No demand",0,1))</f>
        <v>No demand</v>
      </c>
      <c r="BP82" s="322" t="str">
        <f t="array" ref="BP82">if(isblank(E82),"", xlookup(E82,'Import_LH_Label approve'!E:E,'Import_LH_Label approve'!L:L,"",0,1))</f>
        <v>NA</v>
      </c>
      <c r="BQ82" s="322" t="str">
        <f t="array" ref="BQ82">if(isblank(E82),"",xlookup(E82,'Import_VN_Label approve'!E:E,'Import_VN_Label approve'!M:M,"N/A",0,1))</f>
        <v>N/A</v>
      </c>
      <c r="BR82" s="325"/>
      <c r="BS82" s="323"/>
      <c r="BT82" s="324"/>
      <c r="BU82" s="117"/>
    </row>
    <row r="83" hidden="1">
      <c r="A83" s="176"/>
      <c r="B83" s="292">
        <v>72.0</v>
      </c>
      <c r="C83" s="231" t="s">
        <v>289</v>
      </c>
      <c r="D83" s="231" t="s">
        <v>764</v>
      </c>
      <c r="E83" s="354" t="s">
        <v>832</v>
      </c>
      <c r="F83" s="294" t="s">
        <v>817</v>
      </c>
      <c r="G83" s="294" t="s">
        <v>493</v>
      </c>
      <c r="H83" s="292" t="str">
        <f t="array" ref="H83">xlookup(F83,z_Others!$B$21:$B$45,z_Others!$E$21:$E$45,"",0,1)</f>
        <v>Sub6</v>
      </c>
      <c r="I83" s="310" t="s">
        <v>437</v>
      </c>
      <c r="J83" s="231" t="str">
        <f t="array" ref="J83">if(isblank(E83),"",xlookup(I83,z_Others!$M$17:$M$20,z_Others!$O$17:$O$20,"",0,1))</f>
        <v>Indigo</v>
      </c>
      <c r="K83" s="292" t="str">
        <f t="array" ref="K83">xlookup(I83,z_Others!$M$17:$M$20,z_Others!$N$17:$N$20,"",0,1)</f>
        <v>BUE</v>
      </c>
      <c r="L83" s="292" t="str">
        <f t="array" ref="L83">xlookup(F83,z_Others!$B$21:$B$45,z_Others!$D$21:$D$45,"",0,1)</f>
        <v>GK2MP</v>
      </c>
      <c r="M83" s="296" t="str">
        <f t="array" ref="M83">xlookup(F83,z_Others!$B$21:$B$45,z_Others!$C$21:$C$45,"",0,1)</f>
        <v>ROW</v>
      </c>
      <c r="N83" s="297">
        <f t="array" ref="N83">if(isblank(E83),"",xlookup($N$9&amp;M83,z_Others!$X$5:$X$17&amp;z_Others!$W$5:$W$17,z_Others!$Z$5:$Z$17,"",0,1))</f>
        <v>35440766</v>
      </c>
      <c r="O83" s="331" t="s">
        <v>494</v>
      </c>
      <c r="P83" s="303" t="s">
        <v>495</v>
      </c>
      <c r="Q83" s="300" t="s">
        <v>413</v>
      </c>
      <c r="R83" s="301" t="s">
        <v>414</v>
      </c>
      <c r="S83" s="302">
        <f t="array" ref="S83">if(isblank(E83),"",xlookup($S$9&amp;M83,z_Others!$X$5:$X$17&amp;z_Others!$W$5:$W$17,z_Others!$Z$5:$Z$17,"",0,1))</f>
        <v>35795514</v>
      </c>
      <c r="T83" s="303" t="str">
        <f t="array" ref="T83">if(isblank(E83),"",xlookup($S$9&amp;M83,z_Others!$X$5:$X$17&amp;z_Others!$W$5:$W$17,z_Others!$AH$5:$AH$17,"",0,1))</f>
        <v>35 795514 040000x</v>
      </c>
      <c r="U83" s="303" t="str">
        <f t="array" ref="U83">if(isblank(E83),"",xlookup($S$9&amp;M83,z_Others!$X$5:$X$17&amp;z_Others!$W$5:$W$17,z_Others!$AI$5:$AI$17,"",0,1))</f>
        <v>35 795514 999999x</v>
      </c>
      <c r="V83" s="303" t="str">
        <f t="shared" si="2"/>
        <v>64:9D:38:32:91:82
B0:D5:FB:C6:60:70</v>
      </c>
      <c r="W83" s="303" t="str">
        <f t="shared" si="3"/>
        <v>64:9D:38:37:25:61
B0:D5:FB:CE:01:8F</v>
      </c>
      <c r="X83" s="304" t="str">
        <f t="shared" si="4"/>
        <v>MP1.0</v>
      </c>
      <c r="Y83" s="292"/>
      <c r="Z83" s="304" t="str">
        <f t="shared" si="32"/>
        <v>Android 16</v>
      </c>
      <c r="AA83" s="304" t="str">
        <f t="shared" si="37"/>
        <v>Android 16</v>
      </c>
      <c r="AB83" s="305" t="s">
        <v>833</v>
      </c>
      <c r="AC83" s="305" t="s">
        <v>834</v>
      </c>
      <c r="AD83" s="314" t="s">
        <v>447</v>
      </c>
      <c r="AE83" s="307" t="s">
        <v>418</v>
      </c>
      <c r="AF83" s="308" t="s">
        <v>447</v>
      </c>
      <c r="AG83" s="309" t="s">
        <v>418</v>
      </c>
      <c r="AH83" s="297" t="str">
        <f t="array" ref="AH83">if(isblank(E83),"",xlookup(F83,z_Others!$B$21:$B$45,z_Others!$F$21:$F$45,"TBD",0,1))</f>
        <v>00</v>
      </c>
      <c r="AI83" s="310" t="str">
        <f t="array" ref="AI83">if(isblank(E83),"", xlookup(E83,'Import_FL5_LH_PVTMP_Configs (Do'!E:E,'Import_FL5_LH_PVTMP_Configs (Do'!O:O,"TBD",0,1))</f>
        <v>G710-07800-00</v>
      </c>
      <c r="AJ83" s="311"/>
      <c r="AK83" s="310" t="str">
        <f t="array" ref="AK83">if(isblank(E83),"", xlookup(E83,'Import_FL5_LH_PVTMP_Configs (Do'!E:E,'Import_FL5_LH_PVTMP_Configs (Do'!Q:Q,"TBD",0,1))</f>
        <v>G650-14694-05</v>
      </c>
      <c r="AL83" s="310" t="str">
        <f t="array" ref="AL83">if(isblank(E83),"", xlookup(E83,'Import_FL5_LH_PVTMP_Configs (Do'!E:E,'Import_FL5_LH_PVTMP_Configs (Do'!M:M,"TBD",0,1))</f>
        <v>G710-07670-01</v>
      </c>
      <c r="AM83" s="310" t="str">
        <f t="array" ref="AM83">if(isblank(E83),"", xlookup(E83,'Import_FL5_LH_PVTMP_Configs (Do'!E:E,'Import_FL5_LH_PVTMP_Configs (Do'!N:N,"TBD",0,1))</f>
        <v>G730-09533-04</v>
      </c>
      <c r="AN83" s="310" t="str">
        <f t="array" ref="AN83">if(isblank(E83),"", xlookup(E83,'Import_FL5_LH_PVTMP_Configs (Do'!E:E,'Import_FL5_LH_PVTMP_Configs (Do'!K:K,"TBD",0,1))</f>
        <v>G950-15935-13</v>
      </c>
      <c r="AO83" s="292" t="str">
        <f t="array" ref="AO83">if(isblank(E83),"",XLOOKUP(E83,'FL5_G954 Pkg ASSY (Pkg BOM)'!L:L,'FL5_G954 Pkg ASSY (Pkg BOM)'!G:G,"N/A",0,1))</f>
        <v>G954-09475-00</v>
      </c>
      <c r="AP83" s="292" t="str">
        <f t="array" ref="AP83">if(isblank(E83),"",xlookup(E83,'FL5_G962 Country kit (Accesorie'!L:L,'FL5_G962 Country kit (Accesorie'!G:G,"N/A",0,1))</f>
        <v>N/A</v>
      </c>
      <c r="AQ83" s="304" t="str">
        <f t="array" ref="AQ83">if(isblank(E83),"", xlookup(E83,'Import_LH_Label approve'!E:E,'Import_LH_Label approve'!M:M,"",0,1))</f>
        <v>N/A</v>
      </c>
      <c r="AR83" s="304" t="str">
        <f t="array" ref="AR83">if(isblank(E83),"",xlookup(E83,'Import_LH_Label approve'!E:E,'Import_LH_Label approve'!N:N,"",0,1))</f>
        <v>N/A</v>
      </c>
      <c r="AS83" s="292" t="s">
        <v>419</v>
      </c>
      <c r="AT83" s="302" t="str">
        <f t="shared" si="6"/>
        <v>Yes</v>
      </c>
      <c r="AU83" s="302" t="str">
        <f t="shared" si="7"/>
        <v>No</v>
      </c>
      <c r="AV83" s="302" t="str">
        <f t="shared" si="8"/>
        <v>No</v>
      </c>
      <c r="AW83" s="302"/>
      <c r="AX83" s="302" t="s">
        <v>835</v>
      </c>
      <c r="AY83" s="302" t="s">
        <v>836</v>
      </c>
      <c r="AZ83" s="312" t="str">
        <f t="array" ref="AZ83">if(isblank(E83),"", xlookup(E83,Import_FL5_LH_PVT_BM!D:D,Import_FL5_LH_PVT_BM!AK:AK,$F$4,0,1))</f>
        <v>MP</v>
      </c>
      <c r="BA83" s="292" t="str">
        <f t="shared" si="9"/>
        <v>Bulk_30ct</v>
      </c>
      <c r="BB83" s="313" t="str">
        <f t="array" ref="BB83">if(isblank(E83),"",xlookup(F83,z_Others!$B$21:$B$42,z_Others!$G$21:$G$42,"No",0,1))</f>
        <v>ROW Master Carton Label (UPC)</v>
      </c>
      <c r="BC83" s="313" t="str">
        <f t="array" ref="BC83">if(isblank(E83),"",xlookup(F83,z_Others!$B$21:$B$42,z_Others!$H$21:$H$42,"No",0,1))</f>
        <v>Standard Pallet Label (BTO)
Standard Pallet Label (BTS)</v>
      </c>
      <c r="BD83" s="314" t="str">
        <f t="array" ref="BD83">if(isblank(E83),"",xlookup(E83,'Import_VN_Label approve'!E:E,'Import_VN_Label approve'!L:L,"N/A",0,1))</f>
        <v>N/A</v>
      </c>
      <c r="BE83" s="314" t="str">
        <f t="array" ref="BE83">if(isblank(E83),"",xlookup(E83,'Import_VN_Label approve'!E:E,'Import_VN_Label approve'!N:N,"N/A",0,1))</f>
        <v>N/A</v>
      </c>
      <c r="BF83" s="315"/>
      <c r="BG83" s="349" t="s">
        <v>822</v>
      </c>
      <c r="BH83" s="317" t="s">
        <v>823</v>
      </c>
      <c r="BI83" s="318">
        <v>45773.0</v>
      </c>
      <c r="BJ83" s="319" t="str">
        <f t="array" ref="BJ83">if(isblank(E83),"", xlookup(D83,z_Others!$B$5:$B$17,z_Others!$C$5:$C$17,"",0,1))</f>
        <v>智能手機</v>
      </c>
      <c r="BK83" s="320">
        <v>45782.0</v>
      </c>
      <c r="BL83" s="320" t="str">
        <f t="array" ref="BL83">if(isblank(E83),"",xlookup(E83,'FL5_MP POR_LH_報關備案_G950 &amp; GA'!F:F,'FL5_MP POR_LH_報關備案_G950 &amp; GA'!E:E,"No Need",0,1))</f>
        <v>Close</v>
      </c>
      <c r="BM83" s="321" t="str">
        <f t="array" ref="BM83">if(isblank(E83),"",xlookup($BM$9&amp;E83,'Import_FL5 MPS (06.06.25) - Sor'!E79:E334&amp;'Import_FL5 MPS (06.06.25) - Sor'!F79:F334,'Import_FL5 MPS (06.06.25) - Sor'!ES79:ES334,"No demand",0,1))</f>
        <v>No demand</v>
      </c>
      <c r="BN83" s="321" t="str">
        <f t="array" ref="BN83">if(isblank(E83),"",xlookup($BN$9&amp;E83,'Import_FL5 MPS (06.06.25) - Sor'!E79:E334&amp;'Import_FL5 MPS (06.06.25) - Sor'!F79:F334,'Import_FL5 MPS (06.06.25) - Sor'!ES79:ES334,"No demand",0,1))</f>
        <v>No demand</v>
      </c>
      <c r="BO83" s="321" t="str">
        <f t="array" ref="BO83">if(isblank(E83),"",xlookup($BO$9&amp;E83,'Import_FL5 MPS (06.06.25) - Sor'!E79:E334&amp;'Import_FL5 MPS (06.06.25) - Sor'!F79:F334,'Import_FL5 MPS (06.06.25) - Sor'!ES79:ES334,"No demand",0,1))</f>
        <v>No demand</v>
      </c>
      <c r="BP83" s="322" t="str">
        <f t="array" ref="BP83">if(isblank(E83),"", xlookup(E83,'Import_LH_Label approve'!E:E,'Import_LH_Label approve'!L:L,"",0,1))</f>
        <v>NA</v>
      </c>
      <c r="BQ83" s="322" t="str">
        <f t="array" ref="BQ83">if(isblank(E83),"",xlookup(E83,'Import_VN_Label approve'!E:E,'Import_VN_Label approve'!M:M,"N/A",0,1))</f>
        <v>N/A</v>
      </c>
      <c r="BR83" s="325"/>
      <c r="BS83" s="323"/>
      <c r="BT83" s="324"/>
      <c r="BU83" s="117"/>
    </row>
    <row r="84" hidden="1">
      <c r="A84" s="176"/>
      <c r="B84" s="292">
        <v>73.0</v>
      </c>
      <c r="C84" s="231" t="s">
        <v>289</v>
      </c>
      <c r="D84" s="231" t="s">
        <v>764</v>
      </c>
      <c r="E84" s="351" t="s">
        <v>837</v>
      </c>
      <c r="F84" s="313" t="s">
        <v>527</v>
      </c>
      <c r="G84" s="294" t="s">
        <v>528</v>
      </c>
      <c r="H84" s="292" t="str">
        <f t="array" ref="H84">xlookup(F84,z_Others!$B$21:$B$45,z_Others!$E$21:$E$45,"",0,1)</f>
        <v>Sub6</v>
      </c>
      <c r="I84" s="310" t="s">
        <v>412</v>
      </c>
      <c r="J84" s="231" t="str">
        <f t="array" ref="J84">if(isblank(E84),"",xlookup(I84,z_Others!$M$17:$M$20,z_Others!$O$17:$O$20,"",0,1))</f>
        <v>Obsidian</v>
      </c>
      <c r="K84" s="292" t="str">
        <f t="array" ref="K84">xlookup(I84,z_Others!$M$17:$M$20,z_Others!$N$17:$N$20,"",0,1)</f>
        <v>BLK</v>
      </c>
      <c r="L84" s="292" t="str">
        <f t="array" ref="L84">xlookup(F84,z_Others!$B$21:$B$45,z_Others!$D$21:$D$45,"",0,1)</f>
        <v>GK2MP
</v>
      </c>
      <c r="M84" s="296" t="str">
        <f t="array" ref="M84">xlookup(F84,z_Others!$B$21:$B$45,z_Others!$C$21:$C$45,"",0,1)</f>
        <v>ROW</v>
      </c>
      <c r="N84" s="297">
        <f t="array" ref="N84">if(isblank(E84),"",xlookup($N$9&amp;M84,z_Others!$X$5:$X$17&amp;z_Others!$W$5:$W$17,z_Others!$Z$5:$Z$17,"",0,1))</f>
        <v>35440766</v>
      </c>
      <c r="O84" s="331" t="s">
        <v>494</v>
      </c>
      <c r="P84" s="303" t="s">
        <v>495</v>
      </c>
      <c r="Q84" s="300" t="s">
        <v>413</v>
      </c>
      <c r="R84" s="301" t="s">
        <v>414</v>
      </c>
      <c r="S84" s="302">
        <f t="array" ref="S84">if(isblank(E84),"",xlookup($S$9&amp;M84,z_Others!$X$5:$X$17&amp;z_Others!$W$5:$W$17,z_Others!$Z$5:$Z$17,"",0,1))</f>
        <v>35795514</v>
      </c>
      <c r="T84" s="303" t="str">
        <f t="array" ref="T84">if(isblank(E84),"",xlookup($S$9&amp;M84,z_Others!$X$5:$X$17&amp;z_Others!$W$5:$W$17,z_Others!$AH$5:$AH$17,"",0,1))</f>
        <v>35 795514 040000x</v>
      </c>
      <c r="U84" s="303" t="str">
        <f t="array" ref="U84">if(isblank(E84),"",xlookup($S$9&amp;M84,z_Others!$X$5:$X$17&amp;z_Others!$W$5:$W$17,z_Others!$AI$5:$AI$17,"",0,1))</f>
        <v>35 795514 999999x</v>
      </c>
      <c r="V84" s="303" t="str">
        <f t="shared" si="2"/>
        <v>64:9D:38:32:91:82
B0:D5:FB:C6:60:70</v>
      </c>
      <c r="W84" s="303" t="str">
        <f t="shared" si="3"/>
        <v>64:9D:38:37:25:61
B0:D5:FB:CE:01:8F</v>
      </c>
      <c r="X84" s="304" t="str">
        <f t="shared" si="4"/>
        <v>MP1.0</v>
      </c>
      <c r="Y84" s="292"/>
      <c r="Z84" s="304" t="str">
        <f t="shared" si="32"/>
        <v>Android 16</v>
      </c>
      <c r="AA84" s="304" t="str">
        <f t="shared" si="37"/>
        <v>Android 16</v>
      </c>
      <c r="AB84" s="305" t="s">
        <v>838</v>
      </c>
      <c r="AC84" s="305" t="s">
        <v>839</v>
      </c>
      <c r="AD84" s="314" t="s">
        <v>447</v>
      </c>
      <c r="AE84" s="307" t="s">
        <v>418</v>
      </c>
      <c r="AF84" s="308" t="s">
        <v>447</v>
      </c>
      <c r="AG84" s="309" t="s">
        <v>418</v>
      </c>
      <c r="AH84" s="297" t="str">
        <f t="array" ref="AH84">if(isblank(E84),"",xlookup(F84,z_Others!$B$21:$B$45,z_Others!$F$21:$F$45,"TBD",0,1))</f>
        <v>00</v>
      </c>
      <c r="AI84" s="310" t="str">
        <f t="array" ref="AI84">if(isblank(E84),"", xlookup(E84,'Import_FL5_LH_PVTMP_Configs (Do'!E:E,'Import_FL5_LH_PVTMP_Configs (Do'!O:O,"TBD",0,1))</f>
        <v>G710-07800-00</v>
      </c>
      <c r="AJ84" s="311"/>
      <c r="AK84" s="310" t="str">
        <f t="array" ref="AK84">if(isblank(E84),"", xlookup(E84,'Import_FL5_LH_PVTMP_Configs (Do'!E:E,'Import_FL5_LH_PVTMP_Configs (Do'!Q:Q,"TBD",0,1))</f>
        <v>G650-14694-05</v>
      </c>
      <c r="AL84" s="310" t="str">
        <f t="array" ref="AL84">if(isblank(E84),"", xlookup(E84,'Import_FL5_LH_PVTMP_Configs (Do'!E:E,'Import_FL5_LH_PVTMP_Configs (Do'!M:M,"TBD",0,1))</f>
        <v>G710-07670-01</v>
      </c>
      <c r="AM84" s="310" t="str">
        <f t="array" ref="AM84">if(isblank(E84),"", xlookup(E84,'Import_FL5_LH_PVTMP_Configs (Do'!E:E,'Import_FL5_LH_PVTMP_Configs (Do'!N:N,"TBD",0,1))</f>
        <v>G730-09533-01</v>
      </c>
      <c r="AN84" s="310" t="str">
        <f t="array" ref="AN84">if(isblank(E84),"", xlookup(E84,'Import_FL5_LH_PVTMP_Configs (Do'!E:E,'Import_FL5_LH_PVTMP_Configs (Do'!K:K,"TBD",0,1))</f>
        <v>G950-15935-10</v>
      </c>
      <c r="AO84" s="292" t="str">
        <f t="array" ref="AO84">if(isblank(E84),"",XLOOKUP(E84,'FL5_G954 Pkg ASSY (Pkg BOM)'!L:L,'FL5_G954 Pkg ASSY (Pkg BOM)'!G:G,"N/A",0,1))</f>
        <v>G954-09390-00</v>
      </c>
      <c r="AP84" s="292" t="str">
        <f t="array" ref="AP84">if(isblank(E84),"",xlookup(E84,'FL5_G962 Country kit (Accesorie'!L:L,'FL5_G962 Country kit (Accesorie'!G:G,"N/A",0,1))</f>
        <v>N/A</v>
      </c>
      <c r="AQ84" s="304" t="str">
        <f t="array" ref="AQ84">if(isblank(E84),"", xlookup(E84,'Import_LH_Label approve'!E:E,'Import_LH_Label approve'!M:M,"",0,1))</f>
        <v>N/A</v>
      </c>
      <c r="AR84" s="304" t="str">
        <f t="array" ref="AR84">if(isblank(E84),"",xlookup(E84,'Import_LH_Label approve'!E:E,'Import_LH_Label approve'!N:N,"",0,1))</f>
        <v>N/A</v>
      </c>
      <c r="AS84" s="292" t="s">
        <v>419</v>
      </c>
      <c r="AT84" s="302" t="str">
        <f t="shared" si="6"/>
        <v>Yes</v>
      </c>
      <c r="AU84" s="302" t="str">
        <f t="shared" si="7"/>
        <v>No</v>
      </c>
      <c r="AV84" s="302" t="str">
        <f t="shared" si="8"/>
        <v>No</v>
      </c>
      <c r="AW84" s="302"/>
      <c r="AX84" s="302" t="s">
        <v>840</v>
      </c>
      <c r="AY84" s="302" t="s">
        <v>841</v>
      </c>
      <c r="AZ84" s="312" t="str">
        <f t="array" ref="AZ84">if(isblank(E84),"", xlookup(E84,Import_FL5_LH_PVT_BM!D:D,Import_FL5_LH_PVT_BM!AK:AK,$F$4,0,1))</f>
        <v>MP</v>
      </c>
      <c r="BA84" s="292" t="str">
        <f t="shared" si="9"/>
        <v>Bulk_30ct</v>
      </c>
      <c r="BB84" s="313" t="str">
        <f t="array" ref="BB84">if(isblank(E84),"",xlookup(F84,z_Others!$B$21:$B$42,z_Others!$G$21:$G$42,"No",0,1))</f>
        <v>ROW Master Carton Label (EAN)</v>
      </c>
      <c r="BC84" s="313" t="str">
        <f t="array" ref="BC84">if(isblank(E84),"",xlookup(F84,z_Others!$B$21:$B$42,z_Others!$H$21:$H$42,"No",0,1))</f>
        <v>Standard Pallet Label (BTO)
Standard Pallet Label (BTS)</v>
      </c>
      <c r="BD84" s="314" t="str">
        <f t="array" ref="BD84">if(isblank(E84),"",xlookup(E84,'Import_VN_Label approve'!E:E,'Import_VN_Label approve'!L:L,"N/A",0,1))</f>
        <v>N/A</v>
      </c>
      <c r="BE84" s="314" t="str">
        <f t="array" ref="BE84">if(isblank(E84),"",xlookup(E84,'Import_VN_Label approve'!E:E,'Import_VN_Label approve'!N:N,"N/A",0,1))</f>
        <v>N/A</v>
      </c>
      <c r="BF84" s="315"/>
      <c r="BG84" s="349" t="s">
        <v>822</v>
      </c>
      <c r="BH84" s="317" t="s">
        <v>823</v>
      </c>
      <c r="BI84" s="318">
        <v>45773.0</v>
      </c>
      <c r="BJ84" s="319" t="str">
        <f t="array" ref="BJ84">if(isblank(E84),"", xlookup(D84,z_Others!$B$5:$B$17,z_Others!$C$5:$C$17,"",0,1))</f>
        <v>智能手機</v>
      </c>
      <c r="BK84" s="320">
        <v>45782.0</v>
      </c>
      <c r="BL84" s="320" t="str">
        <f t="array" ref="BL84">if(isblank(E84),"",xlookup(E84,'FL5_MP POR_LH_報關備案_G950 &amp; GA'!F:F,'FL5_MP POR_LH_報關備案_G950 &amp; GA'!E:E,"No Need",0,1))</f>
        <v>Close</v>
      </c>
      <c r="BM84" s="321" t="str">
        <f t="array" ref="BM84">if(isblank(E84),"",xlookup($BM$9&amp;E84,'Import_FL5 MPS (06.06.25) - Sor'!E80:E334&amp;'Import_FL5 MPS (06.06.25) - Sor'!F80:F334,'Import_FL5 MPS (06.06.25) - Sor'!ES80:ES334,"No demand",0,1))</f>
        <v>No demand</v>
      </c>
      <c r="BN84" s="321" t="str">
        <f t="array" ref="BN84">if(isblank(E84),"",xlookup($BN$9&amp;E84,'Import_FL5 MPS (06.06.25) - Sor'!E80:E334&amp;'Import_FL5 MPS (06.06.25) - Sor'!F80:F334,'Import_FL5 MPS (06.06.25) - Sor'!ES80:ES334,"No demand",0,1))</f>
        <v>No demand</v>
      </c>
      <c r="BO84" s="321" t="str">
        <f t="array" ref="BO84">if(isblank(E84),"",xlookup($BO$9&amp;E84,'Import_FL5 MPS (06.06.25) - Sor'!E80:E334&amp;'Import_FL5 MPS (06.06.25) - Sor'!F80:F334,'Import_FL5 MPS (06.06.25) - Sor'!ES80:ES334,"No demand",0,1))</f>
        <v>No demand</v>
      </c>
      <c r="BP84" s="322" t="str">
        <f t="array" ref="BP84">if(isblank(E84),"", xlookup(E84,'Import_LH_Label approve'!E:E,'Import_LH_Label approve'!L:L,"",0,1))</f>
        <v>NA</v>
      </c>
      <c r="BQ84" s="322" t="str">
        <f t="array" ref="BQ84">if(isblank(E84),"",xlookup(E84,'Import_VN_Label approve'!E:E,'Import_VN_Label approve'!M:M,"N/A",0,1))</f>
        <v>N/A</v>
      </c>
      <c r="BR84" s="325"/>
      <c r="BS84" s="323"/>
      <c r="BT84" s="324"/>
      <c r="BU84" s="117"/>
    </row>
    <row r="85" hidden="1">
      <c r="A85" s="176"/>
      <c r="B85" s="292">
        <v>74.0</v>
      </c>
      <c r="C85" s="231" t="s">
        <v>289</v>
      </c>
      <c r="D85" s="231" t="s">
        <v>764</v>
      </c>
      <c r="E85" s="351" t="s">
        <v>842</v>
      </c>
      <c r="F85" s="313" t="s">
        <v>527</v>
      </c>
      <c r="G85" s="294" t="s">
        <v>528</v>
      </c>
      <c r="H85" s="292" t="str">
        <f t="array" ref="H85">xlookup(F85,z_Others!$B$21:$B$45,z_Others!$E$21:$E$45,"",0,1)</f>
        <v>Sub6</v>
      </c>
      <c r="I85" s="310" t="s">
        <v>425</v>
      </c>
      <c r="J85" s="231" t="str">
        <f t="array" ref="J85">if(isblank(E85),"",xlookup(I85,z_Others!$M$17:$M$20,z_Others!$O$17:$O$20,"",0,1))</f>
        <v>Frost</v>
      </c>
      <c r="K85" s="292" t="str">
        <f t="array" ref="K85">xlookup(I85,z_Others!$M$17:$M$20,z_Others!$N$17:$N$20,"",0,1)</f>
        <v>PPL</v>
      </c>
      <c r="L85" s="292" t="str">
        <f t="array" ref="L85">xlookup(F85,z_Others!$B$21:$B$45,z_Others!$D$21:$D$45,"",0,1)</f>
        <v>GK2MP
</v>
      </c>
      <c r="M85" s="296" t="str">
        <f t="array" ref="M85">xlookup(F85,z_Others!$B$21:$B$45,z_Others!$C$21:$C$45,"",0,1)</f>
        <v>ROW</v>
      </c>
      <c r="N85" s="297">
        <f t="array" ref="N85">if(isblank(E85),"",xlookup($N$9&amp;M85,z_Others!$X$5:$X$17&amp;z_Others!$W$5:$W$17,z_Others!$Z$5:$Z$17,"",0,1))</f>
        <v>35440766</v>
      </c>
      <c r="O85" s="331" t="s">
        <v>494</v>
      </c>
      <c r="P85" s="303" t="s">
        <v>495</v>
      </c>
      <c r="Q85" s="300" t="s">
        <v>413</v>
      </c>
      <c r="R85" s="301" t="s">
        <v>414</v>
      </c>
      <c r="S85" s="302">
        <f t="array" ref="S85">if(isblank(E85),"",xlookup($S$9&amp;M85,z_Others!$X$5:$X$17&amp;z_Others!$W$5:$W$17,z_Others!$Z$5:$Z$17,"",0,1))</f>
        <v>35795514</v>
      </c>
      <c r="T85" s="303" t="str">
        <f t="array" ref="T85">if(isblank(E85),"",xlookup($S$9&amp;M85,z_Others!$X$5:$X$17&amp;z_Others!$W$5:$W$17,z_Others!$AH$5:$AH$17,"",0,1))</f>
        <v>35 795514 040000x</v>
      </c>
      <c r="U85" s="303" t="str">
        <f t="array" ref="U85">if(isblank(E85),"",xlookup($S$9&amp;M85,z_Others!$X$5:$X$17&amp;z_Others!$W$5:$W$17,z_Others!$AI$5:$AI$17,"",0,1))</f>
        <v>35 795514 999999x</v>
      </c>
      <c r="V85" s="303" t="str">
        <f t="shared" si="2"/>
        <v>64:9D:38:32:91:82
B0:D5:FB:C6:60:70</v>
      </c>
      <c r="W85" s="303" t="str">
        <f t="shared" si="3"/>
        <v>64:9D:38:37:25:61
B0:D5:FB:CE:01:8F</v>
      </c>
      <c r="X85" s="304" t="str">
        <f t="shared" si="4"/>
        <v>MP1.0</v>
      </c>
      <c r="Y85" s="292"/>
      <c r="Z85" s="304" t="str">
        <f t="shared" si="32"/>
        <v>Android 16</v>
      </c>
      <c r="AA85" s="304" t="str">
        <f t="shared" si="37"/>
        <v>Android 16</v>
      </c>
      <c r="AB85" s="305" t="s">
        <v>843</v>
      </c>
      <c r="AC85" s="305" t="s">
        <v>844</v>
      </c>
      <c r="AD85" s="314" t="s">
        <v>447</v>
      </c>
      <c r="AE85" s="307" t="s">
        <v>418</v>
      </c>
      <c r="AF85" s="308" t="s">
        <v>447</v>
      </c>
      <c r="AG85" s="309" t="s">
        <v>418</v>
      </c>
      <c r="AH85" s="297" t="str">
        <f t="array" ref="AH85">if(isblank(E85),"",xlookup(F85,z_Others!$B$21:$B$45,z_Others!$F$21:$F$45,"TBD",0,1))</f>
        <v>00</v>
      </c>
      <c r="AI85" s="310" t="str">
        <f t="array" ref="AI85">if(isblank(E85),"", xlookup(E85,'Import_FL5_LH_PVTMP_Configs (Do'!E:E,'Import_FL5_LH_PVTMP_Configs (Do'!O:O,"TBD",0,1))</f>
        <v>G710-07800-00</v>
      </c>
      <c r="AJ85" s="311"/>
      <c r="AK85" s="310" t="str">
        <f t="array" ref="AK85">if(isblank(E85),"", xlookup(E85,'Import_FL5_LH_PVTMP_Configs (Do'!E:E,'Import_FL5_LH_PVTMP_Configs (Do'!Q:Q,"TBD",0,1))</f>
        <v>G650-14694-05</v>
      </c>
      <c r="AL85" s="310" t="str">
        <f t="array" ref="AL85">if(isblank(E85),"", xlookup(E85,'Import_FL5_LH_PVTMP_Configs (Do'!E:E,'Import_FL5_LH_PVTMP_Configs (Do'!M:M,"TBD",0,1))</f>
        <v>G710-07670-01</v>
      </c>
      <c r="AM85" s="310" t="str">
        <f t="array" ref="AM85">if(isblank(E85),"", xlookup(E85,'Import_FL5_LH_PVTMP_Configs (Do'!E:E,'Import_FL5_LH_PVTMP_Configs (Do'!N:N,"TBD",0,1))</f>
        <v>G730-09533-02</v>
      </c>
      <c r="AN85" s="310" t="str">
        <f t="array" ref="AN85">if(isblank(E85),"", xlookup(E85,'Import_FL5_LH_PVTMP_Configs (Do'!E:E,'Import_FL5_LH_PVTMP_Configs (Do'!K:K,"TBD",0,1))</f>
        <v>G950-15935-11</v>
      </c>
      <c r="AO85" s="292" t="str">
        <f t="array" ref="AO85">if(isblank(E85),"",XLOOKUP(E85,'FL5_G954 Pkg ASSY (Pkg BOM)'!L:L,'FL5_G954 Pkg ASSY (Pkg BOM)'!G:G,"N/A",0,1))</f>
        <v>G954-09390-00</v>
      </c>
      <c r="AP85" s="292" t="str">
        <f t="array" ref="AP85">if(isblank(E85),"",xlookup(E85,'FL5_G962 Country kit (Accesorie'!L:L,'FL5_G962 Country kit (Accesorie'!G:G,"N/A",0,1))</f>
        <v>N/A</v>
      </c>
      <c r="AQ85" s="304" t="str">
        <f t="array" ref="AQ85">if(isblank(E85),"", xlookup(E85,'Import_LH_Label approve'!E:E,'Import_LH_Label approve'!M:M,"",0,1))</f>
        <v>N/A</v>
      </c>
      <c r="AR85" s="304" t="str">
        <f t="array" ref="AR85">if(isblank(E85),"",xlookup(E85,'Import_LH_Label approve'!E:E,'Import_LH_Label approve'!N:N,"",0,1))</f>
        <v>N/A</v>
      </c>
      <c r="AS85" s="292" t="s">
        <v>419</v>
      </c>
      <c r="AT85" s="302" t="str">
        <f t="shared" si="6"/>
        <v>Yes</v>
      </c>
      <c r="AU85" s="302" t="str">
        <f t="shared" si="7"/>
        <v>No</v>
      </c>
      <c r="AV85" s="302" t="str">
        <f t="shared" si="8"/>
        <v>No</v>
      </c>
      <c r="AW85" s="302"/>
      <c r="AX85" s="302" t="s">
        <v>845</v>
      </c>
      <c r="AY85" s="302" t="s">
        <v>846</v>
      </c>
      <c r="AZ85" s="312" t="str">
        <f t="array" ref="AZ85">if(isblank(E85),"", xlookup(E85,Import_FL5_LH_PVT_BM!D:D,Import_FL5_LH_PVT_BM!AK:AK,$F$4,0,1))</f>
        <v>MP</v>
      </c>
      <c r="BA85" s="292" t="str">
        <f t="shared" si="9"/>
        <v>Bulk_30ct</v>
      </c>
      <c r="BB85" s="313" t="str">
        <f t="array" ref="BB85">if(isblank(E85),"",xlookup(F85,z_Others!$B$21:$B$42,z_Others!$G$21:$G$42,"No",0,1))</f>
        <v>ROW Master Carton Label (EAN)</v>
      </c>
      <c r="BC85" s="313" t="str">
        <f t="array" ref="BC85">if(isblank(E85),"",xlookup(F85,z_Others!$B$21:$B$42,z_Others!$H$21:$H$42,"No",0,1))</f>
        <v>Standard Pallet Label (BTO)
Standard Pallet Label (BTS)</v>
      </c>
      <c r="BD85" s="314" t="str">
        <f t="array" ref="BD85">if(isblank(E85),"",xlookup(E85,'Import_VN_Label approve'!E:E,'Import_VN_Label approve'!L:L,"N/A",0,1))</f>
        <v>N/A</v>
      </c>
      <c r="BE85" s="314" t="str">
        <f t="array" ref="BE85">if(isblank(E85),"",xlookup(E85,'Import_VN_Label approve'!E:E,'Import_VN_Label approve'!N:N,"N/A",0,1))</f>
        <v>N/A</v>
      </c>
      <c r="BF85" s="315"/>
      <c r="BG85" s="349" t="s">
        <v>822</v>
      </c>
      <c r="BH85" s="317" t="s">
        <v>823</v>
      </c>
      <c r="BI85" s="318">
        <v>45773.0</v>
      </c>
      <c r="BJ85" s="319" t="str">
        <f t="array" ref="BJ85">if(isblank(E85),"", xlookup(D85,z_Others!$B$5:$B$17,z_Others!$C$5:$C$17,"",0,1))</f>
        <v>智能手機</v>
      </c>
      <c r="BK85" s="320">
        <v>45782.0</v>
      </c>
      <c r="BL85" s="320" t="str">
        <f t="array" ref="BL85">if(isblank(E85),"",xlookup(E85,'FL5_MP POR_LH_報關備案_G950 &amp; GA'!F:F,'FL5_MP POR_LH_報關備案_G950 &amp; GA'!E:E,"No Need",0,1))</f>
        <v>Close</v>
      </c>
      <c r="BM85" s="321" t="str">
        <f t="array" ref="BM85">if(isblank(E85),"",xlookup($BM$9&amp;E85,'Import_FL5 MPS (06.06.25) - Sor'!E81:E334&amp;'Import_FL5 MPS (06.06.25) - Sor'!F81:F334,'Import_FL5 MPS (06.06.25) - Sor'!ES81:ES334,"No demand",0,1))</f>
        <v>No demand</v>
      </c>
      <c r="BN85" s="321" t="str">
        <f t="array" ref="BN85">if(isblank(E85),"",xlookup($BN$9&amp;E85,'Import_FL5 MPS (06.06.25) - Sor'!E81:E334&amp;'Import_FL5 MPS (06.06.25) - Sor'!F81:F334,'Import_FL5 MPS (06.06.25) - Sor'!ES81:ES334,"No demand",0,1))</f>
        <v>No demand</v>
      </c>
      <c r="BO85" s="321" t="str">
        <f t="array" ref="BO85">if(isblank(E85),"",xlookup($BO$9&amp;E85,'Import_FL5 MPS (06.06.25) - Sor'!E81:E334&amp;'Import_FL5 MPS (06.06.25) - Sor'!F81:F334,'Import_FL5 MPS (06.06.25) - Sor'!ES81:ES334,"No demand",0,1))</f>
        <v>No demand</v>
      </c>
      <c r="BP85" s="322" t="str">
        <f t="array" ref="BP85">if(isblank(E85),"", xlookup(E85,'Import_LH_Label approve'!E:E,'Import_LH_Label approve'!L:L,"",0,1))</f>
        <v>NA</v>
      </c>
      <c r="BQ85" s="322" t="str">
        <f t="array" ref="BQ85">if(isblank(E85),"",xlookup(E85,'Import_VN_Label approve'!E:E,'Import_VN_Label approve'!M:M,"N/A",0,1))</f>
        <v>N/A</v>
      </c>
      <c r="BR85" s="313"/>
      <c r="BS85" s="323"/>
      <c r="BT85" s="324"/>
      <c r="BU85" s="91"/>
    </row>
    <row r="86" hidden="1">
      <c r="A86" s="176"/>
      <c r="B86" s="292">
        <v>75.0</v>
      </c>
      <c r="C86" s="231" t="s">
        <v>289</v>
      </c>
      <c r="D86" s="231" t="s">
        <v>764</v>
      </c>
      <c r="E86" s="351" t="s">
        <v>847</v>
      </c>
      <c r="F86" s="313" t="s">
        <v>527</v>
      </c>
      <c r="G86" s="294" t="s">
        <v>528</v>
      </c>
      <c r="H86" s="292" t="str">
        <f t="array" ref="H86">xlookup(F86,z_Others!$B$21:$B$45,z_Others!$E$21:$E$45,"",0,1)</f>
        <v>Sub6</v>
      </c>
      <c r="I86" s="310" t="s">
        <v>431</v>
      </c>
      <c r="J86" s="231" t="str">
        <f t="array" ref="J86">if(isblank(E86),"",xlookup(I86,z_Others!$M$17:$M$20,z_Others!$O$17:$O$20,"",0,1))</f>
        <v>Lemongrass</v>
      </c>
      <c r="K86" s="292" t="str">
        <f t="array" ref="K86">xlookup(I86,z_Others!$M$17:$M$20,z_Others!$N$17:$N$20,"",0,1)</f>
        <v>YEL</v>
      </c>
      <c r="L86" s="292" t="str">
        <f t="array" ref="L86">xlookup(F86,z_Others!$B$21:$B$45,z_Others!$D$21:$D$45,"",0,1)</f>
        <v>GK2MP
</v>
      </c>
      <c r="M86" s="296" t="str">
        <f t="array" ref="M86">xlookup(F86,z_Others!$B$21:$B$45,z_Others!$C$21:$C$45,"",0,1)</f>
        <v>ROW</v>
      </c>
      <c r="N86" s="297">
        <f t="array" ref="N86">if(isblank(E86),"",xlookup($N$9&amp;M86,z_Others!$X$5:$X$17&amp;z_Others!$W$5:$W$17,z_Others!$Z$5:$Z$17,"",0,1))</f>
        <v>35440766</v>
      </c>
      <c r="O86" s="331" t="s">
        <v>494</v>
      </c>
      <c r="P86" s="303" t="s">
        <v>495</v>
      </c>
      <c r="Q86" s="300" t="s">
        <v>413</v>
      </c>
      <c r="R86" s="301" t="s">
        <v>414</v>
      </c>
      <c r="S86" s="302">
        <f t="array" ref="S86">if(isblank(E86),"",xlookup($S$9&amp;M86,z_Others!$X$5:$X$17&amp;z_Others!$W$5:$W$17,z_Others!$Z$5:$Z$17,"",0,1))</f>
        <v>35795514</v>
      </c>
      <c r="T86" s="303" t="str">
        <f t="array" ref="T86">if(isblank(E86),"",xlookup($S$9&amp;M86,z_Others!$X$5:$X$17&amp;z_Others!$W$5:$W$17,z_Others!$AH$5:$AH$17,"",0,1))</f>
        <v>35 795514 040000x</v>
      </c>
      <c r="U86" s="303" t="str">
        <f t="array" ref="U86">if(isblank(E86),"",xlookup($S$9&amp;M86,z_Others!$X$5:$X$17&amp;z_Others!$W$5:$W$17,z_Others!$AI$5:$AI$17,"",0,1))</f>
        <v>35 795514 999999x</v>
      </c>
      <c r="V86" s="303" t="str">
        <f t="shared" si="2"/>
        <v>64:9D:38:32:91:82
B0:D5:FB:C6:60:70</v>
      </c>
      <c r="W86" s="303" t="str">
        <f t="shared" si="3"/>
        <v>64:9D:38:37:25:61
B0:D5:FB:CE:01:8F</v>
      </c>
      <c r="X86" s="304" t="str">
        <f t="shared" si="4"/>
        <v>MP1.0</v>
      </c>
      <c r="Y86" s="292"/>
      <c r="Z86" s="304" t="str">
        <f t="shared" si="32"/>
        <v>Android 16</v>
      </c>
      <c r="AA86" s="304" t="str">
        <f t="shared" si="37"/>
        <v>Android 16</v>
      </c>
      <c r="AB86" s="305" t="s">
        <v>848</v>
      </c>
      <c r="AC86" s="305" t="s">
        <v>849</v>
      </c>
      <c r="AD86" s="314" t="s">
        <v>447</v>
      </c>
      <c r="AE86" s="307" t="s">
        <v>418</v>
      </c>
      <c r="AF86" s="308" t="s">
        <v>447</v>
      </c>
      <c r="AG86" s="309" t="s">
        <v>418</v>
      </c>
      <c r="AH86" s="297" t="str">
        <f t="array" ref="AH86">if(isblank(E86),"",xlookup(F86,z_Others!$B$21:$B$45,z_Others!$F$21:$F$45,"TBD",0,1))</f>
        <v>00</v>
      </c>
      <c r="AI86" s="310" t="str">
        <f t="array" ref="AI86">if(isblank(E86),"", xlookup(E86,'Import_FL5_LH_PVTMP_Configs (Do'!E:E,'Import_FL5_LH_PVTMP_Configs (Do'!O:O,"TBD",0,1))</f>
        <v>G710-07800-00</v>
      </c>
      <c r="AJ86" s="311"/>
      <c r="AK86" s="310" t="str">
        <f t="array" ref="AK86">if(isblank(E86),"", xlookup(E86,'Import_FL5_LH_PVTMP_Configs (Do'!E:E,'Import_FL5_LH_PVTMP_Configs (Do'!Q:Q,"TBD",0,1))</f>
        <v>G650-14694-05</v>
      </c>
      <c r="AL86" s="310" t="str">
        <f t="array" ref="AL86">if(isblank(E86),"", xlookup(E86,'Import_FL5_LH_PVTMP_Configs (Do'!E:E,'Import_FL5_LH_PVTMP_Configs (Do'!M:M,"TBD",0,1))</f>
        <v>G710-07670-01</v>
      </c>
      <c r="AM86" s="310" t="str">
        <f t="array" ref="AM86">if(isblank(E86),"", xlookup(E86,'Import_FL5_LH_PVTMP_Configs (Do'!E:E,'Import_FL5_LH_PVTMP_Configs (Do'!N:N,"TBD",0,1))</f>
        <v>G730-09533-03</v>
      </c>
      <c r="AN86" s="310" t="str">
        <f t="array" ref="AN86">if(isblank(E86),"", xlookup(E86,'Import_FL5_LH_PVTMP_Configs (Do'!E:E,'Import_FL5_LH_PVTMP_Configs (Do'!K:K,"TBD",0,1))</f>
        <v>G950-15935-12</v>
      </c>
      <c r="AO86" s="292" t="str">
        <f t="array" ref="AO86">if(isblank(E86),"",XLOOKUP(E86,'FL5_G954 Pkg ASSY (Pkg BOM)'!L:L,'FL5_G954 Pkg ASSY (Pkg BOM)'!G:G,"N/A",0,1))</f>
        <v>G954-09390-00</v>
      </c>
      <c r="AP86" s="292" t="str">
        <f t="array" ref="AP86">if(isblank(E86),"",xlookup(E86,'FL5_G962 Country kit (Accesorie'!L:L,'FL5_G962 Country kit (Accesorie'!G:G,"N/A",0,1))</f>
        <v>N/A</v>
      </c>
      <c r="AQ86" s="304" t="str">
        <f t="array" ref="AQ86">if(isblank(E86),"", xlookup(E86,'Import_LH_Label approve'!E:E,'Import_LH_Label approve'!M:M,"",0,1))</f>
        <v>N/A</v>
      </c>
      <c r="AR86" s="304" t="str">
        <f t="array" ref="AR86">if(isblank(E86),"",xlookup(E86,'Import_LH_Label approve'!E:E,'Import_LH_Label approve'!N:N,"",0,1))</f>
        <v>N/A</v>
      </c>
      <c r="AS86" s="292" t="s">
        <v>419</v>
      </c>
      <c r="AT86" s="302" t="str">
        <f t="shared" si="6"/>
        <v>Yes</v>
      </c>
      <c r="AU86" s="302" t="str">
        <f t="shared" si="7"/>
        <v>No</v>
      </c>
      <c r="AV86" s="302" t="str">
        <f t="shared" si="8"/>
        <v>No</v>
      </c>
      <c r="AW86" s="302"/>
      <c r="AX86" s="302" t="s">
        <v>850</v>
      </c>
      <c r="AY86" s="302" t="s">
        <v>851</v>
      </c>
      <c r="AZ86" s="312" t="str">
        <f t="array" ref="AZ86">if(isblank(E86),"", xlookup(E86,Import_FL5_LH_PVT_BM!D:D,Import_FL5_LH_PVT_BM!AK:AK,$F$4,0,1))</f>
        <v>MP</v>
      </c>
      <c r="BA86" s="292" t="str">
        <f t="shared" si="9"/>
        <v>Bulk_30ct</v>
      </c>
      <c r="BB86" s="313" t="str">
        <f t="array" ref="BB86">if(isblank(E86),"",xlookup(F86,z_Others!$B$21:$B$42,z_Others!$G$21:$G$42,"No",0,1))</f>
        <v>ROW Master Carton Label (EAN)</v>
      </c>
      <c r="BC86" s="313" t="str">
        <f t="array" ref="BC86">if(isblank(E86),"",xlookup(F86,z_Others!$B$21:$B$42,z_Others!$H$21:$H$42,"No",0,1))</f>
        <v>Standard Pallet Label (BTO)
Standard Pallet Label (BTS)</v>
      </c>
      <c r="BD86" s="314" t="str">
        <f t="array" ref="BD86">if(isblank(E86),"",xlookup(E86,'Import_VN_Label approve'!E:E,'Import_VN_Label approve'!L:L,"N/A",0,1))</f>
        <v>N/A</v>
      </c>
      <c r="BE86" s="314" t="str">
        <f t="array" ref="BE86">if(isblank(E86),"",xlookup(E86,'Import_VN_Label approve'!E:E,'Import_VN_Label approve'!N:N,"N/A",0,1))</f>
        <v>N/A</v>
      </c>
      <c r="BF86" s="315"/>
      <c r="BG86" s="349" t="s">
        <v>822</v>
      </c>
      <c r="BH86" s="317" t="s">
        <v>823</v>
      </c>
      <c r="BI86" s="318">
        <v>45773.0</v>
      </c>
      <c r="BJ86" s="319" t="str">
        <f t="array" ref="BJ86">if(isblank(E86),"", xlookup(D86,z_Others!$B$5:$B$17,z_Others!$C$5:$C$17,"",0,1))</f>
        <v>智能手機</v>
      </c>
      <c r="BK86" s="320">
        <v>45782.0</v>
      </c>
      <c r="BL86" s="320" t="str">
        <f t="array" ref="BL86">if(isblank(E86),"",xlookup(E86,'FL5_MP POR_LH_報關備案_G950 &amp; GA'!F:F,'FL5_MP POR_LH_報關備案_G950 &amp; GA'!E:E,"No Need",0,1))</f>
        <v>Close</v>
      </c>
      <c r="BM86" s="321" t="str">
        <f t="array" ref="BM86">if(isblank(E86),"",xlookup($BM$9&amp;E86,'Import_FL5 MPS (06.06.25) - Sor'!E82:E334&amp;'Import_FL5 MPS (06.06.25) - Sor'!F82:F334,'Import_FL5 MPS (06.06.25) - Sor'!ES82:ES334,"No demand",0,1))</f>
        <v>No demand</v>
      </c>
      <c r="BN86" s="321" t="str">
        <f t="array" ref="BN86">if(isblank(E86),"",xlookup($BN$9&amp;E86,'Import_FL5 MPS (06.06.25) - Sor'!E82:E334&amp;'Import_FL5 MPS (06.06.25) - Sor'!F82:F334,'Import_FL5 MPS (06.06.25) - Sor'!ES82:ES334,"No demand",0,1))</f>
        <v>No demand</v>
      </c>
      <c r="BO86" s="321" t="str">
        <f t="array" ref="BO86">if(isblank(E86),"",xlookup($BO$9&amp;E86,'Import_FL5 MPS (06.06.25) - Sor'!E82:E334&amp;'Import_FL5 MPS (06.06.25) - Sor'!F82:F334,'Import_FL5 MPS (06.06.25) - Sor'!ES82:ES334,"No demand",0,1))</f>
        <v>No demand</v>
      </c>
      <c r="BP86" s="322" t="str">
        <f t="array" ref="BP86">if(isblank(E86),"", xlookup(E86,'Import_LH_Label approve'!E:E,'Import_LH_Label approve'!L:L,"",0,1))</f>
        <v>NA</v>
      </c>
      <c r="BQ86" s="322" t="str">
        <f t="array" ref="BQ86">if(isblank(E86),"",xlookup(E86,'Import_VN_Label approve'!E:E,'Import_VN_Label approve'!M:M,"N/A",0,1))</f>
        <v>N/A</v>
      </c>
      <c r="BR86" s="313"/>
      <c r="BS86" s="323"/>
      <c r="BT86" s="324"/>
      <c r="BU86" s="91"/>
    </row>
    <row r="87" hidden="1">
      <c r="A87" s="176"/>
      <c r="B87" s="292">
        <v>76.0</v>
      </c>
      <c r="C87" s="231" t="s">
        <v>289</v>
      </c>
      <c r="D87" s="231" t="s">
        <v>764</v>
      </c>
      <c r="E87" s="351" t="s">
        <v>852</v>
      </c>
      <c r="F87" s="313" t="s">
        <v>527</v>
      </c>
      <c r="G87" s="294" t="s">
        <v>528</v>
      </c>
      <c r="H87" s="292" t="str">
        <f t="array" ref="H87">xlookup(F87,z_Others!$B$21:$B$45,z_Others!$E$21:$E$45,"",0,1)</f>
        <v>Sub6</v>
      </c>
      <c r="I87" s="310" t="s">
        <v>437</v>
      </c>
      <c r="J87" s="231" t="str">
        <f t="array" ref="J87">if(isblank(E87),"",xlookup(I87,z_Others!$M$17:$M$20,z_Others!$O$17:$O$20,"",0,1))</f>
        <v>Indigo</v>
      </c>
      <c r="K87" s="292" t="str">
        <f t="array" ref="K87">xlookup(I87,z_Others!$M$17:$M$20,z_Others!$N$17:$N$20,"",0,1)</f>
        <v>BUE</v>
      </c>
      <c r="L87" s="292" t="str">
        <f t="array" ref="L87">xlookup(F87,z_Others!$B$21:$B$45,z_Others!$D$21:$D$45,"",0,1)</f>
        <v>GK2MP
</v>
      </c>
      <c r="M87" s="296" t="str">
        <f t="array" ref="M87">xlookup(F87,z_Others!$B$21:$B$45,z_Others!$C$21:$C$45,"",0,1)</f>
        <v>ROW</v>
      </c>
      <c r="N87" s="297">
        <f t="array" ref="N87">if(isblank(E87),"",xlookup($N$9&amp;M87,z_Others!$X$5:$X$17&amp;z_Others!$W$5:$W$17,z_Others!$Z$5:$Z$17,"",0,1))</f>
        <v>35440766</v>
      </c>
      <c r="O87" s="331" t="s">
        <v>494</v>
      </c>
      <c r="P87" s="303" t="s">
        <v>495</v>
      </c>
      <c r="Q87" s="300" t="s">
        <v>413</v>
      </c>
      <c r="R87" s="301" t="s">
        <v>414</v>
      </c>
      <c r="S87" s="302">
        <f t="array" ref="S87">if(isblank(E87),"",xlookup($S$9&amp;M87,z_Others!$X$5:$X$17&amp;z_Others!$W$5:$W$17,z_Others!$Z$5:$Z$17,"",0,1))</f>
        <v>35795514</v>
      </c>
      <c r="T87" s="303" t="str">
        <f t="array" ref="T87">if(isblank(E87),"",xlookup($S$9&amp;M87,z_Others!$X$5:$X$17&amp;z_Others!$W$5:$W$17,z_Others!$AH$5:$AH$17,"",0,1))</f>
        <v>35 795514 040000x</v>
      </c>
      <c r="U87" s="303" t="str">
        <f t="array" ref="U87">if(isblank(E87),"",xlookup($S$9&amp;M87,z_Others!$X$5:$X$17&amp;z_Others!$W$5:$W$17,z_Others!$AI$5:$AI$17,"",0,1))</f>
        <v>35 795514 999999x</v>
      </c>
      <c r="V87" s="303" t="str">
        <f t="shared" si="2"/>
        <v>64:9D:38:32:91:82
B0:D5:FB:C6:60:70</v>
      </c>
      <c r="W87" s="303" t="str">
        <f t="shared" si="3"/>
        <v>64:9D:38:37:25:61
B0:D5:FB:CE:01:8F</v>
      </c>
      <c r="X87" s="304" t="str">
        <f t="shared" si="4"/>
        <v>MP1.0</v>
      </c>
      <c r="Y87" s="292"/>
      <c r="Z87" s="304" t="str">
        <f t="shared" si="32"/>
        <v>Android 16</v>
      </c>
      <c r="AA87" s="304" t="str">
        <f t="shared" si="37"/>
        <v>Android 16</v>
      </c>
      <c r="AB87" s="305" t="s">
        <v>853</v>
      </c>
      <c r="AC87" s="305" t="s">
        <v>854</v>
      </c>
      <c r="AD87" s="314" t="s">
        <v>447</v>
      </c>
      <c r="AE87" s="307" t="s">
        <v>418</v>
      </c>
      <c r="AF87" s="308" t="s">
        <v>447</v>
      </c>
      <c r="AG87" s="309" t="s">
        <v>418</v>
      </c>
      <c r="AH87" s="297" t="str">
        <f t="array" ref="AH87">if(isblank(E87),"",xlookup(F87,z_Others!$B$21:$B$45,z_Others!$F$21:$F$45,"TBD",0,1))</f>
        <v>00</v>
      </c>
      <c r="AI87" s="310" t="str">
        <f t="array" ref="AI87">if(isblank(E87),"", xlookup(E87,'Import_FL5_LH_PVTMP_Configs (Do'!E:E,'Import_FL5_LH_PVTMP_Configs (Do'!O:O,"TBD",0,1))</f>
        <v>G710-07800-00</v>
      </c>
      <c r="AJ87" s="311"/>
      <c r="AK87" s="310" t="str">
        <f t="array" ref="AK87">if(isblank(E87),"", xlookup(E87,'Import_FL5_LH_PVTMP_Configs (Do'!E:E,'Import_FL5_LH_PVTMP_Configs (Do'!Q:Q,"TBD",0,1))</f>
        <v>G650-14694-05</v>
      </c>
      <c r="AL87" s="310" t="str">
        <f t="array" ref="AL87">if(isblank(E87),"", xlookup(E87,'Import_FL5_LH_PVTMP_Configs (Do'!E:E,'Import_FL5_LH_PVTMP_Configs (Do'!M:M,"TBD",0,1))</f>
        <v>G710-07670-01</v>
      </c>
      <c r="AM87" s="310" t="str">
        <f t="array" ref="AM87">if(isblank(E87),"", xlookup(E87,'Import_FL5_LH_PVTMP_Configs (Do'!E:E,'Import_FL5_LH_PVTMP_Configs (Do'!N:N,"TBD",0,1))</f>
        <v>G730-09533-04</v>
      </c>
      <c r="AN87" s="310" t="str">
        <f t="array" ref="AN87">if(isblank(E87),"", xlookup(E87,'Import_FL5_LH_PVTMP_Configs (Do'!E:E,'Import_FL5_LH_PVTMP_Configs (Do'!K:K,"TBD",0,1))</f>
        <v>G950-15935-13</v>
      </c>
      <c r="AO87" s="292" t="str">
        <f t="array" ref="AO87">if(isblank(E87),"",XLOOKUP(E87,'FL5_G954 Pkg ASSY (Pkg BOM)'!L:L,'FL5_G954 Pkg ASSY (Pkg BOM)'!G:G,"N/A",0,1))</f>
        <v>G954-09390-00</v>
      </c>
      <c r="AP87" s="292" t="str">
        <f t="array" ref="AP87">if(isblank(E87),"",xlookup(E87,'FL5_G962 Country kit (Accesorie'!L:L,'FL5_G962 Country kit (Accesorie'!G:G,"N/A",0,1))</f>
        <v>N/A</v>
      </c>
      <c r="AQ87" s="304" t="str">
        <f t="array" ref="AQ87">if(isblank(E87),"", xlookup(E87,'Import_LH_Label approve'!E:E,'Import_LH_Label approve'!M:M,"",0,1))</f>
        <v>N/A</v>
      </c>
      <c r="AR87" s="304" t="str">
        <f t="array" ref="AR87">if(isblank(E87),"",xlookup(E87,'Import_LH_Label approve'!E:E,'Import_LH_Label approve'!N:N,"",0,1))</f>
        <v>N/A</v>
      </c>
      <c r="AS87" s="292" t="s">
        <v>419</v>
      </c>
      <c r="AT87" s="302" t="str">
        <f t="shared" si="6"/>
        <v>Yes</v>
      </c>
      <c r="AU87" s="302" t="str">
        <f t="shared" si="7"/>
        <v>No</v>
      </c>
      <c r="AV87" s="302" t="str">
        <f t="shared" si="8"/>
        <v>No</v>
      </c>
      <c r="AW87" s="302"/>
      <c r="AX87" s="302" t="s">
        <v>855</v>
      </c>
      <c r="AY87" s="302" t="s">
        <v>856</v>
      </c>
      <c r="AZ87" s="312" t="str">
        <f t="array" ref="AZ87">if(isblank(E87),"", xlookup(E87,Import_FL5_LH_PVT_BM!D:D,Import_FL5_LH_PVT_BM!AK:AK,$F$4,0,1))</f>
        <v>MP</v>
      </c>
      <c r="BA87" s="292" t="str">
        <f t="shared" si="9"/>
        <v>Bulk_30ct</v>
      </c>
      <c r="BB87" s="313" t="str">
        <f t="array" ref="BB87">if(isblank(E87),"",xlookup(F87,z_Others!$B$21:$B$42,z_Others!$G$21:$G$42,"No",0,1))</f>
        <v>ROW Master Carton Label (EAN)</v>
      </c>
      <c r="BC87" s="313" t="str">
        <f t="array" ref="BC87">if(isblank(E87),"",xlookup(F87,z_Others!$B$21:$B$42,z_Others!$H$21:$H$42,"No",0,1))</f>
        <v>Standard Pallet Label (BTO)
Standard Pallet Label (BTS)</v>
      </c>
      <c r="BD87" s="314" t="str">
        <f t="array" ref="BD87">if(isblank(E87),"",xlookup(E87,'Import_VN_Label approve'!E:E,'Import_VN_Label approve'!L:L,"N/A",0,1))</f>
        <v>N/A</v>
      </c>
      <c r="BE87" s="314" t="str">
        <f t="array" ref="BE87">if(isblank(E87),"",xlookup(E87,'Import_VN_Label approve'!E:E,'Import_VN_Label approve'!N:N,"N/A",0,1))</f>
        <v>N/A</v>
      </c>
      <c r="BF87" s="315"/>
      <c r="BG87" s="349" t="s">
        <v>822</v>
      </c>
      <c r="BH87" s="317" t="s">
        <v>823</v>
      </c>
      <c r="BI87" s="318">
        <v>45773.0</v>
      </c>
      <c r="BJ87" s="319" t="str">
        <f t="array" ref="BJ87">if(isblank(E87),"", xlookup(D87,z_Others!$B$5:$B$17,z_Others!$C$5:$C$17,"",0,1))</f>
        <v>智能手機</v>
      </c>
      <c r="BK87" s="320">
        <v>45782.0</v>
      </c>
      <c r="BL87" s="320" t="str">
        <f t="array" ref="BL87">if(isblank(E87),"",xlookup(E87,'FL5_MP POR_LH_報關備案_G950 &amp; GA'!F:F,'FL5_MP POR_LH_報關備案_G950 &amp; GA'!E:E,"No Need",0,1))</f>
        <v>Close</v>
      </c>
      <c r="BM87" s="321" t="str">
        <f t="array" ref="BM87">if(isblank(E87),"",xlookup($BM$9&amp;E87,'Import_FL5 MPS (06.06.25) - Sor'!E83:E334&amp;'Import_FL5 MPS (06.06.25) - Sor'!F83:F334,'Import_FL5 MPS (06.06.25) - Sor'!ES83:ES334,"No demand",0,1))</f>
        <v>No demand</v>
      </c>
      <c r="BN87" s="321" t="str">
        <f t="array" ref="BN87">if(isblank(E87),"",xlookup($BN$9&amp;E87,'Import_FL5 MPS (06.06.25) - Sor'!E83:E334&amp;'Import_FL5 MPS (06.06.25) - Sor'!F83:F334,'Import_FL5 MPS (06.06.25) - Sor'!ES83:ES334,"No demand",0,1))</f>
        <v>No demand</v>
      </c>
      <c r="BO87" s="321" t="str">
        <f t="array" ref="BO87">if(isblank(E87),"",xlookup($BO$9&amp;E87,'Import_FL5 MPS (06.06.25) - Sor'!E83:E334&amp;'Import_FL5 MPS (06.06.25) - Sor'!F83:F334,'Import_FL5 MPS (06.06.25) - Sor'!ES83:ES334,"No demand",0,1))</f>
        <v>No demand</v>
      </c>
      <c r="BP87" s="322" t="str">
        <f t="array" ref="BP87">if(isblank(E87),"", xlookup(E87,'Import_LH_Label approve'!E:E,'Import_LH_Label approve'!L:L,"",0,1))</f>
        <v>NA</v>
      </c>
      <c r="BQ87" s="322" t="str">
        <f t="array" ref="BQ87">if(isblank(E87),"",xlookup(E87,'Import_VN_Label approve'!E:E,'Import_VN_Label approve'!M:M,"N/A",0,1))</f>
        <v>N/A</v>
      </c>
      <c r="BR87" s="325"/>
      <c r="BS87" s="323"/>
      <c r="BT87" s="324"/>
      <c r="BU87" s="117"/>
    </row>
    <row r="88" hidden="1">
      <c r="A88" s="176"/>
      <c r="B88" s="292">
        <v>77.0</v>
      </c>
      <c r="C88" s="231" t="s">
        <v>289</v>
      </c>
      <c r="D88" s="231" t="s">
        <v>764</v>
      </c>
      <c r="E88" s="351" t="s">
        <v>857</v>
      </c>
      <c r="F88" s="294" t="s">
        <v>410</v>
      </c>
      <c r="G88" s="294" t="s">
        <v>411</v>
      </c>
      <c r="H88" s="292" t="str">
        <f t="array" ref="H88">xlookup(F88,z_Others!$B$21:$B$45,z_Others!$E$21:$E$45,"",0,1)</f>
        <v>mmWave</v>
      </c>
      <c r="I88" s="310" t="s">
        <v>412</v>
      </c>
      <c r="J88" s="231" t="str">
        <f t="array" ref="J88">if(isblank(E88),"",xlookup(I88,z_Others!$M$17:$M$20,z_Others!$O$17:$O$20,"",0,1))</f>
        <v>Obsidian</v>
      </c>
      <c r="K88" s="292" t="str">
        <f t="array" ref="K88">xlookup(I88,z_Others!$M$17:$M$20,z_Others!$N$17:$N$20,"",0,1)</f>
        <v>BLK</v>
      </c>
      <c r="L88" s="292" t="str">
        <f t="array" ref="L88">xlookup(F88,z_Others!$B$21:$B$45,z_Others!$D$21:$D$45,"",0,1)</f>
        <v>GLBW0</v>
      </c>
      <c r="M88" s="296" t="str">
        <f t="array" ref="M88">xlookup(F88,z_Others!$B$21:$B$45,z_Others!$C$21:$C$45,"",0,1)</f>
        <v>VZW</v>
      </c>
      <c r="N88" s="297">
        <f t="array" ref="N88">if(isblank(E88),"",xlookup($N$9&amp;M88,z_Others!$X$5:$X$17&amp;z_Others!$W$5:$W$17,z_Others!$Z$5:$Z$17,"",0,1))</f>
        <v>35560678</v>
      </c>
      <c r="O88" s="298" t="str">
        <f t="array" ref="O88">if(isblank(E88),"",xlookup($N$9&amp;M88,z_Others!$X$5:$X$17&amp;z_Others!$W$5:$W$17,z_Others!$AH$5:$AH$17,"",0,1))</f>
        <v>35 560678 020000x</v>
      </c>
      <c r="P88" s="299" t="str">
        <f t="array" ref="P88">if(isblank(E88),"",xlookup($N$9&amp;M88,z_Others!$X$5:$X$17&amp;z_Others!$W$5:$W$17,z_Others!$AI$5:$AI$17,"",0,1))</f>
        <v>35 560678 999999x</v>
      </c>
      <c r="Q88" s="300" t="s">
        <v>413</v>
      </c>
      <c r="R88" s="301" t="s">
        <v>414</v>
      </c>
      <c r="S88" s="302">
        <f t="array" ref="S88">if(isblank(E88),"",xlookup($S$9&amp;M88,z_Others!$X$5:$X$17&amp;z_Others!$W$5:$W$17,z_Others!$Z$5:$Z$17,"",0,1))</f>
        <v>35931451</v>
      </c>
      <c r="T88" s="303" t="str">
        <f t="array" ref="T88">if(isblank(E88),"",xlookup($S$9&amp;M88,z_Others!$X$5:$X$17&amp;z_Others!$W$5:$W$17,z_Others!$AH$5:$AH$17,"",0,1))</f>
        <v>35 931451 020000x</v>
      </c>
      <c r="U88" s="303" t="str">
        <f t="array" ref="U88">if(isblank(E88),"",xlookup($S$9&amp;M88,z_Others!$X$5:$X$17&amp;z_Others!$W$5:$W$17,z_Others!$AI$5:$AI$17,"",0,1))</f>
        <v>35 931451 999999x</v>
      </c>
      <c r="V88" s="303" t="str">
        <f t="shared" si="2"/>
        <v>64:9D:38:32:91:82
B0:D5:FB:C6:60:70</v>
      </c>
      <c r="W88" s="303" t="str">
        <f t="shared" si="3"/>
        <v>64:9D:38:37:25:61
B0:D5:FB:CE:01:8F</v>
      </c>
      <c r="X88" s="304" t="str">
        <f t="shared" si="4"/>
        <v>MP1.0</v>
      </c>
      <c r="Y88" s="292"/>
      <c r="Z88" s="304" t="str">
        <f t="shared" si="32"/>
        <v>Android 16</v>
      </c>
      <c r="AA88" s="304" t="str">
        <f t="shared" si="37"/>
        <v>Android 16</v>
      </c>
      <c r="AB88" s="305" t="s">
        <v>858</v>
      </c>
      <c r="AC88" s="305" t="s">
        <v>859</v>
      </c>
      <c r="AD88" s="306" t="s">
        <v>417</v>
      </c>
      <c r="AE88" s="307" t="s">
        <v>418</v>
      </c>
      <c r="AF88" s="308" t="s">
        <v>417</v>
      </c>
      <c r="AG88" s="309" t="s">
        <v>418</v>
      </c>
      <c r="AH88" s="297" t="str">
        <f t="array" ref="AH88">if(isblank(E88),"",xlookup(F88,z_Others!$B$21:$B$45,z_Others!$F$21:$F$45,"TBD",0,1))</f>
        <v>US</v>
      </c>
      <c r="AI88" s="310" t="str">
        <f t="array" ref="AI88">if(isblank(E88),"", xlookup(E88,'Import_FL5_LH_PVTMP_Configs (Do'!E:E,'Import_FL5_LH_PVTMP_Configs (Do'!O:O,"TBD",0,1))</f>
        <v>G710-07800-11</v>
      </c>
      <c r="AJ88" s="311"/>
      <c r="AK88" s="310" t="str">
        <f t="array" ref="AK88">if(isblank(E88),"", xlookup(E88,'Import_FL5_LH_PVTMP_Configs (Do'!E:E,'Import_FL5_LH_PVTMP_Configs (Do'!Q:Q,"TBD",0,1))</f>
        <v>G650-14694-05</v>
      </c>
      <c r="AL88" s="310" t="str">
        <f t="array" ref="AL88">if(isblank(E88),"", xlookup(E88,'Import_FL5_LH_PVTMP_Configs (Do'!E:E,'Import_FL5_LH_PVTMP_Configs (Do'!M:M,"TBD",0,1))</f>
        <v>G710-07670-01</v>
      </c>
      <c r="AM88" s="310" t="str">
        <f t="array" ref="AM88">if(isblank(E88),"", xlookup(E88,'Import_FL5_LH_PVTMP_Configs (Do'!E:E,'Import_FL5_LH_PVTMP_Configs (Do'!N:N,"TBD",0,1))</f>
        <v>G730-09533-01</v>
      </c>
      <c r="AN88" s="310" t="str">
        <f t="array" ref="AN88">if(isblank(E88),"", xlookup(E88,'Import_FL5_LH_PVTMP_Configs (Do'!E:E,'Import_FL5_LH_PVTMP_Configs (Do'!K:K,"TBD",0,1))</f>
        <v>G950-15935-04</v>
      </c>
      <c r="AO88" s="292" t="str">
        <f t="array" ref="AO88">if(isblank(E88),"",XLOOKUP(E88,'FL5_G954 Pkg ASSY (Pkg BOM)'!L:L,'FL5_G954 Pkg ASSY (Pkg BOM)'!G:G,"N/A",0,1))</f>
        <v>G954-09388-00</v>
      </c>
      <c r="AP88" s="292" t="str">
        <f t="array" ref="AP88">if(isblank(E88),"",xlookup(E88,'FL5_G962 Country kit (Accesorie'!L:L,'FL5_G962 Country kit (Accesorie'!G:G,"N/A",0,1))</f>
        <v>N/A</v>
      </c>
      <c r="AQ88" s="304" t="str">
        <f t="array" ref="AQ88">if(isblank(E88),"", xlookup(E88,'Import_LH_Label approve'!E:E,'Import_LH_Label approve'!M:M,"",0,1))</f>
        <v>N/A</v>
      </c>
      <c r="AR88" s="304" t="str">
        <f t="array" ref="AR88">if(isblank(E88),"",xlookup(E88,'Import_LH_Label approve'!E:E,'Import_LH_Label approve'!N:N,"",0,1))</f>
        <v>N/A</v>
      </c>
      <c r="AS88" s="292" t="s">
        <v>596</v>
      </c>
      <c r="AT88" s="302" t="str">
        <f t="shared" si="6"/>
        <v>Yes</v>
      </c>
      <c r="AU88" s="302" t="str">
        <f t="shared" si="7"/>
        <v>No</v>
      </c>
      <c r="AV88" s="302" t="str">
        <f t="shared" si="8"/>
        <v>No</v>
      </c>
      <c r="AW88" s="302"/>
      <c r="AX88" s="302" t="s">
        <v>860</v>
      </c>
      <c r="AY88" s="302" t="s">
        <v>861</v>
      </c>
      <c r="AZ88" s="312" t="str">
        <f t="array" ref="AZ88">if(isblank(E88),"", xlookup(E88,Import_FL5_LH_PVT_BM!D:D,Import_FL5_LH_PVT_BM!AK:AK,$F$4,0,1))</f>
        <v>MP</v>
      </c>
      <c r="BA88" s="292" t="str">
        <f t="shared" si="9"/>
        <v>Bulk_30ct</v>
      </c>
      <c r="BB88" s="313" t="str">
        <f t="array" ref="BB88">if(isblank(E88),"",xlookup(F88,z_Others!$B$21:$B$42,z_Others!$G$21:$G$42,"No",0,1))</f>
        <v>VZN Master Carton Label</v>
      </c>
      <c r="BC88" s="313" t="str">
        <f t="array" ref="BC88">if(isblank(E88),"",xlookup(F88,z_Others!$B$21:$B$42,z_Others!$H$21:$H$42,"No",0,1))</f>
        <v>VZN Pallet Label (BTS)</v>
      </c>
      <c r="BD88" s="314" t="str">
        <f t="array" ref="BD88">if(isblank(E88),"",xlookup(E88,'Import_VN_Label approve'!E:E,'Import_VN_Label approve'!L:L,"N/A",0,1))</f>
        <v>N/A</v>
      </c>
      <c r="BE88" s="314" t="str">
        <f t="array" ref="BE88">if(isblank(E88),"",xlookup(E88,'Import_VN_Label approve'!E:E,'Import_VN_Label approve'!N:N,"N/A",0,1))</f>
        <v>N/A</v>
      </c>
      <c r="BF88" s="315"/>
      <c r="BG88" s="349" t="s">
        <v>770</v>
      </c>
      <c r="BH88" s="317" t="s">
        <v>771</v>
      </c>
      <c r="BI88" s="318">
        <v>45773.0</v>
      </c>
      <c r="BJ88" s="319" t="str">
        <f t="array" ref="BJ88">if(isblank(E88),"", xlookup(D88,z_Others!$B$5:$B$17,z_Others!$C$5:$C$17,"",0,1))</f>
        <v>智能手機</v>
      </c>
      <c r="BK88" s="320">
        <v>45782.0</v>
      </c>
      <c r="BL88" s="320" t="str">
        <f t="array" ref="BL88">if(isblank(E88),"",xlookup(E88,'FL5_MP POR_LH_報關備案_G950 &amp; GA'!F:F,'FL5_MP POR_LH_報關備案_G950 &amp; GA'!E:E,"No Need",0,1))</f>
        <v>Close</v>
      </c>
      <c r="BM88" s="321" t="str">
        <f t="array" ref="BM88">if(isblank(E88),"",xlookup($BM$9&amp;E88,'Import_FL5 MPS (06.06.25) - Sor'!E84:E334&amp;'Import_FL5 MPS (06.06.25) - Sor'!F84:F334,'Import_FL5 MPS (06.06.25) - Sor'!ES84:ES334,"No demand",0,1))</f>
        <v>No demand</v>
      </c>
      <c r="BN88" s="321" t="str">
        <f t="array" ref="BN88">if(isblank(E88),"",xlookup($BN$9&amp;E88,'Import_FL5 MPS (06.06.25) - Sor'!E84:E334&amp;'Import_FL5 MPS (06.06.25) - Sor'!F84:F334,'Import_FL5 MPS (06.06.25) - Sor'!ES84:ES334,"No demand",0,1))</f>
        <v>No demand</v>
      </c>
      <c r="BO88" s="321" t="str">
        <f t="array" ref="BO88">if(isblank(E88),"",xlookup($BO$9&amp;E88,'Import_FL5 MPS (06.06.25) - Sor'!E84:E334&amp;'Import_FL5 MPS (06.06.25) - Sor'!F84:F334,'Import_FL5 MPS (06.06.25) - Sor'!ES84:ES334,"No demand",0,1))</f>
        <v>No demand</v>
      </c>
      <c r="BP88" s="322" t="str">
        <f t="array" ref="BP88">if(isblank(E88),"", xlookup(E88,'Import_LH_Label approve'!E:E,'Import_LH_Label approve'!L:L,"",0,1))</f>
        <v/>
      </c>
      <c r="BQ88" s="322" t="str">
        <f t="array" ref="BQ88">if(isblank(E88),"",xlookup(E88,'Import_VN_Label approve'!E:E,'Import_VN_Label approve'!M:M,"N/A",0,1))</f>
        <v/>
      </c>
      <c r="BR88" s="325"/>
      <c r="BS88" s="323"/>
      <c r="BT88" s="324"/>
      <c r="BU88" s="117"/>
    </row>
    <row r="89" hidden="1">
      <c r="A89" s="176"/>
      <c r="B89" s="292">
        <v>78.0</v>
      </c>
      <c r="C89" s="231" t="s">
        <v>289</v>
      </c>
      <c r="D89" s="231" t="s">
        <v>764</v>
      </c>
      <c r="E89" s="351" t="s">
        <v>862</v>
      </c>
      <c r="F89" s="294" t="s">
        <v>410</v>
      </c>
      <c r="G89" s="294" t="s">
        <v>411</v>
      </c>
      <c r="H89" s="292" t="str">
        <f t="array" ref="H89">xlookup(F89,z_Others!$B$21:$B$45,z_Others!$E$21:$E$45,"",0,1)</f>
        <v>mmWave</v>
      </c>
      <c r="I89" s="310" t="s">
        <v>437</v>
      </c>
      <c r="J89" s="231" t="str">
        <f t="array" ref="J89">if(isblank(E89),"",xlookup(I89,z_Others!$M$17:$M$20,z_Others!$O$17:$O$20,"",0,1))</f>
        <v>Indigo</v>
      </c>
      <c r="K89" s="292" t="str">
        <f t="array" ref="K89">xlookup(I89,z_Others!$M$17:$M$20,z_Others!$N$17:$N$20,"",0,1)</f>
        <v>BUE</v>
      </c>
      <c r="L89" s="292" t="str">
        <f t="array" ref="L89">xlookup(F89,z_Others!$B$21:$B$45,z_Others!$D$21:$D$45,"",0,1)</f>
        <v>GLBW0</v>
      </c>
      <c r="M89" s="296" t="str">
        <f t="array" ref="M89">xlookup(F89,z_Others!$B$21:$B$45,z_Others!$C$21:$C$45,"",0,1)</f>
        <v>VZW</v>
      </c>
      <c r="N89" s="297">
        <f t="array" ref="N89">if(isblank(E89),"",xlookup($N$9&amp;M89,z_Others!$X$5:$X$17&amp;z_Others!$W$5:$W$17,z_Others!$Z$5:$Z$17,"",0,1))</f>
        <v>35560678</v>
      </c>
      <c r="O89" s="298" t="str">
        <f t="array" ref="O89">if(isblank(E89),"",xlookup($N$9&amp;M89,z_Others!$X$5:$X$17&amp;z_Others!$W$5:$W$17,z_Others!$AH$5:$AH$17,"",0,1))</f>
        <v>35 560678 020000x</v>
      </c>
      <c r="P89" s="299" t="str">
        <f t="array" ref="P89">if(isblank(E89),"",xlookup($N$9&amp;M89,z_Others!$X$5:$X$17&amp;z_Others!$W$5:$W$17,z_Others!$AI$5:$AI$17,"",0,1))</f>
        <v>35 560678 999999x</v>
      </c>
      <c r="Q89" s="300" t="s">
        <v>413</v>
      </c>
      <c r="R89" s="301" t="s">
        <v>414</v>
      </c>
      <c r="S89" s="302">
        <f t="array" ref="S89">if(isblank(E89),"",xlookup($S$9&amp;M89,z_Others!$X$5:$X$17&amp;z_Others!$W$5:$W$17,z_Others!$Z$5:$Z$17,"",0,1))</f>
        <v>35931451</v>
      </c>
      <c r="T89" s="303" t="str">
        <f t="array" ref="T89">if(isblank(E89),"",xlookup($S$9&amp;M89,z_Others!$X$5:$X$17&amp;z_Others!$W$5:$W$17,z_Others!$AH$5:$AH$17,"",0,1))</f>
        <v>35 931451 020000x</v>
      </c>
      <c r="U89" s="303" t="str">
        <f t="array" ref="U89">if(isblank(E89),"",xlookup($S$9&amp;M89,z_Others!$X$5:$X$17&amp;z_Others!$W$5:$W$17,z_Others!$AI$5:$AI$17,"",0,1))</f>
        <v>35 931451 999999x</v>
      </c>
      <c r="V89" s="303" t="str">
        <f t="shared" si="2"/>
        <v>64:9D:38:32:91:82
B0:D5:FB:C6:60:70</v>
      </c>
      <c r="W89" s="303" t="str">
        <f t="shared" si="3"/>
        <v>64:9D:38:37:25:61
B0:D5:FB:CE:01:8F</v>
      </c>
      <c r="X89" s="304" t="str">
        <f t="shared" si="4"/>
        <v>MP1.0</v>
      </c>
      <c r="Y89" s="292"/>
      <c r="Z89" s="304" t="str">
        <f t="shared" si="32"/>
        <v>Android 16</v>
      </c>
      <c r="AA89" s="304" t="str">
        <f t="shared" si="37"/>
        <v>Android 16</v>
      </c>
      <c r="AB89" s="305" t="s">
        <v>863</v>
      </c>
      <c r="AC89" s="305" t="s">
        <v>864</v>
      </c>
      <c r="AD89" s="306" t="s">
        <v>417</v>
      </c>
      <c r="AE89" s="307" t="s">
        <v>418</v>
      </c>
      <c r="AF89" s="308" t="s">
        <v>417</v>
      </c>
      <c r="AG89" s="309" t="s">
        <v>418</v>
      </c>
      <c r="AH89" s="297" t="str">
        <f t="array" ref="AH89">if(isblank(E89),"",xlookup(F89,z_Others!$B$21:$B$45,z_Others!$F$21:$F$45,"TBD",0,1))</f>
        <v>US</v>
      </c>
      <c r="AI89" s="310" t="str">
        <f t="array" ref="AI89">if(isblank(E89),"", xlookup(E89,'Import_FL5_LH_PVTMP_Configs (Do'!E:E,'Import_FL5_LH_PVTMP_Configs (Do'!O:O,"TBD",0,1))</f>
        <v>G710-07800-11</v>
      </c>
      <c r="AJ89" s="311"/>
      <c r="AK89" s="310" t="str">
        <f t="array" ref="AK89">if(isblank(E89),"", xlookup(E89,'Import_FL5_LH_PVTMP_Configs (Do'!E:E,'Import_FL5_LH_PVTMP_Configs (Do'!Q:Q,"TBD",0,1))</f>
        <v>G650-14694-05</v>
      </c>
      <c r="AL89" s="310" t="str">
        <f t="array" ref="AL89">if(isblank(E89),"", xlookup(E89,'Import_FL5_LH_PVTMP_Configs (Do'!E:E,'Import_FL5_LH_PVTMP_Configs (Do'!M:M,"TBD",0,1))</f>
        <v>G710-07670-01</v>
      </c>
      <c r="AM89" s="310" t="str">
        <f t="array" ref="AM89">if(isblank(E89),"", xlookup(E89,'Import_FL5_LH_PVTMP_Configs (Do'!E:E,'Import_FL5_LH_PVTMP_Configs (Do'!N:N,"TBD",0,1))</f>
        <v>G730-09533-04</v>
      </c>
      <c r="AN89" s="310" t="str">
        <f t="array" ref="AN89">if(isblank(E89),"", xlookup(E89,'Import_FL5_LH_PVTMP_Configs (Do'!E:E,'Import_FL5_LH_PVTMP_Configs (Do'!K:K,"TBD",0,1))</f>
        <v>G950-15935-07</v>
      </c>
      <c r="AO89" s="292" t="str">
        <f t="array" ref="AO89">if(isblank(E89),"",XLOOKUP(E89,'FL5_G954 Pkg ASSY (Pkg BOM)'!L:L,'FL5_G954 Pkg ASSY (Pkg BOM)'!G:G,"N/A",0,1))</f>
        <v>G954-09388-00</v>
      </c>
      <c r="AP89" s="292" t="str">
        <f t="array" ref="AP89">if(isblank(E89),"",xlookup(E89,'FL5_G962 Country kit (Accesorie'!L:L,'FL5_G962 Country kit (Accesorie'!G:G,"N/A",0,1))</f>
        <v>N/A</v>
      </c>
      <c r="AQ89" s="304" t="str">
        <f t="array" ref="AQ89">if(isblank(E89),"", xlookup(E89,'Import_LH_Label approve'!E:E,'Import_LH_Label approve'!M:M,"",0,1))</f>
        <v>N/A</v>
      </c>
      <c r="AR89" s="304" t="str">
        <f t="array" ref="AR89">if(isblank(E89),"",xlookup(E89,'Import_LH_Label approve'!E:E,'Import_LH_Label approve'!N:N,"",0,1))</f>
        <v>N/A</v>
      </c>
      <c r="AS89" s="292" t="s">
        <v>596</v>
      </c>
      <c r="AT89" s="302" t="str">
        <f t="shared" si="6"/>
        <v>Yes</v>
      </c>
      <c r="AU89" s="302" t="str">
        <f t="shared" si="7"/>
        <v>No</v>
      </c>
      <c r="AV89" s="302" t="str">
        <f t="shared" si="8"/>
        <v>No</v>
      </c>
      <c r="AW89" s="302"/>
      <c r="AX89" s="302" t="s">
        <v>865</v>
      </c>
      <c r="AY89" s="302" t="s">
        <v>866</v>
      </c>
      <c r="AZ89" s="312" t="str">
        <f t="array" ref="AZ89">if(isblank(E89),"", xlookup(E89,Import_FL5_LH_PVT_BM!D:D,Import_FL5_LH_PVT_BM!AK:AK,$F$4,0,1))</f>
        <v>MP</v>
      </c>
      <c r="BA89" s="292" t="str">
        <f t="shared" si="9"/>
        <v>Bulk_30ct</v>
      </c>
      <c r="BB89" s="313" t="str">
        <f t="array" ref="BB89">if(isblank(E89),"",xlookup(F89,z_Others!$B$21:$B$42,z_Others!$G$21:$G$42,"No",0,1))</f>
        <v>VZN Master Carton Label</v>
      </c>
      <c r="BC89" s="313" t="str">
        <f t="array" ref="BC89">if(isblank(E89),"",xlookup(F89,z_Others!$B$21:$B$42,z_Others!$H$21:$H$42,"No",0,1))</f>
        <v>VZN Pallet Label (BTS)</v>
      </c>
      <c r="BD89" s="314" t="str">
        <f t="array" ref="BD89">if(isblank(E89),"",xlookup(E89,'Import_VN_Label approve'!E:E,'Import_VN_Label approve'!L:L,"N/A",0,1))</f>
        <v>N/A</v>
      </c>
      <c r="BE89" s="314" t="str">
        <f t="array" ref="BE89">if(isblank(E89),"",xlookup(E89,'Import_VN_Label approve'!E:E,'Import_VN_Label approve'!N:N,"N/A",0,1))</f>
        <v>N/A</v>
      </c>
      <c r="BF89" s="315"/>
      <c r="BG89" s="349" t="s">
        <v>770</v>
      </c>
      <c r="BH89" s="317" t="s">
        <v>771</v>
      </c>
      <c r="BI89" s="318">
        <v>45773.0</v>
      </c>
      <c r="BJ89" s="319" t="str">
        <f t="array" ref="BJ89">if(isblank(E89),"", xlookup(D89,z_Others!$B$5:$B$17,z_Others!$C$5:$C$17,"",0,1))</f>
        <v>智能手機</v>
      </c>
      <c r="BK89" s="320">
        <v>45782.0</v>
      </c>
      <c r="BL89" s="320" t="str">
        <f t="array" ref="BL89">if(isblank(E89),"",xlookup(E89,'FL5_MP POR_LH_報關備案_G950 &amp; GA'!F:F,'FL5_MP POR_LH_報關備案_G950 &amp; GA'!E:E,"No Need",0,1))</f>
        <v>Close</v>
      </c>
      <c r="BM89" s="321" t="str">
        <f t="array" ref="BM89">if(isblank(E89),"",xlookup($BM$9&amp;E89,'Import_FL5 MPS (06.06.25) - Sor'!E85:E334&amp;'Import_FL5 MPS (06.06.25) - Sor'!F85:F334,'Import_FL5 MPS (06.06.25) - Sor'!ES85:ES334,"No demand",0,1))</f>
        <v>No demand</v>
      </c>
      <c r="BN89" s="321" t="str">
        <f t="array" ref="BN89">if(isblank(E89),"",xlookup($BN$9&amp;E89,'Import_FL5 MPS (06.06.25) - Sor'!E85:E334&amp;'Import_FL5 MPS (06.06.25) - Sor'!F85:F334,'Import_FL5 MPS (06.06.25) - Sor'!ES85:ES334,"No demand",0,1))</f>
        <v>No demand</v>
      </c>
      <c r="BO89" s="321" t="str">
        <f t="array" ref="BO89">if(isblank(E89),"",xlookup($BO$9&amp;E89,'Import_FL5 MPS (06.06.25) - Sor'!E85:E334&amp;'Import_FL5 MPS (06.06.25) - Sor'!F85:F334,'Import_FL5 MPS (06.06.25) - Sor'!ES85:ES334,"No demand",0,1))</f>
        <v>No demand</v>
      </c>
      <c r="BP89" s="322" t="str">
        <f t="array" ref="BP89">if(isblank(E89),"", xlookup(E89,'Import_LH_Label approve'!E:E,'Import_LH_Label approve'!L:L,"",0,1))</f>
        <v/>
      </c>
      <c r="BQ89" s="322" t="str">
        <f t="array" ref="BQ89">if(isblank(E89),"",xlookup(E89,'Import_VN_Label approve'!E:E,'Import_VN_Label approve'!M:M,"N/A",0,1))</f>
        <v/>
      </c>
      <c r="BR89" s="313"/>
      <c r="BS89" s="323"/>
      <c r="BT89" s="324"/>
      <c r="BU89" s="91"/>
    </row>
    <row r="90" hidden="1">
      <c r="A90" s="176"/>
      <c r="B90" s="292">
        <v>79.0</v>
      </c>
      <c r="C90" s="231" t="s">
        <v>289</v>
      </c>
      <c r="D90" s="231" t="s">
        <v>764</v>
      </c>
      <c r="E90" s="351" t="s">
        <v>867</v>
      </c>
      <c r="F90" s="323" t="s">
        <v>458</v>
      </c>
      <c r="G90" s="294" t="s">
        <v>459</v>
      </c>
      <c r="H90" s="292" t="str">
        <f t="array" ref="H90">xlookup(F90,z_Others!$B$21:$B$45,z_Others!$E$21:$E$45,"",0,1)</f>
        <v>mmWave</v>
      </c>
      <c r="I90" s="310" t="s">
        <v>412</v>
      </c>
      <c r="J90" s="231" t="str">
        <f t="array" ref="J90">if(isblank(E90),"",xlookup(I90,z_Others!$M$17:$M$20,z_Others!$O$17:$O$20,"",0,1))</f>
        <v>Obsidian</v>
      </c>
      <c r="K90" s="292" t="str">
        <f t="array" ref="K90">xlookup(I90,z_Others!$M$17:$M$20,z_Others!$N$17:$N$20,"",0,1)</f>
        <v>BLK</v>
      </c>
      <c r="L90" s="292" t="str">
        <f t="array" ref="L90">xlookup(F90,z_Others!$B$21:$B$45,z_Others!$D$21:$D$45,"",0,1)</f>
        <v>GLBW0</v>
      </c>
      <c r="M90" s="296" t="str">
        <f t="array" ref="M90">xlookup(F90,z_Others!$B$21:$B$45,z_Others!$C$21:$C$45,"",0,1)</f>
        <v>TMO</v>
      </c>
      <c r="N90" s="297">
        <f t="array" ref="N90">if(isblank(E90),"",xlookup($N$9&amp;M90,z_Others!$X$5:$X$17&amp;z_Others!$W$5:$W$17,z_Others!$Z$5:$Z$17,"",0,1))</f>
        <v>35163422</v>
      </c>
      <c r="O90" s="298" t="str">
        <f t="array" ref="O90">if(isblank(E90),"",xlookup($N$9&amp;M90,z_Others!$X$5:$X$17&amp;z_Others!$W$5:$W$17,z_Others!$AH$5:$AH$17,"",0,1))</f>
        <v>35 163422 020000x</v>
      </c>
      <c r="P90" s="299" t="str">
        <f t="array" ref="P90">if(isblank(E90),"",xlookup($N$9&amp;M90,z_Others!$X$5:$X$17&amp;z_Others!$W$5:$W$17,z_Others!$AI$5:$AI$17,"",0,1))</f>
        <v>35 163422 999999x</v>
      </c>
      <c r="Q90" s="300" t="s">
        <v>413</v>
      </c>
      <c r="R90" s="301" t="s">
        <v>414</v>
      </c>
      <c r="S90" s="302">
        <f t="array" ref="S90">if(isblank(E90),"",xlookup($S$9&amp;M90,z_Others!$X$5:$X$17&amp;z_Others!$W$5:$W$17,z_Others!$Z$5:$Z$17,"",0,1))</f>
        <v>35676321</v>
      </c>
      <c r="T90" s="303" t="str">
        <f t="array" ref="T90">if(isblank(E90),"",xlookup($S$9&amp;M90,z_Others!$X$5:$X$17&amp;z_Others!$W$5:$W$17,z_Others!$AH$5:$AH$17,"",0,1))</f>
        <v>35 676321 020000x</v>
      </c>
      <c r="U90" s="303" t="str">
        <f t="array" ref="U90">if(isblank(E90),"",xlookup($S$9&amp;M90,z_Others!$X$5:$X$17&amp;z_Others!$W$5:$W$17,z_Others!$AI$5:$AI$17,"",0,1))</f>
        <v>35 676321 999999x</v>
      </c>
      <c r="V90" s="303" t="str">
        <f t="shared" si="2"/>
        <v>64:9D:38:32:91:82
B0:D5:FB:C6:60:70</v>
      </c>
      <c r="W90" s="303" t="str">
        <f t="shared" si="3"/>
        <v>64:9D:38:37:25:61
B0:D5:FB:CE:01:8F</v>
      </c>
      <c r="X90" s="304" t="str">
        <f t="shared" si="4"/>
        <v>MP1.0</v>
      </c>
      <c r="Y90" s="292"/>
      <c r="Z90" s="304" t="str">
        <f t="shared" si="32"/>
        <v>Android 16</v>
      </c>
      <c r="AA90" s="304" t="str">
        <f t="shared" si="37"/>
        <v>Android 16</v>
      </c>
      <c r="AB90" s="305" t="s">
        <v>868</v>
      </c>
      <c r="AC90" s="305" t="s">
        <v>869</v>
      </c>
      <c r="AD90" s="314" t="s">
        <v>447</v>
      </c>
      <c r="AE90" s="307" t="s">
        <v>418</v>
      </c>
      <c r="AF90" s="308" t="s">
        <v>447</v>
      </c>
      <c r="AG90" s="309" t="s">
        <v>418</v>
      </c>
      <c r="AH90" s="297" t="str">
        <f t="array" ref="AH90">if(isblank(E90),"",xlookup(F90,z_Others!$B$21:$B$45,z_Others!$F$21:$F$45,"TBD",0,1))</f>
        <v>US</v>
      </c>
      <c r="AI90" s="310" t="str">
        <f t="array" ref="AI90">if(isblank(E90),"", xlookup(E90,'Import_FL5_LH_PVTMP_Configs (Do'!E:E,'Import_FL5_LH_PVTMP_Configs (Do'!O:O,"TBD",0,1))</f>
        <v>G710-07800-11</v>
      </c>
      <c r="AJ90" s="311"/>
      <c r="AK90" s="310" t="str">
        <f t="array" ref="AK90">if(isblank(E90),"", xlookup(E90,'Import_FL5_LH_PVTMP_Configs (Do'!E:E,'Import_FL5_LH_PVTMP_Configs (Do'!Q:Q,"TBD",0,1))</f>
        <v>G650-14694-05</v>
      </c>
      <c r="AL90" s="310" t="str">
        <f t="array" ref="AL90">if(isblank(E90),"", xlookup(E90,'Import_FL5_LH_PVTMP_Configs (Do'!E:E,'Import_FL5_LH_PVTMP_Configs (Do'!M:M,"TBD",0,1))</f>
        <v>G710-07670-01</v>
      </c>
      <c r="AM90" s="310" t="str">
        <f t="array" ref="AM90">if(isblank(E90),"", xlookup(E90,'Import_FL5_LH_PVTMP_Configs (Do'!E:E,'Import_FL5_LH_PVTMP_Configs (Do'!N:N,"TBD",0,1))</f>
        <v>G730-09533-01</v>
      </c>
      <c r="AN90" s="310" t="str">
        <f t="array" ref="AN90">if(isblank(E90),"", xlookup(E90,'Import_FL5_LH_PVTMP_Configs (Do'!E:E,'Import_FL5_LH_PVTMP_Configs (Do'!K:K,"TBD",0,1))</f>
        <v>G950-15935-04</v>
      </c>
      <c r="AO90" s="292" t="str">
        <f t="array" ref="AO90">if(isblank(E90),"",XLOOKUP(E90,'FL5_G954 Pkg ASSY (Pkg BOM)'!L:L,'FL5_G954 Pkg ASSY (Pkg BOM)'!G:G,"N/A",0,1))</f>
        <v>G954-09387-00</v>
      </c>
      <c r="AP90" s="292" t="str">
        <f t="array" ref="AP90">if(isblank(E90),"",xlookup(E90,'FL5_G962 Country kit (Accesorie'!L:L,'FL5_G962 Country kit (Accesorie'!G:G,"N/A",0,1))</f>
        <v>N/A</v>
      </c>
      <c r="AQ90" s="304" t="str">
        <f t="array" ref="AQ90">if(isblank(E90),"", xlookup(E90,'Import_LH_Label approve'!E:E,'Import_LH_Label approve'!M:M,"",0,1))</f>
        <v>N/A</v>
      </c>
      <c r="AR90" s="304" t="str">
        <f t="array" ref="AR90">if(isblank(E90),"",xlookup(E90,'Import_LH_Label approve'!E:E,'Import_LH_Label approve'!N:N,"",0,1))</f>
        <v>N/A</v>
      </c>
      <c r="AS90" s="292" t="s">
        <v>596</v>
      </c>
      <c r="AT90" s="302" t="str">
        <f t="shared" si="6"/>
        <v>Yes</v>
      </c>
      <c r="AU90" s="302" t="str">
        <f t="shared" si="7"/>
        <v>No</v>
      </c>
      <c r="AV90" s="302" t="str">
        <f t="shared" si="8"/>
        <v>No</v>
      </c>
      <c r="AW90" s="302" t="s">
        <v>870</v>
      </c>
      <c r="AX90" s="302" t="s">
        <v>870</v>
      </c>
      <c r="AY90" s="302" t="s">
        <v>871</v>
      </c>
      <c r="AZ90" s="312" t="str">
        <f t="array" ref="AZ90">if(isblank(E90),"", xlookup(E90,Import_FL5_LH_PVT_BM!D:D,Import_FL5_LH_PVT_BM!AK:AK,$F$4,0,1))</f>
        <v>MP</v>
      </c>
      <c r="BA90" s="292" t="str">
        <f t="shared" si="9"/>
        <v>Bulk_30ct</v>
      </c>
      <c r="BB90" s="313" t="str">
        <f t="array" ref="BB90">if(isblank(E90),"",xlookup(F90,z_Others!$B$21:$B$42,z_Others!$G$21:$G$42,"No",0,1))</f>
        <v>TMO Master Carton Label</v>
      </c>
      <c r="BC90" s="313" t="str">
        <f t="array" ref="BC90">if(isblank(E90),"",xlookup(F90,z_Others!$B$21:$B$42,z_Others!$H$21:$H$42,"No",0,1))</f>
        <v>T-Mobile Pallet Label (BTO)
T-Mobile Pallet Label (BTS)</v>
      </c>
      <c r="BD90" s="314" t="str">
        <f t="array" ref="BD90">if(isblank(E90),"",xlookup(E90,'Import_VN_Label approve'!E:E,'Import_VN_Label approve'!L:L,"N/A",0,1))</f>
        <v>N/A</v>
      </c>
      <c r="BE90" s="314" t="str">
        <f t="array" ref="BE90">if(isblank(E90),"",xlookup(E90,'Import_VN_Label approve'!E:E,'Import_VN_Label approve'!N:N,"N/A",0,1))</f>
        <v>N/A</v>
      </c>
      <c r="BF90" s="315"/>
      <c r="BG90" s="349" t="s">
        <v>791</v>
      </c>
      <c r="BH90" s="317" t="s">
        <v>792</v>
      </c>
      <c r="BI90" s="318">
        <v>45773.0</v>
      </c>
      <c r="BJ90" s="319" t="str">
        <f t="array" ref="BJ90">if(isblank(E90),"", xlookup(D90,z_Others!$B$5:$B$17,z_Others!$C$5:$C$17,"",0,1))</f>
        <v>智能手機</v>
      </c>
      <c r="BK90" s="320">
        <v>45782.0</v>
      </c>
      <c r="BL90" s="320" t="str">
        <f t="array" ref="BL90">if(isblank(E90),"",xlookup(E90,'FL5_MP POR_LH_報關備案_G950 &amp; GA'!F:F,'FL5_MP POR_LH_報關備案_G950 &amp; GA'!E:E,"No Need",0,1))</f>
        <v>Close</v>
      </c>
      <c r="BM90" s="321" t="str">
        <f t="array" ref="BM90">if(isblank(E90),"",xlookup($BM$9&amp;E90,'Import_FL5 MPS (06.06.25) - Sor'!E86:E334&amp;'Import_FL5 MPS (06.06.25) - Sor'!F86:F334,'Import_FL5 MPS (06.06.25) - Sor'!ES86:ES334,"No demand",0,1))</f>
        <v>No demand</v>
      </c>
      <c r="BN90" s="321" t="str">
        <f t="array" ref="BN90">if(isblank(E90),"",xlookup($BN$9&amp;E90,'Import_FL5 MPS (06.06.25) - Sor'!E86:E334&amp;'Import_FL5 MPS (06.06.25) - Sor'!F86:F334,'Import_FL5 MPS (06.06.25) - Sor'!ES86:ES334,"No demand",0,1))</f>
        <v>No demand</v>
      </c>
      <c r="BO90" s="321" t="str">
        <f t="array" ref="BO90">if(isblank(E90),"",xlookup($BO$9&amp;E90,'Import_FL5 MPS (06.06.25) - Sor'!E86:E334&amp;'Import_FL5 MPS (06.06.25) - Sor'!F86:F334,'Import_FL5 MPS (06.06.25) - Sor'!ES86:ES334,"No demand",0,1))</f>
        <v>No demand</v>
      </c>
      <c r="BP90" s="322" t="str">
        <f t="array" ref="BP90">if(isblank(E90),"", xlookup(E90,'Import_LH_Label approve'!E:E,'Import_LH_Label approve'!L:L,"",0,1))</f>
        <v/>
      </c>
      <c r="BQ90" s="322" t="str">
        <f t="array" ref="BQ90">if(isblank(E90),"",xlookup(E90,'Import_VN_Label approve'!E:E,'Import_VN_Label approve'!M:M,"N/A",0,1))</f>
        <v/>
      </c>
      <c r="BR90" s="325"/>
      <c r="BS90" s="323"/>
      <c r="BT90" s="324"/>
      <c r="BU90" s="117"/>
    </row>
    <row r="91" hidden="1">
      <c r="A91" s="176"/>
      <c r="B91" s="292">
        <v>80.0</v>
      </c>
      <c r="C91" s="231" t="s">
        <v>289</v>
      </c>
      <c r="D91" s="231" t="s">
        <v>764</v>
      </c>
      <c r="E91" s="351" t="s">
        <v>872</v>
      </c>
      <c r="F91" s="323" t="s">
        <v>470</v>
      </c>
      <c r="G91" s="294" t="s">
        <v>471</v>
      </c>
      <c r="H91" s="292" t="str">
        <f t="array" ref="H91">xlookup(F91,z_Others!$B$21:$B$45,z_Others!$E$21:$E$45,"",0,1)</f>
        <v>mmWave</v>
      </c>
      <c r="I91" s="310" t="s">
        <v>412</v>
      </c>
      <c r="J91" s="231" t="str">
        <f t="array" ref="J91">if(isblank(E91),"",xlookup(I91,z_Others!$M$17:$M$20,z_Others!$O$17:$O$20,"",0,1))</f>
        <v>Obsidian</v>
      </c>
      <c r="K91" s="292" t="str">
        <f t="array" ref="K91">xlookup(I91,z_Others!$M$17:$M$20,z_Others!$N$17:$N$20,"",0,1)</f>
        <v>BLK</v>
      </c>
      <c r="L91" s="292" t="str">
        <f t="array" ref="L91">xlookup(F91,z_Others!$B$21:$B$45,z_Others!$D$21:$D$45,"",0,1)</f>
        <v>GLBW0</v>
      </c>
      <c r="M91" s="296" t="str">
        <f t="array" ref="M91">xlookup(F91,z_Others!$B$21:$B$45,z_Others!$C$21:$C$45,"",0,1)</f>
        <v>NA</v>
      </c>
      <c r="N91" s="297">
        <f t="array" ref="N91">if(isblank(E91),"",xlookup($N$9&amp;M91,z_Others!$X$5:$X$17&amp;z_Others!$W$5:$W$17,z_Others!$Z$5:$Z$17,"",0,1))</f>
        <v>35124436</v>
      </c>
      <c r="O91" s="298" t="str">
        <f t="array" ref="O91">if(isblank(E91),"",xlookup($N$9&amp;M91,z_Others!$X$5:$X$17&amp;z_Others!$W$5:$W$17,z_Others!$AH$5:$AH$17,"",0,1))</f>
        <v>35 124436 070000x
</v>
      </c>
      <c r="P91" s="299" t="str">
        <f t="array" ref="P91">if(isblank(E91),"",xlookup($N$9&amp;M91,z_Others!$X$5:$X$17&amp;z_Others!$W$5:$W$17,z_Others!$AI$5:$AI$17,"",0,1))</f>
        <v>35 124436 999999x</v>
      </c>
      <c r="Q91" s="300" t="s">
        <v>413</v>
      </c>
      <c r="R91" s="301" t="s">
        <v>414</v>
      </c>
      <c r="S91" s="302">
        <f t="array" ref="S91">if(isblank(E91),"",xlookup($S$9&amp;M91,z_Others!$X$5:$X$17&amp;z_Others!$W$5:$W$17,z_Others!$Z$5:$Z$17,"",0,1))</f>
        <v>35676628</v>
      </c>
      <c r="T91" s="303" t="str">
        <f t="array" ref="T91">if(isblank(E91),"",xlookup($S$9&amp;M91,z_Others!$X$5:$X$17&amp;z_Others!$W$5:$W$17,z_Others!$AH$5:$AH$17,"",0,1))</f>
        <v>35 676628 040000x
35 676628 340000x</v>
      </c>
      <c r="U91" s="303" t="str">
        <f t="array" ref="U91">if(isblank(E91),"",xlookup($S$9&amp;M91,z_Others!$X$5:$X$17&amp;z_Others!$W$5:$W$17,z_Others!$AI$5:$AI$17,"",0,1))</f>
        <v>35 676628 999999x
35 676628 639999x</v>
      </c>
      <c r="V91" s="303" t="str">
        <f t="shared" si="2"/>
        <v>64:9D:38:32:91:82
B0:D5:FB:C6:60:70</v>
      </c>
      <c r="W91" s="303" t="str">
        <f t="shared" si="3"/>
        <v>64:9D:38:37:25:61
B0:D5:FB:CE:01:8F</v>
      </c>
      <c r="X91" s="304" t="str">
        <f t="shared" si="4"/>
        <v>MP1.0</v>
      </c>
      <c r="Y91" s="292"/>
      <c r="Z91" s="304" t="str">
        <f t="shared" si="32"/>
        <v>Android 16</v>
      </c>
      <c r="AA91" s="304" t="str">
        <f t="shared" si="37"/>
        <v>Android 16</v>
      </c>
      <c r="AB91" s="305" t="s">
        <v>873</v>
      </c>
      <c r="AC91" s="305" t="s">
        <v>874</v>
      </c>
      <c r="AD91" s="314" t="s">
        <v>447</v>
      </c>
      <c r="AE91" s="307" t="s">
        <v>418</v>
      </c>
      <c r="AF91" s="308" t="s">
        <v>447</v>
      </c>
      <c r="AG91" s="309" t="s">
        <v>418</v>
      </c>
      <c r="AH91" s="297" t="str">
        <f t="array" ref="AH91">if(isblank(E91),"",xlookup(F91,z_Others!$B$21:$B$45,z_Others!$F$21:$F$45,"TBD",0,1))</f>
        <v>00</v>
      </c>
      <c r="AI91" s="310" t="str">
        <f t="array" ref="AI91">if(isblank(E91),"", xlookup(E91,'Import_FL5_LH_PVTMP_Configs (Do'!E:E,'Import_FL5_LH_PVTMP_Configs (Do'!O:O,"TBD",0,1))</f>
        <v>G710-07800-11</v>
      </c>
      <c r="AJ91" s="311"/>
      <c r="AK91" s="310" t="str">
        <f t="array" ref="AK91">if(isblank(E91),"", xlookup(E91,'Import_FL5_LH_PVTMP_Configs (Do'!E:E,'Import_FL5_LH_PVTMP_Configs (Do'!Q:Q,"TBD",0,1))</f>
        <v>G650-14694-05</v>
      </c>
      <c r="AL91" s="310" t="str">
        <f t="array" ref="AL91">if(isblank(E91),"", xlookup(E91,'Import_FL5_LH_PVTMP_Configs (Do'!E:E,'Import_FL5_LH_PVTMP_Configs (Do'!M:M,"TBD",0,1))</f>
        <v>G710-07670-01</v>
      </c>
      <c r="AM91" s="310" t="str">
        <f t="array" ref="AM91">if(isblank(E91),"", xlookup(E91,'Import_FL5_LH_PVTMP_Configs (Do'!E:E,'Import_FL5_LH_PVTMP_Configs (Do'!N:N,"TBD",0,1))</f>
        <v>G730-09533-01</v>
      </c>
      <c r="AN91" s="310" t="str">
        <f t="array" ref="AN91">if(isblank(E91),"", xlookup(E91,'Import_FL5_LH_PVTMP_Configs (Do'!E:E,'Import_FL5_LH_PVTMP_Configs (Do'!K:K,"TBD",0,1))</f>
        <v>G950-15935-04</v>
      </c>
      <c r="AO91" s="292" t="str">
        <f t="array" ref="AO91">if(isblank(E91),"",XLOOKUP(E91,'FL5_G954 Pkg ASSY (Pkg BOM)'!L:L,'FL5_G954 Pkg ASSY (Pkg BOM)'!G:G,"N/A",0,1))</f>
        <v>G954-09389-00</v>
      </c>
      <c r="AP91" s="292" t="str">
        <f t="array" ref="AP91">if(isblank(E91),"",xlookup(E91,'FL5_G962 Country kit (Accesorie'!L:L,'FL5_G962 Country kit (Accesorie'!G:G,"N/A",0,1))</f>
        <v>N/A</v>
      </c>
      <c r="AQ91" s="304" t="str">
        <f t="array" ref="AQ91">if(isblank(E91),"", xlookup(E91,'Import_LH_Label approve'!E:E,'Import_LH_Label approve'!M:M,"",0,1))</f>
        <v>N/A</v>
      </c>
      <c r="AR91" s="304" t="str">
        <f t="array" ref="AR91">if(isblank(E91),"",xlookup(E91,'Import_LH_Label approve'!E:E,'Import_LH_Label approve'!N:N,"",0,1))</f>
        <v>N/A</v>
      </c>
      <c r="AS91" s="292" t="s">
        <v>596</v>
      </c>
      <c r="AT91" s="302" t="str">
        <f t="shared" si="6"/>
        <v>Yes</v>
      </c>
      <c r="AU91" s="302" t="str">
        <f t="shared" si="7"/>
        <v>No</v>
      </c>
      <c r="AV91" s="302" t="str">
        <f t="shared" si="8"/>
        <v>No</v>
      </c>
      <c r="AW91" s="302"/>
      <c r="AX91" s="302" t="s">
        <v>875</v>
      </c>
      <c r="AY91" s="302" t="s">
        <v>876</v>
      </c>
      <c r="AZ91" s="312" t="str">
        <f t="array" ref="AZ91">if(isblank(E91),"", xlookup(E91,Import_FL5_LH_PVT_BM!D:D,Import_FL5_LH_PVT_BM!AK:AK,$F$4,0,1))</f>
        <v>MP</v>
      </c>
      <c r="BA91" s="292" t="str">
        <f t="shared" si="9"/>
        <v>Bulk_30ct</v>
      </c>
      <c r="BB91" s="313" t="str">
        <f t="array" ref="BB91">if(isblank(E91),"",xlookup(F91,z_Others!$B$21:$B$42,z_Others!$G$21:$G$42,"No",0,1))</f>
        <v>ROW Master Carton Label (UPC)</v>
      </c>
      <c r="BC91" s="313" t="str">
        <f t="array" ref="BC91">if(isblank(E91),"",xlookup(F91,z_Others!$B$21:$B$42,z_Others!$H$21:$H$42,"No",0,1))</f>
        <v>Standard Pallet Label (BTO)
Standard Pallet Label (BTS)</v>
      </c>
      <c r="BD91" s="314" t="str">
        <f t="array" ref="BD91">if(isblank(E91),"",xlookup(E91,'Import_VN_Label approve'!E:E,'Import_VN_Label approve'!L:L,"N/A",0,1))</f>
        <v>N/A</v>
      </c>
      <c r="BE91" s="314" t="str">
        <f t="array" ref="BE91">if(isblank(E91),"",xlookup(E91,'Import_VN_Label approve'!E:E,'Import_VN_Label approve'!N:N,"N/A",0,1))</f>
        <v>N/A</v>
      </c>
      <c r="BF91" s="315"/>
      <c r="BG91" s="349" t="s">
        <v>791</v>
      </c>
      <c r="BH91" s="317" t="s">
        <v>792</v>
      </c>
      <c r="BI91" s="318">
        <v>45773.0</v>
      </c>
      <c r="BJ91" s="319" t="str">
        <f t="array" ref="BJ91">if(isblank(E91),"", xlookup(D91,z_Others!$B$5:$B$17,z_Others!$C$5:$C$17,"",0,1))</f>
        <v>智能手機</v>
      </c>
      <c r="BK91" s="320">
        <v>45782.0</v>
      </c>
      <c r="BL91" s="320" t="str">
        <f t="array" ref="BL91">if(isblank(E91),"",xlookup(E91,'FL5_MP POR_LH_報關備案_G950 &amp; GA'!F:F,'FL5_MP POR_LH_報關備案_G950 &amp; GA'!E:E,"No Need",0,1))</f>
        <v>Close</v>
      </c>
      <c r="BM91" s="321" t="str">
        <f t="array" ref="BM91">if(isblank(E91),"",xlookup($BM$9&amp;E91,'Import_FL5 MPS (06.06.25) - Sor'!E87:E334&amp;'Import_FL5 MPS (06.06.25) - Sor'!F87:F334,'Import_FL5 MPS (06.06.25) - Sor'!ES87:ES334,"No demand",0,1))</f>
        <v>No demand</v>
      </c>
      <c r="BN91" s="321" t="str">
        <f t="array" ref="BN91">if(isblank(E91),"",xlookup($BN$9&amp;E91,'Import_FL5 MPS (06.06.25) - Sor'!E87:E334&amp;'Import_FL5 MPS (06.06.25) - Sor'!F87:F334,'Import_FL5 MPS (06.06.25) - Sor'!ES87:ES334,"No demand",0,1))</f>
        <v>No demand</v>
      </c>
      <c r="BO91" s="321" t="str">
        <f t="array" ref="BO91">if(isblank(E91),"",xlookup($BO$9&amp;E91,'Import_FL5 MPS (06.06.25) - Sor'!E87:E334&amp;'Import_FL5 MPS (06.06.25) - Sor'!F87:F334,'Import_FL5 MPS (06.06.25) - Sor'!ES87:ES334,"No demand",0,1))</f>
        <v>No demand</v>
      </c>
      <c r="BP91" s="322" t="str">
        <f t="array" ref="BP91">if(isblank(E91),"", xlookup(E91,'Import_LH_Label approve'!E:E,'Import_LH_Label approve'!L:L,"",0,1))</f>
        <v>NA</v>
      </c>
      <c r="BQ91" s="322" t="str">
        <f t="array" ref="BQ91">if(isblank(E91),"",xlookup(E91,'Import_VN_Label approve'!E:E,'Import_VN_Label approve'!M:M,"N/A",0,1))</f>
        <v>N/A</v>
      </c>
      <c r="BR91" s="325"/>
      <c r="BS91" s="323"/>
      <c r="BT91" s="324"/>
      <c r="BU91" s="117"/>
    </row>
    <row r="92" hidden="1">
      <c r="A92" s="176"/>
      <c r="B92" s="292">
        <v>81.0</v>
      </c>
      <c r="C92" s="231" t="s">
        <v>289</v>
      </c>
      <c r="D92" s="231" t="s">
        <v>764</v>
      </c>
      <c r="E92" s="351" t="s">
        <v>877</v>
      </c>
      <c r="F92" s="323" t="s">
        <v>470</v>
      </c>
      <c r="G92" s="294" t="s">
        <v>471</v>
      </c>
      <c r="H92" s="292" t="str">
        <f t="array" ref="H92">xlookup(F92,z_Others!$B$21:$B$45,z_Others!$E$21:$E$45,"",0,1)</f>
        <v>mmWave</v>
      </c>
      <c r="I92" s="310" t="s">
        <v>425</v>
      </c>
      <c r="J92" s="231" t="str">
        <f t="array" ref="J92">if(isblank(E92),"",xlookup(I92,z_Others!$M$17:$M$20,z_Others!$O$17:$O$20,"",0,1))</f>
        <v>Frost</v>
      </c>
      <c r="K92" s="292" t="str">
        <f t="array" ref="K92">xlookup(I92,z_Others!$M$17:$M$20,z_Others!$N$17:$N$20,"",0,1)</f>
        <v>PPL</v>
      </c>
      <c r="L92" s="292" t="str">
        <f t="array" ref="L92">xlookup(F92,z_Others!$B$21:$B$45,z_Others!$D$21:$D$45,"",0,1)</f>
        <v>GLBW0</v>
      </c>
      <c r="M92" s="296" t="str">
        <f t="array" ref="M92">xlookup(F92,z_Others!$B$21:$B$45,z_Others!$C$21:$C$45,"",0,1)</f>
        <v>NA</v>
      </c>
      <c r="N92" s="297">
        <f t="array" ref="N92">if(isblank(E92),"",xlookup($N$9&amp;M92,z_Others!$X$5:$X$17&amp;z_Others!$W$5:$W$17,z_Others!$Z$5:$Z$17,"",0,1))</f>
        <v>35124436</v>
      </c>
      <c r="O92" s="298" t="str">
        <f t="array" ref="O92">if(isblank(E92),"",xlookup($N$9&amp;M92,z_Others!$X$5:$X$17&amp;z_Others!$W$5:$W$17,z_Others!$AH$5:$AH$17,"",0,1))</f>
        <v>35 124436 070000x
</v>
      </c>
      <c r="P92" s="299" t="str">
        <f t="array" ref="P92">if(isblank(E92),"",xlookup($N$9&amp;M92,z_Others!$X$5:$X$17&amp;z_Others!$W$5:$W$17,z_Others!$AI$5:$AI$17,"",0,1))</f>
        <v>35 124436 999999x</v>
      </c>
      <c r="Q92" s="300" t="s">
        <v>413</v>
      </c>
      <c r="R92" s="301" t="s">
        <v>414</v>
      </c>
      <c r="S92" s="302">
        <f t="array" ref="S92">if(isblank(E92),"",xlookup($S$9&amp;M92,z_Others!$X$5:$X$17&amp;z_Others!$W$5:$W$17,z_Others!$Z$5:$Z$17,"",0,1))</f>
        <v>35676628</v>
      </c>
      <c r="T92" s="303" t="str">
        <f t="array" ref="T92">if(isblank(E92),"",xlookup($S$9&amp;M92,z_Others!$X$5:$X$17&amp;z_Others!$W$5:$W$17,z_Others!$AH$5:$AH$17,"",0,1))</f>
        <v>35 676628 040000x
35 676628 340000x</v>
      </c>
      <c r="U92" s="303" t="str">
        <f t="array" ref="U92">if(isblank(E92),"",xlookup($S$9&amp;M92,z_Others!$X$5:$X$17&amp;z_Others!$W$5:$W$17,z_Others!$AI$5:$AI$17,"",0,1))</f>
        <v>35 676628 999999x
35 676628 639999x</v>
      </c>
      <c r="V92" s="303" t="str">
        <f t="shared" si="2"/>
        <v>64:9D:38:32:91:82
B0:D5:FB:C6:60:70</v>
      </c>
      <c r="W92" s="303" t="str">
        <f t="shared" si="3"/>
        <v>64:9D:38:37:25:61
B0:D5:FB:CE:01:8F</v>
      </c>
      <c r="X92" s="304" t="str">
        <f t="shared" si="4"/>
        <v>MP1.0</v>
      </c>
      <c r="Y92" s="292"/>
      <c r="Z92" s="304" t="str">
        <f t="shared" si="32"/>
        <v>Android 16</v>
      </c>
      <c r="AA92" s="304" t="str">
        <f t="shared" si="37"/>
        <v>Android 16</v>
      </c>
      <c r="AB92" s="305" t="s">
        <v>878</v>
      </c>
      <c r="AC92" s="305" t="s">
        <v>879</v>
      </c>
      <c r="AD92" s="314" t="s">
        <v>447</v>
      </c>
      <c r="AE92" s="307" t="s">
        <v>418</v>
      </c>
      <c r="AF92" s="308" t="s">
        <v>447</v>
      </c>
      <c r="AG92" s="309" t="s">
        <v>418</v>
      </c>
      <c r="AH92" s="297" t="str">
        <f t="array" ref="AH92">if(isblank(E92),"",xlookup(F92,z_Others!$B$21:$B$45,z_Others!$F$21:$F$45,"TBD",0,1))</f>
        <v>00</v>
      </c>
      <c r="AI92" s="310" t="str">
        <f t="array" ref="AI92">if(isblank(E92),"", xlookup(E92,'Import_FL5_LH_PVTMP_Configs (Do'!E:E,'Import_FL5_LH_PVTMP_Configs (Do'!O:O,"TBD",0,1))</f>
        <v>G710-07800-11</v>
      </c>
      <c r="AJ92" s="311"/>
      <c r="AK92" s="310" t="str">
        <f t="array" ref="AK92">if(isblank(E92),"", xlookup(E92,'Import_FL5_LH_PVTMP_Configs (Do'!E:E,'Import_FL5_LH_PVTMP_Configs (Do'!Q:Q,"TBD",0,1))</f>
        <v>G650-14694-05</v>
      </c>
      <c r="AL92" s="310" t="str">
        <f t="array" ref="AL92">if(isblank(E92),"", xlookup(E92,'Import_FL5_LH_PVTMP_Configs (Do'!E:E,'Import_FL5_LH_PVTMP_Configs (Do'!M:M,"TBD",0,1))</f>
        <v>G710-07670-01</v>
      </c>
      <c r="AM92" s="310" t="str">
        <f t="array" ref="AM92">if(isblank(E92),"", xlookup(E92,'Import_FL5_LH_PVTMP_Configs (Do'!E:E,'Import_FL5_LH_PVTMP_Configs (Do'!N:N,"TBD",0,1))</f>
        <v>G730-09533-02</v>
      </c>
      <c r="AN92" s="310" t="str">
        <f t="array" ref="AN92">if(isblank(E92),"", xlookup(E92,'Import_FL5_LH_PVTMP_Configs (Do'!E:E,'Import_FL5_LH_PVTMP_Configs (Do'!K:K,"TBD",0,1))</f>
        <v>G950-15935-05</v>
      </c>
      <c r="AO92" s="292" t="str">
        <f t="array" ref="AO92">if(isblank(E92),"",XLOOKUP(E92,'FL5_G954 Pkg ASSY (Pkg BOM)'!L:L,'FL5_G954 Pkg ASSY (Pkg BOM)'!G:G,"N/A",0,1))</f>
        <v>G954-09389-00</v>
      </c>
      <c r="AP92" s="292" t="str">
        <f t="array" ref="AP92">if(isblank(E92),"",xlookup(E92,'FL5_G962 Country kit (Accesorie'!L:L,'FL5_G962 Country kit (Accesorie'!G:G,"N/A",0,1))</f>
        <v>N/A</v>
      </c>
      <c r="AQ92" s="304" t="str">
        <f t="array" ref="AQ92">if(isblank(E92),"", xlookup(E92,'Import_LH_Label approve'!E:E,'Import_LH_Label approve'!M:M,"",0,1))</f>
        <v>N/A</v>
      </c>
      <c r="AR92" s="304" t="str">
        <f t="array" ref="AR92">if(isblank(E92),"",xlookup(E92,'Import_LH_Label approve'!E:E,'Import_LH_Label approve'!N:N,"",0,1))</f>
        <v>N/A</v>
      </c>
      <c r="AS92" s="292" t="s">
        <v>596</v>
      </c>
      <c r="AT92" s="302" t="str">
        <f t="shared" si="6"/>
        <v>Yes</v>
      </c>
      <c r="AU92" s="302" t="str">
        <f t="shared" si="7"/>
        <v>No</v>
      </c>
      <c r="AV92" s="302" t="str">
        <f t="shared" si="8"/>
        <v>No</v>
      </c>
      <c r="AW92" s="302"/>
      <c r="AX92" s="302" t="s">
        <v>880</v>
      </c>
      <c r="AY92" s="302" t="s">
        <v>881</v>
      </c>
      <c r="AZ92" s="312" t="str">
        <f t="array" ref="AZ92">if(isblank(E92),"", xlookup(E92,Import_FL5_LH_PVT_BM!D:D,Import_FL5_LH_PVT_BM!AK:AK,$F$4,0,1))</f>
        <v>MP</v>
      </c>
      <c r="BA92" s="292" t="str">
        <f t="shared" si="9"/>
        <v>Bulk_30ct</v>
      </c>
      <c r="BB92" s="313" t="str">
        <f t="array" ref="BB92">if(isblank(E92),"",xlookup(F92,z_Others!$B$21:$B$42,z_Others!$G$21:$G$42,"No",0,1))</f>
        <v>ROW Master Carton Label (UPC)</v>
      </c>
      <c r="BC92" s="313" t="str">
        <f t="array" ref="BC92">if(isblank(E92),"",xlookup(F92,z_Others!$B$21:$B$42,z_Others!$H$21:$H$42,"No",0,1))</f>
        <v>Standard Pallet Label (BTO)
Standard Pallet Label (BTS)</v>
      </c>
      <c r="BD92" s="314" t="str">
        <f t="array" ref="BD92">if(isblank(E92),"",xlookup(E92,'Import_VN_Label approve'!E:E,'Import_VN_Label approve'!L:L,"N/A",0,1))</f>
        <v>N/A</v>
      </c>
      <c r="BE92" s="314" t="str">
        <f t="array" ref="BE92">if(isblank(E92),"",xlookup(E92,'Import_VN_Label approve'!E:E,'Import_VN_Label approve'!N:N,"N/A",0,1))</f>
        <v>N/A</v>
      </c>
      <c r="BF92" s="315"/>
      <c r="BG92" s="349" t="s">
        <v>791</v>
      </c>
      <c r="BH92" s="317" t="s">
        <v>792</v>
      </c>
      <c r="BI92" s="318">
        <v>45773.0</v>
      </c>
      <c r="BJ92" s="319" t="str">
        <f t="array" ref="BJ92">if(isblank(E92),"", xlookup(D92,z_Others!$B$5:$B$17,z_Others!$C$5:$C$17,"",0,1))</f>
        <v>智能手機</v>
      </c>
      <c r="BK92" s="320">
        <v>45782.0</v>
      </c>
      <c r="BL92" s="320" t="str">
        <f t="array" ref="BL92">if(isblank(E92),"",xlookup(E92,'FL5_MP POR_LH_報關備案_G950 &amp; GA'!F:F,'FL5_MP POR_LH_報關備案_G950 &amp; GA'!E:E,"No Need",0,1))</f>
        <v>Close</v>
      </c>
      <c r="BM92" s="321" t="str">
        <f t="array" ref="BM92">if(isblank(E92),"",xlookup($BM$9&amp;E92,'Import_FL5 MPS (06.06.25) - Sor'!E88:E334&amp;'Import_FL5 MPS (06.06.25) - Sor'!F88:F334,'Import_FL5 MPS (06.06.25) - Sor'!ES88:ES334,"No demand",0,1))</f>
        <v>No demand</v>
      </c>
      <c r="BN92" s="321" t="str">
        <f t="array" ref="BN92">if(isblank(E92),"",xlookup($BN$9&amp;E92,'Import_FL5 MPS (06.06.25) - Sor'!E88:E334&amp;'Import_FL5 MPS (06.06.25) - Sor'!F88:F334,'Import_FL5 MPS (06.06.25) - Sor'!ES88:ES334,"No demand",0,1))</f>
        <v>No demand</v>
      </c>
      <c r="BO92" s="321" t="str">
        <f t="array" ref="BO92">if(isblank(E92),"",xlookup($BO$9&amp;E92,'Import_FL5 MPS (06.06.25) - Sor'!E88:E334&amp;'Import_FL5 MPS (06.06.25) - Sor'!F88:F334,'Import_FL5 MPS (06.06.25) - Sor'!ES88:ES334,"No demand",0,1))</f>
        <v>No demand</v>
      </c>
      <c r="BP92" s="322" t="str">
        <f t="array" ref="BP92">if(isblank(E92),"", xlookup(E92,'Import_LH_Label approve'!E:E,'Import_LH_Label approve'!L:L,"",0,1))</f>
        <v>NA</v>
      </c>
      <c r="BQ92" s="322" t="str">
        <f t="array" ref="BQ92">if(isblank(E92),"",xlookup(E92,'Import_VN_Label approve'!E:E,'Import_VN_Label approve'!M:M,"N/A",0,1))</f>
        <v>N/A</v>
      </c>
      <c r="BR92" s="325"/>
      <c r="BS92" s="323"/>
      <c r="BT92" s="324"/>
      <c r="BU92" s="117"/>
    </row>
    <row r="93" hidden="1">
      <c r="A93" s="176"/>
      <c r="B93" s="292">
        <v>82.0</v>
      </c>
      <c r="C93" s="231" t="s">
        <v>289</v>
      </c>
      <c r="D93" s="231" t="s">
        <v>764</v>
      </c>
      <c r="E93" s="351" t="s">
        <v>882</v>
      </c>
      <c r="F93" s="323" t="s">
        <v>470</v>
      </c>
      <c r="G93" s="294" t="s">
        <v>471</v>
      </c>
      <c r="H93" s="292" t="str">
        <f t="array" ref="H93">xlookup(F93,z_Others!$B$21:$B$45,z_Others!$E$21:$E$45,"",0,1)</f>
        <v>mmWave</v>
      </c>
      <c r="I93" s="310" t="s">
        <v>431</v>
      </c>
      <c r="J93" s="231" t="str">
        <f t="array" ref="J93">if(isblank(E93),"",xlookup(I93,z_Others!$M$17:$M$20,z_Others!$O$17:$O$20,"",0,1))</f>
        <v>Lemongrass</v>
      </c>
      <c r="K93" s="292" t="str">
        <f t="array" ref="K93">xlookup(I93,z_Others!$M$17:$M$20,z_Others!$N$17:$N$20,"",0,1)</f>
        <v>YEL</v>
      </c>
      <c r="L93" s="292" t="str">
        <f t="array" ref="L93">xlookup(F93,z_Others!$B$21:$B$45,z_Others!$D$21:$D$45,"",0,1)</f>
        <v>GLBW0</v>
      </c>
      <c r="M93" s="296" t="str">
        <f t="array" ref="M93">xlookup(F93,z_Others!$B$21:$B$45,z_Others!$C$21:$C$45,"",0,1)</f>
        <v>NA</v>
      </c>
      <c r="N93" s="297">
        <f t="array" ref="N93">if(isblank(E93),"",xlookup($N$9&amp;M93,z_Others!$X$5:$X$17&amp;z_Others!$W$5:$W$17,z_Others!$Z$5:$Z$17,"",0,1))</f>
        <v>35124436</v>
      </c>
      <c r="O93" s="298" t="str">
        <f t="array" ref="O93">if(isblank(E93),"",xlookup($N$9&amp;M93,z_Others!$X$5:$X$17&amp;z_Others!$W$5:$W$17,z_Others!$AH$5:$AH$17,"",0,1))</f>
        <v>35 124436 070000x
</v>
      </c>
      <c r="P93" s="299" t="str">
        <f t="array" ref="P93">if(isblank(E93),"",xlookup($N$9&amp;M93,z_Others!$X$5:$X$17&amp;z_Others!$W$5:$W$17,z_Others!$AI$5:$AI$17,"",0,1))</f>
        <v>35 124436 999999x</v>
      </c>
      <c r="Q93" s="300" t="s">
        <v>413</v>
      </c>
      <c r="R93" s="301" t="s">
        <v>414</v>
      </c>
      <c r="S93" s="302">
        <f t="array" ref="S93">if(isblank(E93),"",xlookup($S$9&amp;M93,z_Others!$X$5:$X$17&amp;z_Others!$W$5:$W$17,z_Others!$Z$5:$Z$17,"",0,1))</f>
        <v>35676628</v>
      </c>
      <c r="T93" s="303" t="str">
        <f t="array" ref="T93">if(isblank(E93),"",xlookup($S$9&amp;M93,z_Others!$X$5:$X$17&amp;z_Others!$W$5:$W$17,z_Others!$AH$5:$AH$17,"",0,1))</f>
        <v>35 676628 040000x
35 676628 340000x</v>
      </c>
      <c r="U93" s="303" t="str">
        <f t="array" ref="U93">if(isblank(E93),"",xlookup($S$9&amp;M93,z_Others!$X$5:$X$17&amp;z_Others!$W$5:$W$17,z_Others!$AI$5:$AI$17,"",0,1))</f>
        <v>35 676628 999999x
35 676628 639999x</v>
      </c>
      <c r="V93" s="303" t="str">
        <f t="shared" si="2"/>
        <v>64:9D:38:32:91:82
B0:D5:FB:C6:60:70</v>
      </c>
      <c r="W93" s="303" t="str">
        <f t="shared" si="3"/>
        <v>64:9D:38:37:25:61
B0:D5:FB:CE:01:8F</v>
      </c>
      <c r="X93" s="304" t="str">
        <f t="shared" si="4"/>
        <v>MP1.0</v>
      </c>
      <c r="Y93" s="292"/>
      <c r="Z93" s="304" t="str">
        <f t="shared" si="32"/>
        <v>Android 16</v>
      </c>
      <c r="AA93" s="304" t="str">
        <f t="shared" si="37"/>
        <v>Android 16</v>
      </c>
      <c r="AB93" s="305" t="s">
        <v>883</v>
      </c>
      <c r="AC93" s="305" t="s">
        <v>884</v>
      </c>
      <c r="AD93" s="314" t="s">
        <v>447</v>
      </c>
      <c r="AE93" s="307" t="s">
        <v>418</v>
      </c>
      <c r="AF93" s="308" t="s">
        <v>447</v>
      </c>
      <c r="AG93" s="309" t="s">
        <v>418</v>
      </c>
      <c r="AH93" s="297" t="str">
        <f t="array" ref="AH93">if(isblank(E93),"",xlookup(F93,z_Others!$B$21:$B$45,z_Others!$F$21:$F$45,"TBD",0,1))</f>
        <v>00</v>
      </c>
      <c r="AI93" s="310" t="str">
        <f t="array" ref="AI93">if(isblank(E93),"", xlookup(E93,'Import_FL5_LH_PVTMP_Configs (Do'!E:E,'Import_FL5_LH_PVTMP_Configs (Do'!O:O,"TBD",0,1))</f>
        <v>G710-07800-11</v>
      </c>
      <c r="AJ93" s="311"/>
      <c r="AK93" s="310" t="str">
        <f t="array" ref="AK93">if(isblank(E93),"", xlookup(E93,'Import_FL5_LH_PVTMP_Configs (Do'!E:E,'Import_FL5_LH_PVTMP_Configs (Do'!Q:Q,"TBD",0,1))</f>
        <v>G650-14694-05</v>
      </c>
      <c r="AL93" s="310" t="str">
        <f t="array" ref="AL93">if(isblank(E93),"", xlookup(E93,'Import_FL5_LH_PVTMP_Configs (Do'!E:E,'Import_FL5_LH_PVTMP_Configs (Do'!M:M,"TBD",0,1))</f>
        <v>G710-07670-01</v>
      </c>
      <c r="AM93" s="310" t="str">
        <f t="array" ref="AM93">if(isblank(E93),"", xlookup(E93,'Import_FL5_LH_PVTMP_Configs (Do'!E:E,'Import_FL5_LH_PVTMP_Configs (Do'!N:N,"TBD",0,1))</f>
        <v>G730-09533-03</v>
      </c>
      <c r="AN93" s="310" t="str">
        <f t="array" ref="AN93">if(isblank(E93),"", xlookup(E93,'Import_FL5_LH_PVTMP_Configs (Do'!E:E,'Import_FL5_LH_PVTMP_Configs (Do'!K:K,"TBD",0,1))</f>
        <v>G950-15935-06</v>
      </c>
      <c r="AO93" s="292" t="str">
        <f t="array" ref="AO93">if(isblank(E93),"",XLOOKUP(E93,'FL5_G954 Pkg ASSY (Pkg BOM)'!L:L,'FL5_G954 Pkg ASSY (Pkg BOM)'!G:G,"N/A",0,1))</f>
        <v>G954-09389-00</v>
      </c>
      <c r="AP93" s="292" t="str">
        <f t="array" ref="AP93">if(isblank(E93),"",xlookup(E93,'FL5_G962 Country kit (Accesorie'!L:L,'FL5_G962 Country kit (Accesorie'!G:G,"N/A",0,1))</f>
        <v>N/A</v>
      </c>
      <c r="AQ93" s="304" t="str">
        <f t="array" ref="AQ93">if(isblank(E93),"", xlookup(E93,'Import_LH_Label approve'!E:E,'Import_LH_Label approve'!M:M,"",0,1))</f>
        <v>N/A</v>
      </c>
      <c r="AR93" s="304" t="str">
        <f t="array" ref="AR93">if(isblank(E93),"",xlookup(E93,'Import_LH_Label approve'!E:E,'Import_LH_Label approve'!N:N,"",0,1))</f>
        <v>N/A</v>
      </c>
      <c r="AS93" s="292" t="s">
        <v>596</v>
      </c>
      <c r="AT93" s="302" t="str">
        <f t="shared" si="6"/>
        <v>Yes</v>
      </c>
      <c r="AU93" s="302" t="str">
        <f t="shared" si="7"/>
        <v>No</v>
      </c>
      <c r="AV93" s="302" t="str">
        <f t="shared" si="8"/>
        <v>No</v>
      </c>
      <c r="AW93" s="302"/>
      <c r="AX93" s="302" t="s">
        <v>885</v>
      </c>
      <c r="AY93" s="302" t="s">
        <v>886</v>
      </c>
      <c r="AZ93" s="312" t="str">
        <f t="array" ref="AZ93">if(isblank(E93),"", xlookup(E93,Import_FL5_LH_PVT_BM!D:D,Import_FL5_LH_PVT_BM!AK:AK,$F$4,0,1))</f>
        <v>MP</v>
      </c>
      <c r="BA93" s="292" t="str">
        <f t="shared" si="9"/>
        <v>Bulk_30ct</v>
      </c>
      <c r="BB93" s="313" t="str">
        <f t="array" ref="BB93">if(isblank(E93),"",xlookup(F93,z_Others!$B$21:$B$42,z_Others!$G$21:$G$42,"No",0,1))</f>
        <v>ROW Master Carton Label (UPC)</v>
      </c>
      <c r="BC93" s="313" t="str">
        <f t="array" ref="BC93">if(isblank(E93),"",xlookup(F93,z_Others!$B$21:$B$42,z_Others!$H$21:$H$42,"No",0,1))</f>
        <v>Standard Pallet Label (BTO)
Standard Pallet Label (BTS)</v>
      </c>
      <c r="BD93" s="314" t="str">
        <f t="array" ref="BD93">if(isblank(E93),"",xlookup(E93,'Import_VN_Label approve'!E:E,'Import_VN_Label approve'!L:L,"N/A",0,1))</f>
        <v>N/A</v>
      </c>
      <c r="BE93" s="314" t="str">
        <f t="array" ref="BE93">if(isblank(E93),"",xlookup(E93,'Import_VN_Label approve'!E:E,'Import_VN_Label approve'!N:N,"N/A",0,1))</f>
        <v>N/A</v>
      </c>
      <c r="BF93" s="315"/>
      <c r="BG93" s="349" t="s">
        <v>791</v>
      </c>
      <c r="BH93" s="317" t="s">
        <v>792</v>
      </c>
      <c r="BI93" s="318">
        <v>45773.0</v>
      </c>
      <c r="BJ93" s="319" t="str">
        <f t="array" ref="BJ93">if(isblank(E93),"", xlookup(D93,z_Others!$B$5:$B$17,z_Others!$C$5:$C$17,"",0,1))</f>
        <v>智能手機</v>
      </c>
      <c r="BK93" s="320">
        <v>45782.0</v>
      </c>
      <c r="BL93" s="320" t="str">
        <f t="array" ref="BL93">if(isblank(E93),"",xlookup(E93,'FL5_MP POR_LH_報關備案_G950 &amp; GA'!F:F,'FL5_MP POR_LH_報關備案_G950 &amp; GA'!E:E,"No Need",0,1))</f>
        <v>Close</v>
      </c>
      <c r="BM93" s="321" t="str">
        <f t="array" ref="BM93">if(isblank(E93),"",xlookup($BM$9&amp;E93,'Import_FL5 MPS (06.06.25) - Sor'!E89:E334&amp;'Import_FL5 MPS (06.06.25) - Sor'!F89:F334,'Import_FL5 MPS (06.06.25) - Sor'!ES89:ES334,"No demand",0,1))</f>
        <v>No demand</v>
      </c>
      <c r="BN93" s="321" t="str">
        <f t="array" ref="BN93">if(isblank(E93),"",xlookup($BN$9&amp;E93,'Import_FL5 MPS (06.06.25) - Sor'!E89:E334&amp;'Import_FL5 MPS (06.06.25) - Sor'!F89:F334,'Import_FL5 MPS (06.06.25) - Sor'!ES89:ES334,"No demand",0,1))</f>
        <v>No demand</v>
      </c>
      <c r="BO93" s="321" t="str">
        <f t="array" ref="BO93">if(isblank(E93),"",xlookup($BO$9&amp;E93,'Import_FL5 MPS (06.06.25) - Sor'!E89:E334&amp;'Import_FL5 MPS (06.06.25) - Sor'!F89:F334,'Import_FL5 MPS (06.06.25) - Sor'!ES89:ES334,"No demand",0,1))</f>
        <v>No demand</v>
      </c>
      <c r="BP93" s="322" t="str">
        <f t="array" ref="BP93">if(isblank(E93),"", xlookup(E93,'Import_LH_Label approve'!E:E,'Import_LH_Label approve'!L:L,"",0,1))</f>
        <v>NA</v>
      </c>
      <c r="BQ93" s="322" t="str">
        <f t="array" ref="BQ93">if(isblank(E93),"",xlookup(E93,'Import_VN_Label approve'!E:E,'Import_VN_Label approve'!M:M,"N/A",0,1))</f>
        <v>N/A</v>
      </c>
      <c r="BR93" s="313"/>
      <c r="BS93" s="323"/>
      <c r="BT93" s="324"/>
      <c r="BU93" s="91"/>
    </row>
    <row r="94" hidden="1">
      <c r="A94" s="176"/>
      <c r="B94" s="292">
        <v>83.0</v>
      </c>
      <c r="C94" s="231" t="s">
        <v>289</v>
      </c>
      <c r="D94" s="231" t="s">
        <v>764</v>
      </c>
      <c r="E94" s="351" t="s">
        <v>887</v>
      </c>
      <c r="F94" s="323" t="s">
        <v>470</v>
      </c>
      <c r="G94" s="294" t="s">
        <v>471</v>
      </c>
      <c r="H94" s="292" t="str">
        <f t="array" ref="H94">xlookup(F94,z_Others!$B$21:$B$45,z_Others!$E$21:$E$45,"",0,1)</f>
        <v>mmWave</v>
      </c>
      <c r="I94" s="310" t="s">
        <v>437</v>
      </c>
      <c r="J94" s="231" t="str">
        <f t="array" ref="J94">if(isblank(E94),"",xlookup(I94,z_Others!$M$17:$M$20,z_Others!$O$17:$O$20,"",0,1))</f>
        <v>Indigo</v>
      </c>
      <c r="K94" s="292" t="str">
        <f t="array" ref="K94">xlookup(I94,z_Others!$M$17:$M$20,z_Others!$N$17:$N$20,"",0,1)</f>
        <v>BUE</v>
      </c>
      <c r="L94" s="292" t="str">
        <f t="array" ref="L94">xlookup(F94,z_Others!$B$21:$B$45,z_Others!$D$21:$D$45,"",0,1)</f>
        <v>GLBW0</v>
      </c>
      <c r="M94" s="296" t="str">
        <f t="array" ref="M94">xlookup(F94,z_Others!$B$21:$B$45,z_Others!$C$21:$C$45,"",0,1)</f>
        <v>NA</v>
      </c>
      <c r="N94" s="297">
        <f t="array" ref="N94">if(isblank(E94),"",xlookup($N$9&amp;M94,z_Others!$X$5:$X$17&amp;z_Others!$W$5:$W$17,z_Others!$Z$5:$Z$17,"",0,1))</f>
        <v>35124436</v>
      </c>
      <c r="O94" s="298" t="str">
        <f t="array" ref="O94">if(isblank(E94),"",xlookup($N$9&amp;M94,z_Others!$X$5:$X$17&amp;z_Others!$W$5:$W$17,z_Others!$AH$5:$AH$17,"",0,1))</f>
        <v>35 124436 070000x
</v>
      </c>
      <c r="P94" s="299" t="str">
        <f t="array" ref="P94">if(isblank(E94),"",xlookup($N$9&amp;M94,z_Others!$X$5:$X$17&amp;z_Others!$W$5:$W$17,z_Others!$AI$5:$AI$17,"",0,1))</f>
        <v>35 124436 999999x</v>
      </c>
      <c r="Q94" s="300" t="s">
        <v>413</v>
      </c>
      <c r="R94" s="301" t="s">
        <v>414</v>
      </c>
      <c r="S94" s="302">
        <f t="array" ref="S94">if(isblank(E94),"",xlookup($S$9&amp;M94,z_Others!$X$5:$X$17&amp;z_Others!$W$5:$W$17,z_Others!$Z$5:$Z$17,"",0,1))</f>
        <v>35676628</v>
      </c>
      <c r="T94" s="303" t="str">
        <f t="array" ref="T94">if(isblank(E94),"",xlookup($S$9&amp;M94,z_Others!$X$5:$X$17&amp;z_Others!$W$5:$W$17,z_Others!$AH$5:$AH$17,"",0,1))</f>
        <v>35 676628 040000x
35 676628 340000x</v>
      </c>
      <c r="U94" s="303" t="str">
        <f t="array" ref="U94">if(isblank(E94),"",xlookup($S$9&amp;M94,z_Others!$X$5:$X$17&amp;z_Others!$W$5:$W$17,z_Others!$AI$5:$AI$17,"",0,1))</f>
        <v>35 676628 999999x
35 676628 639999x</v>
      </c>
      <c r="V94" s="303" t="str">
        <f t="shared" si="2"/>
        <v>64:9D:38:32:91:82
B0:D5:FB:C6:60:70</v>
      </c>
      <c r="W94" s="303" t="str">
        <f t="shared" si="3"/>
        <v>64:9D:38:37:25:61
B0:D5:FB:CE:01:8F</v>
      </c>
      <c r="X94" s="304" t="str">
        <f t="shared" si="4"/>
        <v>MP1.0</v>
      </c>
      <c r="Y94" s="292"/>
      <c r="Z94" s="304" t="str">
        <f t="shared" si="32"/>
        <v>Android 16</v>
      </c>
      <c r="AA94" s="304" t="str">
        <f t="shared" si="37"/>
        <v>Android 16</v>
      </c>
      <c r="AB94" s="305" t="s">
        <v>888</v>
      </c>
      <c r="AC94" s="348" t="s">
        <v>888</v>
      </c>
      <c r="AD94" s="314" t="s">
        <v>447</v>
      </c>
      <c r="AE94" s="307" t="s">
        <v>418</v>
      </c>
      <c r="AF94" s="308" t="s">
        <v>447</v>
      </c>
      <c r="AG94" s="309" t="s">
        <v>418</v>
      </c>
      <c r="AH94" s="297" t="str">
        <f t="array" ref="AH94">if(isblank(E94),"",xlookup(F94,z_Others!$B$21:$B$45,z_Others!$F$21:$F$45,"TBD",0,1))</f>
        <v>00</v>
      </c>
      <c r="AI94" s="310" t="str">
        <f t="array" ref="AI94">if(isblank(E94),"", xlookup(E94,'Import_FL5_LH_PVTMP_Configs (Do'!E:E,'Import_FL5_LH_PVTMP_Configs (Do'!O:O,"TBD",0,1))</f>
        <v>G710-07800-11</v>
      </c>
      <c r="AJ94" s="311"/>
      <c r="AK94" s="310" t="str">
        <f t="array" ref="AK94">if(isblank(E94),"", xlookup(E94,'Import_FL5_LH_PVTMP_Configs (Do'!E:E,'Import_FL5_LH_PVTMP_Configs (Do'!Q:Q,"TBD",0,1))</f>
        <v>G650-14694-05</v>
      </c>
      <c r="AL94" s="310" t="str">
        <f t="array" ref="AL94">if(isblank(E94),"", xlookup(E94,'Import_FL5_LH_PVTMP_Configs (Do'!E:E,'Import_FL5_LH_PVTMP_Configs (Do'!M:M,"TBD",0,1))</f>
        <v>G710-07670-01</v>
      </c>
      <c r="AM94" s="310" t="str">
        <f t="array" ref="AM94">if(isblank(E94),"", xlookup(E94,'Import_FL5_LH_PVTMP_Configs (Do'!E:E,'Import_FL5_LH_PVTMP_Configs (Do'!N:N,"TBD",0,1))</f>
        <v>G730-09533-04</v>
      </c>
      <c r="AN94" s="310" t="str">
        <f t="array" ref="AN94">if(isblank(E94),"", xlookup(E94,'Import_FL5_LH_PVTMP_Configs (Do'!E:E,'Import_FL5_LH_PVTMP_Configs (Do'!K:K,"TBD",0,1))</f>
        <v>G950-15935-07</v>
      </c>
      <c r="AO94" s="292" t="str">
        <f t="array" ref="AO94">if(isblank(E94),"",XLOOKUP(E94,'FL5_G954 Pkg ASSY (Pkg BOM)'!L:L,'FL5_G954 Pkg ASSY (Pkg BOM)'!G:G,"N/A",0,1))</f>
        <v>G954-09389-00</v>
      </c>
      <c r="AP94" s="292" t="str">
        <f t="array" ref="AP94">if(isblank(E94),"",xlookup(E94,'FL5_G962 Country kit (Accesorie'!L:L,'FL5_G962 Country kit (Accesorie'!G:G,"N/A",0,1))</f>
        <v>N/A</v>
      </c>
      <c r="AQ94" s="304" t="str">
        <f t="array" ref="AQ94">if(isblank(E94),"", xlookup(E94,'Import_LH_Label approve'!E:E,'Import_LH_Label approve'!M:M,"",0,1))</f>
        <v>N/A</v>
      </c>
      <c r="AR94" s="304" t="str">
        <f t="array" ref="AR94">if(isblank(E94),"",xlookup(E94,'Import_LH_Label approve'!E:E,'Import_LH_Label approve'!N:N,"",0,1))</f>
        <v>N/A</v>
      </c>
      <c r="AS94" s="292" t="s">
        <v>596</v>
      </c>
      <c r="AT94" s="302" t="str">
        <f t="shared" si="6"/>
        <v>Yes</v>
      </c>
      <c r="AU94" s="302" t="str">
        <f t="shared" si="7"/>
        <v>No</v>
      </c>
      <c r="AV94" s="302" t="str">
        <f t="shared" si="8"/>
        <v>No</v>
      </c>
      <c r="AW94" s="302"/>
      <c r="AX94" s="302" t="s">
        <v>889</v>
      </c>
      <c r="AY94" s="302" t="s">
        <v>890</v>
      </c>
      <c r="AZ94" s="312" t="str">
        <f t="array" ref="AZ94">if(isblank(E94),"", xlookup(E94,Import_FL5_LH_PVT_BM!D:D,Import_FL5_LH_PVT_BM!AK:AK,$F$4,0,1))</f>
        <v>MP</v>
      </c>
      <c r="BA94" s="292" t="str">
        <f t="shared" si="9"/>
        <v>Bulk_30ct</v>
      </c>
      <c r="BB94" s="313" t="str">
        <f t="array" ref="BB94">if(isblank(E94),"",xlookup(F94,z_Others!$B$21:$B$42,z_Others!$G$21:$G$42,"No",0,1))</f>
        <v>ROW Master Carton Label (UPC)</v>
      </c>
      <c r="BC94" s="313" t="str">
        <f t="array" ref="BC94">if(isblank(E94),"",xlookup(F94,z_Others!$B$21:$B$42,z_Others!$H$21:$H$42,"No",0,1))</f>
        <v>Standard Pallet Label (BTO)
Standard Pallet Label (BTS)</v>
      </c>
      <c r="BD94" s="314" t="str">
        <f t="array" ref="BD94">if(isblank(E94),"",xlookup(E94,'Import_VN_Label approve'!E:E,'Import_VN_Label approve'!L:L,"N/A",0,1))</f>
        <v>N/A</v>
      </c>
      <c r="BE94" s="314" t="str">
        <f t="array" ref="BE94">if(isblank(E94),"",xlookup(E94,'Import_VN_Label approve'!E:E,'Import_VN_Label approve'!N:N,"N/A",0,1))</f>
        <v>N/A</v>
      </c>
      <c r="BF94" s="315"/>
      <c r="BG94" s="349" t="s">
        <v>791</v>
      </c>
      <c r="BH94" s="317" t="s">
        <v>792</v>
      </c>
      <c r="BI94" s="318">
        <v>45773.0</v>
      </c>
      <c r="BJ94" s="319" t="str">
        <f t="array" ref="BJ94">if(isblank(E94),"", xlookup(D94,z_Others!$B$5:$B$17,z_Others!$C$5:$C$17,"",0,1))</f>
        <v>智能手機</v>
      </c>
      <c r="BK94" s="320">
        <v>45782.0</v>
      </c>
      <c r="BL94" s="320" t="str">
        <f t="array" ref="BL94">if(isblank(E94),"",xlookup(E94,'FL5_MP POR_LH_報關備案_G950 &amp; GA'!F:F,'FL5_MP POR_LH_報關備案_G950 &amp; GA'!E:E,"No Need",0,1))</f>
        <v>Close</v>
      </c>
      <c r="BM94" s="321" t="str">
        <f t="array" ref="BM94">if(isblank(E94),"",xlookup($BM$9&amp;E94,'Import_FL5 MPS (06.06.25) - Sor'!E90:E334&amp;'Import_FL5 MPS (06.06.25) - Sor'!F90:F334,'Import_FL5 MPS (06.06.25) - Sor'!ES90:ES334,"No demand",0,1))</f>
        <v>No demand</v>
      </c>
      <c r="BN94" s="321" t="str">
        <f t="array" ref="BN94">if(isblank(E94),"",xlookup($BN$9&amp;E94,'Import_FL5 MPS (06.06.25) - Sor'!E90:E334&amp;'Import_FL5 MPS (06.06.25) - Sor'!F90:F334,'Import_FL5 MPS (06.06.25) - Sor'!ES90:ES334,"No demand",0,1))</f>
        <v>No demand</v>
      </c>
      <c r="BO94" s="321" t="str">
        <f t="array" ref="BO94">if(isblank(E94),"",xlookup($BO$9&amp;E94,'Import_FL5 MPS (06.06.25) - Sor'!E90:E334&amp;'Import_FL5 MPS (06.06.25) - Sor'!F90:F334,'Import_FL5 MPS (06.06.25) - Sor'!ES90:ES334,"No demand",0,1))</f>
        <v>No demand</v>
      </c>
      <c r="BP94" s="322" t="str">
        <f t="array" ref="BP94">if(isblank(E94),"", xlookup(E94,'Import_LH_Label approve'!E:E,'Import_LH_Label approve'!L:L,"",0,1))</f>
        <v>NA</v>
      </c>
      <c r="BQ94" s="322" t="str">
        <f t="array" ref="BQ94">if(isblank(E94),"",xlookup(E94,'Import_VN_Label approve'!E:E,'Import_VN_Label approve'!M:M,"N/A",0,1))</f>
        <v>N/A</v>
      </c>
      <c r="BR94" s="313"/>
      <c r="BS94" s="323"/>
      <c r="BT94" s="324"/>
      <c r="BU94" s="91"/>
    </row>
    <row r="95" hidden="1">
      <c r="A95" s="176"/>
      <c r="B95" s="292">
        <v>84.0</v>
      </c>
      <c r="C95" s="231" t="s">
        <v>289</v>
      </c>
      <c r="D95" s="231" t="s">
        <v>764</v>
      </c>
      <c r="E95" s="354" t="s">
        <v>891</v>
      </c>
      <c r="F95" s="294" t="s">
        <v>817</v>
      </c>
      <c r="G95" s="294" t="s">
        <v>493</v>
      </c>
      <c r="H95" s="292" t="str">
        <f t="array" ref="H95">xlookup(F95,z_Others!$B$21:$B$45,z_Others!$E$21:$E$45,"",0,1)</f>
        <v>Sub6</v>
      </c>
      <c r="I95" s="310" t="s">
        <v>412</v>
      </c>
      <c r="J95" s="231" t="str">
        <f t="array" ref="J95">if(isblank(E95),"",xlookup(I95,z_Others!$M$17:$M$20,z_Others!$O$17:$O$20,"",0,1))</f>
        <v>Obsidian</v>
      </c>
      <c r="K95" s="292" t="str">
        <f t="array" ref="K95">xlookup(I95,z_Others!$M$17:$M$20,z_Others!$N$17:$N$20,"",0,1)</f>
        <v>BLK</v>
      </c>
      <c r="L95" s="292" t="str">
        <f t="array" ref="L95">xlookup(F95,z_Others!$B$21:$B$45,z_Others!$D$21:$D$45,"",0,1)</f>
        <v>GK2MP</v>
      </c>
      <c r="M95" s="296" t="str">
        <f t="array" ref="M95">xlookup(F95,z_Others!$B$21:$B$45,z_Others!$C$21:$C$45,"",0,1)</f>
        <v>ROW</v>
      </c>
      <c r="N95" s="297">
        <f t="array" ref="N95">if(isblank(E95),"",xlookup($N$9&amp;M95,z_Others!$X$5:$X$17&amp;z_Others!$W$5:$W$17,z_Others!$Z$5:$Z$17,"",0,1))</f>
        <v>35440766</v>
      </c>
      <c r="O95" s="331" t="s">
        <v>494</v>
      </c>
      <c r="P95" s="303" t="s">
        <v>495</v>
      </c>
      <c r="Q95" s="300" t="s">
        <v>413</v>
      </c>
      <c r="R95" s="301" t="s">
        <v>414</v>
      </c>
      <c r="S95" s="302">
        <f t="array" ref="S95">if(isblank(E95),"",xlookup($S$9&amp;M95,z_Others!$X$5:$X$17&amp;z_Others!$W$5:$W$17,z_Others!$Z$5:$Z$17,"",0,1))</f>
        <v>35795514</v>
      </c>
      <c r="T95" s="303" t="str">
        <f t="array" ref="T95">if(isblank(E95),"",xlookup($S$9&amp;M95,z_Others!$X$5:$X$17&amp;z_Others!$W$5:$W$17,z_Others!$AH$5:$AH$17,"",0,1))</f>
        <v>35 795514 040000x</v>
      </c>
      <c r="U95" s="303" t="str">
        <f t="array" ref="U95">if(isblank(E95),"",xlookup($S$9&amp;M95,z_Others!$X$5:$X$17&amp;z_Others!$W$5:$W$17,z_Others!$AI$5:$AI$17,"",0,1))</f>
        <v>35 795514 999999x</v>
      </c>
      <c r="V95" s="303" t="str">
        <f t="shared" si="2"/>
        <v>64:9D:38:32:91:82
B0:D5:FB:C6:60:70</v>
      </c>
      <c r="W95" s="303" t="str">
        <f t="shared" si="3"/>
        <v>64:9D:38:37:25:61
B0:D5:FB:CE:01:8F</v>
      </c>
      <c r="X95" s="304" t="str">
        <f t="shared" si="4"/>
        <v>MP1.0</v>
      </c>
      <c r="Y95" s="292"/>
      <c r="Z95" s="304" t="str">
        <f t="shared" si="32"/>
        <v>Android 16</v>
      </c>
      <c r="AA95" s="304" t="str">
        <f t="shared" si="37"/>
        <v>Android 16</v>
      </c>
      <c r="AB95" s="305" t="s">
        <v>892</v>
      </c>
      <c r="AC95" s="305" t="s">
        <v>893</v>
      </c>
      <c r="AD95" s="314" t="s">
        <v>447</v>
      </c>
      <c r="AE95" s="307" t="s">
        <v>418</v>
      </c>
      <c r="AF95" s="308" t="s">
        <v>447</v>
      </c>
      <c r="AG95" s="309" t="s">
        <v>418</v>
      </c>
      <c r="AH95" s="297" t="str">
        <f t="array" ref="AH95">if(isblank(E95),"",xlookup(F95,z_Others!$B$21:$B$45,z_Others!$F$21:$F$45,"TBD",0,1))</f>
        <v>00</v>
      </c>
      <c r="AI95" s="310" t="str">
        <f t="array" ref="AI95">if(isblank(E95),"", xlookup(E95,'Import_FL5_LH_PVTMP_Configs (Do'!E:E,'Import_FL5_LH_PVTMP_Configs (Do'!O:O,"TBD",0,1))</f>
        <v>G710-07800-10</v>
      </c>
      <c r="AJ95" s="311"/>
      <c r="AK95" s="310" t="str">
        <f t="array" ref="AK95">if(isblank(E95),"", xlookup(E95,'Import_FL5_LH_PVTMP_Configs (Do'!E:E,'Import_FL5_LH_PVTMP_Configs (Do'!Q:Q,"TBD",0,1))</f>
        <v>G650-14694-05</v>
      </c>
      <c r="AL95" s="310" t="str">
        <f t="array" ref="AL95">if(isblank(E95),"", xlookup(E95,'Import_FL5_LH_PVTMP_Configs (Do'!E:E,'Import_FL5_LH_PVTMP_Configs (Do'!M:M,"TBD",0,1))</f>
        <v>G710-07670-01</v>
      </c>
      <c r="AM95" s="310" t="str">
        <f t="array" ref="AM95">if(isblank(E95),"", xlookup(E95,'Import_FL5_LH_PVTMP_Configs (Do'!E:E,'Import_FL5_LH_PVTMP_Configs (Do'!N:N,"TBD",0,1))</f>
        <v>G730-09533-01</v>
      </c>
      <c r="AN95" s="310" t="str">
        <f t="array" ref="AN95">if(isblank(E95),"", xlookup(E95,'Import_FL5_LH_PVTMP_Configs (Do'!E:E,'Import_FL5_LH_PVTMP_Configs (Do'!K:K,"TBD",0,1))</f>
        <v>G950-15935-14</v>
      </c>
      <c r="AO95" s="292" t="str">
        <f t="array" ref="AO95">if(isblank(E95),"",XLOOKUP(E95,'FL5_G954 Pkg ASSY (Pkg BOM)'!L:L,'FL5_G954 Pkg ASSY (Pkg BOM)'!G:G,"N/A",0,1))</f>
        <v>G954-09475-00</v>
      </c>
      <c r="AP95" s="292" t="str">
        <f t="array" ref="AP95">if(isblank(E95),"",xlookup(E95,'FL5_G962 Country kit (Accesorie'!L:L,'FL5_G962 Country kit (Accesorie'!G:G,"N/A",0,1))</f>
        <v>N/A</v>
      </c>
      <c r="AQ95" s="304" t="str">
        <f t="array" ref="AQ95">if(isblank(E95),"", xlookup(E95,'Import_LH_Label approve'!E:E,'Import_LH_Label approve'!M:M,"",0,1))</f>
        <v>N/A</v>
      </c>
      <c r="AR95" s="304" t="str">
        <f t="array" ref="AR95">if(isblank(E95),"",xlookup(E95,'Import_LH_Label approve'!E:E,'Import_LH_Label approve'!N:N,"",0,1))</f>
        <v>N/A</v>
      </c>
      <c r="AS95" s="292" t="s">
        <v>596</v>
      </c>
      <c r="AT95" s="302" t="str">
        <f t="shared" si="6"/>
        <v>Yes</v>
      </c>
      <c r="AU95" s="302" t="str">
        <f t="shared" si="7"/>
        <v>No</v>
      </c>
      <c r="AV95" s="302" t="str">
        <f t="shared" si="8"/>
        <v>No</v>
      </c>
      <c r="AW95" s="302"/>
      <c r="AX95" s="302" t="s">
        <v>894</v>
      </c>
      <c r="AY95" s="302" t="s">
        <v>895</v>
      </c>
      <c r="AZ95" s="312" t="str">
        <f t="array" ref="AZ95">if(isblank(E95),"", xlookup(E95,Import_FL5_LH_PVT_BM!D:D,Import_FL5_LH_PVT_BM!AK:AK,$F$4,0,1))</f>
        <v>MP</v>
      </c>
      <c r="BA95" s="292" t="str">
        <f t="shared" si="9"/>
        <v>Bulk_30ct</v>
      </c>
      <c r="BB95" s="313" t="str">
        <f t="array" ref="BB95">if(isblank(E95),"",xlookup(F95,z_Others!$B$21:$B$42,z_Others!$G$21:$G$42,"No",0,1))</f>
        <v>ROW Master Carton Label (UPC)</v>
      </c>
      <c r="BC95" s="313" t="str">
        <f t="array" ref="BC95">if(isblank(E95),"",xlookup(F95,z_Others!$B$21:$B$42,z_Others!$H$21:$H$42,"No",0,1))</f>
        <v>Standard Pallet Label (BTO)
Standard Pallet Label (BTS)</v>
      </c>
      <c r="BD95" s="314" t="str">
        <f t="array" ref="BD95">if(isblank(E95),"",xlookup(E95,'Import_VN_Label approve'!E:E,'Import_VN_Label approve'!L:L,"N/A",0,1))</f>
        <v>N/A</v>
      </c>
      <c r="BE95" s="314" t="str">
        <f t="array" ref="BE95">if(isblank(E95),"",xlookup(E95,'Import_VN_Label approve'!E:E,'Import_VN_Label approve'!N:N,"N/A",0,1))</f>
        <v>N/A</v>
      </c>
      <c r="BF95" s="315"/>
      <c r="BG95" s="349" t="s">
        <v>822</v>
      </c>
      <c r="BH95" s="317" t="s">
        <v>823</v>
      </c>
      <c r="BI95" s="318">
        <v>45773.0</v>
      </c>
      <c r="BJ95" s="319" t="str">
        <f t="array" ref="BJ95">if(isblank(E95),"", xlookup(D95,z_Others!$B$5:$B$17,z_Others!$C$5:$C$17,"",0,1))</f>
        <v>智能手機</v>
      </c>
      <c r="BK95" s="320">
        <v>45782.0</v>
      </c>
      <c r="BL95" s="320" t="str">
        <f t="array" ref="BL95">if(isblank(E95),"",xlookup(E95,'FL5_MP POR_LH_報關備案_G950 &amp; GA'!F:F,'FL5_MP POR_LH_報關備案_G950 &amp; GA'!E:E,"No Need",0,1))</f>
        <v>Close</v>
      </c>
      <c r="BM95" s="321" t="str">
        <f t="array" ref="BM95">if(isblank(E95),"",xlookup($BM$9&amp;E95,'Import_FL5 MPS (06.06.25) - Sor'!E91:E334&amp;'Import_FL5 MPS (06.06.25) - Sor'!F91:F334,'Import_FL5 MPS (06.06.25) - Sor'!ES91:ES334,"No demand",0,1))</f>
        <v>No demand</v>
      </c>
      <c r="BN95" s="321" t="str">
        <f t="array" ref="BN95">if(isblank(E95),"",xlookup($BN$9&amp;E95,'Import_FL5 MPS (06.06.25) - Sor'!E91:E334&amp;'Import_FL5 MPS (06.06.25) - Sor'!F91:F334,'Import_FL5 MPS (06.06.25) - Sor'!ES91:ES334,"No demand",0,1))</f>
        <v>No demand</v>
      </c>
      <c r="BO95" s="321" t="str">
        <f t="array" ref="BO95">if(isblank(E95),"",xlookup($BO$9&amp;E95,'Import_FL5 MPS (06.06.25) - Sor'!E91:E334&amp;'Import_FL5 MPS (06.06.25) - Sor'!F91:F334,'Import_FL5 MPS (06.06.25) - Sor'!ES91:ES334,"No demand",0,1))</f>
        <v>No demand</v>
      </c>
      <c r="BP95" s="322" t="str">
        <f t="array" ref="BP95">if(isblank(E95),"", xlookup(E95,'Import_LH_Label approve'!E:E,'Import_LH_Label approve'!L:L,"",0,1))</f>
        <v>NA</v>
      </c>
      <c r="BQ95" s="322" t="str">
        <f t="array" ref="BQ95">if(isblank(E95),"",xlookup(E95,'Import_VN_Label approve'!E:E,'Import_VN_Label approve'!M:M,"N/A",0,1))</f>
        <v>N/A</v>
      </c>
      <c r="BR95" s="325"/>
      <c r="BS95" s="323"/>
      <c r="BT95" s="324"/>
      <c r="BU95" s="117"/>
    </row>
    <row r="96" hidden="1">
      <c r="A96" s="176"/>
      <c r="B96" s="292">
        <v>85.0</v>
      </c>
      <c r="C96" s="231" t="s">
        <v>289</v>
      </c>
      <c r="D96" s="231" t="s">
        <v>764</v>
      </c>
      <c r="E96" s="354" t="s">
        <v>896</v>
      </c>
      <c r="F96" s="294" t="s">
        <v>817</v>
      </c>
      <c r="G96" s="294" t="s">
        <v>493</v>
      </c>
      <c r="H96" s="292" t="str">
        <f t="array" ref="H96">xlookup(F96,z_Others!$B$21:$B$45,z_Others!$E$21:$E$45,"",0,1)</f>
        <v>Sub6</v>
      </c>
      <c r="I96" s="310" t="s">
        <v>425</v>
      </c>
      <c r="J96" s="231" t="str">
        <f t="array" ref="J96">if(isblank(E96),"",xlookup(I96,z_Others!$M$17:$M$20,z_Others!$O$17:$O$20,"",0,1))</f>
        <v>Frost</v>
      </c>
      <c r="K96" s="292" t="str">
        <f t="array" ref="K96">xlookup(I96,z_Others!$M$17:$M$20,z_Others!$N$17:$N$20,"",0,1)</f>
        <v>PPL</v>
      </c>
      <c r="L96" s="292" t="str">
        <f t="array" ref="L96">xlookup(F96,z_Others!$B$21:$B$45,z_Others!$D$21:$D$45,"",0,1)</f>
        <v>GK2MP</v>
      </c>
      <c r="M96" s="296" t="str">
        <f t="array" ref="M96">xlookup(F96,z_Others!$B$21:$B$45,z_Others!$C$21:$C$45,"",0,1)</f>
        <v>ROW</v>
      </c>
      <c r="N96" s="297">
        <f t="array" ref="N96">if(isblank(E96),"",xlookup($N$9&amp;M96,z_Others!$X$5:$X$17&amp;z_Others!$W$5:$W$17,z_Others!$Z$5:$Z$17,"",0,1))</f>
        <v>35440766</v>
      </c>
      <c r="O96" s="331" t="s">
        <v>494</v>
      </c>
      <c r="P96" s="303" t="s">
        <v>495</v>
      </c>
      <c r="Q96" s="300" t="s">
        <v>413</v>
      </c>
      <c r="R96" s="301" t="s">
        <v>414</v>
      </c>
      <c r="S96" s="302">
        <f t="array" ref="S96">if(isblank(E96),"",xlookup($S$9&amp;M96,z_Others!$X$5:$X$17&amp;z_Others!$W$5:$W$17,z_Others!$Z$5:$Z$17,"",0,1))</f>
        <v>35795514</v>
      </c>
      <c r="T96" s="303" t="str">
        <f t="array" ref="T96">if(isblank(E96),"",xlookup($S$9&amp;M96,z_Others!$X$5:$X$17&amp;z_Others!$W$5:$W$17,z_Others!$AH$5:$AH$17,"",0,1))</f>
        <v>35 795514 040000x</v>
      </c>
      <c r="U96" s="303" t="str">
        <f t="array" ref="U96">if(isblank(E96),"",xlookup($S$9&amp;M96,z_Others!$X$5:$X$17&amp;z_Others!$W$5:$W$17,z_Others!$AI$5:$AI$17,"",0,1))</f>
        <v>35 795514 999999x</v>
      </c>
      <c r="V96" s="303" t="str">
        <f t="shared" si="2"/>
        <v>64:9D:38:32:91:82
B0:D5:FB:C6:60:70</v>
      </c>
      <c r="W96" s="303" t="str">
        <f t="shared" si="3"/>
        <v>64:9D:38:37:25:61
B0:D5:FB:CE:01:8F</v>
      </c>
      <c r="X96" s="304" t="str">
        <f t="shared" si="4"/>
        <v>MP1.0</v>
      </c>
      <c r="Y96" s="292"/>
      <c r="Z96" s="304" t="str">
        <f t="shared" si="32"/>
        <v>Android 16</v>
      </c>
      <c r="AA96" s="304" t="str">
        <f t="shared" si="37"/>
        <v>Android 16</v>
      </c>
      <c r="AB96" s="305" t="s">
        <v>897</v>
      </c>
      <c r="AC96" s="305" t="s">
        <v>898</v>
      </c>
      <c r="AD96" s="314" t="s">
        <v>447</v>
      </c>
      <c r="AE96" s="307" t="s">
        <v>418</v>
      </c>
      <c r="AF96" s="308" t="s">
        <v>447</v>
      </c>
      <c r="AG96" s="309" t="s">
        <v>418</v>
      </c>
      <c r="AH96" s="297" t="str">
        <f t="array" ref="AH96">if(isblank(E96),"",xlookup(F96,z_Others!$B$21:$B$45,z_Others!$F$21:$F$45,"TBD",0,1))</f>
        <v>00</v>
      </c>
      <c r="AI96" s="310" t="str">
        <f t="array" ref="AI96">if(isblank(E96),"", xlookup(E96,'Import_FL5_LH_PVTMP_Configs (Do'!E:E,'Import_FL5_LH_PVTMP_Configs (Do'!O:O,"TBD",0,1))</f>
        <v>G710-07800-10</v>
      </c>
      <c r="AJ96" s="311"/>
      <c r="AK96" s="310" t="str">
        <f t="array" ref="AK96">if(isblank(E96),"", xlookup(E96,'Import_FL5_LH_PVTMP_Configs (Do'!E:E,'Import_FL5_LH_PVTMP_Configs (Do'!Q:Q,"TBD",0,1))</f>
        <v>G650-14694-05</v>
      </c>
      <c r="AL96" s="310" t="str">
        <f t="array" ref="AL96">if(isblank(E96),"", xlookup(E96,'Import_FL5_LH_PVTMP_Configs (Do'!E:E,'Import_FL5_LH_PVTMP_Configs (Do'!M:M,"TBD",0,1))</f>
        <v>G710-07670-01</v>
      </c>
      <c r="AM96" s="310" t="str">
        <f t="array" ref="AM96">if(isblank(E96),"", xlookup(E96,'Import_FL5_LH_PVTMP_Configs (Do'!E:E,'Import_FL5_LH_PVTMP_Configs (Do'!N:N,"TBD",0,1))</f>
        <v>G730-09533-02</v>
      </c>
      <c r="AN96" s="310" t="str">
        <f t="array" ref="AN96">if(isblank(E96),"", xlookup(E96,'Import_FL5_LH_PVTMP_Configs (Do'!E:E,'Import_FL5_LH_PVTMP_Configs (Do'!K:K,"TBD",0,1))</f>
        <v>G950-15935-15</v>
      </c>
      <c r="AO96" s="292" t="str">
        <f t="array" ref="AO96">if(isblank(E96),"",XLOOKUP(E96,'FL5_G954 Pkg ASSY (Pkg BOM)'!L:L,'FL5_G954 Pkg ASSY (Pkg BOM)'!G:G,"N/A",0,1))</f>
        <v>G954-09475-00</v>
      </c>
      <c r="AP96" s="292" t="str">
        <f t="array" ref="AP96">if(isblank(E96),"",xlookup(E96,'FL5_G962 Country kit (Accesorie'!L:L,'FL5_G962 Country kit (Accesorie'!G:G,"N/A",0,1))</f>
        <v>N/A</v>
      </c>
      <c r="AQ96" s="304" t="str">
        <f t="array" ref="AQ96">if(isblank(E96),"", xlookup(E96,'Import_LH_Label approve'!E:E,'Import_LH_Label approve'!M:M,"",0,1))</f>
        <v>N/A</v>
      </c>
      <c r="AR96" s="304" t="str">
        <f t="array" ref="AR96">if(isblank(E96),"",xlookup(E96,'Import_LH_Label approve'!E:E,'Import_LH_Label approve'!N:N,"",0,1))</f>
        <v>N/A</v>
      </c>
      <c r="AS96" s="292" t="s">
        <v>596</v>
      </c>
      <c r="AT96" s="302" t="str">
        <f t="shared" si="6"/>
        <v>Yes</v>
      </c>
      <c r="AU96" s="302" t="str">
        <f t="shared" si="7"/>
        <v>No</v>
      </c>
      <c r="AV96" s="302" t="str">
        <f t="shared" si="8"/>
        <v>No</v>
      </c>
      <c r="AW96" s="302"/>
      <c r="AX96" s="302" t="s">
        <v>899</v>
      </c>
      <c r="AY96" s="302" t="s">
        <v>900</v>
      </c>
      <c r="AZ96" s="312" t="str">
        <f t="array" ref="AZ96">if(isblank(E96),"", xlookup(E96,Import_FL5_LH_PVT_BM!D:D,Import_FL5_LH_PVT_BM!AK:AK,$F$4,0,1))</f>
        <v>MP</v>
      </c>
      <c r="BA96" s="292" t="str">
        <f t="shared" si="9"/>
        <v>Bulk_30ct</v>
      </c>
      <c r="BB96" s="313" t="str">
        <f t="array" ref="BB96">if(isblank(E96),"",xlookup(F96,z_Others!$B$21:$B$42,z_Others!$G$21:$G$42,"No",0,1))</f>
        <v>ROW Master Carton Label (UPC)</v>
      </c>
      <c r="BC96" s="313" t="str">
        <f t="array" ref="BC96">if(isblank(E96),"",xlookup(F96,z_Others!$B$21:$B$42,z_Others!$H$21:$H$42,"No",0,1))</f>
        <v>Standard Pallet Label (BTO)
Standard Pallet Label (BTS)</v>
      </c>
      <c r="BD96" s="314" t="str">
        <f t="array" ref="BD96">if(isblank(E96),"",xlookup(E96,'Import_VN_Label approve'!E:E,'Import_VN_Label approve'!L:L,"N/A",0,1))</f>
        <v>N/A</v>
      </c>
      <c r="BE96" s="314" t="str">
        <f t="array" ref="BE96">if(isblank(E96),"",xlookup(E96,'Import_VN_Label approve'!E:E,'Import_VN_Label approve'!N:N,"N/A",0,1))</f>
        <v>N/A</v>
      </c>
      <c r="BF96" s="315"/>
      <c r="BG96" s="349" t="s">
        <v>822</v>
      </c>
      <c r="BH96" s="317" t="s">
        <v>823</v>
      </c>
      <c r="BI96" s="318">
        <v>45773.0</v>
      </c>
      <c r="BJ96" s="319" t="str">
        <f t="array" ref="BJ96">if(isblank(E96),"", xlookup(D96,z_Others!$B$5:$B$17,z_Others!$C$5:$C$17,"",0,1))</f>
        <v>智能手機</v>
      </c>
      <c r="BK96" s="320">
        <v>45782.0</v>
      </c>
      <c r="BL96" s="320" t="str">
        <f t="array" ref="BL96">if(isblank(E96),"",xlookup(E96,'FL5_MP POR_LH_報關備案_G950 &amp; GA'!F:F,'FL5_MP POR_LH_報關備案_G950 &amp; GA'!E:E,"No Need",0,1))</f>
        <v>Close</v>
      </c>
      <c r="BM96" s="321" t="str">
        <f t="array" ref="BM96">if(isblank(E96),"",xlookup($BM$9&amp;E96,'Import_FL5 MPS (06.06.25) - Sor'!E92:E334&amp;'Import_FL5 MPS (06.06.25) - Sor'!F92:F334,'Import_FL5 MPS (06.06.25) - Sor'!ES92:ES334,"No demand",0,1))</f>
        <v>No demand</v>
      </c>
      <c r="BN96" s="321" t="str">
        <f t="array" ref="BN96">if(isblank(E96),"",xlookup($BN$9&amp;E96,'Import_FL5 MPS (06.06.25) - Sor'!E92:E334&amp;'Import_FL5 MPS (06.06.25) - Sor'!F92:F334,'Import_FL5 MPS (06.06.25) - Sor'!ES92:ES334,"No demand",0,1))</f>
        <v>No demand</v>
      </c>
      <c r="BO96" s="321" t="str">
        <f t="array" ref="BO96">if(isblank(E96),"",xlookup($BO$9&amp;E96,'Import_FL5 MPS (06.06.25) - Sor'!E92:E334&amp;'Import_FL5 MPS (06.06.25) - Sor'!F92:F334,'Import_FL5 MPS (06.06.25) - Sor'!ES92:ES334,"No demand",0,1))</f>
        <v>No demand</v>
      </c>
      <c r="BP96" s="322" t="str">
        <f t="array" ref="BP96">if(isblank(E96),"", xlookup(E96,'Import_LH_Label approve'!E:E,'Import_LH_Label approve'!L:L,"",0,1))</f>
        <v>NA</v>
      </c>
      <c r="BQ96" s="322" t="str">
        <f t="array" ref="BQ96">if(isblank(E96),"",xlookup(E96,'Import_VN_Label approve'!E:E,'Import_VN_Label approve'!M:M,"N/A",0,1))</f>
        <v>N/A</v>
      </c>
      <c r="BR96" s="325"/>
      <c r="BS96" s="323"/>
      <c r="BT96" s="324"/>
      <c r="BU96" s="91"/>
    </row>
    <row r="97" hidden="1">
      <c r="A97" s="176"/>
      <c r="B97" s="292">
        <v>86.0</v>
      </c>
      <c r="C97" s="231" t="s">
        <v>289</v>
      </c>
      <c r="D97" s="231" t="s">
        <v>764</v>
      </c>
      <c r="E97" s="354" t="s">
        <v>901</v>
      </c>
      <c r="F97" s="294" t="s">
        <v>817</v>
      </c>
      <c r="G97" s="294" t="s">
        <v>493</v>
      </c>
      <c r="H97" s="292" t="str">
        <f t="array" ref="H97">xlookup(F97,z_Others!$B$21:$B$45,z_Others!$E$21:$E$45,"",0,1)</f>
        <v>Sub6</v>
      </c>
      <c r="I97" s="310" t="s">
        <v>431</v>
      </c>
      <c r="J97" s="231" t="str">
        <f t="array" ref="J97">if(isblank(E97),"",xlookup(I97,z_Others!$M$17:$M$20,z_Others!$O$17:$O$20,"",0,1))</f>
        <v>Lemongrass</v>
      </c>
      <c r="K97" s="292" t="str">
        <f t="array" ref="K97">xlookup(I97,z_Others!$M$17:$M$20,z_Others!$N$17:$N$20,"",0,1)</f>
        <v>YEL</v>
      </c>
      <c r="L97" s="292" t="str">
        <f t="array" ref="L97">xlookup(F97,z_Others!$B$21:$B$45,z_Others!$D$21:$D$45,"",0,1)</f>
        <v>GK2MP</v>
      </c>
      <c r="M97" s="296" t="str">
        <f t="array" ref="M97">xlookup(F97,z_Others!$B$21:$B$45,z_Others!$C$21:$C$45,"",0,1)</f>
        <v>ROW</v>
      </c>
      <c r="N97" s="297">
        <f t="array" ref="N97">if(isblank(E97),"",xlookup($N$9&amp;M97,z_Others!$X$5:$X$17&amp;z_Others!$W$5:$W$17,z_Others!$Z$5:$Z$17,"",0,1))</f>
        <v>35440766</v>
      </c>
      <c r="O97" s="331" t="s">
        <v>494</v>
      </c>
      <c r="P97" s="303" t="s">
        <v>495</v>
      </c>
      <c r="Q97" s="300" t="s">
        <v>413</v>
      </c>
      <c r="R97" s="301" t="s">
        <v>414</v>
      </c>
      <c r="S97" s="302">
        <f t="array" ref="S97">if(isblank(E97),"",xlookup($S$9&amp;M97,z_Others!$X$5:$X$17&amp;z_Others!$W$5:$W$17,z_Others!$Z$5:$Z$17,"",0,1))</f>
        <v>35795514</v>
      </c>
      <c r="T97" s="303" t="str">
        <f t="array" ref="T97">if(isblank(E97),"",xlookup($S$9&amp;M97,z_Others!$X$5:$X$17&amp;z_Others!$W$5:$W$17,z_Others!$AH$5:$AH$17,"",0,1))</f>
        <v>35 795514 040000x</v>
      </c>
      <c r="U97" s="303" t="str">
        <f t="array" ref="U97">if(isblank(E97),"",xlookup($S$9&amp;M97,z_Others!$X$5:$X$17&amp;z_Others!$W$5:$W$17,z_Others!$AI$5:$AI$17,"",0,1))</f>
        <v>35 795514 999999x</v>
      </c>
      <c r="V97" s="303" t="str">
        <f t="shared" si="2"/>
        <v>64:9D:38:32:91:82
B0:D5:FB:C6:60:70</v>
      </c>
      <c r="W97" s="303" t="str">
        <f t="shared" si="3"/>
        <v>64:9D:38:37:25:61
B0:D5:FB:CE:01:8F</v>
      </c>
      <c r="X97" s="304" t="str">
        <f t="shared" si="4"/>
        <v>MP1.0</v>
      </c>
      <c r="Y97" s="292"/>
      <c r="Z97" s="304" t="str">
        <f t="shared" si="32"/>
        <v>Android 16</v>
      </c>
      <c r="AA97" s="304" t="str">
        <f t="shared" si="37"/>
        <v>Android 16</v>
      </c>
      <c r="AB97" s="305" t="s">
        <v>902</v>
      </c>
      <c r="AC97" s="305" t="s">
        <v>903</v>
      </c>
      <c r="AD97" s="314" t="s">
        <v>447</v>
      </c>
      <c r="AE97" s="307" t="s">
        <v>418</v>
      </c>
      <c r="AF97" s="308" t="s">
        <v>447</v>
      </c>
      <c r="AG97" s="309" t="s">
        <v>418</v>
      </c>
      <c r="AH97" s="297" t="str">
        <f t="array" ref="AH97">if(isblank(E97),"",xlookup(F97,z_Others!$B$21:$B$45,z_Others!$F$21:$F$45,"TBD",0,1))</f>
        <v>00</v>
      </c>
      <c r="AI97" s="310" t="str">
        <f t="array" ref="AI97">if(isblank(E97),"", xlookup(E97,'Import_FL5_LH_PVTMP_Configs (Do'!E:E,'Import_FL5_LH_PVTMP_Configs (Do'!O:O,"TBD",0,1))</f>
        <v>G710-07800-10</v>
      </c>
      <c r="AJ97" s="311"/>
      <c r="AK97" s="310" t="str">
        <f t="array" ref="AK97">if(isblank(E97),"", xlookup(E97,'Import_FL5_LH_PVTMP_Configs (Do'!E:E,'Import_FL5_LH_PVTMP_Configs (Do'!Q:Q,"TBD",0,1))</f>
        <v>G650-14694-05</v>
      </c>
      <c r="AL97" s="310" t="str">
        <f t="array" ref="AL97">if(isblank(E97),"", xlookup(E97,'Import_FL5_LH_PVTMP_Configs (Do'!E:E,'Import_FL5_LH_PVTMP_Configs (Do'!M:M,"TBD",0,1))</f>
        <v>G710-07670-01</v>
      </c>
      <c r="AM97" s="310" t="str">
        <f t="array" ref="AM97">if(isblank(E97),"", xlookup(E97,'Import_FL5_LH_PVTMP_Configs (Do'!E:E,'Import_FL5_LH_PVTMP_Configs (Do'!N:N,"TBD",0,1))</f>
        <v>G730-09533-03</v>
      </c>
      <c r="AN97" s="310" t="str">
        <f t="array" ref="AN97">if(isblank(E97),"", xlookup(E97,'Import_FL5_LH_PVTMP_Configs (Do'!E:E,'Import_FL5_LH_PVTMP_Configs (Do'!K:K,"TBD",0,1))</f>
        <v>G950-15935-16</v>
      </c>
      <c r="AO97" s="292" t="str">
        <f t="array" ref="AO97">if(isblank(E97),"",XLOOKUP(E97,'FL5_G954 Pkg ASSY (Pkg BOM)'!L:L,'FL5_G954 Pkg ASSY (Pkg BOM)'!G:G,"N/A",0,1))</f>
        <v>G954-09475-00</v>
      </c>
      <c r="AP97" s="292" t="str">
        <f t="array" ref="AP97">if(isblank(E97),"",xlookup(E97,'FL5_G962 Country kit (Accesorie'!L:L,'FL5_G962 Country kit (Accesorie'!G:G,"N/A",0,1))</f>
        <v>N/A</v>
      </c>
      <c r="AQ97" s="304" t="str">
        <f t="array" ref="AQ97">if(isblank(E97),"", xlookup(E97,'Import_LH_Label approve'!E:E,'Import_LH_Label approve'!M:M,"",0,1))</f>
        <v>N/A</v>
      </c>
      <c r="AR97" s="304" t="str">
        <f t="array" ref="AR97">if(isblank(E97),"",xlookup(E97,'Import_LH_Label approve'!E:E,'Import_LH_Label approve'!N:N,"",0,1))</f>
        <v>N/A</v>
      </c>
      <c r="AS97" s="292" t="s">
        <v>596</v>
      </c>
      <c r="AT97" s="302" t="str">
        <f t="shared" si="6"/>
        <v>Yes</v>
      </c>
      <c r="AU97" s="302" t="str">
        <f t="shared" si="7"/>
        <v>No</v>
      </c>
      <c r="AV97" s="302" t="str">
        <f t="shared" si="8"/>
        <v>No</v>
      </c>
      <c r="AW97" s="302"/>
      <c r="AX97" s="302" t="s">
        <v>904</v>
      </c>
      <c r="AY97" s="302" t="s">
        <v>905</v>
      </c>
      <c r="AZ97" s="312" t="str">
        <f t="array" ref="AZ97">if(isblank(E97),"", xlookup(E97,Import_FL5_LH_PVT_BM!D:D,Import_FL5_LH_PVT_BM!AK:AK,$F$4,0,1))</f>
        <v>MP</v>
      </c>
      <c r="BA97" s="292" t="str">
        <f t="shared" si="9"/>
        <v>Bulk_30ct</v>
      </c>
      <c r="BB97" s="313" t="str">
        <f t="array" ref="BB97">if(isblank(E97),"",xlookup(F97,z_Others!$B$21:$B$42,z_Others!$G$21:$G$42,"No",0,1))</f>
        <v>ROW Master Carton Label (UPC)</v>
      </c>
      <c r="BC97" s="313" t="str">
        <f t="array" ref="BC97">if(isblank(E97),"",xlookup(F97,z_Others!$B$21:$B$42,z_Others!$H$21:$H$42,"No",0,1))</f>
        <v>Standard Pallet Label (BTO)
Standard Pallet Label (BTS)</v>
      </c>
      <c r="BD97" s="314" t="str">
        <f t="array" ref="BD97">if(isblank(E97),"",xlookup(E97,'Import_VN_Label approve'!E:E,'Import_VN_Label approve'!L:L,"N/A",0,1))</f>
        <v>N/A</v>
      </c>
      <c r="BE97" s="314" t="str">
        <f t="array" ref="BE97">if(isblank(E97),"",xlookup(E97,'Import_VN_Label approve'!E:E,'Import_VN_Label approve'!N:N,"N/A",0,1))</f>
        <v>N/A</v>
      </c>
      <c r="BF97" s="315"/>
      <c r="BG97" s="349" t="s">
        <v>822</v>
      </c>
      <c r="BH97" s="317" t="s">
        <v>823</v>
      </c>
      <c r="BI97" s="318">
        <v>45773.0</v>
      </c>
      <c r="BJ97" s="319" t="str">
        <f t="array" ref="BJ97">if(isblank(E97),"", xlookup(D97,z_Others!$B$5:$B$17,z_Others!$C$5:$C$17,"",0,1))</f>
        <v>智能手機</v>
      </c>
      <c r="BK97" s="320">
        <v>45782.0</v>
      </c>
      <c r="BL97" s="320" t="str">
        <f t="array" ref="BL97">if(isblank(E97),"",xlookup(E97,'FL5_MP POR_LH_報關備案_G950 &amp; GA'!F:F,'FL5_MP POR_LH_報關備案_G950 &amp; GA'!E:E,"No Need",0,1))</f>
        <v>Close</v>
      </c>
      <c r="BM97" s="321" t="str">
        <f t="array" ref="BM97">if(isblank(E97),"",xlookup($BM$9&amp;E97,'Import_FL5 MPS (06.06.25) - Sor'!E93:E334&amp;'Import_FL5 MPS (06.06.25) - Sor'!F93:F334,'Import_FL5 MPS (06.06.25) - Sor'!ES93:ES334,"No demand",0,1))</f>
        <v>No demand</v>
      </c>
      <c r="BN97" s="321" t="str">
        <f t="array" ref="BN97">if(isblank(E97),"",xlookup($BN$9&amp;E97,'Import_FL5 MPS (06.06.25) - Sor'!E93:E334&amp;'Import_FL5 MPS (06.06.25) - Sor'!F93:F334,'Import_FL5 MPS (06.06.25) - Sor'!ES93:ES334,"No demand",0,1))</f>
        <v>No demand</v>
      </c>
      <c r="BO97" s="321" t="str">
        <f t="array" ref="BO97">if(isblank(E97),"",xlookup($BO$9&amp;E97,'Import_FL5 MPS (06.06.25) - Sor'!E93:E334&amp;'Import_FL5 MPS (06.06.25) - Sor'!F93:F334,'Import_FL5 MPS (06.06.25) - Sor'!ES93:ES334,"No demand",0,1))</f>
        <v>No demand</v>
      </c>
      <c r="BP97" s="322" t="str">
        <f t="array" ref="BP97">if(isblank(E97),"", xlookup(E97,'Import_LH_Label approve'!E:E,'Import_LH_Label approve'!L:L,"",0,1))</f>
        <v>NA</v>
      </c>
      <c r="BQ97" s="322" t="str">
        <f t="array" ref="BQ97">if(isblank(E97),"",xlookup(E97,'Import_VN_Label approve'!E:E,'Import_VN_Label approve'!M:M,"N/A",0,1))</f>
        <v>N/A</v>
      </c>
      <c r="BR97" s="313"/>
      <c r="BS97" s="323"/>
      <c r="BT97" s="324"/>
      <c r="BU97" s="91"/>
    </row>
    <row r="98" hidden="1">
      <c r="A98" s="176"/>
      <c r="B98" s="292">
        <v>87.0</v>
      </c>
      <c r="C98" s="231" t="s">
        <v>289</v>
      </c>
      <c r="D98" s="231" t="s">
        <v>764</v>
      </c>
      <c r="E98" s="354" t="s">
        <v>906</v>
      </c>
      <c r="F98" s="294" t="s">
        <v>817</v>
      </c>
      <c r="G98" s="294" t="s">
        <v>493</v>
      </c>
      <c r="H98" s="292" t="str">
        <f t="array" ref="H98">xlookup(F98,z_Others!$B$21:$B$45,z_Others!$E$21:$E$45,"",0,1)</f>
        <v>Sub6</v>
      </c>
      <c r="I98" s="310" t="s">
        <v>437</v>
      </c>
      <c r="J98" s="231" t="str">
        <f t="array" ref="J98">if(isblank(E98),"",xlookup(I98,z_Others!$M$17:$M$20,z_Others!$O$17:$O$20,"",0,1))</f>
        <v>Indigo</v>
      </c>
      <c r="K98" s="292" t="str">
        <f t="array" ref="K98">xlookup(I98,z_Others!$M$17:$M$20,z_Others!$N$17:$N$20,"",0,1)</f>
        <v>BUE</v>
      </c>
      <c r="L98" s="292" t="str">
        <f t="array" ref="L98">xlookup(F98,z_Others!$B$21:$B$45,z_Others!$D$21:$D$45,"",0,1)</f>
        <v>GK2MP</v>
      </c>
      <c r="M98" s="296" t="str">
        <f t="array" ref="M98">xlookup(F98,z_Others!$B$21:$B$45,z_Others!$C$21:$C$45,"",0,1)</f>
        <v>ROW</v>
      </c>
      <c r="N98" s="297">
        <f t="array" ref="N98">if(isblank(E98),"",xlookup($N$9&amp;M98,z_Others!$X$5:$X$17&amp;z_Others!$W$5:$W$17,z_Others!$Z$5:$Z$17,"",0,1))</f>
        <v>35440766</v>
      </c>
      <c r="O98" s="331" t="s">
        <v>494</v>
      </c>
      <c r="P98" s="303" t="s">
        <v>495</v>
      </c>
      <c r="Q98" s="300" t="s">
        <v>413</v>
      </c>
      <c r="R98" s="301" t="s">
        <v>414</v>
      </c>
      <c r="S98" s="302">
        <f t="array" ref="S98">if(isblank(E98),"",xlookup($S$9&amp;M98,z_Others!$X$5:$X$17&amp;z_Others!$W$5:$W$17,z_Others!$Z$5:$Z$17,"",0,1))</f>
        <v>35795514</v>
      </c>
      <c r="T98" s="303" t="str">
        <f t="array" ref="T98">if(isblank(E98),"",xlookup($S$9&amp;M98,z_Others!$X$5:$X$17&amp;z_Others!$W$5:$W$17,z_Others!$AH$5:$AH$17,"",0,1))</f>
        <v>35 795514 040000x</v>
      </c>
      <c r="U98" s="303" t="str">
        <f t="array" ref="U98">if(isblank(E98),"",xlookup($S$9&amp;M98,z_Others!$X$5:$X$17&amp;z_Others!$W$5:$W$17,z_Others!$AI$5:$AI$17,"",0,1))</f>
        <v>35 795514 999999x</v>
      </c>
      <c r="V98" s="303" t="str">
        <f t="shared" si="2"/>
        <v>64:9D:38:32:91:82
B0:D5:FB:C6:60:70</v>
      </c>
      <c r="W98" s="303" t="str">
        <f t="shared" si="3"/>
        <v>64:9D:38:37:25:61
B0:D5:FB:CE:01:8F</v>
      </c>
      <c r="X98" s="304" t="str">
        <f t="shared" si="4"/>
        <v>MP1.0</v>
      </c>
      <c r="Y98" s="292"/>
      <c r="Z98" s="304" t="str">
        <f t="shared" si="32"/>
        <v>Android 16</v>
      </c>
      <c r="AA98" s="304" t="str">
        <f t="shared" si="37"/>
        <v>Android 16</v>
      </c>
      <c r="AB98" s="305" t="s">
        <v>907</v>
      </c>
      <c r="AC98" s="305" t="s">
        <v>908</v>
      </c>
      <c r="AD98" s="314" t="s">
        <v>447</v>
      </c>
      <c r="AE98" s="307" t="s">
        <v>418</v>
      </c>
      <c r="AF98" s="308" t="s">
        <v>447</v>
      </c>
      <c r="AG98" s="309" t="s">
        <v>418</v>
      </c>
      <c r="AH98" s="297" t="str">
        <f t="array" ref="AH98">if(isblank(E98),"",xlookup(F98,z_Others!$B$21:$B$45,z_Others!$F$21:$F$45,"TBD",0,1))</f>
        <v>00</v>
      </c>
      <c r="AI98" s="310" t="str">
        <f t="array" ref="AI98">if(isblank(E98),"", xlookup(E98,'Import_FL5_LH_PVTMP_Configs (Do'!E:E,'Import_FL5_LH_PVTMP_Configs (Do'!O:O,"TBD",0,1))</f>
        <v>G710-07800-10</v>
      </c>
      <c r="AJ98" s="311"/>
      <c r="AK98" s="310" t="str">
        <f t="array" ref="AK98">if(isblank(E98),"", xlookup(E98,'Import_FL5_LH_PVTMP_Configs (Do'!E:E,'Import_FL5_LH_PVTMP_Configs (Do'!Q:Q,"TBD",0,1))</f>
        <v>G650-14694-05</v>
      </c>
      <c r="AL98" s="310" t="str">
        <f t="array" ref="AL98">if(isblank(E98),"", xlookup(E98,'Import_FL5_LH_PVTMP_Configs (Do'!E:E,'Import_FL5_LH_PVTMP_Configs (Do'!M:M,"TBD",0,1))</f>
        <v>G710-07670-01</v>
      </c>
      <c r="AM98" s="310" t="str">
        <f t="array" ref="AM98">if(isblank(E98),"", xlookup(E98,'Import_FL5_LH_PVTMP_Configs (Do'!E:E,'Import_FL5_LH_PVTMP_Configs (Do'!N:N,"TBD",0,1))</f>
        <v>G730-09533-04</v>
      </c>
      <c r="AN98" s="310" t="str">
        <f t="array" ref="AN98">if(isblank(E98),"", xlookup(E98,'Import_FL5_LH_PVTMP_Configs (Do'!E:E,'Import_FL5_LH_PVTMP_Configs (Do'!K:K,"TBD",0,1))</f>
        <v>G950-15935-17</v>
      </c>
      <c r="AO98" s="292" t="str">
        <f t="array" ref="AO98">if(isblank(E98),"",XLOOKUP(E98,'FL5_G954 Pkg ASSY (Pkg BOM)'!L:L,'FL5_G954 Pkg ASSY (Pkg BOM)'!G:G,"N/A",0,1))</f>
        <v>G954-09475-00</v>
      </c>
      <c r="AP98" s="292" t="str">
        <f t="array" ref="AP98">if(isblank(E98),"",xlookup(E98,'FL5_G962 Country kit (Accesorie'!L:L,'FL5_G962 Country kit (Accesorie'!G:G,"N/A",0,1))</f>
        <v>N/A</v>
      </c>
      <c r="AQ98" s="304" t="str">
        <f t="array" ref="AQ98">if(isblank(E98),"", xlookup(E98,'Import_LH_Label approve'!E:E,'Import_LH_Label approve'!M:M,"",0,1))</f>
        <v>N/A</v>
      </c>
      <c r="AR98" s="304" t="str">
        <f t="array" ref="AR98">if(isblank(E98),"",xlookup(E98,'Import_LH_Label approve'!E:E,'Import_LH_Label approve'!N:N,"",0,1))</f>
        <v>N/A</v>
      </c>
      <c r="AS98" s="292" t="s">
        <v>596</v>
      </c>
      <c r="AT98" s="302" t="str">
        <f t="shared" si="6"/>
        <v>Yes</v>
      </c>
      <c r="AU98" s="302" t="str">
        <f t="shared" si="7"/>
        <v>No</v>
      </c>
      <c r="AV98" s="302" t="str">
        <f t="shared" si="8"/>
        <v>No</v>
      </c>
      <c r="AW98" s="302"/>
      <c r="AX98" s="302" t="s">
        <v>909</v>
      </c>
      <c r="AY98" s="302" t="s">
        <v>910</v>
      </c>
      <c r="AZ98" s="312" t="str">
        <f t="array" ref="AZ98">if(isblank(E98),"", xlookup(E98,Import_FL5_LH_PVT_BM!D:D,Import_FL5_LH_PVT_BM!AK:AK,$F$4,0,1))</f>
        <v>MP</v>
      </c>
      <c r="BA98" s="292" t="str">
        <f t="shared" si="9"/>
        <v>Bulk_30ct</v>
      </c>
      <c r="BB98" s="313" t="str">
        <f t="array" ref="BB98">if(isblank(E98),"",xlookup(F98,z_Others!$B$21:$B$42,z_Others!$G$21:$G$42,"No",0,1))</f>
        <v>ROW Master Carton Label (UPC)</v>
      </c>
      <c r="BC98" s="313" t="str">
        <f t="array" ref="BC98">if(isblank(E98),"",xlookup(F98,z_Others!$B$21:$B$42,z_Others!$H$21:$H$42,"No",0,1))</f>
        <v>Standard Pallet Label (BTO)
Standard Pallet Label (BTS)</v>
      </c>
      <c r="BD98" s="314" t="str">
        <f t="array" ref="BD98">if(isblank(E98),"",xlookup(E98,'Import_VN_Label approve'!E:E,'Import_VN_Label approve'!L:L,"N/A",0,1))</f>
        <v>N/A</v>
      </c>
      <c r="BE98" s="314" t="str">
        <f t="array" ref="BE98">if(isblank(E98),"",xlookup(E98,'Import_VN_Label approve'!E:E,'Import_VN_Label approve'!N:N,"N/A",0,1))</f>
        <v>N/A</v>
      </c>
      <c r="BF98" s="315"/>
      <c r="BG98" s="349" t="s">
        <v>822</v>
      </c>
      <c r="BH98" s="317" t="s">
        <v>823</v>
      </c>
      <c r="BI98" s="318">
        <v>45773.0</v>
      </c>
      <c r="BJ98" s="319" t="str">
        <f t="array" ref="BJ98">if(isblank(E98),"", xlookup(D98,z_Others!$B$5:$B$17,z_Others!$C$5:$C$17,"",0,1))</f>
        <v>智能手機</v>
      </c>
      <c r="BK98" s="320">
        <v>45782.0</v>
      </c>
      <c r="BL98" s="320" t="str">
        <f t="array" ref="BL98">if(isblank(E98),"",xlookup(E98,'FL5_MP POR_LH_報關備案_G950 &amp; GA'!F:F,'FL5_MP POR_LH_報關備案_G950 &amp; GA'!E:E,"No Need",0,1))</f>
        <v>Close</v>
      </c>
      <c r="BM98" s="321" t="str">
        <f t="array" ref="BM98">if(isblank(E98),"",xlookup($BM$9&amp;E98,'Import_FL5 MPS (06.06.25) - Sor'!E94:E334&amp;'Import_FL5 MPS (06.06.25) - Sor'!F94:F334,'Import_FL5 MPS (06.06.25) - Sor'!ES94:ES334,"No demand",0,1))</f>
        <v>No demand</v>
      </c>
      <c r="BN98" s="321" t="str">
        <f t="array" ref="BN98">if(isblank(E98),"",xlookup($BN$9&amp;E98,'Import_FL5 MPS (06.06.25) - Sor'!E94:E334&amp;'Import_FL5 MPS (06.06.25) - Sor'!F94:F334,'Import_FL5 MPS (06.06.25) - Sor'!ES94:ES334,"No demand",0,1))</f>
        <v>No demand</v>
      </c>
      <c r="BO98" s="321" t="str">
        <f t="array" ref="BO98">if(isblank(E98),"",xlookup($BO$9&amp;E98,'Import_FL5 MPS (06.06.25) - Sor'!E94:E334&amp;'Import_FL5 MPS (06.06.25) - Sor'!F94:F334,'Import_FL5 MPS (06.06.25) - Sor'!ES94:ES334,"No demand",0,1))</f>
        <v>No demand</v>
      </c>
      <c r="BP98" s="322" t="str">
        <f t="array" ref="BP98">if(isblank(E98),"", xlookup(E98,'Import_LH_Label approve'!E:E,'Import_LH_Label approve'!L:L,"",0,1))</f>
        <v>NA</v>
      </c>
      <c r="BQ98" s="322" t="str">
        <f t="array" ref="BQ98">if(isblank(E98),"",xlookup(E98,'Import_VN_Label approve'!E:E,'Import_VN_Label approve'!M:M,"N/A",0,1))</f>
        <v>N/A</v>
      </c>
      <c r="BR98" s="325"/>
      <c r="BS98" s="323"/>
      <c r="BT98" s="324"/>
      <c r="BU98" s="91"/>
    </row>
    <row r="99" hidden="1">
      <c r="A99" s="176"/>
      <c r="B99" s="292">
        <v>88.0</v>
      </c>
      <c r="C99" s="231" t="s">
        <v>289</v>
      </c>
      <c r="D99" s="231" t="s">
        <v>764</v>
      </c>
      <c r="E99" s="351" t="s">
        <v>911</v>
      </c>
      <c r="F99" s="313" t="s">
        <v>527</v>
      </c>
      <c r="G99" s="355" t="s">
        <v>528</v>
      </c>
      <c r="H99" s="292" t="str">
        <f t="array" ref="H99">xlookup(F99,z_Others!$B$21:$B$45,z_Others!$E$21:$E$45,"",0,1)</f>
        <v>Sub6</v>
      </c>
      <c r="I99" s="310" t="s">
        <v>412</v>
      </c>
      <c r="J99" s="231" t="str">
        <f t="array" ref="J99">if(isblank(E99),"",xlookup(I99,z_Others!$M$17:$M$20,z_Others!$O$17:$O$20,"",0,1))</f>
        <v>Obsidian</v>
      </c>
      <c r="K99" s="292" t="str">
        <f t="array" ref="K99">xlookup(I99,z_Others!$M$17:$M$20,z_Others!$N$17:$N$20,"",0,1)</f>
        <v>BLK</v>
      </c>
      <c r="L99" s="292" t="str">
        <f t="array" ref="L99">xlookup(F99,z_Others!$B$21:$B$45,z_Others!$D$21:$D$45,"",0,1)</f>
        <v>GK2MP
</v>
      </c>
      <c r="M99" s="296" t="str">
        <f t="array" ref="M99">xlookup(F99,z_Others!$B$21:$B$45,z_Others!$C$21:$C$45,"",0,1)</f>
        <v>ROW</v>
      </c>
      <c r="N99" s="297">
        <f t="array" ref="N99">if(isblank(E99),"",xlookup($N$9&amp;M99,z_Others!$X$5:$X$17&amp;z_Others!$W$5:$W$17,z_Others!$Z$5:$Z$17,"",0,1))</f>
        <v>35440766</v>
      </c>
      <c r="O99" s="331" t="s">
        <v>494</v>
      </c>
      <c r="P99" s="303" t="s">
        <v>495</v>
      </c>
      <c r="Q99" s="300" t="s">
        <v>413</v>
      </c>
      <c r="R99" s="301" t="s">
        <v>414</v>
      </c>
      <c r="S99" s="302">
        <f t="array" ref="S99">if(isblank(E99),"",xlookup($S$9&amp;M99,z_Others!$X$5:$X$17&amp;z_Others!$W$5:$W$17,z_Others!$Z$5:$Z$17,"",0,1))</f>
        <v>35795514</v>
      </c>
      <c r="T99" s="303" t="str">
        <f t="array" ref="T99">if(isblank(E99),"",xlookup($S$9&amp;M99,z_Others!$X$5:$X$17&amp;z_Others!$W$5:$W$17,z_Others!$AH$5:$AH$17,"",0,1))</f>
        <v>35 795514 040000x</v>
      </c>
      <c r="U99" s="303" t="str">
        <f t="array" ref="U99">if(isblank(E99),"",xlookup($S$9&amp;M99,z_Others!$X$5:$X$17&amp;z_Others!$W$5:$W$17,z_Others!$AI$5:$AI$17,"",0,1))</f>
        <v>35 795514 999999x</v>
      </c>
      <c r="V99" s="303" t="str">
        <f t="shared" si="2"/>
        <v>64:9D:38:32:91:82
B0:D5:FB:C6:60:70</v>
      </c>
      <c r="W99" s="303" t="str">
        <f t="shared" si="3"/>
        <v>64:9D:38:37:25:61
B0:D5:FB:CE:01:8F</v>
      </c>
      <c r="X99" s="304" t="str">
        <f t="shared" si="4"/>
        <v>MP1.0</v>
      </c>
      <c r="Y99" s="292"/>
      <c r="Z99" s="304" t="str">
        <f t="shared" si="32"/>
        <v>Android 16</v>
      </c>
      <c r="AA99" s="304" t="str">
        <f t="shared" si="37"/>
        <v>Android 16</v>
      </c>
      <c r="AB99" s="305" t="s">
        <v>912</v>
      </c>
      <c r="AC99" s="305" t="s">
        <v>913</v>
      </c>
      <c r="AD99" s="314" t="s">
        <v>447</v>
      </c>
      <c r="AE99" s="307" t="s">
        <v>418</v>
      </c>
      <c r="AF99" s="308" t="s">
        <v>447</v>
      </c>
      <c r="AG99" s="309" t="s">
        <v>418</v>
      </c>
      <c r="AH99" s="297" t="str">
        <f t="array" ref="AH99">if(isblank(E99),"",xlookup(F99,z_Others!$B$21:$B$45,z_Others!$F$21:$F$45,"TBD",0,1))</f>
        <v>00</v>
      </c>
      <c r="AI99" s="310" t="str">
        <f t="array" ref="AI99">if(isblank(E99),"", xlookup(E99,'Import_FL5_LH_PVTMP_Configs (Do'!E:E,'Import_FL5_LH_PVTMP_Configs (Do'!O:O,"TBD",0,1))</f>
        <v>G710-07800-10</v>
      </c>
      <c r="AJ99" s="311"/>
      <c r="AK99" s="310" t="str">
        <f t="array" ref="AK99">if(isblank(E99),"", xlookup(E99,'Import_FL5_LH_PVTMP_Configs (Do'!E:E,'Import_FL5_LH_PVTMP_Configs (Do'!Q:Q,"TBD",0,1))</f>
        <v>G650-14694-05</v>
      </c>
      <c r="AL99" s="310" t="str">
        <f t="array" ref="AL99">if(isblank(E99),"", xlookup(E99,'Import_FL5_LH_PVTMP_Configs (Do'!E:E,'Import_FL5_LH_PVTMP_Configs (Do'!M:M,"TBD",0,1))</f>
        <v>G710-07670-01</v>
      </c>
      <c r="AM99" s="310" t="str">
        <f t="array" ref="AM99">if(isblank(E99),"", xlookup(E99,'Import_FL5_LH_PVTMP_Configs (Do'!E:E,'Import_FL5_LH_PVTMP_Configs (Do'!N:N,"TBD",0,1))</f>
        <v>G730-09533-01</v>
      </c>
      <c r="AN99" s="310" t="str">
        <f t="array" ref="AN99">if(isblank(E99),"", xlookup(E99,'Import_FL5_LH_PVTMP_Configs (Do'!E:E,'Import_FL5_LH_PVTMP_Configs (Do'!K:K,"TBD",0,1))</f>
        <v>G950-15935-14</v>
      </c>
      <c r="AO99" s="292" t="str">
        <f t="array" ref="AO99">if(isblank(E99),"",XLOOKUP(E99,'FL5_G954 Pkg ASSY (Pkg BOM)'!L:L,'FL5_G954 Pkg ASSY (Pkg BOM)'!G:G,"N/A",0,1))</f>
        <v>G954-09390-00</v>
      </c>
      <c r="AP99" s="292" t="str">
        <f t="array" ref="AP99">if(isblank(E99),"",xlookup(E99,'FL5_G962 Country kit (Accesorie'!L:L,'FL5_G962 Country kit (Accesorie'!G:G,"N/A",0,1))</f>
        <v>N/A</v>
      </c>
      <c r="AQ99" s="304" t="str">
        <f t="array" ref="AQ99">if(isblank(E99),"", xlookup(E99,'Import_LH_Label approve'!E:E,'Import_LH_Label approve'!M:M,"",0,1))</f>
        <v>N/A</v>
      </c>
      <c r="AR99" s="304" t="str">
        <f t="array" ref="AR99">if(isblank(E99),"",xlookup(E99,'Import_LH_Label approve'!E:E,'Import_LH_Label approve'!N:N,"",0,1))</f>
        <v>N/A</v>
      </c>
      <c r="AS99" s="292" t="s">
        <v>596</v>
      </c>
      <c r="AT99" s="302" t="str">
        <f t="shared" si="6"/>
        <v>Yes</v>
      </c>
      <c r="AU99" s="302" t="str">
        <f t="shared" si="7"/>
        <v>No</v>
      </c>
      <c r="AV99" s="302" t="str">
        <f t="shared" si="8"/>
        <v>No</v>
      </c>
      <c r="AW99" s="302"/>
      <c r="AX99" s="302" t="s">
        <v>914</v>
      </c>
      <c r="AY99" s="302" t="s">
        <v>915</v>
      </c>
      <c r="AZ99" s="312" t="str">
        <f t="array" ref="AZ99">if(isblank(E99),"", xlookup(E99,Import_FL5_LH_PVT_BM!D:D,Import_FL5_LH_PVT_BM!AK:AK,$F$4,0,1))</f>
        <v>MP</v>
      </c>
      <c r="BA99" s="292" t="str">
        <f t="shared" si="9"/>
        <v>Bulk_30ct</v>
      </c>
      <c r="BB99" s="313" t="str">
        <f t="array" ref="BB99">if(isblank(E99),"",xlookup(F99,z_Others!$B$21:$B$42,z_Others!$G$21:$G$42,"No",0,1))</f>
        <v>ROW Master Carton Label (EAN)</v>
      </c>
      <c r="BC99" s="313" t="str">
        <f t="array" ref="BC99">if(isblank(E99),"",xlookup(F99,z_Others!$B$21:$B$42,z_Others!$H$21:$H$42,"No",0,1))</f>
        <v>Standard Pallet Label (BTO)
Standard Pallet Label (BTS)</v>
      </c>
      <c r="BD99" s="314" t="str">
        <f t="array" ref="BD99">if(isblank(E99),"",xlookup(E99,'Import_VN_Label approve'!E:E,'Import_VN_Label approve'!L:L,"N/A",0,1))</f>
        <v>N/A</v>
      </c>
      <c r="BE99" s="314" t="str">
        <f t="array" ref="BE99">if(isblank(E99),"",xlookup(E99,'Import_VN_Label approve'!E:E,'Import_VN_Label approve'!N:N,"N/A",0,1))</f>
        <v>N/A</v>
      </c>
      <c r="BF99" s="315"/>
      <c r="BG99" s="349" t="s">
        <v>822</v>
      </c>
      <c r="BH99" s="317" t="s">
        <v>823</v>
      </c>
      <c r="BI99" s="318">
        <v>45773.0</v>
      </c>
      <c r="BJ99" s="319" t="str">
        <f t="array" ref="BJ99">if(isblank(E99),"", xlookup(D99,z_Others!$B$5:$B$17,z_Others!$C$5:$C$17,"",0,1))</f>
        <v>智能手機</v>
      </c>
      <c r="BK99" s="320">
        <v>45782.0</v>
      </c>
      <c r="BL99" s="320" t="str">
        <f t="array" ref="BL99">if(isblank(E99),"",xlookup(E99,'FL5_MP POR_LH_報關備案_G950 &amp; GA'!F:F,'FL5_MP POR_LH_報關備案_G950 &amp; GA'!E:E,"No Need",0,1))</f>
        <v>Close</v>
      </c>
      <c r="BM99" s="321" t="str">
        <f t="array" ref="BM99">if(isblank(E99),"",xlookup($BM$9&amp;E99,'Import_FL5 MPS (06.06.25) - Sor'!E95:E334&amp;'Import_FL5 MPS (06.06.25) - Sor'!F95:F334,'Import_FL5 MPS (06.06.25) - Sor'!ES95:ES334,"No demand",0,1))</f>
        <v>No demand</v>
      </c>
      <c r="BN99" s="321" t="str">
        <f t="array" ref="BN99">if(isblank(E99),"",xlookup($BN$9&amp;E99,'Import_FL5 MPS (06.06.25) - Sor'!E95:E334&amp;'Import_FL5 MPS (06.06.25) - Sor'!F95:F334,'Import_FL5 MPS (06.06.25) - Sor'!ES95:ES334,"No demand",0,1))</f>
        <v>No demand</v>
      </c>
      <c r="BO99" s="321" t="str">
        <f t="array" ref="BO99">if(isblank(E99),"",xlookup($BO$9&amp;E99,'Import_FL5 MPS (06.06.25) - Sor'!E95:E334&amp;'Import_FL5 MPS (06.06.25) - Sor'!F95:F334,'Import_FL5 MPS (06.06.25) - Sor'!ES95:ES334,"No demand",0,1))</f>
        <v>No demand</v>
      </c>
      <c r="BP99" s="322" t="str">
        <f t="array" ref="BP99">if(isblank(E99),"", xlookup(E99,'Import_LH_Label approve'!E:E,'Import_LH_Label approve'!L:L,"",0,1))</f>
        <v>NA</v>
      </c>
      <c r="BQ99" s="322" t="str">
        <f t="array" ref="BQ99">if(isblank(E99),"",xlookup(E99,'Import_VN_Label approve'!E:E,'Import_VN_Label approve'!M:M,"N/A",0,1))</f>
        <v>N/A</v>
      </c>
      <c r="BR99" s="313"/>
      <c r="BS99" s="323"/>
      <c r="BT99" s="324"/>
      <c r="BU99" s="91"/>
    </row>
    <row r="100" hidden="1">
      <c r="A100" s="176"/>
      <c r="B100" s="292">
        <v>89.0</v>
      </c>
      <c r="C100" s="231" t="s">
        <v>289</v>
      </c>
      <c r="D100" s="231" t="s">
        <v>764</v>
      </c>
      <c r="E100" s="351" t="s">
        <v>916</v>
      </c>
      <c r="F100" s="313" t="s">
        <v>527</v>
      </c>
      <c r="G100" s="355" t="s">
        <v>528</v>
      </c>
      <c r="H100" s="292" t="str">
        <f t="array" ref="H100">xlookup(F100,z_Others!$B$21:$B$45,z_Others!$E$21:$E$45,"",0,1)</f>
        <v>Sub6</v>
      </c>
      <c r="I100" s="310" t="s">
        <v>425</v>
      </c>
      <c r="J100" s="231" t="str">
        <f t="array" ref="J100">if(isblank(E100),"",xlookup(I100,z_Others!$M$17:$M$20,z_Others!$O$17:$O$20,"",0,1))</f>
        <v>Frost</v>
      </c>
      <c r="K100" s="292" t="str">
        <f t="array" ref="K100">xlookup(I100,z_Others!$M$17:$M$20,z_Others!$N$17:$N$20,"",0,1)</f>
        <v>PPL</v>
      </c>
      <c r="L100" s="292" t="str">
        <f t="array" ref="L100">xlookup(F100,z_Others!$B$21:$B$45,z_Others!$D$21:$D$45,"",0,1)</f>
        <v>GK2MP
</v>
      </c>
      <c r="M100" s="296" t="str">
        <f t="array" ref="M100">xlookup(F100,z_Others!$B$21:$B$45,z_Others!$C$21:$C$45,"",0,1)</f>
        <v>ROW</v>
      </c>
      <c r="N100" s="297">
        <f t="array" ref="N100">if(isblank(E100),"",xlookup($N$9&amp;M100,z_Others!$X$5:$X$17&amp;z_Others!$W$5:$W$17,z_Others!$Z$5:$Z$17,"",0,1))</f>
        <v>35440766</v>
      </c>
      <c r="O100" s="331" t="s">
        <v>494</v>
      </c>
      <c r="P100" s="303" t="s">
        <v>495</v>
      </c>
      <c r="Q100" s="300" t="s">
        <v>413</v>
      </c>
      <c r="R100" s="301" t="s">
        <v>414</v>
      </c>
      <c r="S100" s="302">
        <f t="array" ref="S100">if(isblank(E100),"",xlookup($S$9&amp;M100,z_Others!$X$5:$X$17&amp;z_Others!$W$5:$W$17,z_Others!$Z$5:$Z$17,"",0,1))</f>
        <v>35795514</v>
      </c>
      <c r="T100" s="303" t="str">
        <f t="array" ref="T100">if(isblank(E100),"",xlookup($S$9&amp;M100,z_Others!$X$5:$X$17&amp;z_Others!$W$5:$W$17,z_Others!$AH$5:$AH$17,"",0,1))</f>
        <v>35 795514 040000x</v>
      </c>
      <c r="U100" s="303" t="str">
        <f t="array" ref="U100">if(isblank(E100),"",xlookup($S$9&amp;M100,z_Others!$X$5:$X$17&amp;z_Others!$W$5:$W$17,z_Others!$AI$5:$AI$17,"",0,1))</f>
        <v>35 795514 999999x</v>
      </c>
      <c r="V100" s="303" t="str">
        <f t="shared" si="2"/>
        <v>64:9D:38:32:91:82
B0:D5:FB:C6:60:70</v>
      </c>
      <c r="W100" s="303" t="str">
        <f t="shared" si="3"/>
        <v>64:9D:38:37:25:61
B0:D5:FB:CE:01:8F</v>
      </c>
      <c r="X100" s="304" t="str">
        <f t="shared" si="4"/>
        <v>MP1.0</v>
      </c>
      <c r="Y100" s="292"/>
      <c r="Z100" s="304" t="str">
        <f t="shared" si="32"/>
        <v>Android 16</v>
      </c>
      <c r="AA100" s="304" t="str">
        <f t="shared" si="37"/>
        <v>Android 16</v>
      </c>
      <c r="AB100" s="305" t="s">
        <v>917</v>
      </c>
      <c r="AC100" s="305" t="s">
        <v>918</v>
      </c>
      <c r="AD100" s="314" t="s">
        <v>447</v>
      </c>
      <c r="AE100" s="307" t="s">
        <v>418</v>
      </c>
      <c r="AF100" s="308" t="s">
        <v>447</v>
      </c>
      <c r="AG100" s="309" t="s">
        <v>418</v>
      </c>
      <c r="AH100" s="297" t="str">
        <f t="array" ref="AH100">if(isblank(E100),"",xlookup(F100,z_Others!$B$21:$B$45,z_Others!$F$21:$F$45,"TBD",0,1))</f>
        <v>00</v>
      </c>
      <c r="AI100" s="310" t="str">
        <f t="array" ref="AI100">if(isblank(E100),"", xlookup(E100,'Import_FL5_LH_PVTMP_Configs (Do'!E:E,'Import_FL5_LH_PVTMP_Configs (Do'!O:O,"TBD",0,1))</f>
        <v>G710-07800-10</v>
      </c>
      <c r="AJ100" s="311"/>
      <c r="AK100" s="310" t="str">
        <f t="array" ref="AK100">if(isblank(E100),"", xlookup(E100,'Import_FL5_LH_PVTMP_Configs (Do'!E:E,'Import_FL5_LH_PVTMP_Configs (Do'!Q:Q,"TBD",0,1))</f>
        <v>G650-14694-05</v>
      </c>
      <c r="AL100" s="310" t="str">
        <f t="array" ref="AL100">if(isblank(E100),"", xlookup(E100,'Import_FL5_LH_PVTMP_Configs (Do'!E:E,'Import_FL5_LH_PVTMP_Configs (Do'!M:M,"TBD",0,1))</f>
        <v>G710-07670-01</v>
      </c>
      <c r="AM100" s="310" t="str">
        <f t="array" ref="AM100">if(isblank(E100),"", xlookup(E100,'Import_FL5_LH_PVTMP_Configs (Do'!E:E,'Import_FL5_LH_PVTMP_Configs (Do'!N:N,"TBD",0,1))</f>
        <v>G730-09533-02</v>
      </c>
      <c r="AN100" s="310" t="str">
        <f t="array" ref="AN100">if(isblank(E100),"", xlookup(E100,'Import_FL5_LH_PVTMP_Configs (Do'!E:E,'Import_FL5_LH_PVTMP_Configs (Do'!K:K,"TBD",0,1))</f>
        <v>G950-15935-15</v>
      </c>
      <c r="AO100" s="292" t="str">
        <f t="array" ref="AO100">if(isblank(E100),"",XLOOKUP(E100,'FL5_G954 Pkg ASSY (Pkg BOM)'!L:L,'FL5_G954 Pkg ASSY (Pkg BOM)'!G:G,"N/A",0,1))</f>
        <v>G954-09390-00</v>
      </c>
      <c r="AP100" s="292" t="str">
        <f t="array" ref="AP100">if(isblank(E100),"",xlookup(E100,'FL5_G962 Country kit (Accesorie'!L:L,'FL5_G962 Country kit (Accesorie'!G:G,"N/A",0,1))</f>
        <v>N/A</v>
      </c>
      <c r="AQ100" s="304" t="str">
        <f t="array" ref="AQ100">if(isblank(E100),"", xlookup(E100,'Import_LH_Label approve'!E:E,'Import_LH_Label approve'!M:M,"",0,1))</f>
        <v>N/A</v>
      </c>
      <c r="AR100" s="304" t="str">
        <f t="array" ref="AR100">if(isblank(E100),"",xlookup(E100,'Import_LH_Label approve'!E:E,'Import_LH_Label approve'!N:N,"",0,1))</f>
        <v>N/A</v>
      </c>
      <c r="AS100" s="292" t="s">
        <v>596</v>
      </c>
      <c r="AT100" s="302" t="str">
        <f t="shared" si="6"/>
        <v>Yes</v>
      </c>
      <c r="AU100" s="302" t="str">
        <f t="shared" si="7"/>
        <v>No</v>
      </c>
      <c r="AV100" s="302" t="str">
        <f t="shared" si="8"/>
        <v>No</v>
      </c>
      <c r="AW100" s="302"/>
      <c r="AX100" s="302" t="s">
        <v>919</v>
      </c>
      <c r="AY100" s="302" t="s">
        <v>920</v>
      </c>
      <c r="AZ100" s="312" t="str">
        <f t="array" ref="AZ100">if(isblank(E100),"", xlookup(E100,Import_FL5_LH_PVT_BM!D:D,Import_FL5_LH_PVT_BM!AK:AK,$F$4,0,1))</f>
        <v>MP</v>
      </c>
      <c r="BA100" s="292" t="str">
        <f t="shared" si="9"/>
        <v>Bulk_30ct</v>
      </c>
      <c r="BB100" s="313" t="str">
        <f t="array" ref="BB100">if(isblank(E100),"",xlookup(F100,z_Others!$B$21:$B$42,z_Others!$G$21:$G$42,"No",0,1))</f>
        <v>ROW Master Carton Label (EAN)</v>
      </c>
      <c r="BC100" s="313" t="str">
        <f t="array" ref="BC100">if(isblank(E100),"",xlookup(F100,z_Others!$B$21:$B$42,z_Others!$H$21:$H$42,"No",0,1))</f>
        <v>Standard Pallet Label (BTO)
Standard Pallet Label (BTS)</v>
      </c>
      <c r="BD100" s="314" t="str">
        <f t="array" ref="BD100">if(isblank(E100),"",xlookup(E100,'Import_VN_Label approve'!E:E,'Import_VN_Label approve'!L:L,"N/A",0,1))</f>
        <v>N/A</v>
      </c>
      <c r="BE100" s="314" t="str">
        <f t="array" ref="BE100">if(isblank(E100),"",xlookup(E100,'Import_VN_Label approve'!E:E,'Import_VN_Label approve'!N:N,"N/A",0,1))</f>
        <v>N/A</v>
      </c>
      <c r="BF100" s="315"/>
      <c r="BG100" s="349" t="s">
        <v>822</v>
      </c>
      <c r="BH100" s="317" t="s">
        <v>823</v>
      </c>
      <c r="BI100" s="318">
        <v>45773.0</v>
      </c>
      <c r="BJ100" s="319" t="str">
        <f t="array" ref="BJ100">if(isblank(E100),"", xlookup(D100,z_Others!$B$5:$B$17,z_Others!$C$5:$C$17,"",0,1))</f>
        <v>智能手機</v>
      </c>
      <c r="BK100" s="320">
        <v>45782.0</v>
      </c>
      <c r="BL100" s="320" t="str">
        <f t="array" ref="BL100">if(isblank(E100),"",xlookup(E100,'FL5_MP POR_LH_報關備案_G950 &amp; GA'!F:F,'FL5_MP POR_LH_報關備案_G950 &amp; GA'!E:E,"No Need",0,1))</f>
        <v>Close</v>
      </c>
      <c r="BM100" s="321" t="str">
        <f t="array" ref="BM100">if(isblank(E100),"",xlookup($BM$9&amp;E100,'Import_FL5 MPS (06.06.25) - Sor'!E96:E334&amp;'Import_FL5 MPS (06.06.25) - Sor'!F96:F334,'Import_FL5 MPS (06.06.25) - Sor'!ES96:ES334,"No demand",0,1))</f>
        <v>No demand</v>
      </c>
      <c r="BN100" s="321" t="str">
        <f t="array" ref="BN100">if(isblank(E100),"",xlookup($BN$9&amp;E100,'Import_FL5 MPS (06.06.25) - Sor'!E96:E334&amp;'Import_FL5 MPS (06.06.25) - Sor'!F96:F334,'Import_FL5 MPS (06.06.25) - Sor'!ES96:ES334,"No demand",0,1))</f>
        <v>No demand</v>
      </c>
      <c r="BO100" s="321" t="str">
        <f t="array" ref="BO100">if(isblank(E100),"",xlookup($BO$9&amp;E100,'Import_FL5 MPS (06.06.25) - Sor'!E96:E334&amp;'Import_FL5 MPS (06.06.25) - Sor'!F96:F334,'Import_FL5 MPS (06.06.25) - Sor'!ES96:ES334,"No demand",0,1))</f>
        <v>No demand</v>
      </c>
      <c r="BP100" s="322" t="str">
        <f t="array" ref="BP100">if(isblank(E100),"", xlookup(E100,'Import_LH_Label approve'!E:E,'Import_LH_Label approve'!L:L,"",0,1))</f>
        <v>NA</v>
      </c>
      <c r="BQ100" s="322" t="str">
        <f t="array" ref="BQ100">if(isblank(E100),"",xlookup(E100,'Import_VN_Label approve'!E:E,'Import_VN_Label approve'!M:M,"N/A",0,1))</f>
        <v>N/A</v>
      </c>
      <c r="BR100" s="325"/>
      <c r="BS100" s="323"/>
      <c r="BT100" s="324"/>
      <c r="BU100" s="91"/>
    </row>
    <row r="101" hidden="1">
      <c r="A101" s="176"/>
      <c r="B101" s="292">
        <v>90.0</v>
      </c>
      <c r="C101" s="231" t="s">
        <v>289</v>
      </c>
      <c r="D101" s="231" t="s">
        <v>764</v>
      </c>
      <c r="E101" s="351" t="s">
        <v>921</v>
      </c>
      <c r="F101" s="313" t="s">
        <v>527</v>
      </c>
      <c r="G101" s="355" t="s">
        <v>528</v>
      </c>
      <c r="H101" s="292" t="str">
        <f t="array" ref="H101">xlookup(F101,z_Others!$B$21:$B$45,z_Others!$E$21:$E$45,"",0,1)</f>
        <v>Sub6</v>
      </c>
      <c r="I101" s="310" t="s">
        <v>431</v>
      </c>
      <c r="J101" s="231" t="str">
        <f t="array" ref="J101">if(isblank(E101),"",xlookup(I101,z_Others!$M$17:$M$20,z_Others!$O$17:$O$20,"",0,1))</f>
        <v>Lemongrass</v>
      </c>
      <c r="K101" s="292" t="str">
        <f t="array" ref="K101">xlookup(I101,z_Others!$M$17:$M$20,z_Others!$N$17:$N$20,"",0,1)</f>
        <v>YEL</v>
      </c>
      <c r="L101" s="292" t="str">
        <f t="array" ref="L101">xlookup(F101,z_Others!$B$21:$B$45,z_Others!$D$21:$D$45,"",0,1)</f>
        <v>GK2MP
</v>
      </c>
      <c r="M101" s="296" t="str">
        <f t="array" ref="M101">xlookup(F101,z_Others!$B$21:$B$45,z_Others!$C$21:$C$45,"",0,1)</f>
        <v>ROW</v>
      </c>
      <c r="N101" s="297">
        <f t="array" ref="N101">if(isblank(E101),"",xlookup($N$9&amp;M101,z_Others!$X$5:$X$17&amp;z_Others!$W$5:$W$17,z_Others!$Z$5:$Z$17,"",0,1))</f>
        <v>35440766</v>
      </c>
      <c r="O101" s="331" t="s">
        <v>494</v>
      </c>
      <c r="P101" s="303" t="s">
        <v>495</v>
      </c>
      <c r="Q101" s="300" t="s">
        <v>413</v>
      </c>
      <c r="R101" s="301" t="s">
        <v>414</v>
      </c>
      <c r="S101" s="302">
        <f t="array" ref="S101">if(isblank(E101),"",xlookup($S$9&amp;M101,z_Others!$X$5:$X$17&amp;z_Others!$W$5:$W$17,z_Others!$Z$5:$Z$17,"",0,1))</f>
        <v>35795514</v>
      </c>
      <c r="T101" s="303" t="str">
        <f t="array" ref="T101">if(isblank(E101),"",xlookup($S$9&amp;M101,z_Others!$X$5:$X$17&amp;z_Others!$W$5:$W$17,z_Others!$AH$5:$AH$17,"",0,1))</f>
        <v>35 795514 040000x</v>
      </c>
      <c r="U101" s="303" t="str">
        <f t="array" ref="U101">if(isblank(E101),"",xlookup($S$9&amp;M101,z_Others!$X$5:$X$17&amp;z_Others!$W$5:$W$17,z_Others!$AI$5:$AI$17,"",0,1))</f>
        <v>35 795514 999999x</v>
      </c>
      <c r="V101" s="303" t="str">
        <f t="shared" si="2"/>
        <v>64:9D:38:32:91:82
B0:D5:FB:C6:60:70</v>
      </c>
      <c r="W101" s="303" t="str">
        <f t="shared" si="3"/>
        <v>64:9D:38:37:25:61
B0:D5:FB:CE:01:8F</v>
      </c>
      <c r="X101" s="304" t="str">
        <f t="shared" si="4"/>
        <v>MP1.0</v>
      </c>
      <c r="Y101" s="292"/>
      <c r="Z101" s="304" t="str">
        <f t="shared" si="32"/>
        <v>Android 16</v>
      </c>
      <c r="AA101" s="304" t="str">
        <f t="shared" si="37"/>
        <v>Android 16</v>
      </c>
      <c r="AB101" s="305" t="s">
        <v>922</v>
      </c>
      <c r="AC101" s="305" t="s">
        <v>923</v>
      </c>
      <c r="AD101" s="314" t="s">
        <v>447</v>
      </c>
      <c r="AE101" s="307" t="s">
        <v>418</v>
      </c>
      <c r="AF101" s="308" t="s">
        <v>447</v>
      </c>
      <c r="AG101" s="309" t="s">
        <v>418</v>
      </c>
      <c r="AH101" s="297" t="str">
        <f t="array" ref="AH101">if(isblank(E101),"",xlookup(F101,z_Others!$B$21:$B$45,z_Others!$F$21:$F$45,"TBD",0,1))</f>
        <v>00</v>
      </c>
      <c r="AI101" s="310" t="str">
        <f t="array" ref="AI101">if(isblank(E101),"", xlookup(E101,'Import_FL5_LH_PVTMP_Configs (Do'!E:E,'Import_FL5_LH_PVTMP_Configs (Do'!O:O,"TBD",0,1))</f>
        <v>G710-07800-10</v>
      </c>
      <c r="AJ101" s="311"/>
      <c r="AK101" s="310" t="str">
        <f t="array" ref="AK101">if(isblank(E101),"", xlookup(E101,'Import_FL5_LH_PVTMP_Configs (Do'!E:E,'Import_FL5_LH_PVTMP_Configs (Do'!Q:Q,"TBD",0,1))</f>
        <v>G650-14694-05</v>
      </c>
      <c r="AL101" s="310" t="str">
        <f t="array" ref="AL101">if(isblank(E101),"", xlookup(E101,'Import_FL5_LH_PVTMP_Configs (Do'!E:E,'Import_FL5_LH_PVTMP_Configs (Do'!M:M,"TBD",0,1))</f>
        <v>G710-07670-01</v>
      </c>
      <c r="AM101" s="310" t="str">
        <f t="array" ref="AM101">if(isblank(E101),"", xlookup(E101,'Import_FL5_LH_PVTMP_Configs (Do'!E:E,'Import_FL5_LH_PVTMP_Configs (Do'!N:N,"TBD",0,1))</f>
        <v>G730-09533-03</v>
      </c>
      <c r="AN101" s="310" t="str">
        <f t="array" ref="AN101">if(isblank(E101),"", xlookup(E101,'Import_FL5_LH_PVTMP_Configs (Do'!E:E,'Import_FL5_LH_PVTMP_Configs (Do'!K:K,"TBD",0,1))</f>
        <v>G950-15935-16</v>
      </c>
      <c r="AO101" s="292" t="str">
        <f t="array" ref="AO101">if(isblank(E101),"",XLOOKUP(E101,'FL5_G954 Pkg ASSY (Pkg BOM)'!L:L,'FL5_G954 Pkg ASSY (Pkg BOM)'!G:G,"N/A",0,1))</f>
        <v>G954-09390-00</v>
      </c>
      <c r="AP101" s="292" t="str">
        <f t="array" ref="AP101">if(isblank(E101),"",xlookup(E101,'FL5_G962 Country kit (Accesorie'!L:L,'FL5_G962 Country kit (Accesorie'!G:G,"N/A",0,1))</f>
        <v>N/A</v>
      </c>
      <c r="AQ101" s="304" t="str">
        <f t="array" ref="AQ101">if(isblank(E101),"", xlookup(E101,'Import_LH_Label approve'!E:E,'Import_LH_Label approve'!M:M,"",0,1))</f>
        <v>N/A</v>
      </c>
      <c r="AR101" s="304" t="str">
        <f t="array" ref="AR101">if(isblank(E101),"",xlookup(E101,'Import_LH_Label approve'!E:E,'Import_LH_Label approve'!N:N,"",0,1))</f>
        <v>N/A</v>
      </c>
      <c r="AS101" s="292" t="s">
        <v>596</v>
      </c>
      <c r="AT101" s="302" t="str">
        <f t="shared" si="6"/>
        <v>Yes</v>
      </c>
      <c r="AU101" s="302" t="str">
        <f t="shared" si="7"/>
        <v>No</v>
      </c>
      <c r="AV101" s="302" t="str">
        <f t="shared" si="8"/>
        <v>No</v>
      </c>
      <c r="AW101" s="302"/>
      <c r="AX101" s="302" t="s">
        <v>924</v>
      </c>
      <c r="AY101" s="302" t="s">
        <v>925</v>
      </c>
      <c r="AZ101" s="312" t="str">
        <f t="array" ref="AZ101">if(isblank(E101),"", xlookup(E101,Import_FL5_LH_PVT_BM!D:D,Import_FL5_LH_PVT_BM!AK:AK,$F$4,0,1))</f>
        <v>MP</v>
      </c>
      <c r="BA101" s="292" t="str">
        <f t="shared" si="9"/>
        <v>Bulk_30ct</v>
      </c>
      <c r="BB101" s="313" t="str">
        <f t="array" ref="BB101">if(isblank(E101),"",xlookup(F101,z_Others!$B$21:$B$42,z_Others!$G$21:$G$42,"No",0,1))</f>
        <v>ROW Master Carton Label (EAN)</v>
      </c>
      <c r="BC101" s="313" t="str">
        <f t="array" ref="BC101">if(isblank(E101),"",xlookup(F101,z_Others!$B$21:$B$42,z_Others!$H$21:$H$42,"No",0,1))</f>
        <v>Standard Pallet Label (BTO)
Standard Pallet Label (BTS)</v>
      </c>
      <c r="BD101" s="314" t="str">
        <f t="array" ref="BD101">if(isblank(E101),"",xlookup(E101,'Import_VN_Label approve'!E:E,'Import_VN_Label approve'!L:L,"N/A",0,1))</f>
        <v>N/A</v>
      </c>
      <c r="BE101" s="314" t="str">
        <f t="array" ref="BE101">if(isblank(E101),"",xlookup(E101,'Import_VN_Label approve'!E:E,'Import_VN_Label approve'!N:N,"N/A",0,1))</f>
        <v>N/A</v>
      </c>
      <c r="BF101" s="315"/>
      <c r="BG101" s="349" t="s">
        <v>822</v>
      </c>
      <c r="BH101" s="317" t="s">
        <v>823</v>
      </c>
      <c r="BI101" s="318">
        <v>45773.0</v>
      </c>
      <c r="BJ101" s="319" t="str">
        <f t="array" ref="BJ101">if(isblank(E101),"", xlookup(D101,z_Others!$B$5:$B$17,z_Others!$C$5:$C$17,"",0,1))</f>
        <v>智能手機</v>
      </c>
      <c r="BK101" s="320">
        <v>45782.0</v>
      </c>
      <c r="BL101" s="320" t="str">
        <f t="array" ref="BL101">if(isblank(E101),"",xlookup(E101,'FL5_MP POR_LH_報關備案_G950 &amp; GA'!F:F,'FL5_MP POR_LH_報關備案_G950 &amp; GA'!E:E,"No Need",0,1))</f>
        <v>Close</v>
      </c>
      <c r="BM101" s="321" t="str">
        <f t="array" ref="BM101">if(isblank(E101),"",xlookup($BM$9&amp;E101,'Import_FL5 MPS (06.06.25) - Sor'!E97:E334&amp;'Import_FL5 MPS (06.06.25) - Sor'!F97:F334,'Import_FL5 MPS (06.06.25) - Sor'!ES97:ES334,"No demand",0,1))</f>
        <v>No demand</v>
      </c>
      <c r="BN101" s="321" t="str">
        <f t="array" ref="BN101">if(isblank(E101),"",xlookup($BN$9&amp;E101,'Import_FL5 MPS (06.06.25) - Sor'!E97:E334&amp;'Import_FL5 MPS (06.06.25) - Sor'!F97:F334,'Import_FL5 MPS (06.06.25) - Sor'!ES97:ES334,"No demand",0,1))</f>
        <v>No demand</v>
      </c>
      <c r="BO101" s="321" t="str">
        <f t="array" ref="BO101">if(isblank(E101),"",xlookup($BO$9&amp;E101,'Import_FL5 MPS (06.06.25) - Sor'!E97:E334&amp;'Import_FL5 MPS (06.06.25) - Sor'!F97:F334,'Import_FL5 MPS (06.06.25) - Sor'!ES97:ES334,"No demand",0,1))</f>
        <v>No demand</v>
      </c>
      <c r="BP101" s="322" t="str">
        <f t="array" ref="BP101">if(isblank(E101),"", xlookup(E101,'Import_LH_Label approve'!E:E,'Import_LH_Label approve'!L:L,"",0,1))</f>
        <v>NA</v>
      </c>
      <c r="BQ101" s="322" t="str">
        <f t="array" ref="BQ101">if(isblank(E101),"",xlookup(E101,'Import_VN_Label approve'!E:E,'Import_VN_Label approve'!M:M,"N/A",0,1))</f>
        <v>N/A</v>
      </c>
      <c r="BR101" s="313"/>
      <c r="BS101" s="323"/>
      <c r="BT101" s="324"/>
      <c r="BU101" s="91"/>
    </row>
    <row r="102" hidden="1">
      <c r="A102" s="176"/>
      <c r="B102" s="292">
        <v>91.0</v>
      </c>
      <c r="C102" s="231" t="s">
        <v>289</v>
      </c>
      <c r="D102" s="231" t="s">
        <v>764</v>
      </c>
      <c r="E102" s="351" t="s">
        <v>926</v>
      </c>
      <c r="F102" s="313" t="s">
        <v>527</v>
      </c>
      <c r="G102" s="355" t="s">
        <v>528</v>
      </c>
      <c r="H102" s="292" t="str">
        <f t="array" ref="H102">xlookup(F102,z_Others!$B$21:$B$45,z_Others!$E$21:$E$45,"",0,1)</f>
        <v>Sub6</v>
      </c>
      <c r="I102" s="310" t="s">
        <v>437</v>
      </c>
      <c r="J102" s="231" t="str">
        <f t="array" ref="J102">if(isblank(E102),"",xlookup(I102,z_Others!$M$17:$M$20,z_Others!$O$17:$O$20,"",0,1))</f>
        <v>Indigo</v>
      </c>
      <c r="K102" s="292" t="str">
        <f t="array" ref="K102">xlookup(I102,z_Others!$M$17:$M$20,z_Others!$N$17:$N$20,"",0,1)</f>
        <v>BUE</v>
      </c>
      <c r="L102" s="292" t="str">
        <f t="array" ref="L102">xlookup(F102,z_Others!$B$21:$B$45,z_Others!$D$21:$D$45,"",0,1)</f>
        <v>GK2MP
</v>
      </c>
      <c r="M102" s="296" t="str">
        <f t="array" ref="M102">xlookup(F102,z_Others!$B$21:$B$45,z_Others!$C$21:$C$45,"",0,1)</f>
        <v>ROW</v>
      </c>
      <c r="N102" s="297">
        <f t="array" ref="N102">if(isblank(E102),"",xlookup($N$9&amp;M102,z_Others!$X$5:$X$17&amp;z_Others!$W$5:$W$17,z_Others!$Z$5:$Z$17,"",0,1))</f>
        <v>35440766</v>
      </c>
      <c r="O102" s="331" t="s">
        <v>494</v>
      </c>
      <c r="P102" s="303" t="s">
        <v>495</v>
      </c>
      <c r="Q102" s="300" t="s">
        <v>413</v>
      </c>
      <c r="R102" s="301" t="s">
        <v>414</v>
      </c>
      <c r="S102" s="302">
        <f t="array" ref="S102">if(isblank(E102),"",xlookup($S$9&amp;M102,z_Others!$X$5:$X$17&amp;z_Others!$W$5:$W$17,z_Others!$Z$5:$Z$17,"",0,1))</f>
        <v>35795514</v>
      </c>
      <c r="T102" s="303" t="str">
        <f t="array" ref="T102">if(isblank(E102),"",xlookup($S$9&amp;M102,z_Others!$X$5:$X$17&amp;z_Others!$W$5:$W$17,z_Others!$AH$5:$AH$17,"",0,1))</f>
        <v>35 795514 040000x</v>
      </c>
      <c r="U102" s="303" t="str">
        <f t="array" ref="U102">if(isblank(E102),"",xlookup($S$9&amp;M102,z_Others!$X$5:$X$17&amp;z_Others!$W$5:$W$17,z_Others!$AI$5:$AI$17,"",0,1))</f>
        <v>35 795514 999999x</v>
      </c>
      <c r="V102" s="303" t="str">
        <f t="shared" si="2"/>
        <v>64:9D:38:32:91:82
B0:D5:FB:C6:60:70</v>
      </c>
      <c r="W102" s="303" t="str">
        <f t="shared" si="3"/>
        <v>64:9D:38:37:25:61
B0:D5:FB:CE:01:8F</v>
      </c>
      <c r="X102" s="304" t="str">
        <f t="shared" si="4"/>
        <v>MP1.0</v>
      </c>
      <c r="Y102" s="292"/>
      <c r="Z102" s="304" t="str">
        <f t="shared" si="32"/>
        <v>Android 16</v>
      </c>
      <c r="AA102" s="304" t="str">
        <f t="shared" si="37"/>
        <v>Android 16</v>
      </c>
      <c r="AB102" s="305" t="s">
        <v>927</v>
      </c>
      <c r="AC102" s="305" t="s">
        <v>928</v>
      </c>
      <c r="AD102" s="314" t="s">
        <v>447</v>
      </c>
      <c r="AE102" s="307" t="s">
        <v>418</v>
      </c>
      <c r="AF102" s="308" t="s">
        <v>447</v>
      </c>
      <c r="AG102" s="309" t="s">
        <v>418</v>
      </c>
      <c r="AH102" s="297" t="str">
        <f t="array" ref="AH102">if(isblank(E102),"",xlookup(F102,z_Others!$B$21:$B$45,z_Others!$F$21:$F$45,"TBD",0,1))</f>
        <v>00</v>
      </c>
      <c r="AI102" s="310" t="str">
        <f t="array" ref="AI102">if(isblank(E102),"", xlookup(E102,'Import_FL5_LH_PVTMP_Configs (Do'!E:E,'Import_FL5_LH_PVTMP_Configs (Do'!O:O,"TBD",0,1))</f>
        <v>G710-07800-10</v>
      </c>
      <c r="AJ102" s="311"/>
      <c r="AK102" s="310" t="str">
        <f t="array" ref="AK102">if(isblank(E102),"", xlookup(E102,'Import_FL5_LH_PVTMP_Configs (Do'!E:E,'Import_FL5_LH_PVTMP_Configs (Do'!Q:Q,"TBD",0,1))</f>
        <v>G650-14694-05</v>
      </c>
      <c r="AL102" s="310" t="str">
        <f t="array" ref="AL102">if(isblank(E102),"", xlookup(E102,'Import_FL5_LH_PVTMP_Configs (Do'!E:E,'Import_FL5_LH_PVTMP_Configs (Do'!M:M,"TBD",0,1))</f>
        <v>G710-07670-01</v>
      </c>
      <c r="AM102" s="310" t="str">
        <f t="array" ref="AM102">if(isblank(E102),"", xlookup(E102,'Import_FL5_LH_PVTMP_Configs (Do'!E:E,'Import_FL5_LH_PVTMP_Configs (Do'!N:N,"TBD",0,1))</f>
        <v>G730-09533-04</v>
      </c>
      <c r="AN102" s="310" t="str">
        <f t="array" ref="AN102">if(isblank(E102),"", xlookup(E102,'Import_FL5_LH_PVTMP_Configs (Do'!E:E,'Import_FL5_LH_PVTMP_Configs (Do'!K:K,"TBD",0,1))</f>
        <v>G950-15935-17</v>
      </c>
      <c r="AO102" s="292" t="str">
        <f t="array" ref="AO102">if(isblank(E102),"",XLOOKUP(E102,'FL5_G954 Pkg ASSY (Pkg BOM)'!L:L,'FL5_G954 Pkg ASSY (Pkg BOM)'!G:G,"N/A",0,1))</f>
        <v>G954-09390-00</v>
      </c>
      <c r="AP102" s="292" t="str">
        <f t="array" ref="AP102">if(isblank(E102),"",xlookup(E102,'FL5_G962 Country kit (Accesorie'!L:L,'FL5_G962 Country kit (Accesorie'!G:G,"N/A",0,1))</f>
        <v>N/A</v>
      </c>
      <c r="AQ102" s="304" t="str">
        <f t="array" ref="AQ102">if(isblank(E102),"", xlookup(E102,'Import_LH_Label approve'!E:E,'Import_LH_Label approve'!M:M,"",0,1))</f>
        <v>N/A</v>
      </c>
      <c r="AR102" s="304" t="str">
        <f t="array" ref="AR102">if(isblank(E102),"",xlookup(E102,'Import_LH_Label approve'!E:E,'Import_LH_Label approve'!N:N,"",0,1))</f>
        <v>N/A</v>
      </c>
      <c r="AS102" s="292" t="s">
        <v>596</v>
      </c>
      <c r="AT102" s="302" t="str">
        <f t="shared" si="6"/>
        <v>Yes</v>
      </c>
      <c r="AU102" s="302" t="str">
        <f t="shared" si="7"/>
        <v>No</v>
      </c>
      <c r="AV102" s="302" t="str">
        <f t="shared" si="8"/>
        <v>No</v>
      </c>
      <c r="AW102" s="302"/>
      <c r="AX102" s="302" t="s">
        <v>929</v>
      </c>
      <c r="AY102" s="302" t="s">
        <v>930</v>
      </c>
      <c r="AZ102" s="312" t="str">
        <f t="array" ref="AZ102">if(isblank(E102),"", xlookup(E102,Import_FL5_LH_PVT_BM!D:D,Import_FL5_LH_PVT_BM!AK:AK,$F$4,0,1))</f>
        <v>MP</v>
      </c>
      <c r="BA102" s="292" t="str">
        <f t="shared" si="9"/>
        <v>Bulk_30ct</v>
      </c>
      <c r="BB102" s="313" t="str">
        <f t="array" ref="BB102">if(isblank(E102),"",xlookup(F102,z_Others!$B$21:$B$42,z_Others!$G$21:$G$42,"No",0,1))</f>
        <v>ROW Master Carton Label (EAN)</v>
      </c>
      <c r="BC102" s="313" t="str">
        <f t="array" ref="BC102">if(isblank(E102),"",xlookup(F102,z_Others!$B$21:$B$42,z_Others!$H$21:$H$42,"No",0,1))</f>
        <v>Standard Pallet Label (BTO)
Standard Pallet Label (BTS)</v>
      </c>
      <c r="BD102" s="314" t="str">
        <f t="array" ref="BD102">if(isblank(E102),"",xlookup(E102,'Import_VN_Label approve'!E:E,'Import_VN_Label approve'!L:L,"N/A",0,1))</f>
        <v>N/A</v>
      </c>
      <c r="BE102" s="314" t="str">
        <f t="array" ref="BE102">if(isblank(E102),"",xlookup(E102,'Import_VN_Label approve'!E:E,'Import_VN_Label approve'!N:N,"N/A",0,1))</f>
        <v>N/A</v>
      </c>
      <c r="BF102" s="315"/>
      <c r="BG102" s="349" t="s">
        <v>822</v>
      </c>
      <c r="BH102" s="317" t="s">
        <v>823</v>
      </c>
      <c r="BI102" s="318">
        <v>45773.0</v>
      </c>
      <c r="BJ102" s="319" t="str">
        <f t="array" ref="BJ102">if(isblank(E102),"", xlookup(D102,z_Others!$B$5:$B$17,z_Others!$C$5:$C$17,"",0,1))</f>
        <v>智能手機</v>
      </c>
      <c r="BK102" s="320">
        <v>45782.0</v>
      </c>
      <c r="BL102" s="320" t="str">
        <f t="array" ref="BL102">if(isblank(E102),"",xlookup(E102,'FL5_MP POR_LH_報關備案_G950 &amp; GA'!F:F,'FL5_MP POR_LH_報關備案_G950 &amp; GA'!E:E,"No Need",0,1))</f>
        <v>Close</v>
      </c>
      <c r="BM102" s="321" t="str">
        <f t="array" ref="BM102">if(isblank(E102),"",xlookup($BM$9&amp;E102,'Import_FL5 MPS (06.06.25) - Sor'!E98:E334&amp;'Import_FL5 MPS (06.06.25) - Sor'!F98:F334,'Import_FL5 MPS (06.06.25) - Sor'!ES98:ES334,"No demand",0,1))</f>
        <v>No demand</v>
      </c>
      <c r="BN102" s="321" t="str">
        <f t="array" ref="BN102">if(isblank(E102),"",xlookup($BN$9&amp;E102,'Import_FL5 MPS (06.06.25) - Sor'!E98:E334&amp;'Import_FL5 MPS (06.06.25) - Sor'!F98:F334,'Import_FL5 MPS (06.06.25) - Sor'!ES98:ES334,"No demand",0,1))</f>
        <v>No demand</v>
      </c>
      <c r="BO102" s="321" t="str">
        <f t="array" ref="BO102">if(isblank(E102),"",xlookup($BO$9&amp;E102,'Import_FL5 MPS (06.06.25) - Sor'!E98:E334&amp;'Import_FL5 MPS (06.06.25) - Sor'!F98:F334,'Import_FL5 MPS (06.06.25) - Sor'!ES98:ES334,"No demand",0,1))</f>
        <v>No demand</v>
      </c>
      <c r="BP102" s="322" t="str">
        <f t="array" ref="BP102">if(isblank(E102),"", xlookup(E102,'Import_LH_Label approve'!E:E,'Import_LH_Label approve'!L:L,"",0,1))</f>
        <v>NA</v>
      </c>
      <c r="BQ102" s="322" t="str">
        <f t="array" ref="BQ102">if(isblank(E102),"",xlookup(E102,'Import_VN_Label approve'!E:E,'Import_VN_Label approve'!M:M,"N/A",0,1))</f>
        <v>N/A</v>
      </c>
      <c r="BR102" s="313"/>
      <c r="BS102" s="323"/>
      <c r="BT102" s="324"/>
      <c r="BU102" s="91"/>
    </row>
    <row r="103">
      <c r="A103" s="176"/>
      <c r="B103" s="292">
        <v>92.0</v>
      </c>
      <c r="C103" s="231" t="s">
        <v>283</v>
      </c>
      <c r="D103" s="231" t="s">
        <v>408</v>
      </c>
      <c r="E103" s="351" t="s">
        <v>931</v>
      </c>
      <c r="F103" s="294" t="s">
        <v>470</v>
      </c>
      <c r="G103" s="355" t="s">
        <v>471</v>
      </c>
      <c r="H103" s="292" t="str">
        <f t="array" ref="H103">xlookup(F103,z_Others!$B$21:$B$45,z_Others!$E$21:$E$45,"",0,1)</f>
        <v>mmWave</v>
      </c>
      <c r="I103" s="310" t="s">
        <v>412</v>
      </c>
      <c r="J103" s="231" t="str">
        <f t="array" ref="J103">if(isblank(E103),"",xlookup(I103,z_Others!$M$17:$M$20,z_Others!$O$17:$O$20,"",0,1))</f>
        <v>Obsidian</v>
      </c>
      <c r="K103" s="292" t="str">
        <f t="array" ref="K103">xlookup(I103,z_Others!$M$17:$M$20,z_Others!$N$17:$N$20,"",0,1)</f>
        <v>BLK</v>
      </c>
      <c r="L103" s="292" t="str">
        <f t="array" ref="L103">xlookup(F103,z_Others!$B$21:$B$45,z_Others!$D$21:$D$45,"",0,1)</f>
        <v>GLBW0</v>
      </c>
      <c r="M103" s="296" t="str">
        <f t="array" ref="M103">xlookup(F103,z_Others!$B$21:$B$45,z_Others!$C$21:$C$45,"",0,1)</f>
        <v>NA</v>
      </c>
      <c r="N103" s="297">
        <f t="array" ref="N103">if(isblank(E103),"",xlookup($N$9&amp;M103,z_Others!$X$5:$X$17&amp;z_Others!$W$5:$W$17,z_Others!$Z$5:$Z$17,"",0,1))</f>
        <v>35124436</v>
      </c>
      <c r="O103" s="298" t="str">
        <f t="array" ref="O103">if(isblank(E103),"",xlookup($N$9&amp;M103,z_Others!$X$5:$X$17&amp;z_Others!$W$5:$W$17,z_Others!$AH$5:$AH$17,"",0,1))</f>
        <v>35 124436 070000x
</v>
      </c>
      <c r="P103" s="299" t="str">
        <f t="array" ref="P103">if(isblank(E103),"",xlookup($N$9&amp;M103,z_Others!$X$5:$X$17&amp;z_Others!$W$5:$W$17,z_Others!$AI$5:$AI$17,"",0,1))</f>
        <v>35 124436 999999x</v>
      </c>
      <c r="Q103" s="300" t="s">
        <v>413</v>
      </c>
      <c r="R103" s="301" t="s">
        <v>414</v>
      </c>
      <c r="S103" s="302">
        <f t="array" ref="S103">if(isblank(E103),"",xlookup($S$9&amp;M103,z_Others!$X$5:$X$17&amp;z_Others!$W$5:$W$17,z_Others!$Z$5:$Z$17,"",0,1))</f>
        <v>35676628</v>
      </c>
      <c r="T103" s="303" t="str">
        <f t="array" ref="T103">if(isblank(E103),"",xlookup($S$9&amp;M103,z_Others!$X$5:$X$17&amp;z_Others!$W$5:$W$17,z_Others!$AH$5:$AH$17,"",0,1))</f>
        <v>35 676628 040000x
35 676628 340000x</v>
      </c>
      <c r="U103" s="303" t="str">
        <f t="array" ref="U103">if(isblank(E103),"",xlookup($S$9&amp;M103,z_Others!$X$5:$X$17&amp;z_Others!$W$5:$W$17,z_Others!$AI$5:$AI$17,"",0,1))</f>
        <v>35 676628 999999x
35 676628 639999x</v>
      </c>
      <c r="V103" s="303" t="str">
        <f t="shared" si="2"/>
        <v>64:9D:38:32:91:82
B0:D5:FB:C6:60:70</v>
      </c>
      <c r="W103" s="303" t="str">
        <f t="shared" si="3"/>
        <v>64:9D:38:37:25:61
B0:D5:FB:CE:01:8F</v>
      </c>
      <c r="X103" s="304" t="str">
        <f t="shared" si="4"/>
        <v>MP1.0</v>
      </c>
      <c r="Y103" s="292"/>
      <c r="Z103" s="304" t="str">
        <f t="shared" si="32"/>
        <v>Android 16</v>
      </c>
      <c r="AA103" s="304" t="str">
        <f t="shared" ref="AA103:AA111" si="38">if(isblank(E103),"",IF(AG103="AD1A.240530.047","Android 14",IF(AG103="AP3A.241105.008","Android 15","TBD")))</f>
        <v>TBD</v>
      </c>
      <c r="AB103" s="305" t="s">
        <v>932</v>
      </c>
      <c r="AC103" s="305" t="s">
        <v>933</v>
      </c>
      <c r="AD103" s="314" t="s">
        <v>447</v>
      </c>
      <c r="AE103" s="307" t="s">
        <v>418</v>
      </c>
      <c r="AF103" s="308" t="s">
        <v>447</v>
      </c>
      <c r="AG103" s="309" t="s">
        <v>418</v>
      </c>
      <c r="AH103" s="297" t="str">
        <f t="array" ref="AH103">if(isblank(E103),"",xlookup(F103,z_Others!$B$21:$B$45,z_Others!$F$21:$F$45,"TBD",0,1))</f>
        <v>00</v>
      </c>
      <c r="AI103" s="310" t="str">
        <f t="array" ref="AI103">if(isblank(E103),"", xlookup(E103,'Import_FL5_LH_PVTMP_Configs (Do'!E:E,'Import_FL5_LH_PVTMP_Configs (Do'!O:O,"TBD",0,1))</f>
        <v>G710-07800-01</v>
      </c>
      <c r="AJ103" s="311"/>
      <c r="AK103" s="310" t="str">
        <f t="array" ref="AK103">if(isblank(E103),"", xlookup(E103,'Import_FL5_LH_PVTMP_Configs (Do'!E:E,'Import_FL5_LH_PVTMP_Configs (Do'!Q:Q,"TBD",0,1))</f>
        <v>G650-14694-05</v>
      </c>
      <c r="AL103" s="310" t="str">
        <f t="array" ref="AL103">if(isblank(E103),"", xlookup(E103,'Import_FL5_LH_PVTMP_Configs (Do'!E:E,'Import_FL5_LH_PVTMP_Configs (Do'!M:M,"TBD",0,1))</f>
        <v>G710-07670-01</v>
      </c>
      <c r="AM103" s="310" t="str">
        <f t="array" ref="AM103">if(isblank(E103),"", xlookup(E103,'Import_FL5_LH_PVTMP_Configs (Do'!E:E,'Import_FL5_LH_PVTMP_Configs (Do'!N:N,"TBD",0,1))</f>
        <v>G730-09533-01</v>
      </c>
      <c r="AN103" s="310" t="str">
        <f t="array" ref="AN103">if(isblank(E103),"", xlookup(E103,'Import_FL5_LH_PVTMP_Configs (Do'!E:E,'Import_FL5_LH_PVTMP_Configs (Do'!K:K,"TBD",0,1))</f>
        <v>G950-15935-00</v>
      </c>
      <c r="AO103" s="292" t="str">
        <f t="array" ref="AO103">if(isblank(E103),"",XLOOKUP(E103,'FL5_G954 Pkg ASSY (Pkg BOM)'!L:L,'FL5_G954 Pkg ASSY (Pkg BOM)'!G:G,"N/A",0,1))</f>
        <v>N/A</v>
      </c>
      <c r="AP103" s="292" t="str">
        <f t="array" ref="AP103">if(isblank(E103),"",xlookup(E103,'FL5_G962 Country kit (Accesorie'!L:L,'FL5_G962 Country kit (Accesorie'!G:G,"N/A",0,1))</f>
        <v>N/A</v>
      </c>
      <c r="AQ103" s="304" t="str">
        <f t="array" ref="AQ103">if(isblank(E103),"", xlookup(E103,'Import_LH_Label approve'!E:E,'Import_LH_Label approve'!M:M,"",0,1))</f>
        <v>G990-08380-11-01
G990-08380-11-A</v>
      </c>
      <c r="AR103" s="329" t="str">
        <f t="array" ref="AR103">if(isblank(E103),"",xlookup(E103,'Import_LH_Label approve'!E:E,'Import_LH_Label approve'!N:N,"",0,1))</f>
        <v>G990-09560-00-A</v>
      </c>
      <c r="AS103" s="292" t="s">
        <v>419</v>
      </c>
      <c r="AT103" s="302" t="str">
        <f t="shared" si="6"/>
        <v>Yes</v>
      </c>
      <c r="AU103" s="302" t="str">
        <f t="shared" si="7"/>
        <v>No</v>
      </c>
      <c r="AV103" s="302" t="str">
        <f t="shared" si="8"/>
        <v>No</v>
      </c>
      <c r="AW103" s="302"/>
      <c r="AX103" s="302" t="s">
        <v>934</v>
      </c>
      <c r="AY103" s="302" t="s">
        <v>935</v>
      </c>
      <c r="AZ103" s="312" t="str">
        <f t="array" ref="AZ103">if(isblank(E103),"", xlookup(E103,Import_FL5_LH_PVT_BM!D:D,Import_FL5_LH_PVT_BM!AK:AK,$F$4,0,1))</f>
        <v>MP</v>
      </c>
      <c r="BA103" s="292" t="str">
        <f t="shared" si="9"/>
        <v>Retail_10ct</v>
      </c>
      <c r="BB103" s="313" t="str">
        <f t="array" ref="BB103">if(isblank(E103),"",xlookup(F103,z_Others!$B$21:$B$42,z_Others!$G$21:$G$42,"No",0,1))</f>
        <v>ROW Master Carton Label (UPC)</v>
      </c>
      <c r="BC103" s="313" t="str">
        <f t="array" ref="BC103">if(isblank(E103),"",xlookup(F103,z_Others!$B$21:$B$42,z_Others!$H$21:$H$42,"No",0,1))</f>
        <v>Standard Pallet Label (BTO)
Standard Pallet Label (BTS)</v>
      </c>
      <c r="BD103" s="314" t="str">
        <f t="array" ref="BD103">if(isblank(E103),"",xlookup(E103,'Import_VN_Label approve'!E:E,'Import_VN_Label approve'!L:L,"N/A",0,1))</f>
        <v>N/A</v>
      </c>
      <c r="BE103" s="314" t="str">
        <f t="array" ref="BE103">if(isblank(E103),"",xlookup(E103,'Import_VN_Label approve'!E:E,'Import_VN_Label approve'!N:N,"N/A",0,1))</f>
        <v>N/A</v>
      </c>
      <c r="BF103" s="315"/>
      <c r="BG103" s="316" t="s">
        <v>422</v>
      </c>
      <c r="BH103" s="317" t="s">
        <v>423</v>
      </c>
      <c r="BI103" s="318">
        <v>45782.0</v>
      </c>
      <c r="BJ103" s="319" t="str">
        <f t="array" ref="BJ103">if(isblank(E103),"", xlookup(D103,z_Others!$B$5:$B$17,z_Others!$C$5:$C$17,"",0,1))</f>
        <v>智能手機</v>
      </c>
      <c r="BK103" s="320">
        <v>45782.0</v>
      </c>
      <c r="BL103" s="320" t="str">
        <f t="array" ref="BL103">if(isblank(E103),"",xlookup(E103,'FL5_MP POR_LH_報關備案_G950 &amp; GA'!F:F,'FL5_MP POR_LH_報關備案_G950 &amp; GA'!E:E,"No Need",0,1))</f>
        <v>Close</v>
      </c>
      <c r="BM103" s="321" t="str">
        <f t="array" ref="BM103">if(isblank(E103),"",xlookup($BM$9&amp;E103,'Import_FL5 MPS (06.06.25) - Sor'!E99:E334&amp;'Import_FL5 MPS (06.06.25) - Sor'!F99:F334,'Import_FL5 MPS (06.06.25) - Sor'!ES99:ES334,"No demand",0,1))</f>
        <v>No demand</v>
      </c>
      <c r="BN103" s="321" t="str">
        <f t="array" ref="BN103">if(isblank(E103),"",xlookup($BN$9&amp;E103,'Import_FL5 MPS (06.06.25) - Sor'!E99:E334&amp;'Import_FL5 MPS (06.06.25) - Sor'!F99:F334,'Import_FL5 MPS (06.06.25) - Sor'!ES99:ES334,"No demand",0,1))</f>
        <v>No demand</v>
      </c>
      <c r="BO103" s="321" t="str">
        <f t="array" ref="BO103">if(isblank(E103),"",xlookup($BO$9&amp;E103,'Import_FL5 MPS (06.06.25) - Sor'!E99:E334&amp;'Import_FL5 MPS (06.06.25) - Sor'!F99:F334,'Import_FL5 MPS (06.06.25) - Sor'!ES99:ES334,"No demand",0,1))</f>
        <v>No demand</v>
      </c>
      <c r="BP103" s="322" t="str">
        <f t="array" ref="BP103">if(isblank(E103),"", xlookup(E103,'Import_LH_Label approve'!E:E,'Import_LH_Label approve'!L:L,"",0,1))</f>
        <v>NA</v>
      </c>
      <c r="BQ103" s="322" t="str">
        <f t="array" ref="BQ103">if(isblank(E103),"",xlookup(E103,'Import_VN_Label approve'!E:E,'Import_VN_Label approve'!M:M,"N/A",0,1))</f>
        <v>N/A</v>
      </c>
      <c r="BR103" s="313"/>
      <c r="BS103" s="323"/>
      <c r="BT103" s="324"/>
      <c r="BU103" s="91"/>
    </row>
    <row r="104">
      <c r="A104" s="176"/>
      <c r="B104" s="292">
        <v>93.0</v>
      </c>
      <c r="C104" s="231" t="s">
        <v>283</v>
      </c>
      <c r="D104" s="231" t="s">
        <v>408</v>
      </c>
      <c r="E104" s="351" t="s">
        <v>936</v>
      </c>
      <c r="F104" s="294" t="s">
        <v>470</v>
      </c>
      <c r="G104" s="355" t="s">
        <v>471</v>
      </c>
      <c r="H104" s="292" t="str">
        <f t="array" ref="H104">xlookup(F104,z_Others!$B$21:$B$45,z_Others!$E$21:$E$45,"",0,1)</f>
        <v>mmWave</v>
      </c>
      <c r="I104" s="310" t="s">
        <v>425</v>
      </c>
      <c r="J104" s="231" t="str">
        <f t="array" ref="J104">if(isblank(E104),"",xlookup(I104,z_Others!$M$17:$M$20,z_Others!$O$17:$O$20,"",0,1))</f>
        <v>Frost</v>
      </c>
      <c r="K104" s="292" t="str">
        <f t="array" ref="K104">xlookup(I104,z_Others!$M$17:$M$20,z_Others!$N$17:$N$20,"",0,1)</f>
        <v>PPL</v>
      </c>
      <c r="L104" s="292" t="str">
        <f t="array" ref="L104">xlookup(F104,z_Others!$B$21:$B$45,z_Others!$D$21:$D$45,"",0,1)</f>
        <v>GLBW0</v>
      </c>
      <c r="M104" s="296" t="str">
        <f t="array" ref="M104">xlookup(F104,z_Others!$B$21:$B$45,z_Others!$C$21:$C$45,"",0,1)</f>
        <v>NA</v>
      </c>
      <c r="N104" s="297">
        <f t="array" ref="N104">if(isblank(E104),"",xlookup($N$9&amp;M104,z_Others!$X$5:$X$17&amp;z_Others!$W$5:$W$17,z_Others!$Z$5:$Z$17,"",0,1))</f>
        <v>35124436</v>
      </c>
      <c r="O104" s="298" t="str">
        <f t="array" ref="O104">if(isblank(E104),"",xlookup($N$9&amp;M104,z_Others!$X$5:$X$17&amp;z_Others!$W$5:$W$17,z_Others!$AH$5:$AH$17,"",0,1))</f>
        <v>35 124436 070000x
</v>
      </c>
      <c r="P104" s="299" t="str">
        <f t="array" ref="P104">if(isblank(E104),"",xlookup($N$9&amp;M104,z_Others!$X$5:$X$17&amp;z_Others!$W$5:$W$17,z_Others!$AI$5:$AI$17,"",0,1))</f>
        <v>35 124436 999999x</v>
      </c>
      <c r="Q104" s="300" t="s">
        <v>413</v>
      </c>
      <c r="R104" s="301" t="s">
        <v>414</v>
      </c>
      <c r="S104" s="302">
        <f t="array" ref="S104">if(isblank(E104),"",xlookup($S$9&amp;M104,z_Others!$X$5:$X$17&amp;z_Others!$W$5:$W$17,z_Others!$Z$5:$Z$17,"",0,1))</f>
        <v>35676628</v>
      </c>
      <c r="T104" s="303" t="str">
        <f t="array" ref="T104">if(isblank(E104),"",xlookup($S$9&amp;M104,z_Others!$X$5:$X$17&amp;z_Others!$W$5:$W$17,z_Others!$AH$5:$AH$17,"",0,1))</f>
        <v>35 676628 040000x
35 676628 340000x</v>
      </c>
      <c r="U104" s="303" t="str">
        <f t="array" ref="U104">if(isblank(E104),"",xlookup($S$9&amp;M104,z_Others!$X$5:$X$17&amp;z_Others!$W$5:$W$17,z_Others!$AI$5:$AI$17,"",0,1))</f>
        <v>35 676628 999999x
35 676628 639999x</v>
      </c>
      <c r="V104" s="303" t="str">
        <f t="shared" si="2"/>
        <v>64:9D:38:32:91:82
B0:D5:FB:C6:60:70</v>
      </c>
      <c r="W104" s="303" t="str">
        <f t="shared" si="3"/>
        <v>64:9D:38:37:25:61
B0:D5:FB:CE:01:8F</v>
      </c>
      <c r="X104" s="304" t="str">
        <f t="shared" si="4"/>
        <v>MP1.0</v>
      </c>
      <c r="Y104" s="292"/>
      <c r="Z104" s="304" t="str">
        <f t="shared" si="32"/>
        <v>Android 16</v>
      </c>
      <c r="AA104" s="304" t="str">
        <f t="shared" si="38"/>
        <v>TBD</v>
      </c>
      <c r="AB104" s="305" t="s">
        <v>937</v>
      </c>
      <c r="AC104" s="305" t="s">
        <v>938</v>
      </c>
      <c r="AD104" s="314" t="s">
        <v>447</v>
      </c>
      <c r="AE104" s="307" t="s">
        <v>418</v>
      </c>
      <c r="AF104" s="308" t="s">
        <v>447</v>
      </c>
      <c r="AG104" s="309" t="s">
        <v>418</v>
      </c>
      <c r="AH104" s="297" t="str">
        <f t="array" ref="AH104">if(isblank(E104),"",xlookup(F104,z_Others!$B$21:$B$45,z_Others!$F$21:$F$45,"TBD",0,1))</f>
        <v>00</v>
      </c>
      <c r="AI104" s="310" t="str">
        <f t="array" ref="AI104">if(isblank(E104),"", xlookup(E104,'Import_FL5_LH_PVTMP_Configs (Do'!E:E,'Import_FL5_LH_PVTMP_Configs (Do'!O:O,"TBD",0,1))</f>
        <v>G710-07800-01</v>
      </c>
      <c r="AJ104" s="311"/>
      <c r="AK104" s="310" t="str">
        <f t="array" ref="AK104">if(isblank(E104),"", xlookup(E104,'Import_FL5_LH_PVTMP_Configs (Do'!E:E,'Import_FL5_LH_PVTMP_Configs (Do'!Q:Q,"TBD",0,1))</f>
        <v>G650-14694-05</v>
      </c>
      <c r="AL104" s="310" t="str">
        <f t="array" ref="AL104">if(isblank(E104),"", xlookup(E104,'Import_FL5_LH_PVTMP_Configs (Do'!E:E,'Import_FL5_LH_PVTMP_Configs (Do'!M:M,"TBD",0,1))</f>
        <v>G710-07670-01</v>
      </c>
      <c r="AM104" s="310" t="str">
        <f t="array" ref="AM104">if(isblank(E104),"", xlookup(E104,'Import_FL5_LH_PVTMP_Configs (Do'!E:E,'Import_FL5_LH_PVTMP_Configs (Do'!N:N,"TBD",0,1))</f>
        <v>G730-09533-02</v>
      </c>
      <c r="AN104" s="310" t="str">
        <f t="array" ref="AN104">if(isblank(E104),"", xlookup(E104,'Import_FL5_LH_PVTMP_Configs (Do'!E:E,'Import_FL5_LH_PVTMP_Configs (Do'!K:K,"TBD",0,1))</f>
        <v>G950-15935-01</v>
      </c>
      <c r="AO104" s="292" t="str">
        <f t="array" ref="AO104">if(isblank(E104),"",XLOOKUP(E104,'FL5_G954 Pkg ASSY (Pkg BOM)'!L:L,'FL5_G954 Pkg ASSY (Pkg BOM)'!G:G,"N/A",0,1))</f>
        <v>N/A</v>
      </c>
      <c r="AP104" s="292" t="str">
        <f t="array" ref="AP104">if(isblank(E104),"",xlookup(E104,'FL5_G962 Country kit (Accesorie'!L:L,'FL5_G962 Country kit (Accesorie'!G:G,"N/A",0,1))</f>
        <v>N/A</v>
      </c>
      <c r="AQ104" s="304" t="str">
        <f t="array" ref="AQ104">if(isblank(E104),"", xlookup(E104,'Import_LH_Label approve'!E:E,'Import_LH_Label approve'!M:M,"",0,1))</f>
        <v>G990-08380-21-01
G990-08380-21-A</v>
      </c>
      <c r="AR104" s="329" t="str">
        <f t="array" ref="AR104">if(isblank(E104),"",xlookup(E104,'Import_LH_Label approve'!E:E,'Import_LH_Label approve'!N:N,"",0,1))</f>
        <v>G990-09560-00-A</v>
      </c>
      <c r="AS104" s="292" t="s">
        <v>419</v>
      </c>
      <c r="AT104" s="302" t="str">
        <f t="shared" si="6"/>
        <v>Yes</v>
      </c>
      <c r="AU104" s="302" t="str">
        <f t="shared" si="7"/>
        <v>No</v>
      </c>
      <c r="AV104" s="302" t="str">
        <f t="shared" si="8"/>
        <v>No</v>
      </c>
      <c r="AW104" s="302"/>
      <c r="AX104" s="302" t="s">
        <v>939</v>
      </c>
      <c r="AY104" s="302" t="s">
        <v>940</v>
      </c>
      <c r="AZ104" s="312" t="str">
        <f t="array" ref="AZ104">if(isblank(E104),"", xlookup(E104,Import_FL5_LH_PVT_BM!D:D,Import_FL5_LH_PVT_BM!AK:AK,$F$4,0,1))</f>
        <v>MP</v>
      </c>
      <c r="BA104" s="292" t="str">
        <f t="shared" si="9"/>
        <v>Retail_10ct</v>
      </c>
      <c r="BB104" s="313" t="str">
        <f t="array" ref="BB104">if(isblank(E104),"",xlookup(F104,z_Others!$B$21:$B$42,z_Others!$G$21:$G$42,"No",0,1))</f>
        <v>ROW Master Carton Label (UPC)</v>
      </c>
      <c r="BC104" s="313" t="str">
        <f t="array" ref="BC104">if(isblank(E104),"",xlookup(F104,z_Others!$B$21:$B$42,z_Others!$H$21:$H$42,"No",0,1))</f>
        <v>Standard Pallet Label (BTO)
Standard Pallet Label (BTS)</v>
      </c>
      <c r="BD104" s="314" t="str">
        <f t="array" ref="BD104">if(isblank(E104),"",xlookup(E104,'Import_VN_Label approve'!E:E,'Import_VN_Label approve'!L:L,"N/A",0,1))</f>
        <v>N/A</v>
      </c>
      <c r="BE104" s="314" t="str">
        <f t="array" ref="BE104">if(isblank(E104),"",xlookup(E104,'Import_VN_Label approve'!E:E,'Import_VN_Label approve'!N:N,"N/A",0,1))</f>
        <v>N/A</v>
      </c>
      <c r="BF104" s="315"/>
      <c r="BG104" s="316" t="s">
        <v>422</v>
      </c>
      <c r="BH104" s="317" t="s">
        <v>423</v>
      </c>
      <c r="BI104" s="318">
        <v>45782.0</v>
      </c>
      <c r="BJ104" s="319" t="str">
        <f t="array" ref="BJ104">if(isblank(E104),"", xlookup(D104,z_Others!$B$5:$B$17,z_Others!$C$5:$C$17,"",0,1))</f>
        <v>智能手機</v>
      </c>
      <c r="BK104" s="320">
        <v>45782.0</v>
      </c>
      <c r="BL104" s="320" t="str">
        <f t="array" ref="BL104">if(isblank(E104),"",xlookup(E104,'FL5_MP POR_LH_報關備案_G950 &amp; GA'!F:F,'FL5_MP POR_LH_報關備案_G950 &amp; GA'!E:E,"No Need",0,1))</f>
        <v>Close</v>
      </c>
      <c r="BM104" s="321" t="str">
        <f t="array" ref="BM104">if(isblank(E104),"",xlookup($BM$9&amp;E104,'Import_FL5 MPS (06.06.25) - Sor'!E100:E334&amp;'Import_FL5 MPS (06.06.25) - Sor'!F100:F334,'Import_FL5 MPS (06.06.25) - Sor'!ES100:ES334,"No demand",0,1))</f>
        <v>No demand</v>
      </c>
      <c r="BN104" s="321" t="str">
        <f t="array" ref="BN104">if(isblank(E104),"",xlookup($BN$9&amp;E104,'Import_FL5 MPS (06.06.25) - Sor'!E100:E334&amp;'Import_FL5 MPS (06.06.25) - Sor'!F100:F334,'Import_FL5 MPS (06.06.25) - Sor'!ES100:ES334,"No demand",0,1))</f>
        <v>No demand</v>
      </c>
      <c r="BO104" s="321" t="str">
        <f t="array" ref="BO104">if(isblank(E104),"",xlookup($BO$9&amp;E104,'Import_FL5 MPS (06.06.25) - Sor'!E100:E334&amp;'Import_FL5 MPS (06.06.25) - Sor'!F100:F334,'Import_FL5 MPS (06.06.25) - Sor'!ES100:ES334,"No demand",0,1))</f>
        <v>No demand</v>
      </c>
      <c r="BP104" s="322" t="str">
        <f t="array" ref="BP104">if(isblank(E104),"", xlookup(E104,'Import_LH_Label approve'!E:E,'Import_LH_Label approve'!L:L,"",0,1))</f>
        <v>NA</v>
      </c>
      <c r="BQ104" s="322" t="str">
        <f t="array" ref="BQ104">if(isblank(E104),"",xlookup(E104,'Import_VN_Label approve'!E:E,'Import_VN_Label approve'!M:M,"N/A",0,1))</f>
        <v>N/A</v>
      </c>
      <c r="BR104" s="325"/>
      <c r="BS104" s="323"/>
      <c r="BT104" s="324"/>
      <c r="BU104" s="117"/>
    </row>
    <row r="105">
      <c r="A105" s="176"/>
      <c r="B105" s="292">
        <v>94.0</v>
      </c>
      <c r="C105" s="231" t="s">
        <v>283</v>
      </c>
      <c r="D105" s="231" t="s">
        <v>408</v>
      </c>
      <c r="E105" s="351" t="s">
        <v>941</v>
      </c>
      <c r="F105" s="294" t="s">
        <v>470</v>
      </c>
      <c r="G105" s="355" t="s">
        <v>471</v>
      </c>
      <c r="H105" s="292" t="str">
        <f t="array" ref="H105">xlookup(F105,z_Others!$B$21:$B$45,z_Others!$E$21:$E$45,"",0,1)</f>
        <v>mmWave</v>
      </c>
      <c r="I105" s="310" t="s">
        <v>431</v>
      </c>
      <c r="J105" s="231" t="str">
        <f t="array" ref="J105">if(isblank(E105),"",xlookup(I105,z_Others!$M$17:$M$20,z_Others!$O$17:$O$20,"",0,1))</f>
        <v>Lemongrass</v>
      </c>
      <c r="K105" s="292" t="str">
        <f t="array" ref="K105">xlookup(I105,z_Others!$M$17:$M$20,z_Others!$N$17:$N$20,"",0,1)</f>
        <v>YEL</v>
      </c>
      <c r="L105" s="292" t="str">
        <f t="array" ref="L105">xlookup(F105,z_Others!$B$21:$B$45,z_Others!$D$21:$D$45,"",0,1)</f>
        <v>GLBW0</v>
      </c>
      <c r="M105" s="296" t="str">
        <f t="array" ref="M105">xlookup(F105,z_Others!$B$21:$B$45,z_Others!$C$21:$C$45,"",0,1)</f>
        <v>NA</v>
      </c>
      <c r="N105" s="297">
        <f t="array" ref="N105">if(isblank(E105),"",xlookup($N$9&amp;M105,z_Others!$X$5:$X$17&amp;z_Others!$W$5:$W$17,z_Others!$Z$5:$Z$17,"",0,1))</f>
        <v>35124436</v>
      </c>
      <c r="O105" s="298" t="str">
        <f t="array" ref="O105">if(isblank(E105),"",xlookup($N$9&amp;M105,z_Others!$X$5:$X$17&amp;z_Others!$W$5:$W$17,z_Others!$AH$5:$AH$17,"",0,1))</f>
        <v>35 124436 070000x
</v>
      </c>
      <c r="P105" s="299" t="str">
        <f t="array" ref="P105">if(isblank(E105),"",xlookup($N$9&amp;M105,z_Others!$X$5:$X$17&amp;z_Others!$W$5:$W$17,z_Others!$AI$5:$AI$17,"",0,1))</f>
        <v>35 124436 999999x</v>
      </c>
      <c r="Q105" s="300" t="s">
        <v>413</v>
      </c>
      <c r="R105" s="301" t="s">
        <v>414</v>
      </c>
      <c r="S105" s="302">
        <f t="array" ref="S105">if(isblank(E105),"",xlookup($S$9&amp;M105,z_Others!$X$5:$X$17&amp;z_Others!$W$5:$W$17,z_Others!$Z$5:$Z$17,"",0,1))</f>
        <v>35676628</v>
      </c>
      <c r="T105" s="303" t="str">
        <f t="array" ref="T105">if(isblank(E105),"",xlookup($S$9&amp;M105,z_Others!$X$5:$X$17&amp;z_Others!$W$5:$W$17,z_Others!$AH$5:$AH$17,"",0,1))</f>
        <v>35 676628 040000x
35 676628 340000x</v>
      </c>
      <c r="U105" s="303" t="str">
        <f t="array" ref="U105">if(isblank(E105),"",xlookup($S$9&amp;M105,z_Others!$X$5:$X$17&amp;z_Others!$W$5:$W$17,z_Others!$AI$5:$AI$17,"",0,1))</f>
        <v>35 676628 999999x
35 676628 639999x</v>
      </c>
      <c r="V105" s="303" t="str">
        <f t="shared" si="2"/>
        <v>64:9D:38:32:91:82
B0:D5:FB:C6:60:70</v>
      </c>
      <c r="W105" s="303" t="str">
        <f t="shared" si="3"/>
        <v>64:9D:38:37:25:61
B0:D5:FB:CE:01:8F</v>
      </c>
      <c r="X105" s="304" t="str">
        <f t="shared" si="4"/>
        <v>MP1.0</v>
      </c>
      <c r="Y105" s="292"/>
      <c r="Z105" s="304" t="str">
        <f t="shared" si="32"/>
        <v>Android 16</v>
      </c>
      <c r="AA105" s="304" t="str">
        <f t="shared" si="38"/>
        <v>TBD</v>
      </c>
      <c r="AB105" s="305" t="s">
        <v>942</v>
      </c>
      <c r="AC105" s="305" t="s">
        <v>943</v>
      </c>
      <c r="AD105" s="314" t="s">
        <v>447</v>
      </c>
      <c r="AE105" s="307" t="s">
        <v>418</v>
      </c>
      <c r="AF105" s="308" t="s">
        <v>447</v>
      </c>
      <c r="AG105" s="309" t="s">
        <v>418</v>
      </c>
      <c r="AH105" s="297" t="str">
        <f t="array" ref="AH105">if(isblank(E105),"",xlookup(F105,z_Others!$B$21:$B$45,z_Others!$F$21:$F$45,"TBD",0,1))</f>
        <v>00</v>
      </c>
      <c r="AI105" s="310" t="str">
        <f t="array" ref="AI105">if(isblank(E105),"", xlookup(E105,'Import_FL5_LH_PVTMP_Configs (Do'!E:E,'Import_FL5_LH_PVTMP_Configs (Do'!O:O,"TBD",0,1))</f>
        <v>G710-07800-01</v>
      </c>
      <c r="AJ105" s="311"/>
      <c r="AK105" s="310" t="str">
        <f t="array" ref="AK105">if(isblank(E105),"", xlookup(E105,'Import_FL5_LH_PVTMP_Configs (Do'!E:E,'Import_FL5_LH_PVTMP_Configs (Do'!Q:Q,"TBD",0,1))</f>
        <v>G650-14694-05</v>
      </c>
      <c r="AL105" s="310" t="str">
        <f t="array" ref="AL105">if(isblank(E105),"", xlookup(E105,'Import_FL5_LH_PVTMP_Configs (Do'!E:E,'Import_FL5_LH_PVTMP_Configs (Do'!M:M,"TBD",0,1))</f>
        <v>G710-07670-01</v>
      </c>
      <c r="AM105" s="310" t="str">
        <f t="array" ref="AM105">if(isblank(E105),"", xlookup(E105,'Import_FL5_LH_PVTMP_Configs (Do'!E:E,'Import_FL5_LH_PVTMP_Configs (Do'!N:N,"TBD",0,1))</f>
        <v>G730-09533-03</v>
      </c>
      <c r="AN105" s="310" t="str">
        <f t="array" ref="AN105">if(isblank(E105),"", xlookup(E105,'Import_FL5_LH_PVTMP_Configs (Do'!E:E,'Import_FL5_LH_PVTMP_Configs (Do'!K:K,"TBD",0,1))</f>
        <v>G950-15935-02</v>
      </c>
      <c r="AO105" s="292" t="str">
        <f t="array" ref="AO105">if(isblank(E105),"",XLOOKUP(E105,'FL5_G954 Pkg ASSY (Pkg BOM)'!L:L,'FL5_G954 Pkg ASSY (Pkg BOM)'!G:G,"N/A",0,1))</f>
        <v>N/A</v>
      </c>
      <c r="AP105" s="292" t="str">
        <f t="array" ref="AP105">if(isblank(E105),"",xlookup(E105,'FL5_G962 Country kit (Accesorie'!L:L,'FL5_G962 Country kit (Accesorie'!G:G,"N/A",0,1))</f>
        <v>N/A</v>
      </c>
      <c r="AQ105" s="304" t="str">
        <f t="array" ref="AQ105">if(isblank(E105),"", xlookup(E105,'Import_LH_Label approve'!E:E,'Import_LH_Label approve'!M:M,"",0,1))</f>
        <v>G990-08380-31-02
G990-08380-31-A</v>
      </c>
      <c r="AR105" s="329" t="str">
        <f t="array" ref="AR105">if(isblank(E105),"",xlookup(E105,'Import_LH_Label approve'!E:E,'Import_LH_Label approve'!N:N,"",0,1))</f>
        <v>G990-09560-00-A</v>
      </c>
      <c r="AS105" s="292" t="s">
        <v>419</v>
      </c>
      <c r="AT105" s="302" t="str">
        <f t="shared" si="6"/>
        <v>Yes</v>
      </c>
      <c r="AU105" s="302" t="str">
        <f t="shared" si="7"/>
        <v>No</v>
      </c>
      <c r="AV105" s="302" t="str">
        <f t="shared" si="8"/>
        <v>No</v>
      </c>
      <c r="AW105" s="302"/>
      <c r="AX105" s="302" t="s">
        <v>944</v>
      </c>
      <c r="AY105" s="302" t="s">
        <v>945</v>
      </c>
      <c r="AZ105" s="312" t="str">
        <f t="array" ref="AZ105">if(isblank(E105),"", xlookup(E105,Import_FL5_LH_PVT_BM!D:D,Import_FL5_LH_PVT_BM!AK:AK,$F$4,0,1))</f>
        <v>MP</v>
      </c>
      <c r="BA105" s="292" t="str">
        <f t="shared" si="9"/>
        <v>Retail_10ct</v>
      </c>
      <c r="BB105" s="313" t="str">
        <f t="array" ref="BB105">if(isblank(E105),"",xlookup(F105,z_Others!$B$21:$B$42,z_Others!$G$21:$G$42,"No",0,1))</f>
        <v>ROW Master Carton Label (UPC)</v>
      </c>
      <c r="BC105" s="313" t="str">
        <f t="array" ref="BC105">if(isblank(E105),"",xlookup(F105,z_Others!$B$21:$B$42,z_Others!$H$21:$H$42,"No",0,1))</f>
        <v>Standard Pallet Label (BTO)
Standard Pallet Label (BTS)</v>
      </c>
      <c r="BD105" s="314" t="str">
        <f t="array" ref="BD105">if(isblank(E105),"",xlookup(E105,'Import_VN_Label approve'!E:E,'Import_VN_Label approve'!L:L,"N/A",0,1))</f>
        <v>N/A</v>
      </c>
      <c r="BE105" s="314" t="str">
        <f t="array" ref="BE105">if(isblank(E105),"",xlookup(E105,'Import_VN_Label approve'!E:E,'Import_VN_Label approve'!N:N,"N/A",0,1))</f>
        <v>N/A</v>
      </c>
      <c r="BF105" s="315"/>
      <c r="BG105" s="316" t="s">
        <v>422</v>
      </c>
      <c r="BH105" s="317" t="s">
        <v>423</v>
      </c>
      <c r="BI105" s="318">
        <v>45782.0</v>
      </c>
      <c r="BJ105" s="319" t="str">
        <f t="array" ref="BJ105">if(isblank(E105),"", xlookup(D105,z_Others!$B$5:$B$17,z_Others!$C$5:$C$17,"",0,1))</f>
        <v>智能手機</v>
      </c>
      <c r="BK105" s="320">
        <v>45782.0</v>
      </c>
      <c r="BL105" s="320" t="str">
        <f t="array" ref="BL105">if(isblank(E105),"",xlookup(E105,'FL5_MP POR_LH_報關備案_G950 &amp; GA'!F:F,'FL5_MP POR_LH_報關備案_G950 &amp; GA'!E:E,"No Need",0,1))</f>
        <v>Close</v>
      </c>
      <c r="BM105" s="321" t="str">
        <f t="array" ref="BM105">if(isblank(E105),"",xlookup($BM$9&amp;E105,'Import_FL5 MPS (06.06.25) - Sor'!E101:E334&amp;'Import_FL5 MPS (06.06.25) - Sor'!F101:F334,'Import_FL5 MPS (06.06.25) - Sor'!ES101:ES334,"No demand",0,1))</f>
        <v>No demand</v>
      </c>
      <c r="BN105" s="321" t="str">
        <f t="array" ref="BN105">if(isblank(E105),"",xlookup($BN$9&amp;E105,'Import_FL5 MPS (06.06.25) - Sor'!E101:E334&amp;'Import_FL5 MPS (06.06.25) - Sor'!F101:F334,'Import_FL5 MPS (06.06.25) - Sor'!ES101:ES334,"No demand",0,1))</f>
        <v>No demand</v>
      </c>
      <c r="BO105" s="321" t="str">
        <f t="array" ref="BO105">if(isblank(E105),"",xlookup($BO$9&amp;E105,'Import_FL5 MPS (06.06.25) - Sor'!E101:E334&amp;'Import_FL5 MPS (06.06.25) - Sor'!F101:F334,'Import_FL5 MPS (06.06.25) - Sor'!ES101:ES334,"No demand",0,1))</f>
        <v>No demand</v>
      </c>
      <c r="BP105" s="322" t="str">
        <f t="array" ref="BP105">if(isblank(E105),"", xlookup(E105,'Import_LH_Label approve'!E:E,'Import_LH_Label approve'!L:L,"",0,1))</f>
        <v>NA</v>
      </c>
      <c r="BQ105" s="322" t="str">
        <f t="array" ref="BQ105">if(isblank(E105),"",xlookup(E105,'Import_VN_Label approve'!E:E,'Import_VN_Label approve'!M:M,"N/A",0,1))</f>
        <v>N/A</v>
      </c>
      <c r="BR105" s="325"/>
      <c r="BS105" s="323"/>
      <c r="BT105" s="324"/>
      <c r="BU105" s="117"/>
    </row>
    <row r="106">
      <c r="A106" s="176"/>
      <c r="B106" s="292">
        <v>95.0</v>
      </c>
      <c r="C106" s="231" t="s">
        <v>283</v>
      </c>
      <c r="D106" s="231" t="s">
        <v>408</v>
      </c>
      <c r="E106" s="351" t="s">
        <v>946</v>
      </c>
      <c r="F106" s="294" t="s">
        <v>470</v>
      </c>
      <c r="G106" s="355" t="s">
        <v>471</v>
      </c>
      <c r="H106" s="292" t="str">
        <f t="array" ref="H106">xlookup(F106,z_Others!$B$21:$B$45,z_Others!$E$21:$E$45,"",0,1)</f>
        <v>mmWave</v>
      </c>
      <c r="I106" s="310" t="s">
        <v>437</v>
      </c>
      <c r="J106" s="231" t="str">
        <f t="array" ref="J106">if(isblank(E106),"",xlookup(I106,z_Others!$M$17:$M$20,z_Others!$O$17:$O$20,"",0,1))</f>
        <v>Indigo</v>
      </c>
      <c r="K106" s="292" t="str">
        <f t="array" ref="K106">xlookup(I106,z_Others!$M$17:$M$20,z_Others!$N$17:$N$20,"",0,1)</f>
        <v>BUE</v>
      </c>
      <c r="L106" s="292" t="str">
        <f t="array" ref="L106">xlookup(F106,z_Others!$B$21:$B$45,z_Others!$D$21:$D$45,"",0,1)</f>
        <v>GLBW0</v>
      </c>
      <c r="M106" s="296" t="str">
        <f t="array" ref="M106">xlookup(F106,z_Others!$B$21:$B$45,z_Others!$C$21:$C$45,"",0,1)</f>
        <v>NA</v>
      </c>
      <c r="N106" s="297">
        <f t="array" ref="N106">if(isblank(E106),"",xlookup($N$9&amp;M106,z_Others!$X$5:$X$17&amp;z_Others!$W$5:$W$17,z_Others!$Z$5:$Z$17,"",0,1))</f>
        <v>35124436</v>
      </c>
      <c r="O106" s="298" t="str">
        <f t="array" ref="O106">if(isblank(E106),"",xlookup($N$9&amp;M106,z_Others!$X$5:$X$17&amp;z_Others!$W$5:$W$17,z_Others!$AH$5:$AH$17,"",0,1))</f>
        <v>35 124436 070000x
</v>
      </c>
      <c r="P106" s="299" t="str">
        <f t="array" ref="P106">if(isblank(E106),"",xlookup($N$9&amp;M106,z_Others!$X$5:$X$17&amp;z_Others!$W$5:$W$17,z_Others!$AI$5:$AI$17,"",0,1))</f>
        <v>35 124436 999999x</v>
      </c>
      <c r="Q106" s="300" t="s">
        <v>413</v>
      </c>
      <c r="R106" s="301" t="s">
        <v>414</v>
      </c>
      <c r="S106" s="302">
        <f t="array" ref="S106">if(isblank(E106),"",xlookup($S$9&amp;M106,z_Others!$X$5:$X$17&amp;z_Others!$W$5:$W$17,z_Others!$Z$5:$Z$17,"",0,1))</f>
        <v>35676628</v>
      </c>
      <c r="T106" s="303" t="str">
        <f t="array" ref="T106">if(isblank(E106),"",xlookup($S$9&amp;M106,z_Others!$X$5:$X$17&amp;z_Others!$W$5:$W$17,z_Others!$AH$5:$AH$17,"",0,1))</f>
        <v>35 676628 040000x
35 676628 340000x</v>
      </c>
      <c r="U106" s="303" t="str">
        <f t="array" ref="U106">if(isblank(E106),"",xlookup($S$9&amp;M106,z_Others!$X$5:$X$17&amp;z_Others!$W$5:$W$17,z_Others!$AI$5:$AI$17,"",0,1))</f>
        <v>35 676628 999999x
35 676628 639999x</v>
      </c>
      <c r="V106" s="303" t="str">
        <f t="shared" si="2"/>
        <v>64:9D:38:32:91:82
B0:D5:FB:C6:60:70</v>
      </c>
      <c r="W106" s="303" t="str">
        <f t="shared" si="3"/>
        <v>64:9D:38:37:25:61
B0:D5:FB:CE:01:8F</v>
      </c>
      <c r="X106" s="304" t="str">
        <f t="shared" si="4"/>
        <v>MP1.0</v>
      </c>
      <c r="Y106" s="292"/>
      <c r="Z106" s="304" t="str">
        <f t="shared" si="32"/>
        <v>Android 16</v>
      </c>
      <c r="AA106" s="304" t="str">
        <f t="shared" si="38"/>
        <v>TBD</v>
      </c>
      <c r="AB106" s="305" t="s">
        <v>947</v>
      </c>
      <c r="AC106" s="305" t="s">
        <v>948</v>
      </c>
      <c r="AD106" s="314" t="s">
        <v>447</v>
      </c>
      <c r="AE106" s="307" t="s">
        <v>418</v>
      </c>
      <c r="AF106" s="308" t="s">
        <v>447</v>
      </c>
      <c r="AG106" s="309" t="s">
        <v>418</v>
      </c>
      <c r="AH106" s="297" t="str">
        <f t="array" ref="AH106">if(isblank(E106),"",xlookup(F106,z_Others!$B$21:$B$45,z_Others!$F$21:$F$45,"TBD",0,1))</f>
        <v>00</v>
      </c>
      <c r="AI106" s="310" t="str">
        <f t="array" ref="AI106">if(isblank(E106),"", xlookup(E106,'Import_FL5_LH_PVTMP_Configs (Do'!E:E,'Import_FL5_LH_PVTMP_Configs (Do'!O:O,"TBD",0,1))</f>
        <v>G710-07800-01</v>
      </c>
      <c r="AJ106" s="311"/>
      <c r="AK106" s="310" t="str">
        <f t="array" ref="AK106">if(isblank(E106),"", xlookup(E106,'Import_FL5_LH_PVTMP_Configs (Do'!E:E,'Import_FL5_LH_PVTMP_Configs (Do'!Q:Q,"TBD",0,1))</f>
        <v>G650-14694-05</v>
      </c>
      <c r="AL106" s="310" t="str">
        <f t="array" ref="AL106">if(isblank(E106),"", xlookup(E106,'Import_FL5_LH_PVTMP_Configs (Do'!E:E,'Import_FL5_LH_PVTMP_Configs (Do'!M:M,"TBD",0,1))</f>
        <v>G710-07670-01</v>
      </c>
      <c r="AM106" s="310" t="str">
        <f t="array" ref="AM106">if(isblank(E106),"", xlookup(E106,'Import_FL5_LH_PVTMP_Configs (Do'!E:E,'Import_FL5_LH_PVTMP_Configs (Do'!N:N,"TBD",0,1))</f>
        <v>G730-09533-04</v>
      </c>
      <c r="AN106" s="310" t="str">
        <f t="array" ref="AN106">if(isblank(E106),"", xlookup(E106,'Import_FL5_LH_PVTMP_Configs (Do'!E:E,'Import_FL5_LH_PVTMP_Configs (Do'!K:K,"TBD",0,1))</f>
        <v>G950-15935-03</v>
      </c>
      <c r="AO106" s="292" t="str">
        <f t="array" ref="AO106">if(isblank(E106),"",XLOOKUP(E106,'FL5_G954 Pkg ASSY (Pkg BOM)'!L:L,'FL5_G954 Pkg ASSY (Pkg BOM)'!G:G,"N/A",0,1))</f>
        <v>N/A</v>
      </c>
      <c r="AP106" s="292" t="str">
        <f t="array" ref="AP106">if(isblank(E106),"",xlookup(E106,'FL5_G962 Country kit (Accesorie'!L:L,'FL5_G962 Country kit (Accesorie'!G:G,"N/A",0,1))</f>
        <v>N/A</v>
      </c>
      <c r="AQ106" s="304" t="str">
        <f t="array" ref="AQ106">if(isblank(E106),"", xlookup(E106,'Import_LH_Label approve'!E:E,'Import_LH_Label approve'!M:M,"",0,1))</f>
        <v>G990-08380-41-01
G990-08380-41-A</v>
      </c>
      <c r="AR106" s="329" t="str">
        <f t="array" ref="AR106">if(isblank(E106),"",xlookup(E106,'Import_LH_Label approve'!E:E,'Import_LH_Label approve'!N:N,"",0,1))</f>
        <v>G990-09560-00-A</v>
      </c>
      <c r="AS106" s="292" t="s">
        <v>419</v>
      </c>
      <c r="AT106" s="302" t="str">
        <f t="shared" si="6"/>
        <v>Yes</v>
      </c>
      <c r="AU106" s="302" t="str">
        <f t="shared" si="7"/>
        <v>No</v>
      </c>
      <c r="AV106" s="302" t="str">
        <f t="shared" si="8"/>
        <v>No</v>
      </c>
      <c r="AW106" s="302"/>
      <c r="AX106" s="302" t="s">
        <v>949</v>
      </c>
      <c r="AY106" s="302" t="s">
        <v>950</v>
      </c>
      <c r="AZ106" s="312" t="str">
        <f t="array" ref="AZ106">if(isblank(E106),"", xlookup(E106,Import_FL5_LH_PVT_BM!D:D,Import_FL5_LH_PVT_BM!AK:AK,$F$4,0,1))</f>
        <v>MP</v>
      </c>
      <c r="BA106" s="292" t="str">
        <f t="shared" si="9"/>
        <v>Retail_10ct</v>
      </c>
      <c r="BB106" s="313" t="str">
        <f t="array" ref="BB106">if(isblank(E106),"",xlookup(F106,z_Others!$B$21:$B$42,z_Others!$G$21:$G$42,"No",0,1))</f>
        <v>ROW Master Carton Label (UPC)</v>
      </c>
      <c r="BC106" s="313" t="str">
        <f t="array" ref="BC106">if(isblank(E106),"",xlookup(F106,z_Others!$B$21:$B$42,z_Others!$H$21:$H$42,"No",0,1))</f>
        <v>Standard Pallet Label (BTO)
Standard Pallet Label (BTS)</v>
      </c>
      <c r="BD106" s="314" t="str">
        <f t="array" ref="BD106">if(isblank(E106),"",xlookup(E106,'Import_VN_Label approve'!E:E,'Import_VN_Label approve'!L:L,"N/A",0,1))</f>
        <v>N/A</v>
      </c>
      <c r="BE106" s="314" t="str">
        <f t="array" ref="BE106">if(isblank(E106),"",xlookup(E106,'Import_VN_Label approve'!E:E,'Import_VN_Label approve'!N:N,"N/A",0,1))</f>
        <v>N/A</v>
      </c>
      <c r="BF106" s="315"/>
      <c r="BG106" s="316" t="s">
        <v>422</v>
      </c>
      <c r="BH106" s="317" t="s">
        <v>423</v>
      </c>
      <c r="BI106" s="318">
        <v>45782.0</v>
      </c>
      <c r="BJ106" s="319" t="str">
        <f t="array" ref="BJ106">if(isblank(E106),"", xlookup(D106,z_Others!$B$5:$B$17,z_Others!$C$5:$C$17,"",0,1))</f>
        <v>智能手機</v>
      </c>
      <c r="BK106" s="320">
        <v>45782.0</v>
      </c>
      <c r="BL106" s="320" t="str">
        <f t="array" ref="BL106">if(isblank(E106),"",xlookup(E106,'FL5_MP POR_LH_報關備案_G950 &amp; GA'!F:F,'FL5_MP POR_LH_報關備案_G950 &amp; GA'!E:E,"No Need",0,1))</f>
        <v>Close</v>
      </c>
      <c r="BM106" s="321" t="str">
        <f t="array" ref="BM106">if(isblank(E106),"",xlookup($BM$9&amp;E106,'Import_FL5 MPS (06.06.25) - Sor'!E102:E334&amp;'Import_FL5 MPS (06.06.25) - Sor'!F102:F334,'Import_FL5 MPS (06.06.25) - Sor'!ES102:ES334,"No demand",0,1))</f>
        <v>No demand</v>
      </c>
      <c r="BN106" s="321" t="str">
        <f t="array" ref="BN106">if(isblank(E106),"",xlookup($BN$9&amp;E106,'Import_FL5 MPS (06.06.25) - Sor'!E102:E334&amp;'Import_FL5 MPS (06.06.25) - Sor'!F102:F334,'Import_FL5 MPS (06.06.25) - Sor'!ES102:ES334,"No demand",0,1))</f>
        <v>No demand</v>
      </c>
      <c r="BO106" s="321" t="str">
        <f t="array" ref="BO106">if(isblank(E106),"",xlookup($BO$9&amp;E106,'Import_FL5 MPS (06.06.25) - Sor'!E102:E334&amp;'Import_FL5 MPS (06.06.25) - Sor'!F102:F334,'Import_FL5 MPS (06.06.25) - Sor'!ES102:ES334,"No demand",0,1))</f>
        <v>No demand</v>
      </c>
      <c r="BP106" s="322" t="str">
        <f t="array" ref="BP106">if(isblank(E106),"", xlookup(E106,'Import_LH_Label approve'!E:E,'Import_LH_Label approve'!L:L,"",0,1))</f>
        <v>NA</v>
      </c>
      <c r="BQ106" s="322" t="str">
        <f t="array" ref="BQ106">if(isblank(E106),"",xlookup(E106,'Import_VN_Label approve'!E:E,'Import_VN_Label approve'!M:M,"N/A",0,1))</f>
        <v>N/A</v>
      </c>
      <c r="BR106" s="325"/>
      <c r="BS106" s="323"/>
      <c r="BT106" s="324"/>
      <c r="BU106" s="117"/>
    </row>
    <row r="107">
      <c r="A107" s="176"/>
      <c r="B107" s="292">
        <v>96.0</v>
      </c>
      <c r="C107" s="231" t="s">
        <v>283</v>
      </c>
      <c r="D107" s="231" t="s">
        <v>408</v>
      </c>
      <c r="E107" s="351" t="s">
        <v>951</v>
      </c>
      <c r="F107" s="294" t="s">
        <v>554</v>
      </c>
      <c r="G107" s="294" t="s">
        <v>555</v>
      </c>
      <c r="H107" s="292" t="str">
        <f t="array" ref="H107">xlookup(F107,z_Others!$B$21:$B$45,z_Others!$E$21:$E$45,"",0,1)</f>
        <v>JPN</v>
      </c>
      <c r="I107" s="310" t="s">
        <v>412</v>
      </c>
      <c r="J107" s="231" t="str">
        <f t="array" ref="J107">if(isblank(E107),"",xlookup(I107,z_Others!$M$17:$M$20,z_Others!$O$17:$O$20,"",0,1))</f>
        <v>Obsidian</v>
      </c>
      <c r="K107" s="292" t="str">
        <f t="array" ref="K107">xlookup(I107,z_Others!$M$17:$M$20,z_Others!$N$17:$N$20,"",0,1)</f>
        <v>BLK</v>
      </c>
      <c r="L107" s="292" t="str">
        <f t="array" ref="L107">xlookup(F107,z_Others!$B$21:$B$45,z_Others!$D$21:$D$45,"",0,1)</f>
        <v>GL066</v>
      </c>
      <c r="M107" s="296" t="str">
        <f t="array" ref="M107">xlookup(F107,z_Others!$B$21:$B$45,z_Others!$C$21:$C$45,"",0,1)</f>
        <v>JPN</v>
      </c>
      <c r="N107" s="297">
        <v>3.5416229E7</v>
      </c>
      <c r="O107" s="331" t="s">
        <v>556</v>
      </c>
      <c r="P107" s="303" t="s">
        <v>557</v>
      </c>
      <c r="Q107" s="300" t="s">
        <v>413</v>
      </c>
      <c r="R107" s="301" t="s">
        <v>414</v>
      </c>
      <c r="S107" s="302">
        <f t="array" ref="S107">if(isblank(E107),"",xlookup($S$9&amp;M107,z_Others!$X$5:$X$17&amp;z_Others!$W$5:$W$17,z_Others!$Z$5:$Z$17,"",0,1))</f>
        <v>35444932</v>
      </c>
      <c r="T107" s="303" t="str">
        <f t="array" ref="T107">if(isblank(E107),"",xlookup($S$9&amp;M107,z_Others!$X$5:$X$17&amp;z_Others!$W$5:$W$17,z_Others!$AH$5:$AH$17,"",0,1))</f>
        <v>35 444932 020000x</v>
      </c>
      <c r="U107" s="303" t="str">
        <f t="array" ref="U107">if(isblank(E107),"",xlookup($S$9&amp;M107,z_Others!$X$5:$X$17&amp;z_Others!$W$5:$W$17,z_Others!$AI$5:$AI$17,"",0,1))</f>
        <v>35 444932 999999x</v>
      </c>
      <c r="V107" s="303" t="str">
        <f t="shared" si="2"/>
        <v>64:9D:38:32:91:82
B0:D5:FB:C6:60:70</v>
      </c>
      <c r="W107" s="303" t="str">
        <f t="shared" si="3"/>
        <v>64:9D:38:37:25:61
B0:D5:FB:CE:01:8F</v>
      </c>
      <c r="X107" s="304" t="str">
        <f t="shared" si="4"/>
        <v>MP1.0</v>
      </c>
      <c r="Y107" s="292"/>
      <c r="Z107" s="304" t="str">
        <f t="shared" si="32"/>
        <v>Android 16</v>
      </c>
      <c r="AA107" s="304" t="str">
        <f t="shared" si="38"/>
        <v>TBD</v>
      </c>
      <c r="AB107" s="305" t="s">
        <v>952</v>
      </c>
      <c r="AC107" s="305" t="s">
        <v>953</v>
      </c>
      <c r="AD107" s="314" t="s">
        <v>447</v>
      </c>
      <c r="AE107" s="307" t="s">
        <v>418</v>
      </c>
      <c r="AF107" s="308" t="s">
        <v>447</v>
      </c>
      <c r="AG107" s="309" t="s">
        <v>418</v>
      </c>
      <c r="AH107" s="297" t="str">
        <f t="array" ref="AH107">if(isblank(E107),"",xlookup(F107,z_Others!$B$21:$B$45,z_Others!$F$21:$F$45,"TBD",0,1))</f>
        <v>00</v>
      </c>
      <c r="AI107" s="310" t="str">
        <f t="array" ref="AI107">if(isblank(E107),"", xlookup(E107,'Import_FL5_LH_PVTMP_Configs (Do'!E:E,'Import_FL5_LH_PVTMP_Configs (Do'!O:O,"TBD",0,1))</f>
        <v>G710-07800-00</v>
      </c>
      <c r="AJ107" s="311"/>
      <c r="AK107" s="310" t="str">
        <f t="array" ref="AK107">if(isblank(E107),"", xlookup(E107,'Import_FL5_LH_PVTMP_Configs (Do'!E:E,'Import_FL5_LH_PVTMP_Configs (Do'!Q:Q,"TBD",0,1))</f>
        <v>G650-14694-05</v>
      </c>
      <c r="AL107" s="310" t="str">
        <f t="array" ref="AL107">if(isblank(E107),"", xlookup(E107,'Import_FL5_LH_PVTMP_Configs (Do'!E:E,'Import_FL5_LH_PVTMP_Configs (Do'!M:M,"TBD",0,1))</f>
        <v>G710-07670-01</v>
      </c>
      <c r="AM107" s="310" t="str">
        <f t="array" ref="AM107">if(isblank(E107),"", xlookup(E107,'Import_FL5_LH_PVTMP_Configs (Do'!E:E,'Import_FL5_LH_PVTMP_Configs (Do'!N:N,"TBD",0,1))</f>
        <v>G730-09533-01</v>
      </c>
      <c r="AN107" s="310" t="str">
        <f t="array" ref="AN107">if(isblank(E107),"", xlookup(E107,'Import_FL5_LH_PVTMP_Configs (Do'!E:E,'Import_FL5_LH_PVTMP_Configs (Do'!K:K,"TBD",0,1))</f>
        <v>G950-15935-10</v>
      </c>
      <c r="AO107" s="292" t="str">
        <f t="array" ref="AO107">if(isblank(E107),"",XLOOKUP(E107,'FL5_G954 Pkg ASSY (Pkg BOM)'!L:L,'FL5_G954 Pkg ASSY (Pkg BOM)'!G:G,"N/A",0,1))</f>
        <v>N/A</v>
      </c>
      <c r="AP107" s="292" t="str">
        <f t="array" ref="AP107">if(isblank(E107),"",xlookup(E107,'FL5_G962 Country kit (Accesorie'!L:L,'FL5_G962 Country kit (Accesorie'!G:G,"N/A",0,1))</f>
        <v>N/A</v>
      </c>
      <c r="AQ107" s="304" t="s">
        <v>560</v>
      </c>
      <c r="AR107" s="304" t="s">
        <v>561</v>
      </c>
      <c r="AS107" s="292" t="s">
        <v>419</v>
      </c>
      <c r="AT107" s="302" t="str">
        <f t="shared" si="6"/>
        <v>Yes</v>
      </c>
      <c r="AU107" s="302" t="str">
        <f t="shared" si="7"/>
        <v>No</v>
      </c>
      <c r="AV107" s="302" t="str">
        <f t="shared" si="8"/>
        <v>No</v>
      </c>
      <c r="AW107" s="302"/>
      <c r="AX107" s="302" t="s">
        <v>954</v>
      </c>
      <c r="AY107" s="302" t="s">
        <v>955</v>
      </c>
      <c r="AZ107" s="312" t="str">
        <f t="array" ref="AZ107">if(isblank(E107),"", xlookup(E107,Import_FL5_LH_PVT_BM!D:D,Import_FL5_LH_PVT_BM!AK:AK,$F$4,0,1))</f>
        <v>MP</v>
      </c>
      <c r="BA107" s="292" t="str">
        <f t="shared" si="9"/>
        <v>Retail_10ct</v>
      </c>
      <c r="BB107" s="313" t="str">
        <f t="array" ref="BB107">if(isblank(E107),"",xlookup(F107,z_Others!$B$21:$B$42,z_Others!$G$21:$G$42,"No",0,1))</f>
        <v>ROW Master Carton Label (UPC)</v>
      </c>
      <c r="BC107" s="313" t="str">
        <f t="array" ref="BC107">if(isblank(E107),"",xlookup(F107,z_Others!$B$21:$B$42,z_Others!$H$21:$H$42,"No",0,1))</f>
        <v>Standard Pallet Label (BTO)
Standard Pallet Label (BTS)</v>
      </c>
      <c r="BD107" s="314" t="str">
        <f t="array" ref="BD107">if(isblank(E107),"",xlookup(E107,'Import_VN_Label approve'!E:E,'Import_VN_Label approve'!L:L,"N/A",0,1))</f>
        <v>N/A</v>
      </c>
      <c r="BE107" s="314" t="str">
        <f t="array" ref="BE107">if(isblank(E107),"",xlookup(E107,'Import_VN_Label approve'!E:E,'Import_VN_Label approve'!N:N,"N/A",0,1))</f>
        <v>N/A</v>
      </c>
      <c r="BF107" s="315"/>
      <c r="BG107" s="332" t="s">
        <v>503</v>
      </c>
      <c r="BH107" s="317" t="s">
        <v>504</v>
      </c>
      <c r="BI107" s="318">
        <v>45782.0</v>
      </c>
      <c r="BJ107" s="319" t="str">
        <f t="array" ref="BJ107">if(isblank(E107),"", xlookup(D107,z_Others!$B$5:$B$17,z_Others!$C$5:$C$17,"",0,1))</f>
        <v>智能手機</v>
      </c>
      <c r="BK107" s="320">
        <v>45782.0</v>
      </c>
      <c r="BL107" s="320" t="str">
        <f t="array" ref="BL107">if(isblank(E107),"",xlookup(E107,'FL5_MP POR_LH_報關備案_G950 &amp; GA'!F:F,'FL5_MP POR_LH_報關備案_G950 &amp; GA'!E:E,"No Need",0,1))</f>
        <v>Close</v>
      </c>
      <c r="BM107" s="321" t="str">
        <f t="array" ref="BM107">if(isblank(E107),"",xlookup($BM$9&amp;E107,'Import_FL5 MPS (06.06.25) - Sor'!E103:E334&amp;'Import_FL5 MPS (06.06.25) - Sor'!F103:F334,'Import_FL5 MPS (06.06.25) - Sor'!ES103:ES334,"No demand",0,1))</f>
        <v>No demand</v>
      </c>
      <c r="BN107" s="321" t="str">
        <f t="array" ref="BN107">if(isblank(E107),"",xlookup($BN$9&amp;E107,'Import_FL5 MPS (06.06.25) - Sor'!E103:E334&amp;'Import_FL5 MPS (06.06.25) - Sor'!F103:F334,'Import_FL5 MPS (06.06.25) - Sor'!ES103:ES334,"No demand",0,1))</f>
        <v>No demand</v>
      </c>
      <c r="BO107" s="321" t="str">
        <f t="array" ref="BO107">if(isblank(E107),"",xlookup($BO$9&amp;E107,'Import_FL5 MPS (06.06.25) - Sor'!E103:E334&amp;'Import_FL5 MPS (06.06.25) - Sor'!F103:F334,'Import_FL5 MPS (06.06.25) - Sor'!ES103:ES334,"No demand",0,1))</f>
        <v>No demand</v>
      </c>
      <c r="BP107" s="322" t="str">
        <f t="array" ref="BP107">if(isblank(E107),"", xlookup(E107,'Import_LH_Label approve'!E:E,'Import_LH_Label approve'!L:L,"",0,1))</f>
        <v>NA</v>
      </c>
      <c r="BQ107" s="322" t="str">
        <f t="array" ref="BQ107">if(isblank(E107),"",xlookup(E107,'Import_VN_Label approve'!E:E,'Import_VN_Label approve'!M:M,"N/A",0,1))</f>
        <v>N/A</v>
      </c>
      <c r="BR107" s="325"/>
      <c r="BS107" s="323"/>
      <c r="BT107" s="324"/>
      <c r="BU107" s="117"/>
    </row>
    <row r="108">
      <c r="A108" s="176"/>
      <c r="B108" s="292">
        <v>97.0</v>
      </c>
      <c r="C108" s="231" t="s">
        <v>283</v>
      </c>
      <c r="D108" s="231" t="s">
        <v>408</v>
      </c>
      <c r="E108" s="351" t="s">
        <v>956</v>
      </c>
      <c r="F108" s="294" t="s">
        <v>554</v>
      </c>
      <c r="G108" s="294" t="s">
        <v>555</v>
      </c>
      <c r="H108" s="292" t="str">
        <f t="array" ref="H108">xlookup(F108,z_Others!$B$21:$B$45,z_Others!$E$21:$E$45,"",0,1)</f>
        <v>JPN</v>
      </c>
      <c r="I108" s="310" t="s">
        <v>425</v>
      </c>
      <c r="J108" s="231" t="str">
        <f t="array" ref="J108">if(isblank(E108),"",xlookup(I108,z_Others!$M$17:$M$20,z_Others!$O$17:$O$20,"",0,1))</f>
        <v>Frost</v>
      </c>
      <c r="K108" s="292" t="str">
        <f t="array" ref="K108">xlookup(I108,z_Others!$M$17:$M$20,z_Others!$N$17:$N$20,"",0,1)</f>
        <v>PPL</v>
      </c>
      <c r="L108" s="292" t="str">
        <f t="array" ref="L108">xlookup(F108,z_Others!$B$21:$B$45,z_Others!$D$21:$D$45,"",0,1)</f>
        <v>GL066</v>
      </c>
      <c r="M108" s="296" t="str">
        <f t="array" ref="M108">xlookup(F108,z_Others!$B$21:$B$45,z_Others!$C$21:$C$45,"",0,1)</f>
        <v>JPN</v>
      </c>
      <c r="N108" s="297">
        <v>3.5416229E7</v>
      </c>
      <c r="O108" s="331" t="s">
        <v>556</v>
      </c>
      <c r="P108" s="303" t="s">
        <v>557</v>
      </c>
      <c r="Q108" s="300" t="s">
        <v>413</v>
      </c>
      <c r="R108" s="301" t="s">
        <v>414</v>
      </c>
      <c r="S108" s="302">
        <f t="array" ref="S108">if(isblank(E108),"",xlookup($S$9&amp;M108,z_Others!$X$5:$X$17&amp;z_Others!$W$5:$W$17,z_Others!$Z$5:$Z$17,"",0,1))</f>
        <v>35444932</v>
      </c>
      <c r="T108" s="303" t="str">
        <f t="array" ref="T108">if(isblank(E108),"",xlookup($S$9&amp;M108,z_Others!$X$5:$X$17&amp;z_Others!$W$5:$W$17,z_Others!$AH$5:$AH$17,"",0,1))</f>
        <v>35 444932 020000x</v>
      </c>
      <c r="U108" s="303" t="str">
        <f t="array" ref="U108">if(isblank(E108),"",xlookup($S$9&amp;M108,z_Others!$X$5:$X$17&amp;z_Others!$W$5:$W$17,z_Others!$AI$5:$AI$17,"",0,1))</f>
        <v>35 444932 999999x</v>
      </c>
      <c r="V108" s="303" t="str">
        <f t="shared" si="2"/>
        <v>64:9D:38:32:91:82
B0:D5:FB:C6:60:70</v>
      </c>
      <c r="W108" s="303" t="str">
        <f t="shared" si="3"/>
        <v>64:9D:38:37:25:61
B0:D5:FB:CE:01:8F</v>
      </c>
      <c r="X108" s="304" t="str">
        <f t="shared" si="4"/>
        <v>MP1.0</v>
      </c>
      <c r="Y108" s="292"/>
      <c r="Z108" s="304" t="str">
        <f t="shared" si="32"/>
        <v>Android 16</v>
      </c>
      <c r="AA108" s="304" t="str">
        <f t="shared" si="38"/>
        <v>TBD</v>
      </c>
      <c r="AB108" s="305" t="s">
        <v>957</v>
      </c>
      <c r="AC108" s="305" t="s">
        <v>958</v>
      </c>
      <c r="AD108" s="314" t="s">
        <v>447</v>
      </c>
      <c r="AE108" s="307" t="s">
        <v>418</v>
      </c>
      <c r="AF108" s="308" t="s">
        <v>447</v>
      </c>
      <c r="AG108" s="309" t="s">
        <v>418</v>
      </c>
      <c r="AH108" s="297" t="str">
        <f t="array" ref="AH108">if(isblank(E108),"",xlookup(F108,z_Others!$B$21:$B$45,z_Others!$F$21:$F$45,"TBD",0,1))</f>
        <v>00</v>
      </c>
      <c r="AI108" s="310" t="str">
        <f t="array" ref="AI108">if(isblank(E108),"", xlookup(E108,'Import_FL5_LH_PVTMP_Configs (Do'!E:E,'Import_FL5_LH_PVTMP_Configs (Do'!O:O,"TBD",0,1))</f>
        <v>G710-07800-00</v>
      </c>
      <c r="AJ108" s="311"/>
      <c r="AK108" s="310" t="str">
        <f t="array" ref="AK108">if(isblank(E108),"", xlookup(E108,'Import_FL5_LH_PVTMP_Configs (Do'!E:E,'Import_FL5_LH_PVTMP_Configs (Do'!Q:Q,"TBD",0,1))</f>
        <v>G650-14694-05</v>
      </c>
      <c r="AL108" s="310" t="str">
        <f t="array" ref="AL108">if(isblank(E108),"", xlookup(E108,'Import_FL5_LH_PVTMP_Configs (Do'!E:E,'Import_FL5_LH_PVTMP_Configs (Do'!M:M,"TBD",0,1))</f>
        <v>G710-07670-01</v>
      </c>
      <c r="AM108" s="310" t="str">
        <f t="array" ref="AM108">if(isblank(E108),"", xlookup(E108,'Import_FL5_LH_PVTMP_Configs (Do'!E:E,'Import_FL5_LH_PVTMP_Configs (Do'!N:N,"TBD",0,1))</f>
        <v>G730-09533-02</v>
      </c>
      <c r="AN108" s="310" t="str">
        <f t="array" ref="AN108">if(isblank(E108),"", xlookup(E108,'Import_FL5_LH_PVTMP_Configs (Do'!E:E,'Import_FL5_LH_PVTMP_Configs (Do'!K:K,"TBD",0,1))</f>
        <v>G950-15935-11</v>
      </c>
      <c r="AO108" s="292" t="str">
        <f t="array" ref="AO108">if(isblank(E108),"",XLOOKUP(E108,'FL5_G954 Pkg ASSY (Pkg BOM)'!L:L,'FL5_G954 Pkg ASSY (Pkg BOM)'!G:G,"N/A",0,1))</f>
        <v>N/A</v>
      </c>
      <c r="AP108" s="292" t="str">
        <f t="array" ref="AP108">if(isblank(E108),"",xlookup(E108,'FL5_G962 Country kit (Accesorie'!L:L,'FL5_G962 Country kit (Accesorie'!G:G,"N/A",0,1))</f>
        <v>N/A</v>
      </c>
      <c r="AQ108" s="304" t="s">
        <v>567</v>
      </c>
      <c r="AR108" s="304" t="s">
        <v>561</v>
      </c>
      <c r="AS108" s="292" t="s">
        <v>419</v>
      </c>
      <c r="AT108" s="302" t="str">
        <f t="shared" si="6"/>
        <v>Yes</v>
      </c>
      <c r="AU108" s="302" t="str">
        <f t="shared" si="7"/>
        <v>No</v>
      </c>
      <c r="AV108" s="302" t="str">
        <f t="shared" si="8"/>
        <v>No</v>
      </c>
      <c r="AW108" s="302"/>
      <c r="AX108" s="302" t="s">
        <v>959</v>
      </c>
      <c r="AY108" s="302" t="s">
        <v>960</v>
      </c>
      <c r="AZ108" s="312" t="str">
        <f t="array" ref="AZ108">if(isblank(E108),"", xlookup(E108,Import_FL5_LH_PVT_BM!D:D,Import_FL5_LH_PVT_BM!AK:AK,$F$4,0,1))</f>
        <v>MP</v>
      </c>
      <c r="BA108" s="292" t="str">
        <f t="shared" si="9"/>
        <v>Retail_10ct</v>
      </c>
      <c r="BB108" s="313" t="str">
        <f t="array" ref="BB108">if(isblank(E108),"",xlookup(F108,z_Others!$B$21:$B$42,z_Others!$G$21:$G$42,"No",0,1))</f>
        <v>ROW Master Carton Label (UPC)</v>
      </c>
      <c r="BC108" s="313" t="str">
        <f t="array" ref="BC108">if(isblank(E108),"",xlookup(F108,z_Others!$B$21:$B$42,z_Others!$H$21:$H$42,"No",0,1))</f>
        <v>Standard Pallet Label (BTO)
Standard Pallet Label (BTS)</v>
      </c>
      <c r="BD108" s="314" t="str">
        <f t="array" ref="BD108">if(isblank(E108),"",xlookup(E108,'Import_VN_Label approve'!E:E,'Import_VN_Label approve'!L:L,"N/A",0,1))</f>
        <v>N/A</v>
      </c>
      <c r="BE108" s="314" t="str">
        <f t="array" ref="BE108">if(isblank(E108),"",xlookup(E108,'Import_VN_Label approve'!E:E,'Import_VN_Label approve'!N:N,"N/A",0,1))</f>
        <v>N/A</v>
      </c>
      <c r="BF108" s="315"/>
      <c r="BG108" s="332" t="s">
        <v>503</v>
      </c>
      <c r="BH108" s="317" t="s">
        <v>504</v>
      </c>
      <c r="BI108" s="318">
        <v>45782.0</v>
      </c>
      <c r="BJ108" s="319" t="str">
        <f t="array" ref="BJ108">if(isblank(E108),"", xlookup(D108,z_Others!$B$5:$B$17,z_Others!$C$5:$C$17,"",0,1))</f>
        <v>智能手機</v>
      </c>
      <c r="BK108" s="320">
        <v>45782.0</v>
      </c>
      <c r="BL108" s="320" t="str">
        <f t="array" ref="BL108">if(isblank(E108),"",xlookup(E108,'FL5_MP POR_LH_報關備案_G950 &amp; GA'!F:F,'FL5_MP POR_LH_報關備案_G950 &amp; GA'!E:E,"No Need",0,1))</f>
        <v>Close</v>
      </c>
      <c r="BM108" s="321" t="str">
        <f t="array" ref="BM108">if(isblank(E108),"",xlookup($BM$9&amp;E108,'Import_FL5 MPS (06.06.25) - Sor'!E104:E334&amp;'Import_FL5 MPS (06.06.25) - Sor'!F104:F334,'Import_FL5 MPS (06.06.25) - Sor'!ES104:ES334,"No demand",0,1))</f>
        <v>No demand</v>
      </c>
      <c r="BN108" s="321" t="str">
        <f t="array" ref="BN108">if(isblank(E108),"",xlookup($BN$9&amp;E108,'Import_FL5 MPS (06.06.25) - Sor'!E104:E334&amp;'Import_FL5 MPS (06.06.25) - Sor'!F104:F334,'Import_FL5 MPS (06.06.25) - Sor'!ES104:ES334,"No demand",0,1))</f>
        <v>No demand</v>
      </c>
      <c r="BO108" s="321" t="str">
        <f t="array" ref="BO108">if(isblank(E108),"",xlookup($BO$9&amp;E108,'Import_FL5 MPS (06.06.25) - Sor'!E104:E334&amp;'Import_FL5 MPS (06.06.25) - Sor'!F104:F334,'Import_FL5 MPS (06.06.25) - Sor'!ES104:ES334,"No demand",0,1))</f>
        <v>No demand</v>
      </c>
      <c r="BP108" s="322" t="str">
        <f t="array" ref="BP108">if(isblank(E108),"", xlookup(E108,'Import_LH_Label approve'!E:E,'Import_LH_Label approve'!L:L,"",0,1))</f>
        <v>NA</v>
      </c>
      <c r="BQ108" s="322" t="str">
        <f t="array" ref="BQ108">if(isblank(E108),"",xlookup(E108,'Import_VN_Label approve'!E:E,'Import_VN_Label approve'!M:M,"N/A",0,1))</f>
        <v>N/A</v>
      </c>
      <c r="BR108" s="325"/>
      <c r="BS108" s="323"/>
      <c r="BT108" s="324"/>
      <c r="BU108" s="117"/>
    </row>
    <row r="109">
      <c r="A109" s="176"/>
      <c r="B109" s="292">
        <v>98.0</v>
      </c>
      <c r="C109" s="231" t="s">
        <v>283</v>
      </c>
      <c r="D109" s="231" t="s">
        <v>408</v>
      </c>
      <c r="E109" s="351" t="s">
        <v>961</v>
      </c>
      <c r="F109" s="294" t="s">
        <v>554</v>
      </c>
      <c r="G109" s="294" t="s">
        <v>555</v>
      </c>
      <c r="H109" s="292" t="str">
        <f t="array" ref="H109">xlookup(F109,z_Others!$B$21:$B$45,z_Others!$E$21:$E$45,"",0,1)</f>
        <v>JPN</v>
      </c>
      <c r="I109" s="310" t="s">
        <v>431</v>
      </c>
      <c r="J109" s="231" t="str">
        <f t="array" ref="J109">if(isblank(E109),"",xlookup(I109,z_Others!$M$17:$M$20,z_Others!$O$17:$O$20,"",0,1))</f>
        <v>Lemongrass</v>
      </c>
      <c r="K109" s="292" t="str">
        <f t="array" ref="K109">xlookup(I109,z_Others!$M$17:$M$20,z_Others!$N$17:$N$20,"",0,1)</f>
        <v>YEL</v>
      </c>
      <c r="L109" s="292" t="str">
        <f t="array" ref="L109">xlookup(F109,z_Others!$B$21:$B$45,z_Others!$D$21:$D$45,"",0,1)</f>
        <v>GL066</v>
      </c>
      <c r="M109" s="296" t="str">
        <f t="array" ref="M109">xlookup(F109,z_Others!$B$21:$B$45,z_Others!$C$21:$C$45,"",0,1)</f>
        <v>JPN</v>
      </c>
      <c r="N109" s="297">
        <v>3.5416229E7</v>
      </c>
      <c r="O109" s="331" t="s">
        <v>556</v>
      </c>
      <c r="P109" s="303" t="s">
        <v>557</v>
      </c>
      <c r="Q109" s="300" t="s">
        <v>413</v>
      </c>
      <c r="R109" s="301" t="s">
        <v>414</v>
      </c>
      <c r="S109" s="302">
        <f t="array" ref="S109">if(isblank(E109),"",xlookup($S$9&amp;M109,z_Others!$X$5:$X$17&amp;z_Others!$W$5:$W$17,z_Others!$Z$5:$Z$17,"",0,1))</f>
        <v>35444932</v>
      </c>
      <c r="T109" s="303" t="str">
        <f t="array" ref="T109">if(isblank(E109),"",xlookup($S$9&amp;M109,z_Others!$X$5:$X$17&amp;z_Others!$W$5:$W$17,z_Others!$AH$5:$AH$17,"",0,1))</f>
        <v>35 444932 020000x</v>
      </c>
      <c r="U109" s="303" t="str">
        <f t="array" ref="U109">if(isblank(E109),"",xlookup($S$9&amp;M109,z_Others!$X$5:$X$17&amp;z_Others!$W$5:$W$17,z_Others!$AI$5:$AI$17,"",0,1))</f>
        <v>35 444932 999999x</v>
      </c>
      <c r="V109" s="303" t="str">
        <f t="shared" si="2"/>
        <v>64:9D:38:32:91:82
B0:D5:FB:C6:60:70</v>
      </c>
      <c r="W109" s="303" t="str">
        <f t="shared" si="3"/>
        <v>64:9D:38:37:25:61
B0:D5:FB:CE:01:8F</v>
      </c>
      <c r="X109" s="304" t="str">
        <f t="shared" si="4"/>
        <v>MP1.0</v>
      </c>
      <c r="Y109" s="292"/>
      <c r="Z109" s="304" t="str">
        <f t="shared" si="32"/>
        <v>Android 16</v>
      </c>
      <c r="AA109" s="304" t="str">
        <f t="shared" si="38"/>
        <v>TBD</v>
      </c>
      <c r="AB109" s="305" t="s">
        <v>962</v>
      </c>
      <c r="AC109" s="305" t="s">
        <v>963</v>
      </c>
      <c r="AD109" s="314" t="s">
        <v>447</v>
      </c>
      <c r="AE109" s="307" t="s">
        <v>418</v>
      </c>
      <c r="AF109" s="308" t="s">
        <v>447</v>
      </c>
      <c r="AG109" s="309" t="s">
        <v>418</v>
      </c>
      <c r="AH109" s="297" t="str">
        <f t="array" ref="AH109">if(isblank(E109),"",xlookup(F109,z_Others!$B$21:$B$45,z_Others!$F$21:$F$45,"TBD",0,1))</f>
        <v>00</v>
      </c>
      <c r="AI109" s="310" t="str">
        <f t="array" ref="AI109">if(isblank(E109),"", xlookup(E109,'Import_FL5_LH_PVTMP_Configs (Do'!E:E,'Import_FL5_LH_PVTMP_Configs (Do'!O:O,"TBD",0,1))</f>
        <v>G710-07800-00</v>
      </c>
      <c r="AJ109" s="311"/>
      <c r="AK109" s="310" t="str">
        <f t="array" ref="AK109">if(isblank(E109),"", xlookup(E109,'Import_FL5_LH_PVTMP_Configs (Do'!E:E,'Import_FL5_LH_PVTMP_Configs (Do'!Q:Q,"TBD",0,1))</f>
        <v>G650-14694-05</v>
      </c>
      <c r="AL109" s="310" t="str">
        <f t="array" ref="AL109">if(isblank(E109),"", xlookup(E109,'Import_FL5_LH_PVTMP_Configs (Do'!E:E,'Import_FL5_LH_PVTMP_Configs (Do'!M:M,"TBD",0,1))</f>
        <v>G710-07670-01</v>
      </c>
      <c r="AM109" s="310" t="str">
        <f t="array" ref="AM109">if(isblank(E109),"", xlookup(E109,'Import_FL5_LH_PVTMP_Configs (Do'!E:E,'Import_FL5_LH_PVTMP_Configs (Do'!N:N,"TBD",0,1))</f>
        <v>G730-09533-03</v>
      </c>
      <c r="AN109" s="310" t="str">
        <f t="array" ref="AN109">if(isblank(E109),"", xlookup(E109,'Import_FL5_LH_PVTMP_Configs (Do'!E:E,'Import_FL5_LH_PVTMP_Configs (Do'!K:K,"TBD",0,1))</f>
        <v>G950-15935-12</v>
      </c>
      <c r="AO109" s="292" t="str">
        <f t="array" ref="AO109">if(isblank(E109),"",XLOOKUP(E109,'FL5_G954 Pkg ASSY (Pkg BOM)'!L:L,'FL5_G954 Pkg ASSY (Pkg BOM)'!G:G,"N/A",0,1))</f>
        <v>N/A</v>
      </c>
      <c r="AP109" s="292" t="str">
        <f t="array" ref="AP109">if(isblank(E109),"",xlookup(E109,'FL5_G962 Country kit (Accesorie'!L:L,'FL5_G962 Country kit (Accesorie'!G:G,"N/A",0,1))</f>
        <v>N/A</v>
      </c>
      <c r="AQ109" s="304" t="s">
        <v>573</v>
      </c>
      <c r="AR109" s="304" t="s">
        <v>561</v>
      </c>
      <c r="AS109" s="292" t="s">
        <v>419</v>
      </c>
      <c r="AT109" s="302" t="str">
        <f t="shared" si="6"/>
        <v>Yes</v>
      </c>
      <c r="AU109" s="302" t="str">
        <f t="shared" si="7"/>
        <v>No</v>
      </c>
      <c r="AV109" s="302" t="str">
        <f t="shared" si="8"/>
        <v>No</v>
      </c>
      <c r="AW109" s="302"/>
      <c r="AX109" s="302" t="s">
        <v>964</v>
      </c>
      <c r="AY109" s="302" t="s">
        <v>965</v>
      </c>
      <c r="AZ109" s="312" t="str">
        <f t="array" ref="AZ109">if(isblank(E109),"", xlookup(E109,Import_FL5_LH_PVT_BM!D:D,Import_FL5_LH_PVT_BM!AK:AK,$F$4,0,1))</f>
        <v>MP</v>
      </c>
      <c r="BA109" s="292" t="str">
        <f t="shared" si="9"/>
        <v>Retail_10ct</v>
      </c>
      <c r="BB109" s="313" t="str">
        <f t="array" ref="BB109">if(isblank(E109),"",xlookup(F109,z_Others!$B$21:$B$42,z_Others!$G$21:$G$42,"No",0,1))</f>
        <v>ROW Master Carton Label (UPC)</v>
      </c>
      <c r="BC109" s="313" t="str">
        <f t="array" ref="BC109">if(isblank(E109),"",xlookup(F109,z_Others!$B$21:$B$42,z_Others!$H$21:$H$42,"No",0,1))</f>
        <v>Standard Pallet Label (BTO)
Standard Pallet Label (BTS)</v>
      </c>
      <c r="BD109" s="314" t="str">
        <f t="array" ref="BD109">if(isblank(E109),"",xlookup(E109,'Import_VN_Label approve'!E:E,'Import_VN_Label approve'!L:L,"N/A",0,1))</f>
        <v>N/A</v>
      </c>
      <c r="BE109" s="314" t="str">
        <f t="array" ref="BE109">if(isblank(E109),"",xlookup(E109,'Import_VN_Label approve'!E:E,'Import_VN_Label approve'!N:N,"N/A",0,1))</f>
        <v>N/A</v>
      </c>
      <c r="BF109" s="315"/>
      <c r="BG109" s="332" t="s">
        <v>503</v>
      </c>
      <c r="BH109" s="317" t="s">
        <v>504</v>
      </c>
      <c r="BI109" s="318">
        <v>45782.0</v>
      </c>
      <c r="BJ109" s="319" t="str">
        <f t="array" ref="BJ109">if(isblank(E109),"", xlookup(D109,z_Others!$B$5:$B$17,z_Others!$C$5:$C$17,"",0,1))</f>
        <v>智能手機</v>
      </c>
      <c r="BK109" s="320">
        <v>45782.0</v>
      </c>
      <c r="BL109" s="320" t="str">
        <f t="array" ref="BL109">if(isblank(E109),"",xlookup(E109,'FL5_MP POR_LH_報關備案_G950 &amp; GA'!F:F,'FL5_MP POR_LH_報關備案_G950 &amp; GA'!E:E,"No Need",0,1))</f>
        <v>Close</v>
      </c>
      <c r="BM109" s="321" t="str">
        <f t="array" ref="BM109">if(isblank(E109),"",xlookup($BM$9&amp;E109,'Import_FL5 MPS (06.06.25) - Sor'!E105:E334&amp;'Import_FL5 MPS (06.06.25) - Sor'!F105:F334,'Import_FL5 MPS (06.06.25) - Sor'!ES105:ES334,"No demand",0,1))</f>
        <v>No demand</v>
      </c>
      <c r="BN109" s="321" t="str">
        <f t="array" ref="BN109">if(isblank(E109),"",xlookup($BN$9&amp;E109,'Import_FL5 MPS (06.06.25) - Sor'!E105:E334&amp;'Import_FL5 MPS (06.06.25) - Sor'!F105:F334,'Import_FL5 MPS (06.06.25) - Sor'!ES105:ES334,"No demand",0,1))</f>
        <v>No demand</v>
      </c>
      <c r="BO109" s="321" t="str">
        <f t="array" ref="BO109">if(isblank(E109),"",xlookup($BO$9&amp;E109,'Import_FL5 MPS (06.06.25) - Sor'!E105:E334&amp;'Import_FL5 MPS (06.06.25) - Sor'!F105:F334,'Import_FL5 MPS (06.06.25) - Sor'!ES105:ES334,"No demand",0,1))</f>
        <v>No demand</v>
      </c>
      <c r="BP109" s="322" t="str">
        <f t="array" ref="BP109">if(isblank(E109),"", xlookup(E109,'Import_LH_Label approve'!E:E,'Import_LH_Label approve'!L:L,"",0,1))</f>
        <v>NA</v>
      </c>
      <c r="BQ109" s="322" t="str">
        <f t="array" ref="BQ109">if(isblank(E109),"",xlookup(E109,'Import_VN_Label approve'!E:E,'Import_VN_Label approve'!M:M,"N/A",0,1))</f>
        <v>N/A</v>
      </c>
      <c r="BR109" s="325"/>
      <c r="BS109" s="323"/>
      <c r="BT109" s="324"/>
      <c r="BU109" s="117"/>
    </row>
    <row r="110">
      <c r="A110" s="176"/>
      <c r="B110" s="292">
        <v>99.0</v>
      </c>
      <c r="C110" s="231" t="s">
        <v>283</v>
      </c>
      <c r="D110" s="231" t="s">
        <v>408</v>
      </c>
      <c r="E110" s="351" t="s">
        <v>966</v>
      </c>
      <c r="F110" s="294" t="s">
        <v>554</v>
      </c>
      <c r="G110" s="294" t="s">
        <v>555</v>
      </c>
      <c r="H110" s="292" t="str">
        <f t="array" ref="H110">xlookup(F110,z_Others!$B$21:$B$45,z_Others!$E$21:$E$45,"",0,1)</f>
        <v>JPN</v>
      </c>
      <c r="I110" s="310" t="s">
        <v>437</v>
      </c>
      <c r="J110" s="231" t="str">
        <f t="array" ref="J110">if(isblank(E110),"",xlookup(I110,z_Others!$M$17:$M$20,z_Others!$O$17:$O$20,"",0,1))</f>
        <v>Indigo</v>
      </c>
      <c r="K110" s="292" t="str">
        <f t="array" ref="K110">xlookup(I110,z_Others!$M$17:$M$20,z_Others!$N$17:$N$20,"",0,1)</f>
        <v>BUE</v>
      </c>
      <c r="L110" s="292" t="str">
        <f t="array" ref="L110">xlookup(F110,z_Others!$B$21:$B$45,z_Others!$D$21:$D$45,"",0,1)</f>
        <v>GL066</v>
      </c>
      <c r="M110" s="296" t="str">
        <f t="array" ref="M110">xlookup(F110,z_Others!$B$21:$B$45,z_Others!$C$21:$C$45,"",0,1)</f>
        <v>JPN</v>
      </c>
      <c r="N110" s="297">
        <v>3.5416229E7</v>
      </c>
      <c r="O110" s="331" t="s">
        <v>556</v>
      </c>
      <c r="P110" s="303" t="s">
        <v>557</v>
      </c>
      <c r="Q110" s="300" t="s">
        <v>413</v>
      </c>
      <c r="R110" s="301" t="s">
        <v>414</v>
      </c>
      <c r="S110" s="302">
        <f t="array" ref="S110">if(isblank(E110),"",xlookup($S$9&amp;M110,z_Others!$X$5:$X$17&amp;z_Others!$W$5:$W$17,z_Others!$Z$5:$Z$17,"",0,1))</f>
        <v>35444932</v>
      </c>
      <c r="T110" s="303" t="str">
        <f t="array" ref="T110">if(isblank(E110),"",xlookup($S$9&amp;M110,z_Others!$X$5:$X$17&amp;z_Others!$W$5:$W$17,z_Others!$AH$5:$AH$17,"",0,1))</f>
        <v>35 444932 020000x</v>
      </c>
      <c r="U110" s="303" t="str">
        <f t="array" ref="U110">if(isblank(E110),"",xlookup($S$9&amp;M110,z_Others!$X$5:$X$17&amp;z_Others!$W$5:$W$17,z_Others!$AI$5:$AI$17,"",0,1))</f>
        <v>35 444932 999999x</v>
      </c>
      <c r="V110" s="303" t="str">
        <f t="shared" si="2"/>
        <v>64:9D:38:32:91:82
B0:D5:FB:C6:60:70</v>
      </c>
      <c r="W110" s="303" t="str">
        <f t="shared" si="3"/>
        <v>64:9D:38:37:25:61
B0:D5:FB:CE:01:8F</v>
      </c>
      <c r="X110" s="304" t="str">
        <f t="shared" si="4"/>
        <v>MP1.0</v>
      </c>
      <c r="Y110" s="292"/>
      <c r="Z110" s="304" t="str">
        <f t="shared" si="32"/>
        <v>Android 16</v>
      </c>
      <c r="AA110" s="304" t="str">
        <f t="shared" si="38"/>
        <v>TBD</v>
      </c>
      <c r="AB110" s="305" t="s">
        <v>967</v>
      </c>
      <c r="AC110" s="305" t="s">
        <v>968</v>
      </c>
      <c r="AD110" s="314" t="s">
        <v>447</v>
      </c>
      <c r="AE110" s="307" t="s">
        <v>418</v>
      </c>
      <c r="AF110" s="308" t="s">
        <v>447</v>
      </c>
      <c r="AG110" s="309" t="s">
        <v>418</v>
      </c>
      <c r="AH110" s="297" t="str">
        <f t="array" ref="AH110">if(isblank(E110),"",xlookup(F110,z_Others!$B$21:$B$45,z_Others!$F$21:$F$45,"TBD",0,1))</f>
        <v>00</v>
      </c>
      <c r="AI110" s="310" t="str">
        <f t="array" ref="AI110">if(isblank(E110),"", xlookup(E110,'Import_FL5_LH_PVTMP_Configs (Do'!E:E,'Import_FL5_LH_PVTMP_Configs (Do'!O:O,"TBD",0,1))</f>
        <v>G710-07800-00</v>
      </c>
      <c r="AJ110" s="311"/>
      <c r="AK110" s="310" t="str">
        <f t="array" ref="AK110">if(isblank(E110),"", xlookup(E110,'Import_FL5_LH_PVTMP_Configs (Do'!E:E,'Import_FL5_LH_PVTMP_Configs (Do'!Q:Q,"TBD",0,1))</f>
        <v>G650-14694-05</v>
      </c>
      <c r="AL110" s="310" t="str">
        <f t="array" ref="AL110">if(isblank(E110),"", xlookup(E110,'Import_FL5_LH_PVTMP_Configs (Do'!E:E,'Import_FL5_LH_PVTMP_Configs (Do'!M:M,"TBD",0,1))</f>
        <v>G710-07670-01</v>
      </c>
      <c r="AM110" s="310" t="str">
        <f t="array" ref="AM110">if(isblank(E110),"", xlookup(E110,'Import_FL5_LH_PVTMP_Configs (Do'!E:E,'Import_FL5_LH_PVTMP_Configs (Do'!N:N,"TBD",0,1))</f>
        <v>G730-09533-04</v>
      </c>
      <c r="AN110" s="310" t="str">
        <f t="array" ref="AN110">if(isblank(E110),"", xlookup(E110,'Import_FL5_LH_PVTMP_Configs (Do'!E:E,'Import_FL5_LH_PVTMP_Configs (Do'!K:K,"TBD",0,1))</f>
        <v>G950-15935-13</v>
      </c>
      <c r="AO110" s="292" t="str">
        <f t="array" ref="AO110">if(isblank(E110),"",XLOOKUP(E110,'FL5_G954 Pkg ASSY (Pkg BOM)'!L:L,'FL5_G954 Pkg ASSY (Pkg BOM)'!G:G,"N/A",0,1))</f>
        <v>N/A</v>
      </c>
      <c r="AP110" s="292" t="str">
        <f t="array" ref="AP110">if(isblank(E110),"",xlookup(E110,'FL5_G962 Country kit (Accesorie'!L:L,'FL5_G962 Country kit (Accesorie'!G:G,"N/A",0,1))</f>
        <v>N/A</v>
      </c>
      <c r="AQ110" s="304" t="s">
        <v>579</v>
      </c>
      <c r="AR110" s="304" t="s">
        <v>561</v>
      </c>
      <c r="AS110" s="292" t="s">
        <v>419</v>
      </c>
      <c r="AT110" s="302" t="str">
        <f t="shared" si="6"/>
        <v>Yes</v>
      </c>
      <c r="AU110" s="302" t="str">
        <f t="shared" si="7"/>
        <v>No</v>
      </c>
      <c r="AV110" s="302" t="str">
        <f t="shared" si="8"/>
        <v>No</v>
      </c>
      <c r="AW110" s="302"/>
      <c r="AX110" s="302" t="s">
        <v>969</v>
      </c>
      <c r="AY110" s="302" t="s">
        <v>970</v>
      </c>
      <c r="AZ110" s="312" t="str">
        <f t="array" ref="AZ110">if(isblank(E110),"", xlookup(E110,Import_FL5_LH_PVT_BM!D:D,Import_FL5_LH_PVT_BM!AK:AK,$F$4,0,1))</f>
        <v>MP</v>
      </c>
      <c r="BA110" s="292" t="str">
        <f t="shared" si="9"/>
        <v>Retail_10ct</v>
      </c>
      <c r="BB110" s="313" t="str">
        <f t="array" ref="BB110">if(isblank(E110),"",xlookup(F110,z_Others!$B$21:$B$42,z_Others!$G$21:$G$42,"No",0,1))</f>
        <v>ROW Master Carton Label (UPC)</v>
      </c>
      <c r="BC110" s="313" t="str">
        <f t="array" ref="BC110">if(isblank(E110),"",xlookup(F110,z_Others!$B$21:$B$42,z_Others!$H$21:$H$42,"No",0,1))</f>
        <v>Standard Pallet Label (BTO)
Standard Pallet Label (BTS)</v>
      </c>
      <c r="BD110" s="314" t="str">
        <f t="array" ref="BD110">if(isblank(E110),"",xlookup(E110,'Import_VN_Label approve'!E:E,'Import_VN_Label approve'!L:L,"N/A",0,1))</f>
        <v>N/A</v>
      </c>
      <c r="BE110" s="314" t="str">
        <f t="array" ref="BE110">if(isblank(E110),"",xlookup(E110,'Import_VN_Label approve'!E:E,'Import_VN_Label approve'!N:N,"N/A",0,1))</f>
        <v>N/A</v>
      </c>
      <c r="BF110" s="315"/>
      <c r="BG110" s="332" t="s">
        <v>503</v>
      </c>
      <c r="BH110" s="317" t="s">
        <v>504</v>
      </c>
      <c r="BI110" s="318">
        <v>45782.0</v>
      </c>
      <c r="BJ110" s="319" t="str">
        <f t="array" ref="BJ110">if(isblank(E110),"", xlookup(D110,z_Others!$B$5:$B$17,z_Others!$C$5:$C$17,"",0,1))</f>
        <v>智能手機</v>
      </c>
      <c r="BK110" s="320">
        <v>45782.0</v>
      </c>
      <c r="BL110" s="320" t="str">
        <f t="array" ref="BL110">if(isblank(E110),"",xlookup(E110,'FL5_MP POR_LH_報關備案_G950 &amp; GA'!F:F,'FL5_MP POR_LH_報關備案_G950 &amp; GA'!E:E,"No Need",0,1))</f>
        <v>Close</v>
      </c>
      <c r="BM110" s="321" t="str">
        <f t="array" ref="BM110">if(isblank(E110),"",xlookup($BM$9&amp;E110,'Import_FL5 MPS (06.06.25) - Sor'!E106:E334&amp;'Import_FL5 MPS (06.06.25) - Sor'!F106:F334,'Import_FL5 MPS (06.06.25) - Sor'!ES106:ES334,"No demand",0,1))</f>
        <v>No demand</v>
      </c>
      <c r="BN110" s="321" t="str">
        <f t="array" ref="BN110">if(isblank(E110),"",xlookup($BN$9&amp;E110,'Import_FL5 MPS (06.06.25) - Sor'!E106:E334&amp;'Import_FL5 MPS (06.06.25) - Sor'!F106:F334,'Import_FL5 MPS (06.06.25) - Sor'!ES106:ES334,"No demand",0,1))</f>
        <v>No demand</v>
      </c>
      <c r="BO110" s="321" t="str">
        <f t="array" ref="BO110">if(isblank(E110),"",xlookup($BO$9&amp;E110,'Import_FL5 MPS (06.06.25) - Sor'!E106:E334&amp;'Import_FL5 MPS (06.06.25) - Sor'!F106:F334,'Import_FL5 MPS (06.06.25) - Sor'!ES106:ES334,"No demand",0,1))</f>
        <v>No demand</v>
      </c>
      <c r="BP110" s="322" t="str">
        <f t="array" ref="BP110">if(isblank(E110),"", xlookup(E110,'Import_LH_Label approve'!E:E,'Import_LH_Label approve'!L:L,"",0,1))</f>
        <v>NA</v>
      </c>
      <c r="BQ110" s="322" t="str">
        <f t="array" ref="BQ110">if(isblank(E110),"",xlookup(E110,'Import_VN_Label approve'!E:E,'Import_VN_Label approve'!M:M,"N/A",0,1))</f>
        <v>N/A</v>
      </c>
      <c r="BR110" s="325"/>
      <c r="BS110" s="323"/>
      <c r="BT110" s="324"/>
      <c r="BU110" s="117"/>
    </row>
    <row r="111">
      <c r="A111" s="176"/>
      <c r="B111" s="292">
        <v>100.0</v>
      </c>
      <c r="C111" s="231" t="s">
        <v>283</v>
      </c>
      <c r="D111" s="231" t="s">
        <v>408</v>
      </c>
      <c r="E111" s="351" t="s">
        <v>971</v>
      </c>
      <c r="F111" s="294" t="s">
        <v>492</v>
      </c>
      <c r="G111" s="294" t="s">
        <v>493</v>
      </c>
      <c r="H111" s="292" t="str">
        <f t="array" ref="H111">xlookup(F111,z_Others!$B$21:$B$45,z_Others!$E$21:$E$45,"",0,1)</f>
        <v>Sub6</v>
      </c>
      <c r="I111" s="310" t="s">
        <v>412</v>
      </c>
      <c r="J111" s="231" t="str">
        <f t="array" ref="J111">if(isblank(E111),"",xlookup(I111,z_Others!$M$17:$M$20,z_Others!$O$17:$O$20,"",0,1))</f>
        <v>Obsidian</v>
      </c>
      <c r="K111" s="292" t="str">
        <f t="array" ref="K111">xlookup(I111,z_Others!$M$17:$M$20,z_Others!$N$17:$N$20,"",0,1)</f>
        <v>BLK</v>
      </c>
      <c r="L111" s="292" t="str">
        <f t="array" ref="L111">xlookup(F111,z_Others!$B$21:$B$45,z_Others!$D$21:$D$45,"",0,1)</f>
        <v>GK2MP</v>
      </c>
      <c r="M111" s="296" t="str">
        <f t="array" ref="M111">xlookup(F111,z_Others!$B$21:$B$45,z_Others!$C$21:$C$45,"",0,1)</f>
        <v>ROW</v>
      </c>
      <c r="N111" s="297">
        <v>3.5440766E7</v>
      </c>
      <c r="O111" s="331" t="s">
        <v>494</v>
      </c>
      <c r="P111" s="303" t="s">
        <v>495</v>
      </c>
      <c r="Q111" s="300" t="s">
        <v>413</v>
      </c>
      <c r="R111" s="301" t="s">
        <v>414</v>
      </c>
      <c r="S111" s="302">
        <f t="array" ref="S111">if(isblank(E111),"",xlookup($S$9&amp;M111,z_Others!$X$5:$X$17&amp;z_Others!$W$5:$W$17,z_Others!$Z$5:$Z$17,"",0,1))</f>
        <v>35795514</v>
      </c>
      <c r="T111" s="303" t="str">
        <f t="array" ref="T111">if(isblank(E111),"",xlookup($S$9&amp;M111,z_Others!$X$5:$X$17&amp;z_Others!$W$5:$W$17,z_Others!$AH$5:$AH$17,"",0,1))</f>
        <v>35 795514 040000x</v>
      </c>
      <c r="U111" s="303" t="str">
        <f t="array" ref="U111">if(isblank(E111),"",xlookup($S$9&amp;M111,z_Others!$X$5:$X$17&amp;z_Others!$W$5:$W$17,z_Others!$AI$5:$AI$17,"",0,1))</f>
        <v>35 795514 999999x</v>
      </c>
      <c r="V111" s="303" t="str">
        <f t="shared" si="2"/>
        <v>64:9D:38:32:91:82
B0:D5:FB:C6:60:70</v>
      </c>
      <c r="W111" s="303" t="str">
        <f t="shared" si="3"/>
        <v>64:9D:38:37:25:61
B0:D5:FB:CE:01:8F</v>
      </c>
      <c r="X111" s="304" t="str">
        <f t="shared" si="4"/>
        <v>MP1.0</v>
      </c>
      <c r="Y111" s="292"/>
      <c r="Z111" s="304" t="str">
        <f t="shared" si="32"/>
        <v>Android 16</v>
      </c>
      <c r="AA111" s="304" t="str">
        <f t="shared" si="38"/>
        <v>TBD</v>
      </c>
      <c r="AB111" s="305" t="s">
        <v>972</v>
      </c>
      <c r="AC111" s="305" t="s">
        <v>973</v>
      </c>
      <c r="AD111" s="314" t="s">
        <v>447</v>
      </c>
      <c r="AE111" s="307" t="s">
        <v>418</v>
      </c>
      <c r="AF111" s="308" t="s">
        <v>447</v>
      </c>
      <c r="AG111" s="309" t="s">
        <v>418</v>
      </c>
      <c r="AH111" s="297" t="str">
        <f t="array" ref="AH111">if(isblank(E111),"",xlookup(F111,z_Others!$B$21:$B$45,z_Others!$F$21:$F$45,"TBD",0,1))</f>
        <v>00</v>
      </c>
      <c r="AI111" s="310" t="str">
        <f t="array" ref="AI111">if(isblank(E111),"", xlookup(E111,'Import_FL5_LH_PVTMP_Configs (Do'!E:E,'Import_FL5_LH_PVTMP_Configs (Do'!O:O,"TBD",0,1))</f>
        <v>G710-07800-00</v>
      </c>
      <c r="AJ111" s="311"/>
      <c r="AK111" s="310" t="str">
        <f t="array" ref="AK111">if(isblank(E111),"", xlookup(E111,'Import_FL5_LH_PVTMP_Configs (Do'!E:E,'Import_FL5_LH_PVTMP_Configs (Do'!Q:Q,"TBD",0,1))</f>
        <v>G650-14694-05</v>
      </c>
      <c r="AL111" s="310" t="str">
        <f t="array" ref="AL111">if(isblank(E111),"", xlookup(E111,'Import_FL5_LH_PVTMP_Configs (Do'!E:E,'Import_FL5_LH_PVTMP_Configs (Do'!M:M,"TBD",0,1))</f>
        <v>G710-07670-01</v>
      </c>
      <c r="AM111" s="310" t="str">
        <f t="array" ref="AM111">if(isblank(E111),"", xlookup(E111,'Import_FL5_LH_PVTMP_Configs (Do'!E:E,'Import_FL5_LH_PVTMP_Configs (Do'!N:N,"TBD",0,1))</f>
        <v>G730-09533-01</v>
      </c>
      <c r="AN111" s="310" t="str">
        <f t="array" ref="AN111">if(isblank(E111),"", xlookup(E111,'Import_FL5_LH_PVTMP_Configs (Do'!E:E,'Import_FL5_LH_PVTMP_Configs (Do'!K:K,"TBD",0,1))</f>
        <v>G950-15935-10</v>
      </c>
      <c r="AO111" s="292" t="str">
        <f t="array" ref="AO111">if(isblank(E111),"",XLOOKUP(E111,'FL5_G954 Pkg ASSY (Pkg BOM)'!L:L,'FL5_G954 Pkg ASSY (Pkg BOM)'!G:G,"N/A",0,1))</f>
        <v>N/A</v>
      </c>
      <c r="AP111" s="292" t="str">
        <f t="array" ref="AP111">if(isblank(E111),"",xlookup(E111,'FL5_G962 Country kit (Accesorie'!L:L,'FL5_G962 Country kit (Accesorie'!G:G,"N/A",0,1))</f>
        <v>N/A</v>
      </c>
      <c r="AQ111" s="304" t="s">
        <v>498</v>
      </c>
      <c r="AR111" s="304" t="s">
        <v>499</v>
      </c>
      <c r="AS111" s="292" t="s">
        <v>419</v>
      </c>
      <c r="AT111" s="302" t="str">
        <f t="shared" si="6"/>
        <v>Yes</v>
      </c>
      <c r="AU111" s="302" t="str">
        <f t="shared" si="7"/>
        <v>No</v>
      </c>
      <c r="AV111" s="302" t="str">
        <f t="shared" si="8"/>
        <v>No</v>
      </c>
      <c r="AW111" s="302"/>
      <c r="AX111" s="302" t="s">
        <v>974</v>
      </c>
      <c r="AY111" s="302" t="s">
        <v>975</v>
      </c>
      <c r="AZ111" s="312" t="str">
        <f t="array" ref="AZ111">if(isblank(E111),"", xlookup(E111,Import_FL5_LH_PVT_BM!D:D,Import_FL5_LH_PVT_BM!AK:AK,$F$4,0,1))</f>
        <v>MP</v>
      </c>
      <c r="BA111" s="292" t="str">
        <f t="shared" si="9"/>
        <v>Retail_10ct</v>
      </c>
      <c r="BB111" s="313" t="str">
        <f t="array" ref="BB111">if(isblank(E111),"",xlookup(F111,z_Others!$B$21:$B$42,z_Others!$G$21:$G$42,"No",0,1))</f>
        <v>ROW Master Carton Label (UPC)</v>
      </c>
      <c r="BC111" s="313" t="str">
        <f t="array" ref="BC111">if(isblank(E111),"",xlookup(F111,z_Others!$B$21:$B$42,z_Others!$H$21:$H$42,"No",0,1))</f>
        <v>Standard Pallet Label (BTO)
Standard Pallet Label (BTS)</v>
      </c>
      <c r="BD111" s="314" t="str">
        <f t="array" ref="BD111">if(isblank(E111),"",xlookup(E111,'Import_VN_Label approve'!E:E,'Import_VN_Label approve'!L:L,"N/A",0,1))</f>
        <v>N/A</v>
      </c>
      <c r="BE111" s="314" t="str">
        <f t="array" ref="BE111">if(isblank(E111),"",xlookup(E111,'Import_VN_Label approve'!E:E,'Import_VN_Label approve'!N:N,"N/A",0,1))</f>
        <v>N/A</v>
      </c>
      <c r="BF111" s="315"/>
      <c r="BG111" s="332" t="s">
        <v>503</v>
      </c>
      <c r="BH111" s="317" t="s">
        <v>504</v>
      </c>
      <c r="BI111" s="318">
        <v>45782.0</v>
      </c>
      <c r="BJ111" s="319" t="str">
        <f t="array" ref="BJ111">if(isblank(E111),"", xlookup(D111,z_Others!$B$5:$B$17,z_Others!$C$5:$C$17,"",0,1))</f>
        <v>智能手機</v>
      </c>
      <c r="BK111" s="320">
        <v>45782.0</v>
      </c>
      <c r="BL111" s="320" t="str">
        <f t="array" ref="BL111">if(isblank(E111),"",xlookup(E111,'FL5_MP POR_LH_報關備案_G950 &amp; GA'!F:F,'FL5_MP POR_LH_報關備案_G950 &amp; GA'!E:E,"No Need",0,1))</f>
        <v>Close</v>
      </c>
      <c r="BM111" s="321" t="str">
        <f t="array" ref="BM111">if(isblank(E111),"",xlookup($BM$9&amp;E111,'Import_FL5 MPS (06.06.25) - Sor'!E107:E334&amp;'Import_FL5 MPS (06.06.25) - Sor'!F107:F334,'Import_FL5 MPS (06.06.25) - Sor'!ES107:ES334,"No demand",0,1))</f>
        <v>No demand</v>
      </c>
      <c r="BN111" s="321" t="str">
        <f t="array" ref="BN111">if(isblank(E111),"",xlookup($BN$9&amp;E111,'Import_FL5 MPS (06.06.25) - Sor'!E107:E334&amp;'Import_FL5 MPS (06.06.25) - Sor'!F107:F334,'Import_FL5 MPS (06.06.25) - Sor'!ES107:ES334,"No demand",0,1))</f>
        <v>No demand</v>
      </c>
      <c r="BO111" s="321" t="str">
        <f t="array" ref="BO111">if(isblank(E111),"",xlookup($BO$9&amp;E111,'Import_FL5 MPS (06.06.25) - Sor'!E107:E334&amp;'Import_FL5 MPS (06.06.25) - Sor'!F107:F334,'Import_FL5 MPS (06.06.25) - Sor'!ES107:ES334,"No demand",0,1))</f>
        <v>No demand</v>
      </c>
      <c r="BP111" s="322" t="str">
        <f t="array" ref="BP111">if(isblank(E111),"", xlookup(E111,'Import_LH_Label approve'!E:E,'Import_LH_Label approve'!L:L,"",0,1))</f>
        <v>NA</v>
      </c>
      <c r="BQ111" s="322" t="str">
        <f t="array" ref="BQ111">if(isblank(E111),"",xlookup(E111,'Import_VN_Label approve'!E:E,'Import_VN_Label approve'!M:M,"N/A",0,1))</f>
        <v>N/A</v>
      </c>
      <c r="BR111" s="325"/>
      <c r="BS111" s="323"/>
      <c r="BT111" s="324"/>
      <c r="BU111" s="117"/>
    </row>
    <row r="112">
      <c r="A112" s="176"/>
      <c r="B112" s="292">
        <v>101.0</v>
      </c>
      <c r="C112" s="231" t="s">
        <v>283</v>
      </c>
      <c r="D112" s="231" t="s">
        <v>408</v>
      </c>
      <c r="E112" s="351" t="s">
        <v>976</v>
      </c>
      <c r="F112" s="294" t="s">
        <v>492</v>
      </c>
      <c r="G112" s="294" t="s">
        <v>493</v>
      </c>
      <c r="H112" s="292" t="str">
        <f t="array" ref="H112">xlookup(F112,z_Others!$B$21:$B$45,z_Others!$E$21:$E$45,"",0,1)</f>
        <v>Sub6</v>
      </c>
      <c r="I112" s="310" t="s">
        <v>425</v>
      </c>
      <c r="J112" s="231" t="str">
        <f t="array" ref="J112">if(isblank(E112),"",xlookup(I112,z_Others!$M$17:$M$20,z_Others!$O$17:$O$20,"",0,1))</f>
        <v>Frost</v>
      </c>
      <c r="K112" s="292" t="str">
        <f t="array" ref="K112">xlookup(I112,z_Others!$M$17:$M$20,z_Others!$N$17:$N$20,"",0,1)</f>
        <v>PPL</v>
      </c>
      <c r="L112" s="292" t="str">
        <f t="array" ref="L112">xlookup(F112,z_Others!$B$21:$B$45,z_Others!$D$21:$D$45,"",0,1)</f>
        <v>GK2MP</v>
      </c>
      <c r="M112" s="296" t="str">
        <f t="array" ref="M112">xlookup(F112,z_Others!$B$21:$B$45,z_Others!$C$21:$C$45,"",0,1)</f>
        <v>ROW</v>
      </c>
      <c r="N112" s="297">
        <v>3.5440766E7</v>
      </c>
      <c r="O112" s="331" t="s">
        <v>494</v>
      </c>
      <c r="P112" s="303" t="s">
        <v>495</v>
      </c>
      <c r="Q112" s="300" t="s">
        <v>413</v>
      </c>
      <c r="R112" s="301" t="s">
        <v>414</v>
      </c>
      <c r="S112" s="302">
        <f t="array" ref="S112">if(isblank(E112),"",xlookup($S$9&amp;M112,z_Others!$X$5:$X$17&amp;z_Others!$W$5:$W$17,z_Others!$Z$5:$Z$17,"",0,1))</f>
        <v>35795514</v>
      </c>
      <c r="T112" s="303" t="str">
        <f t="array" ref="T112">if(isblank(E112),"",xlookup($S$9&amp;M112,z_Others!$X$5:$X$17&amp;z_Others!$W$5:$W$17,z_Others!$AH$5:$AH$17,"",0,1))</f>
        <v>35 795514 040000x</v>
      </c>
      <c r="U112" s="303" t="str">
        <f t="array" ref="U112">if(isblank(E112),"",xlookup($S$9&amp;M112,z_Others!$X$5:$X$17&amp;z_Others!$W$5:$W$17,z_Others!$AI$5:$AI$17,"",0,1))</f>
        <v>35 795514 999999x</v>
      </c>
      <c r="V112" s="303" t="str">
        <f t="shared" si="2"/>
        <v>64:9D:38:32:91:82
B0:D5:FB:C6:60:70</v>
      </c>
      <c r="W112" s="303" t="str">
        <f t="shared" si="3"/>
        <v>64:9D:38:37:25:61
B0:D5:FB:CE:01:8F</v>
      </c>
      <c r="X112" s="304" t="str">
        <f t="shared" si="4"/>
        <v>MP1.0</v>
      </c>
      <c r="Y112" s="292"/>
      <c r="Z112" s="304" t="str">
        <f t="shared" si="32"/>
        <v>Android 16</v>
      </c>
      <c r="AA112" s="304" t="str">
        <f t="shared" ref="AA112:AA115" si="39">if(isblank(E112),"",IF(AG112="AD1A.240530.047","Android 14",IF(AG112="AP3A.241105.008","Android 15",if(AG112="AP4A.241205.013","Android 15",if(AG112="AP4A.241205.013.C1","Android 15","TBD")))))</f>
        <v>TBD</v>
      </c>
      <c r="AB112" s="305" t="s">
        <v>977</v>
      </c>
      <c r="AC112" s="305" t="s">
        <v>978</v>
      </c>
      <c r="AD112" s="314" t="s">
        <v>447</v>
      </c>
      <c r="AE112" s="307" t="s">
        <v>418</v>
      </c>
      <c r="AF112" s="308" t="s">
        <v>447</v>
      </c>
      <c r="AG112" s="309" t="s">
        <v>418</v>
      </c>
      <c r="AH112" s="297" t="str">
        <f t="array" ref="AH112">if(isblank(E112),"",xlookup(F112,z_Others!$B$21:$B$45,z_Others!$F$21:$F$45,"TBD",0,1))</f>
        <v>00</v>
      </c>
      <c r="AI112" s="310" t="str">
        <f t="array" ref="AI112">if(isblank(E112),"", xlookup(E112,'Import_FL5_LH_PVTMP_Configs (Do'!E:E,'Import_FL5_LH_PVTMP_Configs (Do'!O:O,"TBD",0,1))</f>
        <v>G710-07800-00</v>
      </c>
      <c r="AJ112" s="311"/>
      <c r="AK112" s="310" t="str">
        <f t="array" ref="AK112">if(isblank(E112),"", xlookup(E112,'Import_FL5_LH_PVTMP_Configs (Do'!E:E,'Import_FL5_LH_PVTMP_Configs (Do'!Q:Q,"TBD",0,1))</f>
        <v>G650-14694-05</v>
      </c>
      <c r="AL112" s="310" t="str">
        <f t="array" ref="AL112">if(isblank(E112),"", xlookup(E112,'Import_FL5_LH_PVTMP_Configs (Do'!E:E,'Import_FL5_LH_PVTMP_Configs (Do'!M:M,"TBD",0,1))</f>
        <v>G710-07670-01</v>
      </c>
      <c r="AM112" s="310" t="str">
        <f t="array" ref="AM112">if(isblank(E112),"", xlookup(E112,'Import_FL5_LH_PVTMP_Configs (Do'!E:E,'Import_FL5_LH_PVTMP_Configs (Do'!N:N,"TBD",0,1))</f>
        <v>G730-09533-02</v>
      </c>
      <c r="AN112" s="310" t="str">
        <f t="array" ref="AN112">if(isblank(E112),"", xlookup(E112,'Import_FL5_LH_PVTMP_Configs (Do'!E:E,'Import_FL5_LH_PVTMP_Configs (Do'!K:K,"TBD",0,1))</f>
        <v>G950-15935-11</v>
      </c>
      <c r="AO112" s="292" t="str">
        <f t="array" ref="AO112">if(isblank(E112),"",XLOOKUP(E112,'FL5_G954 Pkg ASSY (Pkg BOM)'!L:L,'FL5_G954 Pkg ASSY (Pkg BOM)'!G:G,"N/A",0,1))</f>
        <v>N/A</v>
      </c>
      <c r="AP112" s="292" t="str">
        <f t="array" ref="AP112">if(isblank(E112),"",xlookup(E112,'FL5_G962 Country kit (Accesorie'!L:L,'FL5_G962 Country kit (Accesorie'!G:G,"N/A",0,1))</f>
        <v>N/A</v>
      </c>
      <c r="AQ112" s="304" t="s">
        <v>508</v>
      </c>
      <c r="AR112" s="304" t="s">
        <v>499</v>
      </c>
      <c r="AS112" s="292" t="s">
        <v>419</v>
      </c>
      <c r="AT112" s="302" t="str">
        <f t="shared" si="6"/>
        <v>Yes</v>
      </c>
      <c r="AU112" s="302" t="str">
        <f t="shared" si="7"/>
        <v>No</v>
      </c>
      <c r="AV112" s="302" t="str">
        <f t="shared" si="8"/>
        <v>No</v>
      </c>
      <c r="AW112" s="302"/>
      <c r="AX112" s="302" t="s">
        <v>979</v>
      </c>
      <c r="AY112" s="302" t="s">
        <v>980</v>
      </c>
      <c r="AZ112" s="312" t="str">
        <f t="array" ref="AZ112">if(isblank(E112),"", xlookup(E112,Import_FL5_LH_PVT_BM!D:D,Import_FL5_LH_PVT_BM!AK:AK,$F$4,0,1))</f>
        <v>MP</v>
      </c>
      <c r="BA112" s="292" t="str">
        <f t="shared" si="9"/>
        <v>Retail_10ct</v>
      </c>
      <c r="BB112" s="313" t="str">
        <f t="array" ref="BB112">if(isblank(E112),"",xlookup(F112,z_Others!$B$21:$B$42,z_Others!$G$21:$G$42,"No",0,1))</f>
        <v>ROW Master Carton Label (UPC)</v>
      </c>
      <c r="BC112" s="313" t="str">
        <f t="array" ref="BC112">if(isblank(E112),"",xlookup(F112,z_Others!$B$21:$B$42,z_Others!$H$21:$H$42,"No",0,1))</f>
        <v>Standard Pallet Label (BTO)
Standard Pallet Label (BTS)</v>
      </c>
      <c r="BD112" s="314" t="str">
        <f t="array" ref="BD112">if(isblank(E112),"",xlookup(E112,'Import_VN_Label approve'!E:E,'Import_VN_Label approve'!L:L,"N/A",0,1))</f>
        <v>N/A</v>
      </c>
      <c r="BE112" s="314" t="str">
        <f t="array" ref="BE112">if(isblank(E112),"",xlookup(E112,'Import_VN_Label approve'!E:E,'Import_VN_Label approve'!N:N,"N/A",0,1))</f>
        <v>N/A</v>
      </c>
      <c r="BF112" s="315"/>
      <c r="BG112" s="332" t="s">
        <v>503</v>
      </c>
      <c r="BH112" s="317" t="s">
        <v>504</v>
      </c>
      <c r="BI112" s="318">
        <v>45782.0</v>
      </c>
      <c r="BJ112" s="319" t="str">
        <f t="array" ref="BJ112">if(isblank(E112),"", xlookup(D112,z_Others!$B$5:$B$17,z_Others!$C$5:$C$17,"",0,1))</f>
        <v>智能手機</v>
      </c>
      <c r="BK112" s="320">
        <v>45782.0</v>
      </c>
      <c r="BL112" s="320" t="str">
        <f t="array" ref="BL112">if(isblank(E112),"",xlookup(E112,'FL5_MP POR_LH_報關備案_G950 &amp; GA'!F:F,'FL5_MP POR_LH_報關備案_G950 &amp; GA'!E:E,"No Need",0,1))</f>
        <v>Close</v>
      </c>
      <c r="BM112" s="321" t="str">
        <f t="array" ref="BM112">if(isblank(E112),"",xlookup($BM$9&amp;E112,'Import_FL5 MPS (06.06.25) - Sor'!E108:E334&amp;'Import_FL5 MPS (06.06.25) - Sor'!F108:F334,'Import_FL5 MPS (06.06.25) - Sor'!ES108:ES334,"No demand",0,1))</f>
        <v>No demand</v>
      </c>
      <c r="BN112" s="321" t="str">
        <f t="array" ref="BN112">if(isblank(E112),"",xlookup($BN$9&amp;E112,'Import_FL5 MPS (06.06.25) - Sor'!E108:E334&amp;'Import_FL5 MPS (06.06.25) - Sor'!F108:F334,'Import_FL5 MPS (06.06.25) - Sor'!ES108:ES334,"No demand",0,1))</f>
        <v>No demand</v>
      </c>
      <c r="BO112" s="321" t="str">
        <f t="array" ref="BO112">if(isblank(E112),"",xlookup($BO$9&amp;E112,'Import_FL5 MPS (06.06.25) - Sor'!E108:E334&amp;'Import_FL5 MPS (06.06.25) - Sor'!F108:F334,'Import_FL5 MPS (06.06.25) - Sor'!ES108:ES334,"No demand",0,1))</f>
        <v>No demand</v>
      </c>
      <c r="BP112" s="322" t="str">
        <f t="array" ref="BP112">if(isblank(E112),"", xlookup(E112,'Import_LH_Label approve'!E:E,'Import_LH_Label approve'!L:L,"",0,1))</f>
        <v>NA</v>
      </c>
      <c r="BQ112" s="322" t="str">
        <f t="array" ref="BQ112">if(isblank(E112),"",xlookup(E112,'Import_VN_Label approve'!E:E,'Import_VN_Label approve'!M:M,"N/A",0,1))</f>
        <v>N/A</v>
      </c>
      <c r="BR112" s="325"/>
      <c r="BS112" s="323"/>
      <c r="BT112" s="324"/>
      <c r="BU112" s="91"/>
    </row>
    <row r="113">
      <c r="A113" s="176"/>
      <c r="B113" s="292">
        <v>102.0</v>
      </c>
      <c r="C113" s="231" t="s">
        <v>283</v>
      </c>
      <c r="D113" s="231" t="s">
        <v>408</v>
      </c>
      <c r="E113" s="351" t="s">
        <v>981</v>
      </c>
      <c r="F113" s="294" t="s">
        <v>492</v>
      </c>
      <c r="G113" s="294" t="s">
        <v>493</v>
      </c>
      <c r="H113" s="292" t="str">
        <f t="array" ref="H113">xlookup(F113,z_Others!$B$21:$B$45,z_Others!$E$21:$E$45,"",0,1)</f>
        <v>Sub6</v>
      </c>
      <c r="I113" s="310" t="s">
        <v>431</v>
      </c>
      <c r="J113" s="231" t="str">
        <f t="array" ref="J113">if(isblank(E113),"",xlookup(I113,z_Others!$M$17:$M$20,z_Others!$O$17:$O$20,"",0,1))</f>
        <v>Lemongrass</v>
      </c>
      <c r="K113" s="292" t="str">
        <f t="array" ref="K113">xlookup(I113,z_Others!$M$17:$M$20,z_Others!$N$17:$N$20,"",0,1)</f>
        <v>YEL</v>
      </c>
      <c r="L113" s="292" t="str">
        <f t="array" ref="L113">xlookup(F113,z_Others!$B$21:$B$45,z_Others!$D$21:$D$45,"",0,1)</f>
        <v>GK2MP</v>
      </c>
      <c r="M113" s="296" t="str">
        <f t="array" ref="M113">xlookup(F113,z_Others!$B$21:$B$45,z_Others!$C$21:$C$45,"",0,1)</f>
        <v>ROW</v>
      </c>
      <c r="N113" s="297">
        <v>3.5440766E7</v>
      </c>
      <c r="O113" s="331" t="s">
        <v>494</v>
      </c>
      <c r="P113" s="303" t="s">
        <v>495</v>
      </c>
      <c r="Q113" s="300" t="s">
        <v>413</v>
      </c>
      <c r="R113" s="301" t="s">
        <v>414</v>
      </c>
      <c r="S113" s="302">
        <f t="array" ref="S113">if(isblank(E113),"",xlookup($S$9&amp;M113,z_Others!$X$5:$X$17&amp;z_Others!$W$5:$W$17,z_Others!$Z$5:$Z$17,"",0,1))</f>
        <v>35795514</v>
      </c>
      <c r="T113" s="303" t="str">
        <f t="array" ref="T113">if(isblank(E113),"",xlookup($S$9&amp;M113,z_Others!$X$5:$X$17&amp;z_Others!$W$5:$W$17,z_Others!$AH$5:$AH$17,"",0,1))</f>
        <v>35 795514 040000x</v>
      </c>
      <c r="U113" s="303" t="str">
        <f t="array" ref="U113">if(isblank(E113),"",xlookup($S$9&amp;M113,z_Others!$X$5:$X$17&amp;z_Others!$W$5:$W$17,z_Others!$AI$5:$AI$17,"",0,1))</f>
        <v>35 795514 999999x</v>
      </c>
      <c r="V113" s="303" t="str">
        <f t="shared" si="2"/>
        <v>64:9D:38:32:91:82
B0:D5:FB:C6:60:70</v>
      </c>
      <c r="W113" s="303" t="str">
        <f t="shared" si="3"/>
        <v>64:9D:38:37:25:61
B0:D5:FB:CE:01:8F</v>
      </c>
      <c r="X113" s="304" t="str">
        <f t="shared" si="4"/>
        <v>MP1.0</v>
      </c>
      <c r="Y113" s="292"/>
      <c r="Z113" s="304" t="str">
        <f t="shared" si="32"/>
        <v>Android 16</v>
      </c>
      <c r="AA113" s="304" t="str">
        <f t="shared" si="39"/>
        <v>TBD</v>
      </c>
      <c r="AB113" s="305" t="s">
        <v>982</v>
      </c>
      <c r="AC113" s="305" t="s">
        <v>983</v>
      </c>
      <c r="AD113" s="314" t="s">
        <v>447</v>
      </c>
      <c r="AE113" s="307" t="s">
        <v>418</v>
      </c>
      <c r="AF113" s="308" t="s">
        <v>447</v>
      </c>
      <c r="AG113" s="309" t="s">
        <v>418</v>
      </c>
      <c r="AH113" s="297" t="str">
        <f t="array" ref="AH113">if(isblank(E113),"",xlookup(F113,z_Others!$B$21:$B$45,z_Others!$F$21:$F$45,"TBD",0,1))</f>
        <v>00</v>
      </c>
      <c r="AI113" s="310" t="str">
        <f t="array" ref="AI113">if(isblank(E113),"", xlookup(E113,'Import_FL5_LH_PVTMP_Configs (Do'!E:E,'Import_FL5_LH_PVTMP_Configs (Do'!O:O,"TBD",0,1))</f>
        <v>G710-07800-00</v>
      </c>
      <c r="AJ113" s="311"/>
      <c r="AK113" s="310" t="str">
        <f t="array" ref="AK113">if(isblank(E113),"", xlookup(E113,'Import_FL5_LH_PVTMP_Configs (Do'!E:E,'Import_FL5_LH_PVTMP_Configs (Do'!Q:Q,"TBD",0,1))</f>
        <v>G650-14694-05</v>
      </c>
      <c r="AL113" s="310" t="str">
        <f t="array" ref="AL113">if(isblank(E113),"", xlookup(E113,'Import_FL5_LH_PVTMP_Configs (Do'!E:E,'Import_FL5_LH_PVTMP_Configs (Do'!M:M,"TBD",0,1))</f>
        <v>G710-07670-01</v>
      </c>
      <c r="AM113" s="310" t="str">
        <f t="array" ref="AM113">if(isblank(E113),"", xlookup(E113,'Import_FL5_LH_PVTMP_Configs (Do'!E:E,'Import_FL5_LH_PVTMP_Configs (Do'!N:N,"TBD",0,1))</f>
        <v>G730-09533-03</v>
      </c>
      <c r="AN113" s="310" t="str">
        <f t="array" ref="AN113">if(isblank(E113),"", xlookup(E113,'Import_FL5_LH_PVTMP_Configs (Do'!E:E,'Import_FL5_LH_PVTMP_Configs (Do'!K:K,"TBD",0,1))</f>
        <v>G950-15935-12</v>
      </c>
      <c r="AO113" s="292" t="str">
        <f t="array" ref="AO113">if(isblank(E113),"",XLOOKUP(E113,'FL5_G954 Pkg ASSY (Pkg BOM)'!L:L,'FL5_G954 Pkg ASSY (Pkg BOM)'!G:G,"N/A",0,1))</f>
        <v>N/A</v>
      </c>
      <c r="AP113" s="292" t="str">
        <f t="array" ref="AP113">if(isblank(E113),"",xlookup(E113,'FL5_G962 Country kit (Accesorie'!L:L,'FL5_G962 Country kit (Accesorie'!G:G,"N/A",0,1))</f>
        <v>N/A</v>
      </c>
      <c r="AQ113" s="304" t="s">
        <v>515</v>
      </c>
      <c r="AR113" s="304" t="s">
        <v>499</v>
      </c>
      <c r="AS113" s="292" t="s">
        <v>419</v>
      </c>
      <c r="AT113" s="302" t="str">
        <f t="shared" si="6"/>
        <v>Yes</v>
      </c>
      <c r="AU113" s="302" t="str">
        <f t="shared" si="7"/>
        <v>No</v>
      </c>
      <c r="AV113" s="302" t="str">
        <f t="shared" si="8"/>
        <v>No</v>
      </c>
      <c r="AW113" s="302"/>
      <c r="AX113" s="302" t="s">
        <v>984</v>
      </c>
      <c r="AY113" s="302" t="s">
        <v>985</v>
      </c>
      <c r="AZ113" s="312" t="str">
        <f t="array" ref="AZ113">if(isblank(E113),"", xlookup(E113,Import_FL5_LH_PVT_BM!D:D,Import_FL5_LH_PVT_BM!AK:AK,$F$4,0,1))</f>
        <v>MP</v>
      </c>
      <c r="BA113" s="292" t="str">
        <f t="shared" si="9"/>
        <v>Retail_10ct</v>
      </c>
      <c r="BB113" s="313" t="str">
        <f t="array" ref="BB113">if(isblank(E113),"",xlookup(F113,z_Others!$B$21:$B$42,z_Others!$G$21:$G$42,"No",0,1))</f>
        <v>ROW Master Carton Label (UPC)</v>
      </c>
      <c r="BC113" s="313" t="str">
        <f t="array" ref="BC113">if(isblank(E113),"",xlookup(F113,z_Others!$B$21:$B$42,z_Others!$H$21:$H$42,"No",0,1))</f>
        <v>Standard Pallet Label (BTO)
Standard Pallet Label (BTS)</v>
      </c>
      <c r="BD113" s="314" t="str">
        <f t="array" ref="BD113">if(isblank(E113),"",xlookup(E113,'Import_VN_Label approve'!E:E,'Import_VN_Label approve'!L:L,"N/A",0,1))</f>
        <v>N/A</v>
      </c>
      <c r="BE113" s="314" t="str">
        <f t="array" ref="BE113">if(isblank(E113),"",xlookup(E113,'Import_VN_Label approve'!E:E,'Import_VN_Label approve'!N:N,"N/A",0,1))</f>
        <v>N/A</v>
      </c>
      <c r="BF113" s="315"/>
      <c r="BG113" s="332" t="s">
        <v>503</v>
      </c>
      <c r="BH113" s="317" t="s">
        <v>504</v>
      </c>
      <c r="BI113" s="318">
        <v>45782.0</v>
      </c>
      <c r="BJ113" s="319" t="str">
        <f t="array" ref="BJ113">if(isblank(E113),"", xlookup(D113,z_Others!$B$5:$B$17,z_Others!$C$5:$C$17,"",0,1))</f>
        <v>智能手機</v>
      </c>
      <c r="BK113" s="320">
        <v>45782.0</v>
      </c>
      <c r="BL113" s="320" t="str">
        <f t="array" ref="BL113">if(isblank(E113),"",xlookup(E113,'FL5_MP POR_LH_報關備案_G950 &amp; GA'!F:F,'FL5_MP POR_LH_報關備案_G950 &amp; GA'!E:E,"No Need",0,1))</f>
        <v>Close</v>
      </c>
      <c r="BM113" s="321" t="str">
        <f t="array" ref="BM113">if(isblank(E113),"",xlookup($BM$9&amp;E113,'Import_FL5 MPS (06.06.25) - Sor'!E109:E334&amp;'Import_FL5 MPS (06.06.25) - Sor'!F109:F334,'Import_FL5 MPS (06.06.25) - Sor'!ES109:ES334,"No demand",0,1))</f>
        <v>No demand</v>
      </c>
      <c r="BN113" s="321" t="str">
        <f t="array" ref="BN113">if(isblank(E113),"",xlookup($BN$9&amp;E113,'Import_FL5 MPS (06.06.25) - Sor'!E109:E334&amp;'Import_FL5 MPS (06.06.25) - Sor'!F109:F334,'Import_FL5 MPS (06.06.25) - Sor'!ES109:ES334,"No demand",0,1))</f>
        <v>No demand</v>
      </c>
      <c r="BO113" s="321" t="str">
        <f t="array" ref="BO113">if(isblank(E113),"",xlookup($BO$9&amp;E113,'Import_FL5 MPS (06.06.25) - Sor'!E109:E334&amp;'Import_FL5 MPS (06.06.25) - Sor'!F109:F334,'Import_FL5 MPS (06.06.25) - Sor'!ES109:ES334,"No demand",0,1))</f>
        <v>No demand</v>
      </c>
      <c r="BP113" s="322" t="str">
        <f t="array" ref="BP113">if(isblank(E113),"", xlookup(E113,'Import_LH_Label approve'!E:E,'Import_LH_Label approve'!L:L,"",0,1))</f>
        <v>NA</v>
      </c>
      <c r="BQ113" s="322" t="str">
        <f t="array" ref="BQ113">if(isblank(E113),"",xlookup(E113,'Import_VN_Label approve'!E:E,'Import_VN_Label approve'!M:M,"N/A",0,1))</f>
        <v>N/A</v>
      </c>
      <c r="BR113" s="325"/>
      <c r="BS113" s="323"/>
      <c r="BT113" s="324"/>
      <c r="BU113" s="91"/>
    </row>
    <row r="114">
      <c r="A114" s="176"/>
      <c r="B114" s="292">
        <v>103.0</v>
      </c>
      <c r="C114" s="231" t="s">
        <v>283</v>
      </c>
      <c r="D114" s="231" t="s">
        <v>408</v>
      </c>
      <c r="E114" s="351" t="s">
        <v>986</v>
      </c>
      <c r="F114" s="294" t="s">
        <v>492</v>
      </c>
      <c r="G114" s="294" t="s">
        <v>493</v>
      </c>
      <c r="H114" s="292" t="str">
        <f t="array" ref="H114">xlookup(F114,z_Others!$B$21:$B$45,z_Others!$E$21:$E$45,"",0,1)</f>
        <v>Sub6</v>
      </c>
      <c r="I114" s="310" t="s">
        <v>437</v>
      </c>
      <c r="J114" s="231" t="str">
        <f t="array" ref="J114">if(isblank(E114),"",xlookup(I114,z_Others!$M$17:$M$20,z_Others!$O$17:$O$20,"",0,1))</f>
        <v>Indigo</v>
      </c>
      <c r="K114" s="292" t="str">
        <f t="array" ref="K114">xlookup(I114,z_Others!$M$17:$M$20,z_Others!$N$17:$N$20,"",0,1)</f>
        <v>BUE</v>
      </c>
      <c r="L114" s="292" t="str">
        <f t="array" ref="L114">xlookup(F114,z_Others!$B$21:$B$45,z_Others!$D$21:$D$45,"",0,1)</f>
        <v>GK2MP</v>
      </c>
      <c r="M114" s="296" t="str">
        <f t="array" ref="M114">xlookup(F114,z_Others!$B$21:$B$45,z_Others!$C$21:$C$45,"",0,1)</f>
        <v>ROW</v>
      </c>
      <c r="N114" s="297">
        <v>3.5440766E7</v>
      </c>
      <c r="O114" s="331" t="s">
        <v>494</v>
      </c>
      <c r="P114" s="303" t="s">
        <v>495</v>
      </c>
      <c r="Q114" s="300" t="s">
        <v>413</v>
      </c>
      <c r="R114" s="301" t="s">
        <v>414</v>
      </c>
      <c r="S114" s="302">
        <f t="array" ref="S114">if(isblank(E114),"",xlookup($S$9&amp;M114,z_Others!$X$5:$X$17&amp;z_Others!$W$5:$W$17,z_Others!$Z$5:$Z$17,"",0,1))</f>
        <v>35795514</v>
      </c>
      <c r="T114" s="303" t="str">
        <f t="array" ref="T114">if(isblank(E114),"",xlookup($S$9&amp;M114,z_Others!$X$5:$X$17&amp;z_Others!$W$5:$W$17,z_Others!$AH$5:$AH$17,"",0,1))</f>
        <v>35 795514 040000x</v>
      </c>
      <c r="U114" s="303" t="str">
        <f t="array" ref="U114">if(isblank(E114),"",xlookup($S$9&amp;M114,z_Others!$X$5:$X$17&amp;z_Others!$W$5:$W$17,z_Others!$AI$5:$AI$17,"",0,1))</f>
        <v>35 795514 999999x</v>
      </c>
      <c r="V114" s="303" t="str">
        <f t="shared" si="2"/>
        <v>64:9D:38:32:91:82
B0:D5:FB:C6:60:70</v>
      </c>
      <c r="W114" s="303" t="str">
        <f t="shared" si="3"/>
        <v>64:9D:38:37:25:61
B0:D5:FB:CE:01:8F</v>
      </c>
      <c r="X114" s="304" t="str">
        <f t="shared" si="4"/>
        <v>MP1.0</v>
      </c>
      <c r="Y114" s="292"/>
      <c r="Z114" s="304" t="str">
        <f t="shared" si="32"/>
        <v>Android 16</v>
      </c>
      <c r="AA114" s="304" t="str">
        <f t="shared" si="39"/>
        <v>TBD</v>
      </c>
      <c r="AB114" s="305" t="s">
        <v>987</v>
      </c>
      <c r="AC114" s="305" t="s">
        <v>988</v>
      </c>
      <c r="AD114" s="314" t="s">
        <v>447</v>
      </c>
      <c r="AE114" s="307" t="s">
        <v>418</v>
      </c>
      <c r="AF114" s="308" t="s">
        <v>447</v>
      </c>
      <c r="AG114" s="309" t="s">
        <v>418</v>
      </c>
      <c r="AH114" s="297" t="str">
        <f t="array" ref="AH114">if(isblank(E114),"",xlookup(F114,z_Others!$B$21:$B$45,z_Others!$F$21:$F$45,"TBD",0,1))</f>
        <v>00</v>
      </c>
      <c r="AI114" s="310" t="str">
        <f t="array" ref="AI114">if(isblank(E114),"", xlookup(E114,'Import_FL5_LH_PVTMP_Configs (Do'!E:E,'Import_FL5_LH_PVTMP_Configs (Do'!O:O,"TBD",0,1))</f>
        <v>G710-07800-00</v>
      </c>
      <c r="AJ114" s="311"/>
      <c r="AK114" s="310" t="str">
        <f t="array" ref="AK114">if(isblank(E114),"", xlookup(E114,'Import_FL5_LH_PVTMP_Configs (Do'!E:E,'Import_FL5_LH_PVTMP_Configs (Do'!Q:Q,"TBD",0,1))</f>
        <v>G650-14694-05</v>
      </c>
      <c r="AL114" s="310" t="str">
        <f t="array" ref="AL114">if(isblank(E114),"", xlookup(E114,'Import_FL5_LH_PVTMP_Configs (Do'!E:E,'Import_FL5_LH_PVTMP_Configs (Do'!M:M,"TBD",0,1))</f>
        <v>G710-07670-01</v>
      </c>
      <c r="AM114" s="310" t="str">
        <f t="array" ref="AM114">if(isblank(E114),"", xlookup(E114,'Import_FL5_LH_PVTMP_Configs (Do'!E:E,'Import_FL5_LH_PVTMP_Configs (Do'!N:N,"TBD",0,1))</f>
        <v>G730-09533-04</v>
      </c>
      <c r="AN114" s="310" t="str">
        <f t="array" ref="AN114">if(isblank(E114),"", xlookup(E114,'Import_FL5_LH_PVTMP_Configs (Do'!E:E,'Import_FL5_LH_PVTMP_Configs (Do'!K:K,"TBD",0,1))</f>
        <v>G950-15935-13</v>
      </c>
      <c r="AO114" s="292" t="str">
        <f t="array" ref="AO114">if(isblank(E114),"",XLOOKUP(E114,'FL5_G954 Pkg ASSY (Pkg BOM)'!L:L,'FL5_G954 Pkg ASSY (Pkg BOM)'!G:G,"N/A",0,1))</f>
        <v>N/A</v>
      </c>
      <c r="AP114" s="292" t="str">
        <f t="array" ref="AP114">if(isblank(E114),"",xlookup(E114,'FL5_G962 Country kit (Accesorie'!L:L,'FL5_G962 Country kit (Accesorie'!G:G,"N/A",0,1))</f>
        <v>N/A</v>
      </c>
      <c r="AQ114" s="304" t="s">
        <v>522</v>
      </c>
      <c r="AR114" s="304" t="s">
        <v>499</v>
      </c>
      <c r="AS114" s="292" t="s">
        <v>419</v>
      </c>
      <c r="AT114" s="302" t="str">
        <f t="shared" si="6"/>
        <v>Yes</v>
      </c>
      <c r="AU114" s="302" t="str">
        <f t="shared" si="7"/>
        <v>No</v>
      </c>
      <c r="AV114" s="302" t="str">
        <f t="shared" si="8"/>
        <v>No</v>
      </c>
      <c r="AW114" s="302"/>
      <c r="AX114" s="302" t="s">
        <v>989</v>
      </c>
      <c r="AY114" s="302" t="s">
        <v>990</v>
      </c>
      <c r="AZ114" s="312" t="str">
        <f t="array" ref="AZ114">if(isblank(E114),"", xlookup(E114,Import_FL5_LH_PVT_BM!D:D,Import_FL5_LH_PVT_BM!AK:AK,$F$4,0,1))</f>
        <v>MP</v>
      </c>
      <c r="BA114" s="292" t="str">
        <f t="shared" si="9"/>
        <v>Retail_10ct</v>
      </c>
      <c r="BB114" s="313" t="str">
        <f t="array" ref="BB114">if(isblank(E114),"",xlookup(F114,z_Others!$B$21:$B$42,z_Others!$G$21:$G$42,"No",0,1))</f>
        <v>ROW Master Carton Label (UPC)</v>
      </c>
      <c r="BC114" s="313" t="str">
        <f t="array" ref="BC114">if(isblank(E114),"",xlookup(F114,z_Others!$B$21:$B$42,z_Others!$H$21:$H$42,"No",0,1))</f>
        <v>Standard Pallet Label (BTO)
Standard Pallet Label (BTS)</v>
      </c>
      <c r="BD114" s="314" t="str">
        <f t="array" ref="BD114">if(isblank(E114),"",xlookup(E114,'Import_VN_Label approve'!E:E,'Import_VN_Label approve'!L:L,"N/A",0,1))</f>
        <v>N/A</v>
      </c>
      <c r="BE114" s="314" t="str">
        <f t="array" ref="BE114">if(isblank(E114),"",xlookup(E114,'Import_VN_Label approve'!E:E,'Import_VN_Label approve'!N:N,"N/A",0,1))</f>
        <v>N/A</v>
      </c>
      <c r="BF114" s="315"/>
      <c r="BG114" s="332" t="s">
        <v>503</v>
      </c>
      <c r="BH114" s="317" t="s">
        <v>504</v>
      </c>
      <c r="BI114" s="318">
        <v>45782.0</v>
      </c>
      <c r="BJ114" s="319" t="str">
        <f t="array" ref="BJ114">if(isblank(E114),"", xlookup(D114,z_Others!$B$5:$B$17,z_Others!$C$5:$C$17,"",0,1))</f>
        <v>智能手機</v>
      </c>
      <c r="BK114" s="320">
        <v>45782.0</v>
      </c>
      <c r="BL114" s="320" t="str">
        <f t="array" ref="BL114">if(isblank(E114),"",xlookup(E114,'FL5_MP POR_LH_報關備案_G950 &amp; GA'!F:F,'FL5_MP POR_LH_報關備案_G950 &amp; GA'!E:E,"No Need",0,1))</f>
        <v>Close</v>
      </c>
      <c r="BM114" s="321" t="str">
        <f t="array" ref="BM114">if(isblank(E114),"",xlookup($BM$9&amp;E114,'Import_FL5 MPS (06.06.25) - Sor'!E110:E334&amp;'Import_FL5 MPS (06.06.25) - Sor'!F110:F334,'Import_FL5 MPS (06.06.25) - Sor'!ES110:ES334,"No demand",0,1))</f>
        <v>No demand</v>
      </c>
      <c r="BN114" s="321" t="str">
        <f t="array" ref="BN114">if(isblank(E114),"",xlookup($BN$9&amp;E114,'Import_FL5 MPS (06.06.25) - Sor'!E110:E334&amp;'Import_FL5 MPS (06.06.25) - Sor'!F110:F334,'Import_FL5 MPS (06.06.25) - Sor'!ES110:ES334,"No demand",0,1))</f>
        <v>No demand</v>
      </c>
      <c r="BO114" s="321" t="str">
        <f t="array" ref="BO114">if(isblank(E114),"",xlookup($BO$9&amp;E114,'Import_FL5 MPS (06.06.25) - Sor'!E110:E334&amp;'Import_FL5 MPS (06.06.25) - Sor'!F110:F334,'Import_FL5 MPS (06.06.25) - Sor'!ES110:ES334,"No demand",0,1))</f>
        <v>No demand</v>
      </c>
      <c r="BP114" s="322" t="str">
        <f t="array" ref="BP114">if(isblank(E114),"", xlookup(E114,'Import_LH_Label approve'!E:E,'Import_LH_Label approve'!L:L,"",0,1))</f>
        <v>NA</v>
      </c>
      <c r="BQ114" s="322" t="str">
        <f t="array" ref="BQ114">if(isblank(E114),"",xlookup(E114,'Import_VN_Label approve'!E:E,'Import_VN_Label approve'!M:M,"N/A",0,1))</f>
        <v>N/A</v>
      </c>
      <c r="BR114" s="325"/>
      <c r="BS114" s="323"/>
      <c r="BT114" s="324"/>
      <c r="BU114" s="91"/>
    </row>
    <row r="115">
      <c r="A115" s="176"/>
      <c r="B115" s="292">
        <v>104.0</v>
      </c>
      <c r="C115" s="231" t="s">
        <v>283</v>
      </c>
      <c r="D115" s="231" t="s">
        <v>408</v>
      </c>
      <c r="E115" s="351" t="s">
        <v>991</v>
      </c>
      <c r="F115" s="313" t="s">
        <v>992</v>
      </c>
      <c r="G115" s="323" t="s">
        <v>528</v>
      </c>
      <c r="H115" s="292" t="str">
        <f t="array" ref="H115">xlookup(F115,z_Others!$B$21:$B$45,z_Others!$E$21:$E$45,"",0,1)</f>
        <v>Sub6</v>
      </c>
      <c r="I115" s="310" t="s">
        <v>412</v>
      </c>
      <c r="J115" s="231" t="str">
        <f t="array" ref="J115">if(isblank(E115),"",xlookup(I115,z_Others!$M$17:$M$20,z_Others!$O$17:$O$20,"",0,1))</f>
        <v>Obsidian</v>
      </c>
      <c r="K115" s="292" t="str">
        <f t="array" ref="K115">xlookup(I115,z_Others!$M$17:$M$20,z_Others!$N$17:$N$20,"",0,1)</f>
        <v>BLK</v>
      </c>
      <c r="L115" s="292" t="str">
        <f t="array" ref="L115">xlookup(F115,z_Others!$B$21:$B$45,z_Others!$D$21:$D$45,"",0,1)</f>
        <v> GK2MP</v>
      </c>
      <c r="M115" s="296" t="str">
        <f t="array" ref="M115">xlookup(F115,z_Others!$B$21:$B$45,z_Others!$C$21:$C$45,"",0,1)</f>
        <v>ROW</v>
      </c>
      <c r="N115" s="297">
        <v>3.5440766E7</v>
      </c>
      <c r="O115" s="331" t="s">
        <v>494</v>
      </c>
      <c r="P115" s="303" t="s">
        <v>495</v>
      </c>
      <c r="Q115" s="300" t="s">
        <v>413</v>
      </c>
      <c r="R115" s="301" t="s">
        <v>414</v>
      </c>
      <c r="S115" s="302">
        <f t="array" ref="S115">if(isblank(E115),"",xlookup($S$9&amp;M115,z_Others!$X$5:$X$17&amp;z_Others!$W$5:$W$17,z_Others!$Z$5:$Z$17,"",0,1))</f>
        <v>35795514</v>
      </c>
      <c r="T115" s="303" t="str">
        <f t="array" ref="T115">if(isblank(E115),"",xlookup($S$9&amp;M115,z_Others!$X$5:$X$17&amp;z_Others!$W$5:$W$17,z_Others!$AH$5:$AH$17,"",0,1))</f>
        <v>35 795514 040000x</v>
      </c>
      <c r="U115" s="303" t="str">
        <f t="array" ref="U115">if(isblank(E115),"",xlookup($S$9&amp;M115,z_Others!$X$5:$X$17&amp;z_Others!$W$5:$W$17,z_Others!$AI$5:$AI$17,"",0,1))</f>
        <v>35 795514 999999x</v>
      </c>
      <c r="V115" s="303" t="str">
        <f t="shared" si="2"/>
        <v>64:9D:38:32:91:82
B0:D5:FB:C6:60:70</v>
      </c>
      <c r="W115" s="303" t="str">
        <f t="shared" si="3"/>
        <v>64:9D:38:37:25:61
B0:D5:FB:CE:01:8F</v>
      </c>
      <c r="X115" s="304" t="str">
        <f t="shared" si="4"/>
        <v>MP1.0</v>
      </c>
      <c r="Y115" s="292"/>
      <c r="Z115" s="304" t="str">
        <f t="shared" si="32"/>
        <v>Android 16</v>
      </c>
      <c r="AA115" s="304" t="str">
        <f t="shared" si="39"/>
        <v>TBD</v>
      </c>
      <c r="AB115" s="305" t="s">
        <v>993</v>
      </c>
      <c r="AC115" s="305" t="s">
        <v>994</v>
      </c>
      <c r="AD115" s="314" t="s">
        <v>447</v>
      </c>
      <c r="AE115" s="307" t="s">
        <v>418</v>
      </c>
      <c r="AF115" s="308" t="s">
        <v>447</v>
      </c>
      <c r="AG115" s="309" t="s">
        <v>418</v>
      </c>
      <c r="AH115" s="297" t="str">
        <f t="array" ref="AH115">if(isblank(E115),"",xlookup(F115,z_Others!$B$21:$B$45,z_Others!$F$21:$F$45,"TBD",0,1))</f>
        <v>00</v>
      </c>
      <c r="AI115" s="310" t="str">
        <f t="array" ref="AI115">if(isblank(E115),"", xlookup(E115,'Import_FL5_LH_PVTMP_Configs (Do'!E:E,'Import_FL5_LH_PVTMP_Configs (Do'!O:O,"TBD",0,1))</f>
        <v>G710-07800-00</v>
      </c>
      <c r="AJ115" s="311"/>
      <c r="AK115" s="310" t="str">
        <f t="array" ref="AK115">if(isblank(E115),"", xlookup(E115,'Import_FL5_LH_PVTMP_Configs (Do'!E:E,'Import_FL5_LH_PVTMP_Configs (Do'!Q:Q,"TBD",0,1))</f>
        <v>G650-14694-05</v>
      </c>
      <c r="AL115" s="310" t="str">
        <f t="array" ref="AL115">if(isblank(E115),"", xlookup(E115,'Import_FL5_LH_PVTMP_Configs (Do'!E:E,'Import_FL5_LH_PVTMP_Configs (Do'!M:M,"TBD",0,1))</f>
        <v>G710-07670-01</v>
      </c>
      <c r="AM115" s="310" t="str">
        <f t="array" ref="AM115">if(isblank(E115),"", xlookup(E115,'Import_FL5_LH_PVTMP_Configs (Do'!E:E,'Import_FL5_LH_PVTMP_Configs (Do'!N:N,"TBD",0,1))</f>
        <v>G730-09533-01</v>
      </c>
      <c r="AN115" s="310" t="str">
        <f t="array" ref="AN115">if(isblank(E115),"", xlookup(E115,'Import_FL5_LH_PVTMP_Configs (Do'!E:E,'Import_FL5_LH_PVTMP_Configs (Do'!K:K,"TBD",0,1))</f>
        <v>G950-15935-10</v>
      </c>
      <c r="AO115" s="292" t="str">
        <f t="array" ref="AO115">if(isblank(E115),"",XLOOKUP(E115,'FL5_G954 Pkg ASSY (Pkg BOM)'!L:L,'FL5_G954 Pkg ASSY (Pkg BOM)'!G:G,"N/A",0,1))</f>
        <v>G954-08542-00</v>
      </c>
      <c r="AP115" s="292" t="str">
        <f t="array" ref="AP115">if(isblank(E115),"",xlookup(E115,'FL5_G962 Country kit (Accesorie'!L:L,'FL5_G962 Country kit (Accesorie'!G:G,"N/A",0,1))</f>
        <v>G962-00511-00</v>
      </c>
      <c r="AQ115" s="304" t="s">
        <v>531</v>
      </c>
      <c r="AR115" s="329" t="str">
        <f t="array" ref="AR115">if(isblank(E115),"",xlookup(E115,'Import_LH_Label approve'!E:E,'Import_LH_Label approve'!N:N,"",0,1))</f>
        <v>G990-09770-00-A</v>
      </c>
      <c r="AS115" s="292" t="s">
        <v>419</v>
      </c>
      <c r="AT115" s="302" t="str">
        <f t="shared" si="6"/>
        <v>Yes</v>
      </c>
      <c r="AU115" s="302" t="str">
        <f t="shared" si="7"/>
        <v>Yes</v>
      </c>
      <c r="AV115" s="302" t="str">
        <f t="shared" si="8"/>
        <v>No</v>
      </c>
      <c r="AW115" s="302"/>
      <c r="AX115" s="302" t="s">
        <v>995</v>
      </c>
      <c r="AY115" s="302" t="s">
        <v>996</v>
      </c>
      <c r="AZ115" s="312" t="str">
        <f t="array" ref="AZ115">if(isblank(E115),"", xlookup(E115,Import_FL5_LH_PVT_BM!D:D,Import_FL5_LH_PVT_BM!AK:AK,$F$4,0,1))</f>
        <v>MP</v>
      </c>
      <c r="BA115" s="292" t="str">
        <f t="shared" si="9"/>
        <v>Retail_10ct</v>
      </c>
      <c r="BB115" s="356" t="str">
        <f t="array" ref="BB115">if(isblank(E115),"",xlookup(F115,z_Others!$B$21:$B$42,z_Others!$G$21:$G$42,"No",0,1))</f>
        <v>ROW Master Carton Label (EAN)</v>
      </c>
      <c r="BC115" s="313" t="str">
        <f t="array" ref="BC115">if(isblank(E115),"",xlookup(F115,z_Others!$B$21:$B$42,z_Others!$H$21:$H$42,"No",0,1))</f>
        <v>Standard Pallet Label (BTO)
Standard Pallet Label (BTS)</v>
      </c>
      <c r="BD115" s="314" t="str">
        <f t="array" ref="BD115">if(isblank(E115),"",xlookup(E115,'Import_VN_Label approve'!E:E,'Import_VN_Label approve'!L:L,"N/A",0,1))</f>
        <v>N/A</v>
      </c>
      <c r="BE115" s="314" t="str">
        <f t="array" ref="BE115">if(isblank(E115),"",xlookup(E115,'Import_VN_Label approve'!E:E,'Import_VN_Label approve'!N:N,"N/A",0,1))</f>
        <v>N/A</v>
      </c>
      <c r="BF115" s="315"/>
      <c r="BG115" s="332" t="s">
        <v>503</v>
      </c>
      <c r="BH115" s="317" t="s">
        <v>504</v>
      </c>
      <c r="BI115" s="318">
        <v>45782.0</v>
      </c>
      <c r="BJ115" s="319" t="str">
        <f t="array" ref="BJ115">if(isblank(E115),"", xlookup(D115,z_Others!$B$5:$B$17,z_Others!$C$5:$C$17,"",0,1))</f>
        <v>智能手機</v>
      </c>
      <c r="BK115" s="320">
        <v>45782.0</v>
      </c>
      <c r="BL115" s="320" t="str">
        <f t="array" ref="BL115">if(isblank(E115),"",xlookup(E115,'FL5_MP POR_LH_報關備案_G950 &amp; GA'!F:F,'FL5_MP POR_LH_報關備案_G950 &amp; GA'!E:E,"No Need",0,1))</f>
        <v>Close</v>
      </c>
      <c r="BM115" s="321" t="str">
        <f t="array" ref="BM115">if(isblank(E115),"",xlookup($BM$9&amp;E115,'Import_FL5 MPS (06.06.25) - Sor'!E111:E334&amp;'Import_FL5 MPS (06.06.25) - Sor'!F111:F334,'Import_FL5 MPS (06.06.25) - Sor'!ES111:ES334,"No demand",0,1))</f>
        <v>No demand</v>
      </c>
      <c r="BN115" s="321" t="str">
        <f t="array" ref="BN115">if(isblank(E115),"",xlookup($BN$9&amp;E115,'Import_FL5 MPS (06.06.25) - Sor'!E111:E334&amp;'Import_FL5 MPS (06.06.25) - Sor'!F111:F334,'Import_FL5 MPS (06.06.25) - Sor'!ES111:ES334,"No demand",0,1))</f>
        <v>No demand</v>
      </c>
      <c r="BO115" s="321" t="str">
        <f t="array" ref="BO115">if(isblank(E115),"",xlookup($BO$9&amp;E115,'Import_FL5 MPS (06.06.25) - Sor'!E111:E334&amp;'Import_FL5 MPS (06.06.25) - Sor'!F111:F334,'Import_FL5 MPS (06.06.25) - Sor'!ES111:ES334,"No demand",0,1))</f>
        <v>No demand</v>
      </c>
      <c r="BP115" s="322" t="str">
        <f t="array" ref="BP115">if(isblank(E115),"", xlookup(E115,'Import_LH_Label approve'!E:E,'Import_LH_Label approve'!L:L,"",0,1))</f>
        <v>NA</v>
      </c>
      <c r="BQ115" s="322" t="str">
        <f t="array" ref="BQ115">if(isblank(E115),"",xlookup(E115,'Import_VN_Label approve'!E:E,'Import_VN_Label approve'!M:M,"N/A",0,1))</f>
        <v>N/A</v>
      </c>
      <c r="BR115" s="325"/>
      <c r="BS115" s="323"/>
      <c r="BT115" s="324"/>
      <c r="BU115" s="91"/>
    </row>
    <row r="116">
      <c r="A116" s="176"/>
      <c r="B116" s="292">
        <v>105.0</v>
      </c>
      <c r="C116" s="231" t="s">
        <v>283</v>
      </c>
      <c r="D116" s="231" t="s">
        <v>408</v>
      </c>
      <c r="E116" s="351" t="s">
        <v>997</v>
      </c>
      <c r="F116" s="313" t="s">
        <v>992</v>
      </c>
      <c r="G116" s="323" t="s">
        <v>528</v>
      </c>
      <c r="H116" s="292" t="str">
        <f t="array" ref="H116">xlookup(F116,z_Others!$B$21:$B$45,z_Others!$E$21:$E$45,"",0,1)</f>
        <v>Sub6</v>
      </c>
      <c r="I116" s="310" t="s">
        <v>425</v>
      </c>
      <c r="J116" s="231" t="str">
        <f t="array" ref="J116">if(isblank(E116),"",xlookup(I116,z_Others!$M$17:$M$20,z_Others!$O$17:$O$20,"",0,1))</f>
        <v>Frost</v>
      </c>
      <c r="K116" s="292" t="str">
        <f t="array" ref="K116">xlookup(I116,z_Others!$M$17:$M$20,z_Others!$N$17:$N$20,"",0,1)</f>
        <v>PPL</v>
      </c>
      <c r="L116" s="292" t="str">
        <f t="array" ref="L116">xlookup(F116,z_Others!$B$21:$B$45,z_Others!$D$21:$D$45,"",0,1)</f>
        <v> GK2MP</v>
      </c>
      <c r="M116" s="296" t="str">
        <f t="array" ref="M116">xlookup(F116,z_Others!$B$21:$B$45,z_Others!$C$21:$C$45,"",0,1)</f>
        <v>ROW</v>
      </c>
      <c r="N116" s="297">
        <v>3.5440766E7</v>
      </c>
      <c r="O116" s="331" t="s">
        <v>494</v>
      </c>
      <c r="P116" s="303" t="s">
        <v>495</v>
      </c>
      <c r="Q116" s="300" t="s">
        <v>413</v>
      </c>
      <c r="R116" s="301" t="s">
        <v>414</v>
      </c>
      <c r="S116" s="302">
        <f t="array" ref="S116">if(isblank(E116),"",xlookup($S$9&amp;M116,z_Others!$X$5:$X$17&amp;z_Others!$W$5:$W$17,z_Others!$Z$5:$Z$17,"",0,1))</f>
        <v>35795514</v>
      </c>
      <c r="T116" s="303" t="str">
        <f t="array" ref="T116">if(isblank(E116),"",xlookup($S$9&amp;M116,z_Others!$X$5:$X$17&amp;z_Others!$W$5:$W$17,z_Others!$AH$5:$AH$17,"",0,1))</f>
        <v>35 795514 040000x</v>
      </c>
      <c r="U116" s="303" t="str">
        <f t="array" ref="U116">if(isblank(E116),"",xlookup($S$9&amp;M116,z_Others!$X$5:$X$17&amp;z_Others!$W$5:$W$17,z_Others!$AI$5:$AI$17,"",0,1))</f>
        <v>35 795514 999999x</v>
      </c>
      <c r="V116" s="303" t="str">
        <f t="shared" si="2"/>
        <v>64:9D:38:32:91:82
B0:D5:FB:C6:60:70</v>
      </c>
      <c r="W116" s="303" t="str">
        <f t="shared" si="3"/>
        <v>64:9D:38:37:25:61
B0:D5:FB:CE:01:8F</v>
      </c>
      <c r="X116" s="304" t="str">
        <f t="shared" si="4"/>
        <v>MP1.0</v>
      </c>
      <c r="Y116" s="292"/>
      <c r="Z116" s="304" t="str">
        <f t="shared" si="32"/>
        <v>Android 16</v>
      </c>
      <c r="AA116" s="304" t="str">
        <f t="shared" ref="AA116:AA119" si="40">if(isblank(E116),"",IF(AG116="AD1A.240530.047","Android 14",IF(AG116="AP3A.241105.008","Android 15","TBD")))</f>
        <v>TBD</v>
      </c>
      <c r="AB116" s="305" t="s">
        <v>998</v>
      </c>
      <c r="AC116" s="305" t="s">
        <v>999</v>
      </c>
      <c r="AD116" s="314" t="s">
        <v>447</v>
      </c>
      <c r="AE116" s="307" t="s">
        <v>418</v>
      </c>
      <c r="AF116" s="308" t="s">
        <v>447</v>
      </c>
      <c r="AG116" s="309" t="s">
        <v>418</v>
      </c>
      <c r="AH116" s="297" t="str">
        <f t="array" ref="AH116">if(isblank(E116),"",xlookup(F116,z_Others!$B$21:$B$45,z_Others!$F$21:$F$45,"TBD",0,1))</f>
        <v>00</v>
      </c>
      <c r="AI116" s="310" t="str">
        <f t="array" ref="AI116">if(isblank(E116),"", xlookup(E116,'Import_FL5_LH_PVTMP_Configs (Do'!E:E,'Import_FL5_LH_PVTMP_Configs (Do'!O:O,"TBD",0,1))</f>
        <v>G710-07800-00</v>
      </c>
      <c r="AJ116" s="311"/>
      <c r="AK116" s="310" t="str">
        <f t="array" ref="AK116">if(isblank(E116),"", xlookup(E116,'Import_FL5_LH_PVTMP_Configs (Do'!E:E,'Import_FL5_LH_PVTMP_Configs (Do'!Q:Q,"TBD",0,1))</f>
        <v>G650-14694-05</v>
      </c>
      <c r="AL116" s="310" t="str">
        <f t="array" ref="AL116">if(isblank(E116),"", xlookup(E116,'Import_FL5_LH_PVTMP_Configs (Do'!E:E,'Import_FL5_LH_PVTMP_Configs (Do'!M:M,"TBD",0,1))</f>
        <v>G710-07670-01</v>
      </c>
      <c r="AM116" s="310" t="str">
        <f t="array" ref="AM116">if(isblank(E116),"", xlookup(E116,'Import_FL5_LH_PVTMP_Configs (Do'!E:E,'Import_FL5_LH_PVTMP_Configs (Do'!N:N,"TBD",0,1))</f>
        <v>G730-09533-02</v>
      </c>
      <c r="AN116" s="310" t="str">
        <f t="array" ref="AN116">if(isblank(E116),"", xlookup(E116,'Import_FL5_LH_PVTMP_Configs (Do'!E:E,'Import_FL5_LH_PVTMP_Configs (Do'!K:K,"TBD",0,1))</f>
        <v>G950-15935-11</v>
      </c>
      <c r="AO116" s="292" t="str">
        <f t="array" ref="AO116">if(isblank(E116),"",XLOOKUP(E116,'FL5_G954 Pkg ASSY (Pkg BOM)'!L:L,'FL5_G954 Pkg ASSY (Pkg BOM)'!G:G,"N/A",0,1))</f>
        <v>G954-08542-00</v>
      </c>
      <c r="AP116" s="292" t="str">
        <f t="array" ref="AP116">if(isblank(E116),"",xlookup(E116,'FL5_G962 Country kit (Accesorie'!L:L,'FL5_G962 Country kit (Accesorie'!G:G,"N/A",0,1))</f>
        <v>G962-00511-00</v>
      </c>
      <c r="AQ116" s="304" t="s">
        <v>538</v>
      </c>
      <c r="AR116" s="329" t="str">
        <f t="array" ref="AR116">if(isblank(E116),"",xlookup(E116,'Import_LH_Label approve'!E:E,'Import_LH_Label approve'!N:N,"",0,1))</f>
        <v>G990-09770-00-A</v>
      </c>
      <c r="AS116" s="292" t="s">
        <v>419</v>
      </c>
      <c r="AT116" s="302" t="str">
        <f t="shared" si="6"/>
        <v>Yes</v>
      </c>
      <c r="AU116" s="302" t="str">
        <f t="shared" si="7"/>
        <v>Yes</v>
      </c>
      <c r="AV116" s="302" t="str">
        <f t="shared" si="8"/>
        <v>No</v>
      </c>
      <c r="AW116" s="302"/>
      <c r="AX116" s="302" t="s">
        <v>1000</v>
      </c>
      <c r="AY116" s="302" t="s">
        <v>1001</v>
      </c>
      <c r="AZ116" s="312" t="str">
        <f t="array" ref="AZ116">if(isblank(E116),"", xlookup(E116,Import_FL5_LH_PVT_BM!D:D,Import_FL5_LH_PVT_BM!AK:AK,$F$4,0,1))</f>
        <v>MP</v>
      </c>
      <c r="BA116" s="292" t="str">
        <f t="shared" si="9"/>
        <v>Retail_10ct</v>
      </c>
      <c r="BB116" s="356" t="str">
        <f t="array" ref="BB116">if(isblank(E116),"",xlookup(F116,z_Others!$B$21:$B$42,z_Others!$G$21:$G$42,"No",0,1))</f>
        <v>ROW Master Carton Label (EAN)</v>
      </c>
      <c r="BC116" s="313" t="str">
        <f t="array" ref="BC116">if(isblank(E116),"",xlookup(F116,z_Others!$B$21:$B$42,z_Others!$H$21:$H$42,"No",0,1))</f>
        <v>Standard Pallet Label (BTO)
Standard Pallet Label (BTS)</v>
      </c>
      <c r="BD116" s="314" t="str">
        <f t="array" ref="BD116">if(isblank(E116),"",xlookup(E116,'Import_VN_Label approve'!E:E,'Import_VN_Label approve'!L:L,"N/A",0,1))</f>
        <v>N/A</v>
      </c>
      <c r="BE116" s="314" t="str">
        <f t="array" ref="BE116">if(isblank(E116),"",xlookup(E116,'Import_VN_Label approve'!E:E,'Import_VN_Label approve'!N:N,"N/A",0,1))</f>
        <v>N/A</v>
      </c>
      <c r="BF116" s="315"/>
      <c r="BG116" s="332" t="s">
        <v>503</v>
      </c>
      <c r="BH116" s="317" t="s">
        <v>504</v>
      </c>
      <c r="BI116" s="318">
        <v>45782.0</v>
      </c>
      <c r="BJ116" s="319" t="str">
        <f t="array" ref="BJ116">if(isblank(E116),"", xlookup(D116,z_Others!$B$5:$B$17,z_Others!$C$5:$C$17,"",0,1))</f>
        <v>智能手機</v>
      </c>
      <c r="BK116" s="320">
        <v>45782.0</v>
      </c>
      <c r="BL116" s="320" t="str">
        <f t="array" ref="BL116">if(isblank(E116),"",xlookup(E116,'FL5_MP POR_LH_報關備案_G950 &amp; GA'!F:F,'FL5_MP POR_LH_報關備案_G950 &amp; GA'!E:E,"No Need",0,1))</f>
        <v>Close</v>
      </c>
      <c r="BM116" s="321" t="str">
        <f t="array" ref="BM116">if(isblank(E116),"",xlookup($BM$9&amp;E116,'Import_FL5 MPS (06.06.25) - Sor'!E112:E334&amp;'Import_FL5 MPS (06.06.25) - Sor'!F112:F334,'Import_FL5 MPS (06.06.25) - Sor'!ES112:ES334,"No demand",0,1))</f>
        <v>No demand</v>
      </c>
      <c r="BN116" s="321" t="str">
        <f t="array" ref="BN116">if(isblank(E116),"",xlookup($BN$9&amp;E116,'Import_FL5 MPS (06.06.25) - Sor'!E112:E334&amp;'Import_FL5 MPS (06.06.25) - Sor'!F112:F334,'Import_FL5 MPS (06.06.25) - Sor'!ES112:ES334,"No demand",0,1))</f>
        <v>No demand</v>
      </c>
      <c r="BO116" s="321" t="str">
        <f t="array" ref="BO116">if(isblank(E116),"",xlookup($BO$9&amp;E116,'Import_FL5 MPS (06.06.25) - Sor'!E112:E334&amp;'Import_FL5 MPS (06.06.25) - Sor'!F112:F334,'Import_FL5 MPS (06.06.25) - Sor'!ES112:ES334,"No demand",0,1))</f>
        <v>No demand</v>
      </c>
      <c r="BP116" s="322" t="str">
        <f t="array" ref="BP116">if(isblank(E116),"", xlookup(E116,'Import_LH_Label approve'!E:E,'Import_LH_Label approve'!L:L,"",0,1))</f>
        <v>NA</v>
      </c>
      <c r="BQ116" s="322" t="str">
        <f t="array" ref="BQ116">if(isblank(E116),"",xlookup(E116,'Import_VN_Label approve'!E:E,'Import_VN_Label approve'!M:M,"N/A",0,1))</f>
        <v>N/A</v>
      </c>
      <c r="BR116" s="325"/>
      <c r="BS116" s="323"/>
      <c r="BT116" s="324"/>
      <c r="BU116" s="91"/>
    </row>
    <row r="117">
      <c r="A117" s="176"/>
      <c r="B117" s="292">
        <v>106.0</v>
      </c>
      <c r="C117" s="231" t="s">
        <v>283</v>
      </c>
      <c r="D117" s="231" t="s">
        <v>408</v>
      </c>
      <c r="E117" s="351" t="s">
        <v>1002</v>
      </c>
      <c r="F117" s="313" t="s">
        <v>992</v>
      </c>
      <c r="G117" s="323" t="s">
        <v>528</v>
      </c>
      <c r="H117" s="292" t="str">
        <f t="array" ref="H117">xlookup(F117,z_Others!$B$21:$B$45,z_Others!$E$21:$E$45,"",0,1)</f>
        <v>Sub6</v>
      </c>
      <c r="I117" s="310" t="s">
        <v>431</v>
      </c>
      <c r="J117" s="231" t="str">
        <f t="array" ref="J117">if(isblank(E117),"",xlookup(I117,z_Others!$M$17:$M$20,z_Others!$O$17:$O$20,"",0,1))</f>
        <v>Lemongrass</v>
      </c>
      <c r="K117" s="292" t="str">
        <f t="array" ref="K117">xlookup(I117,z_Others!$M$17:$M$20,z_Others!$N$17:$N$20,"",0,1)</f>
        <v>YEL</v>
      </c>
      <c r="L117" s="292" t="str">
        <f t="array" ref="L117">xlookup(F117,z_Others!$B$21:$B$45,z_Others!$D$21:$D$45,"",0,1)</f>
        <v> GK2MP</v>
      </c>
      <c r="M117" s="296" t="str">
        <f t="array" ref="M117">xlookup(F117,z_Others!$B$21:$B$45,z_Others!$C$21:$C$45,"",0,1)</f>
        <v>ROW</v>
      </c>
      <c r="N117" s="297">
        <v>3.5440766E7</v>
      </c>
      <c r="O117" s="331" t="s">
        <v>494</v>
      </c>
      <c r="P117" s="303" t="s">
        <v>495</v>
      </c>
      <c r="Q117" s="300" t="s">
        <v>413</v>
      </c>
      <c r="R117" s="301" t="s">
        <v>414</v>
      </c>
      <c r="S117" s="302">
        <f t="array" ref="S117">if(isblank(E117),"",xlookup($S$9&amp;M117,z_Others!$X$5:$X$17&amp;z_Others!$W$5:$W$17,z_Others!$Z$5:$Z$17,"",0,1))</f>
        <v>35795514</v>
      </c>
      <c r="T117" s="303" t="str">
        <f t="array" ref="T117">if(isblank(E117),"",xlookup($S$9&amp;M117,z_Others!$X$5:$X$17&amp;z_Others!$W$5:$W$17,z_Others!$AH$5:$AH$17,"",0,1))</f>
        <v>35 795514 040000x</v>
      </c>
      <c r="U117" s="303" t="str">
        <f t="array" ref="U117">if(isblank(E117),"",xlookup($S$9&amp;M117,z_Others!$X$5:$X$17&amp;z_Others!$W$5:$W$17,z_Others!$AI$5:$AI$17,"",0,1))</f>
        <v>35 795514 999999x</v>
      </c>
      <c r="V117" s="303" t="str">
        <f t="shared" si="2"/>
        <v>64:9D:38:32:91:82
B0:D5:FB:C6:60:70</v>
      </c>
      <c r="W117" s="303" t="str">
        <f t="shared" si="3"/>
        <v>64:9D:38:37:25:61
B0:D5:FB:CE:01:8F</v>
      </c>
      <c r="X117" s="304" t="str">
        <f t="shared" si="4"/>
        <v>MP1.0</v>
      </c>
      <c r="Y117" s="292"/>
      <c r="Z117" s="304" t="str">
        <f t="shared" si="32"/>
        <v>Android 16</v>
      </c>
      <c r="AA117" s="304" t="str">
        <f t="shared" si="40"/>
        <v>TBD</v>
      </c>
      <c r="AB117" s="305" t="s">
        <v>1003</v>
      </c>
      <c r="AC117" s="305" t="s">
        <v>1004</v>
      </c>
      <c r="AD117" s="314" t="s">
        <v>447</v>
      </c>
      <c r="AE117" s="307" t="s">
        <v>418</v>
      </c>
      <c r="AF117" s="308" t="s">
        <v>447</v>
      </c>
      <c r="AG117" s="309" t="s">
        <v>418</v>
      </c>
      <c r="AH117" s="297" t="str">
        <f t="array" ref="AH117">if(isblank(E117),"",xlookup(F117,z_Others!$B$21:$B$45,z_Others!$F$21:$F$45,"TBD",0,1))</f>
        <v>00</v>
      </c>
      <c r="AI117" s="310" t="str">
        <f t="array" ref="AI117">if(isblank(E117),"", xlookup(E117,'Import_FL5_LH_PVTMP_Configs (Do'!E:E,'Import_FL5_LH_PVTMP_Configs (Do'!O:O,"TBD",0,1))</f>
        <v>G710-07800-00</v>
      </c>
      <c r="AJ117" s="311"/>
      <c r="AK117" s="310" t="str">
        <f t="array" ref="AK117">if(isblank(E117),"", xlookup(E117,'Import_FL5_LH_PVTMP_Configs (Do'!E:E,'Import_FL5_LH_PVTMP_Configs (Do'!Q:Q,"TBD",0,1))</f>
        <v>G650-14694-05</v>
      </c>
      <c r="AL117" s="310" t="str">
        <f t="array" ref="AL117">if(isblank(E117),"", xlookup(E117,'Import_FL5_LH_PVTMP_Configs (Do'!E:E,'Import_FL5_LH_PVTMP_Configs (Do'!M:M,"TBD",0,1))</f>
        <v>G710-07670-01</v>
      </c>
      <c r="AM117" s="310" t="str">
        <f t="array" ref="AM117">if(isblank(E117),"", xlookup(E117,'Import_FL5_LH_PVTMP_Configs (Do'!E:E,'Import_FL5_LH_PVTMP_Configs (Do'!N:N,"TBD",0,1))</f>
        <v>G730-09533-03</v>
      </c>
      <c r="AN117" s="310" t="str">
        <f t="array" ref="AN117">if(isblank(E117),"", xlookup(E117,'Import_FL5_LH_PVTMP_Configs (Do'!E:E,'Import_FL5_LH_PVTMP_Configs (Do'!K:K,"TBD",0,1))</f>
        <v>G950-15935-12</v>
      </c>
      <c r="AO117" s="292" t="str">
        <f t="array" ref="AO117">if(isblank(E117),"",XLOOKUP(E117,'FL5_G954 Pkg ASSY (Pkg BOM)'!L:L,'FL5_G954 Pkg ASSY (Pkg BOM)'!G:G,"N/A",0,1))</f>
        <v>G954-08542-00</v>
      </c>
      <c r="AP117" s="292" t="str">
        <f t="array" ref="AP117">if(isblank(E117),"",xlookup(E117,'FL5_G962 Country kit (Accesorie'!L:L,'FL5_G962 Country kit (Accesorie'!G:G,"N/A",0,1))</f>
        <v>G962-00511-00</v>
      </c>
      <c r="AQ117" s="304" t="s">
        <v>544</v>
      </c>
      <c r="AR117" s="329" t="str">
        <f t="array" ref="AR117">if(isblank(E117),"",xlookup(E117,'Import_LH_Label approve'!E:E,'Import_LH_Label approve'!N:N,"",0,1))</f>
        <v>G990-09770-00-A</v>
      </c>
      <c r="AS117" s="292" t="s">
        <v>419</v>
      </c>
      <c r="AT117" s="302" t="str">
        <f t="shared" si="6"/>
        <v>Yes</v>
      </c>
      <c r="AU117" s="302" t="str">
        <f t="shared" si="7"/>
        <v>Yes</v>
      </c>
      <c r="AV117" s="302" t="str">
        <f t="shared" si="8"/>
        <v>No</v>
      </c>
      <c r="AW117" s="302"/>
      <c r="AX117" s="302" t="s">
        <v>1005</v>
      </c>
      <c r="AY117" s="302" t="s">
        <v>1006</v>
      </c>
      <c r="AZ117" s="312" t="str">
        <f t="array" ref="AZ117">if(isblank(E117),"", xlookup(E117,Import_FL5_LH_PVT_BM!D:D,Import_FL5_LH_PVT_BM!AK:AK,$F$4,0,1))</f>
        <v>MP</v>
      </c>
      <c r="BA117" s="292" t="str">
        <f t="shared" si="9"/>
        <v>Retail_10ct</v>
      </c>
      <c r="BB117" s="356" t="str">
        <f t="array" ref="BB117">if(isblank(E117),"",xlookup(F117,z_Others!$B$21:$B$42,z_Others!$G$21:$G$42,"No",0,1))</f>
        <v>ROW Master Carton Label (EAN)</v>
      </c>
      <c r="BC117" s="313" t="str">
        <f t="array" ref="BC117">if(isblank(E117),"",xlookup(F117,z_Others!$B$21:$B$42,z_Others!$H$21:$H$42,"No",0,1))</f>
        <v>Standard Pallet Label (BTO)
Standard Pallet Label (BTS)</v>
      </c>
      <c r="BD117" s="314" t="str">
        <f t="array" ref="BD117">if(isblank(E117),"",xlookup(E117,'Import_VN_Label approve'!E:E,'Import_VN_Label approve'!L:L,"N/A",0,1))</f>
        <v>N/A</v>
      </c>
      <c r="BE117" s="314" t="str">
        <f t="array" ref="BE117">if(isblank(E117),"",xlookup(E117,'Import_VN_Label approve'!E:E,'Import_VN_Label approve'!N:N,"N/A",0,1))</f>
        <v>N/A</v>
      </c>
      <c r="BF117" s="315"/>
      <c r="BG117" s="332" t="s">
        <v>503</v>
      </c>
      <c r="BH117" s="317" t="s">
        <v>504</v>
      </c>
      <c r="BI117" s="318">
        <v>45782.0</v>
      </c>
      <c r="BJ117" s="319" t="str">
        <f t="array" ref="BJ117">if(isblank(E117),"", xlookup(D117,z_Others!$B$5:$B$17,z_Others!$C$5:$C$17,"",0,1))</f>
        <v>智能手機</v>
      </c>
      <c r="BK117" s="320">
        <v>45782.0</v>
      </c>
      <c r="BL117" s="320" t="str">
        <f t="array" ref="BL117">if(isblank(E117),"",xlookup(E117,'FL5_MP POR_LH_報關備案_G950 &amp; GA'!F:F,'FL5_MP POR_LH_報關備案_G950 &amp; GA'!E:E,"No Need",0,1))</f>
        <v>Close</v>
      </c>
      <c r="BM117" s="321" t="str">
        <f t="array" ref="BM117">if(isblank(E117),"",xlookup($BM$9&amp;E117,'Import_FL5 MPS (06.06.25) - Sor'!E113:E334&amp;'Import_FL5 MPS (06.06.25) - Sor'!F113:F334,'Import_FL5 MPS (06.06.25) - Sor'!ES113:ES334,"No demand",0,1))</f>
        <v>No demand</v>
      </c>
      <c r="BN117" s="321" t="str">
        <f t="array" ref="BN117">if(isblank(E117),"",xlookup($BN$9&amp;E117,'Import_FL5 MPS (06.06.25) - Sor'!E113:E334&amp;'Import_FL5 MPS (06.06.25) - Sor'!F113:F334,'Import_FL5 MPS (06.06.25) - Sor'!ES113:ES334,"No demand",0,1))</f>
        <v>No demand</v>
      </c>
      <c r="BO117" s="321" t="str">
        <f t="array" ref="BO117">if(isblank(E117),"",xlookup($BO$9&amp;E117,'Import_FL5 MPS (06.06.25) - Sor'!E113:E334&amp;'Import_FL5 MPS (06.06.25) - Sor'!F113:F334,'Import_FL5 MPS (06.06.25) - Sor'!ES113:ES334,"No demand",0,1))</f>
        <v>No demand</v>
      </c>
      <c r="BP117" s="322" t="str">
        <f t="array" ref="BP117">if(isblank(E117),"", xlookup(E117,'Import_LH_Label approve'!E:E,'Import_LH_Label approve'!L:L,"",0,1))</f>
        <v>NA</v>
      </c>
      <c r="BQ117" s="322" t="str">
        <f t="array" ref="BQ117">if(isblank(E117),"",xlookup(E117,'Import_VN_Label approve'!E:E,'Import_VN_Label approve'!M:M,"N/A",0,1))</f>
        <v>N/A</v>
      </c>
      <c r="BR117" s="325"/>
      <c r="BS117" s="323"/>
      <c r="BT117" s="324"/>
      <c r="BU117" s="91"/>
    </row>
    <row r="118">
      <c r="A118" s="176"/>
      <c r="B118" s="292">
        <v>107.0</v>
      </c>
      <c r="C118" s="231" t="s">
        <v>283</v>
      </c>
      <c r="D118" s="231" t="s">
        <v>408</v>
      </c>
      <c r="E118" s="351" t="s">
        <v>1007</v>
      </c>
      <c r="F118" s="313" t="s">
        <v>992</v>
      </c>
      <c r="G118" s="323" t="s">
        <v>528</v>
      </c>
      <c r="H118" s="292" t="str">
        <f t="array" ref="H118">xlookup(F118,z_Others!$B$21:$B$45,z_Others!$E$21:$E$45,"",0,1)</f>
        <v>Sub6</v>
      </c>
      <c r="I118" s="310" t="s">
        <v>437</v>
      </c>
      <c r="J118" s="231" t="str">
        <f t="array" ref="J118">if(isblank(E118),"",xlookup(I118,z_Others!$M$17:$M$20,z_Others!$O$17:$O$20,"",0,1))</f>
        <v>Indigo</v>
      </c>
      <c r="K118" s="292" t="str">
        <f t="array" ref="K118">xlookup(I118,z_Others!$M$17:$M$20,z_Others!$N$17:$N$20,"",0,1)</f>
        <v>BUE</v>
      </c>
      <c r="L118" s="292" t="str">
        <f t="array" ref="L118">xlookup(F118,z_Others!$B$21:$B$45,z_Others!$D$21:$D$45,"",0,1)</f>
        <v> GK2MP</v>
      </c>
      <c r="M118" s="296" t="str">
        <f t="array" ref="M118">xlookup(F118,z_Others!$B$21:$B$45,z_Others!$C$21:$C$45,"",0,1)</f>
        <v>ROW</v>
      </c>
      <c r="N118" s="297">
        <v>3.5440766E7</v>
      </c>
      <c r="O118" s="331" t="s">
        <v>494</v>
      </c>
      <c r="P118" s="303" t="s">
        <v>495</v>
      </c>
      <c r="Q118" s="300" t="s">
        <v>413</v>
      </c>
      <c r="R118" s="301" t="s">
        <v>414</v>
      </c>
      <c r="S118" s="302">
        <f t="array" ref="S118">if(isblank(E118),"",xlookup($S$9&amp;M118,z_Others!$X$5:$X$17&amp;z_Others!$W$5:$W$17,z_Others!$Z$5:$Z$17,"",0,1))</f>
        <v>35795514</v>
      </c>
      <c r="T118" s="303" t="str">
        <f t="array" ref="T118">if(isblank(E118),"",xlookup($S$9&amp;M118,z_Others!$X$5:$X$17&amp;z_Others!$W$5:$W$17,z_Others!$AH$5:$AH$17,"",0,1))</f>
        <v>35 795514 040000x</v>
      </c>
      <c r="U118" s="303" t="str">
        <f t="array" ref="U118">if(isblank(E118),"",xlookup($S$9&amp;M118,z_Others!$X$5:$X$17&amp;z_Others!$W$5:$W$17,z_Others!$AI$5:$AI$17,"",0,1))</f>
        <v>35 795514 999999x</v>
      </c>
      <c r="V118" s="303" t="str">
        <f t="shared" si="2"/>
        <v>64:9D:38:32:91:82
B0:D5:FB:C6:60:70</v>
      </c>
      <c r="W118" s="303" t="str">
        <f t="shared" si="3"/>
        <v>64:9D:38:37:25:61
B0:D5:FB:CE:01:8F</v>
      </c>
      <c r="X118" s="304" t="str">
        <f t="shared" si="4"/>
        <v>MP1.0</v>
      </c>
      <c r="Y118" s="292"/>
      <c r="Z118" s="304" t="str">
        <f t="shared" si="32"/>
        <v>Android 16</v>
      </c>
      <c r="AA118" s="304" t="str">
        <f t="shared" si="40"/>
        <v>TBD</v>
      </c>
      <c r="AB118" s="305" t="s">
        <v>1008</v>
      </c>
      <c r="AC118" s="305" t="s">
        <v>1009</v>
      </c>
      <c r="AD118" s="314" t="s">
        <v>447</v>
      </c>
      <c r="AE118" s="307" t="s">
        <v>418</v>
      </c>
      <c r="AF118" s="308" t="s">
        <v>447</v>
      </c>
      <c r="AG118" s="309" t="s">
        <v>418</v>
      </c>
      <c r="AH118" s="297" t="str">
        <f t="array" ref="AH118">if(isblank(E118),"",xlookup(F118,z_Others!$B$21:$B$45,z_Others!$F$21:$F$45,"TBD",0,1))</f>
        <v>00</v>
      </c>
      <c r="AI118" s="310" t="str">
        <f t="array" ref="AI118">if(isblank(E118),"", xlookup(E118,'Import_FL5_LH_PVTMP_Configs (Do'!E:E,'Import_FL5_LH_PVTMP_Configs (Do'!O:O,"TBD",0,1))</f>
        <v>G710-07800-00</v>
      </c>
      <c r="AJ118" s="311"/>
      <c r="AK118" s="310" t="str">
        <f t="array" ref="AK118">if(isblank(E118),"", xlookup(E118,'Import_FL5_LH_PVTMP_Configs (Do'!E:E,'Import_FL5_LH_PVTMP_Configs (Do'!Q:Q,"TBD",0,1))</f>
        <v>G650-14694-05</v>
      </c>
      <c r="AL118" s="310" t="str">
        <f t="array" ref="AL118">if(isblank(E118),"", xlookup(E118,'Import_FL5_LH_PVTMP_Configs (Do'!E:E,'Import_FL5_LH_PVTMP_Configs (Do'!M:M,"TBD",0,1))</f>
        <v>G710-07670-01</v>
      </c>
      <c r="AM118" s="310" t="str">
        <f t="array" ref="AM118">if(isblank(E118),"", xlookup(E118,'Import_FL5_LH_PVTMP_Configs (Do'!E:E,'Import_FL5_LH_PVTMP_Configs (Do'!N:N,"TBD",0,1))</f>
        <v>G730-09533-04</v>
      </c>
      <c r="AN118" s="310" t="str">
        <f t="array" ref="AN118">if(isblank(E118),"", xlookup(E118,'Import_FL5_LH_PVTMP_Configs (Do'!E:E,'Import_FL5_LH_PVTMP_Configs (Do'!K:K,"TBD",0,1))</f>
        <v>G950-15935-13</v>
      </c>
      <c r="AO118" s="292" t="str">
        <f t="array" ref="AO118">if(isblank(E118),"",XLOOKUP(E118,'FL5_G954 Pkg ASSY (Pkg BOM)'!L:L,'FL5_G954 Pkg ASSY (Pkg BOM)'!G:G,"N/A",0,1))</f>
        <v>G954-08542-00</v>
      </c>
      <c r="AP118" s="292" t="str">
        <f t="array" ref="AP118">if(isblank(E118),"",xlookup(E118,'FL5_G962 Country kit (Accesorie'!L:L,'FL5_G962 Country kit (Accesorie'!G:G,"N/A",0,1))</f>
        <v>G962-00511-00</v>
      </c>
      <c r="AQ118" s="304" t="s">
        <v>550</v>
      </c>
      <c r="AR118" s="329" t="str">
        <f t="array" ref="AR118">if(isblank(E118),"",xlookup(E118,'Import_LH_Label approve'!E:E,'Import_LH_Label approve'!N:N,"",0,1))</f>
        <v>G990-09770-00-A</v>
      </c>
      <c r="AS118" s="292" t="s">
        <v>419</v>
      </c>
      <c r="AT118" s="302" t="str">
        <f t="shared" si="6"/>
        <v>Yes</v>
      </c>
      <c r="AU118" s="302" t="str">
        <f t="shared" si="7"/>
        <v>Yes</v>
      </c>
      <c r="AV118" s="302" t="str">
        <f t="shared" si="8"/>
        <v>No</v>
      </c>
      <c r="AW118" s="302"/>
      <c r="AX118" s="302" t="s">
        <v>1010</v>
      </c>
      <c r="AY118" s="302" t="s">
        <v>1011</v>
      </c>
      <c r="AZ118" s="312" t="str">
        <f t="array" ref="AZ118">if(isblank(E118),"", xlookup(E118,Import_FL5_LH_PVT_BM!D:D,Import_FL5_LH_PVT_BM!AK:AK,$F$4,0,1))</f>
        <v>MP</v>
      </c>
      <c r="BA118" s="292" t="str">
        <f t="shared" si="9"/>
        <v>Retail_10ct</v>
      </c>
      <c r="BB118" s="356" t="str">
        <f t="array" ref="BB118">if(isblank(E118),"",xlookup(F118,z_Others!$B$21:$B$42,z_Others!$G$21:$G$42,"No",0,1))</f>
        <v>ROW Master Carton Label (EAN)</v>
      </c>
      <c r="BC118" s="313" t="str">
        <f t="array" ref="BC118">if(isblank(E118),"",xlookup(F118,z_Others!$B$21:$B$42,z_Others!$H$21:$H$42,"No",0,1))</f>
        <v>Standard Pallet Label (BTO)
Standard Pallet Label (BTS)</v>
      </c>
      <c r="BD118" s="314" t="str">
        <f t="array" ref="BD118">if(isblank(E118),"",xlookup(E118,'Import_VN_Label approve'!E:E,'Import_VN_Label approve'!L:L,"N/A",0,1))</f>
        <v>N/A</v>
      </c>
      <c r="BE118" s="314" t="str">
        <f t="array" ref="BE118">if(isblank(E118),"",xlookup(E118,'Import_VN_Label approve'!E:E,'Import_VN_Label approve'!N:N,"N/A",0,1))</f>
        <v>N/A</v>
      </c>
      <c r="BF118" s="315"/>
      <c r="BG118" s="332" t="s">
        <v>503</v>
      </c>
      <c r="BH118" s="317" t="s">
        <v>504</v>
      </c>
      <c r="BI118" s="318">
        <v>45782.0</v>
      </c>
      <c r="BJ118" s="319" t="str">
        <f t="array" ref="BJ118">if(isblank(E118),"", xlookup(D118,z_Others!$B$5:$B$17,z_Others!$C$5:$C$17,"",0,1))</f>
        <v>智能手機</v>
      </c>
      <c r="BK118" s="320">
        <v>45782.0</v>
      </c>
      <c r="BL118" s="320" t="str">
        <f t="array" ref="BL118">if(isblank(E118),"",xlookup(E118,'FL5_MP POR_LH_報關備案_G950 &amp; GA'!F:F,'FL5_MP POR_LH_報關備案_G950 &amp; GA'!E:E,"No Need",0,1))</f>
        <v>Close</v>
      </c>
      <c r="BM118" s="321" t="str">
        <f t="array" ref="BM118">if(isblank(E118),"",xlookup($BM$9&amp;E118,'Import_FL5 MPS (06.06.25) - Sor'!E114:E334&amp;'Import_FL5 MPS (06.06.25) - Sor'!F114:F334,'Import_FL5 MPS (06.06.25) - Sor'!ES114:ES334,"No demand",0,1))</f>
        <v>No demand</v>
      </c>
      <c r="BN118" s="321" t="str">
        <f t="array" ref="BN118">if(isblank(E118),"",xlookup($BN$9&amp;E118,'Import_FL5 MPS (06.06.25) - Sor'!E114:E334&amp;'Import_FL5 MPS (06.06.25) - Sor'!F114:F334,'Import_FL5 MPS (06.06.25) - Sor'!ES114:ES334,"No demand",0,1))</f>
        <v>No demand</v>
      </c>
      <c r="BO118" s="321" t="str">
        <f t="array" ref="BO118">if(isblank(E118),"",xlookup($BO$9&amp;E118,'Import_FL5 MPS (06.06.25) - Sor'!E114:E334&amp;'Import_FL5 MPS (06.06.25) - Sor'!F114:F334,'Import_FL5 MPS (06.06.25) - Sor'!ES114:ES334,"No demand",0,1))</f>
        <v>No demand</v>
      </c>
      <c r="BP118" s="322" t="str">
        <f t="array" ref="BP118">if(isblank(E118),"", xlookup(E118,'Import_LH_Label approve'!E:E,'Import_LH_Label approve'!L:L,"",0,1))</f>
        <v>NA</v>
      </c>
      <c r="BQ118" s="322" t="str">
        <f t="array" ref="BQ118">if(isblank(E118),"",xlookup(E118,'Import_VN_Label approve'!E:E,'Import_VN_Label approve'!M:M,"N/A",0,1))</f>
        <v>N/A</v>
      </c>
      <c r="BR118" s="325"/>
      <c r="BS118" s="323"/>
      <c r="BT118" s="324"/>
      <c r="BU118" s="91"/>
    </row>
    <row r="119">
      <c r="A119" s="176"/>
      <c r="B119" s="292">
        <v>108.0</v>
      </c>
      <c r="C119" s="231" t="s">
        <v>287</v>
      </c>
      <c r="D119" s="231" t="s">
        <v>408</v>
      </c>
      <c r="E119" s="351" t="s">
        <v>1012</v>
      </c>
      <c r="F119" s="313" t="s">
        <v>458</v>
      </c>
      <c r="G119" s="294" t="s">
        <v>459</v>
      </c>
      <c r="H119" s="292" t="str">
        <f t="array" ref="H119">xlookup(F119,z_Others!$B$21:$B$45,z_Others!$E$21:$E$45,"",0,1)</f>
        <v>mmWave</v>
      </c>
      <c r="I119" s="310" t="s">
        <v>412</v>
      </c>
      <c r="J119" s="231" t="str">
        <f t="array" ref="J119">if(isblank(E119),"",xlookup(I119,z_Others!$M$17:$M$20,z_Others!$O$17:$O$20,"",0,1))</f>
        <v>Obsidian</v>
      </c>
      <c r="K119" s="292" t="str">
        <f t="array" ref="K119">xlookup(I119,z_Others!$M$17:$M$20,z_Others!$N$17:$N$20,"",0,1)</f>
        <v>BLK</v>
      </c>
      <c r="L119" s="292" t="str">
        <f t="array" ref="L119">xlookup(F119,z_Others!$B$21:$B$45,z_Others!$D$21:$D$45,"",0,1)</f>
        <v>GLBW0</v>
      </c>
      <c r="M119" s="296" t="str">
        <f t="array" ref="M119">xlookup(F119,z_Others!$B$21:$B$45,z_Others!$C$21:$C$45,"",0,1)</f>
        <v>TMO</v>
      </c>
      <c r="N119" s="297">
        <f t="array" ref="N119">if(isblank(E119),"",xlookup($N$9&amp;M119,z_Others!$X$5:$X$17&amp;z_Others!$W$5:$W$17,z_Others!$Z$5:$Z$17,"",0,1))</f>
        <v>35163422</v>
      </c>
      <c r="O119" s="298" t="str">
        <f t="array" ref="O119">if(isblank(E119),"",xlookup($N$9&amp;M119,z_Others!$X$5:$X$17&amp;z_Others!$W$5:$W$17,z_Others!$AH$5:$AH$17,"",0,1))</f>
        <v>35 163422 020000x</v>
      </c>
      <c r="P119" s="299" t="str">
        <f t="array" ref="P119">if(isblank(E119),"",xlookup($N$9&amp;M119,z_Others!$X$5:$X$17&amp;z_Others!$W$5:$W$17,z_Others!$AI$5:$AI$17,"",0,1))</f>
        <v>35 163422 999999x</v>
      </c>
      <c r="Q119" s="300" t="s">
        <v>413</v>
      </c>
      <c r="R119" s="301" t="s">
        <v>414</v>
      </c>
      <c r="S119" s="302">
        <f t="array" ref="S119">if(isblank(E119),"",xlookup($S$9&amp;M119,z_Others!$X$5:$X$17&amp;z_Others!$W$5:$W$17,z_Others!$Z$5:$Z$17,"",0,1))</f>
        <v>35676321</v>
      </c>
      <c r="T119" s="303" t="str">
        <f t="array" ref="T119">if(isblank(E119),"",xlookup($S$9&amp;M119,z_Others!$X$5:$X$17&amp;z_Others!$W$5:$W$17,z_Others!$AH$5:$AH$17,"",0,1))</f>
        <v>35 676321 020000x</v>
      </c>
      <c r="U119" s="303" t="str">
        <f t="array" ref="U119">if(isblank(E119),"",xlookup($S$9&amp;M119,z_Others!$X$5:$X$17&amp;z_Others!$W$5:$W$17,z_Others!$AI$5:$AI$17,"",0,1))</f>
        <v>35 676321 999999x</v>
      </c>
      <c r="V119" s="303" t="str">
        <f t="shared" si="2"/>
        <v>64:9D:38:32:91:82
B0:D5:FB:C6:60:70</v>
      </c>
      <c r="W119" s="303" t="str">
        <f t="shared" si="3"/>
        <v>64:9D:38:37:25:61
B0:D5:FB:CE:01:8F</v>
      </c>
      <c r="X119" s="304" t="str">
        <f t="shared" si="4"/>
        <v>MP1.0</v>
      </c>
      <c r="Y119" s="292"/>
      <c r="Z119" s="304" t="str">
        <f t="shared" si="32"/>
        <v>Android 16</v>
      </c>
      <c r="AA119" s="304" t="str">
        <f t="shared" si="40"/>
        <v>TBD</v>
      </c>
      <c r="AB119" s="305" t="s">
        <v>1013</v>
      </c>
      <c r="AC119" s="305" t="s">
        <v>1014</v>
      </c>
      <c r="AD119" s="314" t="s">
        <v>447</v>
      </c>
      <c r="AE119" s="307" t="s">
        <v>418</v>
      </c>
      <c r="AF119" s="308" t="s">
        <v>447</v>
      </c>
      <c r="AG119" s="309" t="s">
        <v>418</v>
      </c>
      <c r="AH119" s="297" t="str">
        <f t="array" ref="AH119">if(isblank(E119),"",xlookup(F119,z_Others!$B$21:$B$45,z_Others!$F$21:$F$45,"TBD",0,1))</f>
        <v>US</v>
      </c>
      <c r="AI119" s="310" t="str">
        <f t="array" ref="AI119">if(isblank(E119),"", xlookup(E119,'Import_FL5_LH_PVTMP_Configs (Do'!E:E,'Import_FL5_LH_PVTMP_Configs (Do'!O:O,"TBD",0,1))</f>
        <v>G710-07800-01</v>
      </c>
      <c r="AJ119" s="311"/>
      <c r="AK119" s="310" t="str">
        <f t="array" ref="AK119">if(isblank(E119),"", xlookup(E119,'Import_FL5_LH_PVTMP_Configs (Do'!E:E,'Import_FL5_LH_PVTMP_Configs (Do'!Q:Q,"TBD",0,1))</f>
        <v>G650-14694-05</v>
      </c>
      <c r="AL119" s="310" t="str">
        <f t="array" ref="AL119">if(isblank(E119),"", xlookup(E119,'Import_FL5_LH_PVTMP_Configs (Do'!E:E,'Import_FL5_LH_PVTMP_Configs (Do'!M:M,"TBD",0,1))</f>
        <v>G710-07670-01</v>
      </c>
      <c r="AM119" s="310" t="str">
        <f t="array" ref="AM119">if(isblank(E119),"", xlookup(E119,'Import_FL5_LH_PVTMP_Configs (Do'!E:E,'Import_FL5_LH_PVTMP_Configs (Do'!N:N,"TBD",0,1))</f>
        <v>G730-09533-01</v>
      </c>
      <c r="AN119" s="310" t="str">
        <f t="array" ref="AN119">if(isblank(E119),"", xlookup(E119,'Import_FL5_LH_PVTMP_Configs (Do'!E:E,'Import_FL5_LH_PVTMP_Configs (Do'!K:K,"TBD",0,1))</f>
        <v>G950-15935-00</v>
      </c>
      <c r="AO119" s="292" t="str">
        <f t="array" ref="AO119">if(isblank(E119),"",XLOOKUP(E119,'FL5_G954 Pkg ASSY (Pkg BOM)'!L:L,'FL5_G954 Pkg ASSY (Pkg BOM)'!G:G,"N/A",0,1))</f>
        <v>G954-09573-00</v>
      </c>
      <c r="AP119" s="292" t="str">
        <f t="array" ref="AP119">if(isblank(E119),"",xlookup(E119,'FL5_G962 Country kit (Accesorie'!L:L,'FL5_G962 Country kit (Accesorie'!G:G,"N/A",0,1))</f>
        <v>G962-00511-00</v>
      </c>
      <c r="AQ119" s="304" t="str">
        <f t="array" ref="AQ119">if(isblank(E119),"", xlookup(E119,'Import_LH_Label approve'!E:E,'Import_LH_Label approve'!M:M,"",0,1))</f>
        <v>G990-08380-11-01
G990-08380-11-A</v>
      </c>
      <c r="AR119" s="304" t="str">
        <f t="array" ref="AR119">if(isblank(E119),"",xlookup(E119,'Import_LH_Label approve'!E:E,'Import_LH_Label approve'!N:N,"",0,1))</f>
        <v>G990-09761-00-02
G990-09761-00-A</v>
      </c>
      <c r="AS119" s="292" t="s">
        <v>419</v>
      </c>
      <c r="AT119" s="302" t="str">
        <f t="shared" si="6"/>
        <v>Yes</v>
      </c>
      <c r="AU119" s="302" t="str">
        <f t="shared" si="7"/>
        <v>No</v>
      </c>
      <c r="AV119" s="302" t="str">
        <f t="shared" si="8"/>
        <v>No</v>
      </c>
      <c r="AW119" s="302" t="s">
        <v>1015</v>
      </c>
      <c r="AX119" s="302" t="s">
        <v>1015</v>
      </c>
      <c r="AY119" s="302" t="s">
        <v>1016</v>
      </c>
      <c r="AZ119" s="312" t="str">
        <f t="array" ref="AZ119">if(isblank(E119),"", xlookup(E119,Import_FL5_LH_PVT_BM!D:D,Import_FL5_LH_PVT_BM!AK:AK,$F$4,0,1))</f>
        <v>MP</v>
      </c>
      <c r="BA119" s="292" t="str">
        <f t="shared" si="9"/>
        <v>Retail_10ct</v>
      </c>
      <c r="BB119" s="313" t="str">
        <f t="array" ref="BB119">if(isblank(E119),"",xlookup(F119,z_Others!$B$21:$B$42,z_Others!$G$21:$G$42,"No",0,1))</f>
        <v>TMO Master Carton Label</v>
      </c>
      <c r="BC119" s="313" t="str">
        <f t="array" ref="BC119">if(isblank(E119),"",xlookup(F119,z_Others!$B$21:$B$42,z_Others!$H$21:$H$42,"No",0,1))</f>
        <v>T-Mobile Pallet Label (BTO)
T-Mobile Pallet Label (BTS)</v>
      </c>
      <c r="BD119" s="330" t="str">
        <f t="array" ref="BD119">if(isblank(E119),"",xlookup(E119,'Import_VN_Label approve'!E:E,'Import_VN_Label approve'!L:L,"N/A",0,1))</f>
        <v>G990-08482-11-01</v>
      </c>
      <c r="BE119" s="330" t="str">
        <f t="array" ref="BE119">if(isblank(E119),"",xlookup(E119,'Import_VN_Label approve'!E:E,'Import_VN_Label approve'!N:N,"N/A",0,1))</f>
        <v>G990-09761-00-02</v>
      </c>
      <c r="BF119" s="315"/>
      <c r="BG119" s="316" t="s">
        <v>422</v>
      </c>
      <c r="BH119" s="317" t="s">
        <v>423</v>
      </c>
      <c r="BI119" s="318">
        <v>45782.0</v>
      </c>
      <c r="BJ119" s="319" t="str">
        <f t="array" ref="BJ119">if(isblank(E119),"", xlookup(D119,z_Others!$B$5:$B$17,z_Others!$C$5:$C$17,"",0,1))</f>
        <v>智能手機</v>
      </c>
      <c r="BK119" s="320">
        <v>45782.0</v>
      </c>
      <c r="BL119" s="320" t="str">
        <f t="array" ref="BL119">if(isblank(E119),"",xlookup(E119,'FL5_MP POR_LH_報關備案_G950 &amp; GA'!F:F,'FL5_MP POR_LH_報關備案_G950 &amp; GA'!E:E,"No Need",0,1))</f>
        <v>Close</v>
      </c>
      <c r="BM119" s="321" t="str">
        <f t="array" ref="BM119">if(isblank(E119),"",xlookup($BM$9&amp;E119,'Import_FL5 MPS (06.06.25) - Sor'!E115:E334&amp;'Import_FL5 MPS (06.06.25) - Sor'!F115:F334,'Import_FL5 MPS (06.06.25) - Sor'!ES115:ES334,"No demand",0,1))</f>
        <v>No demand</v>
      </c>
      <c r="BN119" s="321" t="str">
        <f t="array" ref="BN119">if(isblank(E119),"",xlookup($BN$9&amp;E119,'Import_FL5 MPS (06.06.25) - Sor'!E115:E334&amp;'Import_FL5 MPS (06.06.25) - Sor'!F115:F334,'Import_FL5 MPS (06.06.25) - Sor'!ES115:ES334,"No demand",0,1))</f>
        <v>No demand</v>
      </c>
      <c r="BO119" s="321" t="str">
        <f t="array" ref="BO119">if(isblank(E119),"",xlookup($BO$9&amp;E119,'Import_FL5 MPS (06.06.25) - Sor'!E115:E334&amp;'Import_FL5 MPS (06.06.25) - Sor'!F115:F334,'Import_FL5 MPS (06.06.25) - Sor'!ES115:ES334,"No demand",0,1))</f>
        <v>No demand</v>
      </c>
      <c r="BP119" s="322" t="str">
        <f t="array" ref="BP119">if(isblank(E119),"", xlookup(E119,'Import_LH_Label approve'!E:E,'Import_LH_Label approve'!L:L,"",0,1))</f>
        <v/>
      </c>
      <c r="BQ119" s="322" t="str">
        <f t="array" ref="BQ119">if(isblank(E119),"",xlookup(E119,'Import_VN_Label approve'!E:E,'Import_VN_Label approve'!M:M,"N/A",0,1))</f>
        <v/>
      </c>
      <c r="BR119" s="325"/>
      <c r="BS119" s="323"/>
      <c r="BT119" s="324"/>
      <c r="BU119" s="91"/>
    </row>
    <row r="120">
      <c r="A120" s="176"/>
      <c r="B120" s="292">
        <v>109.0</v>
      </c>
      <c r="C120" s="357" t="s">
        <v>287</v>
      </c>
      <c r="D120" s="231" t="s">
        <v>408</v>
      </c>
      <c r="E120" s="351" t="s">
        <v>1017</v>
      </c>
      <c r="F120" s="313" t="s">
        <v>458</v>
      </c>
      <c r="G120" s="294" t="s">
        <v>459</v>
      </c>
      <c r="H120" s="292" t="str">
        <f t="array" ref="H120">xlookup(F120,z_Others!$B$21:$B$45,z_Others!$E$21:$E$45,"",0,1)</f>
        <v>mmWave</v>
      </c>
      <c r="I120" s="310" t="s">
        <v>437</v>
      </c>
      <c r="J120" s="231" t="str">
        <f t="array" ref="J120">if(isblank(E120),"",xlookup(I120,z_Others!$M$17:$M$20,z_Others!$O$17:$O$20,"",0,1))</f>
        <v>Indigo</v>
      </c>
      <c r="K120" s="292" t="str">
        <f t="array" ref="K120">xlookup(I120,z_Others!$M$17:$M$20,z_Others!$N$17:$N$20,"",0,1)</f>
        <v>BUE</v>
      </c>
      <c r="L120" s="292" t="str">
        <f t="array" ref="L120">xlookup(F120,z_Others!$B$21:$B$45,z_Others!$D$21:$D$45,"",0,1)</f>
        <v>GLBW0</v>
      </c>
      <c r="M120" s="296" t="str">
        <f t="array" ref="M120">xlookup(F120,z_Others!$B$21:$B$45,z_Others!$C$21:$C$45,"",0,1)</f>
        <v>TMO</v>
      </c>
      <c r="N120" s="297">
        <f t="array" ref="N120">if(isblank(E120),"",xlookup($N$9&amp;M120,z_Others!$X$5:$X$17&amp;z_Others!$W$5:$W$17,z_Others!$Z$5:$Z$17,"",0,1))</f>
        <v>35163422</v>
      </c>
      <c r="O120" s="298" t="str">
        <f t="array" ref="O120">if(isblank(E120),"",xlookup($N$9&amp;M120,z_Others!$X$5:$X$17&amp;z_Others!$W$5:$W$17,z_Others!$AH$5:$AH$17,"",0,1))</f>
        <v>35 163422 020000x</v>
      </c>
      <c r="P120" s="299" t="str">
        <f t="array" ref="P120">if(isblank(E120),"",xlookup($N$9&amp;M120,z_Others!$X$5:$X$17&amp;z_Others!$W$5:$W$17,z_Others!$AI$5:$AI$17,"",0,1))</f>
        <v>35 163422 999999x</v>
      </c>
      <c r="Q120" s="300" t="s">
        <v>413</v>
      </c>
      <c r="R120" s="301" t="s">
        <v>414</v>
      </c>
      <c r="S120" s="302">
        <f t="array" ref="S120">if(isblank(E120),"",xlookup($S$9&amp;M120,z_Others!$X$5:$X$17&amp;z_Others!$W$5:$W$17,z_Others!$Z$5:$Z$17,"",0,1))</f>
        <v>35676321</v>
      </c>
      <c r="T120" s="303" t="str">
        <f t="array" ref="T120">if(isblank(E120),"",xlookup($S$9&amp;M120,z_Others!$X$5:$X$17&amp;z_Others!$W$5:$W$17,z_Others!$AH$5:$AH$17,"",0,1))</f>
        <v>35 676321 020000x</v>
      </c>
      <c r="U120" s="303" t="str">
        <f t="array" ref="U120">if(isblank(E120),"",xlookup($S$9&amp;M120,z_Others!$X$5:$X$17&amp;z_Others!$W$5:$W$17,z_Others!$AI$5:$AI$17,"",0,1))</f>
        <v>35 676321 999999x</v>
      </c>
      <c r="V120" s="303" t="str">
        <f t="shared" si="2"/>
        <v>64:9D:38:32:91:82
B0:D5:FB:C6:60:70</v>
      </c>
      <c r="W120" s="303" t="str">
        <f t="shared" si="3"/>
        <v>64:9D:38:37:25:61
B0:D5:FB:CE:01:8F</v>
      </c>
      <c r="X120" s="304" t="str">
        <f t="shared" si="4"/>
        <v>MP1.0</v>
      </c>
      <c r="Y120" s="292"/>
      <c r="Z120" s="304" t="str">
        <f t="shared" si="32"/>
        <v>Android 16</v>
      </c>
      <c r="AA120" s="304" t="str">
        <f t="shared" ref="AA120:AA123" si="41">if(isblank(E120),"",IF(AG120="AD1A.240530.047","Android 14",IF(AG120="AP3A.241105.008","Android 15",if(AG120="AP4A.241205.013","Android 15",if(AG120="AP4A.241205.013.C1","Android 15","TBD")))))</f>
        <v>TBD</v>
      </c>
      <c r="AB120" s="305" t="s">
        <v>1018</v>
      </c>
      <c r="AC120" s="305" t="s">
        <v>1019</v>
      </c>
      <c r="AD120" s="314" t="s">
        <v>447</v>
      </c>
      <c r="AE120" s="307" t="s">
        <v>418</v>
      </c>
      <c r="AF120" s="308" t="s">
        <v>447</v>
      </c>
      <c r="AG120" s="309" t="s">
        <v>418</v>
      </c>
      <c r="AH120" s="297" t="str">
        <f t="array" ref="AH120">if(isblank(E120),"",xlookup(F120,z_Others!$B$21:$B$45,z_Others!$F$21:$F$45,"TBD",0,1))</f>
        <v>US</v>
      </c>
      <c r="AI120" s="310" t="str">
        <f t="array" ref="AI120">if(isblank(E120),"", xlookup(E120,'Import_FL5_LH_PVTMP_Configs (Do'!E:E,'Import_FL5_LH_PVTMP_Configs (Do'!O:O,"TBD",0,1))</f>
        <v>G710-07800-01</v>
      </c>
      <c r="AJ120" s="311"/>
      <c r="AK120" s="310" t="str">
        <f t="array" ref="AK120">if(isblank(E120),"", xlookup(E120,'Import_FL5_LH_PVTMP_Configs (Do'!E:E,'Import_FL5_LH_PVTMP_Configs (Do'!Q:Q,"TBD",0,1))</f>
        <v>G650-14694-05</v>
      </c>
      <c r="AL120" s="310" t="str">
        <f t="array" ref="AL120">if(isblank(E120),"", xlookup(E120,'Import_FL5_LH_PVTMP_Configs (Do'!E:E,'Import_FL5_LH_PVTMP_Configs (Do'!M:M,"TBD",0,1))</f>
        <v>G710-07670-01</v>
      </c>
      <c r="AM120" s="310" t="str">
        <f t="array" ref="AM120">if(isblank(E120),"", xlookup(E120,'Import_FL5_LH_PVTMP_Configs (Do'!E:E,'Import_FL5_LH_PVTMP_Configs (Do'!N:N,"TBD",0,1))</f>
        <v>G730-09533-04</v>
      </c>
      <c r="AN120" s="310" t="str">
        <f t="array" ref="AN120">if(isblank(E120),"", xlookup(E120,'Import_FL5_LH_PVTMP_Configs (Do'!E:E,'Import_FL5_LH_PVTMP_Configs (Do'!K:K,"TBD",0,1))</f>
        <v>G950-15935-03</v>
      </c>
      <c r="AO120" s="292" t="str">
        <f t="array" ref="AO120">if(isblank(E120),"",XLOOKUP(E120,'FL5_G954 Pkg ASSY (Pkg BOM)'!L:L,'FL5_G954 Pkg ASSY (Pkg BOM)'!G:G,"N/A",0,1))</f>
        <v>G954-09573-00</v>
      </c>
      <c r="AP120" s="292" t="str">
        <f t="array" ref="AP120">if(isblank(E120),"",xlookup(E120,'FL5_G962 Country kit (Accesorie'!L:L,'FL5_G962 Country kit (Accesorie'!G:G,"N/A",0,1))</f>
        <v>G962-00511-00</v>
      </c>
      <c r="AQ120" s="304" t="str">
        <f t="array" ref="AQ120">if(isblank(E120),"", xlookup(E120,'Import_LH_Label approve'!E:E,'Import_LH_Label approve'!M:M,"",0,1))</f>
        <v>G990-08380-41-01
G990-08380-41-A</v>
      </c>
      <c r="AR120" s="304" t="str">
        <f t="array" ref="AR120">if(isblank(E120),"",xlookup(E120,'Import_LH_Label approve'!E:E,'Import_LH_Label approve'!N:N,"",0,1))</f>
        <v>G990-09762-00-02
G990-09762-00-A</v>
      </c>
      <c r="AS120" s="292" t="s">
        <v>419</v>
      </c>
      <c r="AT120" s="302" t="str">
        <f t="shared" si="6"/>
        <v>Yes</v>
      </c>
      <c r="AU120" s="302" t="str">
        <f t="shared" si="7"/>
        <v>No</v>
      </c>
      <c r="AV120" s="302" t="str">
        <f t="shared" si="8"/>
        <v>No</v>
      </c>
      <c r="AW120" s="302" t="s">
        <v>1020</v>
      </c>
      <c r="AX120" s="302" t="s">
        <v>1020</v>
      </c>
      <c r="AY120" s="302" t="s">
        <v>1021</v>
      </c>
      <c r="AZ120" s="312" t="str">
        <f t="array" ref="AZ120">if(isblank(E120),"", xlookup(E120,Import_FL5_LH_PVT_BM!D:D,Import_FL5_LH_PVT_BM!AK:AK,$F$4,0,1))</f>
        <v>MP</v>
      </c>
      <c r="BA120" s="292" t="str">
        <f t="shared" si="9"/>
        <v>Retail_10ct</v>
      </c>
      <c r="BB120" s="313" t="str">
        <f t="array" ref="BB120">if(isblank(E120),"",xlookup(F120,z_Others!$B$21:$B$42,z_Others!$G$21:$G$42,"No",0,1))</f>
        <v>TMO Master Carton Label</v>
      </c>
      <c r="BC120" s="313" t="str">
        <f t="array" ref="BC120">if(isblank(E120),"",xlookup(F120,z_Others!$B$21:$B$42,z_Others!$H$21:$H$42,"No",0,1))</f>
        <v>T-Mobile Pallet Label (BTO)
T-Mobile Pallet Label (BTS)</v>
      </c>
      <c r="BD120" s="330" t="str">
        <f t="array" ref="BD120">if(isblank(E120),"",xlookup(E120,'Import_VN_Label approve'!E:E,'Import_VN_Label approve'!L:L,"N/A",0,1))</f>
        <v>G990-08482-41-01</v>
      </c>
      <c r="BE120" s="330" t="str">
        <f t="array" ref="BE120">if(isblank(E120),"",xlookup(E120,'Import_VN_Label approve'!E:E,'Import_VN_Label approve'!N:N,"N/A",0,1))</f>
        <v>G990-09762-00-02</v>
      </c>
      <c r="BF120" s="315"/>
      <c r="BG120" s="316" t="s">
        <v>422</v>
      </c>
      <c r="BH120" s="317" t="s">
        <v>423</v>
      </c>
      <c r="BI120" s="318">
        <v>45782.0</v>
      </c>
      <c r="BJ120" s="319" t="str">
        <f t="array" ref="BJ120">if(isblank(E120),"", xlookup(D120,z_Others!$B$5:$B$17,z_Others!$C$5:$C$17,"",0,1))</f>
        <v>智能手機</v>
      </c>
      <c r="BK120" s="320">
        <v>45782.0</v>
      </c>
      <c r="BL120" s="320" t="str">
        <f t="array" ref="BL120">if(isblank(E120),"",xlookup(E120,'FL5_MP POR_LH_報關備案_G950 &amp; GA'!F:F,'FL5_MP POR_LH_報關備案_G950 &amp; GA'!E:E,"No Need",0,1))</f>
        <v>Close</v>
      </c>
      <c r="BM120" s="321" t="str">
        <f t="array" ref="BM120">if(isblank(E120),"",xlookup($BM$9&amp;E120,'Import_FL5 MPS (06.06.25) - Sor'!E116:E334&amp;'Import_FL5 MPS (06.06.25) - Sor'!F116:F334,'Import_FL5 MPS (06.06.25) - Sor'!ES116:ES334,"No demand",0,1))</f>
        <v>No demand</v>
      </c>
      <c r="BN120" s="321" t="str">
        <f t="array" ref="BN120">if(isblank(E120),"",xlookup($BN$9&amp;E120,'Import_FL5 MPS (06.06.25) - Sor'!E116:E334&amp;'Import_FL5 MPS (06.06.25) - Sor'!F116:F334,'Import_FL5 MPS (06.06.25) - Sor'!ES116:ES334,"No demand",0,1))</f>
        <v>No demand</v>
      </c>
      <c r="BO120" s="321" t="str">
        <f t="array" ref="BO120">if(isblank(E120),"",xlookup($BO$9&amp;E120,'Import_FL5 MPS (06.06.25) - Sor'!E116:E334&amp;'Import_FL5 MPS (06.06.25) - Sor'!F116:F334,'Import_FL5 MPS (06.06.25) - Sor'!ES116:ES334,"No demand",0,1))</f>
        <v>No demand</v>
      </c>
      <c r="BP120" s="322" t="str">
        <f t="array" ref="BP120">if(isblank(E120),"", xlookup(E120,'Import_LH_Label approve'!E:E,'Import_LH_Label approve'!L:L,"",0,1))</f>
        <v/>
      </c>
      <c r="BQ120" s="322" t="str">
        <f t="array" ref="BQ120">if(isblank(E120),"",xlookup(E120,'Import_VN_Label approve'!E:E,'Import_VN_Label approve'!M:M,"N/A",0,1))</f>
        <v/>
      </c>
      <c r="BR120" s="325"/>
      <c r="BS120" s="323"/>
      <c r="BT120" s="324"/>
      <c r="BU120" s="91"/>
    </row>
    <row r="121">
      <c r="A121" s="176"/>
      <c r="B121" s="292">
        <v>110.0</v>
      </c>
      <c r="C121" s="231" t="s">
        <v>287</v>
      </c>
      <c r="D121" s="231" t="s">
        <v>408</v>
      </c>
      <c r="E121" s="351" t="s">
        <v>1022</v>
      </c>
      <c r="F121" s="323" t="s">
        <v>1023</v>
      </c>
      <c r="G121" s="294" t="s">
        <v>444</v>
      </c>
      <c r="H121" s="292" t="str">
        <f t="array" ref="H121">xlookup(F121,z_Others!$B$21:$B$45,z_Others!$E$21:$E$45,"",0,1)</f>
        <v>mmWave</v>
      </c>
      <c r="I121" s="310" t="s">
        <v>412</v>
      </c>
      <c r="J121" s="231" t="str">
        <f t="array" ref="J121">if(isblank(E121),"",xlookup(I121,z_Others!$M$17:$M$20,z_Others!$O$17:$O$20,"",0,1))</f>
        <v>Obsidian</v>
      </c>
      <c r="K121" s="292" t="str">
        <f t="array" ref="K121">xlookup(I121,z_Others!$M$17:$M$20,z_Others!$N$17:$N$20,"",0,1)</f>
        <v>BLK</v>
      </c>
      <c r="L121" s="292" t="str">
        <f t="array" ref="L121">xlookup(F121,z_Others!$B$21:$B$45,z_Others!$D$21:$D$45,"",0,1)</f>
        <v>GLBW0</v>
      </c>
      <c r="M121" s="296" t="str">
        <f t="array" ref="M121">xlookup(F121,z_Others!$B$21:$B$45,z_Others!$C$21:$C$45,"",0,1)</f>
        <v>ATT</v>
      </c>
      <c r="N121" s="297">
        <f t="array" ref="N121">if(isblank(E121),"",xlookup($N$9&amp;M121,z_Others!$X$5:$X$17&amp;z_Others!$W$5:$W$17,z_Others!$Z$5:$Z$17,"",0,1))</f>
        <v>35582324</v>
      </c>
      <c r="O121" s="298" t="str">
        <f t="array" ref="O121">if(isblank(E121),"",xlookup($N$9&amp;M121,z_Others!$X$5:$X$17&amp;z_Others!$W$5:$W$17,z_Others!$AH$5:$AH$17,"",0,1))</f>
        <v>35 582324 020000x</v>
      </c>
      <c r="P121" s="299" t="str">
        <f t="array" ref="P121">if(isblank(E121),"",xlookup($N$9&amp;M121,z_Others!$X$5:$X$17&amp;z_Others!$W$5:$W$17,z_Others!$AI$5:$AI$17,"",0,1))</f>
        <v>35 582324 999999x</v>
      </c>
      <c r="Q121" s="300" t="s">
        <v>413</v>
      </c>
      <c r="R121" s="301" t="s">
        <v>414</v>
      </c>
      <c r="S121" s="302">
        <f t="array" ref="S121">if(isblank(E121),"",xlookup($S$9&amp;M121,z_Others!$X$5:$X$17&amp;z_Others!$W$5:$W$17,z_Others!$Z$5:$Z$17,"",0,1))</f>
        <v>35484520</v>
      </c>
      <c r="T121" s="303" t="str">
        <f t="array" ref="T121">if(isblank(E121),"",xlookup($S$9&amp;M121,z_Others!$X$5:$X$17&amp;z_Others!$W$5:$W$17,z_Others!$AH$5:$AH$17,"",0,1))</f>
        <v>35 484520 020000x</v>
      </c>
      <c r="U121" s="303" t="str">
        <f t="array" ref="U121">if(isblank(E121),"",xlookup($S$9&amp;M121,z_Others!$X$5:$X$17&amp;z_Others!$W$5:$W$17,z_Others!$AI$5:$AI$17,"",0,1))</f>
        <v>35 484520 999999x</v>
      </c>
      <c r="V121" s="303" t="str">
        <f t="shared" si="2"/>
        <v>64:9D:38:32:91:82
B0:D5:FB:C6:60:70</v>
      </c>
      <c r="W121" s="303" t="str">
        <f t="shared" si="3"/>
        <v>64:9D:38:37:25:61
B0:D5:FB:CE:01:8F</v>
      </c>
      <c r="X121" s="304" t="str">
        <f t="shared" si="4"/>
        <v>MP1.0</v>
      </c>
      <c r="Y121" s="292"/>
      <c r="Z121" s="304" t="str">
        <f t="shared" si="32"/>
        <v>Android 16</v>
      </c>
      <c r="AA121" s="304" t="str">
        <f t="shared" si="41"/>
        <v>TBD</v>
      </c>
      <c r="AB121" s="305" t="s">
        <v>1024</v>
      </c>
      <c r="AC121" s="305" t="s">
        <v>1025</v>
      </c>
      <c r="AD121" s="306"/>
      <c r="AE121" s="306"/>
      <c r="AF121" s="308"/>
      <c r="AG121" s="309" t="s">
        <v>418</v>
      </c>
      <c r="AH121" s="297" t="str">
        <f t="array" ref="AH121">if(isblank(E121),"",xlookup(F121,z_Others!$B$21:$B$45,z_Others!$F$21:$F$45,"TBD",0,1))</f>
        <v>US</v>
      </c>
      <c r="AI121" s="310" t="str">
        <f t="array" ref="AI121">if(isblank(E121),"", xlookup(E121,'Import_FL5_LH_PVTMP_Configs (Do'!E:E,'Import_FL5_LH_PVTMP_Configs (Do'!O:O,"TBD",0,1))</f>
        <v>G710-07800-01</v>
      </c>
      <c r="AJ121" s="310"/>
      <c r="AK121" s="310" t="str">
        <f t="array" ref="AK121">if(isblank(E121),"", xlookup(E121,'Import_FL5_LH_PVTMP_Configs (Do'!E:E,'Import_FL5_LH_PVTMP_Configs (Do'!Q:Q,"TBD",0,1))</f>
        <v>G650-14694-05</v>
      </c>
      <c r="AL121" s="310" t="str">
        <f t="array" ref="AL121">if(isblank(E121),"", xlookup(E121,'Import_FL5_LH_PVTMP_Configs (Do'!E:E,'Import_FL5_LH_PVTMP_Configs (Do'!M:M,"TBD",0,1))</f>
        <v>G710-07670-01</v>
      </c>
      <c r="AM121" s="310" t="str">
        <f t="array" ref="AM121">if(isblank(E121),"", xlookup(E121,'Import_FL5_LH_PVTMP_Configs (Do'!E:E,'Import_FL5_LH_PVTMP_Configs (Do'!N:N,"TBD",0,1))</f>
        <v>G730-09533-01</v>
      </c>
      <c r="AN121" s="310" t="str">
        <f t="array" ref="AN121">if(isblank(E121),"", xlookup(E121,'Import_FL5_LH_PVTMP_Configs (Do'!E:E,'Import_FL5_LH_PVTMP_Configs (Do'!K:K,"TBD",0,1))</f>
        <v>G950-15935-00</v>
      </c>
      <c r="AO121" s="292" t="str">
        <f t="array" ref="AO121">if(isblank(E121),"",XLOOKUP(E121,'FL5_G954 Pkg ASSY (Pkg BOM)'!L:L,'FL5_G954 Pkg ASSY (Pkg BOM)'!G:G,"N/A",0,1))</f>
        <v>G954-09574-00</v>
      </c>
      <c r="AP121" s="292" t="str">
        <f t="array" ref="AP121">if(isblank(E121),"",xlookup(E121,'FL5_G962 Country kit (Accesorie'!L:L,'FL5_G962 Country kit (Accesorie'!G:G,"N/A",0,1))</f>
        <v>G962-00511-00</v>
      </c>
      <c r="AQ121" s="304" t="str">
        <f t="array" ref="AQ121">if(isblank(E121),"", xlookup(E121,'Import_LH_Label approve'!E:E,'Import_LH_Label approve'!M:M,"",0,1))</f>
        <v>G990-08380-11-01
G990-08380-11-A</v>
      </c>
      <c r="AR121" s="304" t="str">
        <f t="array" ref="AR121">if(isblank(E121),"",xlookup(E121,'Import_LH_Label approve'!E:E,'Import_LH_Label approve'!N:N,"",0,1))</f>
        <v>G990-09763-00-01
G990-09763-00-A</v>
      </c>
      <c r="AS121" s="292" t="s">
        <v>419</v>
      </c>
      <c r="AT121" s="302" t="str">
        <f t="shared" si="6"/>
        <v>Yes</v>
      </c>
      <c r="AU121" s="302" t="str">
        <f t="shared" si="7"/>
        <v>No</v>
      </c>
      <c r="AV121" s="302" t="str">
        <f t="shared" si="8"/>
        <v>No</v>
      </c>
      <c r="AW121" s="302"/>
      <c r="AX121" s="302" t="s">
        <v>1026</v>
      </c>
      <c r="AY121" s="302" t="s">
        <v>1027</v>
      </c>
      <c r="AZ121" s="312" t="str">
        <f t="array" ref="AZ121">if(isblank(E121),"", xlookup(E121,Import_FL5_LH_PVT_BM!D:D,Import_FL5_LH_PVT_BM!AK:AK,$F$4,0,1))</f>
        <v>MP</v>
      </c>
      <c r="BA121" s="292" t="str">
        <f t="shared" si="9"/>
        <v>Retail_10ct</v>
      </c>
      <c r="BB121" s="313" t="str">
        <f t="array" ref="BB121">if(isblank(E121),"",xlookup(F121,z_Others!$B$21:$B$42,z_Others!$G$21:$G$42,"No",0,1))</f>
        <v>ATT Master Carton Label</v>
      </c>
      <c r="BC121" s="313" t="str">
        <f t="array" ref="BC121">if(isblank(E121),"",xlookup(F121,z_Others!$B$21:$B$42,z_Others!$H$21:$H$42,"No",0,1))</f>
        <v>ATT Pallet Label (BTO)
ATT Pallet Label (BTS)</v>
      </c>
      <c r="BD121" s="330" t="str">
        <f t="array" ref="BD121">if(isblank(E121),"",xlookup(E121,'Import_VN_Label approve'!E:E,'Import_VN_Label approve'!L:L,"N/A",0,1))</f>
        <v>G990-08482-11-01</v>
      </c>
      <c r="BE121" s="330" t="str">
        <f t="array" ref="BE121">if(isblank(E121),"",xlookup(E121,'Import_VN_Label approve'!E:E,'Import_VN_Label approve'!N:N,"N/A",0,1))</f>
        <v>G990-09763-00-01</v>
      </c>
      <c r="BF121" s="315"/>
      <c r="BG121" s="358" t="s">
        <v>422</v>
      </c>
      <c r="BH121" s="359" t="s">
        <v>423</v>
      </c>
      <c r="BI121" s="318">
        <v>45782.0</v>
      </c>
      <c r="BJ121" s="319" t="str">
        <f t="array" ref="BJ121">if(isblank(E121),"", xlookup(D121,z_Others!$B$5:$B$17,z_Others!$C$5:$C$17,"",0,1))</f>
        <v>智能手機</v>
      </c>
      <c r="BK121" s="320">
        <v>45782.0</v>
      </c>
      <c r="BL121" s="320" t="str">
        <f t="array" ref="BL121">if(isblank(E121),"",xlookup(E121,'FL5_MP POR_LH_報關備案_G950 &amp; GA'!F:F,'FL5_MP POR_LH_報關備案_G950 &amp; GA'!E:E,"No Need",0,1))</f>
        <v>Close</v>
      </c>
      <c r="BM121" s="321" t="str">
        <f t="array" ref="BM121">if(isblank(E121),"",xlookup($BM$9&amp;E121,'Import_FL5 MPS (06.06.25) - Sor'!E117:E334&amp;'Import_FL5 MPS (06.06.25) - Sor'!F117:F334,'Import_FL5 MPS (06.06.25) - Sor'!ES117:ES334,"No demand",0,1))</f>
        <v>No demand</v>
      </c>
      <c r="BN121" s="321" t="str">
        <f t="array" ref="BN121">if(isblank(E121),"",xlookup($BN$9&amp;E121,'Import_FL5 MPS (06.06.25) - Sor'!E117:E334&amp;'Import_FL5 MPS (06.06.25) - Sor'!F117:F334,'Import_FL5 MPS (06.06.25) - Sor'!ES117:ES334,"No demand",0,1))</f>
        <v>No demand</v>
      </c>
      <c r="BO121" s="321" t="str">
        <f t="array" ref="BO121">if(isblank(E121),"",xlookup($BO$9&amp;E121,'Import_FL5 MPS (06.06.25) - Sor'!E117:E334&amp;'Import_FL5 MPS (06.06.25) - Sor'!F117:F334,'Import_FL5 MPS (06.06.25) - Sor'!ES117:ES334,"No demand",0,1))</f>
        <v>No demand</v>
      </c>
      <c r="BP121" s="322" t="str">
        <f t="array" ref="BP121">if(isblank(E121),"", xlookup(E121,'Import_LH_Label approve'!E:E,'Import_LH_Label approve'!L:L,"",0,1))</f>
        <v/>
      </c>
      <c r="BQ121" s="322" t="str">
        <f t="array" ref="BQ121">if(isblank(E121),"",xlookup(E121,'Import_VN_Label approve'!E:E,'Import_VN_Label approve'!M:M,"N/A",0,1))</f>
        <v/>
      </c>
      <c r="BR121" s="325"/>
      <c r="BS121" s="323"/>
      <c r="BT121" s="324"/>
      <c r="BU121" s="91"/>
    </row>
    <row r="122">
      <c r="A122" s="176"/>
      <c r="B122" s="292">
        <v>111.0</v>
      </c>
      <c r="C122" s="357" t="s">
        <v>287</v>
      </c>
      <c r="D122" s="231" t="s">
        <v>408</v>
      </c>
      <c r="E122" s="351" t="s">
        <v>1028</v>
      </c>
      <c r="F122" s="323" t="s">
        <v>1023</v>
      </c>
      <c r="G122" s="294" t="s">
        <v>444</v>
      </c>
      <c r="H122" s="292" t="str">
        <f t="array" ref="H122">xlookup(F122,z_Others!$B$21:$B$45,z_Others!$E$21:$E$45,"",0,1)</f>
        <v>mmWave</v>
      </c>
      <c r="I122" s="310" t="s">
        <v>437</v>
      </c>
      <c r="J122" s="231" t="str">
        <f t="array" ref="J122">if(isblank(E122),"",xlookup(I122,z_Others!$M$17:$M$20,z_Others!$O$17:$O$20,"",0,1))</f>
        <v>Indigo</v>
      </c>
      <c r="K122" s="292" t="str">
        <f t="array" ref="K122">xlookup(I122,z_Others!$M$17:$M$20,z_Others!$N$17:$N$20,"",0,1)</f>
        <v>BUE</v>
      </c>
      <c r="L122" s="292" t="str">
        <f t="array" ref="L122">xlookup(F122,z_Others!$B$21:$B$45,z_Others!$D$21:$D$45,"",0,1)</f>
        <v>GLBW0</v>
      </c>
      <c r="M122" s="296" t="str">
        <f t="array" ref="M122">xlookup(F122,z_Others!$B$21:$B$45,z_Others!$C$21:$C$45,"",0,1)</f>
        <v>ATT</v>
      </c>
      <c r="N122" s="297">
        <f t="array" ref="N122">if(isblank(E122),"",xlookup($N$9&amp;M122,z_Others!$X$5:$X$17&amp;z_Others!$W$5:$W$17,z_Others!$Z$5:$Z$17,"",0,1))</f>
        <v>35582324</v>
      </c>
      <c r="O122" s="298" t="str">
        <f t="array" ref="O122">if(isblank(E122),"",xlookup($N$9&amp;M122,z_Others!$X$5:$X$17&amp;z_Others!$W$5:$W$17,z_Others!$AH$5:$AH$17,"",0,1))</f>
        <v>35 582324 020000x</v>
      </c>
      <c r="P122" s="299" t="str">
        <f t="array" ref="P122">if(isblank(E122),"",xlookup($N$9&amp;M122,z_Others!$X$5:$X$17&amp;z_Others!$W$5:$W$17,z_Others!$AI$5:$AI$17,"",0,1))</f>
        <v>35 582324 999999x</v>
      </c>
      <c r="Q122" s="300" t="s">
        <v>413</v>
      </c>
      <c r="R122" s="301" t="s">
        <v>414</v>
      </c>
      <c r="S122" s="302">
        <f t="array" ref="S122">if(isblank(E122),"",xlookup($S$9&amp;M122,z_Others!$X$5:$X$17&amp;z_Others!$W$5:$W$17,z_Others!$Z$5:$Z$17,"",0,1))</f>
        <v>35484520</v>
      </c>
      <c r="T122" s="303" t="str">
        <f t="array" ref="T122">if(isblank(E122),"",xlookup($S$9&amp;M122,z_Others!$X$5:$X$17&amp;z_Others!$W$5:$W$17,z_Others!$AH$5:$AH$17,"",0,1))</f>
        <v>35 484520 020000x</v>
      </c>
      <c r="U122" s="303" t="str">
        <f t="array" ref="U122">if(isblank(E122),"",xlookup($S$9&amp;M122,z_Others!$X$5:$X$17&amp;z_Others!$W$5:$W$17,z_Others!$AI$5:$AI$17,"",0,1))</f>
        <v>35 484520 999999x</v>
      </c>
      <c r="V122" s="303" t="str">
        <f t="shared" si="2"/>
        <v>64:9D:38:32:91:82
B0:D5:FB:C6:60:70</v>
      </c>
      <c r="W122" s="303" t="str">
        <f t="shared" si="3"/>
        <v>64:9D:38:37:25:61
B0:D5:FB:CE:01:8F</v>
      </c>
      <c r="X122" s="304" t="str">
        <f t="shared" si="4"/>
        <v>MP1.0</v>
      </c>
      <c r="Y122" s="292"/>
      <c r="Z122" s="304" t="str">
        <f t="shared" si="32"/>
        <v>Android 16</v>
      </c>
      <c r="AA122" s="304" t="str">
        <f t="shared" si="41"/>
        <v>TBD</v>
      </c>
      <c r="AB122" s="305" t="s">
        <v>1029</v>
      </c>
      <c r="AC122" s="305" t="s">
        <v>1030</v>
      </c>
      <c r="AD122" s="314" t="s">
        <v>447</v>
      </c>
      <c r="AE122" s="307" t="s">
        <v>418</v>
      </c>
      <c r="AF122" s="308" t="s">
        <v>447</v>
      </c>
      <c r="AG122" s="309" t="s">
        <v>418</v>
      </c>
      <c r="AH122" s="297" t="str">
        <f t="array" ref="AH122">if(isblank(E122),"",xlookup(F122,z_Others!$B$21:$B$45,z_Others!$F$21:$F$45,"TBD",0,1))</f>
        <v>US</v>
      </c>
      <c r="AI122" s="310" t="str">
        <f t="array" ref="AI122">if(isblank(E122),"", xlookup(E122,'Import_FL5_LH_PVTMP_Configs (Do'!E:E,'Import_FL5_LH_PVTMP_Configs (Do'!O:O,"TBD",0,1))</f>
        <v>G710-07800-01</v>
      </c>
      <c r="AJ122" s="311"/>
      <c r="AK122" s="310" t="str">
        <f t="array" ref="AK122">if(isblank(E122),"", xlookup(E122,'Import_FL5_LH_PVTMP_Configs (Do'!E:E,'Import_FL5_LH_PVTMP_Configs (Do'!Q:Q,"TBD",0,1))</f>
        <v>G650-14694-05</v>
      </c>
      <c r="AL122" s="310" t="str">
        <f t="array" ref="AL122">if(isblank(E122),"", xlookup(E122,'Import_FL5_LH_PVTMP_Configs (Do'!E:E,'Import_FL5_LH_PVTMP_Configs (Do'!M:M,"TBD",0,1))</f>
        <v>G710-07670-01</v>
      </c>
      <c r="AM122" s="310" t="str">
        <f t="array" ref="AM122">if(isblank(E122),"", xlookup(E122,'Import_FL5_LH_PVTMP_Configs (Do'!E:E,'Import_FL5_LH_PVTMP_Configs (Do'!N:N,"TBD",0,1))</f>
        <v>G730-09533-04</v>
      </c>
      <c r="AN122" s="310" t="str">
        <f t="array" ref="AN122">if(isblank(E122),"", xlookup(E122,'Import_FL5_LH_PVTMP_Configs (Do'!E:E,'Import_FL5_LH_PVTMP_Configs (Do'!K:K,"TBD",0,1))</f>
        <v>G950-15935-03</v>
      </c>
      <c r="AO122" s="292" t="str">
        <f t="array" ref="AO122">if(isblank(E122),"",XLOOKUP(E122,'FL5_G954 Pkg ASSY (Pkg BOM)'!L:L,'FL5_G954 Pkg ASSY (Pkg BOM)'!G:G,"N/A",0,1))</f>
        <v>G954-09574-00</v>
      </c>
      <c r="AP122" s="292" t="str">
        <f t="array" ref="AP122">if(isblank(E122),"",xlookup(E122,'FL5_G962 Country kit (Accesorie'!L:L,'FL5_G962 Country kit (Accesorie'!G:G,"N/A",0,1))</f>
        <v>G962-00511-00</v>
      </c>
      <c r="AQ122" s="304" t="str">
        <f t="array" ref="AQ122">if(isblank(E122),"", xlookup(E122,'Import_LH_Label approve'!E:E,'Import_LH_Label approve'!M:M,"",0,1))</f>
        <v>G990-08380-41-01
G990-08380-41-A</v>
      </c>
      <c r="AR122" s="304" t="str">
        <f t="array" ref="AR122">if(isblank(E122),"",xlookup(E122,'Import_LH_Label approve'!E:E,'Import_LH_Label approve'!N:N,"",0,1))</f>
        <v>G990-09764-00-01
G990-09764-00-A</v>
      </c>
      <c r="AS122" s="292" t="s">
        <v>419</v>
      </c>
      <c r="AT122" s="302" t="str">
        <f t="shared" si="6"/>
        <v>Yes</v>
      </c>
      <c r="AU122" s="302" t="str">
        <f t="shared" si="7"/>
        <v>No</v>
      </c>
      <c r="AV122" s="302" t="str">
        <f t="shared" si="8"/>
        <v>No</v>
      </c>
      <c r="AW122" s="292" t="s">
        <v>1031</v>
      </c>
      <c r="AX122" s="302" t="s">
        <v>1032</v>
      </c>
      <c r="AY122" s="302" t="s">
        <v>1033</v>
      </c>
      <c r="AZ122" s="312" t="str">
        <f t="array" ref="AZ122">if(isblank(E122),"", xlookup(E122,Import_FL5_LH_PVT_BM!D:D,Import_FL5_LH_PVT_BM!AK:AK,$F$4,0,1))</f>
        <v>MP</v>
      </c>
      <c r="BA122" s="292" t="str">
        <f t="shared" si="9"/>
        <v>Retail_10ct</v>
      </c>
      <c r="BB122" s="313" t="str">
        <f t="array" ref="BB122">if(isblank(E122),"",xlookup(F122,z_Others!$B$21:$B$42,z_Others!$G$21:$G$42,"No",0,1))</f>
        <v>ATT Master Carton Label</v>
      </c>
      <c r="BC122" s="313" t="str">
        <f t="array" ref="BC122">if(isblank(E122),"",xlookup(F122,z_Others!$B$21:$B$42,z_Others!$H$21:$H$42,"No",0,1))</f>
        <v>ATT Pallet Label (BTO)
ATT Pallet Label (BTS)</v>
      </c>
      <c r="BD122" s="330" t="str">
        <f t="array" ref="BD122">if(isblank(E122),"",xlookup(E122,'Import_VN_Label approve'!E:E,'Import_VN_Label approve'!L:L,"N/A",0,1))</f>
        <v>G990-08482-41-01</v>
      </c>
      <c r="BE122" s="330" t="str">
        <f t="array" ref="BE122">if(isblank(E122),"",xlookup(E122,'Import_VN_Label approve'!E:E,'Import_VN_Label approve'!N:N,"N/A",0,1))</f>
        <v>G990-09764-00-01</v>
      </c>
      <c r="BF122" s="315"/>
      <c r="BG122" s="316" t="s">
        <v>422</v>
      </c>
      <c r="BH122" s="317" t="s">
        <v>423</v>
      </c>
      <c r="BI122" s="318">
        <v>45782.0</v>
      </c>
      <c r="BJ122" s="319" t="str">
        <f t="array" ref="BJ122">if(isblank(E122),"", xlookup(D122,z_Others!$B$5:$B$17,z_Others!$C$5:$C$17,"",0,1))</f>
        <v>智能手機</v>
      </c>
      <c r="BK122" s="320">
        <v>45782.0</v>
      </c>
      <c r="BL122" s="320" t="str">
        <f t="array" ref="BL122">if(isblank(E122),"",xlookup(E122,'FL5_MP POR_LH_報關備案_G950 &amp; GA'!F:F,'FL5_MP POR_LH_報關備案_G950 &amp; GA'!E:E,"No Need",0,1))</f>
        <v>Close</v>
      </c>
      <c r="BM122" s="321" t="str">
        <f t="array" ref="BM122">if(isblank(E122),"",xlookup($BM$9&amp;E122,'Import_FL5 MPS (06.06.25) - Sor'!E118:E334&amp;'Import_FL5 MPS (06.06.25) - Sor'!F118:F334,'Import_FL5 MPS (06.06.25) - Sor'!ES118:ES334,"No demand",0,1))</f>
        <v>No demand</v>
      </c>
      <c r="BN122" s="321" t="str">
        <f t="array" ref="BN122">if(isblank(E122),"",xlookup($BN$9&amp;E122,'Import_FL5 MPS (06.06.25) - Sor'!E118:E334&amp;'Import_FL5 MPS (06.06.25) - Sor'!F118:F334,'Import_FL5 MPS (06.06.25) - Sor'!ES118:ES334,"No demand",0,1))</f>
        <v>No demand</v>
      </c>
      <c r="BO122" s="321" t="str">
        <f t="array" ref="BO122">if(isblank(E122),"",xlookup($BO$9&amp;E122,'Import_FL5 MPS (06.06.25) - Sor'!E118:E334&amp;'Import_FL5 MPS (06.06.25) - Sor'!F118:F334,'Import_FL5 MPS (06.06.25) - Sor'!ES118:ES334,"No demand",0,1))</f>
        <v>No demand</v>
      </c>
      <c r="BP122" s="322" t="str">
        <f t="array" ref="BP122">if(isblank(E122),"", xlookup(E122,'Import_LH_Label approve'!E:E,'Import_LH_Label approve'!L:L,"",0,1))</f>
        <v/>
      </c>
      <c r="BQ122" s="322" t="str">
        <f t="array" ref="BQ122">if(isblank(E122),"",xlookup(E122,'Import_VN_Label approve'!E:E,'Import_VN_Label approve'!M:M,"N/A",0,1))</f>
        <v/>
      </c>
      <c r="BR122" s="325"/>
      <c r="BS122" s="323"/>
      <c r="BT122" s="324"/>
      <c r="BU122" s="91"/>
    </row>
    <row r="123">
      <c r="A123" s="176"/>
      <c r="B123" s="292">
        <v>112.0</v>
      </c>
      <c r="C123" s="231" t="s">
        <v>287</v>
      </c>
      <c r="D123" s="231" t="s">
        <v>408</v>
      </c>
      <c r="E123" s="351" t="s">
        <v>1034</v>
      </c>
      <c r="F123" s="294" t="s">
        <v>470</v>
      </c>
      <c r="G123" s="294" t="s">
        <v>471</v>
      </c>
      <c r="H123" s="292" t="str">
        <f t="array" ref="H123">xlookup(F123,z_Others!$B$21:$B$45,z_Others!$E$21:$E$45,"",0,1)</f>
        <v>mmWave</v>
      </c>
      <c r="I123" s="310" t="s">
        <v>412</v>
      </c>
      <c r="J123" s="231" t="str">
        <f t="array" ref="J123">if(isblank(E123),"",xlookup(I123,z_Others!$M$17:$M$20,z_Others!$O$17:$O$20,"",0,1))</f>
        <v>Obsidian</v>
      </c>
      <c r="K123" s="292" t="str">
        <f t="array" ref="K123">xlookup(I123,z_Others!$M$17:$M$20,z_Others!$N$17:$N$20,"",0,1)</f>
        <v>BLK</v>
      </c>
      <c r="L123" s="292" t="str">
        <f t="array" ref="L123">xlookup(F123,z_Others!$B$21:$B$45,z_Others!$D$21:$D$45,"",0,1)</f>
        <v>GLBW0</v>
      </c>
      <c r="M123" s="296" t="str">
        <f t="array" ref="M123">xlookup(F123,z_Others!$B$21:$B$45,z_Others!$C$21:$C$45,"",0,1)</f>
        <v>NA</v>
      </c>
      <c r="N123" s="297">
        <f t="array" ref="N123">if(isblank(E123),"",xlookup($N$9&amp;M123,z_Others!$X$5:$X$17&amp;z_Others!$W$5:$W$17,z_Others!$Z$5:$Z$17,"",0,1))</f>
        <v>35124436</v>
      </c>
      <c r="O123" s="298" t="str">
        <f t="array" ref="O123">if(isblank(E123),"",xlookup($N$9&amp;M123,z_Others!$X$5:$X$17&amp;z_Others!$W$5:$W$17,z_Others!$AH$5:$AH$17,"",0,1))</f>
        <v>35 124436 070000x
</v>
      </c>
      <c r="P123" s="299" t="str">
        <f t="array" ref="P123">if(isblank(E123),"",xlookup($N$9&amp;M123,z_Others!$X$5:$X$17&amp;z_Others!$W$5:$W$17,z_Others!$AI$5:$AI$17,"",0,1))</f>
        <v>35 124436 999999x</v>
      </c>
      <c r="Q123" s="300" t="s">
        <v>413</v>
      </c>
      <c r="R123" s="301" t="s">
        <v>414</v>
      </c>
      <c r="S123" s="302">
        <f t="array" ref="S123">if(isblank(E123),"",xlookup($S$9&amp;M123,z_Others!$X$5:$X$17&amp;z_Others!$W$5:$W$17,z_Others!$Z$5:$Z$17,"",0,1))</f>
        <v>35676628</v>
      </c>
      <c r="T123" s="303" t="str">
        <f t="array" ref="T123">if(isblank(E123),"",xlookup($S$9&amp;M123,z_Others!$X$5:$X$17&amp;z_Others!$W$5:$W$17,z_Others!$AH$5:$AH$17,"",0,1))</f>
        <v>35 676628 040000x
35 676628 340000x</v>
      </c>
      <c r="U123" s="303" t="str">
        <f t="array" ref="U123">if(isblank(E123),"",xlookup($S$9&amp;M123,z_Others!$X$5:$X$17&amp;z_Others!$W$5:$W$17,z_Others!$AI$5:$AI$17,"",0,1))</f>
        <v>35 676628 999999x
35 676628 639999x</v>
      </c>
      <c r="V123" s="303" t="str">
        <f t="shared" si="2"/>
        <v>64:9D:38:32:91:82
B0:D5:FB:C6:60:70</v>
      </c>
      <c r="W123" s="303" t="str">
        <f t="shared" si="3"/>
        <v>64:9D:38:37:25:61
B0:D5:FB:CE:01:8F</v>
      </c>
      <c r="X123" s="304" t="str">
        <f t="shared" si="4"/>
        <v>MP1.0</v>
      </c>
      <c r="Y123" s="292"/>
      <c r="Z123" s="304" t="str">
        <f t="shared" si="32"/>
        <v>Android 16</v>
      </c>
      <c r="AA123" s="304" t="str">
        <f t="shared" si="41"/>
        <v>TBD</v>
      </c>
      <c r="AB123" s="305" t="s">
        <v>1035</v>
      </c>
      <c r="AC123" s="305" t="s">
        <v>1036</v>
      </c>
      <c r="AD123" s="314" t="s">
        <v>447</v>
      </c>
      <c r="AE123" s="307" t="s">
        <v>418</v>
      </c>
      <c r="AF123" s="308" t="s">
        <v>447</v>
      </c>
      <c r="AG123" s="309" t="s">
        <v>418</v>
      </c>
      <c r="AH123" s="297" t="str">
        <f t="array" ref="AH123">if(isblank(E123),"",xlookup(F123,z_Others!$B$21:$B$45,z_Others!$F$21:$F$45,"TBD",0,1))</f>
        <v>00</v>
      </c>
      <c r="AI123" s="310" t="str">
        <f t="array" ref="AI123">if(isblank(E123),"", xlookup(E123,'Import_FL5_LH_PVTMP_Configs (Do'!E:E,'Import_FL5_LH_PVTMP_Configs (Do'!O:O,"TBD",0,1))</f>
        <v>G710-07800-01</v>
      </c>
      <c r="AJ123" s="311"/>
      <c r="AK123" s="310" t="str">
        <f t="array" ref="AK123">if(isblank(E123),"", xlookup(E123,'Import_FL5_LH_PVTMP_Configs (Do'!E:E,'Import_FL5_LH_PVTMP_Configs (Do'!Q:Q,"TBD",0,1))</f>
        <v>G650-14694-05</v>
      </c>
      <c r="AL123" s="310" t="str">
        <f t="array" ref="AL123">if(isblank(E123),"", xlookup(E123,'Import_FL5_LH_PVTMP_Configs (Do'!E:E,'Import_FL5_LH_PVTMP_Configs (Do'!M:M,"TBD",0,1))</f>
        <v>G710-07670-01</v>
      </c>
      <c r="AM123" s="310" t="str">
        <f t="array" ref="AM123">if(isblank(E123),"", xlookup(E123,'Import_FL5_LH_PVTMP_Configs (Do'!E:E,'Import_FL5_LH_PVTMP_Configs (Do'!N:N,"TBD",0,1))</f>
        <v>G730-09533-01</v>
      </c>
      <c r="AN123" s="310" t="str">
        <f t="array" ref="AN123">if(isblank(E123),"", xlookup(E123,'Import_FL5_LH_PVTMP_Configs (Do'!E:E,'Import_FL5_LH_PVTMP_Configs (Do'!K:K,"TBD",0,1))</f>
        <v>G950-15935-00</v>
      </c>
      <c r="AO123" s="292" t="str">
        <f t="array" ref="AO123">if(isblank(E123),"",XLOOKUP(E123,'FL5_G954 Pkg ASSY (Pkg BOM)'!L:L,'FL5_G954 Pkg ASSY (Pkg BOM)'!G:G,"N/A",0,1))</f>
        <v>G954-09573-00</v>
      </c>
      <c r="AP123" s="292" t="str">
        <f t="array" ref="AP123">if(isblank(E123),"",xlookup(E123,'FL5_G962 Country kit (Accesorie'!L:L,'FL5_G962 Country kit (Accesorie'!G:G,"N/A",0,1))</f>
        <v>G962-00511-00</v>
      </c>
      <c r="AQ123" s="304" t="str">
        <f t="array" ref="AQ123">if(isblank(E123),"", xlookup(E123,'Import_LH_Label approve'!E:E,'Import_LH_Label approve'!M:M,"",0,1))</f>
        <v>G990-08380-11-01
G990-08380-11-A</v>
      </c>
      <c r="AR123" s="304" t="str">
        <f t="array" ref="AR123">if(isblank(E123),"",xlookup(E123,'Import_LH_Label approve'!E:E,'Import_LH_Label approve'!N:N,"",0,1))</f>
        <v>G990-09765-00-01
G990-09765-00-A</v>
      </c>
      <c r="AS123" s="292" t="s">
        <v>419</v>
      </c>
      <c r="AT123" s="302" t="str">
        <f t="shared" si="6"/>
        <v>Yes</v>
      </c>
      <c r="AU123" s="302" t="str">
        <f t="shared" si="7"/>
        <v>No</v>
      </c>
      <c r="AV123" s="302" t="str">
        <f t="shared" si="8"/>
        <v>No</v>
      </c>
      <c r="AW123" s="302"/>
      <c r="AX123" s="302" t="s">
        <v>1037</v>
      </c>
      <c r="AY123" s="302" t="s">
        <v>1038</v>
      </c>
      <c r="AZ123" s="312" t="str">
        <f t="array" ref="AZ123">if(isblank(E123),"", xlookup(E123,Import_FL5_LH_PVT_BM!D:D,Import_FL5_LH_PVT_BM!AK:AK,$F$4,0,1))</f>
        <v>MP</v>
      </c>
      <c r="BA123" s="292" t="str">
        <f t="shared" si="9"/>
        <v>Retail_10ct</v>
      </c>
      <c r="BB123" s="313" t="str">
        <f t="array" ref="BB123">if(isblank(E123),"",xlookup(F123,z_Others!$B$21:$B$42,z_Others!$G$21:$G$42,"No",0,1))</f>
        <v>ROW Master Carton Label (UPC)</v>
      </c>
      <c r="BC123" s="313" t="str">
        <f t="array" ref="BC123">if(isblank(E123),"",xlookup(F123,z_Others!$B$21:$B$42,z_Others!$H$21:$H$42,"No",0,1))</f>
        <v>Standard Pallet Label (BTO)
Standard Pallet Label (BTS)</v>
      </c>
      <c r="BD123" s="314" t="str">
        <f t="array" ref="BD123">if(isblank(E123),"",xlookup(E123,'Import_VN_Label approve'!E:E,'Import_VN_Label approve'!L:L,"N/A",0,1))</f>
        <v>N/A</v>
      </c>
      <c r="BE123" s="314" t="str">
        <f t="array" ref="BE123">if(isblank(E123),"",xlookup(E123,'Import_VN_Label approve'!E:E,'Import_VN_Label approve'!N:N,"N/A",0,1))</f>
        <v>N/A</v>
      </c>
      <c r="BF123" s="315"/>
      <c r="BG123" s="316" t="s">
        <v>422</v>
      </c>
      <c r="BH123" s="317" t="s">
        <v>423</v>
      </c>
      <c r="BI123" s="318">
        <v>45782.0</v>
      </c>
      <c r="BJ123" s="319" t="str">
        <f t="array" ref="BJ123">if(isblank(E123),"", xlookup(D123,z_Others!$B$5:$B$17,z_Others!$C$5:$C$17,"",0,1))</f>
        <v>智能手機</v>
      </c>
      <c r="BK123" s="320">
        <v>45782.0</v>
      </c>
      <c r="BL123" s="320" t="str">
        <f t="array" ref="BL123">if(isblank(E123),"",xlookup(E123,'FL5_MP POR_LH_報關備案_G950 &amp; GA'!F:F,'FL5_MP POR_LH_報關備案_G950 &amp; GA'!E:E,"No Need",0,1))</f>
        <v>Close</v>
      </c>
      <c r="BM123" s="321" t="str">
        <f t="array" ref="BM123">if(isblank(E123),"",xlookup($BM$9&amp;E123,'Import_FL5 MPS (06.06.25) - Sor'!E119:E334&amp;'Import_FL5 MPS (06.06.25) - Sor'!F119:F334,'Import_FL5 MPS (06.06.25) - Sor'!ES119:ES334,"No demand",0,1))</f>
        <v>No demand</v>
      </c>
      <c r="BN123" s="321" t="str">
        <f t="array" ref="BN123">if(isblank(E123),"",xlookup($BN$9&amp;E123,'Import_FL5 MPS (06.06.25) - Sor'!E119:E334&amp;'Import_FL5 MPS (06.06.25) - Sor'!F119:F334,'Import_FL5 MPS (06.06.25) - Sor'!ES119:ES334,"No demand",0,1))</f>
        <v>No demand</v>
      </c>
      <c r="BO123" s="321" t="str">
        <f t="array" ref="BO123">if(isblank(E123),"",xlookup($BO$9&amp;E123,'Import_FL5 MPS (06.06.25) - Sor'!E119:E334&amp;'Import_FL5 MPS (06.06.25) - Sor'!F119:F334,'Import_FL5 MPS (06.06.25) - Sor'!ES119:ES334,"No demand",0,1))</f>
        <v>No demand</v>
      </c>
      <c r="BP123" s="322" t="str">
        <f t="array" ref="BP123">if(isblank(E123),"", xlookup(E123,'Import_LH_Label approve'!E:E,'Import_LH_Label approve'!L:L,"",0,1))</f>
        <v>NA</v>
      </c>
      <c r="BQ123" s="322" t="str">
        <f t="array" ref="BQ123">if(isblank(E123),"",xlookup(E123,'Import_VN_Label approve'!E:E,'Import_VN_Label approve'!M:M,"N/A",0,1))</f>
        <v>N/A</v>
      </c>
      <c r="BR123" s="325"/>
      <c r="BS123" s="323"/>
      <c r="BT123" s="324"/>
      <c r="BU123" s="91"/>
    </row>
    <row r="124">
      <c r="A124" s="176"/>
      <c r="B124" s="292">
        <v>113.0</v>
      </c>
      <c r="C124" s="231" t="s">
        <v>287</v>
      </c>
      <c r="D124" s="231" t="s">
        <v>408</v>
      </c>
      <c r="E124" s="351" t="s">
        <v>1039</v>
      </c>
      <c r="F124" s="294" t="s">
        <v>470</v>
      </c>
      <c r="G124" s="294" t="s">
        <v>471</v>
      </c>
      <c r="H124" s="292" t="str">
        <f t="array" ref="H124">xlookup(F124,z_Others!$B$21:$B$45,z_Others!$E$21:$E$45,"",0,1)</f>
        <v>mmWave</v>
      </c>
      <c r="I124" s="310" t="s">
        <v>437</v>
      </c>
      <c r="J124" s="231" t="str">
        <f t="array" ref="J124">if(isblank(E124),"",xlookup(I124,z_Others!$M$17:$M$20,z_Others!$O$17:$O$20,"",0,1))</f>
        <v>Indigo</v>
      </c>
      <c r="K124" s="292" t="str">
        <f t="array" ref="K124">xlookup(I124,z_Others!$M$17:$M$20,z_Others!$N$17:$N$20,"",0,1)</f>
        <v>BUE</v>
      </c>
      <c r="L124" s="292" t="str">
        <f t="array" ref="L124">xlookup(F124,z_Others!$B$21:$B$45,z_Others!$D$21:$D$45,"",0,1)</f>
        <v>GLBW0</v>
      </c>
      <c r="M124" s="296" t="str">
        <f t="array" ref="M124">xlookup(F124,z_Others!$B$21:$B$45,z_Others!$C$21:$C$45,"",0,1)</f>
        <v>NA</v>
      </c>
      <c r="N124" s="297">
        <f t="array" ref="N124">if(isblank(E124),"",xlookup($N$9&amp;M124,z_Others!$X$5:$X$17&amp;z_Others!$W$5:$W$17,z_Others!$Z$5:$Z$17,"",0,1))</f>
        <v>35124436</v>
      </c>
      <c r="O124" s="298" t="str">
        <f t="array" ref="O124">if(isblank(E124),"",xlookup($N$9&amp;M124,z_Others!$X$5:$X$17&amp;z_Others!$W$5:$W$17,z_Others!$AH$5:$AH$17,"",0,1))</f>
        <v>35 124436 070000x
</v>
      </c>
      <c r="P124" s="299" t="str">
        <f t="array" ref="P124">if(isblank(E124),"",xlookup($N$9&amp;M124,z_Others!$X$5:$X$17&amp;z_Others!$W$5:$W$17,z_Others!$AI$5:$AI$17,"",0,1))</f>
        <v>35 124436 999999x</v>
      </c>
      <c r="Q124" s="300" t="s">
        <v>413</v>
      </c>
      <c r="R124" s="301" t="s">
        <v>414</v>
      </c>
      <c r="S124" s="302">
        <f t="array" ref="S124">if(isblank(E124),"",xlookup($S$9&amp;M124,z_Others!$X$5:$X$17&amp;z_Others!$W$5:$W$17,z_Others!$Z$5:$Z$17,"",0,1))</f>
        <v>35676628</v>
      </c>
      <c r="T124" s="303" t="str">
        <f t="array" ref="T124">if(isblank(E124),"",xlookup($S$9&amp;M124,z_Others!$X$5:$X$17&amp;z_Others!$W$5:$W$17,z_Others!$AH$5:$AH$17,"",0,1))</f>
        <v>35 676628 040000x
35 676628 340000x</v>
      </c>
      <c r="U124" s="303" t="str">
        <f t="array" ref="U124">if(isblank(E124),"",xlookup($S$9&amp;M124,z_Others!$X$5:$X$17&amp;z_Others!$W$5:$W$17,z_Others!$AI$5:$AI$17,"",0,1))</f>
        <v>35 676628 999999x
35 676628 639999x</v>
      </c>
      <c r="V124" s="303" t="str">
        <f t="shared" si="2"/>
        <v>64:9D:38:32:91:82
B0:D5:FB:C6:60:70</v>
      </c>
      <c r="W124" s="303" t="str">
        <f t="shared" si="3"/>
        <v>64:9D:38:37:25:61
B0:D5:FB:CE:01:8F</v>
      </c>
      <c r="X124" s="304" t="str">
        <f t="shared" si="4"/>
        <v>MP1.0</v>
      </c>
      <c r="Y124" s="292"/>
      <c r="Z124" s="304" t="str">
        <f t="shared" si="32"/>
        <v>Android 16</v>
      </c>
      <c r="AA124" s="304" t="str">
        <f t="shared" ref="AA124:AA131" si="42">if(isblank(E124),"",IF(AG124="AD1A.240530.047","Android 14",IF(AG124="AP3A.241105.008","Android 15","TBD")))</f>
        <v>TBD</v>
      </c>
      <c r="AB124" s="305" t="s">
        <v>1040</v>
      </c>
      <c r="AC124" s="305" t="s">
        <v>1041</v>
      </c>
      <c r="AD124" s="314" t="s">
        <v>447</v>
      </c>
      <c r="AE124" s="307" t="s">
        <v>418</v>
      </c>
      <c r="AF124" s="308" t="s">
        <v>447</v>
      </c>
      <c r="AG124" s="309" t="s">
        <v>418</v>
      </c>
      <c r="AH124" s="297" t="str">
        <f t="array" ref="AH124">if(isblank(E124),"",xlookup(F124,z_Others!$B$21:$B$45,z_Others!$F$21:$F$45,"TBD",0,1))</f>
        <v>00</v>
      </c>
      <c r="AI124" s="310" t="str">
        <f t="array" ref="AI124">if(isblank(E124),"", xlookup(E124,'Import_FL5_LH_PVTMP_Configs (Do'!E:E,'Import_FL5_LH_PVTMP_Configs (Do'!O:O,"TBD",0,1))</f>
        <v>G710-07800-01</v>
      </c>
      <c r="AJ124" s="311"/>
      <c r="AK124" s="310" t="str">
        <f t="array" ref="AK124">if(isblank(E124),"", xlookup(E124,'Import_FL5_LH_PVTMP_Configs (Do'!E:E,'Import_FL5_LH_PVTMP_Configs (Do'!Q:Q,"TBD",0,1))</f>
        <v>G650-14694-05</v>
      </c>
      <c r="AL124" s="310" t="str">
        <f t="array" ref="AL124">if(isblank(E124),"", xlookup(E124,'Import_FL5_LH_PVTMP_Configs (Do'!E:E,'Import_FL5_LH_PVTMP_Configs (Do'!M:M,"TBD",0,1))</f>
        <v>G710-07670-01</v>
      </c>
      <c r="AM124" s="310" t="str">
        <f t="array" ref="AM124">if(isblank(E124),"", xlookup(E124,'Import_FL5_LH_PVTMP_Configs (Do'!E:E,'Import_FL5_LH_PVTMP_Configs (Do'!N:N,"TBD",0,1))</f>
        <v>G730-09533-04</v>
      </c>
      <c r="AN124" s="310" t="str">
        <f t="array" ref="AN124">if(isblank(E124),"", xlookup(E124,'Import_FL5_LH_PVTMP_Configs (Do'!E:E,'Import_FL5_LH_PVTMP_Configs (Do'!K:K,"TBD",0,1))</f>
        <v>G950-15935-03</v>
      </c>
      <c r="AO124" s="292" t="str">
        <f t="array" ref="AO124">if(isblank(E124),"",XLOOKUP(E124,'FL5_G954 Pkg ASSY (Pkg BOM)'!L:L,'FL5_G954 Pkg ASSY (Pkg BOM)'!G:G,"N/A",0,1))</f>
        <v>G954-09573-00</v>
      </c>
      <c r="AP124" s="292" t="str">
        <f t="array" ref="AP124">if(isblank(E124),"",xlookup(E124,'FL5_G962 Country kit (Accesorie'!L:L,'FL5_G962 Country kit (Accesorie'!G:G,"N/A",0,1))</f>
        <v>G962-00511-00</v>
      </c>
      <c r="AQ124" s="304" t="str">
        <f t="array" ref="AQ124">if(isblank(E124),"", xlookup(E124,'Import_LH_Label approve'!E:E,'Import_LH_Label approve'!M:M,"",0,1))</f>
        <v>G990-08380-41-01
G990-08380-41-A</v>
      </c>
      <c r="AR124" s="304" t="str">
        <f t="array" ref="AR124">if(isblank(E124),"",xlookup(E124,'Import_LH_Label approve'!E:E,'Import_LH_Label approve'!N:N,"",0,1))</f>
        <v>G990-09765-00-01
G990-09765-00-A</v>
      </c>
      <c r="AS124" s="292" t="s">
        <v>419</v>
      </c>
      <c r="AT124" s="302" t="str">
        <f t="shared" si="6"/>
        <v>Yes</v>
      </c>
      <c r="AU124" s="302" t="str">
        <f t="shared" si="7"/>
        <v>No</v>
      </c>
      <c r="AV124" s="302" t="str">
        <f t="shared" si="8"/>
        <v>No</v>
      </c>
      <c r="AW124" s="302"/>
      <c r="AX124" s="302" t="s">
        <v>1042</v>
      </c>
      <c r="AY124" s="302" t="s">
        <v>1043</v>
      </c>
      <c r="AZ124" s="312" t="str">
        <f t="array" ref="AZ124">if(isblank(E124),"", xlookup(E124,Import_FL5_LH_PVT_BM!D:D,Import_FL5_LH_PVT_BM!AK:AK,$F$4,0,1))</f>
        <v>MP</v>
      </c>
      <c r="BA124" s="292" t="str">
        <f t="shared" si="9"/>
        <v>Retail_10ct</v>
      </c>
      <c r="BB124" s="313" t="str">
        <f t="array" ref="BB124">if(isblank(E124),"",xlookup(F124,z_Others!$B$21:$B$42,z_Others!$G$21:$G$42,"No",0,1))</f>
        <v>ROW Master Carton Label (UPC)</v>
      </c>
      <c r="BC124" s="313" t="str">
        <f t="array" ref="BC124">if(isblank(E124),"",xlookup(F124,z_Others!$B$21:$B$42,z_Others!$H$21:$H$42,"No",0,1))</f>
        <v>Standard Pallet Label (BTO)
Standard Pallet Label (BTS)</v>
      </c>
      <c r="BD124" s="314" t="str">
        <f t="array" ref="BD124">if(isblank(E124),"",xlookup(E124,'Import_VN_Label approve'!E:E,'Import_VN_Label approve'!L:L,"N/A",0,1))</f>
        <v>N/A</v>
      </c>
      <c r="BE124" s="314" t="str">
        <f t="array" ref="BE124">if(isblank(E124),"",xlookup(E124,'Import_VN_Label approve'!E:E,'Import_VN_Label approve'!N:N,"N/A",0,1))</f>
        <v>N/A</v>
      </c>
      <c r="BF124" s="315"/>
      <c r="BG124" s="316" t="s">
        <v>422</v>
      </c>
      <c r="BH124" s="317" t="s">
        <v>423</v>
      </c>
      <c r="BI124" s="318">
        <v>45782.0</v>
      </c>
      <c r="BJ124" s="319" t="str">
        <f t="array" ref="BJ124">if(isblank(E124),"", xlookup(D124,z_Others!$B$5:$B$17,z_Others!$C$5:$C$17,"",0,1))</f>
        <v>智能手機</v>
      </c>
      <c r="BK124" s="320">
        <v>45782.0</v>
      </c>
      <c r="BL124" s="320" t="str">
        <f t="array" ref="BL124">if(isblank(E124),"",xlookup(E124,'FL5_MP POR_LH_報關備案_G950 &amp; GA'!F:F,'FL5_MP POR_LH_報關備案_G950 &amp; GA'!E:E,"No Need",0,1))</f>
        <v>Close</v>
      </c>
      <c r="BM124" s="321" t="str">
        <f t="array" ref="BM124">if(isblank(E124),"",xlookup($BM$9&amp;E124,'Import_FL5 MPS (06.06.25) - Sor'!E120:E334&amp;'Import_FL5 MPS (06.06.25) - Sor'!F120:F334,'Import_FL5 MPS (06.06.25) - Sor'!ES120:ES334,"No demand",0,1))</f>
        <v>No demand</v>
      </c>
      <c r="BN124" s="321" t="str">
        <f t="array" ref="BN124">if(isblank(E124),"",xlookup($BN$9&amp;E124,'Import_FL5 MPS (06.06.25) - Sor'!E120:E334&amp;'Import_FL5 MPS (06.06.25) - Sor'!F120:F334,'Import_FL5 MPS (06.06.25) - Sor'!ES120:ES334,"No demand",0,1))</f>
        <v>No demand</v>
      </c>
      <c r="BO124" s="321" t="str">
        <f t="array" ref="BO124">if(isblank(E124),"",xlookup($BO$9&amp;E124,'Import_FL5 MPS (06.06.25) - Sor'!E120:E334&amp;'Import_FL5 MPS (06.06.25) - Sor'!F120:F334,'Import_FL5 MPS (06.06.25) - Sor'!ES120:ES334,"No demand",0,1))</f>
        <v>No demand</v>
      </c>
      <c r="BP124" s="322" t="str">
        <f t="array" ref="BP124">if(isblank(E124),"", xlookup(E124,'Import_LH_Label approve'!E:E,'Import_LH_Label approve'!L:L,"",0,1))</f>
        <v>NA</v>
      </c>
      <c r="BQ124" s="322" t="str">
        <f t="array" ref="BQ124">if(isblank(E124),"",xlookup(E124,'Import_VN_Label approve'!E:E,'Import_VN_Label approve'!M:M,"N/A",0,1))</f>
        <v>N/A</v>
      </c>
      <c r="BR124" s="325"/>
      <c r="BS124" s="323"/>
      <c r="BT124" s="324"/>
      <c r="BU124" s="91"/>
    </row>
    <row r="125">
      <c r="A125" s="176"/>
      <c r="B125" s="292">
        <v>114.0</v>
      </c>
      <c r="C125" s="231" t="s">
        <v>287</v>
      </c>
      <c r="D125" s="231" t="s">
        <v>408</v>
      </c>
      <c r="E125" s="351" t="s">
        <v>1044</v>
      </c>
      <c r="F125" s="294" t="s">
        <v>554</v>
      </c>
      <c r="G125" s="294" t="s">
        <v>555</v>
      </c>
      <c r="H125" s="292" t="str">
        <f t="array" ref="H125">xlookup(F125,z_Others!$B$21:$B$45,z_Others!$E$21:$E$45,"",0,1)</f>
        <v>JPN</v>
      </c>
      <c r="I125" s="310" t="s">
        <v>412</v>
      </c>
      <c r="J125" s="231" t="str">
        <f t="array" ref="J125">if(isblank(E125),"",xlookup(I125,z_Others!$M$17:$M$20,z_Others!$O$17:$O$20,"",0,1))</f>
        <v>Obsidian</v>
      </c>
      <c r="K125" s="292" t="str">
        <f t="array" ref="K125">xlookup(I125,z_Others!$M$17:$M$20,z_Others!$N$17:$N$20,"",0,1)</f>
        <v>BLK</v>
      </c>
      <c r="L125" s="292" t="str">
        <f t="array" ref="L125">xlookup(F125,z_Others!$B$21:$B$45,z_Others!$D$21:$D$45,"",0,1)</f>
        <v>GL066</v>
      </c>
      <c r="M125" s="296" t="str">
        <f t="array" ref="M125">xlookup(F125,z_Others!$B$21:$B$45,z_Others!$C$21:$C$45,"",0,1)</f>
        <v>JPN</v>
      </c>
      <c r="N125" s="297">
        <v>3.5416229E7</v>
      </c>
      <c r="O125" s="331" t="s">
        <v>556</v>
      </c>
      <c r="P125" s="303" t="s">
        <v>557</v>
      </c>
      <c r="Q125" s="300" t="s">
        <v>413</v>
      </c>
      <c r="R125" s="301" t="s">
        <v>414</v>
      </c>
      <c r="S125" s="302">
        <f t="array" ref="S125">if(isblank(E125),"",xlookup($S$9&amp;M125,z_Others!$X$5:$X$17&amp;z_Others!$W$5:$W$17,z_Others!$Z$5:$Z$17,"",0,1))</f>
        <v>35444932</v>
      </c>
      <c r="T125" s="303" t="str">
        <f t="array" ref="T125">if(isblank(E125),"",xlookup($S$9&amp;M125,z_Others!$X$5:$X$17&amp;z_Others!$W$5:$W$17,z_Others!$AH$5:$AH$17,"",0,1))</f>
        <v>35 444932 020000x</v>
      </c>
      <c r="U125" s="303" t="str">
        <f t="array" ref="U125">if(isblank(E125),"",xlookup($S$9&amp;M125,z_Others!$X$5:$X$17&amp;z_Others!$W$5:$W$17,z_Others!$AI$5:$AI$17,"",0,1))</f>
        <v>35 444932 999999x</v>
      </c>
      <c r="V125" s="303" t="str">
        <f t="shared" si="2"/>
        <v>64:9D:38:32:91:82
B0:D5:FB:C6:60:70</v>
      </c>
      <c r="W125" s="303" t="str">
        <f t="shared" si="3"/>
        <v>64:9D:38:37:25:61
B0:D5:FB:CE:01:8F</v>
      </c>
      <c r="X125" s="304" t="str">
        <f t="shared" si="4"/>
        <v>MP1.0</v>
      </c>
      <c r="Y125" s="292"/>
      <c r="Z125" s="304" t="str">
        <f t="shared" si="32"/>
        <v>Android 16</v>
      </c>
      <c r="AA125" s="304" t="str">
        <f t="shared" si="42"/>
        <v>TBD</v>
      </c>
      <c r="AB125" s="305" t="s">
        <v>1045</v>
      </c>
      <c r="AC125" s="305" t="s">
        <v>1046</v>
      </c>
      <c r="AD125" s="314" t="s">
        <v>447</v>
      </c>
      <c r="AE125" s="307" t="s">
        <v>418</v>
      </c>
      <c r="AF125" s="308" t="s">
        <v>447</v>
      </c>
      <c r="AG125" s="309" t="s">
        <v>418</v>
      </c>
      <c r="AH125" s="297" t="str">
        <f t="array" ref="AH125">if(isblank(E125),"",xlookup(F125,z_Others!$B$21:$B$45,z_Others!$F$21:$F$45,"TBD",0,1))</f>
        <v>00</v>
      </c>
      <c r="AI125" s="310" t="str">
        <f t="array" ref="AI125">if(isblank(E125),"", xlookup(E125,'Import_FL5_LH_PVTMP_Configs (Do'!E:E,'Import_FL5_LH_PVTMP_Configs (Do'!O:O,"TBD",0,1))</f>
        <v>G710-07800-00</v>
      </c>
      <c r="AJ125" s="311"/>
      <c r="AK125" s="310" t="str">
        <f t="array" ref="AK125">if(isblank(E125),"", xlookup(E125,'Import_FL5_LH_PVTMP_Configs (Do'!E:E,'Import_FL5_LH_PVTMP_Configs (Do'!Q:Q,"TBD",0,1))</f>
        <v>G650-14694-05</v>
      </c>
      <c r="AL125" s="310" t="str">
        <f t="array" ref="AL125">if(isblank(E125),"", xlookup(E125,'Import_FL5_LH_PVTMP_Configs (Do'!E:E,'Import_FL5_LH_PVTMP_Configs (Do'!M:M,"TBD",0,1))</f>
        <v>G710-07670-01</v>
      </c>
      <c r="AM125" s="310" t="str">
        <f t="array" ref="AM125">if(isblank(E125),"", xlookup(E125,'Import_FL5_LH_PVTMP_Configs (Do'!E:E,'Import_FL5_LH_PVTMP_Configs (Do'!N:N,"TBD",0,1))</f>
        <v>G730-09533-01</v>
      </c>
      <c r="AN125" s="310" t="str">
        <f t="array" ref="AN125">if(isblank(E125),"", xlookup(E125,'Import_FL5_LH_PVTMP_Configs (Do'!E:E,'Import_FL5_LH_PVTMP_Configs (Do'!K:K,"TBD",0,1))</f>
        <v>G950-15935-10</v>
      </c>
      <c r="AO125" s="292" t="str">
        <f t="array" ref="AO125">if(isblank(E125),"",XLOOKUP(E125,'FL5_G954 Pkg ASSY (Pkg BOM)'!L:L,'FL5_G954 Pkg ASSY (Pkg BOM)'!G:G,"N/A",0,1))</f>
        <v>G954-09575-00</v>
      </c>
      <c r="AP125" s="292" t="str">
        <f t="array" ref="AP125">if(isblank(E125),"",xlookup(E125,'FL5_G962 Country kit (Accesorie'!L:L,'FL5_G962 Country kit (Accesorie'!G:G,"N/A",0,1))</f>
        <v>G962-00511-00</v>
      </c>
      <c r="AQ125" s="304" t="s">
        <v>560</v>
      </c>
      <c r="AR125" s="304" t="s">
        <v>1047</v>
      </c>
      <c r="AS125" s="292" t="s">
        <v>419</v>
      </c>
      <c r="AT125" s="302" t="str">
        <f t="shared" si="6"/>
        <v>Yes</v>
      </c>
      <c r="AU125" s="302" t="str">
        <f t="shared" si="7"/>
        <v>No</v>
      </c>
      <c r="AV125" s="302" t="str">
        <f t="shared" si="8"/>
        <v>No</v>
      </c>
      <c r="AW125" s="302"/>
      <c r="AX125" s="302" t="s">
        <v>1048</v>
      </c>
      <c r="AY125" s="302" t="s">
        <v>1049</v>
      </c>
      <c r="AZ125" s="312" t="str">
        <f t="array" ref="AZ125">if(isblank(E125),"", xlookup(E125,Import_FL5_LH_PVT_BM!D:D,Import_FL5_LH_PVT_BM!AK:AK,$F$4,0,1))</f>
        <v>MP</v>
      </c>
      <c r="BA125" s="292" t="str">
        <f t="shared" si="9"/>
        <v>Retail_10ct</v>
      </c>
      <c r="BB125" s="313" t="str">
        <f t="array" ref="BB125">if(isblank(E125),"",xlookup(F125,z_Others!$B$21:$B$42,z_Others!$G$21:$G$42,"No",0,1))</f>
        <v>ROW Master Carton Label (UPC)</v>
      </c>
      <c r="BC125" s="313" t="str">
        <f t="array" ref="BC125">if(isblank(E125),"",xlookup(F125,z_Others!$B$21:$B$42,z_Others!$H$21:$H$42,"No",0,1))</f>
        <v>Standard Pallet Label (BTO)
Standard Pallet Label (BTS)</v>
      </c>
      <c r="BD125" s="314" t="str">
        <f t="array" ref="BD125">if(isblank(E125),"",xlookup(E125,'Import_VN_Label approve'!E:E,'Import_VN_Label approve'!L:L,"N/A",0,1))</f>
        <v>N/A</v>
      </c>
      <c r="BE125" s="314" t="str">
        <f t="array" ref="BE125">if(isblank(E125),"",xlookup(E125,'Import_VN_Label approve'!E:E,'Import_VN_Label approve'!N:N,"N/A",0,1))</f>
        <v>N/A</v>
      </c>
      <c r="BF125" s="315"/>
      <c r="BG125" s="332" t="s">
        <v>503</v>
      </c>
      <c r="BH125" s="317" t="s">
        <v>504</v>
      </c>
      <c r="BI125" s="318">
        <v>45782.0</v>
      </c>
      <c r="BJ125" s="319" t="str">
        <f t="array" ref="BJ125">if(isblank(E125),"", xlookup(D125,z_Others!$B$5:$B$17,z_Others!$C$5:$C$17,"",0,1))</f>
        <v>智能手機</v>
      </c>
      <c r="BK125" s="320">
        <v>45782.0</v>
      </c>
      <c r="BL125" s="320" t="str">
        <f t="array" ref="BL125">if(isblank(E125),"",xlookup(E125,'FL5_MP POR_LH_報關備案_G950 &amp; GA'!F:F,'FL5_MP POR_LH_報關備案_G950 &amp; GA'!E:E,"No Need",0,1))</f>
        <v>Close</v>
      </c>
      <c r="BM125" s="321" t="str">
        <f t="array" ref="BM125">if(isblank(E125),"",xlookup($BM$9&amp;E125,'Import_FL5 MPS (06.06.25) - Sor'!E121:E334&amp;'Import_FL5 MPS (06.06.25) - Sor'!F121:F334,'Import_FL5 MPS (06.06.25) - Sor'!ES121:ES334,"No demand",0,1))</f>
        <v>No demand</v>
      </c>
      <c r="BN125" s="321" t="str">
        <f t="array" ref="BN125">if(isblank(E125),"",xlookup($BN$9&amp;E125,'Import_FL5 MPS (06.06.25) - Sor'!E121:E334&amp;'Import_FL5 MPS (06.06.25) - Sor'!F121:F334,'Import_FL5 MPS (06.06.25) - Sor'!ES121:ES334,"No demand",0,1))</f>
        <v>No demand</v>
      </c>
      <c r="BO125" s="321" t="str">
        <f t="array" ref="BO125">if(isblank(E125),"",xlookup($BO$9&amp;E125,'Import_FL5 MPS (06.06.25) - Sor'!E121:E334&amp;'Import_FL5 MPS (06.06.25) - Sor'!F121:F334,'Import_FL5 MPS (06.06.25) - Sor'!ES121:ES334,"No demand",0,1))</f>
        <v>No demand</v>
      </c>
      <c r="BP125" s="322" t="str">
        <f t="array" ref="BP125">if(isblank(E125),"", xlookup(E125,'Import_LH_Label approve'!E:E,'Import_LH_Label approve'!L:L,"",0,1))</f>
        <v>NA</v>
      </c>
      <c r="BQ125" s="322" t="str">
        <f t="array" ref="BQ125">if(isblank(E125),"",xlookup(E125,'Import_VN_Label approve'!E:E,'Import_VN_Label approve'!M:M,"N/A",0,1))</f>
        <v>N/A</v>
      </c>
      <c r="BR125" s="325"/>
      <c r="BS125" s="323"/>
      <c r="BT125" s="324"/>
      <c r="BU125" s="91"/>
    </row>
    <row r="126">
      <c r="A126" s="176"/>
      <c r="B126" s="292">
        <v>115.0</v>
      </c>
      <c r="C126" s="231" t="s">
        <v>287</v>
      </c>
      <c r="D126" s="231" t="s">
        <v>408</v>
      </c>
      <c r="E126" s="351" t="s">
        <v>1050</v>
      </c>
      <c r="F126" s="294" t="s">
        <v>554</v>
      </c>
      <c r="G126" s="294" t="s">
        <v>555</v>
      </c>
      <c r="H126" s="292" t="str">
        <f t="array" ref="H126">xlookup(F126,z_Others!$B$21:$B$45,z_Others!$E$21:$E$45,"",0,1)</f>
        <v>JPN</v>
      </c>
      <c r="I126" s="310" t="s">
        <v>437</v>
      </c>
      <c r="J126" s="231" t="str">
        <f t="array" ref="J126">if(isblank(E126),"",xlookup(I126,z_Others!$M$17:$M$20,z_Others!$O$17:$O$20,"",0,1))</f>
        <v>Indigo</v>
      </c>
      <c r="K126" s="292" t="str">
        <f t="array" ref="K126">xlookup(I126,z_Others!$M$17:$M$20,z_Others!$N$17:$N$20,"",0,1)</f>
        <v>BUE</v>
      </c>
      <c r="L126" s="292" t="str">
        <f t="array" ref="L126">xlookup(F126,z_Others!$B$21:$B$45,z_Others!$D$21:$D$45,"",0,1)</f>
        <v>GL066</v>
      </c>
      <c r="M126" s="296" t="str">
        <f t="array" ref="M126">xlookup(F126,z_Others!$B$21:$B$45,z_Others!$C$21:$C$45,"",0,1)</f>
        <v>JPN</v>
      </c>
      <c r="N126" s="297">
        <v>3.5416229E7</v>
      </c>
      <c r="O126" s="331" t="s">
        <v>556</v>
      </c>
      <c r="P126" s="303" t="s">
        <v>557</v>
      </c>
      <c r="Q126" s="300" t="s">
        <v>413</v>
      </c>
      <c r="R126" s="301" t="s">
        <v>414</v>
      </c>
      <c r="S126" s="302">
        <f t="array" ref="S126">if(isblank(E126),"",xlookup($S$9&amp;M126,z_Others!$X$5:$X$17&amp;z_Others!$W$5:$W$17,z_Others!$Z$5:$Z$17,"",0,1))</f>
        <v>35444932</v>
      </c>
      <c r="T126" s="303" t="str">
        <f t="array" ref="T126">if(isblank(E126),"",xlookup($S$9&amp;M126,z_Others!$X$5:$X$17&amp;z_Others!$W$5:$W$17,z_Others!$AH$5:$AH$17,"",0,1))</f>
        <v>35 444932 020000x</v>
      </c>
      <c r="U126" s="303" t="str">
        <f t="array" ref="U126">if(isblank(E126),"",xlookup($S$9&amp;M126,z_Others!$X$5:$X$17&amp;z_Others!$W$5:$W$17,z_Others!$AI$5:$AI$17,"",0,1))</f>
        <v>35 444932 999999x</v>
      </c>
      <c r="V126" s="303" t="str">
        <f t="shared" si="2"/>
        <v>64:9D:38:32:91:82
B0:D5:FB:C6:60:70</v>
      </c>
      <c r="W126" s="303" t="str">
        <f t="shared" si="3"/>
        <v>64:9D:38:37:25:61
B0:D5:FB:CE:01:8F</v>
      </c>
      <c r="X126" s="304" t="str">
        <f t="shared" si="4"/>
        <v>MP1.0</v>
      </c>
      <c r="Y126" s="292"/>
      <c r="Z126" s="304" t="str">
        <f t="shared" si="32"/>
        <v>Android 16</v>
      </c>
      <c r="AA126" s="304" t="str">
        <f t="shared" si="42"/>
        <v>TBD</v>
      </c>
      <c r="AB126" s="305" t="s">
        <v>1051</v>
      </c>
      <c r="AC126" s="305" t="s">
        <v>1052</v>
      </c>
      <c r="AD126" s="314" t="s">
        <v>447</v>
      </c>
      <c r="AE126" s="307" t="s">
        <v>418</v>
      </c>
      <c r="AF126" s="308" t="s">
        <v>447</v>
      </c>
      <c r="AG126" s="309" t="s">
        <v>418</v>
      </c>
      <c r="AH126" s="297" t="str">
        <f t="array" ref="AH126">if(isblank(E126),"",xlookup(F126,z_Others!$B$21:$B$45,z_Others!$F$21:$F$45,"TBD",0,1))</f>
        <v>00</v>
      </c>
      <c r="AI126" s="310" t="str">
        <f t="array" ref="AI126">if(isblank(E126),"", xlookup(E126,'Import_FL5_LH_PVTMP_Configs (Do'!E:E,'Import_FL5_LH_PVTMP_Configs (Do'!O:O,"TBD",0,1))</f>
        <v>G710-07800-00</v>
      </c>
      <c r="AJ126" s="311"/>
      <c r="AK126" s="310" t="str">
        <f t="array" ref="AK126">if(isblank(E126),"", xlookup(E126,'Import_FL5_LH_PVTMP_Configs (Do'!E:E,'Import_FL5_LH_PVTMP_Configs (Do'!Q:Q,"TBD",0,1))</f>
        <v>G650-14694-05</v>
      </c>
      <c r="AL126" s="310" t="str">
        <f t="array" ref="AL126">if(isblank(E126),"", xlookup(E126,'Import_FL5_LH_PVTMP_Configs (Do'!E:E,'Import_FL5_LH_PVTMP_Configs (Do'!M:M,"TBD",0,1))</f>
        <v>G710-07670-01</v>
      </c>
      <c r="AM126" s="310" t="str">
        <f t="array" ref="AM126">if(isblank(E126),"", xlookup(E126,'Import_FL5_LH_PVTMP_Configs (Do'!E:E,'Import_FL5_LH_PVTMP_Configs (Do'!N:N,"TBD",0,1))</f>
        <v>G730-09533-04</v>
      </c>
      <c r="AN126" s="310" t="str">
        <f t="array" ref="AN126">if(isblank(E126),"", xlookup(E126,'Import_FL5_LH_PVTMP_Configs (Do'!E:E,'Import_FL5_LH_PVTMP_Configs (Do'!K:K,"TBD",0,1))</f>
        <v>G950-15935-13</v>
      </c>
      <c r="AO126" s="292" t="str">
        <f t="array" ref="AO126">if(isblank(E126),"",XLOOKUP(E126,'FL5_G954 Pkg ASSY (Pkg BOM)'!L:L,'FL5_G954 Pkg ASSY (Pkg BOM)'!G:G,"N/A",0,1))</f>
        <v>G954-09575-00</v>
      </c>
      <c r="AP126" s="292" t="str">
        <f t="array" ref="AP126">if(isblank(E126),"",xlookup(E126,'FL5_G962 Country kit (Accesorie'!L:L,'FL5_G962 Country kit (Accesorie'!G:G,"N/A",0,1))</f>
        <v>G962-00511-00</v>
      </c>
      <c r="AQ126" s="304" t="s">
        <v>579</v>
      </c>
      <c r="AR126" s="304" t="s">
        <v>1047</v>
      </c>
      <c r="AS126" s="292" t="s">
        <v>419</v>
      </c>
      <c r="AT126" s="302" t="str">
        <f t="shared" si="6"/>
        <v>Yes</v>
      </c>
      <c r="AU126" s="302" t="str">
        <f t="shared" si="7"/>
        <v>No</v>
      </c>
      <c r="AV126" s="302" t="str">
        <f t="shared" si="8"/>
        <v>No</v>
      </c>
      <c r="AW126" s="302"/>
      <c r="AX126" s="302" t="s">
        <v>1053</v>
      </c>
      <c r="AY126" s="302" t="s">
        <v>1054</v>
      </c>
      <c r="AZ126" s="312" t="str">
        <f t="array" ref="AZ126">if(isblank(E126),"", xlookup(E126,Import_FL5_LH_PVT_BM!D:D,Import_FL5_LH_PVT_BM!AK:AK,$F$4,0,1))</f>
        <v>MP</v>
      </c>
      <c r="BA126" s="292" t="str">
        <f t="shared" si="9"/>
        <v>Retail_10ct</v>
      </c>
      <c r="BB126" s="313" t="str">
        <f t="array" ref="BB126">if(isblank(E126),"",xlookup(F126,z_Others!$B$21:$B$42,z_Others!$G$21:$G$42,"No",0,1))</f>
        <v>ROW Master Carton Label (UPC)</v>
      </c>
      <c r="BC126" s="313" t="str">
        <f t="array" ref="BC126">if(isblank(E126),"",xlookup(F126,z_Others!$B$21:$B$42,z_Others!$H$21:$H$42,"No",0,1))</f>
        <v>Standard Pallet Label (BTO)
Standard Pallet Label (BTS)</v>
      </c>
      <c r="BD126" s="314" t="str">
        <f t="array" ref="BD126">if(isblank(E126),"",xlookup(E126,'Import_VN_Label approve'!E:E,'Import_VN_Label approve'!L:L,"N/A",0,1))</f>
        <v>N/A</v>
      </c>
      <c r="BE126" s="314" t="str">
        <f t="array" ref="BE126">if(isblank(E126),"",xlookup(E126,'Import_VN_Label approve'!E:E,'Import_VN_Label approve'!N:N,"N/A",0,1))</f>
        <v>N/A</v>
      </c>
      <c r="BF126" s="315"/>
      <c r="BG126" s="332" t="s">
        <v>503</v>
      </c>
      <c r="BH126" s="317" t="s">
        <v>504</v>
      </c>
      <c r="BI126" s="318">
        <v>45782.0</v>
      </c>
      <c r="BJ126" s="319" t="str">
        <f t="array" ref="BJ126">if(isblank(E126),"", xlookup(D126,z_Others!$B$5:$B$17,z_Others!$C$5:$C$17,"",0,1))</f>
        <v>智能手機</v>
      </c>
      <c r="BK126" s="320">
        <v>45782.0</v>
      </c>
      <c r="BL126" s="320" t="str">
        <f t="array" ref="BL126">if(isblank(E126),"",xlookup(E126,'FL5_MP POR_LH_報關備案_G950 &amp; GA'!F:F,'FL5_MP POR_LH_報關備案_G950 &amp; GA'!E:E,"No Need",0,1))</f>
        <v>Close</v>
      </c>
      <c r="BM126" s="321" t="str">
        <f t="array" ref="BM126">if(isblank(E126),"",xlookup($BM$9&amp;E126,'Import_FL5 MPS (06.06.25) - Sor'!E122:E334&amp;'Import_FL5 MPS (06.06.25) - Sor'!F122:F334,'Import_FL5 MPS (06.06.25) - Sor'!ES122:ES334,"No demand",0,1))</f>
        <v>No demand</v>
      </c>
      <c r="BN126" s="321" t="str">
        <f t="array" ref="BN126">if(isblank(E126),"",xlookup($BN$9&amp;E126,'Import_FL5 MPS (06.06.25) - Sor'!E122:E334&amp;'Import_FL5 MPS (06.06.25) - Sor'!F122:F334,'Import_FL5 MPS (06.06.25) - Sor'!ES122:ES334,"No demand",0,1))</f>
        <v>No demand</v>
      </c>
      <c r="BO126" s="321" t="str">
        <f t="array" ref="BO126">if(isblank(E126),"",xlookup($BO$9&amp;E126,'Import_FL5 MPS (06.06.25) - Sor'!E122:E334&amp;'Import_FL5 MPS (06.06.25) - Sor'!F122:F334,'Import_FL5 MPS (06.06.25) - Sor'!ES122:ES334,"No demand",0,1))</f>
        <v>No demand</v>
      </c>
      <c r="BP126" s="322" t="str">
        <f t="array" ref="BP126">if(isblank(E126),"", xlookup(E126,'Import_LH_Label approve'!E:E,'Import_LH_Label approve'!L:L,"",0,1))</f>
        <v>NA</v>
      </c>
      <c r="BQ126" s="322" t="str">
        <f t="array" ref="BQ126">if(isblank(E126),"",xlookup(E126,'Import_VN_Label approve'!E:E,'Import_VN_Label approve'!M:M,"N/A",0,1))</f>
        <v>N/A</v>
      </c>
      <c r="BR126" s="325"/>
      <c r="BS126" s="323"/>
      <c r="BT126" s="324"/>
      <c r="BU126" s="91"/>
    </row>
    <row r="127">
      <c r="A127" s="176"/>
      <c r="B127" s="292">
        <v>116.0</v>
      </c>
      <c r="C127" s="231" t="s">
        <v>287</v>
      </c>
      <c r="D127" s="231" t="s">
        <v>408</v>
      </c>
      <c r="E127" s="351" t="s">
        <v>1055</v>
      </c>
      <c r="F127" s="294" t="s">
        <v>492</v>
      </c>
      <c r="G127" s="294" t="s">
        <v>493</v>
      </c>
      <c r="H127" s="292" t="str">
        <f t="array" ref="H127">xlookup(F127,z_Others!$B$21:$B$45,z_Others!$E$21:$E$45,"",0,1)</f>
        <v>Sub6</v>
      </c>
      <c r="I127" s="310" t="s">
        <v>412</v>
      </c>
      <c r="J127" s="231" t="str">
        <f t="array" ref="J127">if(isblank(E127),"",xlookup(I127,z_Others!$M$17:$M$20,z_Others!$O$17:$O$20,"",0,1))</f>
        <v>Obsidian</v>
      </c>
      <c r="K127" s="292" t="str">
        <f t="array" ref="K127">xlookup(I127,z_Others!$M$17:$M$20,z_Others!$N$17:$N$20,"",0,1)</f>
        <v>BLK</v>
      </c>
      <c r="L127" s="292" t="str">
        <f t="array" ref="L127">xlookup(F127,z_Others!$B$21:$B$45,z_Others!$D$21:$D$45,"",0,1)</f>
        <v>GK2MP</v>
      </c>
      <c r="M127" s="296" t="str">
        <f t="array" ref="M127">xlookup(F127,z_Others!$B$21:$B$45,z_Others!$C$21:$C$45,"",0,1)</f>
        <v>ROW</v>
      </c>
      <c r="N127" s="297">
        <v>3.5440766E7</v>
      </c>
      <c r="O127" s="331" t="s">
        <v>494</v>
      </c>
      <c r="P127" s="303" t="s">
        <v>495</v>
      </c>
      <c r="Q127" s="300" t="s">
        <v>413</v>
      </c>
      <c r="R127" s="301" t="s">
        <v>414</v>
      </c>
      <c r="S127" s="302">
        <f t="array" ref="S127">if(isblank(E127),"",xlookup($S$9&amp;M127,z_Others!$X$5:$X$17&amp;z_Others!$W$5:$W$17,z_Others!$Z$5:$Z$17,"",0,1))</f>
        <v>35795514</v>
      </c>
      <c r="T127" s="303" t="str">
        <f t="array" ref="T127">if(isblank(E127),"",xlookup($S$9&amp;M127,z_Others!$X$5:$X$17&amp;z_Others!$W$5:$W$17,z_Others!$AH$5:$AH$17,"",0,1))</f>
        <v>35 795514 040000x</v>
      </c>
      <c r="U127" s="303" t="str">
        <f t="array" ref="U127">if(isblank(E127),"",xlookup($S$9&amp;M127,z_Others!$X$5:$X$17&amp;z_Others!$W$5:$W$17,z_Others!$AI$5:$AI$17,"",0,1))</f>
        <v>35 795514 999999x</v>
      </c>
      <c r="V127" s="303" t="str">
        <f t="shared" si="2"/>
        <v>64:9D:38:32:91:82
B0:D5:FB:C6:60:70</v>
      </c>
      <c r="W127" s="303" t="str">
        <f t="shared" si="3"/>
        <v>64:9D:38:37:25:61
B0:D5:FB:CE:01:8F</v>
      </c>
      <c r="X127" s="304" t="str">
        <f t="shared" si="4"/>
        <v>MP1.0</v>
      </c>
      <c r="Y127" s="292"/>
      <c r="Z127" s="304" t="str">
        <f t="shared" si="32"/>
        <v>Android 16</v>
      </c>
      <c r="AA127" s="304" t="str">
        <f t="shared" si="42"/>
        <v>TBD</v>
      </c>
      <c r="AB127" s="305" t="s">
        <v>1056</v>
      </c>
      <c r="AC127" s="305" t="s">
        <v>1057</v>
      </c>
      <c r="AD127" s="314" t="s">
        <v>447</v>
      </c>
      <c r="AE127" s="307" t="s">
        <v>418</v>
      </c>
      <c r="AF127" s="308" t="s">
        <v>447</v>
      </c>
      <c r="AG127" s="309" t="s">
        <v>418</v>
      </c>
      <c r="AH127" s="297" t="str">
        <f t="array" ref="AH127">if(isblank(E127),"",xlookup(F127,z_Others!$B$21:$B$45,z_Others!$F$21:$F$45,"TBD",0,1))</f>
        <v>00</v>
      </c>
      <c r="AI127" s="310" t="str">
        <f t="array" ref="AI127">if(isblank(E127),"", xlookup(E127,'Import_FL5_LH_PVTMP_Configs (Do'!E:E,'Import_FL5_LH_PVTMP_Configs (Do'!O:O,"TBD",0,1))</f>
        <v>G710-07800-00</v>
      </c>
      <c r="AJ127" s="311"/>
      <c r="AK127" s="310" t="str">
        <f t="array" ref="AK127">if(isblank(E127),"", xlookup(E127,'Import_FL5_LH_PVTMP_Configs (Do'!E:E,'Import_FL5_LH_PVTMP_Configs (Do'!Q:Q,"TBD",0,1))</f>
        <v>G650-14694-05</v>
      </c>
      <c r="AL127" s="310" t="str">
        <f t="array" ref="AL127">if(isblank(E127),"", xlookup(E127,'Import_FL5_LH_PVTMP_Configs (Do'!E:E,'Import_FL5_LH_PVTMP_Configs (Do'!M:M,"TBD",0,1))</f>
        <v>G710-07670-01</v>
      </c>
      <c r="AM127" s="310" t="str">
        <f t="array" ref="AM127">if(isblank(E127),"", xlookup(E127,'Import_FL5_LH_PVTMP_Configs (Do'!E:E,'Import_FL5_LH_PVTMP_Configs (Do'!N:N,"TBD",0,1))</f>
        <v>G730-09533-01</v>
      </c>
      <c r="AN127" s="310" t="str">
        <f t="array" ref="AN127">if(isblank(E127),"", xlookup(E127,'Import_FL5_LH_PVTMP_Configs (Do'!E:E,'Import_FL5_LH_PVTMP_Configs (Do'!K:K,"TBD",0,1))</f>
        <v>G950-15935-10</v>
      </c>
      <c r="AO127" s="292" t="str">
        <f t="array" ref="AO127">if(isblank(E127),"",XLOOKUP(E127,'FL5_G954 Pkg ASSY (Pkg BOM)'!L:L,'FL5_G954 Pkg ASSY (Pkg BOM)'!G:G,"N/A",0,1))</f>
        <v>G954-09575-00</v>
      </c>
      <c r="AP127" s="292" t="str">
        <f t="array" ref="AP127">if(isblank(E127),"",xlookup(E127,'FL5_G962 Country kit (Accesorie'!L:L,'FL5_G962 Country kit (Accesorie'!G:G,"N/A",0,1))</f>
        <v>G962-00511-00</v>
      </c>
      <c r="AQ127" s="304" t="s">
        <v>498</v>
      </c>
      <c r="AR127" s="304" t="s">
        <v>1058</v>
      </c>
      <c r="AS127" s="292" t="s">
        <v>419</v>
      </c>
      <c r="AT127" s="302" t="str">
        <f t="shared" si="6"/>
        <v>Yes</v>
      </c>
      <c r="AU127" s="302" t="str">
        <f t="shared" si="7"/>
        <v>No</v>
      </c>
      <c r="AV127" s="302" t="str">
        <f t="shared" si="8"/>
        <v>No</v>
      </c>
      <c r="AW127" s="302"/>
      <c r="AX127" s="302" t="s">
        <v>1059</v>
      </c>
      <c r="AY127" s="302" t="s">
        <v>1060</v>
      </c>
      <c r="AZ127" s="312" t="str">
        <f t="array" ref="AZ127">if(isblank(E127),"", xlookup(E127,Import_FL5_LH_PVT_BM!D:D,Import_FL5_LH_PVT_BM!AK:AK,$F$4,0,1))</f>
        <v>MP</v>
      </c>
      <c r="BA127" s="292" t="str">
        <f t="shared" si="9"/>
        <v>Retail_10ct</v>
      </c>
      <c r="BB127" s="313" t="str">
        <f t="array" ref="BB127">if(isblank(E127),"",xlookup(F127,z_Others!$B$21:$B$42,z_Others!$G$21:$G$42,"No",0,1))</f>
        <v>ROW Master Carton Label (UPC)</v>
      </c>
      <c r="BC127" s="313" t="str">
        <f t="array" ref="BC127">if(isblank(E127),"",xlookup(F127,z_Others!$B$21:$B$42,z_Others!$H$21:$H$42,"No",0,1))</f>
        <v>Standard Pallet Label (BTO)
Standard Pallet Label (BTS)</v>
      </c>
      <c r="BD127" s="314" t="str">
        <f t="array" ref="BD127">if(isblank(E127),"",xlookup(E127,'Import_VN_Label approve'!E:E,'Import_VN_Label approve'!L:L,"N/A",0,1))</f>
        <v>N/A</v>
      </c>
      <c r="BE127" s="314" t="str">
        <f t="array" ref="BE127">if(isblank(E127),"",xlookup(E127,'Import_VN_Label approve'!E:E,'Import_VN_Label approve'!N:N,"N/A",0,1))</f>
        <v>N/A</v>
      </c>
      <c r="BF127" s="315"/>
      <c r="BG127" s="332" t="s">
        <v>503</v>
      </c>
      <c r="BH127" s="317" t="s">
        <v>504</v>
      </c>
      <c r="BI127" s="318">
        <v>45782.0</v>
      </c>
      <c r="BJ127" s="319" t="str">
        <f t="array" ref="BJ127">if(isblank(E127),"", xlookup(D127,z_Others!$B$5:$B$17,z_Others!$C$5:$C$17,"",0,1))</f>
        <v>智能手機</v>
      </c>
      <c r="BK127" s="320">
        <v>45782.0</v>
      </c>
      <c r="BL127" s="320" t="str">
        <f t="array" ref="BL127">if(isblank(E127),"",xlookup(E127,'FL5_MP POR_LH_報關備案_G950 &amp; GA'!F:F,'FL5_MP POR_LH_報關備案_G950 &amp; GA'!E:E,"No Need",0,1))</f>
        <v>Close</v>
      </c>
      <c r="BM127" s="321" t="str">
        <f t="array" ref="BM127">if(isblank(E127),"",xlookup($BM$9&amp;E127,'Import_FL5 MPS (06.06.25) - Sor'!E123:E334&amp;'Import_FL5 MPS (06.06.25) - Sor'!F123:F334,'Import_FL5 MPS (06.06.25) - Sor'!ES123:ES334,"No demand",0,1))</f>
        <v>No demand</v>
      </c>
      <c r="BN127" s="321" t="str">
        <f t="array" ref="BN127">if(isblank(E127),"",xlookup($BN$9&amp;E127,'Import_FL5 MPS (06.06.25) - Sor'!E123:E334&amp;'Import_FL5 MPS (06.06.25) - Sor'!F123:F334,'Import_FL5 MPS (06.06.25) - Sor'!ES123:ES334,"No demand",0,1))</f>
        <v>No demand</v>
      </c>
      <c r="BO127" s="321" t="str">
        <f t="array" ref="BO127">if(isblank(E127),"",xlookup($BO$9&amp;E127,'Import_FL5 MPS (06.06.25) - Sor'!E123:E334&amp;'Import_FL5 MPS (06.06.25) - Sor'!F123:F334,'Import_FL5 MPS (06.06.25) - Sor'!ES123:ES334,"No demand",0,1))</f>
        <v>No demand</v>
      </c>
      <c r="BP127" s="322" t="str">
        <f t="array" ref="BP127">if(isblank(E127),"", xlookup(E127,'Import_LH_Label approve'!E:E,'Import_LH_Label approve'!L:L,"",0,1))</f>
        <v>NA</v>
      </c>
      <c r="BQ127" s="322" t="str">
        <f t="array" ref="BQ127">if(isblank(E127),"",xlookup(E127,'Import_VN_Label approve'!E:E,'Import_VN_Label approve'!M:M,"N/A",0,1))</f>
        <v>N/A</v>
      </c>
      <c r="BR127" s="325"/>
      <c r="BS127" s="323"/>
      <c r="BT127" s="324"/>
      <c r="BU127" s="91"/>
    </row>
    <row r="128">
      <c r="A128" s="176"/>
      <c r="B128" s="292">
        <v>117.0</v>
      </c>
      <c r="C128" s="231" t="s">
        <v>287</v>
      </c>
      <c r="D128" s="231" t="s">
        <v>408</v>
      </c>
      <c r="E128" s="351" t="s">
        <v>1061</v>
      </c>
      <c r="F128" s="294" t="s">
        <v>492</v>
      </c>
      <c r="G128" s="294" t="s">
        <v>493</v>
      </c>
      <c r="H128" s="292" t="str">
        <f t="array" ref="H128">xlookup(F128,z_Others!$B$21:$B$45,z_Others!$E$21:$E$45,"",0,1)</f>
        <v>Sub6</v>
      </c>
      <c r="I128" s="310" t="s">
        <v>437</v>
      </c>
      <c r="J128" s="231" t="str">
        <f t="array" ref="J128">if(isblank(E128),"",xlookup(I128,z_Others!$M$17:$M$20,z_Others!$O$17:$O$20,"",0,1))</f>
        <v>Indigo</v>
      </c>
      <c r="K128" s="292" t="str">
        <f t="array" ref="K128">xlookup(I128,z_Others!$M$17:$M$20,z_Others!$N$17:$N$20,"",0,1)</f>
        <v>BUE</v>
      </c>
      <c r="L128" s="292" t="str">
        <f t="array" ref="L128">xlookup(F128,z_Others!$B$21:$B$45,z_Others!$D$21:$D$45,"",0,1)</f>
        <v>GK2MP</v>
      </c>
      <c r="M128" s="296" t="str">
        <f t="array" ref="M128">xlookup(F128,z_Others!$B$21:$B$45,z_Others!$C$21:$C$45,"",0,1)</f>
        <v>ROW</v>
      </c>
      <c r="N128" s="297">
        <v>3.5440766E7</v>
      </c>
      <c r="O128" s="331" t="s">
        <v>494</v>
      </c>
      <c r="P128" s="303" t="s">
        <v>495</v>
      </c>
      <c r="Q128" s="300" t="s">
        <v>413</v>
      </c>
      <c r="R128" s="301" t="s">
        <v>414</v>
      </c>
      <c r="S128" s="302">
        <f t="array" ref="S128">if(isblank(E128),"",xlookup($S$9&amp;M128,z_Others!$X$5:$X$17&amp;z_Others!$W$5:$W$17,z_Others!$Z$5:$Z$17,"",0,1))</f>
        <v>35795514</v>
      </c>
      <c r="T128" s="303" t="str">
        <f t="array" ref="T128">if(isblank(E128),"",xlookup($S$9&amp;M128,z_Others!$X$5:$X$17&amp;z_Others!$W$5:$W$17,z_Others!$AH$5:$AH$17,"",0,1))</f>
        <v>35 795514 040000x</v>
      </c>
      <c r="U128" s="303" t="str">
        <f t="array" ref="U128">if(isblank(E128),"",xlookup($S$9&amp;M128,z_Others!$X$5:$X$17&amp;z_Others!$W$5:$W$17,z_Others!$AI$5:$AI$17,"",0,1))</f>
        <v>35 795514 999999x</v>
      </c>
      <c r="V128" s="303" t="str">
        <f t="shared" si="2"/>
        <v>64:9D:38:32:91:82
B0:D5:FB:C6:60:70</v>
      </c>
      <c r="W128" s="303" t="str">
        <f t="shared" si="3"/>
        <v>64:9D:38:37:25:61
B0:D5:FB:CE:01:8F</v>
      </c>
      <c r="X128" s="304" t="str">
        <f t="shared" si="4"/>
        <v>MP1.0</v>
      </c>
      <c r="Y128" s="292"/>
      <c r="Z128" s="304" t="str">
        <f t="shared" si="32"/>
        <v>Android 16</v>
      </c>
      <c r="AA128" s="304" t="str">
        <f t="shared" si="42"/>
        <v>TBD</v>
      </c>
      <c r="AB128" s="305" t="s">
        <v>1062</v>
      </c>
      <c r="AC128" s="305" t="s">
        <v>1063</v>
      </c>
      <c r="AD128" s="314" t="s">
        <v>447</v>
      </c>
      <c r="AE128" s="307" t="s">
        <v>418</v>
      </c>
      <c r="AF128" s="308" t="s">
        <v>447</v>
      </c>
      <c r="AG128" s="309" t="s">
        <v>418</v>
      </c>
      <c r="AH128" s="297" t="str">
        <f t="array" ref="AH128">if(isblank(E128),"",xlookup(F128,z_Others!$B$21:$B$45,z_Others!$F$21:$F$45,"TBD",0,1))</f>
        <v>00</v>
      </c>
      <c r="AI128" s="310" t="str">
        <f t="array" ref="AI128">if(isblank(E128),"", xlookup(E128,'Import_FL5_LH_PVTMP_Configs (Do'!E:E,'Import_FL5_LH_PVTMP_Configs (Do'!O:O,"TBD",0,1))</f>
        <v>G710-07800-00</v>
      </c>
      <c r="AJ128" s="311"/>
      <c r="AK128" s="310" t="str">
        <f t="array" ref="AK128">if(isblank(E128),"", xlookup(E128,'Import_FL5_LH_PVTMP_Configs (Do'!E:E,'Import_FL5_LH_PVTMP_Configs (Do'!Q:Q,"TBD",0,1))</f>
        <v>G650-14694-05</v>
      </c>
      <c r="AL128" s="310" t="str">
        <f t="array" ref="AL128">if(isblank(E128),"", xlookup(E128,'Import_FL5_LH_PVTMP_Configs (Do'!E:E,'Import_FL5_LH_PVTMP_Configs (Do'!M:M,"TBD",0,1))</f>
        <v>G710-07670-01</v>
      </c>
      <c r="AM128" s="310" t="str">
        <f t="array" ref="AM128">if(isblank(E128),"", xlookup(E128,'Import_FL5_LH_PVTMP_Configs (Do'!E:E,'Import_FL5_LH_PVTMP_Configs (Do'!N:N,"TBD",0,1))</f>
        <v>G730-09533-04</v>
      </c>
      <c r="AN128" s="310" t="str">
        <f t="array" ref="AN128">if(isblank(E128),"", xlookup(E128,'Import_FL5_LH_PVTMP_Configs (Do'!E:E,'Import_FL5_LH_PVTMP_Configs (Do'!K:K,"TBD",0,1))</f>
        <v>G950-15935-13</v>
      </c>
      <c r="AO128" s="292" t="str">
        <f t="array" ref="AO128">if(isblank(E128),"",XLOOKUP(E128,'FL5_G954 Pkg ASSY (Pkg BOM)'!L:L,'FL5_G954 Pkg ASSY (Pkg BOM)'!G:G,"N/A",0,1))</f>
        <v>G954-09575-00</v>
      </c>
      <c r="AP128" s="292" t="str">
        <f t="array" ref="AP128">if(isblank(E128),"",xlookup(E128,'FL5_G962 Country kit (Accesorie'!L:L,'FL5_G962 Country kit (Accesorie'!G:G,"N/A",0,1))</f>
        <v>G962-00511-00</v>
      </c>
      <c r="AQ128" s="304" t="s">
        <v>522</v>
      </c>
      <c r="AR128" s="304" t="s">
        <v>1058</v>
      </c>
      <c r="AS128" s="292" t="s">
        <v>419</v>
      </c>
      <c r="AT128" s="302" t="str">
        <f t="shared" si="6"/>
        <v>Yes</v>
      </c>
      <c r="AU128" s="302" t="str">
        <f t="shared" si="7"/>
        <v>No</v>
      </c>
      <c r="AV128" s="302" t="str">
        <f t="shared" si="8"/>
        <v>No</v>
      </c>
      <c r="AW128" s="302"/>
      <c r="AX128" s="302" t="s">
        <v>1064</v>
      </c>
      <c r="AY128" s="302" t="s">
        <v>1065</v>
      </c>
      <c r="AZ128" s="312" t="str">
        <f t="array" ref="AZ128">if(isblank(E128),"", xlookup(E128,Import_FL5_LH_PVT_BM!D:D,Import_FL5_LH_PVT_BM!AK:AK,$F$4,0,1))</f>
        <v>MP</v>
      </c>
      <c r="BA128" s="292" t="str">
        <f t="shared" si="9"/>
        <v>Retail_10ct</v>
      </c>
      <c r="BB128" s="313" t="str">
        <f t="array" ref="BB128">if(isblank(E128),"",xlookup(F128,z_Others!$B$21:$B$42,z_Others!$G$21:$G$42,"No",0,1))</f>
        <v>ROW Master Carton Label (UPC)</v>
      </c>
      <c r="BC128" s="313" t="str">
        <f t="array" ref="BC128">if(isblank(E128),"",xlookup(F128,z_Others!$B$21:$B$42,z_Others!$H$21:$H$42,"No",0,1))</f>
        <v>Standard Pallet Label (BTO)
Standard Pallet Label (BTS)</v>
      </c>
      <c r="BD128" s="314" t="str">
        <f t="array" ref="BD128">if(isblank(E128),"",xlookup(E128,'Import_VN_Label approve'!E:E,'Import_VN_Label approve'!L:L,"N/A",0,1))</f>
        <v>N/A</v>
      </c>
      <c r="BE128" s="314" t="str">
        <f t="array" ref="BE128">if(isblank(E128),"",xlookup(E128,'Import_VN_Label approve'!E:E,'Import_VN_Label approve'!N:N,"N/A",0,1))</f>
        <v>N/A</v>
      </c>
      <c r="BF128" s="315"/>
      <c r="BG128" s="332" t="s">
        <v>503</v>
      </c>
      <c r="BH128" s="317" t="s">
        <v>504</v>
      </c>
      <c r="BI128" s="318">
        <v>45782.0</v>
      </c>
      <c r="BJ128" s="319" t="str">
        <f t="array" ref="BJ128">if(isblank(E128),"", xlookup(D128,z_Others!$B$5:$B$17,z_Others!$C$5:$C$17,"",0,1))</f>
        <v>智能手機</v>
      </c>
      <c r="BK128" s="320">
        <v>45782.0</v>
      </c>
      <c r="BL128" s="320" t="str">
        <f t="array" ref="BL128">if(isblank(E128),"",xlookup(E128,'FL5_MP POR_LH_報關備案_G950 &amp; GA'!F:F,'FL5_MP POR_LH_報關備案_G950 &amp; GA'!E:E,"No Need",0,1))</f>
        <v>Close</v>
      </c>
      <c r="BM128" s="321" t="str">
        <f t="array" ref="BM128">if(isblank(E128),"",xlookup($BM$9&amp;E128,'Import_FL5 MPS (06.06.25) - Sor'!E124:E334&amp;'Import_FL5 MPS (06.06.25) - Sor'!F124:F334,'Import_FL5 MPS (06.06.25) - Sor'!ES124:ES334,"No demand",0,1))</f>
        <v>No demand</v>
      </c>
      <c r="BN128" s="321" t="str">
        <f t="array" ref="BN128">if(isblank(E128),"",xlookup($BN$9&amp;E128,'Import_FL5 MPS (06.06.25) - Sor'!E124:E334&amp;'Import_FL5 MPS (06.06.25) - Sor'!F124:F334,'Import_FL5 MPS (06.06.25) - Sor'!ES124:ES334,"No demand",0,1))</f>
        <v>No demand</v>
      </c>
      <c r="BO128" s="321" t="str">
        <f t="array" ref="BO128">if(isblank(E128),"",xlookup($BO$9&amp;E128,'Import_FL5 MPS (06.06.25) - Sor'!E124:E334&amp;'Import_FL5 MPS (06.06.25) - Sor'!F124:F334,'Import_FL5 MPS (06.06.25) - Sor'!ES124:ES334,"No demand",0,1))</f>
        <v>No demand</v>
      </c>
      <c r="BP128" s="322" t="str">
        <f t="array" ref="BP128">if(isblank(E128),"", xlookup(E128,'Import_LH_Label approve'!E:E,'Import_LH_Label approve'!L:L,"",0,1))</f>
        <v>NA</v>
      </c>
      <c r="BQ128" s="322" t="str">
        <f t="array" ref="BQ128">if(isblank(E128),"",xlookup(E128,'Import_VN_Label approve'!E:E,'Import_VN_Label approve'!M:M,"N/A",0,1))</f>
        <v>N/A</v>
      </c>
      <c r="BR128" s="325"/>
      <c r="BS128" s="323"/>
      <c r="BT128" s="324"/>
      <c r="BU128" s="117"/>
    </row>
    <row r="129">
      <c r="A129" s="176"/>
      <c r="B129" s="292">
        <v>118.0</v>
      </c>
      <c r="C129" s="231" t="s">
        <v>287</v>
      </c>
      <c r="D129" s="231" t="s">
        <v>408</v>
      </c>
      <c r="E129" s="351" t="s">
        <v>1066</v>
      </c>
      <c r="F129" s="323" t="s">
        <v>992</v>
      </c>
      <c r="G129" s="294" t="s">
        <v>528</v>
      </c>
      <c r="H129" s="292" t="str">
        <f t="array" ref="H129">xlookup(F129,z_Others!$B$21:$B$45,z_Others!$E$21:$E$45,"",0,1)</f>
        <v>Sub6</v>
      </c>
      <c r="I129" s="310" t="s">
        <v>412</v>
      </c>
      <c r="J129" s="231" t="str">
        <f t="array" ref="J129">if(isblank(E129),"",xlookup(I129,z_Others!$M$17:$M$20,z_Others!$O$17:$O$20,"",0,1))</f>
        <v>Obsidian</v>
      </c>
      <c r="K129" s="292" t="str">
        <f t="array" ref="K129">xlookup(I129,z_Others!$M$17:$M$20,z_Others!$N$17:$N$20,"",0,1)</f>
        <v>BLK</v>
      </c>
      <c r="L129" s="292" t="str">
        <f t="array" ref="L129">xlookup(F129,z_Others!$B$21:$B$45,z_Others!$D$21:$D$45,"",0,1)</f>
        <v> GK2MP</v>
      </c>
      <c r="M129" s="296" t="str">
        <f t="array" ref="M129">xlookup(F129,z_Others!$B$21:$B$45,z_Others!$C$21:$C$45,"",0,1)</f>
        <v>ROW</v>
      </c>
      <c r="N129" s="297">
        <v>3.5440766E7</v>
      </c>
      <c r="O129" s="331" t="s">
        <v>494</v>
      </c>
      <c r="P129" s="303" t="s">
        <v>495</v>
      </c>
      <c r="Q129" s="300" t="s">
        <v>413</v>
      </c>
      <c r="R129" s="301" t="s">
        <v>414</v>
      </c>
      <c r="S129" s="302">
        <f t="array" ref="S129">if(isblank(E129),"",xlookup($S$9&amp;M129,z_Others!$X$5:$X$17&amp;z_Others!$W$5:$W$17,z_Others!$Z$5:$Z$17,"",0,1))</f>
        <v>35795514</v>
      </c>
      <c r="T129" s="303" t="str">
        <f t="array" ref="T129">if(isblank(E129),"",xlookup($S$9&amp;M129,z_Others!$X$5:$X$17&amp;z_Others!$W$5:$W$17,z_Others!$AH$5:$AH$17,"",0,1))</f>
        <v>35 795514 040000x</v>
      </c>
      <c r="U129" s="303" t="str">
        <f t="array" ref="U129">if(isblank(E129),"",xlookup($S$9&amp;M129,z_Others!$X$5:$X$17&amp;z_Others!$W$5:$W$17,z_Others!$AI$5:$AI$17,"",0,1))</f>
        <v>35 795514 999999x</v>
      </c>
      <c r="V129" s="303" t="str">
        <f t="shared" si="2"/>
        <v>64:9D:38:32:91:82
B0:D5:FB:C6:60:70</v>
      </c>
      <c r="W129" s="303" t="str">
        <f t="shared" si="3"/>
        <v>64:9D:38:37:25:61
B0:D5:FB:CE:01:8F</v>
      </c>
      <c r="X129" s="304" t="str">
        <f t="shared" si="4"/>
        <v>MP1.0</v>
      </c>
      <c r="Y129" s="292"/>
      <c r="Z129" s="304" t="str">
        <f t="shared" si="32"/>
        <v>Android 16</v>
      </c>
      <c r="AA129" s="304" t="str">
        <f t="shared" si="42"/>
        <v>TBD</v>
      </c>
      <c r="AB129" s="305" t="s">
        <v>1067</v>
      </c>
      <c r="AC129" s="305" t="s">
        <v>1068</v>
      </c>
      <c r="AD129" s="314" t="s">
        <v>447</v>
      </c>
      <c r="AE129" s="307" t="s">
        <v>418</v>
      </c>
      <c r="AF129" s="308" t="s">
        <v>447</v>
      </c>
      <c r="AG129" s="309" t="s">
        <v>418</v>
      </c>
      <c r="AH129" s="297" t="str">
        <f t="array" ref="AH129">if(isblank(E129),"",xlookup(F129,z_Others!$B$21:$B$45,z_Others!$F$21:$F$45,"TBD",0,1))</f>
        <v>00</v>
      </c>
      <c r="AI129" s="310" t="str">
        <f t="array" ref="AI129">if(isblank(E129),"", xlookup(E129,'Import_FL5_LH_PVTMP_Configs (Do'!E:E,'Import_FL5_LH_PVTMP_Configs (Do'!O:O,"TBD",0,1))</f>
        <v>G710-07800-00</v>
      </c>
      <c r="AJ129" s="311"/>
      <c r="AK129" s="310" t="str">
        <f t="array" ref="AK129">if(isblank(E129),"", xlookup(E129,'Import_FL5_LH_PVTMP_Configs (Do'!E:E,'Import_FL5_LH_PVTMP_Configs (Do'!Q:Q,"TBD",0,1))</f>
        <v>G650-14694-05</v>
      </c>
      <c r="AL129" s="310" t="str">
        <f t="array" ref="AL129">if(isblank(E129),"", xlookup(E129,'Import_FL5_LH_PVTMP_Configs (Do'!E:E,'Import_FL5_LH_PVTMP_Configs (Do'!M:M,"TBD",0,1))</f>
        <v>G710-07670-01</v>
      </c>
      <c r="AM129" s="310" t="str">
        <f t="array" ref="AM129">if(isblank(E129),"", xlookup(E129,'Import_FL5_LH_PVTMP_Configs (Do'!E:E,'Import_FL5_LH_PVTMP_Configs (Do'!N:N,"TBD",0,1))</f>
        <v>G730-09533-01</v>
      </c>
      <c r="AN129" s="310" t="str">
        <f t="array" ref="AN129">if(isblank(E129),"", xlookup(E129,'Import_FL5_LH_PVTMP_Configs (Do'!E:E,'Import_FL5_LH_PVTMP_Configs (Do'!K:K,"TBD",0,1))</f>
        <v>G950-15935-10</v>
      </c>
      <c r="AO129" s="292" t="str">
        <f t="array" ref="AO129">if(isblank(E129),"",XLOOKUP(E129,'FL5_G954 Pkg ASSY (Pkg BOM)'!L:L,'FL5_G954 Pkg ASSY (Pkg BOM)'!G:G,"N/A",0,1))</f>
        <v>G954-09576-00</v>
      </c>
      <c r="AP129" s="292" t="str">
        <f t="array" ref="AP129">if(isblank(E129),"",xlookup(E129,'FL5_G962 Country kit (Accesorie'!L:L,'FL5_G962 Country kit (Accesorie'!G:G,"N/A",0,1))</f>
        <v>G962-00511-00</v>
      </c>
      <c r="AQ129" s="304" t="s">
        <v>531</v>
      </c>
      <c r="AR129" s="304" t="str">
        <f t="array" ref="AR129">if(isblank(E129),"",xlookup(E129,'Import_LH_Label approve'!E:E,'Import_LH_Label approve'!N:N,"",0,1))</f>
        <v>G990-09768-00-A
G990-09768-00-B</v>
      </c>
      <c r="AS129" s="292" t="s">
        <v>419</v>
      </c>
      <c r="AT129" s="302" t="str">
        <f t="shared" si="6"/>
        <v>Yes</v>
      </c>
      <c r="AU129" s="302" t="str">
        <f t="shared" si="7"/>
        <v>Yes</v>
      </c>
      <c r="AV129" s="302" t="str">
        <f t="shared" si="8"/>
        <v>No</v>
      </c>
      <c r="AW129" s="302"/>
      <c r="AX129" s="302" t="s">
        <v>1069</v>
      </c>
      <c r="AY129" s="302" t="s">
        <v>1070</v>
      </c>
      <c r="AZ129" s="312" t="str">
        <f t="array" ref="AZ129">if(isblank(E129),"", xlookup(E129,Import_FL5_LH_PVT_BM!D:D,Import_FL5_LH_PVT_BM!AK:AK,$F$4,0,1))</f>
        <v>MP</v>
      </c>
      <c r="BA129" s="292" t="str">
        <f t="shared" si="9"/>
        <v>Retail_10ct</v>
      </c>
      <c r="BB129" s="356" t="str">
        <f t="array" ref="BB129">if(isblank(E129),"",xlookup(F129,z_Others!$B$21:$B$42,z_Others!$G$21:$G$42,"No",0,1))</f>
        <v>ROW Master Carton Label (EAN)</v>
      </c>
      <c r="BC129" s="313" t="str">
        <f t="array" ref="BC129">if(isblank(E129),"",xlookup(F129,z_Others!$B$21:$B$42,z_Others!$H$21:$H$42,"No",0,1))</f>
        <v>Standard Pallet Label (BTO)
Standard Pallet Label (BTS)</v>
      </c>
      <c r="BD129" s="314" t="str">
        <f t="array" ref="BD129">if(isblank(E129),"",xlookup(E129,'Import_VN_Label approve'!E:E,'Import_VN_Label approve'!L:L,"N/A",0,1))</f>
        <v>N/A</v>
      </c>
      <c r="BE129" s="314" t="str">
        <f t="array" ref="BE129">if(isblank(E129),"",xlookup(E129,'Import_VN_Label approve'!E:E,'Import_VN_Label approve'!N:N,"N/A",0,1))</f>
        <v>N/A</v>
      </c>
      <c r="BF129" s="315"/>
      <c r="BG129" s="332" t="s">
        <v>503</v>
      </c>
      <c r="BH129" s="317" t="s">
        <v>504</v>
      </c>
      <c r="BI129" s="318">
        <v>45782.0</v>
      </c>
      <c r="BJ129" s="319" t="str">
        <f t="array" ref="BJ129">if(isblank(E129),"", xlookup(D129,z_Others!$B$5:$B$17,z_Others!$C$5:$C$17,"",0,1))</f>
        <v>智能手機</v>
      </c>
      <c r="BK129" s="320">
        <v>45782.0</v>
      </c>
      <c r="BL129" s="320" t="str">
        <f t="array" ref="BL129">if(isblank(E129),"",xlookup(E129,'FL5_MP POR_LH_報關備案_G950 &amp; GA'!F:F,'FL5_MP POR_LH_報關備案_G950 &amp; GA'!E:E,"No Need",0,1))</f>
        <v>Close</v>
      </c>
      <c r="BM129" s="321" t="str">
        <f t="array" ref="BM129">if(isblank(E129),"",xlookup($BM$9&amp;E129,'Import_FL5 MPS (06.06.25) - Sor'!E125:E334&amp;'Import_FL5 MPS (06.06.25) - Sor'!F125:F334,'Import_FL5 MPS (06.06.25) - Sor'!ES125:ES334,"No demand",0,1))</f>
        <v>No demand</v>
      </c>
      <c r="BN129" s="321" t="str">
        <f t="array" ref="BN129">if(isblank(E129),"",xlookup($BN$9&amp;E129,'Import_FL5 MPS (06.06.25) - Sor'!E125:E334&amp;'Import_FL5 MPS (06.06.25) - Sor'!F125:F334,'Import_FL5 MPS (06.06.25) - Sor'!ES125:ES334,"No demand",0,1))</f>
        <v>No demand</v>
      </c>
      <c r="BO129" s="321" t="str">
        <f t="array" ref="BO129">if(isblank(E129),"",xlookup($BO$9&amp;E129,'Import_FL5 MPS (06.06.25) - Sor'!E125:E334&amp;'Import_FL5 MPS (06.06.25) - Sor'!F125:F334,'Import_FL5 MPS (06.06.25) - Sor'!ES125:ES334,"No demand",0,1))</f>
        <v>No demand</v>
      </c>
      <c r="BP129" s="322" t="str">
        <f t="array" ref="BP129">if(isblank(E129),"", xlookup(E129,'Import_LH_Label approve'!E:E,'Import_LH_Label approve'!L:L,"",0,1))</f>
        <v>NA</v>
      </c>
      <c r="BQ129" s="322" t="str">
        <f t="array" ref="BQ129">if(isblank(E129),"",xlookup(E129,'Import_VN_Label approve'!E:E,'Import_VN_Label approve'!M:M,"N/A",0,1))</f>
        <v>N/A</v>
      </c>
      <c r="BR129" s="325"/>
      <c r="BS129" s="323"/>
      <c r="BT129" s="324"/>
      <c r="BU129" s="117"/>
    </row>
    <row r="130">
      <c r="A130" s="176"/>
      <c r="B130" s="292">
        <v>119.0</v>
      </c>
      <c r="C130" s="231" t="s">
        <v>287</v>
      </c>
      <c r="D130" s="231" t="s">
        <v>408</v>
      </c>
      <c r="E130" s="351" t="s">
        <v>1071</v>
      </c>
      <c r="F130" s="323" t="s">
        <v>992</v>
      </c>
      <c r="G130" s="294" t="s">
        <v>528</v>
      </c>
      <c r="H130" s="292" t="str">
        <f t="array" ref="H130">xlookup(F130,z_Others!$B$21:$B$45,z_Others!$E$21:$E$45,"",0,1)</f>
        <v>Sub6</v>
      </c>
      <c r="I130" s="310" t="s">
        <v>437</v>
      </c>
      <c r="J130" s="231" t="str">
        <f t="array" ref="J130">if(isblank(E130),"",xlookup(I130,z_Others!$M$17:$M$20,z_Others!$O$17:$O$20,"",0,1))</f>
        <v>Indigo</v>
      </c>
      <c r="K130" s="292" t="str">
        <f t="array" ref="K130">xlookup(I130,z_Others!$M$17:$M$20,z_Others!$N$17:$N$20,"",0,1)</f>
        <v>BUE</v>
      </c>
      <c r="L130" s="292" t="str">
        <f t="array" ref="L130">xlookup(F130,z_Others!$B$21:$B$45,z_Others!$D$21:$D$45,"",0,1)</f>
        <v> GK2MP</v>
      </c>
      <c r="M130" s="296" t="str">
        <f t="array" ref="M130">xlookup(F130,z_Others!$B$21:$B$45,z_Others!$C$21:$C$45,"",0,1)</f>
        <v>ROW</v>
      </c>
      <c r="N130" s="297">
        <v>3.5440766E7</v>
      </c>
      <c r="O130" s="331" t="s">
        <v>494</v>
      </c>
      <c r="P130" s="303" t="s">
        <v>495</v>
      </c>
      <c r="Q130" s="300" t="s">
        <v>413</v>
      </c>
      <c r="R130" s="301" t="s">
        <v>414</v>
      </c>
      <c r="S130" s="302">
        <f t="array" ref="S130">if(isblank(E130),"",xlookup($S$9&amp;M130,z_Others!$X$5:$X$17&amp;z_Others!$W$5:$W$17,z_Others!$Z$5:$Z$17,"",0,1))</f>
        <v>35795514</v>
      </c>
      <c r="T130" s="303" t="str">
        <f t="array" ref="T130">if(isblank(E130),"",xlookup($S$9&amp;M130,z_Others!$X$5:$X$17&amp;z_Others!$W$5:$W$17,z_Others!$AH$5:$AH$17,"",0,1))</f>
        <v>35 795514 040000x</v>
      </c>
      <c r="U130" s="303" t="str">
        <f t="array" ref="U130">if(isblank(E130),"",xlookup($S$9&amp;M130,z_Others!$X$5:$X$17&amp;z_Others!$W$5:$W$17,z_Others!$AI$5:$AI$17,"",0,1))</f>
        <v>35 795514 999999x</v>
      </c>
      <c r="V130" s="303" t="str">
        <f t="shared" si="2"/>
        <v>64:9D:38:32:91:82
B0:D5:FB:C6:60:70</v>
      </c>
      <c r="W130" s="303" t="str">
        <f t="shared" si="3"/>
        <v>64:9D:38:37:25:61
B0:D5:FB:CE:01:8F</v>
      </c>
      <c r="X130" s="304" t="str">
        <f t="shared" si="4"/>
        <v>MP1.0</v>
      </c>
      <c r="Y130" s="292"/>
      <c r="Z130" s="304" t="str">
        <f t="shared" si="32"/>
        <v>Android 16</v>
      </c>
      <c r="AA130" s="304" t="str">
        <f t="shared" si="42"/>
        <v>TBD</v>
      </c>
      <c r="AB130" s="305" t="s">
        <v>1072</v>
      </c>
      <c r="AC130" s="305" t="s">
        <v>1073</v>
      </c>
      <c r="AD130" s="314" t="s">
        <v>447</v>
      </c>
      <c r="AE130" s="307" t="s">
        <v>418</v>
      </c>
      <c r="AF130" s="308" t="s">
        <v>447</v>
      </c>
      <c r="AG130" s="309" t="s">
        <v>418</v>
      </c>
      <c r="AH130" s="297" t="str">
        <f t="array" ref="AH130">if(isblank(E130),"",xlookup(F130,z_Others!$B$21:$B$45,z_Others!$F$21:$F$45,"TBD",0,1))</f>
        <v>00</v>
      </c>
      <c r="AI130" s="310" t="str">
        <f t="array" ref="AI130">if(isblank(E130),"", xlookup(E130,'Import_FL5_LH_PVTMP_Configs (Do'!E:E,'Import_FL5_LH_PVTMP_Configs (Do'!O:O,"TBD",0,1))</f>
        <v>G710-07800-00</v>
      </c>
      <c r="AJ130" s="311"/>
      <c r="AK130" s="310" t="str">
        <f t="array" ref="AK130">if(isblank(E130),"", xlookup(E130,'Import_FL5_LH_PVTMP_Configs (Do'!E:E,'Import_FL5_LH_PVTMP_Configs (Do'!Q:Q,"TBD",0,1))</f>
        <v>G650-14694-05</v>
      </c>
      <c r="AL130" s="310" t="str">
        <f t="array" ref="AL130">if(isblank(E130),"", xlookup(E130,'Import_FL5_LH_PVTMP_Configs (Do'!E:E,'Import_FL5_LH_PVTMP_Configs (Do'!M:M,"TBD",0,1))</f>
        <v>G710-07670-01</v>
      </c>
      <c r="AM130" s="310" t="str">
        <f t="array" ref="AM130">if(isblank(E130),"", xlookup(E130,'Import_FL5_LH_PVTMP_Configs (Do'!E:E,'Import_FL5_LH_PVTMP_Configs (Do'!N:N,"TBD",0,1))</f>
        <v>G730-09533-04</v>
      </c>
      <c r="AN130" s="310" t="str">
        <f t="array" ref="AN130">if(isblank(E130),"", xlookup(E130,'Import_FL5_LH_PVTMP_Configs (Do'!E:E,'Import_FL5_LH_PVTMP_Configs (Do'!K:K,"TBD",0,1))</f>
        <v>G950-15935-13</v>
      </c>
      <c r="AO130" s="292" t="str">
        <f t="array" ref="AO130">if(isblank(E130),"",XLOOKUP(E130,'FL5_G954 Pkg ASSY (Pkg BOM)'!L:L,'FL5_G954 Pkg ASSY (Pkg BOM)'!G:G,"N/A",0,1))</f>
        <v>G954-09576-00</v>
      </c>
      <c r="AP130" s="292" t="str">
        <f t="array" ref="AP130">if(isblank(E130),"",xlookup(E130,'FL5_G962 Country kit (Accesorie'!L:L,'FL5_G962 Country kit (Accesorie'!G:G,"N/A",0,1))</f>
        <v>G962-00511-00</v>
      </c>
      <c r="AQ130" s="304" t="s">
        <v>550</v>
      </c>
      <c r="AR130" s="304" t="str">
        <f t="array" ref="AR130">if(isblank(E130),"",xlookup(E130,'Import_LH_Label approve'!E:E,'Import_LH_Label approve'!N:N,"",0,1))</f>
        <v>G990-09768-00-A
G990-09768-00-B</v>
      </c>
      <c r="AS130" s="292" t="s">
        <v>419</v>
      </c>
      <c r="AT130" s="302" t="str">
        <f t="shared" si="6"/>
        <v>Yes</v>
      </c>
      <c r="AU130" s="302" t="str">
        <f t="shared" si="7"/>
        <v>Yes</v>
      </c>
      <c r="AV130" s="302" t="str">
        <f t="shared" si="8"/>
        <v>No</v>
      </c>
      <c r="AW130" s="302"/>
      <c r="AX130" s="302" t="s">
        <v>1074</v>
      </c>
      <c r="AY130" s="302" t="s">
        <v>1075</v>
      </c>
      <c r="AZ130" s="312" t="str">
        <f t="array" ref="AZ130">if(isblank(E130),"", xlookup(E130,Import_FL5_LH_PVT_BM!D:D,Import_FL5_LH_PVT_BM!AK:AK,$F$4,0,1))</f>
        <v>MP</v>
      </c>
      <c r="BA130" s="292" t="str">
        <f t="shared" si="9"/>
        <v>Retail_10ct</v>
      </c>
      <c r="BB130" s="356" t="str">
        <f t="array" ref="BB130">if(isblank(E130),"",xlookup(F130,z_Others!$B$21:$B$42,z_Others!$G$21:$G$42,"No",0,1))</f>
        <v>ROW Master Carton Label (EAN)</v>
      </c>
      <c r="BC130" s="313" t="str">
        <f t="array" ref="BC130">if(isblank(E130),"",xlookup(F130,z_Others!$B$21:$B$42,z_Others!$H$21:$H$42,"No",0,1))</f>
        <v>Standard Pallet Label (BTO)
Standard Pallet Label (BTS)</v>
      </c>
      <c r="BD130" s="314" t="str">
        <f t="array" ref="BD130">if(isblank(E130),"",xlookup(E130,'Import_VN_Label approve'!E:E,'Import_VN_Label approve'!L:L,"N/A",0,1))</f>
        <v>N/A</v>
      </c>
      <c r="BE130" s="314" t="str">
        <f t="array" ref="BE130">if(isblank(E130),"",xlookup(E130,'Import_VN_Label approve'!E:E,'Import_VN_Label approve'!N:N,"N/A",0,1))</f>
        <v>N/A</v>
      </c>
      <c r="BF130" s="315"/>
      <c r="BG130" s="332" t="s">
        <v>503</v>
      </c>
      <c r="BH130" s="317" t="s">
        <v>504</v>
      </c>
      <c r="BI130" s="318">
        <v>45782.0</v>
      </c>
      <c r="BJ130" s="319" t="str">
        <f t="array" ref="BJ130">if(isblank(E130),"", xlookup(D130,z_Others!$B$5:$B$17,z_Others!$C$5:$C$17,"",0,1))</f>
        <v>智能手機</v>
      </c>
      <c r="BK130" s="320">
        <v>45782.0</v>
      </c>
      <c r="BL130" s="320" t="str">
        <f t="array" ref="BL130">if(isblank(E130),"",xlookup(E130,'FL5_MP POR_LH_報關備案_G950 &amp; GA'!F:F,'FL5_MP POR_LH_報關備案_G950 &amp; GA'!E:E,"No Need",0,1))</f>
        <v>Close</v>
      </c>
      <c r="BM130" s="321" t="str">
        <f t="array" ref="BM130">if(isblank(E130),"",xlookup($BM$9&amp;E130,'Import_FL5 MPS (06.06.25) - Sor'!E126:E334&amp;'Import_FL5 MPS (06.06.25) - Sor'!F126:F334,'Import_FL5 MPS (06.06.25) - Sor'!ES126:ES334,"No demand",0,1))</f>
        <v>No demand</v>
      </c>
      <c r="BN130" s="321" t="str">
        <f t="array" ref="BN130">if(isblank(E130),"",xlookup($BN$9&amp;E130,'Import_FL5 MPS (06.06.25) - Sor'!E126:E334&amp;'Import_FL5 MPS (06.06.25) - Sor'!F126:F334,'Import_FL5 MPS (06.06.25) - Sor'!ES126:ES334,"No demand",0,1))</f>
        <v>No demand</v>
      </c>
      <c r="BO130" s="321" t="str">
        <f t="array" ref="BO130">if(isblank(E130),"",xlookup($BO$9&amp;E130,'Import_FL5 MPS (06.06.25) - Sor'!E126:E334&amp;'Import_FL5 MPS (06.06.25) - Sor'!F126:F334,'Import_FL5 MPS (06.06.25) - Sor'!ES126:ES334,"No demand",0,1))</f>
        <v>No demand</v>
      </c>
      <c r="BP130" s="322" t="str">
        <f t="array" ref="BP130">if(isblank(E130),"", xlookup(E130,'Import_LH_Label approve'!E:E,'Import_LH_Label approve'!L:L,"",0,1))</f>
        <v>NA</v>
      </c>
      <c r="BQ130" s="322" t="str">
        <f t="array" ref="BQ130">if(isblank(E130),"",xlookup(E130,'Import_VN_Label approve'!E:E,'Import_VN_Label approve'!M:M,"N/A",0,1))</f>
        <v>N/A</v>
      </c>
      <c r="BR130" s="325"/>
      <c r="BS130" s="323"/>
      <c r="BT130" s="324"/>
      <c r="BU130" s="117"/>
    </row>
    <row r="131">
      <c r="A131" s="176"/>
      <c r="B131" s="292">
        <v>120.0</v>
      </c>
      <c r="C131" s="231" t="s">
        <v>287</v>
      </c>
      <c r="D131" s="231" t="s">
        <v>408</v>
      </c>
      <c r="E131" s="351" t="s">
        <v>1076</v>
      </c>
      <c r="F131" s="294" t="s">
        <v>583</v>
      </c>
      <c r="G131" s="294" t="s">
        <v>493</v>
      </c>
      <c r="H131" s="292" t="str">
        <f t="array" ref="H131">xlookup(F131,z_Others!$B$21:$B$45,z_Others!$E$21:$E$45,"",0,1)</f>
        <v>Sub6</v>
      </c>
      <c r="I131" s="310" t="s">
        <v>412</v>
      </c>
      <c r="J131" s="231" t="str">
        <f t="array" ref="J131">if(isblank(E131),"",xlookup(I131,z_Others!$M$17:$M$20,z_Others!$O$17:$O$20,"",0,1))</f>
        <v>Obsidian</v>
      </c>
      <c r="K131" s="292" t="str">
        <f t="array" ref="K131">xlookup(I131,z_Others!$M$17:$M$20,z_Others!$N$17:$N$20,"",0,1)</f>
        <v>BLK</v>
      </c>
      <c r="L131" s="292" t="str">
        <f t="array" ref="L131">xlookup(F131,z_Others!$B$21:$B$45,z_Others!$D$21:$D$45,"",0,1)</f>
        <v>GK2MP</v>
      </c>
      <c r="M131" s="296" t="str">
        <f t="array" ref="M131">xlookup(F131,z_Others!$B$21:$B$45,z_Others!$C$21:$C$45,"",0,1)</f>
        <v>ROW</v>
      </c>
      <c r="N131" s="297">
        <v>3.5440766E7</v>
      </c>
      <c r="O131" s="331" t="s">
        <v>494</v>
      </c>
      <c r="P131" s="303" t="s">
        <v>495</v>
      </c>
      <c r="Q131" s="300" t="s">
        <v>413</v>
      </c>
      <c r="R131" s="301" t="s">
        <v>414</v>
      </c>
      <c r="S131" s="302">
        <f t="array" ref="S131">if(isblank(E131),"",xlookup($S$9&amp;M131,z_Others!$X$5:$X$17&amp;z_Others!$W$5:$W$17,z_Others!$Z$5:$Z$17,"",0,1))</f>
        <v>35795514</v>
      </c>
      <c r="T131" s="303" t="str">
        <f t="array" ref="T131">if(isblank(E131),"",xlookup($S$9&amp;M131,z_Others!$X$5:$X$17&amp;z_Others!$W$5:$W$17,z_Others!$AH$5:$AH$17,"",0,1))</f>
        <v>35 795514 040000x</v>
      </c>
      <c r="U131" s="303" t="str">
        <f t="array" ref="U131">if(isblank(E131),"",xlookup($S$9&amp;M131,z_Others!$X$5:$X$17&amp;z_Others!$W$5:$W$17,z_Others!$AI$5:$AI$17,"",0,1))</f>
        <v>35 795514 999999x</v>
      </c>
      <c r="V131" s="303" t="str">
        <f t="shared" si="2"/>
        <v>64:9D:38:32:91:82
B0:D5:FB:C6:60:70</v>
      </c>
      <c r="W131" s="303" t="str">
        <f t="shared" si="3"/>
        <v>64:9D:38:37:25:61
B0:D5:FB:CE:01:8F</v>
      </c>
      <c r="X131" s="304" t="str">
        <f t="shared" si="4"/>
        <v>MP1.0</v>
      </c>
      <c r="Y131" s="292"/>
      <c r="Z131" s="304" t="str">
        <f t="shared" si="32"/>
        <v>Android 16</v>
      </c>
      <c r="AA131" s="304" t="str">
        <f t="shared" si="42"/>
        <v>TBD</v>
      </c>
      <c r="AB131" s="305" t="s">
        <v>1077</v>
      </c>
      <c r="AC131" s="305" t="s">
        <v>1078</v>
      </c>
      <c r="AD131" s="314" t="s">
        <v>447</v>
      </c>
      <c r="AE131" s="307" t="s">
        <v>418</v>
      </c>
      <c r="AF131" s="308" t="s">
        <v>447</v>
      </c>
      <c r="AG131" s="309" t="s">
        <v>418</v>
      </c>
      <c r="AH131" s="297" t="str">
        <f t="array" ref="AH131">if(isblank(E131),"",xlookup(F131,z_Others!$B$21:$B$45,z_Others!$F$21:$F$45,"TBD",0,1))</f>
        <v>00</v>
      </c>
      <c r="AI131" s="310" t="str">
        <f t="array" ref="AI131">if(isblank(E131),"", xlookup(E131,'Import_FL5_LH_PVTMP_Configs (Do'!E:E,'Import_FL5_LH_PVTMP_Configs (Do'!O:O,"TBD",0,1))</f>
        <v>G710-07800-10</v>
      </c>
      <c r="AJ131" s="311"/>
      <c r="AK131" s="310" t="str">
        <f t="array" ref="AK131">if(isblank(E131),"", xlookup(E131,'Import_FL5_LH_PVTMP_Configs (Do'!E:E,'Import_FL5_LH_PVTMP_Configs (Do'!Q:Q,"TBD",0,1))</f>
        <v>G650-14694-06</v>
      </c>
      <c r="AL131" s="310" t="str">
        <f t="array" ref="AL131">if(isblank(E131),"", xlookup(E131,'Import_FL5_LH_PVTMP_Configs (Do'!E:E,'Import_FL5_LH_PVTMP_Configs (Do'!M:M,"TBD",0,1))</f>
        <v>G710-07670-01</v>
      </c>
      <c r="AM131" s="310" t="str">
        <f t="array" ref="AM131">if(isblank(E131),"", xlookup(E131,'Import_FL5_LH_PVTMP_Configs (Do'!E:E,'Import_FL5_LH_PVTMP_Configs (Do'!N:N,"TBD",0,1))</f>
        <v>G730-09533-01</v>
      </c>
      <c r="AN131" s="310" t="str">
        <f t="array" ref="AN131">if(isblank(E131),"", xlookup(E131,'Import_FL5_LH_PVTMP_Configs (Do'!E:E,'Import_FL5_LH_PVTMP_Configs (Do'!K:K,"TBD",0,1))</f>
        <v>G950-15935-14</v>
      </c>
      <c r="AO131" s="292" t="str">
        <f t="array" ref="AO131">if(isblank(E131),"",XLOOKUP(E131,'FL5_G954 Pkg ASSY (Pkg BOM)'!L:L,'FL5_G954 Pkg ASSY (Pkg BOM)'!G:G,"N/A",0,1))</f>
        <v>G954-09575-00</v>
      </c>
      <c r="AP131" s="292" t="str">
        <f t="array" ref="AP131">if(isblank(E131),"",xlookup(E131,'FL5_G962 Country kit (Accesorie'!L:L,'FL5_G962 Country kit (Accesorie'!G:G,"N/A",0,1))</f>
        <v>G962-00511-00</v>
      </c>
      <c r="AQ131" s="304" t="s">
        <v>684</v>
      </c>
      <c r="AR131" s="304" t="s">
        <v>1047</v>
      </c>
      <c r="AS131" s="292" t="s">
        <v>596</v>
      </c>
      <c r="AT131" s="302" t="str">
        <f t="shared" si="6"/>
        <v>Yes</v>
      </c>
      <c r="AU131" s="302" t="str">
        <f t="shared" si="7"/>
        <v>No</v>
      </c>
      <c r="AV131" s="302" t="str">
        <f t="shared" si="8"/>
        <v>Yes</v>
      </c>
      <c r="AW131" s="302"/>
      <c r="AX131" s="302" t="s">
        <v>1079</v>
      </c>
      <c r="AY131" s="302" t="s">
        <v>1080</v>
      </c>
      <c r="AZ131" s="312" t="str">
        <f t="array" ref="AZ131">if(isblank(E131),"", xlookup(E131,Import_FL5_LH_PVT_BM!D:D,Import_FL5_LH_PVT_BM!AK:AK,$F$4,0,1))</f>
        <v>MP</v>
      </c>
      <c r="BA131" s="292" t="str">
        <f t="shared" si="9"/>
        <v>Retail_10ct</v>
      </c>
      <c r="BB131" s="313" t="str">
        <f t="array" ref="BB131">if(isblank(E131),"",xlookup(F131,z_Others!$B$21:$B$42,z_Others!$G$21:$G$42,"No",0,1))</f>
        <v>IN Master Carton Label</v>
      </c>
      <c r="BC131" s="313" t="str">
        <f t="array" ref="BC131">if(isblank(E131),"",xlookup(F131,z_Others!$B$21:$B$42,z_Others!$H$21:$H$42,"No",0,1))</f>
        <v>Standard Pallet Label (BTO)
Standard Pallet Label (BTS)</v>
      </c>
      <c r="BD131" s="314" t="str">
        <f t="array" ref="BD131">if(isblank(E131),"",xlookup(E131,'Import_VN_Label approve'!E:E,'Import_VN_Label approve'!L:L,"N/A",0,1))</f>
        <v>N/A</v>
      </c>
      <c r="BE131" s="314" t="str">
        <f t="array" ref="BE131">if(isblank(E131),"",xlookup(E131,'Import_VN_Label approve'!E:E,'Import_VN_Label approve'!N:N,"N/A",0,1))</f>
        <v>N/A</v>
      </c>
      <c r="BF131" s="315"/>
      <c r="BG131" s="332" t="s">
        <v>503</v>
      </c>
      <c r="BH131" s="317" t="s">
        <v>504</v>
      </c>
      <c r="BI131" s="318">
        <v>45782.0</v>
      </c>
      <c r="BJ131" s="319" t="str">
        <f t="array" ref="BJ131">if(isblank(E131),"", xlookup(D131,z_Others!$B$5:$B$17,z_Others!$C$5:$C$17,"",0,1))</f>
        <v>智能手機</v>
      </c>
      <c r="BK131" s="320">
        <v>45782.0</v>
      </c>
      <c r="BL131" s="320" t="str">
        <f t="array" ref="BL131">if(isblank(E131),"",xlookup(E131,'FL5_MP POR_LH_報關備案_G950 &amp; GA'!F:F,'FL5_MP POR_LH_報關備案_G950 &amp; GA'!E:E,"No Need",0,1))</f>
        <v>Close</v>
      </c>
      <c r="BM131" s="321" t="str">
        <f t="array" ref="BM131">if(isblank(E131),"",xlookup($BM$9&amp;E131,'Import_FL5 MPS (06.06.25) - Sor'!E127:E334&amp;'Import_FL5 MPS (06.06.25) - Sor'!F127:F334,'Import_FL5 MPS (06.06.25) - Sor'!ES127:ES334,"No demand",0,1))</f>
        <v>No demand</v>
      </c>
      <c r="BN131" s="321" t="str">
        <f t="array" ref="BN131">if(isblank(E131),"",xlookup($BN$9&amp;E131,'Import_FL5 MPS (06.06.25) - Sor'!E127:E334&amp;'Import_FL5 MPS (06.06.25) - Sor'!F127:F334,'Import_FL5 MPS (06.06.25) - Sor'!ES127:ES334,"No demand",0,1))</f>
        <v>No demand</v>
      </c>
      <c r="BO131" s="321" t="str">
        <f t="array" ref="BO131">if(isblank(E131),"",xlookup($BO$9&amp;E131,'Import_FL5 MPS (06.06.25) - Sor'!E127:E334&amp;'Import_FL5 MPS (06.06.25) - Sor'!F127:F334,'Import_FL5 MPS (06.06.25) - Sor'!ES127:ES334,"No demand",0,1))</f>
        <v>No demand</v>
      </c>
      <c r="BP131" s="322" t="str">
        <f t="array" ref="BP131">if(isblank(E131),"", xlookup(E131,'Import_LH_Label approve'!E:E,'Import_LH_Label approve'!L:L,"",0,1))</f>
        <v>G952-05416-00-A</v>
      </c>
      <c r="BQ131" s="322" t="str">
        <f t="array" ref="BQ131">if(isblank(E131),"",xlookup(E131,'Import_VN_Label approve'!E:E,'Import_VN_Label approve'!M:M,"N/A",0,1))</f>
        <v>N/A</v>
      </c>
      <c r="BR131" s="325"/>
      <c r="BS131" s="323"/>
      <c r="BT131" s="324"/>
      <c r="BU131" s="117"/>
    </row>
    <row r="132">
      <c r="A132" s="176"/>
      <c r="B132" s="292">
        <v>121.0</v>
      </c>
      <c r="C132" s="231" t="s">
        <v>287</v>
      </c>
      <c r="D132" s="231" t="s">
        <v>408</v>
      </c>
      <c r="E132" s="351" t="s">
        <v>1081</v>
      </c>
      <c r="F132" s="294" t="s">
        <v>583</v>
      </c>
      <c r="G132" s="294" t="s">
        <v>493</v>
      </c>
      <c r="H132" s="292" t="str">
        <f t="array" ref="H132">xlookup(F132,z_Others!$B$21:$B$45,z_Others!$E$21:$E$45,"",0,1)</f>
        <v>Sub6</v>
      </c>
      <c r="I132" s="310" t="s">
        <v>437</v>
      </c>
      <c r="J132" s="231" t="str">
        <f t="array" ref="J132">if(isblank(E132),"",xlookup(I132,z_Others!$M$17:$M$20,z_Others!$O$17:$O$20,"",0,1))</f>
        <v>Indigo</v>
      </c>
      <c r="K132" s="292" t="str">
        <f t="array" ref="K132">xlookup(I132,z_Others!$M$17:$M$20,z_Others!$N$17:$N$20,"",0,1)</f>
        <v>BUE</v>
      </c>
      <c r="L132" s="292" t="str">
        <f t="array" ref="L132">xlookup(F132,z_Others!$B$21:$B$45,z_Others!$D$21:$D$45,"",0,1)</f>
        <v>GK2MP</v>
      </c>
      <c r="M132" s="296" t="str">
        <f t="array" ref="M132">xlookup(F132,z_Others!$B$21:$B$45,z_Others!$C$21:$C$45,"",0,1)</f>
        <v>ROW</v>
      </c>
      <c r="N132" s="297">
        <v>3.5440766E7</v>
      </c>
      <c r="O132" s="331" t="s">
        <v>494</v>
      </c>
      <c r="P132" s="303" t="s">
        <v>495</v>
      </c>
      <c r="Q132" s="300" t="s">
        <v>413</v>
      </c>
      <c r="R132" s="301" t="s">
        <v>414</v>
      </c>
      <c r="S132" s="302">
        <f t="array" ref="S132">if(isblank(E132),"",xlookup($S$9&amp;M132,z_Others!$X$5:$X$17&amp;z_Others!$W$5:$W$17,z_Others!$Z$5:$Z$17,"",0,1))</f>
        <v>35795514</v>
      </c>
      <c r="T132" s="303" t="str">
        <f t="array" ref="T132">if(isblank(E132),"",xlookup($S$9&amp;M132,z_Others!$X$5:$X$17&amp;z_Others!$W$5:$W$17,z_Others!$AH$5:$AH$17,"",0,1))</f>
        <v>35 795514 040000x</v>
      </c>
      <c r="U132" s="303" t="str">
        <f t="array" ref="U132">if(isblank(E132),"",xlookup($S$9&amp;M132,z_Others!$X$5:$X$17&amp;z_Others!$W$5:$W$17,z_Others!$AI$5:$AI$17,"",0,1))</f>
        <v>35 795514 999999x</v>
      </c>
      <c r="V132" s="303" t="str">
        <f t="shared" si="2"/>
        <v>64:9D:38:32:91:82
B0:D5:FB:C6:60:70</v>
      </c>
      <c r="W132" s="303" t="str">
        <f t="shared" si="3"/>
        <v>64:9D:38:37:25:61
B0:D5:FB:CE:01:8F</v>
      </c>
      <c r="X132" s="304" t="str">
        <f t="shared" si="4"/>
        <v>MP1.0</v>
      </c>
      <c r="Y132" s="292"/>
      <c r="Z132" s="304" t="str">
        <f t="shared" si="32"/>
        <v>Android 16</v>
      </c>
      <c r="AA132" s="304" t="str">
        <f t="shared" ref="AA132:AA143" si="43">if(isblank(E132),"",IF(AG132="AD1A.240530.047","Android 14",IF(AG132="AP3A.241105.008","Android 15",if(AG132="AP4A.241205.013","Android 15",if(AG132="AP4A.241205.013.C1","Android 15","TBD")))))</f>
        <v>TBD</v>
      </c>
      <c r="AB132" s="305" t="s">
        <v>1082</v>
      </c>
      <c r="AC132" s="305" t="s">
        <v>1083</v>
      </c>
      <c r="AD132" s="314" t="s">
        <v>447</v>
      </c>
      <c r="AE132" s="307" t="s">
        <v>418</v>
      </c>
      <c r="AF132" s="308" t="s">
        <v>447</v>
      </c>
      <c r="AG132" s="309" t="s">
        <v>418</v>
      </c>
      <c r="AH132" s="297" t="str">
        <f t="array" ref="AH132">if(isblank(E132),"",xlookup(F132,z_Others!$B$21:$B$45,z_Others!$F$21:$F$45,"TBD",0,1))</f>
        <v>00</v>
      </c>
      <c r="AI132" s="310" t="str">
        <f t="array" ref="AI132">if(isblank(E132),"", xlookup(E132,'Import_FL5_LH_PVTMP_Configs (Do'!E:E,'Import_FL5_LH_PVTMP_Configs (Do'!O:O,"TBD",0,1))</f>
        <v>G710-07800-10</v>
      </c>
      <c r="AJ132" s="311"/>
      <c r="AK132" s="310" t="str">
        <f t="array" ref="AK132">if(isblank(E132),"", xlookup(E132,'Import_FL5_LH_PVTMP_Configs (Do'!E:E,'Import_FL5_LH_PVTMP_Configs (Do'!Q:Q,"TBD",0,1))</f>
        <v>G650-14694-07</v>
      </c>
      <c r="AL132" s="310" t="str">
        <f t="array" ref="AL132">if(isblank(E132),"", xlookup(E132,'Import_FL5_LH_PVTMP_Configs (Do'!E:E,'Import_FL5_LH_PVTMP_Configs (Do'!M:M,"TBD",0,1))</f>
        <v>G710-07670-01</v>
      </c>
      <c r="AM132" s="310" t="str">
        <f t="array" ref="AM132">if(isblank(E132),"", xlookup(E132,'Import_FL5_LH_PVTMP_Configs (Do'!E:E,'Import_FL5_LH_PVTMP_Configs (Do'!N:N,"TBD",0,1))</f>
        <v>G730-09533-04</v>
      </c>
      <c r="AN132" s="310" t="str">
        <f t="array" ref="AN132">if(isblank(E132),"", xlookup(E132,'Import_FL5_LH_PVTMP_Configs (Do'!E:E,'Import_FL5_LH_PVTMP_Configs (Do'!K:K,"TBD",0,1))</f>
        <v>G950-15935-17</v>
      </c>
      <c r="AO132" s="292" t="str">
        <f t="array" ref="AO132">if(isblank(E132),"",XLOOKUP(E132,'FL5_G954 Pkg ASSY (Pkg BOM)'!L:L,'FL5_G954 Pkg ASSY (Pkg BOM)'!G:G,"N/A",0,1))</f>
        <v>G954-09575-00</v>
      </c>
      <c r="AP132" s="292" t="str">
        <f t="array" ref="AP132">if(isblank(E132),"",xlookup(E132,'FL5_G962 Country kit (Accesorie'!L:L,'FL5_G962 Country kit (Accesorie'!G:G,"N/A",0,1))</f>
        <v>G962-00511-00</v>
      </c>
      <c r="AQ132" s="304" t="s">
        <v>702</v>
      </c>
      <c r="AR132" s="304" t="s">
        <v>1047</v>
      </c>
      <c r="AS132" s="292" t="s">
        <v>596</v>
      </c>
      <c r="AT132" s="302" t="str">
        <f t="shared" si="6"/>
        <v>Yes</v>
      </c>
      <c r="AU132" s="302" t="str">
        <f t="shared" si="7"/>
        <v>No</v>
      </c>
      <c r="AV132" s="302" t="str">
        <f t="shared" si="8"/>
        <v>Yes</v>
      </c>
      <c r="AW132" s="302"/>
      <c r="AX132" s="302" t="s">
        <v>1084</v>
      </c>
      <c r="AY132" s="302" t="s">
        <v>1085</v>
      </c>
      <c r="AZ132" s="312" t="str">
        <f t="array" ref="AZ132">if(isblank(E132),"", xlookup(E132,Import_FL5_LH_PVT_BM!D:D,Import_FL5_LH_PVT_BM!AK:AK,$F$4,0,1))</f>
        <v>MP</v>
      </c>
      <c r="BA132" s="292" t="str">
        <f t="shared" si="9"/>
        <v>Retail_10ct</v>
      </c>
      <c r="BB132" s="313" t="str">
        <f t="array" ref="BB132">if(isblank(E132),"",xlookup(F132,z_Others!$B$21:$B$42,z_Others!$G$21:$G$42,"No",0,1))</f>
        <v>IN Master Carton Label</v>
      </c>
      <c r="BC132" s="313" t="str">
        <f t="array" ref="BC132">if(isblank(E132),"",xlookup(F132,z_Others!$B$21:$B$42,z_Others!$H$21:$H$42,"No",0,1))</f>
        <v>Standard Pallet Label (BTO)
Standard Pallet Label (BTS)</v>
      </c>
      <c r="BD132" s="314" t="str">
        <f t="array" ref="BD132">if(isblank(E132),"",xlookup(E132,'Import_VN_Label approve'!E:E,'Import_VN_Label approve'!L:L,"N/A",0,1))</f>
        <v>N/A</v>
      </c>
      <c r="BE132" s="314" t="str">
        <f t="array" ref="BE132">if(isblank(E132),"",xlookup(E132,'Import_VN_Label approve'!E:E,'Import_VN_Label approve'!N:N,"N/A",0,1))</f>
        <v>N/A</v>
      </c>
      <c r="BF132" s="315"/>
      <c r="BG132" s="332" t="s">
        <v>503</v>
      </c>
      <c r="BH132" s="317" t="s">
        <v>504</v>
      </c>
      <c r="BI132" s="318">
        <v>45782.0</v>
      </c>
      <c r="BJ132" s="319" t="str">
        <f t="array" ref="BJ132">if(isblank(E132),"", xlookup(D132,z_Others!$B$5:$B$17,z_Others!$C$5:$C$17,"",0,1))</f>
        <v>智能手機</v>
      </c>
      <c r="BK132" s="320">
        <v>45782.0</v>
      </c>
      <c r="BL132" s="320" t="str">
        <f t="array" ref="BL132">if(isblank(E132),"",xlookup(E132,'FL5_MP POR_LH_報關備案_G950 &amp; GA'!F:F,'FL5_MP POR_LH_報關備案_G950 &amp; GA'!E:E,"No Need",0,1))</f>
        <v>Close</v>
      </c>
      <c r="BM132" s="321" t="str">
        <f t="array" ref="BM132">if(isblank(E132),"",xlookup($BM$9&amp;E132,'Import_FL5 MPS (06.06.25) - Sor'!E128:E334&amp;'Import_FL5 MPS (06.06.25) - Sor'!F128:F334,'Import_FL5 MPS (06.06.25) - Sor'!ES128:ES334,"No demand",0,1))</f>
        <v>No demand</v>
      </c>
      <c r="BN132" s="321" t="str">
        <f t="array" ref="BN132">if(isblank(E132),"",xlookup($BN$9&amp;E132,'Import_FL5 MPS (06.06.25) - Sor'!E128:E334&amp;'Import_FL5 MPS (06.06.25) - Sor'!F128:F334,'Import_FL5 MPS (06.06.25) - Sor'!ES128:ES334,"No demand",0,1))</f>
        <v>No demand</v>
      </c>
      <c r="BO132" s="321" t="str">
        <f t="array" ref="BO132">if(isblank(E132),"",xlookup($BO$9&amp;E132,'Import_FL5 MPS (06.06.25) - Sor'!E128:E334&amp;'Import_FL5 MPS (06.06.25) - Sor'!F128:F334,'Import_FL5 MPS (06.06.25) - Sor'!ES128:ES334,"No demand",0,1))</f>
        <v>No demand</v>
      </c>
      <c r="BP132" s="322" t="str">
        <f t="array" ref="BP132">if(isblank(E132),"", xlookup(E132,'Import_LH_Label approve'!E:E,'Import_LH_Label approve'!L:L,"",0,1))</f>
        <v>G952-05416-00-A</v>
      </c>
      <c r="BQ132" s="322" t="str">
        <f t="array" ref="BQ132">if(isblank(E132),"",xlookup(E132,'Import_VN_Label approve'!E:E,'Import_VN_Label approve'!M:M,"N/A",0,1))</f>
        <v>N/A</v>
      </c>
      <c r="BR132" s="325"/>
      <c r="BS132" s="323"/>
      <c r="BT132" s="324"/>
      <c r="BU132" s="91"/>
    </row>
    <row r="133" hidden="1">
      <c r="A133" s="176"/>
      <c r="B133" s="292">
        <v>122.0</v>
      </c>
      <c r="C133" s="231" t="s">
        <v>290</v>
      </c>
      <c r="D133" s="231" t="s">
        <v>408</v>
      </c>
      <c r="E133" s="351" t="s">
        <v>1086</v>
      </c>
      <c r="F133" s="325" t="s">
        <v>1087</v>
      </c>
      <c r="G133" s="323"/>
      <c r="H133" s="292" t="str">
        <f t="array" ref="H133">xlookup(F133,z_Others!$B$21:$B$45,z_Others!$E$21:$E$45,"",0,1)</f>
        <v>mmWave</v>
      </c>
      <c r="I133" s="310" t="s">
        <v>412</v>
      </c>
      <c r="J133" s="231" t="str">
        <f t="array" ref="J133">if(isblank(E133),"",xlookup(I133,z_Others!$M$17:$M$20,z_Others!$O$17:$O$20,"",0,1))</f>
        <v>Obsidian</v>
      </c>
      <c r="K133" s="292" t="str">
        <f t="array" ref="K133">xlookup(I133,z_Others!$M$17:$M$20,z_Others!$N$17:$N$20,"",0,1)</f>
        <v>BLK</v>
      </c>
      <c r="L133" s="292" t="str">
        <f t="array" ref="L133">xlookup(F133,z_Others!$B$21:$B$45,z_Others!$D$21:$D$45,"",0,1)</f>
        <v>GLBW0</v>
      </c>
      <c r="M133" s="296" t="str">
        <f t="array" ref="M133">xlookup(F133,z_Others!$B$21:$B$45,z_Others!$C$21:$C$45,"",0,1)</f>
        <v>TMO</v>
      </c>
      <c r="N133" s="297">
        <f t="array" ref="N133">if(isblank(E133),"",xlookup($N$9&amp;M133,z_Others!$X$5:$X$17&amp;z_Others!$W$5:$W$17,z_Others!$Z$5:$Z$17,"",0,1))</f>
        <v>35163422</v>
      </c>
      <c r="O133" s="298" t="str">
        <f t="array" ref="O133">if(isblank(E133),"",xlookup($N$9&amp;M133,z_Others!$X$5:$X$17&amp;z_Others!$W$5:$W$17,z_Others!$AH$5:$AH$17,"",0,1))</f>
        <v>35 163422 020000x</v>
      </c>
      <c r="P133" s="299" t="str">
        <f t="array" ref="P133">if(isblank(E133),"",xlookup($N$9&amp;M133,z_Others!$X$5:$X$17&amp;z_Others!$W$5:$W$17,z_Others!$AI$5:$AI$17,"",0,1))</f>
        <v>35 163422 999999x</v>
      </c>
      <c r="Q133" s="300" t="s">
        <v>413</v>
      </c>
      <c r="R133" s="301" t="s">
        <v>414</v>
      </c>
      <c r="S133" s="302">
        <f t="array" ref="S133">if(isblank(E133),"",xlookup($S$9&amp;M133,z_Others!$X$5:$X$17&amp;z_Others!$W$5:$W$17,z_Others!$Z$5:$Z$17,"",0,1))</f>
        <v>35676321</v>
      </c>
      <c r="T133" s="303" t="str">
        <f t="array" ref="T133">if(isblank(E133),"",xlookup($S$9&amp;M133,z_Others!$X$5:$X$17&amp;z_Others!$W$5:$W$17,z_Others!$AH$5:$AH$17,"",0,1))</f>
        <v>35 676321 020000x</v>
      </c>
      <c r="U133" s="303" t="str">
        <f t="array" ref="U133">if(isblank(E133),"",xlookup($S$9&amp;M133,z_Others!$X$5:$X$17&amp;z_Others!$W$5:$W$17,z_Others!$AI$5:$AI$17,"",0,1))</f>
        <v>35 676321 999999x</v>
      </c>
      <c r="V133" s="303" t="str">
        <f t="shared" si="2"/>
        <v>64:9D:38:32:91:82
B0:D5:FB:C6:60:70</v>
      </c>
      <c r="W133" s="303" t="str">
        <f t="shared" si="3"/>
        <v>64:9D:38:37:25:61
B0:D5:FB:CE:01:8F</v>
      </c>
      <c r="X133" s="304" t="str">
        <f t="shared" si="4"/>
        <v>MP1.0</v>
      </c>
      <c r="Y133" s="292"/>
      <c r="Z133" s="304" t="str">
        <f t="shared" si="32"/>
        <v>Android 16</v>
      </c>
      <c r="AA133" s="304" t="str">
        <f t="shared" si="43"/>
        <v>TBD</v>
      </c>
      <c r="AB133" s="305" t="s">
        <v>585</v>
      </c>
      <c r="AC133" s="305" t="s">
        <v>1088</v>
      </c>
      <c r="AD133" s="306"/>
      <c r="AE133" s="306"/>
      <c r="AF133" s="308"/>
      <c r="AG133" s="308"/>
      <c r="AH133" s="297" t="str">
        <f t="array" ref="AH133">if(isblank(E133),"",xlookup(F133,z_Others!$B$21:$B$45,z_Others!$F$21:$F$45,"TBD",0,1))</f>
        <v>US</v>
      </c>
      <c r="AI133" s="310" t="str">
        <f t="array" ref="AI133">if(isblank(E133),"", xlookup(E133,'Import_FL5_LH_PVTMP_Configs (Do'!E:E,'Import_FL5_LH_PVTMP_Configs (Do'!O:O,"TBD",0,1))</f>
        <v>TBD</v>
      </c>
      <c r="AJ133" s="311"/>
      <c r="AK133" s="310" t="str">
        <f t="array" ref="AK133">if(isblank(E133),"", xlookup(E133,'Import_FL5_LH_PVTMP_Configs (Do'!E:E,'Import_FL5_LH_PVTMP_Configs (Do'!Q:Q,"TBD",0,1))</f>
        <v>TBD</v>
      </c>
      <c r="AL133" s="310" t="str">
        <f t="array" ref="AL133">if(isblank(E133),"", xlookup(E133,'Import_FL5_LH_PVTMP_Configs (Do'!E:E,'Import_FL5_LH_PVTMP_Configs (Do'!M:M,"TBD",0,1))</f>
        <v>TBD</v>
      </c>
      <c r="AM133" s="310" t="str">
        <f t="array" ref="AM133">if(isblank(E133),"", xlookup(E133,'Import_FL5_LH_PVTMP_Configs (Do'!E:E,'Import_FL5_LH_PVTMP_Configs (Do'!N:N,"TBD",0,1))</f>
        <v>TBD</v>
      </c>
      <c r="AN133" s="310" t="str">
        <f t="array" ref="AN133">if(isblank(E133),"", xlookup(E133,'Import_FL5_LH_PVTMP_Configs (Do'!E:E,'Import_FL5_LH_PVTMP_Configs (Do'!K:K,"TBD",0,1))</f>
        <v>TBD</v>
      </c>
      <c r="AO133" s="292" t="str">
        <f t="array" ref="AO133">if(isblank(E133),"",XLOOKUP(E133,'FL5_G954 Pkg ASSY (Pkg BOM)'!L:L,'FL5_G954 Pkg ASSY (Pkg BOM)'!G:G,"N/A",0,1))</f>
        <v>N/A</v>
      </c>
      <c r="AP133" s="292" t="str">
        <f t="array" ref="AP133">if(isblank(E133),"",xlookup(E133,'FL5_G962 Country kit (Accesorie'!L:L,'FL5_G962 Country kit (Accesorie'!G:G,"N/A",0,1))</f>
        <v>N/A</v>
      </c>
      <c r="AQ133" s="304" t="str">
        <f t="array" ref="AQ133">if(isblank(E133),"", xlookup(E133,'Import_LH_Label approve'!E:E,'Import_LH_Label approve'!M:M,"",0,1))</f>
        <v/>
      </c>
      <c r="AR133" s="304" t="str">
        <f t="array" ref="AR133">if(isblank(E133),"",xlookup(E133,'Import_LH_Label approve'!E:E,'Import_LH_Label approve'!N:N,"",0,1))</f>
        <v/>
      </c>
      <c r="AS133" s="292" t="s">
        <v>419</v>
      </c>
      <c r="AT133" s="302" t="str">
        <f t="shared" si="6"/>
        <v>Yes</v>
      </c>
      <c r="AU133" s="302" t="str">
        <f t="shared" si="7"/>
        <v>No</v>
      </c>
      <c r="AV133" s="302" t="str">
        <f t="shared" si="8"/>
        <v>No</v>
      </c>
      <c r="AW133" s="302" t="s">
        <v>585</v>
      </c>
      <c r="AX133" s="302" t="s">
        <v>1089</v>
      </c>
      <c r="AY133" s="302" t="s">
        <v>1090</v>
      </c>
      <c r="AZ133" s="312" t="str">
        <f t="array" ref="AZ133">if(isblank(E133),"", xlookup(E133,Import_FL5_LH_PVT_BM!D:D,Import_FL5_LH_PVT_BM!AK:AK,$F$4,0,1))</f>
        <v>MP</v>
      </c>
      <c r="BA133" s="292" t="str">
        <f t="shared" si="9"/>
        <v>Retail_10ct</v>
      </c>
      <c r="BB133" s="313" t="str">
        <f t="array" ref="BB133">if(isblank(E133),"",xlookup(F133,z_Others!$B$21:$B$42,z_Others!$G$21:$G$42,"No",0,1))</f>
        <v>TMO Master Carton Label</v>
      </c>
      <c r="BC133" s="313" t="str">
        <f t="array" ref="BC133">if(isblank(E133),"",xlookup(F133,z_Others!$B$21:$B$42,z_Others!$H$21:$H$42,"No",0,1))</f>
        <v>T-Mobile Pallet Label (BTO)
T-Mobile Pallet Label (BTS)</v>
      </c>
      <c r="BD133" s="314" t="str">
        <f t="array" ref="BD133">if(isblank(E133),"",xlookup(E133,'Import_VN_Label approve'!E:E,'Import_VN_Label approve'!L:L,"N/A",0,1))</f>
        <v/>
      </c>
      <c r="BE133" s="314" t="str">
        <f t="array" ref="BE133">if(isblank(E133),"",xlookup(E133,'Import_VN_Label approve'!E:E,'Import_VN_Label approve'!N:N,"N/A",0,1))</f>
        <v/>
      </c>
      <c r="BF133" s="315"/>
      <c r="BG133" s="316" t="s">
        <v>422</v>
      </c>
      <c r="BH133" s="317" t="s">
        <v>423</v>
      </c>
      <c r="BI133" s="360" t="s">
        <v>1091</v>
      </c>
      <c r="BJ133" s="319" t="str">
        <f t="array" ref="BJ133">if(isblank(E133),"", xlookup(D133,z_Others!$B$5:$B$17,z_Others!$C$5:$C$17,"",0,1))</f>
        <v>智能手機</v>
      </c>
      <c r="BK133" s="320">
        <v>45782.0</v>
      </c>
      <c r="BL133" s="320" t="str">
        <f t="array" ref="BL133">if(isblank(E133),"",xlookup(E133,'FL5_MP POR_LH_報關備案_G950 &amp; GA'!F:F,'FL5_MP POR_LH_報關備案_G950 &amp; GA'!E:E,"No Need",0,1))</f>
        <v>No Need</v>
      </c>
      <c r="BM133" s="321" t="str">
        <f t="array" ref="BM133">if(isblank(E133),"",xlookup($BM$9&amp;E133,'Import_FL5 MPS (06.06.25) - Sor'!E129:E334&amp;'Import_FL5 MPS (06.06.25) - Sor'!F129:F334,'Import_FL5 MPS (06.06.25) - Sor'!ES129:ES334,"No demand",0,1))</f>
        <v>No demand</v>
      </c>
      <c r="BN133" s="321" t="str">
        <f t="array" ref="BN133">if(isblank(E133),"",xlookup($BN$9&amp;E133,'Import_FL5 MPS (06.06.25) - Sor'!E129:E334&amp;'Import_FL5 MPS (06.06.25) - Sor'!F129:F334,'Import_FL5 MPS (06.06.25) - Sor'!ES129:ES334,"No demand",0,1))</f>
        <v>No demand</v>
      </c>
      <c r="BO133" s="321" t="str">
        <f t="array" ref="BO133">if(isblank(E133),"",xlookup($BO$9&amp;E133,'Import_FL5 MPS (06.06.25) - Sor'!E129:E334&amp;'Import_FL5 MPS (06.06.25) - Sor'!F129:F334,'Import_FL5 MPS (06.06.25) - Sor'!ES129:ES334,"No demand",0,1))</f>
        <v>No demand</v>
      </c>
      <c r="BP133" s="322" t="str">
        <f t="array" ref="BP133">if(isblank(E133),"", xlookup(E133,'Import_LH_Label approve'!E:E,'Import_LH_Label approve'!L:L,"",0,1))</f>
        <v/>
      </c>
      <c r="BQ133" s="322" t="str">
        <f t="array" ref="BQ133">if(isblank(E133),"",xlookup(E133,'Import_VN_Label approve'!E:E,'Import_VN_Label approve'!M:M,"N/A",0,1))</f>
        <v/>
      </c>
      <c r="BR133" s="325"/>
      <c r="BS133" s="323"/>
      <c r="BT133" s="324"/>
      <c r="BU133" s="91"/>
    </row>
    <row r="134" hidden="1">
      <c r="A134" s="176"/>
      <c r="B134" s="292">
        <v>123.0</v>
      </c>
      <c r="C134" s="231" t="s">
        <v>290</v>
      </c>
      <c r="D134" s="231" t="s">
        <v>408</v>
      </c>
      <c r="E134" s="351" t="s">
        <v>1092</v>
      </c>
      <c r="F134" s="325" t="s">
        <v>1087</v>
      </c>
      <c r="G134" s="323"/>
      <c r="H134" s="292" t="str">
        <f t="array" ref="H134">xlookup(F134,z_Others!$B$21:$B$45,z_Others!$E$21:$E$45,"",0,1)</f>
        <v>mmWave</v>
      </c>
      <c r="I134" s="310" t="s">
        <v>437</v>
      </c>
      <c r="J134" s="231" t="str">
        <f t="array" ref="J134">if(isblank(E134),"",xlookup(I134,z_Others!$M$17:$M$20,z_Others!$O$17:$O$20,"",0,1))</f>
        <v>Indigo</v>
      </c>
      <c r="K134" s="292" t="str">
        <f t="array" ref="K134">xlookup(I134,z_Others!$M$17:$M$20,z_Others!$N$17:$N$20,"",0,1)</f>
        <v>BUE</v>
      </c>
      <c r="L134" s="292" t="str">
        <f t="array" ref="L134">xlookup(F134,z_Others!$B$21:$B$45,z_Others!$D$21:$D$45,"",0,1)</f>
        <v>GLBW0</v>
      </c>
      <c r="M134" s="296" t="str">
        <f t="array" ref="M134">xlookup(F134,z_Others!$B$21:$B$45,z_Others!$C$21:$C$45,"",0,1)</f>
        <v>TMO</v>
      </c>
      <c r="N134" s="297">
        <f t="array" ref="N134">if(isblank(E134),"",xlookup($N$9&amp;M134,z_Others!$X$5:$X$17&amp;z_Others!$W$5:$W$17,z_Others!$Z$5:$Z$17,"",0,1))</f>
        <v>35163422</v>
      </c>
      <c r="O134" s="298" t="str">
        <f t="array" ref="O134">if(isblank(E134),"",xlookup($N$9&amp;M134,z_Others!$X$5:$X$17&amp;z_Others!$W$5:$W$17,z_Others!$AH$5:$AH$17,"",0,1))</f>
        <v>35 163422 020000x</v>
      </c>
      <c r="P134" s="299" t="str">
        <f t="array" ref="P134">if(isblank(E134),"",xlookup($N$9&amp;M134,z_Others!$X$5:$X$17&amp;z_Others!$W$5:$W$17,z_Others!$AI$5:$AI$17,"",0,1))</f>
        <v>35 163422 999999x</v>
      </c>
      <c r="Q134" s="300" t="s">
        <v>413</v>
      </c>
      <c r="R134" s="301" t="s">
        <v>414</v>
      </c>
      <c r="S134" s="302">
        <f t="array" ref="S134">if(isblank(E134),"",xlookup($S$9&amp;M134,z_Others!$X$5:$X$17&amp;z_Others!$W$5:$W$17,z_Others!$Z$5:$Z$17,"",0,1))</f>
        <v>35676321</v>
      </c>
      <c r="T134" s="303" t="str">
        <f t="array" ref="T134">if(isblank(E134),"",xlookup($S$9&amp;M134,z_Others!$X$5:$X$17&amp;z_Others!$W$5:$W$17,z_Others!$AH$5:$AH$17,"",0,1))</f>
        <v>35 676321 020000x</v>
      </c>
      <c r="U134" s="303" t="str">
        <f t="array" ref="U134">if(isblank(E134),"",xlookup($S$9&amp;M134,z_Others!$X$5:$X$17&amp;z_Others!$W$5:$W$17,z_Others!$AI$5:$AI$17,"",0,1))</f>
        <v>35 676321 999999x</v>
      </c>
      <c r="V134" s="303" t="str">
        <f t="shared" si="2"/>
        <v>64:9D:38:32:91:82
B0:D5:FB:C6:60:70</v>
      </c>
      <c r="W134" s="303" t="str">
        <f t="shared" si="3"/>
        <v>64:9D:38:37:25:61
B0:D5:FB:CE:01:8F</v>
      </c>
      <c r="X134" s="304" t="str">
        <f t="shared" si="4"/>
        <v>MP1.0</v>
      </c>
      <c r="Y134" s="292"/>
      <c r="Z134" s="304" t="str">
        <f t="shared" si="32"/>
        <v>Android 16</v>
      </c>
      <c r="AA134" s="304" t="str">
        <f t="shared" si="43"/>
        <v>TBD</v>
      </c>
      <c r="AB134" s="305" t="s">
        <v>585</v>
      </c>
      <c r="AC134" s="305" t="s">
        <v>1093</v>
      </c>
      <c r="AD134" s="306"/>
      <c r="AE134" s="306"/>
      <c r="AF134" s="308"/>
      <c r="AG134" s="308"/>
      <c r="AH134" s="297" t="str">
        <f t="array" ref="AH134">if(isblank(E134),"",xlookup(F134,z_Others!$B$21:$B$45,z_Others!$F$21:$F$45,"TBD",0,1))</f>
        <v>US</v>
      </c>
      <c r="AI134" s="310" t="str">
        <f t="array" ref="AI134">if(isblank(E134),"", xlookup(E134,'Import_FL5_LH_PVTMP_Configs (Do'!E:E,'Import_FL5_LH_PVTMP_Configs (Do'!O:O,"TBD",0,1))</f>
        <v>TBD</v>
      </c>
      <c r="AJ134" s="311"/>
      <c r="AK134" s="310" t="str">
        <f t="array" ref="AK134">if(isblank(E134),"", xlookup(E134,'Import_FL5_LH_PVTMP_Configs (Do'!E:E,'Import_FL5_LH_PVTMP_Configs (Do'!Q:Q,"TBD",0,1))</f>
        <v>TBD</v>
      </c>
      <c r="AL134" s="310" t="str">
        <f t="array" ref="AL134">if(isblank(E134),"", xlookup(E134,'Import_FL5_LH_PVTMP_Configs (Do'!E:E,'Import_FL5_LH_PVTMP_Configs (Do'!M:M,"TBD",0,1))</f>
        <v>TBD</v>
      </c>
      <c r="AM134" s="310" t="str">
        <f t="array" ref="AM134">if(isblank(E134),"", xlookup(E134,'Import_FL5_LH_PVTMP_Configs (Do'!E:E,'Import_FL5_LH_PVTMP_Configs (Do'!N:N,"TBD",0,1))</f>
        <v>TBD</v>
      </c>
      <c r="AN134" s="310" t="str">
        <f t="array" ref="AN134">if(isblank(E134),"", xlookup(E134,'Import_FL5_LH_PVTMP_Configs (Do'!E:E,'Import_FL5_LH_PVTMP_Configs (Do'!K:K,"TBD",0,1))</f>
        <v>TBD</v>
      </c>
      <c r="AO134" s="292" t="str">
        <f t="array" ref="AO134">if(isblank(E134),"",XLOOKUP(E134,'FL5_G954 Pkg ASSY (Pkg BOM)'!L:L,'FL5_G954 Pkg ASSY (Pkg BOM)'!G:G,"N/A",0,1))</f>
        <v>N/A</v>
      </c>
      <c r="AP134" s="292" t="str">
        <f t="array" ref="AP134">if(isblank(E134),"",xlookup(E134,'FL5_G962 Country kit (Accesorie'!L:L,'FL5_G962 Country kit (Accesorie'!G:G,"N/A",0,1))</f>
        <v>N/A</v>
      </c>
      <c r="AQ134" s="304" t="str">
        <f t="array" ref="AQ134">if(isblank(E134),"", xlookup(E134,'Import_LH_Label approve'!E:E,'Import_LH_Label approve'!M:M,"",0,1))</f>
        <v/>
      </c>
      <c r="AR134" s="304" t="str">
        <f t="array" ref="AR134">if(isblank(E134),"",xlookup(E134,'Import_LH_Label approve'!E:E,'Import_LH_Label approve'!N:N,"",0,1))</f>
        <v/>
      </c>
      <c r="AS134" s="292" t="s">
        <v>419</v>
      </c>
      <c r="AT134" s="302" t="str">
        <f t="shared" si="6"/>
        <v>Yes</v>
      </c>
      <c r="AU134" s="302" t="str">
        <f t="shared" si="7"/>
        <v>No</v>
      </c>
      <c r="AV134" s="302" t="str">
        <f t="shared" si="8"/>
        <v>No</v>
      </c>
      <c r="AW134" s="302" t="s">
        <v>585</v>
      </c>
      <c r="AX134" s="302" t="s">
        <v>1094</v>
      </c>
      <c r="AY134" s="302" t="s">
        <v>1095</v>
      </c>
      <c r="AZ134" s="312" t="str">
        <f t="array" ref="AZ134">if(isblank(E134),"", xlookup(E134,Import_FL5_LH_PVT_BM!D:D,Import_FL5_LH_PVT_BM!AK:AK,$F$4,0,1))</f>
        <v>MP</v>
      </c>
      <c r="BA134" s="292" t="str">
        <f t="shared" si="9"/>
        <v>Retail_10ct</v>
      </c>
      <c r="BB134" s="313" t="str">
        <f t="array" ref="BB134">if(isblank(E134),"",xlookup(F134,z_Others!$B$21:$B$42,z_Others!$G$21:$G$42,"No",0,1))</f>
        <v>TMO Master Carton Label</v>
      </c>
      <c r="BC134" s="313" t="str">
        <f t="array" ref="BC134">if(isblank(E134),"",xlookup(F134,z_Others!$B$21:$B$42,z_Others!$H$21:$H$42,"No",0,1))</f>
        <v>T-Mobile Pallet Label (BTO)
T-Mobile Pallet Label (BTS)</v>
      </c>
      <c r="BD134" s="314" t="str">
        <f t="array" ref="BD134">if(isblank(E134),"",xlookup(E134,'Import_VN_Label approve'!E:E,'Import_VN_Label approve'!L:L,"N/A",0,1))</f>
        <v/>
      </c>
      <c r="BE134" s="314" t="str">
        <f t="array" ref="BE134">if(isblank(E134),"",xlookup(E134,'Import_VN_Label approve'!E:E,'Import_VN_Label approve'!N:N,"N/A",0,1))</f>
        <v/>
      </c>
      <c r="BF134" s="315"/>
      <c r="BG134" s="316" t="s">
        <v>422</v>
      </c>
      <c r="BH134" s="317" t="s">
        <v>423</v>
      </c>
      <c r="BI134" s="360" t="s">
        <v>1091</v>
      </c>
      <c r="BJ134" s="319" t="str">
        <f t="array" ref="BJ134">if(isblank(E134),"", xlookup(D134,z_Others!$B$5:$B$17,z_Others!$C$5:$C$17,"",0,1))</f>
        <v>智能手機</v>
      </c>
      <c r="BK134" s="320">
        <v>45782.0</v>
      </c>
      <c r="BL134" s="320" t="str">
        <f t="array" ref="BL134">if(isblank(E134),"",xlookup(E134,'FL5_MP POR_LH_報關備案_G950 &amp; GA'!F:F,'FL5_MP POR_LH_報關備案_G950 &amp; GA'!E:E,"No Need",0,1))</f>
        <v>No Need</v>
      </c>
      <c r="BM134" s="321" t="str">
        <f t="array" ref="BM134">if(isblank(E134),"",xlookup($BM$9&amp;E134,'Import_FL5 MPS (06.06.25) - Sor'!E130:E334&amp;'Import_FL5 MPS (06.06.25) - Sor'!F130:F334,'Import_FL5 MPS (06.06.25) - Sor'!ES130:ES334,"No demand",0,1))</f>
        <v>No demand</v>
      </c>
      <c r="BN134" s="321" t="str">
        <f t="array" ref="BN134">if(isblank(E134),"",xlookup($BN$9&amp;E134,'Import_FL5 MPS (06.06.25) - Sor'!E130:E334&amp;'Import_FL5 MPS (06.06.25) - Sor'!F130:F334,'Import_FL5 MPS (06.06.25) - Sor'!ES130:ES334,"No demand",0,1))</f>
        <v>No demand</v>
      </c>
      <c r="BO134" s="321" t="str">
        <f t="array" ref="BO134">if(isblank(E134),"",xlookup($BO$9&amp;E134,'Import_FL5 MPS (06.06.25) - Sor'!E130:E334&amp;'Import_FL5 MPS (06.06.25) - Sor'!F130:F334,'Import_FL5 MPS (06.06.25) - Sor'!ES130:ES334,"No demand",0,1))</f>
        <v>No demand</v>
      </c>
      <c r="BP134" s="322" t="str">
        <f t="array" ref="BP134">if(isblank(E134),"", xlookup(E134,'Import_LH_Label approve'!E:E,'Import_LH_Label approve'!L:L,"",0,1))</f>
        <v/>
      </c>
      <c r="BQ134" s="322" t="str">
        <f t="array" ref="BQ134">if(isblank(E134),"",xlookup(E134,'Import_VN_Label approve'!E:E,'Import_VN_Label approve'!M:M,"N/A",0,1))</f>
        <v/>
      </c>
      <c r="BR134" s="325"/>
      <c r="BS134" s="323"/>
      <c r="BT134" s="324"/>
      <c r="BU134" s="91"/>
    </row>
    <row r="135" hidden="1">
      <c r="A135" s="176"/>
      <c r="B135" s="292">
        <v>124.0</v>
      </c>
      <c r="C135" s="231" t="s">
        <v>290</v>
      </c>
      <c r="D135" s="231" t="s">
        <v>408</v>
      </c>
      <c r="E135" s="351" t="s">
        <v>1096</v>
      </c>
      <c r="F135" s="313" t="s">
        <v>1097</v>
      </c>
      <c r="G135" s="323"/>
      <c r="H135" s="292" t="str">
        <f t="array" ref="H135">xlookup(F135,z_Others!$B$21:$B$45,z_Others!$E$21:$E$45,"",0,1)</f>
        <v>mmWave</v>
      </c>
      <c r="I135" s="310" t="s">
        <v>412</v>
      </c>
      <c r="J135" s="231" t="str">
        <f t="array" ref="J135">if(isblank(E135),"",xlookup(I135,z_Others!$M$17:$M$20,z_Others!$O$17:$O$20,"",0,1))</f>
        <v>Obsidian</v>
      </c>
      <c r="K135" s="292" t="str">
        <f t="array" ref="K135">xlookup(I135,z_Others!$M$17:$M$20,z_Others!$N$17:$N$20,"",0,1)</f>
        <v>BLK</v>
      </c>
      <c r="L135" s="292" t="str">
        <f t="array" ref="L135">xlookup(F135,z_Others!$B$21:$B$45,z_Others!$D$21:$D$45,"",0,1)</f>
        <v>GLBW0</v>
      </c>
      <c r="M135" s="296" t="str">
        <f t="array" ref="M135">xlookup(F135,z_Others!$B$21:$B$45,z_Others!$C$21:$C$45,"",0,1)</f>
        <v>VZW</v>
      </c>
      <c r="N135" s="297">
        <f t="array" ref="N135">if(isblank(E135),"",xlookup($N$9&amp;M135,z_Others!$X$5:$X$17&amp;z_Others!$W$5:$W$17,z_Others!$Z$5:$Z$17,"",0,1))</f>
        <v>35560678</v>
      </c>
      <c r="O135" s="298" t="str">
        <f t="array" ref="O135">if(isblank(E135),"",xlookup($N$9&amp;M135,z_Others!$X$5:$X$17&amp;z_Others!$W$5:$W$17,z_Others!$AH$5:$AH$17,"",0,1))</f>
        <v>35 560678 020000x</v>
      </c>
      <c r="P135" s="299" t="str">
        <f t="array" ref="P135">if(isblank(E135),"",xlookup($N$9&amp;M135,z_Others!$X$5:$X$17&amp;z_Others!$W$5:$W$17,z_Others!$AI$5:$AI$17,"",0,1))</f>
        <v>35 560678 999999x</v>
      </c>
      <c r="Q135" s="300" t="s">
        <v>413</v>
      </c>
      <c r="R135" s="301" t="s">
        <v>414</v>
      </c>
      <c r="S135" s="302">
        <f t="array" ref="S135">if(isblank(E135),"",xlookup($S$9&amp;M135,z_Others!$X$5:$X$17&amp;z_Others!$W$5:$W$17,z_Others!$Z$5:$Z$17,"",0,1))</f>
        <v>35931451</v>
      </c>
      <c r="T135" s="303" t="str">
        <f t="array" ref="T135">if(isblank(E135),"",xlookup($S$9&amp;M135,z_Others!$X$5:$X$17&amp;z_Others!$W$5:$W$17,z_Others!$AH$5:$AH$17,"",0,1))</f>
        <v>35 931451 020000x</v>
      </c>
      <c r="U135" s="303" t="str">
        <f t="array" ref="U135">if(isblank(E135),"",xlookup($S$9&amp;M135,z_Others!$X$5:$X$17&amp;z_Others!$W$5:$W$17,z_Others!$AI$5:$AI$17,"",0,1))</f>
        <v>35 931451 999999x</v>
      </c>
      <c r="V135" s="303" t="str">
        <f t="shared" si="2"/>
        <v>64:9D:38:32:91:82
B0:D5:FB:C6:60:70</v>
      </c>
      <c r="W135" s="303" t="str">
        <f t="shared" si="3"/>
        <v>64:9D:38:37:25:61
B0:D5:FB:CE:01:8F</v>
      </c>
      <c r="X135" s="304" t="str">
        <f t="shared" si="4"/>
        <v>MP1.0</v>
      </c>
      <c r="Y135" s="292"/>
      <c r="Z135" s="304" t="str">
        <f t="shared" si="32"/>
        <v>Android 16</v>
      </c>
      <c r="AA135" s="304" t="str">
        <f t="shared" si="43"/>
        <v>TBD</v>
      </c>
      <c r="AB135" s="305" t="s">
        <v>585</v>
      </c>
      <c r="AC135" s="348" t="s">
        <v>1098</v>
      </c>
      <c r="AD135" s="306"/>
      <c r="AE135" s="306"/>
      <c r="AF135" s="308"/>
      <c r="AG135" s="308"/>
      <c r="AH135" s="297" t="str">
        <f t="array" ref="AH135">if(isblank(E135),"",xlookup(F135,z_Others!$B$21:$B$45,z_Others!$F$21:$F$45,"TBD",0,1))</f>
        <v>US</v>
      </c>
      <c r="AI135" s="310" t="str">
        <f t="array" ref="AI135">if(isblank(E135),"", xlookup(E135,'Import_FL5_LH_PVTMP_Configs (Do'!E:E,'Import_FL5_LH_PVTMP_Configs (Do'!O:O,"TBD",0,1))</f>
        <v>TBD</v>
      </c>
      <c r="AJ135" s="311"/>
      <c r="AK135" s="310" t="str">
        <f t="array" ref="AK135">if(isblank(E135),"", xlookup(E135,'Import_FL5_LH_PVTMP_Configs (Do'!E:E,'Import_FL5_LH_PVTMP_Configs (Do'!Q:Q,"TBD",0,1))</f>
        <v>TBD</v>
      </c>
      <c r="AL135" s="310" t="str">
        <f t="array" ref="AL135">if(isblank(E135),"", xlookup(E135,'Import_FL5_LH_PVTMP_Configs (Do'!E:E,'Import_FL5_LH_PVTMP_Configs (Do'!M:M,"TBD",0,1))</f>
        <v>TBD</v>
      </c>
      <c r="AM135" s="310" t="str">
        <f t="array" ref="AM135">if(isblank(E135),"", xlookup(E135,'Import_FL5_LH_PVTMP_Configs (Do'!E:E,'Import_FL5_LH_PVTMP_Configs (Do'!N:N,"TBD",0,1))</f>
        <v>TBD</v>
      </c>
      <c r="AN135" s="310" t="str">
        <f t="array" ref="AN135">if(isblank(E135),"", xlookup(E135,'Import_FL5_LH_PVTMP_Configs (Do'!E:E,'Import_FL5_LH_PVTMP_Configs (Do'!K:K,"TBD",0,1))</f>
        <v>TBD</v>
      </c>
      <c r="AO135" s="292" t="str">
        <f t="array" ref="AO135">if(isblank(E135),"",XLOOKUP(E135,'FL5_G954 Pkg ASSY (Pkg BOM)'!L:L,'FL5_G954 Pkg ASSY (Pkg BOM)'!G:G,"N/A",0,1))</f>
        <v>N/A</v>
      </c>
      <c r="AP135" s="292" t="str">
        <f t="array" ref="AP135">if(isblank(E135),"",xlookup(E135,'FL5_G962 Country kit (Accesorie'!L:L,'FL5_G962 Country kit (Accesorie'!G:G,"N/A",0,1))</f>
        <v>N/A</v>
      </c>
      <c r="AQ135" s="304" t="str">
        <f t="array" ref="AQ135">if(isblank(E135),"", xlookup(E135,'Import_LH_Label approve'!E:E,'Import_LH_Label approve'!M:M,"",0,1))</f>
        <v/>
      </c>
      <c r="AR135" s="304" t="str">
        <f t="array" ref="AR135">if(isblank(E135),"",xlookup(E135,'Import_LH_Label approve'!E:E,'Import_LH_Label approve'!N:N,"",0,1))</f>
        <v/>
      </c>
      <c r="AS135" s="292" t="s">
        <v>419</v>
      </c>
      <c r="AT135" s="302" t="str">
        <f t="shared" si="6"/>
        <v>Yes</v>
      </c>
      <c r="AU135" s="302" t="str">
        <f t="shared" si="7"/>
        <v>No</v>
      </c>
      <c r="AV135" s="302" t="str">
        <f t="shared" si="8"/>
        <v>No</v>
      </c>
      <c r="AW135" s="302"/>
      <c r="AX135" s="302" t="s">
        <v>1099</v>
      </c>
      <c r="AY135" s="302" t="s">
        <v>1100</v>
      </c>
      <c r="AZ135" s="312" t="str">
        <f t="array" ref="AZ135">if(isblank(E135),"", xlookup(E135,Import_FL5_LH_PVT_BM!D:D,Import_FL5_LH_PVT_BM!AK:AK,$F$4,0,1))</f>
        <v>MP</v>
      </c>
      <c r="BA135" s="292" t="str">
        <f t="shared" si="9"/>
        <v>Retail_10ct</v>
      </c>
      <c r="BB135" s="313" t="str">
        <f t="array" ref="BB135">if(isblank(E135),"",xlookup(F135,z_Others!$B$21:$B$42,z_Others!$G$21:$G$42,"No",0,1))</f>
        <v>VZN Master Carton Label</v>
      </c>
      <c r="BC135" s="313" t="str">
        <f t="array" ref="BC135">if(isblank(E135),"",xlookup(F135,z_Others!$B$21:$B$42,z_Others!$H$21:$H$42,"No",0,1))</f>
        <v>VZN Pallet Label (BTS)</v>
      </c>
      <c r="BD135" s="314" t="str">
        <f t="array" ref="BD135">if(isblank(E135),"",xlookup(E135,'Import_VN_Label approve'!E:E,'Import_VN_Label approve'!L:L,"N/A",0,1))</f>
        <v/>
      </c>
      <c r="BE135" s="314" t="str">
        <f t="array" ref="BE135">if(isblank(E135),"",xlookup(E135,'Import_VN_Label approve'!E:E,'Import_VN_Label approve'!N:N,"N/A",0,1))</f>
        <v/>
      </c>
      <c r="BF135" s="315"/>
      <c r="BG135" s="316" t="s">
        <v>422</v>
      </c>
      <c r="BH135" s="317" t="s">
        <v>423</v>
      </c>
      <c r="BI135" s="360" t="s">
        <v>1091</v>
      </c>
      <c r="BJ135" s="319" t="str">
        <f t="array" ref="BJ135">if(isblank(E135),"", xlookup(D135,z_Others!$B$5:$B$17,z_Others!$C$5:$C$17,"",0,1))</f>
        <v>智能手機</v>
      </c>
      <c r="BK135" s="320">
        <v>45782.0</v>
      </c>
      <c r="BL135" s="320" t="str">
        <f t="array" ref="BL135">if(isblank(E135),"",xlookup(E135,'FL5_MP POR_LH_報關備案_G950 &amp; GA'!F:F,'FL5_MP POR_LH_報關備案_G950 &amp; GA'!E:E,"No Need",0,1))</f>
        <v>No Need</v>
      </c>
      <c r="BM135" s="321" t="str">
        <f t="array" ref="BM135">if(isblank(E135),"",xlookup($BM$9&amp;E135,'Import_FL5 MPS (06.06.25) - Sor'!E131:E334&amp;'Import_FL5 MPS (06.06.25) - Sor'!F131:F334,'Import_FL5 MPS (06.06.25) - Sor'!ES131:ES334,"No demand",0,1))</f>
        <v>No demand</v>
      </c>
      <c r="BN135" s="321" t="str">
        <f t="array" ref="BN135">if(isblank(E135),"",xlookup($BN$9&amp;E135,'Import_FL5 MPS (06.06.25) - Sor'!E131:E334&amp;'Import_FL5 MPS (06.06.25) - Sor'!F131:F334,'Import_FL5 MPS (06.06.25) - Sor'!ES131:ES334,"No demand",0,1))</f>
        <v>No demand</v>
      </c>
      <c r="BO135" s="321" t="str">
        <f t="array" ref="BO135">if(isblank(E135),"",xlookup($BO$9&amp;E135,'Import_FL5 MPS (06.06.25) - Sor'!E131:E334&amp;'Import_FL5 MPS (06.06.25) - Sor'!F131:F334,'Import_FL5 MPS (06.06.25) - Sor'!ES131:ES334,"No demand",0,1))</f>
        <v>No demand</v>
      </c>
      <c r="BP135" s="322" t="str">
        <f t="array" ref="BP135">if(isblank(E135),"", xlookup(E135,'Import_LH_Label approve'!E:E,'Import_LH_Label approve'!L:L,"",0,1))</f>
        <v/>
      </c>
      <c r="BQ135" s="322" t="str">
        <f t="array" ref="BQ135">if(isblank(E135),"",xlookup(E135,'Import_VN_Label approve'!E:E,'Import_VN_Label approve'!M:M,"N/A",0,1))</f>
        <v/>
      </c>
      <c r="BR135" s="325"/>
      <c r="BS135" s="323"/>
      <c r="BT135" s="324"/>
      <c r="BU135" s="91"/>
    </row>
    <row r="136" hidden="1">
      <c r="A136" s="176"/>
      <c r="B136" s="292">
        <v>125.0</v>
      </c>
      <c r="C136" s="231" t="s">
        <v>290</v>
      </c>
      <c r="D136" s="231" t="s">
        <v>408</v>
      </c>
      <c r="E136" s="351" t="s">
        <v>1101</v>
      </c>
      <c r="F136" s="313" t="s">
        <v>1097</v>
      </c>
      <c r="G136" s="323"/>
      <c r="H136" s="292" t="str">
        <f t="array" ref="H136">xlookup(F136,z_Others!$B$21:$B$45,z_Others!$E$21:$E$45,"",0,1)</f>
        <v>mmWave</v>
      </c>
      <c r="I136" s="310" t="s">
        <v>425</v>
      </c>
      <c r="J136" s="231" t="str">
        <f t="array" ref="J136">if(isblank(E136),"",xlookup(I136,z_Others!$M$17:$M$20,z_Others!$O$17:$O$20,"",0,1))</f>
        <v>Frost</v>
      </c>
      <c r="K136" s="292" t="str">
        <f t="array" ref="K136">xlookup(I136,z_Others!$M$17:$M$20,z_Others!$N$17:$N$20,"",0,1)</f>
        <v>PPL</v>
      </c>
      <c r="L136" s="292" t="str">
        <f t="array" ref="L136">xlookup(F136,z_Others!$B$21:$B$45,z_Others!$D$21:$D$45,"",0,1)</f>
        <v>GLBW0</v>
      </c>
      <c r="M136" s="296" t="str">
        <f t="array" ref="M136">xlookup(F136,z_Others!$B$21:$B$45,z_Others!$C$21:$C$45,"",0,1)</f>
        <v>VZW</v>
      </c>
      <c r="N136" s="297">
        <f t="array" ref="N136">if(isblank(E136),"",xlookup($N$9&amp;M136,z_Others!$X$5:$X$17&amp;z_Others!$W$5:$W$17,z_Others!$Z$5:$Z$17,"",0,1))</f>
        <v>35560678</v>
      </c>
      <c r="O136" s="298" t="str">
        <f t="array" ref="O136">if(isblank(E136),"",xlookup($N$9&amp;M136,z_Others!$X$5:$X$17&amp;z_Others!$W$5:$W$17,z_Others!$AH$5:$AH$17,"",0,1))</f>
        <v>35 560678 020000x</v>
      </c>
      <c r="P136" s="299" t="str">
        <f t="array" ref="P136">if(isblank(E136),"",xlookup($N$9&amp;M136,z_Others!$X$5:$X$17&amp;z_Others!$W$5:$W$17,z_Others!$AI$5:$AI$17,"",0,1))</f>
        <v>35 560678 999999x</v>
      </c>
      <c r="Q136" s="300" t="s">
        <v>413</v>
      </c>
      <c r="R136" s="301" t="s">
        <v>414</v>
      </c>
      <c r="S136" s="302">
        <f t="array" ref="S136">if(isblank(E136),"",xlookup($S$9&amp;M136,z_Others!$X$5:$X$17&amp;z_Others!$W$5:$W$17,z_Others!$Z$5:$Z$17,"",0,1))</f>
        <v>35931451</v>
      </c>
      <c r="T136" s="303" t="str">
        <f t="array" ref="T136">if(isblank(E136),"",xlookup($S$9&amp;M136,z_Others!$X$5:$X$17&amp;z_Others!$W$5:$W$17,z_Others!$AH$5:$AH$17,"",0,1))</f>
        <v>35 931451 020000x</v>
      </c>
      <c r="U136" s="303" t="str">
        <f t="array" ref="U136">if(isblank(E136),"",xlookup($S$9&amp;M136,z_Others!$X$5:$X$17&amp;z_Others!$W$5:$W$17,z_Others!$AI$5:$AI$17,"",0,1))</f>
        <v>35 931451 999999x</v>
      </c>
      <c r="V136" s="303" t="str">
        <f t="shared" si="2"/>
        <v>64:9D:38:32:91:82
B0:D5:FB:C6:60:70</v>
      </c>
      <c r="W136" s="303" t="str">
        <f t="shared" si="3"/>
        <v>64:9D:38:37:25:61
B0:D5:FB:CE:01:8F</v>
      </c>
      <c r="X136" s="304" t="str">
        <f t="shared" si="4"/>
        <v>MP1.0</v>
      </c>
      <c r="Y136" s="292"/>
      <c r="Z136" s="304" t="str">
        <f t="shared" si="32"/>
        <v>Android 16</v>
      </c>
      <c r="AA136" s="304" t="str">
        <f t="shared" si="43"/>
        <v>TBD</v>
      </c>
      <c r="AB136" s="305" t="s">
        <v>585</v>
      </c>
      <c r="AC136" s="305" t="s">
        <v>1102</v>
      </c>
      <c r="AD136" s="306"/>
      <c r="AE136" s="306"/>
      <c r="AF136" s="308"/>
      <c r="AG136" s="308"/>
      <c r="AH136" s="297" t="str">
        <f t="array" ref="AH136">if(isblank(E136),"",xlookup(F136,z_Others!$B$21:$B$45,z_Others!$F$21:$F$45,"TBD",0,1))</f>
        <v>US</v>
      </c>
      <c r="AI136" s="310" t="str">
        <f t="array" ref="AI136">if(isblank(E136),"", xlookup(E136,'Import_FL5_LH_PVTMP_Configs (Do'!E:E,'Import_FL5_LH_PVTMP_Configs (Do'!O:O,"TBD",0,1))</f>
        <v>TBD</v>
      </c>
      <c r="AJ136" s="311"/>
      <c r="AK136" s="310" t="str">
        <f t="array" ref="AK136">if(isblank(E136),"", xlookup(E136,'Import_FL5_LH_PVTMP_Configs (Do'!E:E,'Import_FL5_LH_PVTMP_Configs (Do'!Q:Q,"TBD",0,1))</f>
        <v>TBD</v>
      </c>
      <c r="AL136" s="310" t="str">
        <f t="array" ref="AL136">if(isblank(E136),"", xlookup(E136,'Import_FL5_LH_PVTMP_Configs (Do'!E:E,'Import_FL5_LH_PVTMP_Configs (Do'!M:M,"TBD",0,1))</f>
        <v>TBD</v>
      </c>
      <c r="AM136" s="310" t="str">
        <f t="array" ref="AM136">if(isblank(E136),"", xlookup(E136,'Import_FL5_LH_PVTMP_Configs (Do'!E:E,'Import_FL5_LH_PVTMP_Configs (Do'!N:N,"TBD",0,1))</f>
        <v>TBD</v>
      </c>
      <c r="AN136" s="310" t="str">
        <f t="array" ref="AN136">if(isblank(E136),"", xlookup(E136,'Import_FL5_LH_PVTMP_Configs (Do'!E:E,'Import_FL5_LH_PVTMP_Configs (Do'!K:K,"TBD",0,1))</f>
        <v>TBD</v>
      </c>
      <c r="AO136" s="292" t="str">
        <f t="array" ref="AO136">if(isblank(E136),"",XLOOKUP(E136,'FL5_G954 Pkg ASSY (Pkg BOM)'!L:L,'FL5_G954 Pkg ASSY (Pkg BOM)'!G:G,"N/A",0,1))</f>
        <v>N/A</v>
      </c>
      <c r="AP136" s="292" t="str">
        <f t="array" ref="AP136">if(isblank(E136),"",xlookup(E136,'FL5_G962 Country kit (Accesorie'!L:L,'FL5_G962 Country kit (Accesorie'!G:G,"N/A",0,1))</f>
        <v>N/A</v>
      </c>
      <c r="AQ136" s="304" t="str">
        <f t="array" ref="AQ136">if(isblank(E136),"", xlookup(E136,'Import_LH_Label approve'!E:E,'Import_LH_Label approve'!M:M,"",0,1))</f>
        <v/>
      </c>
      <c r="AR136" s="304" t="str">
        <f t="array" ref="AR136">if(isblank(E136),"",xlookup(E136,'Import_LH_Label approve'!E:E,'Import_LH_Label approve'!N:N,"",0,1))</f>
        <v/>
      </c>
      <c r="AS136" s="292" t="s">
        <v>419</v>
      </c>
      <c r="AT136" s="302" t="str">
        <f t="shared" si="6"/>
        <v>Yes</v>
      </c>
      <c r="AU136" s="302" t="str">
        <f t="shared" si="7"/>
        <v>No</v>
      </c>
      <c r="AV136" s="302" t="str">
        <f t="shared" si="8"/>
        <v>No</v>
      </c>
      <c r="AW136" s="302"/>
      <c r="AX136" s="302" t="s">
        <v>1103</v>
      </c>
      <c r="AY136" s="302" t="s">
        <v>1104</v>
      </c>
      <c r="AZ136" s="312" t="str">
        <f t="array" ref="AZ136">if(isblank(E136),"", xlookup(E136,Import_FL5_LH_PVT_BM!D:D,Import_FL5_LH_PVT_BM!AK:AK,$F$4,0,1))</f>
        <v>MP</v>
      </c>
      <c r="BA136" s="292" t="str">
        <f t="shared" si="9"/>
        <v>Retail_10ct</v>
      </c>
      <c r="BB136" s="313" t="str">
        <f t="array" ref="BB136">if(isblank(E136),"",xlookup(F136,z_Others!$B$21:$B$42,z_Others!$G$21:$G$42,"No",0,1))</f>
        <v>VZN Master Carton Label</v>
      </c>
      <c r="BC136" s="313" t="str">
        <f t="array" ref="BC136">if(isblank(E136),"",xlookup(F136,z_Others!$B$21:$B$42,z_Others!$H$21:$H$42,"No",0,1))</f>
        <v>VZN Pallet Label (BTS)</v>
      </c>
      <c r="BD136" s="314" t="str">
        <f t="array" ref="BD136">if(isblank(E136),"",xlookup(E136,'Import_VN_Label approve'!E:E,'Import_VN_Label approve'!L:L,"N/A",0,1))</f>
        <v/>
      </c>
      <c r="BE136" s="314" t="str">
        <f t="array" ref="BE136">if(isblank(E136),"",xlookup(E136,'Import_VN_Label approve'!E:E,'Import_VN_Label approve'!N:N,"N/A",0,1))</f>
        <v/>
      </c>
      <c r="BF136" s="315"/>
      <c r="BG136" s="316" t="s">
        <v>422</v>
      </c>
      <c r="BH136" s="317" t="s">
        <v>423</v>
      </c>
      <c r="BI136" s="360" t="s">
        <v>1091</v>
      </c>
      <c r="BJ136" s="319" t="str">
        <f t="array" ref="BJ136">if(isblank(E136),"", xlookup(D136,z_Others!$B$5:$B$17,z_Others!$C$5:$C$17,"",0,1))</f>
        <v>智能手機</v>
      </c>
      <c r="BK136" s="320">
        <v>45782.0</v>
      </c>
      <c r="BL136" s="320" t="str">
        <f t="array" ref="BL136">if(isblank(E136),"",xlookup(E136,'FL5_MP POR_LH_報關備案_G950 &amp; GA'!F:F,'FL5_MP POR_LH_報關備案_G950 &amp; GA'!E:E,"No Need",0,1))</f>
        <v>No Need</v>
      </c>
      <c r="BM136" s="321" t="str">
        <f t="array" ref="BM136">if(isblank(E136),"",xlookup($BM$9&amp;E136,'Import_FL5 MPS (06.06.25) - Sor'!E132:E334&amp;'Import_FL5 MPS (06.06.25) - Sor'!F132:F334,'Import_FL5 MPS (06.06.25) - Sor'!ES132:ES334,"No demand",0,1))</f>
        <v>No demand</v>
      </c>
      <c r="BN136" s="321" t="str">
        <f t="array" ref="BN136">if(isblank(E136),"",xlookup($BN$9&amp;E136,'Import_FL5 MPS (06.06.25) - Sor'!E132:E334&amp;'Import_FL5 MPS (06.06.25) - Sor'!F132:F334,'Import_FL5 MPS (06.06.25) - Sor'!ES132:ES334,"No demand",0,1))</f>
        <v>No demand</v>
      </c>
      <c r="BO136" s="321" t="str">
        <f t="array" ref="BO136">if(isblank(E136),"",xlookup($BO$9&amp;E136,'Import_FL5 MPS (06.06.25) - Sor'!E132:E334&amp;'Import_FL5 MPS (06.06.25) - Sor'!F132:F334,'Import_FL5 MPS (06.06.25) - Sor'!ES132:ES334,"No demand",0,1))</f>
        <v>No demand</v>
      </c>
      <c r="BP136" s="322" t="str">
        <f t="array" ref="BP136">if(isblank(E136),"", xlookup(E136,'Import_LH_Label approve'!E:E,'Import_LH_Label approve'!L:L,"",0,1))</f>
        <v/>
      </c>
      <c r="BQ136" s="322" t="str">
        <f t="array" ref="BQ136">if(isblank(E136),"",xlookup(E136,'Import_VN_Label approve'!E:E,'Import_VN_Label approve'!M:M,"N/A",0,1))</f>
        <v/>
      </c>
      <c r="BR136" s="325"/>
      <c r="BS136" s="323"/>
      <c r="BT136" s="324"/>
      <c r="BU136" s="91"/>
    </row>
    <row r="137" hidden="1">
      <c r="A137" s="176"/>
      <c r="B137" s="292">
        <v>126.0</v>
      </c>
      <c r="C137" s="231" t="s">
        <v>290</v>
      </c>
      <c r="D137" s="231" t="s">
        <v>408</v>
      </c>
      <c r="E137" s="350" t="s">
        <v>1105</v>
      </c>
      <c r="F137" s="313" t="s">
        <v>1097</v>
      </c>
      <c r="G137" s="323"/>
      <c r="H137" s="292" t="str">
        <f t="array" ref="H137">xlookup(F137,z_Others!$B$21:$B$45,z_Others!$E$21:$E$45,"",0,1)</f>
        <v>mmWave</v>
      </c>
      <c r="I137" s="310" t="s">
        <v>431</v>
      </c>
      <c r="J137" s="231" t="str">
        <f t="array" ref="J137">if(isblank(E137),"",xlookup(I137,z_Others!$M$17:$M$20,z_Others!$O$17:$O$20,"",0,1))</f>
        <v>Lemongrass</v>
      </c>
      <c r="K137" s="292" t="str">
        <f t="array" ref="K137">xlookup(I137,z_Others!$M$17:$M$20,z_Others!$N$17:$N$20,"",0,1)</f>
        <v>YEL</v>
      </c>
      <c r="L137" s="292" t="str">
        <f t="array" ref="L137">xlookup(F137,z_Others!$B$21:$B$45,z_Others!$D$21:$D$45,"",0,1)</f>
        <v>GLBW0</v>
      </c>
      <c r="M137" s="296" t="str">
        <f t="array" ref="M137">xlookup(F137,z_Others!$B$21:$B$45,z_Others!$C$21:$C$45,"",0,1)</f>
        <v>VZW</v>
      </c>
      <c r="N137" s="297">
        <f t="array" ref="N137">if(isblank(E137),"",xlookup($N$9&amp;M137,z_Others!$X$5:$X$17&amp;z_Others!$W$5:$W$17,z_Others!$Z$5:$Z$17,"",0,1))</f>
        <v>35560678</v>
      </c>
      <c r="O137" s="298" t="str">
        <f t="array" ref="O137">if(isblank(E137),"",xlookup($N$9&amp;M137,z_Others!$X$5:$X$17&amp;z_Others!$W$5:$W$17,z_Others!$AH$5:$AH$17,"",0,1))</f>
        <v>35 560678 020000x</v>
      </c>
      <c r="P137" s="299" t="str">
        <f t="array" ref="P137">if(isblank(E137),"",xlookup($N$9&amp;M137,z_Others!$X$5:$X$17&amp;z_Others!$W$5:$W$17,z_Others!$AI$5:$AI$17,"",0,1))</f>
        <v>35 560678 999999x</v>
      </c>
      <c r="Q137" s="300" t="s">
        <v>413</v>
      </c>
      <c r="R137" s="301" t="s">
        <v>414</v>
      </c>
      <c r="S137" s="302">
        <f t="array" ref="S137">if(isblank(E137),"",xlookup($S$9&amp;M137,z_Others!$X$5:$X$17&amp;z_Others!$W$5:$W$17,z_Others!$Z$5:$Z$17,"",0,1))</f>
        <v>35931451</v>
      </c>
      <c r="T137" s="303" t="str">
        <f t="array" ref="T137">if(isblank(E137),"",xlookup($S$9&amp;M137,z_Others!$X$5:$X$17&amp;z_Others!$W$5:$W$17,z_Others!$AH$5:$AH$17,"",0,1))</f>
        <v>35 931451 020000x</v>
      </c>
      <c r="U137" s="303" t="str">
        <f t="array" ref="U137">if(isblank(E137),"",xlookup($S$9&amp;M137,z_Others!$X$5:$X$17&amp;z_Others!$W$5:$W$17,z_Others!$AI$5:$AI$17,"",0,1))</f>
        <v>35 931451 999999x</v>
      </c>
      <c r="V137" s="303" t="str">
        <f t="shared" si="2"/>
        <v>64:9D:38:32:91:82
B0:D5:FB:C6:60:70</v>
      </c>
      <c r="W137" s="303" t="str">
        <f t="shared" si="3"/>
        <v>64:9D:38:37:25:61
B0:D5:FB:CE:01:8F</v>
      </c>
      <c r="X137" s="304" t="str">
        <f t="shared" si="4"/>
        <v>MP1.0</v>
      </c>
      <c r="Y137" s="292"/>
      <c r="Z137" s="304" t="str">
        <f t="shared" si="32"/>
        <v>Android 16</v>
      </c>
      <c r="AA137" s="304" t="str">
        <f t="shared" si="43"/>
        <v>TBD</v>
      </c>
      <c r="AB137" s="305" t="s">
        <v>585</v>
      </c>
      <c r="AC137" s="305" t="s">
        <v>1106</v>
      </c>
      <c r="AD137" s="306"/>
      <c r="AE137" s="306"/>
      <c r="AF137" s="308"/>
      <c r="AG137" s="308"/>
      <c r="AH137" s="297" t="str">
        <f t="array" ref="AH137">if(isblank(E137),"",xlookup(F137,z_Others!$B$21:$B$45,z_Others!$F$21:$F$45,"TBD",0,1))</f>
        <v>US</v>
      </c>
      <c r="AI137" s="310" t="str">
        <f t="array" ref="AI137">if(isblank(E137),"", xlookup(E137,'Import_FL5_LH_PVTMP_Configs (Do'!E:E,'Import_FL5_LH_PVTMP_Configs (Do'!O:O,"TBD",0,1))</f>
        <v>TBD</v>
      </c>
      <c r="AJ137" s="311"/>
      <c r="AK137" s="310" t="str">
        <f t="array" ref="AK137">if(isblank(E137),"", xlookup(E137,'Import_FL5_LH_PVTMP_Configs (Do'!E:E,'Import_FL5_LH_PVTMP_Configs (Do'!Q:Q,"TBD",0,1))</f>
        <v>TBD</v>
      </c>
      <c r="AL137" s="310" t="str">
        <f t="array" ref="AL137">if(isblank(E137),"", xlookup(E137,'Import_FL5_LH_PVTMP_Configs (Do'!E:E,'Import_FL5_LH_PVTMP_Configs (Do'!M:M,"TBD",0,1))</f>
        <v>TBD</v>
      </c>
      <c r="AM137" s="310" t="str">
        <f t="array" ref="AM137">if(isblank(E137),"", xlookup(E137,'Import_FL5_LH_PVTMP_Configs (Do'!E:E,'Import_FL5_LH_PVTMP_Configs (Do'!N:N,"TBD",0,1))</f>
        <v>TBD</v>
      </c>
      <c r="AN137" s="310" t="str">
        <f t="array" ref="AN137">if(isblank(E137),"", xlookup(E137,'Import_FL5_LH_PVTMP_Configs (Do'!E:E,'Import_FL5_LH_PVTMP_Configs (Do'!K:K,"TBD",0,1))</f>
        <v>TBD</v>
      </c>
      <c r="AO137" s="292" t="str">
        <f t="array" ref="AO137">if(isblank(E137),"",XLOOKUP(E137,'FL5_G954 Pkg ASSY (Pkg BOM)'!L:L,'FL5_G954 Pkg ASSY (Pkg BOM)'!G:G,"N/A",0,1))</f>
        <v>N/A</v>
      </c>
      <c r="AP137" s="292" t="str">
        <f t="array" ref="AP137">if(isblank(E137),"",xlookup(E137,'FL5_G962 Country kit (Accesorie'!L:L,'FL5_G962 Country kit (Accesorie'!G:G,"N/A",0,1))</f>
        <v>N/A</v>
      </c>
      <c r="AQ137" s="304" t="str">
        <f t="array" ref="AQ137">if(isblank(E137),"", xlookup(E137,'Import_LH_Label approve'!E:E,'Import_LH_Label approve'!M:M,"",0,1))</f>
        <v/>
      </c>
      <c r="AR137" s="304" t="str">
        <f t="array" ref="AR137">if(isblank(E137),"",xlookup(E137,'Import_LH_Label approve'!E:E,'Import_LH_Label approve'!N:N,"",0,1))</f>
        <v/>
      </c>
      <c r="AS137" s="292" t="s">
        <v>419</v>
      </c>
      <c r="AT137" s="302" t="str">
        <f t="shared" si="6"/>
        <v>Yes</v>
      </c>
      <c r="AU137" s="302" t="str">
        <f t="shared" si="7"/>
        <v>No</v>
      </c>
      <c r="AV137" s="302" t="str">
        <f t="shared" si="8"/>
        <v>No</v>
      </c>
      <c r="AW137" s="302"/>
      <c r="AX137" s="302" t="s">
        <v>1107</v>
      </c>
      <c r="AY137" s="302" t="s">
        <v>1108</v>
      </c>
      <c r="AZ137" s="312" t="str">
        <f t="array" ref="AZ137">if(isblank(E137),"", xlookup(E137,Import_FL5_LH_PVT_BM!D:D,Import_FL5_LH_PVT_BM!AK:AK,$F$4,0,1))</f>
        <v>MP</v>
      </c>
      <c r="BA137" s="292" t="str">
        <f t="shared" si="9"/>
        <v>Retail_10ct</v>
      </c>
      <c r="BB137" s="313" t="str">
        <f t="array" ref="BB137">if(isblank(E137),"",xlookup(F137,z_Others!$B$21:$B$42,z_Others!$G$21:$G$42,"No",0,1))</f>
        <v>VZN Master Carton Label</v>
      </c>
      <c r="BC137" s="313" t="str">
        <f t="array" ref="BC137">if(isblank(E137),"",xlookup(F137,z_Others!$B$21:$B$42,z_Others!$H$21:$H$42,"No",0,1))</f>
        <v>VZN Pallet Label (BTS)</v>
      </c>
      <c r="BD137" s="314" t="str">
        <f t="array" ref="BD137">if(isblank(E137),"",xlookup(E137,'Import_VN_Label approve'!E:E,'Import_VN_Label approve'!L:L,"N/A",0,1))</f>
        <v/>
      </c>
      <c r="BE137" s="314" t="str">
        <f t="array" ref="BE137">if(isblank(E137),"",xlookup(E137,'Import_VN_Label approve'!E:E,'Import_VN_Label approve'!N:N,"N/A",0,1))</f>
        <v/>
      </c>
      <c r="BF137" s="315"/>
      <c r="BG137" s="316" t="s">
        <v>422</v>
      </c>
      <c r="BH137" s="317" t="s">
        <v>423</v>
      </c>
      <c r="BI137" s="360" t="s">
        <v>1091</v>
      </c>
      <c r="BJ137" s="319" t="str">
        <f t="array" ref="BJ137">if(isblank(E137),"", xlookup(D137,z_Others!$B$5:$B$17,z_Others!$C$5:$C$17,"",0,1))</f>
        <v>智能手機</v>
      </c>
      <c r="BK137" s="320">
        <v>45782.0</v>
      </c>
      <c r="BL137" s="320" t="str">
        <f t="array" ref="BL137">if(isblank(E137),"",xlookup(E137,'FL5_MP POR_LH_報關備案_G950 &amp; GA'!F:F,'FL5_MP POR_LH_報關備案_G950 &amp; GA'!E:E,"No Need",0,1))</f>
        <v>No Need</v>
      </c>
      <c r="BM137" s="321" t="str">
        <f t="array" ref="BM137">if(isblank(E137),"",xlookup($BM$9&amp;E137,'Import_FL5 MPS (06.06.25) - Sor'!E133:E334&amp;'Import_FL5 MPS (06.06.25) - Sor'!F133:F334,'Import_FL5 MPS (06.06.25) - Sor'!ES133:ES334,"No demand",0,1))</f>
        <v>No demand</v>
      </c>
      <c r="BN137" s="321" t="str">
        <f t="array" ref="BN137">if(isblank(E137),"",xlookup($BN$9&amp;E137,'Import_FL5 MPS (06.06.25) - Sor'!E133:E334&amp;'Import_FL5 MPS (06.06.25) - Sor'!F133:F334,'Import_FL5 MPS (06.06.25) - Sor'!ES133:ES334,"No demand",0,1))</f>
        <v>No demand</v>
      </c>
      <c r="BO137" s="321" t="str">
        <f t="array" ref="BO137">if(isblank(E137),"",xlookup($BO$9&amp;E137,'Import_FL5 MPS (06.06.25) - Sor'!E133:E334&amp;'Import_FL5 MPS (06.06.25) - Sor'!F133:F334,'Import_FL5 MPS (06.06.25) - Sor'!ES133:ES334,"No demand",0,1))</f>
        <v>No demand</v>
      </c>
      <c r="BP137" s="322" t="str">
        <f t="array" ref="BP137">if(isblank(E137),"", xlookup(E137,'Import_LH_Label approve'!E:E,'Import_LH_Label approve'!L:L,"",0,1))</f>
        <v/>
      </c>
      <c r="BQ137" s="322" t="str">
        <f t="array" ref="BQ137">if(isblank(E137),"",xlookup(E137,'Import_VN_Label approve'!E:E,'Import_VN_Label approve'!M:M,"N/A",0,1))</f>
        <v/>
      </c>
      <c r="BR137" s="313"/>
      <c r="BS137" s="323"/>
      <c r="BT137" s="324"/>
      <c r="BU137" s="91"/>
    </row>
    <row r="138" hidden="1">
      <c r="A138" s="176"/>
      <c r="B138" s="292">
        <v>127.0</v>
      </c>
      <c r="C138" s="231" t="s">
        <v>290</v>
      </c>
      <c r="D138" s="231" t="s">
        <v>408</v>
      </c>
      <c r="E138" s="350" t="s">
        <v>1109</v>
      </c>
      <c r="F138" s="313" t="s">
        <v>1097</v>
      </c>
      <c r="G138" s="323"/>
      <c r="H138" s="292" t="str">
        <f t="array" ref="H138">xlookup(F138,z_Others!$B$21:$B$45,z_Others!$E$21:$E$45,"",0,1)</f>
        <v>mmWave</v>
      </c>
      <c r="I138" s="310" t="s">
        <v>437</v>
      </c>
      <c r="J138" s="231" t="str">
        <f t="array" ref="J138">if(isblank(E138),"",xlookup(I138,z_Others!$M$17:$M$20,z_Others!$O$17:$O$20,"",0,1))</f>
        <v>Indigo</v>
      </c>
      <c r="K138" s="292" t="str">
        <f t="array" ref="K138">xlookup(I138,z_Others!$M$17:$M$20,z_Others!$N$17:$N$20,"",0,1)</f>
        <v>BUE</v>
      </c>
      <c r="L138" s="292" t="str">
        <f t="array" ref="L138">xlookup(F138,z_Others!$B$21:$B$45,z_Others!$D$21:$D$45,"",0,1)</f>
        <v>GLBW0</v>
      </c>
      <c r="M138" s="296" t="str">
        <f t="array" ref="M138">xlookup(F138,z_Others!$B$21:$B$45,z_Others!$C$21:$C$45,"",0,1)</f>
        <v>VZW</v>
      </c>
      <c r="N138" s="297">
        <f t="array" ref="N138">if(isblank(E138),"",xlookup($N$9&amp;M138,z_Others!$X$5:$X$17&amp;z_Others!$W$5:$W$17,z_Others!$Z$5:$Z$17,"",0,1))</f>
        <v>35560678</v>
      </c>
      <c r="O138" s="298" t="str">
        <f t="array" ref="O138">if(isblank(E138),"",xlookup($N$9&amp;M138,z_Others!$X$5:$X$17&amp;z_Others!$W$5:$W$17,z_Others!$AH$5:$AH$17,"",0,1))</f>
        <v>35 560678 020000x</v>
      </c>
      <c r="P138" s="299" t="str">
        <f t="array" ref="P138">if(isblank(E138),"",xlookup($N$9&amp;M138,z_Others!$X$5:$X$17&amp;z_Others!$W$5:$W$17,z_Others!$AI$5:$AI$17,"",0,1))</f>
        <v>35 560678 999999x</v>
      </c>
      <c r="Q138" s="300" t="s">
        <v>413</v>
      </c>
      <c r="R138" s="301" t="s">
        <v>414</v>
      </c>
      <c r="S138" s="302">
        <f t="array" ref="S138">if(isblank(E138),"",xlookup($S$9&amp;M138,z_Others!$X$5:$X$17&amp;z_Others!$W$5:$W$17,z_Others!$Z$5:$Z$17,"",0,1))</f>
        <v>35931451</v>
      </c>
      <c r="T138" s="303" t="str">
        <f t="array" ref="T138">if(isblank(E138),"",xlookup($S$9&amp;M138,z_Others!$X$5:$X$17&amp;z_Others!$W$5:$W$17,z_Others!$AH$5:$AH$17,"",0,1))</f>
        <v>35 931451 020000x</v>
      </c>
      <c r="U138" s="303" t="str">
        <f t="array" ref="U138">if(isblank(E138),"",xlookup($S$9&amp;M138,z_Others!$X$5:$X$17&amp;z_Others!$W$5:$W$17,z_Others!$AI$5:$AI$17,"",0,1))</f>
        <v>35 931451 999999x</v>
      </c>
      <c r="V138" s="303" t="str">
        <f t="shared" si="2"/>
        <v>64:9D:38:32:91:82
B0:D5:FB:C6:60:70</v>
      </c>
      <c r="W138" s="303" t="str">
        <f t="shared" si="3"/>
        <v>64:9D:38:37:25:61
B0:D5:FB:CE:01:8F</v>
      </c>
      <c r="X138" s="304" t="str">
        <f t="shared" si="4"/>
        <v>MP1.0</v>
      </c>
      <c r="Y138" s="292"/>
      <c r="Z138" s="304" t="str">
        <f t="shared" si="32"/>
        <v>Android 16</v>
      </c>
      <c r="AA138" s="304" t="str">
        <f t="shared" si="43"/>
        <v>TBD</v>
      </c>
      <c r="AB138" s="305" t="s">
        <v>585</v>
      </c>
      <c r="AC138" s="305" t="s">
        <v>1110</v>
      </c>
      <c r="AD138" s="306"/>
      <c r="AE138" s="306"/>
      <c r="AF138" s="308"/>
      <c r="AG138" s="308"/>
      <c r="AH138" s="297" t="str">
        <f t="array" ref="AH138">if(isblank(E138),"",xlookup(F138,z_Others!$B$21:$B$45,z_Others!$F$21:$F$45,"TBD",0,1))</f>
        <v>US</v>
      </c>
      <c r="AI138" s="310" t="str">
        <f t="array" ref="AI138">if(isblank(E138),"", xlookup(E138,'Import_FL5_LH_PVTMP_Configs (Do'!E:E,'Import_FL5_LH_PVTMP_Configs (Do'!O:O,"TBD",0,1))</f>
        <v>TBD</v>
      </c>
      <c r="AJ138" s="311"/>
      <c r="AK138" s="310" t="str">
        <f t="array" ref="AK138">if(isblank(E138),"", xlookup(E138,'Import_FL5_LH_PVTMP_Configs (Do'!E:E,'Import_FL5_LH_PVTMP_Configs (Do'!Q:Q,"TBD",0,1))</f>
        <v>TBD</v>
      </c>
      <c r="AL138" s="310" t="str">
        <f t="array" ref="AL138">if(isblank(E138),"", xlookup(E138,'Import_FL5_LH_PVTMP_Configs (Do'!E:E,'Import_FL5_LH_PVTMP_Configs (Do'!M:M,"TBD",0,1))</f>
        <v>TBD</v>
      </c>
      <c r="AM138" s="310" t="str">
        <f t="array" ref="AM138">if(isblank(E138),"", xlookup(E138,'Import_FL5_LH_PVTMP_Configs (Do'!E:E,'Import_FL5_LH_PVTMP_Configs (Do'!N:N,"TBD",0,1))</f>
        <v>TBD</v>
      </c>
      <c r="AN138" s="310" t="str">
        <f t="array" ref="AN138">if(isblank(E138),"", xlookup(E138,'Import_FL5_LH_PVTMP_Configs (Do'!E:E,'Import_FL5_LH_PVTMP_Configs (Do'!K:K,"TBD",0,1))</f>
        <v>TBD</v>
      </c>
      <c r="AO138" s="292" t="str">
        <f t="array" ref="AO138">if(isblank(E138),"",XLOOKUP(E138,'FL5_G954 Pkg ASSY (Pkg BOM)'!L:L,'FL5_G954 Pkg ASSY (Pkg BOM)'!G:G,"N/A",0,1))</f>
        <v>N/A</v>
      </c>
      <c r="AP138" s="292" t="str">
        <f t="array" ref="AP138">if(isblank(E138),"",xlookup(E138,'FL5_G962 Country kit (Accesorie'!L:L,'FL5_G962 Country kit (Accesorie'!G:G,"N/A",0,1))</f>
        <v>N/A</v>
      </c>
      <c r="AQ138" s="304" t="str">
        <f t="array" ref="AQ138">if(isblank(E138),"", xlookup(E138,'Import_LH_Label approve'!E:E,'Import_LH_Label approve'!M:M,"",0,1))</f>
        <v/>
      </c>
      <c r="AR138" s="304" t="str">
        <f t="array" ref="AR138">if(isblank(E138),"",xlookup(E138,'Import_LH_Label approve'!E:E,'Import_LH_Label approve'!N:N,"",0,1))</f>
        <v/>
      </c>
      <c r="AS138" s="292" t="s">
        <v>419</v>
      </c>
      <c r="AT138" s="302" t="str">
        <f t="shared" si="6"/>
        <v>Yes</v>
      </c>
      <c r="AU138" s="302" t="str">
        <f t="shared" si="7"/>
        <v>No</v>
      </c>
      <c r="AV138" s="302" t="str">
        <f t="shared" si="8"/>
        <v>No</v>
      </c>
      <c r="AW138" s="302"/>
      <c r="AX138" s="302" t="s">
        <v>1111</v>
      </c>
      <c r="AY138" s="302" t="s">
        <v>1112</v>
      </c>
      <c r="AZ138" s="312" t="str">
        <f t="array" ref="AZ138">if(isblank(E138),"", xlookup(E138,Import_FL5_LH_PVT_BM!D:D,Import_FL5_LH_PVT_BM!AK:AK,$F$4,0,1))</f>
        <v>MP</v>
      </c>
      <c r="BA138" s="292" t="str">
        <f t="shared" si="9"/>
        <v>Retail_10ct</v>
      </c>
      <c r="BB138" s="313" t="str">
        <f t="array" ref="BB138">if(isblank(E138),"",xlookup(F138,z_Others!$B$21:$B$42,z_Others!$G$21:$G$42,"No",0,1))</f>
        <v>VZN Master Carton Label</v>
      </c>
      <c r="BC138" s="313" t="str">
        <f t="array" ref="BC138">if(isblank(E138),"",xlookup(F138,z_Others!$B$21:$B$42,z_Others!$H$21:$H$42,"No",0,1))</f>
        <v>VZN Pallet Label (BTS)</v>
      </c>
      <c r="BD138" s="314" t="str">
        <f t="array" ref="BD138">if(isblank(E138),"",xlookup(E138,'Import_VN_Label approve'!E:E,'Import_VN_Label approve'!L:L,"N/A",0,1))</f>
        <v/>
      </c>
      <c r="BE138" s="314" t="str">
        <f t="array" ref="BE138">if(isblank(E138),"",xlookup(E138,'Import_VN_Label approve'!E:E,'Import_VN_Label approve'!N:N,"N/A",0,1))</f>
        <v/>
      </c>
      <c r="BF138" s="315"/>
      <c r="BG138" s="316" t="s">
        <v>422</v>
      </c>
      <c r="BH138" s="317" t="s">
        <v>423</v>
      </c>
      <c r="BI138" s="360" t="s">
        <v>1091</v>
      </c>
      <c r="BJ138" s="319" t="str">
        <f t="array" ref="BJ138">if(isblank(E138),"", xlookup(D138,z_Others!$B$5:$B$17,z_Others!$C$5:$C$17,"",0,1))</f>
        <v>智能手機</v>
      </c>
      <c r="BK138" s="320">
        <v>45782.0</v>
      </c>
      <c r="BL138" s="320" t="str">
        <f t="array" ref="BL138">if(isblank(E138),"",xlookup(E138,'FL5_MP POR_LH_報關備案_G950 &amp; GA'!F:F,'FL5_MP POR_LH_報關備案_G950 &amp; GA'!E:E,"No Need",0,1))</f>
        <v>No Need</v>
      </c>
      <c r="BM138" s="321" t="str">
        <f t="array" ref="BM138">if(isblank(E138),"",xlookup($BM$9&amp;E138,'Import_FL5 MPS (06.06.25) - Sor'!E134:E334&amp;'Import_FL5 MPS (06.06.25) - Sor'!F134:F334,'Import_FL5 MPS (06.06.25) - Sor'!ES134:ES334,"No demand",0,1))</f>
        <v>No demand</v>
      </c>
      <c r="BN138" s="321" t="str">
        <f t="array" ref="BN138">if(isblank(E138),"",xlookup($BN$9&amp;E138,'Import_FL5 MPS (06.06.25) - Sor'!E134:E334&amp;'Import_FL5 MPS (06.06.25) - Sor'!F134:F334,'Import_FL5 MPS (06.06.25) - Sor'!ES134:ES334,"No demand",0,1))</f>
        <v>No demand</v>
      </c>
      <c r="BO138" s="321" t="str">
        <f t="array" ref="BO138">if(isblank(E138),"",xlookup($BO$9&amp;E138,'Import_FL5 MPS (06.06.25) - Sor'!E134:E334&amp;'Import_FL5 MPS (06.06.25) - Sor'!F134:F334,'Import_FL5 MPS (06.06.25) - Sor'!ES134:ES334,"No demand",0,1))</f>
        <v>No demand</v>
      </c>
      <c r="BP138" s="322" t="str">
        <f t="array" ref="BP138">if(isblank(E138),"", xlookup(E138,'Import_LH_Label approve'!E:E,'Import_LH_Label approve'!L:L,"",0,1))</f>
        <v/>
      </c>
      <c r="BQ138" s="322" t="str">
        <f t="array" ref="BQ138">if(isblank(E138),"",xlookup(E138,'Import_VN_Label approve'!E:E,'Import_VN_Label approve'!M:M,"N/A",0,1))</f>
        <v/>
      </c>
      <c r="BR138" s="313"/>
      <c r="BS138" s="323"/>
      <c r="BT138" s="324"/>
      <c r="BU138" s="91"/>
    </row>
    <row r="139" hidden="1">
      <c r="A139" s="176"/>
      <c r="B139" s="292">
        <v>128.0</v>
      </c>
      <c r="C139" s="231" t="s">
        <v>290</v>
      </c>
      <c r="D139" s="231" t="s">
        <v>408</v>
      </c>
      <c r="E139" s="350" t="s">
        <v>1113</v>
      </c>
      <c r="F139" s="313" t="s">
        <v>305</v>
      </c>
      <c r="G139" s="323"/>
      <c r="H139" s="292" t="str">
        <f t="array" ref="H139">xlookup(F139,z_Others!$B$21:$B$45,z_Others!$E$21:$E$45,"",0,1)</f>
        <v>mmWave</v>
      </c>
      <c r="I139" s="352" t="s">
        <v>412</v>
      </c>
      <c r="J139" s="231" t="str">
        <f t="array" ref="J139">if(isblank(E139),"",xlookup(I139,z_Others!$M$17:$M$20,z_Others!$O$17:$O$20,"",0,1))</f>
        <v>Obsidian</v>
      </c>
      <c r="K139" s="292" t="str">
        <f t="array" ref="K139">xlookup(I139,z_Others!$M$17:$M$20,z_Others!$N$17:$N$20,"",0,1)</f>
        <v>BLK</v>
      </c>
      <c r="L139" s="292" t="str">
        <f t="array" ref="L139">xlookup(F139,z_Others!$B$21:$B$45,z_Others!$D$21:$D$45,"",0,1)</f>
        <v>GLBW0</v>
      </c>
      <c r="M139" s="296" t="str">
        <f t="array" ref="M139">xlookup(F139,z_Others!$B$21:$B$45,z_Others!$C$21:$C$45,"",0,1)</f>
        <v>ATT</v>
      </c>
      <c r="N139" s="297">
        <f t="array" ref="N139">if(isblank(E139),"",xlookup($N$9&amp;M139,z_Others!$X$5:$X$17&amp;z_Others!$W$5:$W$17,z_Others!$Z$5:$Z$17,"",0,1))</f>
        <v>35582324</v>
      </c>
      <c r="O139" s="298" t="str">
        <f t="array" ref="O139">if(isblank(E139),"",xlookup($N$9&amp;M139,z_Others!$X$5:$X$17&amp;z_Others!$W$5:$W$17,z_Others!$AH$5:$AH$17,"",0,1))</f>
        <v>35 582324 020000x</v>
      </c>
      <c r="P139" s="299" t="str">
        <f t="array" ref="P139">if(isblank(E139),"",xlookup($N$9&amp;M139,z_Others!$X$5:$X$17&amp;z_Others!$W$5:$W$17,z_Others!$AI$5:$AI$17,"",0,1))</f>
        <v>35 582324 999999x</v>
      </c>
      <c r="Q139" s="300" t="s">
        <v>413</v>
      </c>
      <c r="R139" s="301" t="s">
        <v>414</v>
      </c>
      <c r="S139" s="302">
        <f t="array" ref="S139">if(isblank(E139),"",xlookup($S$9&amp;M139,z_Others!$X$5:$X$17&amp;z_Others!$W$5:$W$17,z_Others!$Z$5:$Z$17,"",0,1))</f>
        <v>35484520</v>
      </c>
      <c r="T139" s="303" t="str">
        <f t="array" ref="T139">if(isblank(E139),"",xlookup($S$9&amp;M139,z_Others!$X$5:$X$17&amp;z_Others!$W$5:$W$17,z_Others!$AH$5:$AH$17,"",0,1))</f>
        <v>35 484520 020000x</v>
      </c>
      <c r="U139" s="303" t="str">
        <f t="array" ref="U139">if(isblank(E139),"",xlookup($S$9&amp;M139,z_Others!$X$5:$X$17&amp;z_Others!$W$5:$W$17,z_Others!$AI$5:$AI$17,"",0,1))</f>
        <v>35 484520 999999x</v>
      </c>
      <c r="V139" s="303" t="str">
        <f t="shared" si="2"/>
        <v>64:9D:38:32:91:82
B0:D5:FB:C6:60:70</v>
      </c>
      <c r="W139" s="303" t="str">
        <f t="shared" si="3"/>
        <v>64:9D:38:37:25:61
B0:D5:FB:CE:01:8F</v>
      </c>
      <c r="X139" s="304" t="str">
        <f t="shared" si="4"/>
        <v>MP1.0</v>
      </c>
      <c r="Y139" s="292"/>
      <c r="Z139" s="304" t="str">
        <f t="shared" si="32"/>
        <v>Android 16</v>
      </c>
      <c r="AA139" s="304" t="str">
        <f t="shared" si="43"/>
        <v>TBD</v>
      </c>
      <c r="AB139" s="305" t="s">
        <v>585</v>
      </c>
      <c r="AC139" s="305" t="s">
        <v>1114</v>
      </c>
      <c r="AD139" s="306"/>
      <c r="AE139" s="306"/>
      <c r="AF139" s="308"/>
      <c r="AG139" s="308"/>
      <c r="AH139" s="297" t="str">
        <f t="array" ref="AH139">if(isblank(E139),"",xlookup(F139,z_Others!$B$21:$B$45,z_Others!$F$21:$F$45,"TBD",0,1))</f>
        <v>US</v>
      </c>
      <c r="AI139" s="310" t="str">
        <f t="array" ref="AI139">if(isblank(E139),"", xlookup(E139,'Import_FL5_LH_PVTMP_Configs (Do'!E:E,'Import_FL5_LH_PVTMP_Configs (Do'!O:O,"TBD",0,1))</f>
        <v>TBD</v>
      </c>
      <c r="AJ139" s="311"/>
      <c r="AK139" s="310" t="str">
        <f t="array" ref="AK139">if(isblank(E139),"", xlookup(E139,'Import_FL5_LH_PVTMP_Configs (Do'!E:E,'Import_FL5_LH_PVTMP_Configs (Do'!Q:Q,"TBD",0,1))</f>
        <v>TBD</v>
      </c>
      <c r="AL139" s="310" t="str">
        <f t="array" ref="AL139">if(isblank(E139),"", xlookup(E139,'Import_FL5_LH_PVTMP_Configs (Do'!E:E,'Import_FL5_LH_PVTMP_Configs (Do'!M:M,"TBD",0,1))</f>
        <v>TBD</v>
      </c>
      <c r="AM139" s="310" t="str">
        <f t="array" ref="AM139">if(isblank(E139),"", xlookup(E139,'Import_FL5_LH_PVTMP_Configs (Do'!E:E,'Import_FL5_LH_PVTMP_Configs (Do'!N:N,"TBD",0,1))</f>
        <v>TBD</v>
      </c>
      <c r="AN139" s="310" t="str">
        <f t="array" ref="AN139">if(isblank(E139),"", xlookup(E139,'Import_FL5_LH_PVTMP_Configs (Do'!E:E,'Import_FL5_LH_PVTMP_Configs (Do'!K:K,"TBD",0,1))</f>
        <v>TBD</v>
      </c>
      <c r="AO139" s="292" t="str">
        <f t="array" ref="AO139">if(isblank(E139),"",XLOOKUP(E139,'FL5_G954 Pkg ASSY (Pkg BOM)'!L:L,'FL5_G954 Pkg ASSY (Pkg BOM)'!G:G,"N/A",0,1))</f>
        <v>N/A</v>
      </c>
      <c r="AP139" s="292" t="str">
        <f t="array" ref="AP139">if(isblank(E139),"",xlookup(E139,'FL5_G962 Country kit (Accesorie'!L:L,'FL5_G962 Country kit (Accesorie'!G:G,"N/A",0,1))</f>
        <v>N/A</v>
      </c>
      <c r="AQ139" s="304" t="str">
        <f t="array" ref="AQ139">if(isblank(E139),"", xlookup(E139,'Import_LH_Label approve'!E:E,'Import_LH_Label approve'!M:M,"",0,1))</f>
        <v/>
      </c>
      <c r="AR139" s="304" t="str">
        <f t="array" ref="AR139">if(isblank(E139),"",xlookup(E139,'Import_LH_Label approve'!E:E,'Import_LH_Label approve'!N:N,"",0,1))</f>
        <v/>
      </c>
      <c r="AS139" s="292" t="s">
        <v>419</v>
      </c>
      <c r="AT139" s="302" t="str">
        <f t="shared" si="6"/>
        <v>Yes</v>
      </c>
      <c r="AU139" s="302" t="str">
        <f t="shared" si="7"/>
        <v>No</v>
      </c>
      <c r="AV139" s="302" t="str">
        <f t="shared" si="8"/>
        <v>No</v>
      </c>
      <c r="AW139" s="302"/>
      <c r="AX139" s="302" t="s">
        <v>1115</v>
      </c>
      <c r="AY139" s="302" t="s">
        <v>1116</v>
      </c>
      <c r="AZ139" s="312" t="str">
        <f t="array" ref="AZ139">if(isblank(E139),"", xlookup(E139,Import_FL5_LH_PVT_BM!D:D,Import_FL5_LH_PVT_BM!AK:AK,$F$4,0,1))</f>
        <v>MP</v>
      </c>
      <c r="BA139" s="292" t="str">
        <f t="shared" si="9"/>
        <v>Retail_10ct</v>
      </c>
      <c r="BB139" s="313" t="str">
        <f t="array" ref="BB139">if(isblank(E139),"",xlookup(F139,z_Others!$B$21:$B$42,z_Others!$G$21:$G$42,"No",0,1))</f>
        <v>ATT Master Carton Label</v>
      </c>
      <c r="BC139" s="313" t="str">
        <f t="array" ref="BC139">if(isblank(E139),"",xlookup(F139,z_Others!$B$21:$B$42,z_Others!$H$21:$H$42,"No",0,1))</f>
        <v>ATT Pallet Label (BTO)
ATT Pallet Label (BTS)</v>
      </c>
      <c r="BD139" s="314" t="str">
        <f t="array" ref="BD139">if(isblank(E139),"",xlookup(E139,'Import_VN_Label approve'!E:E,'Import_VN_Label approve'!L:L,"N/A",0,1))</f>
        <v/>
      </c>
      <c r="BE139" s="314" t="str">
        <f t="array" ref="BE139">if(isblank(E139),"",xlookup(E139,'Import_VN_Label approve'!E:E,'Import_VN_Label approve'!N:N,"N/A",0,1))</f>
        <v/>
      </c>
      <c r="BF139" s="315"/>
      <c r="BG139" s="316" t="s">
        <v>422</v>
      </c>
      <c r="BH139" s="317" t="s">
        <v>423</v>
      </c>
      <c r="BI139" s="360" t="s">
        <v>1091</v>
      </c>
      <c r="BJ139" s="319" t="str">
        <f t="array" ref="BJ139">if(isblank(E139),"", xlookup(D139,z_Others!$B$5:$B$17,z_Others!$C$5:$C$17,"",0,1))</f>
        <v>智能手機</v>
      </c>
      <c r="BK139" s="320">
        <v>45782.0</v>
      </c>
      <c r="BL139" s="320" t="str">
        <f t="array" ref="BL139">if(isblank(E139),"",xlookup(E139,'FL5_MP POR_LH_報關備案_G950 &amp; GA'!F:F,'FL5_MP POR_LH_報關備案_G950 &amp; GA'!E:E,"No Need",0,1))</f>
        <v>No Need</v>
      </c>
      <c r="BM139" s="321" t="str">
        <f t="array" ref="BM139">if(isblank(E139),"",xlookup($BM$9&amp;E139,'Import_FL5 MPS (06.06.25) - Sor'!E135:E334&amp;'Import_FL5 MPS (06.06.25) - Sor'!F135:F334,'Import_FL5 MPS (06.06.25) - Sor'!ES135:ES334,"No demand",0,1))</f>
        <v>No demand</v>
      </c>
      <c r="BN139" s="321" t="str">
        <f t="array" ref="BN139">if(isblank(E139),"",xlookup($BN$9&amp;E139,'Import_FL5 MPS (06.06.25) - Sor'!E135:E334&amp;'Import_FL5 MPS (06.06.25) - Sor'!F135:F334,'Import_FL5 MPS (06.06.25) - Sor'!ES135:ES334,"No demand",0,1))</f>
        <v>No demand</v>
      </c>
      <c r="BO139" s="321" t="str">
        <f t="array" ref="BO139">if(isblank(E139),"",xlookup($BO$9&amp;E139,'Import_FL5 MPS (06.06.25) - Sor'!E135:E334&amp;'Import_FL5 MPS (06.06.25) - Sor'!F135:F334,'Import_FL5 MPS (06.06.25) - Sor'!ES135:ES334,"No demand",0,1))</f>
        <v>No demand</v>
      </c>
      <c r="BP139" s="322" t="str">
        <f t="array" ref="BP139">if(isblank(E139),"", xlookup(E139,'Import_LH_Label approve'!E:E,'Import_LH_Label approve'!L:L,"",0,1))</f>
        <v/>
      </c>
      <c r="BQ139" s="322" t="str">
        <f t="array" ref="BQ139">if(isblank(E139),"",xlookup(E139,'Import_VN_Label approve'!E:E,'Import_VN_Label approve'!M:M,"N/A",0,1))</f>
        <v/>
      </c>
      <c r="BR139" s="313"/>
      <c r="BS139" s="323"/>
      <c r="BT139" s="324"/>
      <c r="BU139" s="91"/>
    </row>
    <row r="140" hidden="1">
      <c r="A140" s="176"/>
      <c r="B140" s="292">
        <v>129.0</v>
      </c>
      <c r="C140" s="231" t="s">
        <v>290</v>
      </c>
      <c r="D140" s="231" t="s">
        <v>408</v>
      </c>
      <c r="E140" s="350" t="s">
        <v>1117</v>
      </c>
      <c r="F140" s="313" t="s">
        <v>305</v>
      </c>
      <c r="G140" s="323"/>
      <c r="H140" s="292" t="str">
        <f t="array" ref="H140">xlookup(F140,z_Others!$B$21:$B$45,z_Others!$E$21:$E$45,"",0,1)</f>
        <v>mmWave</v>
      </c>
      <c r="I140" s="310" t="s">
        <v>437</v>
      </c>
      <c r="J140" s="231" t="str">
        <f t="array" ref="J140">if(isblank(E140),"",xlookup(I140,z_Others!$M$17:$M$20,z_Others!$O$17:$O$20,"",0,1))</f>
        <v>Indigo</v>
      </c>
      <c r="K140" s="292" t="str">
        <f t="array" ref="K140">xlookup(I140,z_Others!$M$17:$M$20,z_Others!$N$17:$N$20,"",0,1)</f>
        <v>BUE</v>
      </c>
      <c r="L140" s="292" t="str">
        <f t="array" ref="L140">xlookup(F140,z_Others!$B$21:$B$45,z_Others!$D$21:$D$45,"",0,1)</f>
        <v>GLBW0</v>
      </c>
      <c r="M140" s="296" t="str">
        <f t="array" ref="M140">xlookup(F140,z_Others!$B$21:$B$45,z_Others!$C$21:$C$45,"",0,1)</f>
        <v>ATT</v>
      </c>
      <c r="N140" s="297">
        <f t="array" ref="N140">if(isblank(E140),"",xlookup($N$9&amp;M140,z_Others!$X$5:$X$17&amp;z_Others!$W$5:$W$17,z_Others!$Z$5:$Z$17,"",0,1))</f>
        <v>35582324</v>
      </c>
      <c r="O140" s="298" t="str">
        <f t="array" ref="O140">if(isblank(E140),"",xlookup($N$9&amp;M140,z_Others!$X$5:$X$17&amp;z_Others!$W$5:$W$17,z_Others!$AH$5:$AH$17,"",0,1))</f>
        <v>35 582324 020000x</v>
      </c>
      <c r="P140" s="299" t="str">
        <f t="array" ref="P140">if(isblank(E140),"",xlookup($N$9&amp;M140,z_Others!$X$5:$X$17&amp;z_Others!$W$5:$W$17,z_Others!$AI$5:$AI$17,"",0,1))</f>
        <v>35 582324 999999x</v>
      </c>
      <c r="Q140" s="300" t="s">
        <v>413</v>
      </c>
      <c r="R140" s="301" t="s">
        <v>414</v>
      </c>
      <c r="S140" s="302">
        <f t="array" ref="S140">if(isblank(E140),"",xlookup($S$9&amp;M140,z_Others!$X$5:$X$17&amp;z_Others!$W$5:$W$17,z_Others!$Z$5:$Z$17,"",0,1))</f>
        <v>35484520</v>
      </c>
      <c r="T140" s="303" t="str">
        <f t="array" ref="T140">if(isblank(E140),"",xlookup($S$9&amp;M140,z_Others!$X$5:$X$17&amp;z_Others!$W$5:$W$17,z_Others!$AH$5:$AH$17,"",0,1))</f>
        <v>35 484520 020000x</v>
      </c>
      <c r="U140" s="303" t="str">
        <f t="array" ref="U140">if(isblank(E140),"",xlookup($S$9&amp;M140,z_Others!$X$5:$X$17&amp;z_Others!$W$5:$W$17,z_Others!$AI$5:$AI$17,"",0,1))</f>
        <v>35 484520 999999x</v>
      </c>
      <c r="V140" s="303" t="str">
        <f t="shared" si="2"/>
        <v>64:9D:38:32:91:82
B0:D5:FB:C6:60:70</v>
      </c>
      <c r="W140" s="303" t="str">
        <f t="shared" si="3"/>
        <v>64:9D:38:37:25:61
B0:D5:FB:CE:01:8F</v>
      </c>
      <c r="X140" s="304" t="str">
        <f t="shared" si="4"/>
        <v>MP1.0</v>
      </c>
      <c r="Y140" s="292"/>
      <c r="Z140" s="304" t="str">
        <f t="shared" si="32"/>
        <v>Android 16</v>
      </c>
      <c r="AA140" s="304" t="str">
        <f t="shared" si="43"/>
        <v>TBD</v>
      </c>
      <c r="AB140" s="305" t="s">
        <v>585</v>
      </c>
      <c r="AC140" s="305" t="s">
        <v>1118</v>
      </c>
      <c r="AD140" s="306"/>
      <c r="AE140" s="306"/>
      <c r="AF140" s="308"/>
      <c r="AG140" s="308"/>
      <c r="AH140" s="297" t="str">
        <f t="array" ref="AH140">if(isblank(E140),"",xlookup(F140,z_Others!$B$21:$B$45,z_Others!$F$21:$F$45,"TBD",0,1))</f>
        <v>US</v>
      </c>
      <c r="AI140" s="310" t="str">
        <f t="array" ref="AI140">if(isblank(E140),"", xlookup(E140,'Import_FL5_LH_PVTMP_Configs (Do'!E:E,'Import_FL5_LH_PVTMP_Configs (Do'!O:O,"TBD",0,1))</f>
        <v>TBD</v>
      </c>
      <c r="AJ140" s="311"/>
      <c r="AK140" s="310" t="str">
        <f t="array" ref="AK140">if(isblank(E140),"", xlookup(E140,'Import_FL5_LH_PVTMP_Configs (Do'!E:E,'Import_FL5_LH_PVTMP_Configs (Do'!Q:Q,"TBD",0,1))</f>
        <v>TBD</v>
      </c>
      <c r="AL140" s="310" t="str">
        <f t="array" ref="AL140">if(isblank(E140),"", xlookup(E140,'Import_FL5_LH_PVTMP_Configs (Do'!E:E,'Import_FL5_LH_PVTMP_Configs (Do'!M:M,"TBD",0,1))</f>
        <v>TBD</v>
      </c>
      <c r="AM140" s="310" t="str">
        <f t="array" ref="AM140">if(isblank(E140),"", xlookup(E140,'Import_FL5_LH_PVTMP_Configs (Do'!E:E,'Import_FL5_LH_PVTMP_Configs (Do'!N:N,"TBD",0,1))</f>
        <v>TBD</v>
      </c>
      <c r="AN140" s="310" t="str">
        <f t="array" ref="AN140">if(isblank(E140),"", xlookup(E140,'Import_FL5_LH_PVTMP_Configs (Do'!E:E,'Import_FL5_LH_PVTMP_Configs (Do'!K:K,"TBD",0,1))</f>
        <v>TBD</v>
      </c>
      <c r="AO140" s="292" t="str">
        <f t="array" ref="AO140">if(isblank(E140),"",XLOOKUP(E140,'FL5_G954 Pkg ASSY (Pkg BOM)'!L:L,'FL5_G954 Pkg ASSY (Pkg BOM)'!G:G,"N/A",0,1))</f>
        <v>N/A</v>
      </c>
      <c r="AP140" s="292" t="str">
        <f t="array" ref="AP140">if(isblank(E140),"",xlookup(E140,'FL5_G962 Country kit (Accesorie'!L:L,'FL5_G962 Country kit (Accesorie'!G:G,"N/A",0,1))</f>
        <v>N/A</v>
      </c>
      <c r="AQ140" s="304" t="str">
        <f t="array" ref="AQ140">if(isblank(E140),"", xlookup(E140,'Import_LH_Label approve'!E:E,'Import_LH_Label approve'!M:M,"",0,1))</f>
        <v/>
      </c>
      <c r="AR140" s="304" t="str">
        <f t="array" ref="AR140">if(isblank(E140),"",xlookup(E140,'Import_LH_Label approve'!E:E,'Import_LH_Label approve'!N:N,"",0,1))</f>
        <v/>
      </c>
      <c r="AS140" s="292" t="s">
        <v>419</v>
      </c>
      <c r="AT140" s="302" t="str">
        <f t="shared" si="6"/>
        <v>Yes</v>
      </c>
      <c r="AU140" s="302" t="str">
        <f t="shared" si="7"/>
        <v>No</v>
      </c>
      <c r="AV140" s="302" t="str">
        <f t="shared" si="8"/>
        <v>No</v>
      </c>
      <c r="AW140" s="302"/>
      <c r="AX140" s="302" t="s">
        <v>1119</v>
      </c>
      <c r="AY140" s="302" t="s">
        <v>1120</v>
      </c>
      <c r="AZ140" s="312" t="str">
        <f t="array" ref="AZ140">if(isblank(E140),"", xlookup(E140,Import_FL5_LH_PVT_BM!D:D,Import_FL5_LH_PVT_BM!AK:AK,$F$4,0,1))</f>
        <v>MP</v>
      </c>
      <c r="BA140" s="292" t="str">
        <f t="shared" si="9"/>
        <v>Retail_10ct</v>
      </c>
      <c r="BB140" s="313" t="str">
        <f t="array" ref="BB140">if(isblank(E140),"",xlookup(F140,z_Others!$B$21:$B$42,z_Others!$G$21:$G$42,"No",0,1))</f>
        <v>ATT Master Carton Label</v>
      </c>
      <c r="BC140" s="313" t="str">
        <f t="array" ref="BC140">if(isblank(E140),"",xlookup(F140,z_Others!$B$21:$B$42,z_Others!$H$21:$H$42,"No",0,1))</f>
        <v>ATT Pallet Label (BTO)
ATT Pallet Label (BTS)</v>
      </c>
      <c r="BD140" s="314" t="str">
        <f t="array" ref="BD140">if(isblank(E140),"",xlookup(E140,'Import_VN_Label approve'!E:E,'Import_VN_Label approve'!L:L,"N/A",0,1))</f>
        <v/>
      </c>
      <c r="BE140" s="314" t="str">
        <f t="array" ref="BE140">if(isblank(E140),"",xlookup(E140,'Import_VN_Label approve'!E:E,'Import_VN_Label approve'!N:N,"N/A",0,1))</f>
        <v/>
      </c>
      <c r="BF140" s="315"/>
      <c r="BG140" s="316" t="s">
        <v>422</v>
      </c>
      <c r="BH140" s="317" t="s">
        <v>423</v>
      </c>
      <c r="BI140" s="360" t="s">
        <v>1091</v>
      </c>
      <c r="BJ140" s="319" t="str">
        <f t="array" ref="BJ140">if(isblank(E140),"", xlookup(D140,z_Others!$B$5:$B$17,z_Others!$C$5:$C$17,"",0,1))</f>
        <v>智能手機</v>
      </c>
      <c r="BK140" s="320">
        <v>45782.0</v>
      </c>
      <c r="BL140" s="320" t="str">
        <f t="array" ref="BL140">if(isblank(E140),"",xlookup(E140,'FL5_MP POR_LH_報關備案_G950 &amp; GA'!F:F,'FL5_MP POR_LH_報關備案_G950 &amp; GA'!E:E,"No Need",0,1))</f>
        <v>No Need</v>
      </c>
      <c r="BM140" s="321" t="str">
        <f t="array" ref="BM140">if(isblank(E140),"",xlookup($BM$9&amp;E140,'Import_FL5 MPS (06.06.25) - Sor'!E136:E334&amp;'Import_FL5 MPS (06.06.25) - Sor'!F136:F334,'Import_FL5 MPS (06.06.25) - Sor'!ES136:ES334,"No demand",0,1))</f>
        <v>No demand</v>
      </c>
      <c r="BN140" s="321" t="str">
        <f t="array" ref="BN140">if(isblank(E140),"",xlookup($BN$9&amp;E140,'Import_FL5 MPS (06.06.25) - Sor'!E136:E334&amp;'Import_FL5 MPS (06.06.25) - Sor'!F136:F334,'Import_FL5 MPS (06.06.25) - Sor'!ES136:ES334,"No demand",0,1))</f>
        <v>No demand</v>
      </c>
      <c r="BO140" s="321" t="str">
        <f t="array" ref="BO140">if(isblank(E140),"",xlookup($BO$9&amp;E140,'Import_FL5 MPS (06.06.25) - Sor'!E136:E334&amp;'Import_FL5 MPS (06.06.25) - Sor'!F136:F334,'Import_FL5 MPS (06.06.25) - Sor'!ES136:ES334,"No demand",0,1))</f>
        <v>No demand</v>
      </c>
      <c r="BP140" s="322" t="str">
        <f t="array" ref="BP140">if(isblank(E140),"", xlookup(E140,'Import_LH_Label approve'!E:E,'Import_LH_Label approve'!L:L,"",0,1))</f>
        <v/>
      </c>
      <c r="BQ140" s="322" t="str">
        <f t="array" ref="BQ140">if(isblank(E140),"",xlookup(E140,'Import_VN_Label approve'!E:E,'Import_VN_Label approve'!M:M,"N/A",0,1))</f>
        <v/>
      </c>
      <c r="BR140" s="313"/>
      <c r="BS140" s="323"/>
      <c r="BT140" s="324"/>
      <c r="BU140" s="91"/>
    </row>
    <row r="141" hidden="1">
      <c r="A141" s="176"/>
      <c r="B141" s="292">
        <v>130.0</v>
      </c>
      <c r="C141" s="231" t="s">
        <v>290</v>
      </c>
      <c r="D141" s="231" t="s">
        <v>408</v>
      </c>
      <c r="E141" s="350" t="s">
        <v>1121</v>
      </c>
      <c r="F141" s="294" t="s">
        <v>1122</v>
      </c>
      <c r="G141" s="323"/>
      <c r="H141" s="292" t="str">
        <f t="array" ref="H141">xlookup(F141,z_Others!$B$21:$B$45,z_Others!$E$21:$E$45,"",0,1)</f>
        <v>mmWave</v>
      </c>
      <c r="I141" s="310" t="s">
        <v>412</v>
      </c>
      <c r="J141" s="231" t="str">
        <f t="array" ref="J141">if(isblank(E141),"",xlookup(I141,z_Others!$M$17:$M$20,z_Others!$O$17:$O$20,"",0,1))</f>
        <v>Obsidian</v>
      </c>
      <c r="K141" s="292" t="str">
        <f t="array" ref="K141">xlookup(I141,z_Others!$M$17:$M$20,z_Others!$N$17:$N$20,"",0,1)</f>
        <v>BLK</v>
      </c>
      <c r="L141" s="292" t="str">
        <f t="array" ref="L141">xlookup(F141,z_Others!$B$21:$B$45,z_Others!$D$21:$D$45,"",0,1)</f>
        <v>GLBW0</v>
      </c>
      <c r="M141" s="296" t="str">
        <f t="array" ref="M141">xlookup(F141,z_Others!$B$21:$B$45,z_Others!$C$21:$C$45,"",0,1)</f>
        <v>NA</v>
      </c>
      <c r="N141" s="297">
        <f t="array" ref="N141">if(isblank(E141),"",xlookup($N$9&amp;M141,z_Others!$X$5:$X$17&amp;z_Others!$W$5:$W$17,z_Others!$Z$5:$Z$17,"",0,1))</f>
        <v>35124436</v>
      </c>
      <c r="O141" s="298" t="str">
        <f t="array" ref="O141">if(isblank(E141),"",xlookup($N$9&amp;M141,z_Others!$X$5:$X$17&amp;z_Others!$W$5:$W$17,z_Others!$AH$5:$AH$17,"",0,1))</f>
        <v>35 124436 070000x
</v>
      </c>
      <c r="P141" s="299" t="str">
        <f t="array" ref="P141">if(isblank(E141),"",xlookup($N$9&amp;M141,z_Others!$X$5:$X$17&amp;z_Others!$W$5:$W$17,z_Others!$AI$5:$AI$17,"",0,1))</f>
        <v>35 124436 999999x</v>
      </c>
      <c r="Q141" s="300" t="s">
        <v>413</v>
      </c>
      <c r="R141" s="301" t="s">
        <v>414</v>
      </c>
      <c r="S141" s="302">
        <f t="array" ref="S141">if(isblank(E141),"",xlookup($S$9&amp;M141,z_Others!$X$5:$X$17&amp;z_Others!$W$5:$W$17,z_Others!$Z$5:$Z$17,"",0,1))</f>
        <v>35676628</v>
      </c>
      <c r="T141" s="303" t="str">
        <f t="array" ref="T141">if(isblank(E141),"",xlookup($S$9&amp;M141,z_Others!$X$5:$X$17&amp;z_Others!$W$5:$W$17,z_Others!$AH$5:$AH$17,"",0,1))</f>
        <v>35 676628 040000x
35 676628 340000x</v>
      </c>
      <c r="U141" s="303" t="str">
        <f t="array" ref="U141">if(isblank(E141),"",xlookup($S$9&amp;M141,z_Others!$X$5:$X$17&amp;z_Others!$W$5:$W$17,z_Others!$AI$5:$AI$17,"",0,1))</f>
        <v>35 676628 999999x
35 676628 639999x</v>
      </c>
      <c r="V141" s="303" t="str">
        <f t="shared" si="2"/>
        <v>64:9D:38:32:91:82
B0:D5:FB:C6:60:70</v>
      </c>
      <c r="W141" s="303" t="str">
        <f t="shared" si="3"/>
        <v>64:9D:38:37:25:61
B0:D5:FB:CE:01:8F</v>
      </c>
      <c r="X141" s="304" t="str">
        <f t="shared" si="4"/>
        <v>MP1.0</v>
      </c>
      <c r="Y141" s="292"/>
      <c r="Z141" s="304" t="str">
        <f t="shared" si="32"/>
        <v>Android 16</v>
      </c>
      <c r="AA141" s="304" t="str">
        <f t="shared" si="43"/>
        <v>TBD</v>
      </c>
      <c r="AB141" s="305" t="s">
        <v>585</v>
      </c>
      <c r="AC141" s="305" t="s">
        <v>1123</v>
      </c>
      <c r="AD141" s="306"/>
      <c r="AE141" s="306"/>
      <c r="AF141" s="308"/>
      <c r="AG141" s="308"/>
      <c r="AH141" s="297" t="str">
        <f t="array" ref="AH141">if(isblank(E141),"",xlookup(F141,z_Others!$B$21:$B$45,z_Others!$F$21:$F$45,"TBD",0,1))</f>
        <v>00</v>
      </c>
      <c r="AI141" s="310" t="str">
        <f t="array" ref="AI141">if(isblank(E141),"", xlookup(E141,'Import_FL5_LH_PVTMP_Configs (Do'!E:E,'Import_FL5_LH_PVTMP_Configs (Do'!O:O,"TBD",0,1))</f>
        <v>TBD</v>
      </c>
      <c r="AJ141" s="311"/>
      <c r="AK141" s="310" t="str">
        <f t="array" ref="AK141">if(isblank(E141),"", xlookup(E141,'Import_FL5_LH_PVTMP_Configs (Do'!E:E,'Import_FL5_LH_PVTMP_Configs (Do'!Q:Q,"TBD",0,1))</f>
        <v>TBD</v>
      </c>
      <c r="AL141" s="310" t="str">
        <f t="array" ref="AL141">if(isblank(E141),"", xlookup(E141,'Import_FL5_LH_PVTMP_Configs (Do'!E:E,'Import_FL5_LH_PVTMP_Configs (Do'!M:M,"TBD",0,1))</f>
        <v>TBD</v>
      </c>
      <c r="AM141" s="310" t="str">
        <f t="array" ref="AM141">if(isblank(E141),"", xlookup(E141,'Import_FL5_LH_PVTMP_Configs (Do'!E:E,'Import_FL5_LH_PVTMP_Configs (Do'!N:N,"TBD",0,1))</f>
        <v>TBD</v>
      </c>
      <c r="AN141" s="310" t="str">
        <f t="array" ref="AN141">if(isblank(E141),"", xlookup(E141,'Import_FL5_LH_PVTMP_Configs (Do'!E:E,'Import_FL5_LH_PVTMP_Configs (Do'!K:K,"TBD",0,1))</f>
        <v>TBD</v>
      </c>
      <c r="AO141" s="292" t="str">
        <f t="array" ref="AO141">if(isblank(E141),"",XLOOKUP(E141,'FL5_G954 Pkg ASSY (Pkg BOM)'!L:L,'FL5_G954 Pkg ASSY (Pkg BOM)'!G:G,"N/A",0,1))</f>
        <v>N/A</v>
      </c>
      <c r="AP141" s="292" t="str">
        <f t="array" ref="AP141">if(isblank(E141),"",xlookup(E141,'FL5_G962 Country kit (Accesorie'!L:L,'FL5_G962 Country kit (Accesorie'!G:G,"N/A",0,1))</f>
        <v>N/A</v>
      </c>
      <c r="AQ141" s="304" t="str">
        <f t="array" ref="AQ141">if(isblank(E141),"", xlookup(E141,'Import_LH_Label approve'!E:E,'Import_LH_Label approve'!M:M,"",0,1))</f>
        <v/>
      </c>
      <c r="AR141" s="304" t="str">
        <f t="array" ref="AR141">if(isblank(E141),"",xlookup(E141,'Import_LH_Label approve'!E:E,'Import_LH_Label approve'!N:N,"",0,1))</f>
        <v/>
      </c>
      <c r="AS141" s="292" t="s">
        <v>419</v>
      </c>
      <c r="AT141" s="302" t="str">
        <f t="shared" si="6"/>
        <v>Yes</v>
      </c>
      <c r="AU141" s="302" t="str">
        <f t="shared" si="7"/>
        <v>No</v>
      </c>
      <c r="AV141" s="302" t="str">
        <f t="shared" si="8"/>
        <v>No</v>
      </c>
      <c r="AW141" s="302"/>
      <c r="AX141" s="302" t="s">
        <v>1124</v>
      </c>
      <c r="AY141" s="302" t="s">
        <v>1125</v>
      </c>
      <c r="AZ141" s="312" t="str">
        <f t="array" ref="AZ141">if(isblank(E141),"", xlookup(E141,Import_FL5_LH_PVT_BM!D:D,Import_FL5_LH_PVT_BM!AK:AK,$F$4,0,1))</f>
        <v>MP</v>
      </c>
      <c r="BA141" s="292" t="str">
        <f t="shared" si="9"/>
        <v>Retail_10ct</v>
      </c>
      <c r="BB141" s="313" t="str">
        <f t="array" ref="BB141">if(isblank(E141),"",xlookup(F141,z_Others!$B$21:$B$42,z_Others!$G$21:$G$42,"No",0,1))</f>
        <v>ROW Master Carton Label (UPC)</v>
      </c>
      <c r="BC141" s="313" t="str">
        <f t="array" ref="BC141">if(isblank(E141),"",xlookup(F141,z_Others!$B$21:$B$42,z_Others!$H$21:$H$42,"No",0,1))</f>
        <v>Standard Pallet Label (BTO)
Standard Pallet Label (BTS)</v>
      </c>
      <c r="BD141" s="314" t="str">
        <f t="array" ref="BD141">if(isblank(E141),"",xlookup(E141,'Import_VN_Label approve'!E:E,'Import_VN_Label approve'!L:L,"N/A",0,1))</f>
        <v>N/A</v>
      </c>
      <c r="BE141" s="314" t="str">
        <f t="array" ref="BE141">if(isblank(E141),"",xlookup(E141,'Import_VN_Label approve'!E:E,'Import_VN_Label approve'!N:N,"N/A",0,1))</f>
        <v>N/A</v>
      </c>
      <c r="BF141" s="315"/>
      <c r="BG141" s="316" t="s">
        <v>422</v>
      </c>
      <c r="BH141" s="317" t="s">
        <v>423</v>
      </c>
      <c r="BI141" s="360" t="s">
        <v>1091</v>
      </c>
      <c r="BJ141" s="319" t="str">
        <f t="array" ref="BJ141">if(isblank(E141),"", xlookup(D141,z_Others!$B$5:$B$17,z_Others!$C$5:$C$17,"",0,1))</f>
        <v>智能手機</v>
      </c>
      <c r="BK141" s="320">
        <v>45782.0</v>
      </c>
      <c r="BL141" s="320" t="str">
        <f t="array" ref="BL141">if(isblank(E141),"",xlookup(E141,'FL5_MP POR_LH_報關備案_G950 &amp; GA'!F:F,'FL5_MP POR_LH_報關備案_G950 &amp; GA'!E:E,"No Need",0,1))</f>
        <v>No Need</v>
      </c>
      <c r="BM141" s="321" t="str">
        <f t="array" ref="BM141">if(isblank(E141),"",xlookup($BM$9&amp;E141,'Import_FL5 MPS (06.06.25) - Sor'!E137:E334&amp;'Import_FL5 MPS (06.06.25) - Sor'!F137:F334,'Import_FL5 MPS (06.06.25) - Sor'!ES137:ES334,"No demand",0,1))</f>
        <v>No demand</v>
      </c>
      <c r="BN141" s="321" t="str">
        <f t="array" ref="BN141">if(isblank(E141),"",xlookup($BN$9&amp;E141,'Import_FL5 MPS (06.06.25) - Sor'!E137:E334&amp;'Import_FL5 MPS (06.06.25) - Sor'!F137:F334,'Import_FL5 MPS (06.06.25) - Sor'!ES137:ES334,"No demand",0,1))</f>
        <v>No demand</v>
      </c>
      <c r="BO141" s="321" t="str">
        <f t="array" ref="BO141">if(isblank(E141),"",xlookup($BO$9&amp;E141,'Import_FL5 MPS (06.06.25) - Sor'!E137:E334&amp;'Import_FL5 MPS (06.06.25) - Sor'!F137:F334,'Import_FL5 MPS (06.06.25) - Sor'!ES137:ES334,"No demand",0,1))</f>
        <v>No demand</v>
      </c>
      <c r="BP141" s="322" t="str">
        <f t="array" ref="BP141">if(isblank(E141),"", xlookup(E141,'Import_LH_Label approve'!E:E,'Import_LH_Label approve'!L:L,"",0,1))</f>
        <v/>
      </c>
      <c r="BQ141" s="322" t="str">
        <f t="array" ref="BQ141">if(isblank(E141),"",xlookup(E141,'Import_VN_Label approve'!E:E,'Import_VN_Label approve'!M:M,"N/A",0,1))</f>
        <v>N/A</v>
      </c>
      <c r="BR141" s="313"/>
      <c r="BS141" s="323"/>
      <c r="BT141" s="324"/>
      <c r="BU141" s="91"/>
    </row>
    <row r="142" hidden="1">
      <c r="A142" s="176"/>
      <c r="B142" s="292">
        <v>131.0</v>
      </c>
      <c r="C142" s="231" t="s">
        <v>290</v>
      </c>
      <c r="D142" s="231" t="s">
        <v>408</v>
      </c>
      <c r="E142" s="350" t="s">
        <v>1126</v>
      </c>
      <c r="F142" s="294" t="s">
        <v>1122</v>
      </c>
      <c r="G142" s="323"/>
      <c r="H142" s="292" t="str">
        <f t="array" ref="H142">xlookup(F142,z_Others!$B$21:$B$45,z_Others!$E$21:$E$45,"",0,1)</f>
        <v>mmWave</v>
      </c>
      <c r="I142" s="310" t="s">
        <v>425</v>
      </c>
      <c r="J142" s="231" t="str">
        <f t="array" ref="J142">if(isblank(E142),"",xlookup(I142,z_Others!$M$17:$M$20,z_Others!$O$17:$O$20,"",0,1))</f>
        <v>Frost</v>
      </c>
      <c r="K142" s="292" t="str">
        <f t="array" ref="K142">xlookup(I142,z_Others!$M$17:$M$20,z_Others!$N$17:$N$20,"",0,1)</f>
        <v>PPL</v>
      </c>
      <c r="L142" s="292" t="str">
        <f t="array" ref="L142">xlookup(F142,z_Others!$B$21:$B$45,z_Others!$D$21:$D$45,"",0,1)</f>
        <v>GLBW0</v>
      </c>
      <c r="M142" s="296" t="str">
        <f t="array" ref="M142">xlookup(F142,z_Others!$B$21:$B$45,z_Others!$C$21:$C$45,"",0,1)</f>
        <v>NA</v>
      </c>
      <c r="N142" s="297">
        <f t="array" ref="N142">if(isblank(E142),"",xlookup($N$9&amp;M142,z_Others!$X$5:$X$17&amp;z_Others!$W$5:$W$17,z_Others!$Z$5:$Z$17,"",0,1))</f>
        <v>35124436</v>
      </c>
      <c r="O142" s="298" t="str">
        <f t="array" ref="O142">if(isblank(E142),"",xlookup($N$9&amp;M142,z_Others!$X$5:$X$17&amp;z_Others!$W$5:$W$17,z_Others!$AH$5:$AH$17,"",0,1))</f>
        <v>35 124436 070000x
</v>
      </c>
      <c r="P142" s="299" t="str">
        <f t="array" ref="P142">if(isblank(E142),"",xlookup($N$9&amp;M142,z_Others!$X$5:$X$17&amp;z_Others!$W$5:$W$17,z_Others!$AI$5:$AI$17,"",0,1))</f>
        <v>35 124436 999999x</v>
      </c>
      <c r="Q142" s="300" t="s">
        <v>413</v>
      </c>
      <c r="R142" s="301" t="s">
        <v>414</v>
      </c>
      <c r="S142" s="302">
        <f t="array" ref="S142">if(isblank(E142),"",xlookup($S$9&amp;M142,z_Others!$X$5:$X$17&amp;z_Others!$W$5:$W$17,z_Others!$Z$5:$Z$17,"",0,1))</f>
        <v>35676628</v>
      </c>
      <c r="T142" s="303" t="str">
        <f t="array" ref="T142">if(isblank(E142),"",xlookup($S$9&amp;M142,z_Others!$X$5:$X$17&amp;z_Others!$W$5:$W$17,z_Others!$AH$5:$AH$17,"",0,1))</f>
        <v>35 676628 040000x
35 676628 340000x</v>
      </c>
      <c r="U142" s="303" t="str">
        <f t="array" ref="U142">if(isblank(E142),"",xlookup($S$9&amp;M142,z_Others!$X$5:$X$17&amp;z_Others!$W$5:$W$17,z_Others!$AI$5:$AI$17,"",0,1))</f>
        <v>35 676628 999999x
35 676628 639999x</v>
      </c>
      <c r="V142" s="303" t="str">
        <f t="shared" si="2"/>
        <v>64:9D:38:32:91:82
B0:D5:FB:C6:60:70</v>
      </c>
      <c r="W142" s="303" t="str">
        <f t="shared" si="3"/>
        <v>64:9D:38:37:25:61
B0:D5:FB:CE:01:8F</v>
      </c>
      <c r="X142" s="304" t="str">
        <f t="shared" si="4"/>
        <v>MP1.0</v>
      </c>
      <c r="Y142" s="292"/>
      <c r="Z142" s="304" t="str">
        <f t="shared" si="32"/>
        <v>Android 16</v>
      </c>
      <c r="AA142" s="304" t="str">
        <f t="shared" si="43"/>
        <v>TBD</v>
      </c>
      <c r="AB142" s="305" t="s">
        <v>585</v>
      </c>
      <c r="AC142" s="305" t="s">
        <v>1127</v>
      </c>
      <c r="AD142" s="306"/>
      <c r="AE142" s="306"/>
      <c r="AF142" s="308"/>
      <c r="AG142" s="308"/>
      <c r="AH142" s="297" t="str">
        <f t="array" ref="AH142">if(isblank(E142),"",xlookup(F142,z_Others!$B$21:$B$45,z_Others!$F$21:$F$45,"TBD",0,1))</f>
        <v>00</v>
      </c>
      <c r="AI142" s="310" t="str">
        <f t="array" ref="AI142">if(isblank(E142),"", xlookup(E142,'Import_FL5_LH_PVTMP_Configs (Do'!E:E,'Import_FL5_LH_PVTMP_Configs (Do'!O:O,"TBD",0,1))</f>
        <v>TBD</v>
      </c>
      <c r="AJ142" s="311"/>
      <c r="AK142" s="310" t="str">
        <f t="array" ref="AK142">if(isblank(E142),"", xlookup(E142,'Import_FL5_LH_PVTMP_Configs (Do'!E:E,'Import_FL5_LH_PVTMP_Configs (Do'!Q:Q,"TBD",0,1))</f>
        <v>TBD</v>
      </c>
      <c r="AL142" s="310" t="str">
        <f t="array" ref="AL142">if(isblank(E142),"", xlookup(E142,'Import_FL5_LH_PVTMP_Configs (Do'!E:E,'Import_FL5_LH_PVTMP_Configs (Do'!M:M,"TBD",0,1))</f>
        <v>TBD</v>
      </c>
      <c r="AM142" s="310" t="str">
        <f t="array" ref="AM142">if(isblank(E142),"", xlookup(E142,'Import_FL5_LH_PVTMP_Configs (Do'!E:E,'Import_FL5_LH_PVTMP_Configs (Do'!N:N,"TBD",0,1))</f>
        <v>TBD</v>
      </c>
      <c r="AN142" s="310" t="str">
        <f t="array" ref="AN142">if(isblank(E142),"", xlookup(E142,'Import_FL5_LH_PVTMP_Configs (Do'!E:E,'Import_FL5_LH_PVTMP_Configs (Do'!K:K,"TBD",0,1))</f>
        <v>TBD</v>
      </c>
      <c r="AO142" s="292" t="str">
        <f t="array" ref="AO142">if(isblank(E142),"",XLOOKUP(E142,'FL5_G954 Pkg ASSY (Pkg BOM)'!L:L,'FL5_G954 Pkg ASSY (Pkg BOM)'!G:G,"N/A",0,1))</f>
        <v>N/A</v>
      </c>
      <c r="AP142" s="292" t="str">
        <f t="array" ref="AP142">if(isblank(E142),"",xlookup(E142,'FL5_G962 Country kit (Accesorie'!L:L,'FL5_G962 Country kit (Accesorie'!G:G,"N/A",0,1))</f>
        <v>N/A</v>
      </c>
      <c r="AQ142" s="304" t="str">
        <f t="array" ref="AQ142">if(isblank(E142),"", xlookup(E142,'Import_LH_Label approve'!E:E,'Import_LH_Label approve'!M:M,"",0,1))</f>
        <v/>
      </c>
      <c r="AR142" s="304" t="str">
        <f t="array" ref="AR142">if(isblank(E142),"",xlookup(E142,'Import_LH_Label approve'!E:E,'Import_LH_Label approve'!N:N,"",0,1))</f>
        <v/>
      </c>
      <c r="AS142" s="292" t="s">
        <v>419</v>
      </c>
      <c r="AT142" s="302" t="str">
        <f t="shared" si="6"/>
        <v>Yes</v>
      </c>
      <c r="AU142" s="302" t="str">
        <f t="shared" si="7"/>
        <v>No</v>
      </c>
      <c r="AV142" s="302" t="str">
        <f t="shared" si="8"/>
        <v>No</v>
      </c>
      <c r="AW142" s="302"/>
      <c r="AX142" s="302" t="s">
        <v>1128</v>
      </c>
      <c r="AY142" s="302" t="s">
        <v>1129</v>
      </c>
      <c r="AZ142" s="312" t="str">
        <f t="array" ref="AZ142">if(isblank(E142),"", xlookup(E142,Import_FL5_LH_PVT_BM!D:D,Import_FL5_LH_PVT_BM!AK:AK,$F$4,0,1))</f>
        <v>MP</v>
      </c>
      <c r="BA142" s="292" t="str">
        <f t="shared" si="9"/>
        <v>Retail_10ct</v>
      </c>
      <c r="BB142" s="313" t="str">
        <f t="array" ref="BB142">if(isblank(E142),"",xlookup(F142,z_Others!$B$21:$B$42,z_Others!$G$21:$G$42,"No",0,1))</f>
        <v>ROW Master Carton Label (UPC)</v>
      </c>
      <c r="BC142" s="313" t="str">
        <f t="array" ref="BC142">if(isblank(E142),"",xlookup(F142,z_Others!$B$21:$B$42,z_Others!$H$21:$H$42,"No",0,1))</f>
        <v>Standard Pallet Label (BTO)
Standard Pallet Label (BTS)</v>
      </c>
      <c r="BD142" s="314" t="str">
        <f t="array" ref="BD142">if(isblank(E142),"",xlookup(E142,'Import_VN_Label approve'!E:E,'Import_VN_Label approve'!L:L,"N/A",0,1))</f>
        <v>N/A</v>
      </c>
      <c r="BE142" s="314" t="str">
        <f t="array" ref="BE142">if(isblank(E142),"",xlookup(E142,'Import_VN_Label approve'!E:E,'Import_VN_Label approve'!N:N,"N/A",0,1))</f>
        <v>N/A</v>
      </c>
      <c r="BF142" s="315"/>
      <c r="BG142" s="316" t="s">
        <v>422</v>
      </c>
      <c r="BH142" s="317" t="s">
        <v>423</v>
      </c>
      <c r="BI142" s="360" t="s">
        <v>1091</v>
      </c>
      <c r="BJ142" s="319" t="str">
        <f t="array" ref="BJ142">if(isblank(E142),"", xlookup(D142,z_Others!$B$5:$B$17,z_Others!$C$5:$C$17,"",0,1))</f>
        <v>智能手機</v>
      </c>
      <c r="BK142" s="320">
        <v>45782.0</v>
      </c>
      <c r="BL142" s="320" t="str">
        <f t="array" ref="BL142">if(isblank(E142),"",xlookup(E142,'FL5_MP POR_LH_報關備案_G950 &amp; GA'!F:F,'FL5_MP POR_LH_報關備案_G950 &amp; GA'!E:E,"No Need",0,1))</f>
        <v>No Need</v>
      </c>
      <c r="BM142" s="321" t="str">
        <f t="array" ref="BM142">if(isblank(E142),"",xlookup($BM$9&amp;E142,'Import_FL5 MPS (06.06.25) - Sor'!E138:E334&amp;'Import_FL5 MPS (06.06.25) - Sor'!F138:F334,'Import_FL5 MPS (06.06.25) - Sor'!ES138:ES334,"No demand",0,1))</f>
        <v>No demand</v>
      </c>
      <c r="BN142" s="321" t="str">
        <f t="array" ref="BN142">if(isblank(E142),"",xlookup($BN$9&amp;E142,'Import_FL5 MPS (06.06.25) - Sor'!E138:E334&amp;'Import_FL5 MPS (06.06.25) - Sor'!F138:F334,'Import_FL5 MPS (06.06.25) - Sor'!ES138:ES334,"No demand",0,1))</f>
        <v>No demand</v>
      </c>
      <c r="BO142" s="321" t="str">
        <f t="array" ref="BO142">if(isblank(E142),"",xlookup($BO$9&amp;E142,'Import_FL5 MPS (06.06.25) - Sor'!E138:E334&amp;'Import_FL5 MPS (06.06.25) - Sor'!F138:F334,'Import_FL5 MPS (06.06.25) - Sor'!ES138:ES334,"No demand",0,1))</f>
        <v>No demand</v>
      </c>
      <c r="BP142" s="322" t="str">
        <f t="array" ref="BP142">if(isblank(E142),"", xlookup(E142,'Import_LH_Label approve'!E:E,'Import_LH_Label approve'!L:L,"",0,1))</f>
        <v/>
      </c>
      <c r="BQ142" s="322" t="str">
        <f t="array" ref="BQ142">if(isblank(E142),"",xlookup(E142,'Import_VN_Label approve'!E:E,'Import_VN_Label approve'!M:M,"N/A",0,1))</f>
        <v>N/A</v>
      </c>
      <c r="BR142" s="313"/>
      <c r="BS142" s="323"/>
      <c r="BT142" s="324"/>
      <c r="BU142" s="91"/>
    </row>
    <row r="143" hidden="1">
      <c r="A143" s="176"/>
      <c r="B143" s="292">
        <v>132.0</v>
      </c>
      <c r="C143" s="231" t="s">
        <v>290</v>
      </c>
      <c r="D143" s="231" t="s">
        <v>408</v>
      </c>
      <c r="E143" s="350" t="s">
        <v>1130</v>
      </c>
      <c r="F143" s="294" t="s">
        <v>1122</v>
      </c>
      <c r="G143" s="323"/>
      <c r="H143" s="292" t="str">
        <f t="array" ref="H143">xlookup(F143,z_Others!$B$21:$B$45,z_Others!$E$21:$E$45,"",0,1)</f>
        <v>mmWave</v>
      </c>
      <c r="I143" s="310" t="s">
        <v>431</v>
      </c>
      <c r="J143" s="231" t="str">
        <f t="array" ref="J143">if(isblank(E143),"",xlookup(I143,z_Others!$M$17:$M$20,z_Others!$O$17:$O$20,"",0,1))</f>
        <v>Lemongrass</v>
      </c>
      <c r="K143" s="292" t="str">
        <f t="array" ref="K143">xlookup(I143,z_Others!$M$17:$M$20,z_Others!$N$17:$N$20,"",0,1)</f>
        <v>YEL</v>
      </c>
      <c r="L143" s="292" t="str">
        <f t="array" ref="L143">xlookup(F143,z_Others!$B$21:$B$45,z_Others!$D$21:$D$45,"",0,1)</f>
        <v>GLBW0</v>
      </c>
      <c r="M143" s="296" t="str">
        <f t="array" ref="M143">xlookup(F143,z_Others!$B$21:$B$45,z_Others!$C$21:$C$45,"",0,1)</f>
        <v>NA</v>
      </c>
      <c r="N143" s="297">
        <f t="array" ref="N143">if(isblank(E143),"",xlookup($N$9&amp;M143,z_Others!$X$5:$X$17&amp;z_Others!$W$5:$W$17,z_Others!$Z$5:$Z$17,"",0,1))</f>
        <v>35124436</v>
      </c>
      <c r="O143" s="298" t="str">
        <f t="array" ref="O143">if(isblank(E143),"",xlookup($N$9&amp;M143,z_Others!$X$5:$X$17&amp;z_Others!$W$5:$W$17,z_Others!$AH$5:$AH$17,"",0,1))</f>
        <v>35 124436 070000x
</v>
      </c>
      <c r="P143" s="299" t="str">
        <f t="array" ref="P143">if(isblank(E143),"",xlookup($N$9&amp;M143,z_Others!$X$5:$X$17&amp;z_Others!$W$5:$W$17,z_Others!$AI$5:$AI$17,"",0,1))</f>
        <v>35 124436 999999x</v>
      </c>
      <c r="Q143" s="300" t="s">
        <v>413</v>
      </c>
      <c r="R143" s="301" t="s">
        <v>414</v>
      </c>
      <c r="S143" s="302">
        <f t="array" ref="S143">if(isblank(E143),"",xlookup($S$9&amp;M143,z_Others!$X$5:$X$17&amp;z_Others!$W$5:$W$17,z_Others!$Z$5:$Z$17,"",0,1))</f>
        <v>35676628</v>
      </c>
      <c r="T143" s="303" t="str">
        <f t="array" ref="T143">if(isblank(E143),"",xlookup($S$9&amp;M143,z_Others!$X$5:$X$17&amp;z_Others!$W$5:$W$17,z_Others!$AH$5:$AH$17,"",0,1))</f>
        <v>35 676628 040000x
35 676628 340000x</v>
      </c>
      <c r="U143" s="303" t="str">
        <f t="array" ref="U143">if(isblank(E143),"",xlookup($S$9&amp;M143,z_Others!$X$5:$X$17&amp;z_Others!$W$5:$W$17,z_Others!$AI$5:$AI$17,"",0,1))</f>
        <v>35 676628 999999x
35 676628 639999x</v>
      </c>
      <c r="V143" s="303" t="str">
        <f t="shared" si="2"/>
        <v>64:9D:38:32:91:82
B0:D5:FB:C6:60:70</v>
      </c>
      <c r="W143" s="303" t="str">
        <f t="shared" si="3"/>
        <v>64:9D:38:37:25:61
B0:D5:FB:CE:01:8F</v>
      </c>
      <c r="X143" s="304" t="str">
        <f t="shared" si="4"/>
        <v>MP1.0</v>
      </c>
      <c r="Y143" s="292"/>
      <c r="Z143" s="304" t="str">
        <f t="shared" si="32"/>
        <v>Android 16</v>
      </c>
      <c r="AA143" s="304" t="str">
        <f t="shared" si="43"/>
        <v>TBD</v>
      </c>
      <c r="AB143" s="305" t="s">
        <v>585</v>
      </c>
      <c r="AC143" s="305" t="s">
        <v>1131</v>
      </c>
      <c r="AD143" s="306"/>
      <c r="AE143" s="306"/>
      <c r="AF143" s="308"/>
      <c r="AG143" s="308"/>
      <c r="AH143" s="297" t="str">
        <f t="array" ref="AH143">if(isblank(E143),"",xlookup(F143,z_Others!$B$21:$B$45,z_Others!$F$21:$F$45,"TBD",0,1))</f>
        <v>00</v>
      </c>
      <c r="AI143" s="310" t="str">
        <f t="array" ref="AI143">if(isblank(E143),"", xlookup(E143,'Import_FL5_LH_PVTMP_Configs (Do'!E:E,'Import_FL5_LH_PVTMP_Configs (Do'!O:O,"TBD",0,1))</f>
        <v>TBD</v>
      </c>
      <c r="AJ143" s="311"/>
      <c r="AK143" s="310" t="str">
        <f t="array" ref="AK143">if(isblank(E143),"", xlookup(E143,'Import_FL5_LH_PVTMP_Configs (Do'!E:E,'Import_FL5_LH_PVTMP_Configs (Do'!Q:Q,"TBD",0,1))</f>
        <v>TBD</v>
      </c>
      <c r="AL143" s="310" t="str">
        <f t="array" ref="AL143">if(isblank(E143),"", xlookup(E143,'Import_FL5_LH_PVTMP_Configs (Do'!E:E,'Import_FL5_LH_PVTMP_Configs (Do'!M:M,"TBD",0,1))</f>
        <v>TBD</v>
      </c>
      <c r="AM143" s="310" t="str">
        <f t="array" ref="AM143">if(isblank(E143),"", xlookup(E143,'Import_FL5_LH_PVTMP_Configs (Do'!E:E,'Import_FL5_LH_PVTMP_Configs (Do'!N:N,"TBD",0,1))</f>
        <v>TBD</v>
      </c>
      <c r="AN143" s="310" t="str">
        <f t="array" ref="AN143">if(isblank(E143),"", xlookup(E143,'Import_FL5_LH_PVTMP_Configs (Do'!E:E,'Import_FL5_LH_PVTMP_Configs (Do'!K:K,"TBD",0,1))</f>
        <v>TBD</v>
      </c>
      <c r="AO143" s="292" t="str">
        <f t="array" ref="AO143">if(isblank(E143),"",XLOOKUP(E143,'FL5_G954 Pkg ASSY (Pkg BOM)'!L:L,'FL5_G954 Pkg ASSY (Pkg BOM)'!G:G,"N/A",0,1))</f>
        <v>N/A</v>
      </c>
      <c r="AP143" s="292" t="str">
        <f t="array" ref="AP143">if(isblank(E143),"",xlookup(E143,'FL5_G962 Country kit (Accesorie'!L:L,'FL5_G962 Country kit (Accesorie'!G:G,"N/A",0,1))</f>
        <v>N/A</v>
      </c>
      <c r="AQ143" s="304" t="str">
        <f t="array" ref="AQ143">if(isblank(E143),"", xlookup(E143,'Import_LH_Label approve'!E:E,'Import_LH_Label approve'!M:M,"",0,1))</f>
        <v/>
      </c>
      <c r="AR143" s="304" t="str">
        <f t="array" ref="AR143">if(isblank(E143),"",xlookup(E143,'Import_LH_Label approve'!E:E,'Import_LH_Label approve'!N:N,"",0,1))</f>
        <v/>
      </c>
      <c r="AS143" s="292" t="s">
        <v>419</v>
      </c>
      <c r="AT143" s="302" t="str">
        <f t="shared" si="6"/>
        <v>Yes</v>
      </c>
      <c r="AU143" s="302" t="str">
        <f t="shared" si="7"/>
        <v>No</v>
      </c>
      <c r="AV143" s="302" t="str">
        <f t="shared" si="8"/>
        <v>No</v>
      </c>
      <c r="AW143" s="302"/>
      <c r="AX143" s="302" t="s">
        <v>1132</v>
      </c>
      <c r="AY143" s="302" t="s">
        <v>1133</v>
      </c>
      <c r="AZ143" s="312" t="str">
        <f t="array" ref="AZ143">if(isblank(E143),"", xlookup(E143,Import_FL5_LH_PVT_BM!D:D,Import_FL5_LH_PVT_BM!AK:AK,$F$4,0,1))</f>
        <v>MP</v>
      </c>
      <c r="BA143" s="292" t="str">
        <f t="shared" si="9"/>
        <v>Retail_10ct</v>
      </c>
      <c r="BB143" s="313" t="str">
        <f t="array" ref="BB143">if(isblank(E143),"",xlookup(F143,z_Others!$B$21:$B$42,z_Others!$G$21:$G$42,"No",0,1))</f>
        <v>ROW Master Carton Label (UPC)</v>
      </c>
      <c r="BC143" s="313" t="str">
        <f t="array" ref="BC143">if(isblank(E143),"",xlookup(F143,z_Others!$B$21:$B$42,z_Others!$H$21:$H$42,"No",0,1))</f>
        <v>Standard Pallet Label (BTO)
Standard Pallet Label (BTS)</v>
      </c>
      <c r="BD143" s="314" t="str">
        <f t="array" ref="BD143">if(isblank(E143),"",xlookup(E143,'Import_VN_Label approve'!E:E,'Import_VN_Label approve'!L:L,"N/A",0,1))</f>
        <v>N/A</v>
      </c>
      <c r="BE143" s="314" t="str">
        <f t="array" ref="BE143">if(isblank(E143),"",xlookup(E143,'Import_VN_Label approve'!E:E,'Import_VN_Label approve'!N:N,"N/A",0,1))</f>
        <v>N/A</v>
      </c>
      <c r="BF143" s="315"/>
      <c r="BG143" s="316" t="s">
        <v>422</v>
      </c>
      <c r="BH143" s="317" t="s">
        <v>423</v>
      </c>
      <c r="BI143" s="360" t="s">
        <v>1091</v>
      </c>
      <c r="BJ143" s="319" t="str">
        <f t="array" ref="BJ143">if(isblank(E143),"", xlookup(D143,z_Others!$B$5:$B$17,z_Others!$C$5:$C$17,"",0,1))</f>
        <v>智能手機</v>
      </c>
      <c r="BK143" s="320">
        <v>45782.0</v>
      </c>
      <c r="BL143" s="320" t="str">
        <f t="array" ref="BL143">if(isblank(E143),"",xlookup(E143,'FL5_MP POR_LH_報關備案_G950 &amp; GA'!F:F,'FL5_MP POR_LH_報關備案_G950 &amp; GA'!E:E,"No Need",0,1))</f>
        <v>No Need</v>
      </c>
      <c r="BM143" s="321" t="str">
        <f t="array" ref="BM143">if(isblank(E143),"",xlookup($BM$9&amp;E143,'Import_FL5 MPS (06.06.25) - Sor'!E139:E334&amp;'Import_FL5 MPS (06.06.25) - Sor'!F139:F334,'Import_FL5 MPS (06.06.25) - Sor'!ES139:ES334,"No demand",0,1))</f>
        <v>No demand</v>
      </c>
      <c r="BN143" s="321" t="str">
        <f t="array" ref="BN143">if(isblank(E143),"",xlookup($BN$9&amp;E143,'Import_FL5 MPS (06.06.25) - Sor'!E139:E334&amp;'Import_FL5 MPS (06.06.25) - Sor'!F139:F334,'Import_FL5 MPS (06.06.25) - Sor'!ES139:ES334,"No demand",0,1))</f>
        <v>No demand</v>
      </c>
      <c r="BO143" s="321" t="str">
        <f t="array" ref="BO143">if(isblank(E143),"",xlookup($BO$9&amp;E143,'Import_FL5 MPS (06.06.25) - Sor'!E139:E334&amp;'Import_FL5 MPS (06.06.25) - Sor'!F139:F334,'Import_FL5 MPS (06.06.25) - Sor'!ES139:ES334,"No demand",0,1))</f>
        <v>No demand</v>
      </c>
      <c r="BP143" s="322" t="str">
        <f t="array" ref="BP143">if(isblank(E143),"", xlookup(E143,'Import_LH_Label approve'!E:E,'Import_LH_Label approve'!L:L,"",0,1))</f>
        <v/>
      </c>
      <c r="BQ143" s="322" t="str">
        <f t="array" ref="BQ143">if(isblank(E143),"",xlookup(E143,'Import_VN_Label approve'!E:E,'Import_VN_Label approve'!M:M,"N/A",0,1))</f>
        <v>N/A</v>
      </c>
      <c r="BR143" s="313"/>
      <c r="BS143" s="323"/>
      <c r="BT143" s="324"/>
      <c r="BU143" s="91"/>
    </row>
    <row r="144" hidden="1">
      <c r="A144" s="176"/>
      <c r="B144" s="292">
        <v>133.0</v>
      </c>
      <c r="C144" s="231" t="s">
        <v>290</v>
      </c>
      <c r="D144" s="231" t="s">
        <v>408</v>
      </c>
      <c r="E144" s="350" t="s">
        <v>1134</v>
      </c>
      <c r="F144" s="294" t="s">
        <v>1122</v>
      </c>
      <c r="G144" s="231"/>
      <c r="H144" s="292" t="str">
        <f t="array" ref="H144">xlookup(F144,z_Others!$B$21:$B$45,z_Others!$E$21:$E$45,"",0,1)</f>
        <v>mmWave</v>
      </c>
      <c r="I144" s="310" t="s">
        <v>437</v>
      </c>
      <c r="J144" s="231" t="str">
        <f t="array" ref="J144">if(isblank(E144),"",xlookup(I144,z_Others!$M$17:$M$20,z_Others!$O$17:$O$20,"",0,1))</f>
        <v>Indigo</v>
      </c>
      <c r="K144" s="292" t="str">
        <f t="array" ref="K144">xlookup(I144,z_Others!$M$17:$M$20,z_Others!$N$17:$N$20,"",0,1)</f>
        <v>BUE</v>
      </c>
      <c r="L144" s="292" t="str">
        <f t="array" ref="L144">xlookup(F144,z_Others!$B$21:$B$45,z_Others!$D$21:$D$45,"",0,1)</f>
        <v>GLBW0</v>
      </c>
      <c r="M144" s="296" t="str">
        <f t="array" ref="M144">xlookup(F144,z_Others!$B$21:$B$45,z_Others!$C$21:$C$45,"",0,1)</f>
        <v>NA</v>
      </c>
      <c r="N144" s="297">
        <f t="array" ref="N144">if(isblank(E144),"",xlookup($N$9&amp;M144,z_Others!$X$5:$X$17&amp;z_Others!$W$5:$W$17,z_Others!$Z$5:$Z$17,"",0,1))</f>
        <v>35124436</v>
      </c>
      <c r="O144" s="298" t="str">
        <f t="array" ref="O144">if(isblank(E144),"",xlookup($N$9&amp;M144,z_Others!$X$5:$X$17&amp;z_Others!$W$5:$W$17,z_Others!$AH$5:$AH$17,"",0,1))</f>
        <v>35 124436 070000x
</v>
      </c>
      <c r="P144" s="299" t="str">
        <f t="array" ref="P144">if(isblank(E144),"",xlookup($N$9&amp;M144,z_Others!$X$5:$X$17&amp;z_Others!$W$5:$W$17,z_Others!$AI$5:$AI$17,"",0,1))</f>
        <v>35 124436 999999x</v>
      </c>
      <c r="Q144" s="300" t="s">
        <v>413</v>
      </c>
      <c r="R144" s="301" t="s">
        <v>414</v>
      </c>
      <c r="S144" s="302">
        <f t="array" ref="S144">if(isblank(E144),"",xlookup($S$9&amp;M144,z_Others!$X$5:$X$17&amp;z_Others!$W$5:$W$17,z_Others!$Z$5:$Z$17,"",0,1))</f>
        <v>35676628</v>
      </c>
      <c r="T144" s="303" t="str">
        <f t="array" ref="T144">if(isblank(E144),"",xlookup($S$9&amp;M144,z_Others!$X$5:$X$17&amp;z_Others!$W$5:$W$17,z_Others!$AH$5:$AH$17,"",0,1))</f>
        <v>35 676628 040000x
35 676628 340000x</v>
      </c>
      <c r="U144" s="303" t="str">
        <f t="array" ref="U144">if(isblank(E144),"",xlookup($S$9&amp;M144,z_Others!$X$5:$X$17&amp;z_Others!$W$5:$W$17,z_Others!$AI$5:$AI$17,"",0,1))</f>
        <v>35 676628 999999x
35 676628 639999x</v>
      </c>
      <c r="V144" s="303" t="str">
        <f t="shared" si="2"/>
        <v>64:9D:38:32:91:82
B0:D5:FB:C6:60:70</v>
      </c>
      <c r="W144" s="303" t="str">
        <f t="shared" si="3"/>
        <v>64:9D:38:37:25:61
B0:D5:FB:CE:01:8F</v>
      </c>
      <c r="X144" s="304" t="str">
        <f t="shared" si="4"/>
        <v>MP1.0</v>
      </c>
      <c r="Y144" s="292"/>
      <c r="Z144" s="304" t="str">
        <f t="shared" si="32"/>
        <v>Android 16</v>
      </c>
      <c r="AA144" s="304" t="str">
        <f t="shared" ref="AA144:AA155" si="44">if(isblank(E144),"",IF(AG144="AD1A.240530.047","Android 14",IF(AG144="AP3A.241105.008","Android 15","TBD")))</f>
        <v>TBD</v>
      </c>
      <c r="AB144" s="305" t="s">
        <v>585</v>
      </c>
      <c r="AC144" s="305" t="s">
        <v>1135</v>
      </c>
      <c r="AD144" s="306"/>
      <c r="AE144" s="306"/>
      <c r="AF144" s="308"/>
      <c r="AG144" s="308"/>
      <c r="AH144" s="297" t="str">
        <f t="array" ref="AH144">if(isblank(E144),"",xlookup(F144,z_Others!$B$21:$B$45,z_Others!$F$21:$F$45,"TBD",0,1))</f>
        <v>00</v>
      </c>
      <c r="AI144" s="310" t="str">
        <f t="array" ref="AI144">if(isblank(E144),"", xlookup(E144,'Import_FL5_LH_PVTMP_Configs (Do'!E:E,'Import_FL5_LH_PVTMP_Configs (Do'!O:O,"TBD",0,1))</f>
        <v>TBD</v>
      </c>
      <c r="AJ144" s="311"/>
      <c r="AK144" s="310" t="str">
        <f t="array" ref="AK144">if(isblank(E144),"", xlookup(E144,'Import_FL5_LH_PVTMP_Configs (Do'!E:E,'Import_FL5_LH_PVTMP_Configs (Do'!Q:Q,"TBD",0,1))</f>
        <v>TBD</v>
      </c>
      <c r="AL144" s="310" t="str">
        <f t="array" ref="AL144">if(isblank(E144),"", xlookup(E144,'Import_FL5_LH_PVTMP_Configs (Do'!E:E,'Import_FL5_LH_PVTMP_Configs (Do'!M:M,"TBD",0,1))</f>
        <v>TBD</v>
      </c>
      <c r="AM144" s="310" t="str">
        <f t="array" ref="AM144">if(isblank(E144),"", xlookup(E144,'Import_FL5_LH_PVTMP_Configs (Do'!E:E,'Import_FL5_LH_PVTMP_Configs (Do'!N:N,"TBD",0,1))</f>
        <v>TBD</v>
      </c>
      <c r="AN144" s="310" t="str">
        <f t="array" ref="AN144">if(isblank(E144),"", xlookup(E144,'Import_FL5_LH_PVTMP_Configs (Do'!E:E,'Import_FL5_LH_PVTMP_Configs (Do'!K:K,"TBD",0,1))</f>
        <v>TBD</v>
      </c>
      <c r="AO144" s="292" t="str">
        <f t="array" ref="AO144">if(isblank(E144),"",XLOOKUP(E144,'FL5_G954 Pkg ASSY (Pkg BOM)'!L:L,'FL5_G954 Pkg ASSY (Pkg BOM)'!G:G,"N/A",0,1))</f>
        <v>N/A</v>
      </c>
      <c r="AP144" s="292" t="str">
        <f t="array" ref="AP144">if(isblank(E144),"",xlookup(E144,'FL5_G962 Country kit (Accesorie'!L:L,'FL5_G962 Country kit (Accesorie'!G:G,"N/A",0,1))</f>
        <v>N/A</v>
      </c>
      <c r="AQ144" s="304" t="str">
        <f t="array" ref="AQ144">if(isblank(E144),"", xlookup(E144,'Import_LH_Label approve'!E:E,'Import_LH_Label approve'!M:M,"",0,1))</f>
        <v/>
      </c>
      <c r="AR144" s="304" t="str">
        <f t="array" ref="AR144">if(isblank(E144),"",xlookup(E144,'Import_LH_Label approve'!E:E,'Import_LH_Label approve'!N:N,"",0,1))</f>
        <v/>
      </c>
      <c r="AS144" s="292" t="s">
        <v>419</v>
      </c>
      <c r="AT144" s="302" t="str">
        <f t="shared" si="6"/>
        <v>Yes</v>
      </c>
      <c r="AU144" s="302" t="str">
        <f t="shared" si="7"/>
        <v>No</v>
      </c>
      <c r="AV144" s="302" t="str">
        <f t="shared" si="8"/>
        <v>No</v>
      </c>
      <c r="AW144" s="302"/>
      <c r="AX144" s="302" t="s">
        <v>1136</v>
      </c>
      <c r="AY144" s="302" t="s">
        <v>1137</v>
      </c>
      <c r="AZ144" s="312" t="str">
        <f t="array" ref="AZ144">if(isblank(E144),"", xlookup(E144,Import_FL5_LH_PVT_BM!D:D,Import_FL5_LH_PVT_BM!AK:AK,$F$4,0,1))</f>
        <v>MP</v>
      </c>
      <c r="BA144" s="292" t="str">
        <f t="shared" si="9"/>
        <v>Retail_10ct</v>
      </c>
      <c r="BB144" s="313" t="str">
        <f t="array" ref="BB144">if(isblank(E144),"",xlookup(F144,z_Others!$B$21:$B$42,z_Others!$G$21:$G$42,"No",0,1))</f>
        <v>ROW Master Carton Label (UPC)</v>
      </c>
      <c r="BC144" s="313" t="str">
        <f t="array" ref="BC144">if(isblank(E144),"",xlookup(F144,z_Others!$B$21:$B$42,z_Others!$H$21:$H$42,"No",0,1))</f>
        <v>Standard Pallet Label (BTO)
Standard Pallet Label (BTS)</v>
      </c>
      <c r="BD144" s="314" t="str">
        <f t="array" ref="BD144">if(isblank(E144),"",xlookup(E144,'Import_VN_Label approve'!E:E,'Import_VN_Label approve'!L:L,"N/A",0,1))</f>
        <v>N/A</v>
      </c>
      <c r="BE144" s="314" t="str">
        <f t="array" ref="BE144">if(isblank(E144),"",xlookup(E144,'Import_VN_Label approve'!E:E,'Import_VN_Label approve'!N:N,"N/A",0,1))</f>
        <v>N/A</v>
      </c>
      <c r="BF144" s="315"/>
      <c r="BG144" s="316" t="s">
        <v>422</v>
      </c>
      <c r="BH144" s="317" t="s">
        <v>423</v>
      </c>
      <c r="BI144" s="360" t="s">
        <v>1091</v>
      </c>
      <c r="BJ144" s="319" t="str">
        <f t="array" ref="BJ144">if(isblank(E144),"", xlookup(D144,z_Others!$B$5:$B$17,z_Others!$C$5:$C$17,"",0,1))</f>
        <v>智能手機</v>
      </c>
      <c r="BK144" s="320">
        <v>45782.0</v>
      </c>
      <c r="BL144" s="320" t="str">
        <f t="array" ref="BL144">if(isblank(E144),"",xlookup(E144,'FL5_MP POR_LH_報關備案_G950 &amp; GA'!F:F,'FL5_MP POR_LH_報關備案_G950 &amp; GA'!E:E,"No Need",0,1))</f>
        <v>No Need</v>
      </c>
      <c r="BM144" s="321" t="str">
        <f t="array" ref="BM144">if(isblank(E144),"",xlookup($BM$9&amp;E144,'Import_FL5 MPS (06.06.25) - Sor'!E140:E334&amp;'Import_FL5 MPS (06.06.25) - Sor'!F140:F334,'Import_FL5 MPS (06.06.25) - Sor'!ES140:ES334,"No demand",0,1))</f>
        <v>No demand</v>
      </c>
      <c r="BN144" s="321" t="str">
        <f t="array" ref="BN144">if(isblank(E144),"",xlookup($BN$9&amp;E144,'Import_FL5 MPS (06.06.25) - Sor'!E140:E334&amp;'Import_FL5 MPS (06.06.25) - Sor'!F140:F334,'Import_FL5 MPS (06.06.25) - Sor'!ES140:ES334,"No demand",0,1))</f>
        <v>No demand</v>
      </c>
      <c r="BO144" s="321" t="str">
        <f t="array" ref="BO144">if(isblank(E144),"",xlookup($BO$9&amp;E144,'Import_FL5 MPS (06.06.25) - Sor'!E140:E334&amp;'Import_FL5 MPS (06.06.25) - Sor'!F140:F334,'Import_FL5 MPS (06.06.25) - Sor'!ES140:ES334,"No demand",0,1))</f>
        <v>No demand</v>
      </c>
      <c r="BP144" s="322" t="str">
        <f t="array" ref="BP144">if(isblank(E144),"", xlookup(E144,'Import_LH_Label approve'!E:E,'Import_LH_Label approve'!L:L,"",0,1))</f>
        <v/>
      </c>
      <c r="BQ144" s="322" t="str">
        <f t="array" ref="BQ144">if(isblank(E144),"",xlookup(E144,'Import_VN_Label approve'!E:E,'Import_VN_Label approve'!M:M,"N/A",0,1))</f>
        <v>N/A</v>
      </c>
      <c r="BR144" s="313"/>
      <c r="BS144" s="323"/>
      <c r="BT144" s="324"/>
      <c r="BU144" s="91"/>
    </row>
    <row r="145" hidden="1">
      <c r="A145" s="176"/>
      <c r="B145" s="292">
        <v>134.0</v>
      </c>
      <c r="C145" s="231" t="s">
        <v>290</v>
      </c>
      <c r="D145" s="231" t="s">
        <v>408</v>
      </c>
      <c r="E145" s="350" t="s">
        <v>1138</v>
      </c>
      <c r="F145" s="325" t="s">
        <v>554</v>
      </c>
      <c r="G145" s="231"/>
      <c r="H145" s="292" t="str">
        <f t="array" ref="H145">xlookup(F145,z_Others!$B$21:$B$45,z_Others!$E$21:$E$45,"",0,1)</f>
        <v>JPN</v>
      </c>
      <c r="I145" s="310" t="s">
        <v>412</v>
      </c>
      <c r="J145" s="231" t="str">
        <f t="array" ref="J145">if(isblank(E145),"",xlookup(I145,z_Others!$M$17:$M$20,z_Others!$O$17:$O$20,"",0,1))</f>
        <v>Obsidian</v>
      </c>
      <c r="K145" s="292" t="str">
        <f t="array" ref="K145">xlookup(I145,z_Others!$M$17:$M$20,z_Others!$N$17:$N$20,"",0,1)</f>
        <v>BLK</v>
      </c>
      <c r="L145" s="292" t="str">
        <f t="array" ref="L145">xlookup(F145,z_Others!$B$21:$B$45,z_Others!$D$21:$D$45,"",0,1)</f>
        <v>GL066</v>
      </c>
      <c r="M145" s="296" t="str">
        <f t="array" ref="M145">xlookup(F145,z_Others!$B$21:$B$45,z_Others!$C$21:$C$45,"",0,1)</f>
        <v>JPN</v>
      </c>
      <c r="N145" s="297">
        <v>3.5416229E7</v>
      </c>
      <c r="O145" s="331" t="s">
        <v>556</v>
      </c>
      <c r="P145" s="303" t="s">
        <v>557</v>
      </c>
      <c r="Q145" s="300" t="s">
        <v>413</v>
      </c>
      <c r="R145" s="301" t="s">
        <v>414</v>
      </c>
      <c r="S145" s="302">
        <f t="array" ref="S145">if(isblank(E145),"",xlookup($S$9&amp;M145,z_Others!$X$5:$X$17&amp;z_Others!$W$5:$W$17,z_Others!$Z$5:$Z$17,"",0,1))</f>
        <v>35444932</v>
      </c>
      <c r="T145" s="303" t="str">
        <f t="array" ref="T145">if(isblank(E145),"",xlookup($S$9&amp;M145,z_Others!$X$5:$X$17&amp;z_Others!$W$5:$W$17,z_Others!$AH$5:$AH$17,"",0,1))</f>
        <v>35 444932 020000x</v>
      </c>
      <c r="U145" s="303" t="str">
        <f t="array" ref="U145">if(isblank(E145),"",xlookup($S$9&amp;M145,z_Others!$X$5:$X$17&amp;z_Others!$W$5:$W$17,z_Others!$AI$5:$AI$17,"",0,1))</f>
        <v>35 444932 999999x</v>
      </c>
      <c r="V145" s="303" t="str">
        <f t="shared" si="2"/>
        <v>64:9D:38:32:91:82
B0:D5:FB:C6:60:70</v>
      </c>
      <c r="W145" s="303" t="str">
        <f t="shared" si="3"/>
        <v>64:9D:38:37:25:61
B0:D5:FB:CE:01:8F</v>
      </c>
      <c r="X145" s="304" t="str">
        <f t="shared" si="4"/>
        <v>MP1.0</v>
      </c>
      <c r="Y145" s="292"/>
      <c r="Z145" s="304" t="str">
        <f t="shared" si="32"/>
        <v>Android 16</v>
      </c>
      <c r="AA145" s="304" t="str">
        <f t="shared" si="44"/>
        <v>TBD</v>
      </c>
      <c r="AB145" s="305" t="s">
        <v>585</v>
      </c>
      <c r="AC145" s="305" t="s">
        <v>1139</v>
      </c>
      <c r="AD145" s="306"/>
      <c r="AE145" s="306"/>
      <c r="AF145" s="308"/>
      <c r="AG145" s="308"/>
      <c r="AH145" s="297" t="str">
        <f t="array" ref="AH145">if(isblank(E145),"",xlookup(F145,z_Others!$B$21:$B$45,z_Others!$F$21:$F$45,"TBD",0,1))</f>
        <v>00</v>
      </c>
      <c r="AI145" s="310" t="str">
        <f t="array" ref="AI145">if(isblank(E145),"", xlookup(E145,'Import_FL5_LH_PVTMP_Configs (Do'!E:E,'Import_FL5_LH_PVTMP_Configs (Do'!O:O,"TBD",0,1))</f>
        <v>TBD</v>
      </c>
      <c r="AJ145" s="311"/>
      <c r="AK145" s="310" t="str">
        <f t="array" ref="AK145">if(isblank(E145),"", xlookup(E145,'Import_FL5_LH_PVTMP_Configs (Do'!E:E,'Import_FL5_LH_PVTMP_Configs (Do'!Q:Q,"TBD",0,1))</f>
        <v>TBD</v>
      </c>
      <c r="AL145" s="310" t="str">
        <f t="array" ref="AL145">if(isblank(E145),"", xlookup(E145,'Import_FL5_LH_PVTMP_Configs (Do'!E:E,'Import_FL5_LH_PVTMP_Configs (Do'!M:M,"TBD",0,1))</f>
        <v>TBD</v>
      </c>
      <c r="AM145" s="310" t="str">
        <f t="array" ref="AM145">if(isblank(E145),"", xlookup(E145,'Import_FL5_LH_PVTMP_Configs (Do'!E:E,'Import_FL5_LH_PVTMP_Configs (Do'!N:N,"TBD",0,1))</f>
        <v>TBD</v>
      </c>
      <c r="AN145" s="310" t="str">
        <f t="array" ref="AN145">if(isblank(E145),"", xlookup(E145,'Import_FL5_LH_PVTMP_Configs (Do'!E:E,'Import_FL5_LH_PVTMP_Configs (Do'!K:K,"TBD",0,1))</f>
        <v>TBD</v>
      </c>
      <c r="AO145" s="292" t="str">
        <f t="array" ref="AO145">if(isblank(E145),"",XLOOKUP(E145,'FL5_G954 Pkg ASSY (Pkg BOM)'!L:L,'FL5_G954 Pkg ASSY (Pkg BOM)'!G:G,"N/A",0,1))</f>
        <v>N/A</v>
      </c>
      <c r="AP145" s="292" t="str">
        <f t="array" ref="AP145">if(isblank(E145),"",xlookup(E145,'FL5_G962 Country kit (Accesorie'!L:L,'FL5_G962 Country kit (Accesorie'!G:G,"N/A",0,1))</f>
        <v>N/A</v>
      </c>
      <c r="AQ145" s="304" t="s">
        <v>1140</v>
      </c>
      <c r="AR145" s="304" t="s">
        <v>1140</v>
      </c>
      <c r="AS145" s="292" t="s">
        <v>419</v>
      </c>
      <c r="AT145" s="302" t="str">
        <f t="shared" si="6"/>
        <v>Yes</v>
      </c>
      <c r="AU145" s="302" t="str">
        <f t="shared" si="7"/>
        <v>No</v>
      </c>
      <c r="AV145" s="302" t="str">
        <f t="shared" si="8"/>
        <v>No</v>
      </c>
      <c r="AW145" s="302"/>
      <c r="AX145" s="302" t="s">
        <v>1141</v>
      </c>
      <c r="AY145" s="302" t="s">
        <v>1142</v>
      </c>
      <c r="AZ145" s="312" t="str">
        <f t="array" ref="AZ145">if(isblank(E145),"", xlookup(E145,Import_FL5_LH_PVT_BM!D:D,Import_FL5_LH_PVT_BM!AK:AK,$F$4,0,1))</f>
        <v>MP</v>
      </c>
      <c r="BA145" s="292" t="str">
        <f t="shared" si="9"/>
        <v>Retail_10ct</v>
      </c>
      <c r="BB145" s="313" t="str">
        <f t="array" ref="BB145">if(isblank(E145),"",xlookup(F145,z_Others!$B$21:$B$42,z_Others!$G$21:$G$42,"No",0,1))</f>
        <v>ROW Master Carton Label (UPC)</v>
      </c>
      <c r="BC145" s="313" t="str">
        <f t="array" ref="BC145">if(isblank(E145),"",xlookup(F145,z_Others!$B$21:$B$42,z_Others!$H$21:$H$42,"No",0,1))</f>
        <v>Standard Pallet Label (BTO)
Standard Pallet Label (BTS)</v>
      </c>
      <c r="BD145" s="314" t="str">
        <f t="array" ref="BD145">if(isblank(E145),"",xlookup(E145,'Import_VN_Label approve'!E:E,'Import_VN_Label approve'!L:L,"N/A",0,1))</f>
        <v>N/A</v>
      </c>
      <c r="BE145" s="314" t="str">
        <f t="array" ref="BE145">if(isblank(E145),"",xlookup(E145,'Import_VN_Label approve'!E:E,'Import_VN_Label approve'!N:N,"N/A",0,1))</f>
        <v>N/A</v>
      </c>
      <c r="BF145" s="315"/>
      <c r="BG145" s="332" t="s">
        <v>503</v>
      </c>
      <c r="BH145" s="317" t="s">
        <v>504</v>
      </c>
      <c r="BI145" s="360" t="s">
        <v>1091</v>
      </c>
      <c r="BJ145" s="319" t="str">
        <f t="array" ref="BJ145">if(isblank(E145),"", xlookup(D145,z_Others!$B$5:$B$17,z_Others!$C$5:$C$17,"",0,1))</f>
        <v>智能手機</v>
      </c>
      <c r="BK145" s="320">
        <v>45782.0</v>
      </c>
      <c r="BL145" s="320" t="str">
        <f t="array" ref="BL145">if(isblank(E145),"",xlookup(E145,'FL5_MP POR_LH_報關備案_G950 &amp; GA'!F:F,'FL5_MP POR_LH_報關備案_G950 &amp; GA'!E:E,"No Need",0,1))</f>
        <v>No Need</v>
      </c>
      <c r="BM145" s="321" t="str">
        <f t="array" ref="BM145">if(isblank(E145),"",xlookup($BM$9&amp;E145,'Import_FL5 MPS (06.06.25) - Sor'!E141:E334&amp;'Import_FL5 MPS (06.06.25) - Sor'!F141:F334,'Import_FL5 MPS (06.06.25) - Sor'!ES141:ES334,"No demand",0,1))</f>
        <v>No demand</v>
      </c>
      <c r="BN145" s="321" t="str">
        <f t="array" ref="BN145">if(isblank(E145),"",xlookup($BN$9&amp;E145,'Import_FL5 MPS (06.06.25) - Sor'!E141:E334&amp;'Import_FL5 MPS (06.06.25) - Sor'!F141:F334,'Import_FL5 MPS (06.06.25) - Sor'!ES141:ES334,"No demand",0,1))</f>
        <v>No demand</v>
      </c>
      <c r="BO145" s="321" t="str">
        <f t="array" ref="BO145">if(isblank(E145),"",xlookup($BO$9&amp;E145,'Import_FL5 MPS (06.06.25) - Sor'!E141:E334&amp;'Import_FL5 MPS (06.06.25) - Sor'!F141:F334,'Import_FL5 MPS (06.06.25) - Sor'!ES141:ES334,"No demand",0,1))</f>
        <v>No demand</v>
      </c>
      <c r="BP145" s="322" t="str">
        <f t="array" ref="BP145">if(isblank(E145),"", xlookup(E145,'Import_LH_Label approve'!E:E,'Import_LH_Label approve'!L:L,"",0,1))</f>
        <v/>
      </c>
      <c r="BQ145" s="322" t="str">
        <f t="array" ref="BQ145">if(isblank(E145),"",xlookup(E145,'Import_VN_Label approve'!E:E,'Import_VN_Label approve'!M:M,"N/A",0,1))</f>
        <v>N/A</v>
      </c>
      <c r="BR145" s="313"/>
      <c r="BS145" s="323"/>
      <c r="BT145" s="324"/>
      <c r="BU145" s="91"/>
    </row>
    <row r="146" hidden="1">
      <c r="A146" s="176"/>
      <c r="B146" s="292">
        <v>135.0</v>
      </c>
      <c r="C146" s="231" t="s">
        <v>290</v>
      </c>
      <c r="D146" s="231" t="s">
        <v>408</v>
      </c>
      <c r="E146" s="350" t="s">
        <v>1143</v>
      </c>
      <c r="F146" s="325" t="s">
        <v>554</v>
      </c>
      <c r="G146" s="231"/>
      <c r="H146" s="292" t="str">
        <f t="array" ref="H146">xlookup(F146,z_Others!$B$21:$B$45,z_Others!$E$21:$E$45,"",0,1)</f>
        <v>JPN</v>
      </c>
      <c r="I146" s="310" t="s">
        <v>425</v>
      </c>
      <c r="J146" s="231" t="str">
        <f t="array" ref="J146">if(isblank(E146),"",xlookup(I146,z_Others!$M$17:$M$20,z_Others!$O$17:$O$20,"",0,1))</f>
        <v>Frost</v>
      </c>
      <c r="K146" s="292" t="str">
        <f t="array" ref="K146">xlookup(I146,z_Others!$M$17:$M$20,z_Others!$N$17:$N$20,"",0,1)</f>
        <v>PPL</v>
      </c>
      <c r="L146" s="292" t="str">
        <f t="array" ref="L146">xlookup(F146,z_Others!$B$21:$B$45,z_Others!$D$21:$D$45,"",0,1)</f>
        <v>GL066</v>
      </c>
      <c r="M146" s="296" t="str">
        <f t="array" ref="M146">xlookup(F146,z_Others!$B$21:$B$45,z_Others!$C$21:$C$45,"",0,1)</f>
        <v>JPN</v>
      </c>
      <c r="N146" s="297">
        <v>3.5416229E7</v>
      </c>
      <c r="O146" s="331" t="s">
        <v>556</v>
      </c>
      <c r="P146" s="303" t="s">
        <v>557</v>
      </c>
      <c r="Q146" s="300" t="s">
        <v>413</v>
      </c>
      <c r="R146" s="301" t="s">
        <v>414</v>
      </c>
      <c r="S146" s="302">
        <f t="array" ref="S146">if(isblank(E146),"",xlookup($S$9&amp;M146,z_Others!$X$5:$X$17&amp;z_Others!$W$5:$W$17,z_Others!$Z$5:$Z$17,"",0,1))</f>
        <v>35444932</v>
      </c>
      <c r="T146" s="303" t="str">
        <f t="array" ref="T146">if(isblank(E146),"",xlookup($S$9&amp;M146,z_Others!$X$5:$X$17&amp;z_Others!$W$5:$W$17,z_Others!$AH$5:$AH$17,"",0,1))</f>
        <v>35 444932 020000x</v>
      </c>
      <c r="U146" s="303" t="str">
        <f t="array" ref="U146">if(isblank(E146),"",xlookup($S$9&amp;M146,z_Others!$X$5:$X$17&amp;z_Others!$W$5:$W$17,z_Others!$AI$5:$AI$17,"",0,1))</f>
        <v>35 444932 999999x</v>
      </c>
      <c r="V146" s="303" t="str">
        <f t="shared" si="2"/>
        <v>64:9D:38:32:91:82
B0:D5:FB:C6:60:70</v>
      </c>
      <c r="W146" s="303" t="str">
        <f t="shared" si="3"/>
        <v>64:9D:38:37:25:61
B0:D5:FB:CE:01:8F</v>
      </c>
      <c r="X146" s="304" t="str">
        <f t="shared" si="4"/>
        <v>MP1.0</v>
      </c>
      <c r="Y146" s="292"/>
      <c r="Z146" s="304" t="str">
        <f t="shared" si="32"/>
        <v>Android 16</v>
      </c>
      <c r="AA146" s="304" t="str">
        <f t="shared" si="44"/>
        <v>TBD</v>
      </c>
      <c r="AB146" s="305" t="s">
        <v>585</v>
      </c>
      <c r="AC146" s="305" t="s">
        <v>1144</v>
      </c>
      <c r="AD146" s="306"/>
      <c r="AE146" s="306"/>
      <c r="AF146" s="308"/>
      <c r="AG146" s="308"/>
      <c r="AH146" s="297" t="str">
        <f t="array" ref="AH146">if(isblank(E146),"",xlookup(F146,z_Others!$B$21:$B$45,z_Others!$F$21:$F$45,"TBD",0,1))</f>
        <v>00</v>
      </c>
      <c r="AI146" s="310" t="str">
        <f t="array" ref="AI146">if(isblank(E146),"", xlookup(E146,'Import_FL5_LH_PVTMP_Configs (Do'!E:E,'Import_FL5_LH_PVTMP_Configs (Do'!O:O,"TBD",0,1))</f>
        <v>TBD</v>
      </c>
      <c r="AJ146" s="311"/>
      <c r="AK146" s="310" t="str">
        <f t="array" ref="AK146">if(isblank(E146),"", xlookup(E146,'Import_FL5_LH_PVTMP_Configs (Do'!E:E,'Import_FL5_LH_PVTMP_Configs (Do'!Q:Q,"TBD",0,1))</f>
        <v>TBD</v>
      </c>
      <c r="AL146" s="310" t="str">
        <f t="array" ref="AL146">if(isblank(E146),"", xlookup(E146,'Import_FL5_LH_PVTMP_Configs (Do'!E:E,'Import_FL5_LH_PVTMP_Configs (Do'!M:M,"TBD",0,1))</f>
        <v>TBD</v>
      </c>
      <c r="AM146" s="310" t="str">
        <f t="array" ref="AM146">if(isblank(E146),"", xlookup(E146,'Import_FL5_LH_PVTMP_Configs (Do'!E:E,'Import_FL5_LH_PVTMP_Configs (Do'!N:N,"TBD",0,1))</f>
        <v>TBD</v>
      </c>
      <c r="AN146" s="310" t="str">
        <f t="array" ref="AN146">if(isblank(E146),"", xlookup(E146,'Import_FL5_LH_PVTMP_Configs (Do'!E:E,'Import_FL5_LH_PVTMP_Configs (Do'!K:K,"TBD",0,1))</f>
        <v>TBD</v>
      </c>
      <c r="AO146" s="292" t="str">
        <f t="array" ref="AO146">if(isblank(E146),"",XLOOKUP(E146,'FL5_G954 Pkg ASSY (Pkg BOM)'!L:L,'FL5_G954 Pkg ASSY (Pkg BOM)'!G:G,"N/A",0,1))</f>
        <v>N/A</v>
      </c>
      <c r="AP146" s="292" t="str">
        <f t="array" ref="AP146">if(isblank(E146),"",xlookup(E146,'FL5_G962 Country kit (Accesorie'!L:L,'FL5_G962 Country kit (Accesorie'!G:G,"N/A",0,1))</f>
        <v>N/A</v>
      </c>
      <c r="AQ146" s="304" t="s">
        <v>1140</v>
      </c>
      <c r="AR146" s="304" t="s">
        <v>1140</v>
      </c>
      <c r="AS146" s="292" t="s">
        <v>419</v>
      </c>
      <c r="AT146" s="302" t="str">
        <f t="shared" si="6"/>
        <v>Yes</v>
      </c>
      <c r="AU146" s="302" t="str">
        <f t="shared" si="7"/>
        <v>No</v>
      </c>
      <c r="AV146" s="302" t="str">
        <f t="shared" si="8"/>
        <v>No</v>
      </c>
      <c r="AW146" s="302"/>
      <c r="AX146" s="302" t="s">
        <v>1145</v>
      </c>
      <c r="AY146" s="302" t="s">
        <v>1146</v>
      </c>
      <c r="AZ146" s="312" t="str">
        <f t="array" ref="AZ146">if(isblank(E146),"", xlookup(E146,Import_FL5_LH_PVT_BM!D:D,Import_FL5_LH_PVT_BM!AK:AK,$F$4,0,1))</f>
        <v>MP</v>
      </c>
      <c r="BA146" s="292" t="str">
        <f t="shared" si="9"/>
        <v>Retail_10ct</v>
      </c>
      <c r="BB146" s="313" t="str">
        <f t="array" ref="BB146">if(isblank(E146),"",xlookup(F146,z_Others!$B$21:$B$42,z_Others!$G$21:$G$42,"No",0,1))</f>
        <v>ROW Master Carton Label (UPC)</v>
      </c>
      <c r="BC146" s="313" t="str">
        <f t="array" ref="BC146">if(isblank(E146),"",xlookup(F146,z_Others!$B$21:$B$42,z_Others!$H$21:$H$42,"No",0,1))</f>
        <v>Standard Pallet Label (BTO)
Standard Pallet Label (BTS)</v>
      </c>
      <c r="BD146" s="314" t="str">
        <f t="array" ref="BD146">if(isblank(E146),"",xlookup(E146,'Import_VN_Label approve'!E:E,'Import_VN_Label approve'!L:L,"N/A",0,1))</f>
        <v>N/A</v>
      </c>
      <c r="BE146" s="314" t="str">
        <f t="array" ref="BE146">if(isblank(E146),"",xlookup(E146,'Import_VN_Label approve'!E:E,'Import_VN_Label approve'!N:N,"N/A",0,1))</f>
        <v>N/A</v>
      </c>
      <c r="BF146" s="315"/>
      <c r="BG146" s="332" t="s">
        <v>503</v>
      </c>
      <c r="BH146" s="317" t="s">
        <v>504</v>
      </c>
      <c r="BI146" s="360" t="s">
        <v>1091</v>
      </c>
      <c r="BJ146" s="319" t="str">
        <f t="array" ref="BJ146">if(isblank(E146),"", xlookup(D146,z_Others!$B$5:$B$17,z_Others!$C$5:$C$17,"",0,1))</f>
        <v>智能手機</v>
      </c>
      <c r="BK146" s="320">
        <v>45782.0</v>
      </c>
      <c r="BL146" s="320" t="str">
        <f t="array" ref="BL146">if(isblank(E146),"",xlookup(E146,'FL5_MP POR_LH_報關備案_G950 &amp; GA'!F:F,'FL5_MP POR_LH_報關備案_G950 &amp; GA'!E:E,"No Need",0,1))</f>
        <v>No Need</v>
      </c>
      <c r="BM146" s="321" t="str">
        <f t="array" ref="BM146">if(isblank(E146),"",xlookup($BM$9&amp;E146,'Import_FL5 MPS (06.06.25) - Sor'!E142:E334&amp;'Import_FL5 MPS (06.06.25) - Sor'!F142:F334,'Import_FL5 MPS (06.06.25) - Sor'!ES142:ES334,"No demand",0,1))</f>
        <v>No demand</v>
      </c>
      <c r="BN146" s="321" t="str">
        <f t="array" ref="BN146">if(isblank(E146),"",xlookup($BN$9&amp;E146,'Import_FL5 MPS (06.06.25) - Sor'!E142:E334&amp;'Import_FL5 MPS (06.06.25) - Sor'!F142:F334,'Import_FL5 MPS (06.06.25) - Sor'!ES142:ES334,"No demand",0,1))</f>
        <v>No demand</v>
      </c>
      <c r="BO146" s="321" t="str">
        <f t="array" ref="BO146">if(isblank(E146),"",xlookup($BO$9&amp;E146,'Import_FL5 MPS (06.06.25) - Sor'!E142:E334&amp;'Import_FL5 MPS (06.06.25) - Sor'!F142:F334,'Import_FL5 MPS (06.06.25) - Sor'!ES142:ES334,"No demand",0,1))</f>
        <v>No demand</v>
      </c>
      <c r="BP146" s="322" t="str">
        <f t="array" ref="BP146">if(isblank(E146),"", xlookup(E146,'Import_LH_Label approve'!E:E,'Import_LH_Label approve'!L:L,"",0,1))</f>
        <v/>
      </c>
      <c r="BQ146" s="322" t="str">
        <f t="array" ref="BQ146">if(isblank(E146),"",xlookup(E146,'Import_VN_Label approve'!E:E,'Import_VN_Label approve'!M:M,"N/A",0,1))</f>
        <v>N/A</v>
      </c>
      <c r="BR146" s="313"/>
      <c r="BS146" s="323"/>
      <c r="BT146" s="324"/>
      <c r="BU146" s="91"/>
    </row>
    <row r="147" hidden="1">
      <c r="A147" s="176"/>
      <c r="B147" s="292">
        <v>136.0</v>
      </c>
      <c r="C147" s="231" t="s">
        <v>290</v>
      </c>
      <c r="D147" s="231" t="s">
        <v>408</v>
      </c>
      <c r="E147" s="350" t="s">
        <v>1147</v>
      </c>
      <c r="F147" s="325" t="s">
        <v>554</v>
      </c>
      <c r="G147" s="231"/>
      <c r="H147" s="292" t="str">
        <f t="array" ref="H147">xlookup(F147,z_Others!$B$21:$B$45,z_Others!$E$21:$E$45,"",0,1)</f>
        <v>JPN</v>
      </c>
      <c r="I147" s="310" t="s">
        <v>431</v>
      </c>
      <c r="J147" s="231" t="str">
        <f t="array" ref="J147">if(isblank(E147),"",xlookup(I147,z_Others!$M$17:$M$20,z_Others!$O$17:$O$20,"",0,1))</f>
        <v>Lemongrass</v>
      </c>
      <c r="K147" s="292" t="str">
        <f t="array" ref="K147">xlookup(I147,z_Others!$M$17:$M$20,z_Others!$N$17:$N$20,"",0,1)</f>
        <v>YEL</v>
      </c>
      <c r="L147" s="292" t="str">
        <f t="array" ref="L147">xlookup(F147,z_Others!$B$21:$B$45,z_Others!$D$21:$D$45,"",0,1)</f>
        <v>GL066</v>
      </c>
      <c r="M147" s="296" t="str">
        <f t="array" ref="M147">xlookup(F147,z_Others!$B$21:$B$45,z_Others!$C$21:$C$45,"",0,1)</f>
        <v>JPN</v>
      </c>
      <c r="N147" s="297">
        <v>3.5416229E7</v>
      </c>
      <c r="O147" s="331" t="s">
        <v>556</v>
      </c>
      <c r="P147" s="303" t="s">
        <v>557</v>
      </c>
      <c r="Q147" s="300" t="s">
        <v>413</v>
      </c>
      <c r="R147" s="301" t="s">
        <v>414</v>
      </c>
      <c r="S147" s="302">
        <f t="array" ref="S147">if(isblank(E147),"",xlookup($S$9&amp;M147,z_Others!$X$5:$X$17&amp;z_Others!$W$5:$W$17,z_Others!$Z$5:$Z$17,"",0,1))</f>
        <v>35444932</v>
      </c>
      <c r="T147" s="303" t="str">
        <f t="array" ref="T147">if(isblank(E147),"",xlookup($S$9&amp;M147,z_Others!$X$5:$X$17&amp;z_Others!$W$5:$W$17,z_Others!$AH$5:$AH$17,"",0,1))</f>
        <v>35 444932 020000x</v>
      </c>
      <c r="U147" s="303" t="str">
        <f t="array" ref="U147">if(isblank(E147),"",xlookup($S$9&amp;M147,z_Others!$X$5:$X$17&amp;z_Others!$W$5:$W$17,z_Others!$AI$5:$AI$17,"",0,1))</f>
        <v>35 444932 999999x</v>
      </c>
      <c r="V147" s="303" t="str">
        <f t="shared" si="2"/>
        <v>64:9D:38:32:91:82
B0:D5:FB:C6:60:70</v>
      </c>
      <c r="W147" s="303" t="str">
        <f t="shared" si="3"/>
        <v>64:9D:38:37:25:61
B0:D5:FB:CE:01:8F</v>
      </c>
      <c r="X147" s="304" t="str">
        <f t="shared" si="4"/>
        <v>MP1.0</v>
      </c>
      <c r="Y147" s="292"/>
      <c r="Z147" s="304" t="str">
        <f t="shared" si="32"/>
        <v>Android 16</v>
      </c>
      <c r="AA147" s="304" t="str">
        <f t="shared" si="44"/>
        <v>TBD</v>
      </c>
      <c r="AB147" s="305" t="s">
        <v>585</v>
      </c>
      <c r="AC147" s="305" t="s">
        <v>1148</v>
      </c>
      <c r="AD147" s="306"/>
      <c r="AE147" s="306"/>
      <c r="AF147" s="308"/>
      <c r="AG147" s="308"/>
      <c r="AH147" s="297" t="str">
        <f t="array" ref="AH147">if(isblank(E147),"",xlookup(F147,z_Others!$B$21:$B$45,z_Others!$F$21:$F$45,"TBD",0,1))</f>
        <v>00</v>
      </c>
      <c r="AI147" s="310" t="str">
        <f t="array" ref="AI147">if(isblank(E147),"", xlookup(E147,'Import_FL5_LH_PVTMP_Configs (Do'!E:E,'Import_FL5_LH_PVTMP_Configs (Do'!O:O,"TBD",0,1))</f>
        <v>TBD</v>
      </c>
      <c r="AJ147" s="311"/>
      <c r="AK147" s="310" t="str">
        <f t="array" ref="AK147">if(isblank(E147),"", xlookup(E147,'Import_FL5_LH_PVTMP_Configs (Do'!E:E,'Import_FL5_LH_PVTMP_Configs (Do'!Q:Q,"TBD",0,1))</f>
        <v>TBD</v>
      </c>
      <c r="AL147" s="310" t="str">
        <f t="array" ref="AL147">if(isblank(E147),"", xlookup(E147,'Import_FL5_LH_PVTMP_Configs (Do'!E:E,'Import_FL5_LH_PVTMP_Configs (Do'!M:M,"TBD",0,1))</f>
        <v>TBD</v>
      </c>
      <c r="AM147" s="310" t="str">
        <f t="array" ref="AM147">if(isblank(E147),"", xlookup(E147,'Import_FL5_LH_PVTMP_Configs (Do'!E:E,'Import_FL5_LH_PVTMP_Configs (Do'!N:N,"TBD",0,1))</f>
        <v>TBD</v>
      </c>
      <c r="AN147" s="310" t="str">
        <f t="array" ref="AN147">if(isblank(E147),"", xlookup(E147,'Import_FL5_LH_PVTMP_Configs (Do'!E:E,'Import_FL5_LH_PVTMP_Configs (Do'!K:K,"TBD",0,1))</f>
        <v>TBD</v>
      </c>
      <c r="AO147" s="292" t="str">
        <f t="array" ref="AO147">if(isblank(E147),"",XLOOKUP(E147,'FL5_G954 Pkg ASSY (Pkg BOM)'!L:L,'FL5_G954 Pkg ASSY (Pkg BOM)'!G:G,"N/A",0,1))</f>
        <v>N/A</v>
      </c>
      <c r="AP147" s="292" t="str">
        <f t="array" ref="AP147">if(isblank(E147),"",xlookup(E147,'FL5_G962 Country kit (Accesorie'!L:L,'FL5_G962 Country kit (Accesorie'!G:G,"N/A",0,1))</f>
        <v>N/A</v>
      </c>
      <c r="AQ147" s="304" t="s">
        <v>1140</v>
      </c>
      <c r="AR147" s="304" t="s">
        <v>1140</v>
      </c>
      <c r="AS147" s="292" t="s">
        <v>419</v>
      </c>
      <c r="AT147" s="302" t="str">
        <f t="shared" si="6"/>
        <v>Yes</v>
      </c>
      <c r="AU147" s="302" t="str">
        <f t="shared" si="7"/>
        <v>No</v>
      </c>
      <c r="AV147" s="302" t="str">
        <f t="shared" si="8"/>
        <v>No</v>
      </c>
      <c r="AW147" s="302"/>
      <c r="AX147" s="302" t="s">
        <v>1149</v>
      </c>
      <c r="AY147" s="302" t="s">
        <v>1150</v>
      </c>
      <c r="AZ147" s="312" t="str">
        <f t="array" ref="AZ147">if(isblank(E147),"", xlookup(E147,Import_FL5_LH_PVT_BM!D:D,Import_FL5_LH_PVT_BM!AK:AK,$F$4,0,1))</f>
        <v>MP</v>
      </c>
      <c r="BA147" s="292" t="str">
        <f t="shared" si="9"/>
        <v>Retail_10ct</v>
      </c>
      <c r="BB147" s="313" t="str">
        <f t="array" ref="BB147">if(isblank(E147),"",xlookup(F147,z_Others!$B$21:$B$42,z_Others!$G$21:$G$42,"No",0,1))</f>
        <v>ROW Master Carton Label (UPC)</v>
      </c>
      <c r="BC147" s="313" t="str">
        <f t="array" ref="BC147">if(isblank(E147),"",xlookup(F147,z_Others!$B$21:$B$42,z_Others!$H$21:$H$42,"No",0,1))</f>
        <v>Standard Pallet Label (BTO)
Standard Pallet Label (BTS)</v>
      </c>
      <c r="BD147" s="314" t="str">
        <f t="array" ref="BD147">if(isblank(E147),"",xlookup(E147,'Import_VN_Label approve'!E:E,'Import_VN_Label approve'!L:L,"N/A",0,1))</f>
        <v>N/A</v>
      </c>
      <c r="BE147" s="314" t="str">
        <f t="array" ref="BE147">if(isblank(E147),"",xlookup(E147,'Import_VN_Label approve'!E:E,'Import_VN_Label approve'!N:N,"N/A",0,1))</f>
        <v>N/A</v>
      </c>
      <c r="BF147" s="315"/>
      <c r="BG147" s="332" t="s">
        <v>503</v>
      </c>
      <c r="BH147" s="317" t="s">
        <v>504</v>
      </c>
      <c r="BI147" s="360" t="s">
        <v>1091</v>
      </c>
      <c r="BJ147" s="319" t="str">
        <f t="array" ref="BJ147">if(isblank(E147),"", xlookup(D147,z_Others!$B$5:$B$17,z_Others!$C$5:$C$17,"",0,1))</f>
        <v>智能手機</v>
      </c>
      <c r="BK147" s="320">
        <v>45782.0</v>
      </c>
      <c r="BL147" s="320" t="str">
        <f t="array" ref="BL147">if(isblank(E147),"",xlookup(E147,'FL5_MP POR_LH_報關備案_G950 &amp; GA'!F:F,'FL5_MP POR_LH_報關備案_G950 &amp; GA'!E:E,"No Need",0,1))</f>
        <v>No Need</v>
      </c>
      <c r="BM147" s="321" t="str">
        <f t="array" ref="BM147">if(isblank(E147),"",xlookup($BM$9&amp;E147,'Import_FL5 MPS (06.06.25) - Sor'!E143:E334&amp;'Import_FL5 MPS (06.06.25) - Sor'!F143:F334,'Import_FL5 MPS (06.06.25) - Sor'!ES143:ES334,"No demand",0,1))</f>
        <v>No demand</v>
      </c>
      <c r="BN147" s="321" t="str">
        <f t="array" ref="BN147">if(isblank(E147),"",xlookup($BN$9&amp;E147,'Import_FL5 MPS (06.06.25) - Sor'!E143:E334&amp;'Import_FL5 MPS (06.06.25) - Sor'!F143:F334,'Import_FL5 MPS (06.06.25) - Sor'!ES143:ES334,"No demand",0,1))</f>
        <v>No demand</v>
      </c>
      <c r="BO147" s="321" t="str">
        <f t="array" ref="BO147">if(isblank(E147),"",xlookup($BO$9&amp;E147,'Import_FL5 MPS (06.06.25) - Sor'!E143:E334&amp;'Import_FL5 MPS (06.06.25) - Sor'!F143:F334,'Import_FL5 MPS (06.06.25) - Sor'!ES143:ES334,"No demand",0,1))</f>
        <v>No demand</v>
      </c>
      <c r="BP147" s="322" t="str">
        <f t="array" ref="BP147">if(isblank(E147),"", xlookup(E147,'Import_LH_Label approve'!E:E,'Import_LH_Label approve'!L:L,"",0,1))</f>
        <v/>
      </c>
      <c r="BQ147" s="322" t="str">
        <f t="array" ref="BQ147">if(isblank(E147),"",xlookup(E147,'Import_VN_Label approve'!E:E,'Import_VN_Label approve'!M:M,"N/A",0,1))</f>
        <v>N/A</v>
      </c>
      <c r="BR147" s="313"/>
      <c r="BS147" s="323"/>
      <c r="BT147" s="324"/>
      <c r="BU147" s="91"/>
    </row>
    <row r="148" hidden="1">
      <c r="A148" s="176"/>
      <c r="B148" s="292">
        <v>137.0</v>
      </c>
      <c r="C148" s="231" t="s">
        <v>290</v>
      </c>
      <c r="D148" s="231" t="s">
        <v>408</v>
      </c>
      <c r="E148" s="350" t="s">
        <v>1151</v>
      </c>
      <c r="F148" s="325" t="s">
        <v>554</v>
      </c>
      <c r="G148" s="313"/>
      <c r="H148" s="292" t="str">
        <f t="array" ref="H148">xlookup(F148,z_Others!$B$21:$B$45,z_Others!$E$21:$E$45,"",0,1)</f>
        <v>JPN</v>
      </c>
      <c r="I148" s="310" t="s">
        <v>437</v>
      </c>
      <c r="J148" s="231" t="str">
        <f t="array" ref="J148">if(isblank(E148),"",xlookup(I148,z_Others!$M$17:$M$20,z_Others!$O$17:$O$20,"",0,1))</f>
        <v>Indigo</v>
      </c>
      <c r="K148" s="292" t="str">
        <f t="array" ref="K148">xlookup(I148,z_Others!$M$17:$M$20,z_Others!$N$17:$N$20,"",0,1)</f>
        <v>BUE</v>
      </c>
      <c r="L148" s="292" t="str">
        <f t="array" ref="L148">xlookup(F148,z_Others!$B$21:$B$45,z_Others!$D$21:$D$45,"",0,1)</f>
        <v>GL066</v>
      </c>
      <c r="M148" s="296" t="str">
        <f t="array" ref="M148">xlookup(F148,z_Others!$B$21:$B$45,z_Others!$C$21:$C$45,"",0,1)</f>
        <v>JPN</v>
      </c>
      <c r="N148" s="297">
        <v>3.5416229E7</v>
      </c>
      <c r="O148" s="331" t="s">
        <v>556</v>
      </c>
      <c r="P148" s="303" t="s">
        <v>557</v>
      </c>
      <c r="Q148" s="300" t="s">
        <v>413</v>
      </c>
      <c r="R148" s="301" t="s">
        <v>414</v>
      </c>
      <c r="S148" s="302">
        <f t="array" ref="S148">if(isblank(E148),"",xlookup($S$9&amp;M148,z_Others!$X$5:$X$17&amp;z_Others!$W$5:$W$17,z_Others!$Z$5:$Z$17,"",0,1))</f>
        <v>35444932</v>
      </c>
      <c r="T148" s="303" t="str">
        <f t="array" ref="T148">if(isblank(E148),"",xlookup($S$9&amp;M148,z_Others!$X$5:$X$17&amp;z_Others!$W$5:$W$17,z_Others!$AH$5:$AH$17,"",0,1))</f>
        <v>35 444932 020000x</v>
      </c>
      <c r="U148" s="303" t="str">
        <f t="array" ref="U148">if(isblank(E148),"",xlookup($S$9&amp;M148,z_Others!$X$5:$X$17&amp;z_Others!$W$5:$W$17,z_Others!$AI$5:$AI$17,"",0,1))</f>
        <v>35 444932 999999x</v>
      </c>
      <c r="V148" s="303" t="str">
        <f t="shared" si="2"/>
        <v>64:9D:38:32:91:82
B0:D5:FB:C6:60:70</v>
      </c>
      <c r="W148" s="303" t="str">
        <f t="shared" si="3"/>
        <v>64:9D:38:37:25:61
B0:D5:FB:CE:01:8F</v>
      </c>
      <c r="X148" s="304" t="str">
        <f t="shared" si="4"/>
        <v>MP1.0</v>
      </c>
      <c r="Y148" s="292"/>
      <c r="Z148" s="304" t="str">
        <f t="shared" si="32"/>
        <v>Android 16</v>
      </c>
      <c r="AA148" s="304" t="str">
        <f t="shared" si="44"/>
        <v>TBD</v>
      </c>
      <c r="AB148" s="305" t="s">
        <v>585</v>
      </c>
      <c r="AC148" s="305" t="s">
        <v>1152</v>
      </c>
      <c r="AD148" s="306"/>
      <c r="AE148" s="306"/>
      <c r="AF148" s="308"/>
      <c r="AG148" s="308"/>
      <c r="AH148" s="297" t="str">
        <f t="array" ref="AH148">if(isblank(E148),"",xlookup(F148,z_Others!$B$21:$B$45,z_Others!$F$21:$F$45,"TBD",0,1))</f>
        <v>00</v>
      </c>
      <c r="AI148" s="310" t="str">
        <f t="array" ref="AI148">if(isblank(E148),"", xlookup(E148,'Import_FL5_LH_PVTMP_Configs (Do'!E:E,'Import_FL5_LH_PVTMP_Configs (Do'!O:O,"TBD",0,1))</f>
        <v>TBD</v>
      </c>
      <c r="AJ148" s="311"/>
      <c r="AK148" s="310" t="str">
        <f t="array" ref="AK148">if(isblank(E148),"", xlookup(E148,'Import_FL5_LH_PVTMP_Configs (Do'!E:E,'Import_FL5_LH_PVTMP_Configs (Do'!Q:Q,"TBD",0,1))</f>
        <v>TBD</v>
      </c>
      <c r="AL148" s="310" t="str">
        <f t="array" ref="AL148">if(isblank(E148),"", xlookup(E148,'Import_FL5_LH_PVTMP_Configs (Do'!E:E,'Import_FL5_LH_PVTMP_Configs (Do'!M:M,"TBD",0,1))</f>
        <v>TBD</v>
      </c>
      <c r="AM148" s="310" t="str">
        <f t="array" ref="AM148">if(isblank(E148),"", xlookup(E148,'Import_FL5_LH_PVTMP_Configs (Do'!E:E,'Import_FL5_LH_PVTMP_Configs (Do'!N:N,"TBD",0,1))</f>
        <v>TBD</v>
      </c>
      <c r="AN148" s="310" t="str">
        <f t="array" ref="AN148">if(isblank(E148),"", xlookup(E148,'Import_FL5_LH_PVTMP_Configs (Do'!E:E,'Import_FL5_LH_PVTMP_Configs (Do'!K:K,"TBD",0,1))</f>
        <v>TBD</v>
      </c>
      <c r="AO148" s="292" t="str">
        <f t="array" ref="AO148">if(isblank(E148),"",XLOOKUP(E148,'FL5_G954 Pkg ASSY (Pkg BOM)'!L:L,'FL5_G954 Pkg ASSY (Pkg BOM)'!G:G,"N/A",0,1))</f>
        <v>N/A</v>
      </c>
      <c r="AP148" s="292" t="str">
        <f t="array" ref="AP148">if(isblank(E148),"",xlookup(E148,'FL5_G962 Country kit (Accesorie'!L:L,'FL5_G962 Country kit (Accesorie'!G:G,"N/A",0,1))</f>
        <v>N/A</v>
      </c>
      <c r="AQ148" s="304" t="s">
        <v>1140</v>
      </c>
      <c r="AR148" s="304" t="s">
        <v>1140</v>
      </c>
      <c r="AS148" s="292" t="s">
        <v>419</v>
      </c>
      <c r="AT148" s="302" t="str">
        <f t="shared" si="6"/>
        <v>Yes</v>
      </c>
      <c r="AU148" s="302" t="str">
        <f t="shared" si="7"/>
        <v>No</v>
      </c>
      <c r="AV148" s="302" t="str">
        <f t="shared" si="8"/>
        <v>No</v>
      </c>
      <c r="AW148" s="302"/>
      <c r="AX148" s="302" t="s">
        <v>1153</v>
      </c>
      <c r="AY148" s="302" t="s">
        <v>1154</v>
      </c>
      <c r="AZ148" s="312" t="str">
        <f t="array" ref="AZ148">if(isblank(E148),"", xlookup(E148,Import_FL5_LH_PVT_BM!D:D,Import_FL5_LH_PVT_BM!AK:AK,$F$4,0,1))</f>
        <v>MP</v>
      </c>
      <c r="BA148" s="292" t="str">
        <f t="shared" si="9"/>
        <v>Retail_10ct</v>
      </c>
      <c r="BB148" s="313" t="str">
        <f t="array" ref="BB148">if(isblank(E148),"",xlookup(F148,z_Others!$B$21:$B$42,z_Others!$G$21:$G$42,"No",0,1))</f>
        <v>ROW Master Carton Label (UPC)</v>
      </c>
      <c r="BC148" s="313" t="str">
        <f t="array" ref="BC148">if(isblank(E148),"",xlookup(F148,z_Others!$B$21:$B$42,z_Others!$H$21:$H$42,"No",0,1))</f>
        <v>Standard Pallet Label (BTO)
Standard Pallet Label (BTS)</v>
      </c>
      <c r="BD148" s="314" t="str">
        <f t="array" ref="BD148">if(isblank(E148),"",xlookup(E148,'Import_VN_Label approve'!E:E,'Import_VN_Label approve'!L:L,"N/A",0,1))</f>
        <v>N/A</v>
      </c>
      <c r="BE148" s="314" t="str">
        <f t="array" ref="BE148">if(isblank(E148),"",xlookup(E148,'Import_VN_Label approve'!E:E,'Import_VN_Label approve'!N:N,"N/A",0,1))</f>
        <v>N/A</v>
      </c>
      <c r="BF148" s="315"/>
      <c r="BG148" s="332" t="s">
        <v>503</v>
      </c>
      <c r="BH148" s="317" t="s">
        <v>504</v>
      </c>
      <c r="BI148" s="360" t="s">
        <v>1091</v>
      </c>
      <c r="BJ148" s="319" t="str">
        <f t="array" ref="BJ148">if(isblank(E148),"", xlookup(D148,z_Others!$B$5:$B$17,z_Others!$C$5:$C$17,"",0,1))</f>
        <v>智能手機</v>
      </c>
      <c r="BK148" s="320">
        <v>45782.0</v>
      </c>
      <c r="BL148" s="320" t="str">
        <f t="array" ref="BL148">if(isblank(E148),"",xlookup(E148,'FL5_MP POR_LH_報關備案_G950 &amp; GA'!F:F,'FL5_MP POR_LH_報關備案_G950 &amp; GA'!E:E,"No Need",0,1))</f>
        <v>No Need</v>
      </c>
      <c r="BM148" s="321" t="str">
        <f t="array" ref="BM148">if(isblank(E148),"",xlookup($BM$9&amp;E148,'Import_FL5 MPS (06.06.25) - Sor'!E144:E334&amp;'Import_FL5 MPS (06.06.25) - Sor'!F144:F334,'Import_FL5 MPS (06.06.25) - Sor'!ES144:ES334,"No demand",0,1))</f>
        <v>No demand</v>
      </c>
      <c r="BN148" s="321" t="str">
        <f t="array" ref="BN148">if(isblank(E148),"",xlookup($BN$9&amp;E148,'Import_FL5 MPS (06.06.25) - Sor'!E144:E334&amp;'Import_FL5 MPS (06.06.25) - Sor'!F144:F334,'Import_FL5 MPS (06.06.25) - Sor'!ES144:ES334,"No demand",0,1))</f>
        <v>No demand</v>
      </c>
      <c r="BO148" s="321" t="str">
        <f t="array" ref="BO148">if(isblank(E148),"",xlookup($BO$9&amp;E148,'Import_FL5 MPS (06.06.25) - Sor'!E144:E334&amp;'Import_FL5 MPS (06.06.25) - Sor'!F144:F334,'Import_FL5 MPS (06.06.25) - Sor'!ES144:ES334,"No demand",0,1))</f>
        <v>No demand</v>
      </c>
      <c r="BP148" s="322" t="str">
        <f t="array" ref="BP148">if(isblank(E148),"", xlookup(E148,'Import_LH_Label approve'!E:E,'Import_LH_Label approve'!L:L,"",0,1))</f>
        <v/>
      </c>
      <c r="BQ148" s="322" t="str">
        <f t="array" ref="BQ148">if(isblank(E148),"",xlookup(E148,'Import_VN_Label approve'!E:E,'Import_VN_Label approve'!M:M,"N/A",0,1))</f>
        <v>N/A</v>
      </c>
      <c r="BR148" s="313"/>
      <c r="BS148" s="323"/>
      <c r="BT148" s="324"/>
      <c r="BU148" s="91"/>
    </row>
    <row r="149" hidden="1">
      <c r="A149" s="7"/>
      <c r="B149" s="292">
        <v>138.0</v>
      </c>
      <c r="C149" s="231" t="s">
        <v>290</v>
      </c>
      <c r="D149" s="231" t="s">
        <v>408</v>
      </c>
      <c r="E149" s="350" t="s">
        <v>1155</v>
      </c>
      <c r="F149" s="313" t="s">
        <v>1156</v>
      </c>
      <c r="G149" s="231"/>
      <c r="H149" s="292" t="str">
        <f t="array" ref="H149">xlookup(F149,z_Others!$B$21:$B$45,z_Others!$E$21:$E$45,"",0,1)</f>
        <v>Sub6</v>
      </c>
      <c r="I149" s="310" t="s">
        <v>412</v>
      </c>
      <c r="J149" s="231" t="str">
        <f t="array" ref="J149">if(isblank(E149),"",xlookup(I149,z_Others!$M$17:$M$20,z_Others!$O$17:$O$20,"",0,1))</f>
        <v>Obsidian</v>
      </c>
      <c r="K149" s="292" t="str">
        <f t="array" ref="K149">xlookup(I149,z_Others!$M$17:$M$20,z_Others!$N$17:$N$20,"",0,1)</f>
        <v>BLK</v>
      </c>
      <c r="L149" s="292" t="str">
        <f t="array" ref="L149">xlookup(F149,z_Others!$B$21:$B$45,z_Others!$D$21:$D$45,"",0,1)</f>
        <v>GK2MP</v>
      </c>
      <c r="M149" s="296" t="str">
        <f t="array" ref="M149">xlookup(F149,z_Others!$B$21:$B$45,z_Others!$C$21:$C$45,"",0,1)</f>
        <v>ROW</v>
      </c>
      <c r="N149" s="297">
        <v>3.5440766E7</v>
      </c>
      <c r="O149" s="331" t="s">
        <v>494</v>
      </c>
      <c r="P149" s="303" t="s">
        <v>495</v>
      </c>
      <c r="Q149" s="300" t="s">
        <v>413</v>
      </c>
      <c r="R149" s="301" t="s">
        <v>414</v>
      </c>
      <c r="S149" s="302">
        <f t="array" ref="S149">if(isblank(E149),"",xlookup($S$9&amp;M149,z_Others!$X$5:$X$17&amp;z_Others!$W$5:$W$17,z_Others!$Z$5:$Z$17,"",0,1))</f>
        <v>35795514</v>
      </c>
      <c r="T149" s="303" t="str">
        <f t="array" ref="T149">if(isblank(E149),"",xlookup($S$9&amp;M149,z_Others!$X$5:$X$17&amp;z_Others!$W$5:$W$17,z_Others!$AH$5:$AH$17,"",0,1))</f>
        <v>35 795514 040000x</v>
      </c>
      <c r="U149" s="303" t="str">
        <f t="array" ref="U149">if(isblank(E149),"",xlookup($S$9&amp;M149,z_Others!$X$5:$X$17&amp;z_Others!$W$5:$W$17,z_Others!$AI$5:$AI$17,"",0,1))</f>
        <v>35 795514 999999x</v>
      </c>
      <c r="V149" s="303" t="str">
        <f t="shared" si="2"/>
        <v>64:9D:38:32:91:82
B0:D5:FB:C6:60:70</v>
      </c>
      <c r="W149" s="303" t="str">
        <f t="shared" si="3"/>
        <v>64:9D:38:37:25:61
B0:D5:FB:CE:01:8F</v>
      </c>
      <c r="X149" s="304" t="str">
        <f t="shared" si="4"/>
        <v>MP1.0</v>
      </c>
      <c r="Y149" s="292"/>
      <c r="Z149" s="304" t="str">
        <f t="shared" si="32"/>
        <v>Android 16</v>
      </c>
      <c r="AA149" s="304" t="str">
        <f t="shared" si="44"/>
        <v>TBD</v>
      </c>
      <c r="AB149" s="305" t="s">
        <v>585</v>
      </c>
      <c r="AC149" s="305" t="s">
        <v>1157</v>
      </c>
      <c r="AD149" s="306"/>
      <c r="AE149" s="306"/>
      <c r="AF149" s="308"/>
      <c r="AG149" s="308"/>
      <c r="AH149" s="297" t="str">
        <f t="array" ref="AH149">if(isblank(E149),"",xlookup(F149,z_Others!$B$21:$B$45,z_Others!$F$21:$F$45,"TBD",0,1))</f>
        <v>00</v>
      </c>
      <c r="AI149" s="310" t="str">
        <f t="array" ref="AI149">if(isblank(E149),"", xlookup(E149,'Import_FL5_LH_PVTMP_Configs (Do'!E:E,'Import_FL5_LH_PVTMP_Configs (Do'!O:O,"TBD",0,1))</f>
        <v>TBD</v>
      </c>
      <c r="AJ149" s="311"/>
      <c r="AK149" s="310" t="str">
        <f t="array" ref="AK149">if(isblank(E149),"", xlookup(E149,'Import_FL5_LH_PVTMP_Configs (Do'!E:E,'Import_FL5_LH_PVTMP_Configs (Do'!Q:Q,"TBD",0,1))</f>
        <v>TBD</v>
      </c>
      <c r="AL149" s="310" t="str">
        <f t="array" ref="AL149">if(isblank(E149),"", xlookup(E149,'Import_FL5_LH_PVTMP_Configs (Do'!E:E,'Import_FL5_LH_PVTMP_Configs (Do'!M:M,"TBD",0,1))</f>
        <v>TBD</v>
      </c>
      <c r="AM149" s="310" t="str">
        <f t="array" ref="AM149">if(isblank(E149),"", xlookup(E149,'Import_FL5_LH_PVTMP_Configs (Do'!E:E,'Import_FL5_LH_PVTMP_Configs (Do'!N:N,"TBD",0,1))</f>
        <v>TBD</v>
      </c>
      <c r="AN149" s="310" t="str">
        <f t="array" ref="AN149">if(isblank(E149),"", xlookup(E149,'Import_FL5_LH_PVTMP_Configs (Do'!E:E,'Import_FL5_LH_PVTMP_Configs (Do'!K:K,"TBD",0,1))</f>
        <v>TBD</v>
      </c>
      <c r="AO149" s="292" t="str">
        <f t="array" ref="AO149">if(isblank(E149),"",XLOOKUP(E149,'FL5_G954 Pkg ASSY (Pkg BOM)'!L:L,'FL5_G954 Pkg ASSY (Pkg BOM)'!G:G,"N/A",0,1))</f>
        <v>N/A</v>
      </c>
      <c r="AP149" s="292" t="str">
        <f t="array" ref="AP149">if(isblank(E149),"",xlookup(E149,'FL5_G962 Country kit (Accesorie'!L:L,'FL5_G962 Country kit (Accesorie'!G:G,"N/A",0,1))</f>
        <v>N/A</v>
      </c>
      <c r="AQ149" s="304" t="s">
        <v>1140</v>
      </c>
      <c r="AR149" s="304" t="s">
        <v>1140</v>
      </c>
      <c r="AS149" s="292" t="s">
        <v>419</v>
      </c>
      <c r="AT149" s="302" t="str">
        <f t="shared" si="6"/>
        <v>Yes</v>
      </c>
      <c r="AU149" s="302" t="str">
        <f t="shared" si="7"/>
        <v>No</v>
      </c>
      <c r="AV149" s="302" t="str">
        <f t="shared" si="8"/>
        <v>No</v>
      </c>
      <c r="AW149" s="302"/>
      <c r="AX149" s="302" t="s">
        <v>1158</v>
      </c>
      <c r="AY149" s="302" t="s">
        <v>1159</v>
      </c>
      <c r="AZ149" s="312" t="str">
        <f t="array" ref="AZ149">if(isblank(E149),"", xlookup(E149,Import_FL5_LH_PVT_BM!D:D,Import_FL5_LH_PVT_BM!AK:AK,$F$4,0,1))</f>
        <v>MP</v>
      </c>
      <c r="BA149" s="292" t="str">
        <f t="shared" si="9"/>
        <v>Retail_10ct</v>
      </c>
      <c r="BB149" s="313" t="str">
        <f t="array" ref="BB149">if(isblank(E149),"",xlookup(F149,z_Others!$B$21:$B$42,z_Others!$G$21:$G$42,"No",0,1))</f>
        <v>ROW Master Carton Label (UPC)</v>
      </c>
      <c r="BC149" s="313" t="str">
        <f t="array" ref="BC149">if(isblank(E149),"",xlookup(F149,z_Others!$B$21:$B$42,z_Others!$H$21:$H$42,"No",0,1))</f>
        <v>Standard Pallet Label (BTO)
Standard Pallet Label (BTS)</v>
      </c>
      <c r="BD149" s="314" t="str">
        <f t="array" ref="BD149">if(isblank(E149),"",xlookup(E149,'Import_VN_Label approve'!E:E,'Import_VN_Label approve'!L:L,"N/A",0,1))</f>
        <v>N/A</v>
      </c>
      <c r="BE149" s="314" t="str">
        <f t="array" ref="BE149">if(isblank(E149),"",xlookup(E149,'Import_VN_Label approve'!E:E,'Import_VN_Label approve'!N:N,"N/A",0,1))</f>
        <v>N/A</v>
      </c>
      <c r="BF149" s="315"/>
      <c r="BG149" s="332" t="s">
        <v>503</v>
      </c>
      <c r="BH149" s="317" t="s">
        <v>504</v>
      </c>
      <c r="BI149" s="360" t="s">
        <v>1091</v>
      </c>
      <c r="BJ149" s="319" t="str">
        <f t="array" ref="BJ149">if(isblank(E149),"", xlookup(D149,z_Others!$B$5:$B$17,z_Others!$C$5:$C$17,"",0,1))</f>
        <v>智能手機</v>
      </c>
      <c r="BK149" s="320">
        <v>45782.0</v>
      </c>
      <c r="BL149" s="320" t="str">
        <f t="array" ref="BL149">if(isblank(E149),"",xlookup(E149,'FL5_MP POR_LH_報關備案_G950 &amp; GA'!F:F,'FL5_MP POR_LH_報關備案_G950 &amp; GA'!E:E,"No Need",0,1))</f>
        <v>No Need</v>
      </c>
      <c r="BM149" s="321" t="str">
        <f t="array" ref="BM149">if(isblank(E149),"",xlookup($BM$9&amp;E149,'Import_FL5 MPS (06.06.25) - Sor'!E145:E334&amp;'Import_FL5 MPS (06.06.25) - Sor'!F145:F334,'Import_FL5 MPS (06.06.25) - Sor'!ES145:ES334,"No demand",0,1))</f>
        <v>No demand</v>
      </c>
      <c r="BN149" s="321" t="str">
        <f t="array" ref="BN149">if(isblank(E149),"",xlookup($BN$9&amp;E149,'Import_FL5 MPS (06.06.25) - Sor'!E145:E334&amp;'Import_FL5 MPS (06.06.25) - Sor'!F145:F334,'Import_FL5 MPS (06.06.25) - Sor'!ES145:ES334,"No demand",0,1))</f>
        <v>No demand</v>
      </c>
      <c r="BO149" s="321" t="str">
        <f t="array" ref="BO149">if(isblank(E149),"",xlookup($BO$9&amp;E149,'Import_FL5 MPS (06.06.25) - Sor'!E145:E334&amp;'Import_FL5 MPS (06.06.25) - Sor'!F145:F334,'Import_FL5 MPS (06.06.25) - Sor'!ES145:ES334,"No demand",0,1))</f>
        <v>No demand</v>
      </c>
      <c r="BP149" s="322" t="str">
        <f t="array" ref="BP149">if(isblank(E149),"", xlookup(E149,'Import_LH_Label approve'!E:E,'Import_LH_Label approve'!L:L,"",0,1))</f>
        <v/>
      </c>
      <c r="BQ149" s="322" t="str">
        <f t="array" ref="BQ149">if(isblank(E149),"",xlookup(E149,'Import_VN_Label approve'!E:E,'Import_VN_Label approve'!M:M,"N/A",0,1))</f>
        <v>N/A</v>
      </c>
      <c r="BR149" s="313"/>
      <c r="BS149" s="323"/>
      <c r="BT149" s="324"/>
      <c r="BU149" s="91"/>
    </row>
    <row r="150" hidden="1">
      <c r="A150" s="7"/>
      <c r="B150" s="292">
        <v>139.0</v>
      </c>
      <c r="C150" s="231" t="s">
        <v>290</v>
      </c>
      <c r="D150" s="231" t="s">
        <v>408</v>
      </c>
      <c r="E150" s="350" t="s">
        <v>1160</v>
      </c>
      <c r="F150" s="313" t="s">
        <v>1156</v>
      </c>
      <c r="G150" s="231"/>
      <c r="H150" s="292" t="str">
        <f t="array" ref="H150">xlookup(F150,z_Others!$B$21:$B$45,z_Others!$E$21:$E$45,"",0,1)</f>
        <v>Sub6</v>
      </c>
      <c r="I150" s="310" t="s">
        <v>425</v>
      </c>
      <c r="J150" s="231" t="str">
        <f t="array" ref="J150">if(isblank(E150),"",xlookup(I150,z_Others!$M$17:$M$20,z_Others!$O$17:$O$20,"",0,1))</f>
        <v>Frost</v>
      </c>
      <c r="K150" s="292" t="str">
        <f t="array" ref="K150">xlookup(I150,z_Others!$M$17:$M$20,z_Others!$N$17:$N$20,"",0,1)</f>
        <v>PPL</v>
      </c>
      <c r="L150" s="292" t="str">
        <f t="array" ref="L150">xlookup(F150,z_Others!$B$21:$B$45,z_Others!$D$21:$D$45,"",0,1)</f>
        <v>GK2MP</v>
      </c>
      <c r="M150" s="296" t="str">
        <f t="array" ref="M150">xlookup(F150,z_Others!$B$21:$B$45,z_Others!$C$21:$C$45,"",0,1)</f>
        <v>ROW</v>
      </c>
      <c r="N150" s="297">
        <v>3.5440766E7</v>
      </c>
      <c r="O150" s="331" t="s">
        <v>494</v>
      </c>
      <c r="P150" s="303" t="s">
        <v>495</v>
      </c>
      <c r="Q150" s="300" t="s">
        <v>413</v>
      </c>
      <c r="R150" s="301" t="s">
        <v>414</v>
      </c>
      <c r="S150" s="302">
        <f t="array" ref="S150">if(isblank(E150),"",xlookup($S$9&amp;M150,z_Others!$X$5:$X$17&amp;z_Others!$W$5:$W$17,z_Others!$Z$5:$Z$17,"",0,1))</f>
        <v>35795514</v>
      </c>
      <c r="T150" s="303" t="str">
        <f t="array" ref="T150">if(isblank(E150),"",xlookup($S$9&amp;M150,z_Others!$X$5:$X$17&amp;z_Others!$W$5:$W$17,z_Others!$AH$5:$AH$17,"",0,1))</f>
        <v>35 795514 040000x</v>
      </c>
      <c r="U150" s="303" t="str">
        <f t="array" ref="U150">if(isblank(E150),"",xlookup($S$9&amp;M150,z_Others!$X$5:$X$17&amp;z_Others!$W$5:$W$17,z_Others!$AI$5:$AI$17,"",0,1))</f>
        <v>35 795514 999999x</v>
      </c>
      <c r="V150" s="303" t="str">
        <f t="shared" si="2"/>
        <v>64:9D:38:32:91:82
B0:D5:FB:C6:60:70</v>
      </c>
      <c r="W150" s="303" t="str">
        <f t="shared" si="3"/>
        <v>64:9D:38:37:25:61
B0:D5:FB:CE:01:8F</v>
      </c>
      <c r="X150" s="304" t="str">
        <f t="shared" si="4"/>
        <v>MP1.0</v>
      </c>
      <c r="Y150" s="292"/>
      <c r="Z150" s="304" t="str">
        <f t="shared" si="32"/>
        <v>Android 16</v>
      </c>
      <c r="AA150" s="304" t="str">
        <f t="shared" si="44"/>
        <v>TBD</v>
      </c>
      <c r="AB150" s="305" t="s">
        <v>585</v>
      </c>
      <c r="AC150" s="305" t="s">
        <v>1161</v>
      </c>
      <c r="AD150" s="306"/>
      <c r="AE150" s="306"/>
      <c r="AF150" s="308"/>
      <c r="AG150" s="308"/>
      <c r="AH150" s="297" t="str">
        <f t="array" ref="AH150">if(isblank(E150),"",xlookup(F150,z_Others!$B$21:$B$45,z_Others!$F$21:$F$45,"TBD",0,1))</f>
        <v>00</v>
      </c>
      <c r="AI150" s="310" t="str">
        <f t="array" ref="AI150">if(isblank(E150),"", xlookup(E150,'Import_FL5_LH_PVTMP_Configs (Do'!E:E,'Import_FL5_LH_PVTMP_Configs (Do'!O:O,"TBD",0,1))</f>
        <v>TBD</v>
      </c>
      <c r="AJ150" s="311"/>
      <c r="AK150" s="310" t="str">
        <f t="array" ref="AK150">if(isblank(E150),"", xlookup(E150,'Import_FL5_LH_PVTMP_Configs (Do'!E:E,'Import_FL5_LH_PVTMP_Configs (Do'!Q:Q,"TBD",0,1))</f>
        <v>TBD</v>
      </c>
      <c r="AL150" s="310" t="str">
        <f t="array" ref="AL150">if(isblank(E150),"", xlookup(E150,'Import_FL5_LH_PVTMP_Configs (Do'!E:E,'Import_FL5_LH_PVTMP_Configs (Do'!M:M,"TBD",0,1))</f>
        <v>TBD</v>
      </c>
      <c r="AM150" s="310" t="str">
        <f t="array" ref="AM150">if(isblank(E150),"", xlookup(E150,'Import_FL5_LH_PVTMP_Configs (Do'!E:E,'Import_FL5_LH_PVTMP_Configs (Do'!N:N,"TBD",0,1))</f>
        <v>TBD</v>
      </c>
      <c r="AN150" s="310" t="str">
        <f t="array" ref="AN150">if(isblank(E150),"", xlookup(E150,'Import_FL5_LH_PVTMP_Configs (Do'!E:E,'Import_FL5_LH_PVTMP_Configs (Do'!K:K,"TBD",0,1))</f>
        <v>TBD</v>
      </c>
      <c r="AO150" s="292" t="str">
        <f t="array" ref="AO150">if(isblank(E150),"",XLOOKUP(E150,'FL5_G954 Pkg ASSY (Pkg BOM)'!L:L,'FL5_G954 Pkg ASSY (Pkg BOM)'!G:G,"N/A",0,1))</f>
        <v>N/A</v>
      </c>
      <c r="AP150" s="292" t="str">
        <f t="array" ref="AP150">if(isblank(E150),"",xlookup(E150,'FL5_G962 Country kit (Accesorie'!L:L,'FL5_G962 Country kit (Accesorie'!G:G,"N/A",0,1))</f>
        <v>N/A</v>
      </c>
      <c r="AQ150" s="304" t="s">
        <v>1140</v>
      </c>
      <c r="AR150" s="304" t="s">
        <v>1140</v>
      </c>
      <c r="AS150" s="292" t="s">
        <v>419</v>
      </c>
      <c r="AT150" s="302" t="str">
        <f t="shared" si="6"/>
        <v>Yes</v>
      </c>
      <c r="AU150" s="302" t="str">
        <f t="shared" si="7"/>
        <v>No</v>
      </c>
      <c r="AV150" s="302" t="str">
        <f t="shared" si="8"/>
        <v>No</v>
      </c>
      <c r="AW150" s="302"/>
      <c r="AX150" s="302" t="s">
        <v>1162</v>
      </c>
      <c r="AY150" s="302" t="s">
        <v>1163</v>
      </c>
      <c r="AZ150" s="312" t="str">
        <f t="array" ref="AZ150">if(isblank(E150),"", xlookup(E150,Import_FL5_LH_PVT_BM!D:D,Import_FL5_LH_PVT_BM!AK:AK,$F$4,0,1))</f>
        <v>MP</v>
      </c>
      <c r="BA150" s="292" t="str">
        <f t="shared" si="9"/>
        <v>Retail_10ct</v>
      </c>
      <c r="BB150" s="313" t="str">
        <f t="array" ref="BB150">if(isblank(E150),"",xlookup(F150,z_Others!$B$21:$B$42,z_Others!$G$21:$G$42,"No",0,1))</f>
        <v>ROW Master Carton Label (UPC)</v>
      </c>
      <c r="BC150" s="313" t="str">
        <f t="array" ref="BC150">if(isblank(E150),"",xlookup(F150,z_Others!$B$21:$B$42,z_Others!$H$21:$H$42,"No",0,1))</f>
        <v>Standard Pallet Label (BTO)
Standard Pallet Label (BTS)</v>
      </c>
      <c r="BD150" s="314" t="str">
        <f t="array" ref="BD150">if(isblank(E150),"",xlookup(E150,'Import_VN_Label approve'!E:E,'Import_VN_Label approve'!L:L,"N/A",0,1))</f>
        <v>N/A</v>
      </c>
      <c r="BE150" s="314" t="str">
        <f t="array" ref="BE150">if(isblank(E150),"",xlookup(E150,'Import_VN_Label approve'!E:E,'Import_VN_Label approve'!N:N,"N/A",0,1))</f>
        <v>N/A</v>
      </c>
      <c r="BF150" s="315"/>
      <c r="BG150" s="332" t="s">
        <v>503</v>
      </c>
      <c r="BH150" s="317" t="s">
        <v>504</v>
      </c>
      <c r="BI150" s="360" t="s">
        <v>1091</v>
      </c>
      <c r="BJ150" s="319" t="str">
        <f t="array" ref="BJ150">if(isblank(E150),"", xlookup(D150,z_Others!$B$5:$B$17,z_Others!$C$5:$C$17,"",0,1))</f>
        <v>智能手機</v>
      </c>
      <c r="BK150" s="320">
        <v>45782.0</v>
      </c>
      <c r="BL150" s="320" t="str">
        <f t="array" ref="BL150">if(isblank(E150),"",xlookup(E150,'FL5_MP POR_LH_報關備案_G950 &amp; GA'!F:F,'FL5_MP POR_LH_報關備案_G950 &amp; GA'!E:E,"No Need",0,1))</f>
        <v>No Need</v>
      </c>
      <c r="BM150" s="321" t="str">
        <f t="array" ref="BM150">if(isblank(E150),"",xlookup($BM$9&amp;E150,'Import_FL5 MPS (06.06.25) - Sor'!E146:E334&amp;'Import_FL5 MPS (06.06.25) - Sor'!F146:F334,'Import_FL5 MPS (06.06.25) - Sor'!ES146:ES334,"No demand",0,1))</f>
        <v>No demand</v>
      </c>
      <c r="BN150" s="321" t="str">
        <f t="array" ref="BN150">if(isblank(E150),"",xlookup($BN$9&amp;E150,'Import_FL5 MPS (06.06.25) - Sor'!E146:E334&amp;'Import_FL5 MPS (06.06.25) - Sor'!F146:F334,'Import_FL5 MPS (06.06.25) - Sor'!ES146:ES334,"No demand",0,1))</f>
        <v>No demand</v>
      </c>
      <c r="BO150" s="321" t="str">
        <f t="array" ref="BO150">if(isblank(E150),"",xlookup($BO$9&amp;E150,'Import_FL5 MPS (06.06.25) - Sor'!E146:E334&amp;'Import_FL5 MPS (06.06.25) - Sor'!F146:F334,'Import_FL5 MPS (06.06.25) - Sor'!ES146:ES334,"No demand",0,1))</f>
        <v>No demand</v>
      </c>
      <c r="BP150" s="322" t="str">
        <f t="array" ref="BP150">if(isblank(E150),"", xlookup(E150,'Import_LH_Label approve'!E:E,'Import_LH_Label approve'!L:L,"",0,1))</f>
        <v/>
      </c>
      <c r="BQ150" s="322" t="str">
        <f t="array" ref="BQ150">if(isblank(E150),"",xlookup(E150,'Import_VN_Label approve'!E:E,'Import_VN_Label approve'!M:M,"N/A",0,1))</f>
        <v>N/A</v>
      </c>
      <c r="BR150" s="313"/>
      <c r="BS150" s="323"/>
      <c r="BT150" s="324"/>
      <c r="BU150" s="91"/>
    </row>
    <row r="151" hidden="1">
      <c r="A151" s="7"/>
      <c r="B151" s="292">
        <v>140.0</v>
      </c>
      <c r="C151" s="231" t="s">
        <v>290</v>
      </c>
      <c r="D151" s="231" t="s">
        <v>408</v>
      </c>
      <c r="E151" s="350" t="s">
        <v>1164</v>
      </c>
      <c r="F151" s="313" t="s">
        <v>1156</v>
      </c>
      <c r="G151" s="231"/>
      <c r="H151" s="292" t="str">
        <f t="array" ref="H151">xlookup(F151,z_Others!$B$21:$B$45,z_Others!$E$21:$E$45,"",0,1)</f>
        <v>Sub6</v>
      </c>
      <c r="I151" s="310" t="s">
        <v>431</v>
      </c>
      <c r="J151" s="231" t="str">
        <f t="array" ref="J151">if(isblank(E151),"",xlookup(I151,z_Others!$M$17:$M$20,z_Others!$O$17:$O$20,"",0,1))</f>
        <v>Lemongrass</v>
      </c>
      <c r="K151" s="292" t="str">
        <f t="array" ref="K151">xlookup(I151,z_Others!$M$17:$M$20,z_Others!$N$17:$N$20,"",0,1)</f>
        <v>YEL</v>
      </c>
      <c r="L151" s="292" t="str">
        <f t="array" ref="L151">xlookup(F151,z_Others!$B$21:$B$45,z_Others!$D$21:$D$45,"",0,1)</f>
        <v>GK2MP</v>
      </c>
      <c r="M151" s="296" t="str">
        <f t="array" ref="M151">xlookup(F151,z_Others!$B$21:$B$45,z_Others!$C$21:$C$45,"",0,1)</f>
        <v>ROW</v>
      </c>
      <c r="N151" s="297">
        <v>3.5440766E7</v>
      </c>
      <c r="O151" s="331" t="s">
        <v>494</v>
      </c>
      <c r="P151" s="303" t="s">
        <v>495</v>
      </c>
      <c r="Q151" s="300" t="s">
        <v>413</v>
      </c>
      <c r="R151" s="301" t="s">
        <v>414</v>
      </c>
      <c r="S151" s="302">
        <f t="array" ref="S151">if(isblank(E151),"",xlookup($S$9&amp;M151,z_Others!$X$5:$X$17&amp;z_Others!$W$5:$W$17,z_Others!$Z$5:$Z$17,"",0,1))</f>
        <v>35795514</v>
      </c>
      <c r="T151" s="303" t="str">
        <f t="array" ref="T151">if(isblank(E151),"",xlookup($S$9&amp;M151,z_Others!$X$5:$X$17&amp;z_Others!$W$5:$W$17,z_Others!$AH$5:$AH$17,"",0,1))</f>
        <v>35 795514 040000x</v>
      </c>
      <c r="U151" s="303" t="str">
        <f t="array" ref="U151">if(isblank(E151),"",xlookup($S$9&amp;M151,z_Others!$X$5:$X$17&amp;z_Others!$W$5:$W$17,z_Others!$AI$5:$AI$17,"",0,1))</f>
        <v>35 795514 999999x</v>
      </c>
      <c r="V151" s="303" t="str">
        <f t="shared" si="2"/>
        <v>64:9D:38:32:91:82
B0:D5:FB:C6:60:70</v>
      </c>
      <c r="W151" s="303" t="str">
        <f t="shared" si="3"/>
        <v>64:9D:38:37:25:61
B0:D5:FB:CE:01:8F</v>
      </c>
      <c r="X151" s="304" t="str">
        <f t="shared" si="4"/>
        <v>MP1.0</v>
      </c>
      <c r="Y151" s="292"/>
      <c r="Z151" s="304" t="str">
        <f t="shared" si="32"/>
        <v>Android 16</v>
      </c>
      <c r="AA151" s="304" t="str">
        <f t="shared" si="44"/>
        <v>TBD</v>
      </c>
      <c r="AB151" s="305" t="s">
        <v>585</v>
      </c>
      <c r="AC151" s="305" t="s">
        <v>1165</v>
      </c>
      <c r="AD151" s="306"/>
      <c r="AE151" s="306"/>
      <c r="AF151" s="308"/>
      <c r="AG151" s="308"/>
      <c r="AH151" s="297" t="str">
        <f t="array" ref="AH151">if(isblank(E151),"",xlookup(F151,z_Others!$B$21:$B$45,z_Others!$F$21:$F$45,"TBD",0,1))</f>
        <v>00</v>
      </c>
      <c r="AI151" s="310" t="str">
        <f t="array" ref="AI151">if(isblank(E151),"", xlookup(E151,'Import_FL5_LH_PVTMP_Configs (Do'!E:E,'Import_FL5_LH_PVTMP_Configs (Do'!O:O,"TBD",0,1))</f>
        <v>TBD</v>
      </c>
      <c r="AJ151" s="311"/>
      <c r="AK151" s="310" t="str">
        <f t="array" ref="AK151">if(isblank(E151),"", xlookup(E151,'Import_FL5_LH_PVTMP_Configs (Do'!E:E,'Import_FL5_LH_PVTMP_Configs (Do'!Q:Q,"TBD",0,1))</f>
        <v>TBD</v>
      </c>
      <c r="AL151" s="310" t="str">
        <f t="array" ref="AL151">if(isblank(E151),"", xlookup(E151,'Import_FL5_LH_PVTMP_Configs (Do'!E:E,'Import_FL5_LH_PVTMP_Configs (Do'!M:M,"TBD",0,1))</f>
        <v>TBD</v>
      </c>
      <c r="AM151" s="310" t="str">
        <f t="array" ref="AM151">if(isblank(E151),"", xlookup(E151,'Import_FL5_LH_PVTMP_Configs (Do'!E:E,'Import_FL5_LH_PVTMP_Configs (Do'!N:N,"TBD",0,1))</f>
        <v>TBD</v>
      </c>
      <c r="AN151" s="310" t="str">
        <f t="array" ref="AN151">if(isblank(E151),"", xlookup(E151,'Import_FL5_LH_PVTMP_Configs (Do'!E:E,'Import_FL5_LH_PVTMP_Configs (Do'!K:K,"TBD",0,1))</f>
        <v>TBD</v>
      </c>
      <c r="AO151" s="292" t="str">
        <f t="array" ref="AO151">if(isblank(E151),"",XLOOKUP(E151,'FL5_G954 Pkg ASSY (Pkg BOM)'!L:L,'FL5_G954 Pkg ASSY (Pkg BOM)'!G:G,"N/A",0,1))</f>
        <v>N/A</v>
      </c>
      <c r="AP151" s="292" t="str">
        <f t="array" ref="AP151">if(isblank(E151),"",xlookup(E151,'FL5_G962 Country kit (Accesorie'!L:L,'FL5_G962 Country kit (Accesorie'!G:G,"N/A",0,1))</f>
        <v>N/A</v>
      </c>
      <c r="AQ151" s="304" t="s">
        <v>1140</v>
      </c>
      <c r="AR151" s="304" t="s">
        <v>1140</v>
      </c>
      <c r="AS151" s="292" t="s">
        <v>419</v>
      </c>
      <c r="AT151" s="302" t="str">
        <f t="shared" si="6"/>
        <v>Yes</v>
      </c>
      <c r="AU151" s="302" t="str">
        <f t="shared" si="7"/>
        <v>No</v>
      </c>
      <c r="AV151" s="302" t="str">
        <f t="shared" si="8"/>
        <v>No</v>
      </c>
      <c r="AW151" s="302"/>
      <c r="AX151" s="302" t="s">
        <v>1166</v>
      </c>
      <c r="AY151" s="302" t="s">
        <v>1167</v>
      </c>
      <c r="AZ151" s="312" t="str">
        <f t="array" ref="AZ151">if(isblank(E151),"", xlookup(E151,Import_FL5_LH_PVT_BM!D:D,Import_FL5_LH_PVT_BM!AK:AK,$F$4,0,1))</f>
        <v>MP</v>
      </c>
      <c r="BA151" s="292" t="str">
        <f t="shared" si="9"/>
        <v>Retail_10ct</v>
      </c>
      <c r="BB151" s="313" t="str">
        <f t="array" ref="BB151">if(isblank(E151),"",xlookup(F151,z_Others!$B$21:$B$42,z_Others!$G$21:$G$42,"No",0,1))</f>
        <v>ROW Master Carton Label (UPC)</v>
      </c>
      <c r="BC151" s="313" t="str">
        <f t="array" ref="BC151">if(isblank(E151),"",xlookup(F151,z_Others!$B$21:$B$42,z_Others!$H$21:$H$42,"No",0,1))</f>
        <v>Standard Pallet Label (BTO)
Standard Pallet Label (BTS)</v>
      </c>
      <c r="BD151" s="314" t="str">
        <f t="array" ref="BD151">if(isblank(E151),"",xlookup(E151,'Import_VN_Label approve'!E:E,'Import_VN_Label approve'!L:L,"N/A",0,1))</f>
        <v>N/A</v>
      </c>
      <c r="BE151" s="314" t="str">
        <f t="array" ref="BE151">if(isblank(E151),"",xlookup(E151,'Import_VN_Label approve'!E:E,'Import_VN_Label approve'!N:N,"N/A",0,1))</f>
        <v>N/A</v>
      </c>
      <c r="BF151" s="315"/>
      <c r="BG151" s="332" t="s">
        <v>503</v>
      </c>
      <c r="BH151" s="317" t="s">
        <v>504</v>
      </c>
      <c r="BI151" s="360" t="s">
        <v>1091</v>
      </c>
      <c r="BJ151" s="319" t="str">
        <f t="array" ref="BJ151">if(isblank(E151),"", xlookup(D151,z_Others!$B$5:$B$17,z_Others!$C$5:$C$17,"",0,1))</f>
        <v>智能手機</v>
      </c>
      <c r="BK151" s="320">
        <v>45782.0</v>
      </c>
      <c r="BL151" s="320" t="str">
        <f t="array" ref="BL151">if(isblank(E151),"",xlookup(E151,'FL5_MP POR_LH_報關備案_G950 &amp; GA'!F:F,'FL5_MP POR_LH_報關備案_G950 &amp; GA'!E:E,"No Need",0,1))</f>
        <v>No Need</v>
      </c>
      <c r="BM151" s="321" t="str">
        <f t="array" ref="BM151">if(isblank(E151),"",xlookup($BM$9&amp;E151,'Import_FL5 MPS (06.06.25) - Sor'!E147:E334&amp;'Import_FL5 MPS (06.06.25) - Sor'!F147:F334,'Import_FL5 MPS (06.06.25) - Sor'!ES147:ES334,"No demand",0,1))</f>
        <v>No demand</v>
      </c>
      <c r="BN151" s="321" t="str">
        <f t="array" ref="BN151">if(isblank(E151),"",xlookup($BN$9&amp;E151,'Import_FL5 MPS (06.06.25) - Sor'!E147:E334&amp;'Import_FL5 MPS (06.06.25) - Sor'!F147:F334,'Import_FL5 MPS (06.06.25) - Sor'!ES147:ES334,"No demand",0,1))</f>
        <v>No demand</v>
      </c>
      <c r="BO151" s="321" t="str">
        <f t="array" ref="BO151">if(isblank(E151),"",xlookup($BO$9&amp;E151,'Import_FL5 MPS (06.06.25) - Sor'!E147:E334&amp;'Import_FL5 MPS (06.06.25) - Sor'!F147:F334,'Import_FL5 MPS (06.06.25) - Sor'!ES147:ES334,"No demand",0,1))</f>
        <v>No demand</v>
      </c>
      <c r="BP151" s="322" t="str">
        <f t="array" ref="BP151">if(isblank(E151),"", xlookup(E151,'Import_LH_Label approve'!E:E,'Import_LH_Label approve'!L:L,"",0,1))</f>
        <v/>
      </c>
      <c r="BQ151" s="322" t="str">
        <f t="array" ref="BQ151">if(isblank(E151),"",xlookup(E151,'Import_VN_Label approve'!E:E,'Import_VN_Label approve'!M:M,"N/A",0,1))</f>
        <v>N/A</v>
      </c>
      <c r="BR151" s="313"/>
      <c r="BS151" s="323"/>
      <c r="BT151" s="324"/>
      <c r="BU151" s="91"/>
    </row>
    <row r="152" hidden="1">
      <c r="A152" s="7"/>
      <c r="B152" s="292">
        <v>141.0</v>
      </c>
      <c r="C152" s="231" t="s">
        <v>290</v>
      </c>
      <c r="D152" s="231" t="s">
        <v>408</v>
      </c>
      <c r="E152" s="350" t="s">
        <v>1168</v>
      </c>
      <c r="F152" s="313" t="s">
        <v>1156</v>
      </c>
      <c r="G152" s="323"/>
      <c r="H152" s="292" t="str">
        <f t="array" ref="H152">xlookup(F152,z_Others!$B$21:$B$45,z_Others!$E$21:$E$45,"",0,1)</f>
        <v>Sub6</v>
      </c>
      <c r="I152" s="310" t="s">
        <v>437</v>
      </c>
      <c r="J152" s="231" t="str">
        <f t="array" ref="J152">if(isblank(E152),"",xlookup(I152,z_Others!$M$17:$M$20,z_Others!$O$17:$O$20,"",0,1))</f>
        <v>Indigo</v>
      </c>
      <c r="K152" s="292" t="str">
        <f t="array" ref="K152">xlookup(I152,z_Others!$M$17:$M$20,z_Others!$N$17:$N$20,"",0,1)</f>
        <v>BUE</v>
      </c>
      <c r="L152" s="292" t="str">
        <f t="array" ref="L152">xlookup(F152,z_Others!$B$21:$B$45,z_Others!$D$21:$D$45,"",0,1)</f>
        <v>GK2MP</v>
      </c>
      <c r="M152" s="296" t="str">
        <f t="array" ref="M152">xlookup(F152,z_Others!$B$21:$B$45,z_Others!$C$21:$C$45,"",0,1)</f>
        <v>ROW</v>
      </c>
      <c r="N152" s="297">
        <v>3.5440766E7</v>
      </c>
      <c r="O152" s="331" t="s">
        <v>494</v>
      </c>
      <c r="P152" s="303" t="s">
        <v>495</v>
      </c>
      <c r="Q152" s="300" t="s">
        <v>413</v>
      </c>
      <c r="R152" s="301" t="s">
        <v>414</v>
      </c>
      <c r="S152" s="302">
        <f t="array" ref="S152">if(isblank(E152),"",xlookup($S$9&amp;M152,z_Others!$X$5:$X$17&amp;z_Others!$W$5:$W$17,z_Others!$Z$5:$Z$17,"",0,1))</f>
        <v>35795514</v>
      </c>
      <c r="T152" s="303" t="str">
        <f t="array" ref="T152">if(isblank(E152),"",xlookup($S$9&amp;M152,z_Others!$X$5:$X$17&amp;z_Others!$W$5:$W$17,z_Others!$AH$5:$AH$17,"",0,1))</f>
        <v>35 795514 040000x</v>
      </c>
      <c r="U152" s="303" t="str">
        <f t="array" ref="U152">if(isblank(E152),"",xlookup($S$9&amp;M152,z_Others!$X$5:$X$17&amp;z_Others!$W$5:$W$17,z_Others!$AI$5:$AI$17,"",0,1))</f>
        <v>35 795514 999999x</v>
      </c>
      <c r="V152" s="303" t="str">
        <f t="shared" si="2"/>
        <v>64:9D:38:32:91:82
B0:D5:FB:C6:60:70</v>
      </c>
      <c r="W152" s="303" t="str">
        <f t="shared" si="3"/>
        <v>64:9D:38:37:25:61
B0:D5:FB:CE:01:8F</v>
      </c>
      <c r="X152" s="304" t="str">
        <f t="shared" si="4"/>
        <v>MP1.0</v>
      </c>
      <c r="Y152" s="292"/>
      <c r="Z152" s="304" t="str">
        <f t="shared" si="32"/>
        <v>Android 16</v>
      </c>
      <c r="AA152" s="304" t="str">
        <f t="shared" si="44"/>
        <v>TBD</v>
      </c>
      <c r="AB152" s="305" t="s">
        <v>585</v>
      </c>
      <c r="AC152" s="305" t="s">
        <v>1169</v>
      </c>
      <c r="AD152" s="306"/>
      <c r="AE152" s="306"/>
      <c r="AF152" s="308"/>
      <c r="AG152" s="308"/>
      <c r="AH152" s="297" t="str">
        <f t="array" ref="AH152">if(isblank(E152),"",xlookup(F152,z_Others!$B$21:$B$45,z_Others!$F$21:$F$45,"TBD",0,1))</f>
        <v>00</v>
      </c>
      <c r="AI152" s="310" t="str">
        <f t="array" ref="AI152">if(isblank(E152),"", xlookup(E152,'Import_FL5_LH_PVTMP_Configs (Do'!E:E,'Import_FL5_LH_PVTMP_Configs (Do'!O:O,"TBD",0,1))</f>
        <v>TBD</v>
      </c>
      <c r="AJ152" s="311"/>
      <c r="AK152" s="310" t="str">
        <f t="array" ref="AK152">if(isblank(E152),"", xlookup(E152,'Import_FL5_LH_PVTMP_Configs (Do'!E:E,'Import_FL5_LH_PVTMP_Configs (Do'!Q:Q,"TBD",0,1))</f>
        <v>TBD</v>
      </c>
      <c r="AL152" s="310" t="str">
        <f t="array" ref="AL152">if(isblank(E152),"", xlookup(E152,'Import_FL5_LH_PVTMP_Configs (Do'!E:E,'Import_FL5_LH_PVTMP_Configs (Do'!M:M,"TBD",0,1))</f>
        <v>TBD</v>
      </c>
      <c r="AM152" s="310" t="str">
        <f t="array" ref="AM152">if(isblank(E152),"", xlookup(E152,'Import_FL5_LH_PVTMP_Configs (Do'!E:E,'Import_FL5_LH_PVTMP_Configs (Do'!N:N,"TBD",0,1))</f>
        <v>TBD</v>
      </c>
      <c r="AN152" s="310" t="str">
        <f t="array" ref="AN152">if(isblank(E152),"", xlookup(E152,'Import_FL5_LH_PVTMP_Configs (Do'!E:E,'Import_FL5_LH_PVTMP_Configs (Do'!K:K,"TBD",0,1))</f>
        <v>TBD</v>
      </c>
      <c r="AO152" s="292" t="str">
        <f t="array" ref="AO152">if(isblank(E152),"",XLOOKUP(E152,'FL5_G954 Pkg ASSY (Pkg BOM)'!L:L,'FL5_G954 Pkg ASSY (Pkg BOM)'!G:G,"N/A",0,1))</f>
        <v>N/A</v>
      </c>
      <c r="AP152" s="292" t="str">
        <f t="array" ref="AP152">if(isblank(E152),"",xlookup(E152,'FL5_G962 Country kit (Accesorie'!L:L,'FL5_G962 Country kit (Accesorie'!G:G,"N/A",0,1))</f>
        <v>N/A</v>
      </c>
      <c r="AQ152" s="304" t="s">
        <v>1140</v>
      </c>
      <c r="AR152" s="304" t="s">
        <v>1140</v>
      </c>
      <c r="AS152" s="292" t="s">
        <v>419</v>
      </c>
      <c r="AT152" s="302" t="str">
        <f t="shared" si="6"/>
        <v>Yes</v>
      </c>
      <c r="AU152" s="302" t="str">
        <f t="shared" si="7"/>
        <v>No</v>
      </c>
      <c r="AV152" s="302" t="str">
        <f t="shared" si="8"/>
        <v>No</v>
      </c>
      <c r="AW152" s="302"/>
      <c r="AX152" s="302" t="s">
        <v>1170</v>
      </c>
      <c r="AY152" s="302" t="s">
        <v>1171</v>
      </c>
      <c r="AZ152" s="312" t="str">
        <f t="array" ref="AZ152">if(isblank(E152),"", xlookup(E152,Import_FL5_LH_PVT_BM!D:D,Import_FL5_LH_PVT_BM!AK:AK,$F$4,0,1))</f>
        <v>MP</v>
      </c>
      <c r="BA152" s="292" t="str">
        <f t="shared" si="9"/>
        <v>Retail_10ct</v>
      </c>
      <c r="BB152" s="313" t="str">
        <f t="array" ref="BB152">if(isblank(E152),"",xlookup(F152,z_Others!$B$21:$B$42,z_Others!$G$21:$G$42,"No",0,1))</f>
        <v>ROW Master Carton Label (UPC)</v>
      </c>
      <c r="BC152" s="313" t="str">
        <f t="array" ref="BC152">if(isblank(E152),"",xlookup(F152,z_Others!$B$21:$B$42,z_Others!$H$21:$H$42,"No",0,1))</f>
        <v>Standard Pallet Label (BTO)
Standard Pallet Label (BTS)</v>
      </c>
      <c r="BD152" s="314" t="str">
        <f t="array" ref="BD152">if(isblank(E152),"",xlookup(E152,'Import_VN_Label approve'!E:E,'Import_VN_Label approve'!L:L,"N/A",0,1))</f>
        <v>N/A</v>
      </c>
      <c r="BE152" s="314" t="str">
        <f t="array" ref="BE152">if(isblank(E152),"",xlookup(E152,'Import_VN_Label approve'!E:E,'Import_VN_Label approve'!N:N,"N/A",0,1))</f>
        <v>N/A</v>
      </c>
      <c r="BF152" s="315"/>
      <c r="BG152" s="332" t="s">
        <v>503</v>
      </c>
      <c r="BH152" s="317" t="s">
        <v>504</v>
      </c>
      <c r="BI152" s="360" t="s">
        <v>1091</v>
      </c>
      <c r="BJ152" s="319" t="str">
        <f t="array" ref="BJ152">if(isblank(E152),"", xlookup(D152,z_Others!$B$5:$B$17,z_Others!$C$5:$C$17,"",0,1))</f>
        <v>智能手機</v>
      </c>
      <c r="BK152" s="320">
        <v>45782.0</v>
      </c>
      <c r="BL152" s="320" t="str">
        <f t="array" ref="BL152">if(isblank(E152),"",xlookup(E152,'FL5_MP POR_LH_報關備案_G950 &amp; GA'!F:F,'FL5_MP POR_LH_報關備案_G950 &amp; GA'!E:E,"No Need",0,1))</f>
        <v>No Need</v>
      </c>
      <c r="BM152" s="321" t="str">
        <f t="array" ref="BM152">if(isblank(E152),"",xlookup($BM$9&amp;E152,'Import_FL5 MPS (06.06.25) - Sor'!E148:E334&amp;'Import_FL5 MPS (06.06.25) - Sor'!F148:F334,'Import_FL5 MPS (06.06.25) - Sor'!ES148:ES334,"No demand",0,1))</f>
        <v>No demand</v>
      </c>
      <c r="BN152" s="321" t="str">
        <f t="array" ref="BN152">if(isblank(E152),"",xlookup($BN$9&amp;E152,'Import_FL5 MPS (06.06.25) - Sor'!E148:E334&amp;'Import_FL5 MPS (06.06.25) - Sor'!F148:F334,'Import_FL5 MPS (06.06.25) - Sor'!ES148:ES334,"No demand",0,1))</f>
        <v>No demand</v>
      </c>
      <c r="BO152" s="321" t="str">
        <f t="array" ref="BO152">if(isblank(E152),"",xlookup($BO$9&amp;E152,'Import_FL5 MPS (06.06.25) - Sor'!E148:E334&amp;'Import_FL5 MPS (06.06.25) - Sor'!F148:F334,'Import_FL5 MPS (06.06.25) - Sor'!ES148:ES334,"No demand",0,1))</f>
        <v>No demand</v>
      </c>
      <c r="BP152" s="322" t="str">
        <f t="array" ref="BP152">if(isblank(E152),"", xlookup(E152,'Import_LH_Label approve'!E:E,'Import_LH_Label approve'!L:L,"",0,1))</f>
        <v/>
      </c>
      <c r="BQ152" s="322" t="str">
        <f t="array" ref="BQ152">if(isblank(E152),"",xlookup(E152,'Import_VN_Label approve'!E:E,'Import_VN_Label approve'!M:M,"N/A",0,1))</f>
        <v>N/A</v>
      </c>
      <c r="BR152" s="325"/>
      <c r="BS152" s="323"/>
      <c r="BT152" s="324"/>
      <c r="BU152" s="117"/>
    </row>
    <row r="153" hidden="1">
      <c r="A153" s="7"/>
      <c r="B153" s="292">
        <v>142.0</v>
      </c>
      <c r="C153" s="231" t="s">
        <v>284</v>
      </c>
      <c r="D153" s="231" t="s">
        <v>408</v>
      </c>
      <c r="E153" s="350" t="s">
        <v>1172</v>
      </c>
      <c r="F153" s="323" t="s">
        <v>1173</v>
      </c>
      <c r="G153" s="294" t="s">
        <v>411</v>
      </c>
      <c r="H153" s="292" t="str">
        <f t="array" ref="H153">xlookup(F153,z_Others!$B$21:$B$45,z_Others!$E$21:$E$45,"",0,1)</f>
        <v>mmWave</v>
      </c>
      <c r="I153" s="310" t="s">
        <v>412</v>
      </c>
      <c r="J153" s="231" t="str">
        <f t="array" ref="J153">if(isblank(E153),"",xlookup(I153,z_Others!$M$17:$M$20,z_Others!$O$17:$O$20,"",0,1))</f>
        <v>Obsidian</v>
      </c>
      <c r="K153" s="292" t="str">
        <f t="array" ref="K153">xlookup(I153,z_Others!$M$17:$M$20,z_Others!$N$17:$N$20,"",0,1)</f>
        <v>BLK</v>
      </c>
      <c r="L153" s="292" t="str">
        <f t="array" ref="L153">xlookup(F153,z_Others!$B$21:$B$45,z_Others!$D$21:$D$45,"",0,1)</f>
        <v>GLBW0</v>
      </c>
      <c r="M153" s="296" t="str">
        <f t="array" ref="M153">xlookup(F153,z_Others!$B$21:$B$45,z_Others!$C$21:$C$45,"",0,1)</f>
        <v>VZW</v>
      </c>
      <c r="N153" s="297">
        <f t="array" ref="N153">if(isblank(E153),"",xlookup($N$9&amp;M153,z_Others!$X$5:$X$17&amp;z_Others!$W$5:$W$17,z_Others!$Z$5:$Z$17,"",0,1))</f>
        <v>35560678</v>
      </c>
      <c r="O153" s="298" t="str">
        <f t="array" ref="O153">if(isblank(E153),"",xlookup($N$9&amp;M153,z_Others!$X$5:$X$17&amp;z_Others!$W$5:$W$17,z_Others!$AH$5:$AH$17,"",0,1))</f>
        <v>35 560678 020000x</v>
      </c>
      <c r="P153" s="299" t="str">
        <f t="array" ref="P153">if(isblank(E153),"",xlookup($N$9&amp;M153,z_Others!$X$5:$X$17&amp;z_Others!$W$5:$W$17,z_Others!$AI$5:$AI$17,"",0,1))</f>
        <v>35 560678 999999x</v>
      </c>
      <c r="Q153" s="300" t="s">
        <v>413</v>
      </c>
      <c r="R153" s="301" t="s">
        <v>414</v>
      </c>
      <c r="S153" s="302">
        <f t="array" ref="S153">if(isblank(E153),"",xlookup($S$9&amp;M153,z_Others!$X$5:$X$17&amp;z_Others!$W$5:$W$17,z_Others!$Z$5:$Z$17,"",0,1))</f>
        <v>35931451</v>
      </c>
      <c r="T153" s="303" t="str">
        <f t="array" ref="T153">if(isblank(E153),"",xlookup($S$9&amp;M153,z_Others!$X$5:$X$17&amp;z_Others!$W$5:$W$17,z_Others!$AH$5:$AH$17,"",0,1))</f>
        <v>35 931451 020000x</v>
      </c>
      <c r="U153" s="303" t="str">
        <f t="array" ref="U153">if(isblank(E153),"",xlookup($S$9&amp;M153,z_Others!$X$5:$X$17&amp;z_Others!$W$5:$W$17,z_Others!$AI$5:$AI$17,"",0,1))</f>
        <v>35 931451 999999x</v>
      </c>
      <c r="V153" s="303" t="str">
        <f t="shared" si="2"/>
        <v>64:9D:38:32:91:82
B0:D5:FB:C6:60:70</v>
      </c>
      <c r="W153" s="303" t="str">
        <f t="shared" si="3"/>
        <v>64:9D:38:37:25:61
B0:D5:FB:CE:01:8F</v>
      </c>
      <c r="X153" s="304" t="str">
        <f t="shared" si="4"/>
        <v>MP1.0</v>
      </c>
      <c r="Y153" s="292"/>
      <c r="Z153" s="304" t="str">
        <f t="shared" si="32"/>
        <v>Android 16</v>
      </c>
      <c r="AA153" s="304" t="str">
        <f t="shared" si="44"/>
        <v>TBD</v>
      </c>
      <c r="AB153" s="305" t="s">
        <v>1174</v>
      </c>
      <c r="AC153" s="361" t="s">
        <v>1175</v>
      </c>
      <c r="AD153" s="306"/>
      <c r="AE153" s="306"/>
      <c r="AF153" s="308"/>
      <c r="AG153" s="308"/>
      <c r="AH153" s="297" t="str">
        <f t="array" ref="AH153">if(isblank(E153),"",xlookup(F153,z_Others!$B$21:$B$45,z_Others!$F$21:$F$45,"TBD",0,1))</f>
        <v>US</v>
      </c>
      <c r="AI153" s="310" t="str">
        <f t="array" ref="AI153">if(isblank(E153),"", xlookup(E153,'Import_FL5_LH_PVTMP_Configs (Do'!E:E,'Import_FL5_LH_PVTMP_Configs (Do'!O:O,"TBD",0,1))</f>
        <v>TBD</v>
      </c>
      <c r="AJ153" s="311"/>
      <c r="AK153" s="310" t="str">
        <f t="array" ref="AK153">if(isblank(E153),"", xlookup(E153,'Import_FL5_LH_PVTMP_Configs (Do'!E:E,'Import_FL5_LH_PVTMP_Configs (Do'!Q:Q,"TBD",0,1))</f>
        <v>TBD</v>
      </c>
      <c r="AL153" s="310" t="str">
        <f t="array" ref="AL153">if(isblank(E153),"", xlookup(E153,'Import_FL5_LH_PVTMP_Configs (Do'!E:E,'Import_FL5_LH_PVTMP_Configs (Do'!M:M,"TBD",0,1))</f>
        <v>TBD</v>
      </c>
      <c r="AM153" s="310" t="str">
        <f t="array" ref="AM153">if(isblank(E153),"", xlookup(E153,'Import_FL5_LH_PVTMP_Configs (Do'!E:E,'Import_FL5_LH_PVTMP_Configs (Do'!N:N,"TBD",0,1))</f>
        <v>TBD</v>
      </c>
      <c r="AN153" s="310" t="str">
        <f t="array" ref="AN153">if(isblank(E153),"", xlookup(E153,'Import_FL5_LH_PVTMP_Configs (Do'!E:E,'Import_FL5_LH_PVTMP_Configs (Do'!K:K,"TBD",0,1))</f>
        <v>TBD</v>
      </c>
      <c r="AO153" s="292" t="str">
        <f t="array" ref="AO153">if(isblank(E153),"",XLOOKUP(E153,'FL5_G954 Pkg ASSY (Pkg BOM)'!L:L,'FL5_G954 Pkg ASSY (Pkg BOM)'!G:G,"N/A",0,1))</f>
        <v>N/A</v>
      </c>
      <c r="AP153" s="292" t="str">
        <f t="array" ref="AP153">if(isblank(E153),"",xlookup(E153,'FL5_G962 Country kit (Accesorie'!L:L,'FL5_G962 Country kit (Accesorie'!G:G,"N/A",0,1))</f>
        <v>N/A</v>
      </c>
      <c r="AQ153" s="304" t="str">
        <f t="array" ref="AQ153">if(isblank(E153),"", xlookup(E153,'Import_LH_Label approve'!E:E,'Import_LH_Label approve'!M:M,"",0,1))</f>
        <v/>
      </c>
      <c r="AR153" s="304" t="str">
        <f t="array" ref="AR153">if(isblank(E153),"",xlookup(E153,'Import_LH_Label approve'!E:E,'Import_LH_Label approve'!N:N,"",0,1))</f>
        <v/>
      </c>
      <c r="AS153" s="292" t="s">
        <v>419</v>
      </c>
      <c r="AT153" s="302" t="str">
        <f t="shared" si="6"/>
        <v>Yes</v>
      </c>
      <c r="AU153" s="302" t="str">
        <f t="shared" si="7"/>
        <v>No</v>
      </c>
      <c r="AV153" s="302" t="str">
        <f t="shared" si="8"/>
        <v>No</v>
      </c>
      <c r="AW153" s="297"/>
      <c r="AX153" s="302" t="s">
        <v>1176</v>
      </c>
      <c r="AY153" s="302" t="s">
        <v>1177</v>
      </c>
      <c r="AZ153" s="312" t="str">
        <f t="array" ref="AZ153">if(isblank(E153),"", xlookup(E153,Import_FL5_LH_PVT_BM!D:D,Import_FL5_LH_PVT_BM!AK:AK,$F$4,0,1))</f>
        <v>MP</v>
      </c>
      <c r="BA153" s="292" t="str">
        <f t="shared" si="9"/>
        <v>Retail_10ct</v>
      </c>
      <c r="BB153" s="313" t="str">
        <f t="array" ref="BB153">if(isblank(E153),"",xlookup(F153,z_Others!$B$21:$B$42,z_Others!$G$21:$G$42,"No",0,1))</f>
        <v>VZN Master Carton Label</v>
      </c>
      <c r="BC153" s="313" t="str">
        <f t="array" ref="BC153">if(isblank(E153),"",xlookup(F153,z_Others!$B$21:$B$42,z_Others!$H$21:$H$42,"No",0,1))</f>
        <v>VZN Pallet Label (BTS)</v>
      </c>
      <c r="BD153" s="314" t="str">
        <f t="array" ref="BD153">if(isblank(E153),"",xlookup(E153,'Import_VN_Label approve'!E:E,'Import_VN_Label approve'!L:L,"N/A",0,1))</f>
        <v/>
      </c>
      <c r="BE153" s="314" t="str">
        <f t="array" ref="BE153">if(isblank(E153),"",xlookup(E153,'Import_VN_Label approve'!E:E,'Import_VN_Label approve'!N:N,"N/A",0,1))</f>
        <v/>
      </c>
      <c r="BF153" s="315"/>
      <c r="BG153" s="316" t="s">
        <v>422</v>
      </c>
      <c r="BH153" s="317" t="s">
        <v>423</v>
      </c>
      <c r="BI153" s="360" t="s">
        <v>1091</v>
      </c>
      <c r="BJ153" s="319" t="str">
        <f t="array" ref="BJ153">if(isblank(E153),"", xlookup(D153,z_Others!$B$5:$B$17,z_Others!$C$5:$C$17,"",0,1))</f>
        <v>智能手機</v>
      </c>
      <c r="BK153" s="320">
        <v>45782.0</v>
      </c>
      <c r="BL153" s="320" t="str">
        <f t="array" ref="BL153">if(isblank(E153),"",xlookup(E153,'FL5_MP POR_LH_報關備案_G950 &amp; GA'!F:F,'FL5_MP POR_LH_報關備案_G950 &amp; GA'!E:E,"No Need",0,1))</f>
        <v>No Need</v>
      </c>
      <c r="BM153" s="321" t="str">
        <f t="array" ref="BM153">if(isblank(E153),"",xlookup($BM$9&amp;E153,'Import_FL5 MPS (06.06.25) - Sor'!E149:E334&amp;'Import_FL5 MPS (06.06.25) - Sor'!F149:F334,'Import_FL5 MPS (06.06.25) - Sor'!ES149:ES334,"No demand",0,1))</f>
        <v>No demand</v>
      </c>
      <c r="BN153" s="321" t="str">
        <f t="array" ref="BN153">if(isblank(E153),"",xlookup($BN$9&amp;E153,'Import_FL5 MPS (06.06.25) - Sor'!E149:E334&amp;'Import_FL5 MPS (06.06.25) - Sor'!F149:F334,'Import_FL5 MPS (06.06.25) - Sor'!ES149:ES334,"No demand",0,1))</f>
        <v>No demand</v>
      </c>
      <c r="BO153" s="321" t="str">
        <f t="array" ref="BO153">if(isblank(E153),"",xlookup($BO$9&amp;E153,'Import_FL5 MPS (06.06.25) - Sor'!E149:E334&amp;'Import_FL5 MPS (06.06.25) - Sor'!F149:F334,'Import_FL5 MPS (06.06.25) - Sor'!ES149:ES334,"No demand",0,1))</f>
        <v>No demand</v>
      </c>
      <c r="BP153" s="322" t="str">
        <f t="array" ref="BP153">if(isblank(E153),"", xlookup(E153,'Import_LH_Label approve'!E:E,'Import_LH_Label approve'!L:L,"",0,1))</f>
        <v/>
      </c>
      <c r="BQ153" s="322" t="str">
        <f t="array" ref="BQ153">if(isblank(E153),"",xlookup(E153,'Import_VN_Label approve'!E:E,'Import_VN_Label approve'!M:M,"N/A",0,1))</f>
        <v/>
      </c>
      <c r="BR153" s="325"/>
      <c r="BS153" s="323"/>
      <c r="BT153" s="324"/>
      <c r="BU153" s="117"/>
    </row>
    <row r="154" hidden="1">
      <c r="A154" s="7"/>
      <c r="B154" s="292">
        <v>143.0</v>
      </c>
      <c r="C154" s="231" t="s">
        <v>284</v>
      </c>
      <c r="D154" s="231" t="s">
        <v>408</v>
      </c>
      <c r="E154" s="350" t="s">
        <v>1178</v>
      </c>
      <c r="F154" s="323" t="s">
        <v>1173</v>
      </c>
      <c r="G154" s="294" t="s">
        <v>411</v>
      </c>
      <c r="H154" s="292" t="str">
        <f t="array" ref="H154">xlookup(F154,z_Others!$B$21:$B$45,z_Others!$E$21:$E$45,"",0,1)</f>
        <v>mmWave</v>
      </c>
      <c r="I154" s="310" t="s">
        <v>425</v>
      </c>
      <c r="J154" s="231" t="str">
        <f t="array" ref="J154">if(isblank(E154),"",xlookup(I154,z_Others!$M$17:$M$20,z_Others!$O$17:$O$20,"",0,1))</f>
        <v>Frost</v>
      </c>
      <c r="K154" s="292" t="str">
        <f t="array" ref="K154">xlookup(I154,z_Others!$M$17:$M$20,z_Others!$N$17:$N$20,"",0,1)</f>
        <v>PPL</v>
      </c>
      <c r="L154" s="292" t="str">
        <f t="array" ref="L154">xlookup(F154,z_Others!$B$21:$B$45,z_Others!$D$21:$D$45,"",0,1)</f>
        <v>GLBW0</v>
      </c>
      <c r="M154" s="296" t="str">
        <f t="array" ref="M154">xlookup(F154,z_Others!$B$21:$B$45,z_Others!$C$21:$C$45,"",0,1)</f>
        <v>VZW</v>
      </c>
      <c r="N154" s="297">
        <f t="array" ref="N154">if(isblank(E154),"",xlookup($N$9&amp;M154,z_Others!$X$5:$X$17&amp;z_Others!$W$5:$W$17,z_Others!$Z$5:$Z$17,"",0,1))</f>
        <v>35560678</v>
      </c>
      <c r="O154" s="298" t="str">
        <f t="array" ref="O154">if(isblank(E154),"",xlookup($N$9&amp;M154,z_Others!$X$5:$X$17&amp;z_Others!$W$5:$W$17,z_Others!$AH$5:$AH$17,"",0,1))</f>
        <v>35 560678 020000x</v>
      </c>
      <c r="P154" s="299" t="str">
        <f t="array" ref="P154">if(isblank(E154),"",xlookup($N$9&amp;M154,z_Others!$X$5:$X$17&amp;z_Others!$W$5:$W$17,z_Others!$AI$5:$AI$17,"",0,1))</f>
        <v>35 560678 999999x</v>
      </c>
      <c r="Q154" s="300" t="s">
        <v>413</v>
      </c>
      <c r="R154" s="301" t="s">
        <v>414</v>
      </c>
      <c r="S154" s="302">
        <f t="array" ref="S154">if(isblank(E154),"",xlookup($S$9&amp;M154,z_Others!$X$5:$X$17&amp;z_Others!$W$5:$W$17,z_Others!$Z$5:$Z$17,"",0,1))</f>
        <v>35931451</v>
      </c>
      <c r="T154" s="303" t="str">
        <f t="array" ref="T154">if(isblank(E154),"",xlookup($S$9&amp;M154,z_Others!$X$5:$X$17&amp;z_Others!$W$5:$W$17,z_Others!$AH$5:$AH$17,"",0,1))</f>
        <v>35 931451 020000x</v>
      </c>
      <c r="U154" s="303" t="str">
        <f t="array" ref="U154">if(isblank(E154),"",xlookup($S$9&amp;M154,z_Others!$X$5:$X$17&amp;z_Others!$W$5:$W$17,z_Others!$AI$5:$AI$17,"",0,1))</f>
        <v>35 931451 999999x</v>
      </c>
      <c r="V154" s="303" t="str">
        <f t="shared" si="2"/>
        <v>64:9D:38:32:91:82
B0:D5:FB:C6:60:70</v>
      </c>
      <c r="W154" s="303" t="str">
        <f t="shared" si="3"/>
        <v>64:9D:38:37:25:61
B0:D5:FB:CE:01:8F</v>
      </c>
      <c r="X154" s="304" t="str">
        <f t="shared" si="4"/>
        <v>MP1.0</v>
      </c>
      <c r="Y154" s="292"/>
      <c r="Z154" s="304" t="str">
        <f t="shared" si="32"/>
        <v>Android 16</v>
      </c>
      <c r="AA154" s="304" t="str">
        <f t="shared" si="44"/>
        <v>TBD</v>
      </c>
      <c r="AB154" s="305" t="s">
        <v>1179</v>
      </c>
      <c r="AC154" s="361" t="s">
        <v>1175</v>
      </c>
      <c r="AD154" s="306"/>
      <c r="AE154" s="306"/>
      <c r="AF154" s="308"/>
      <c r="AG154" s="308"/>
      <c r="AH154" s="297" t="str">
        <f t="array" ref="AH154">if(isblank(E154),"",xlookup(F154,z_Others!$B$21:$B$45,z_Others!$F$21:$F$45,"TBD",0,1))</f>
        <v>US</v>
      </c>
      <c r="AI154" s="310" t="str">
        <f t="array" ref="AI154">if(isblank(E154),"", xlookup(E154,'Import_FL5_LH_PVTMP_Configs (Do'!E:E,'Import_FL5_LH_PVTMP_Configs (Do'!O:O,"TBD",0,1))</f>
        <v>TBD</v>
      </c>
      <c r="AJ154" s="311"/>
      <c r="AK154" s="310" t="str">
        <f t="array" ref="AK154">if(isblank(E154),"", xlookup(E154,'Import_FL5_LH_PVTMP_Configs (Do'!E:E,'Import_FL5_LH_PVTMP_Configs (Do'!Q:Q,"TBD",0,1))</f>
        <v>TBD</v>
      </c>
      <c r="AL154" s="310" t="str">
        <f t="array" ref="AL154">if(isblank(E154),"", xlookup(E154,'Import_FL5_LH_PVTMP_Configs (Do'!E:E,'Import_FL5_LH_PVTMP_Configs (Do'!M:M,"TBD",0,1))</f>
        <v>TBD</v>
      </c>
      <c r="AM154" s="310" t="str">
        <f t="array" ref="AM154">if(isblank(E154),"", xlookup(E154,'Import_FL5_LH_PVTMP_Configs (Do'!E:E,'Import_FL5_LH_PVTMP_Configs (Do'!N:N,"TBD",0,1))</f>
        <v>TBD</v>
      </c>
      <c r="AN154" s="310" t="str">
        <f t="array" ref="AN154">if(isblank(E154),"", xlookup(E154,'Import_FL5_LH_PVTMP_Configs (Do'!E:E,'Import_FL5_LH_PVTMP_Configs (Do'!K:K,"TBD",0,1))</f>
        <v>TBD</v>
      </c>
      <c r="AO154" s="292" t="str">
        <f t="array" ref="AO154">if(isblank(E154),"",XLOOKUP(E154,'FL5_G954 Pkg ASSY (Pkg BOM)'!L:L,'FL5_G954 Pkg ASSY (Pkg BOM)'!G:G,"N/A",0,1))</f>
        <v>N/A</v>
      </c>
      <c r="AP154" s="292" t="str">
        <f t="array" ref="AP154">if(isblank(E154),"",xlookup(E154,'FL5_G962 Country kit (Accesorie'!L:L,'FL5_G962 Country kit (Accesorie'!G:G,"N/A",0,1))</f>
        <v>N/A</v>
      </c>
      <c r="AQ154" s="304" t="str">
        <f t="array" ref="AQ154">if(isblank(E154),"", xlookup(E154,'Import_LH_Label approve'!E:E,'Import_LH_Label approve'!M:M,"",0,1))</f>
        <v/>
      </c>
      <c r="AR154" s="304" t="str">
        <f t="array" ref="AR154">if(isblank(E154),"",xlookup(E154,'Import_LH_Label approve'!E:E,'Import_LH_Label approve'!N:N,"",0,1))</f>
        <v/>
      </c>
      <c r="AS154" s="292" t="s">
        <v>419</v>
      </c>
      <c r="AT154" s="302" t="str">
        <f t="shared" si="6"/>
        <v>Yes</v>
      </c>
      <c r="AU154" s="302" t="str">
        <f t="shared" si="7"/>
        <v>No</v>
      </c>
      <c r="AV154" s="302" t="str">
        <f t="shared" si="8"/>
        <v>No</v>
      </c>
      <c r="AW154" s="297"/>
      <c r="AX154" s="302" t="s">
        <v>1180</v>
      </c>
      <c r="AY154" s="302" t="s">
        <v>1181</v>
      </c>
      <c r="AZ154" s="312" t="str">
        <f t="array" ref="AZ154">if(isblank(E154),"", xlookup(E154,Import_FL5_LH_PVT_BM!D:D,Import_FL5_LH_PVT_BM!AK:AK,$F$4,0,1))</f>
        <v>MP</v>
      </c>
      <c r="BA154" s="292" t="str">
        <f t="shared" si="9"/>
        <v>Retail_10ct</v>
      </c>
      <c r="BB154" s="313" t="str">
        <f t="array" ref="BB154">if(isblank(E154),"",xlookup(F154,z_Others!$B$21:$B$42,z_Others!$G$21:$G$42,"No",0,1))</f>
        <v>VZN Master Carton Label</v>
      </c>
      <c r="BC154" s="313" t="str">
        <f t="array" ref="BC154">if(isblank(E154),"",xlookup(F154,z_Others!$B$21:$B$42,z_Others!$H$21:$H$42,"No",0,1))</f>
        <v>VZN Pallet Label (BTS)</v>
      </c>
      <c r="BD154" s="314" t="str">
        <f t="array" ref="BD154">if(isblank(E154),"",xlookup(E154,'Import_VN_Label approve'!E:E,'Import_VN_Label approve'!L:L,"N/A",0,1))</f>
        <v/>
      </c>
      <c r="BE154" s="314" t="str">
        <f t="array" ref="BE154">if(isblank(E154),"",xlookup(E154,'Import_VN_Label approve'!E:E,'Import_VN_Label approve'!N:N,"N/A",0,1))</f>
        <v/>
      </c>
      <c r="BF154" s="315"/>
      <c r="BG154" s="316" t="s">
        <v>422</v>
      </c>
      <c r="BH154" s="317" t="s">
        <v>423</v>
      </c>
      <c r="BI154" s="360" t="s">
        <v>1091</v>
      </c>
      <c r="BJ154" s="319" t="str">
        <f t="array" ref="BJ154">if(isblank(E154),"", xlookup(D154,z_Others!$B$5:$B$17,z_Others!$C$5:$C$17,"",0,1))</f>
        <v>智能手機</v>
      </c>
      <c r="BK154" s="320">
        <v>45782.0</v>
      </c>
      <c r="BL154" s="320" t="str">
        <f t="array" ref="BL154">if(isblank(E154),"",xlookup(E154,'FL5_MP POR_LH_報關備案_G950 &amp; GA'!F:F,'FL5_MP POR_LH_報關備案_G950 &amp; GA'!E:E,"No Need",0,1))</f>
        <v>No Need</v>
      </c>
      <c r="BM154" s="321" t="str">
        <f t="array" ref="BM154">if(isblank(E154),"",xlookup($BM$9&amp;E154,'Import_FL5 MPS (06.06.25) - Sor'!E150:E334&amp;'Import_FL5 MPS (06.06.25) - Sor'!F150:F334,'Import_FL5 MPS (06.06.25) - Sor'!ES150:ES334,"No demand",0,1))</f>
        <v>No demand</v>
      </c>
      <c r="BN154" s="321" t="str">
        <f t="array" ref="BN154">if(isblank(E154),"",xlookup($BN$9&amp;E154,'Import_FL5 MPS (06.06.25) - Sor'!E150:E334&amp;'Import_FL5 MPS (06.06.25) - Sor'!F150:F334,'Import_FL5 MPS (06.06.25) - Sor'!ES150:ES334,"No demand",0,1))</f>
        <v>No demand</v>
      </c>
      <c r="BO154" s="321" t="str">
        <f t="array" ref="BO154">if(isblank(E154),"",xlookup($BO$9&amp;E154,'Import_FL5 MPS (06.06.25) - Sor'!E150:E334&amp;'Import_FL5 MPS (06.06.25) - Sor'!F150:F334,'Import_FL5 MPS (06.06.25) - Sor'!ES150:ES334,"No demand",0,1))</f>
        <v>No demand</v>
      </c>
      <c r="BP154" s="322" t="str">
        <f t="array" ref="BP154">if(isblank(E154),"", xlookup(E154,'Import_LH_Label approve'!E:E,'Import_LH_Label approve'!L:L,"",0,1))</f>
        <v/>
      </c>
      <c r="BQ154" s="322" t="str">
        <f t="array" ref="BQ154">if(isblank(E154),"",xlookup(E154,'Import_VN_Label approve'!E:E,'Import_VN_Label approve'!M:M,"N/A",0,1))</f>
        <v/>
      </c>
      <c r="BR154" s="325"/>
      <c r="BS154" s="323"/>
      <c r="BT154" s="324"/>
      <c r="BU154" s="117"/>
    </row>
    <row r="155" hidden="1">
      <c r="A155" s="7"/>
      <c r="B155" s="292">
        <v>144.0</v>
      </c>
      <c r="C155" s="231" t="s">
        <v>284</v>
      </c>
      <c r="D155" s="231" t="s">
        <v>408</v>
      </c>
      <c r="E155" s="350" t="s">
        <v>1182</v>
      </c>
      <c r="F155" s="323" t="s">
        <v>1173</v>
      </c>
      <c r="G155" s="294" t="s">
        <v>411</v>
      </c>
      <c r="H155" s="292" t="str">
        <f t="array" ref="H155">xlookup(F155,z_Others!$B$21:$B$45,z_Others!$E$21:$E$45,"",0,1)</f>
        <v>mmWave</v>
      </c>
      <c r="I155" s="310" t="s">
        <v>431</v>
      </c>
      <c r="J155" s="231" t="str">
        <f t="array" ref="J155">if(isblank(E155),"",xlookup(I155,z_Others!$M$17:$M$20,z_Others!$O$17:$O$20,"",0,1))</f>
        <v>Lemongrass</v>
      </c>
      <c r="K155" s="292" t="str">
        <f t="array" ref="K155">xlookup(I155,z_Others!$M$17:$M$20,z_Others!$N$17:$N$20,"",0,1)</f>
        <v>YEL</v>
      </c>
      <c r="L155" s="292" t="str">
        <f t="array" ref="L155">xlookup(F155,z_Others!$B$21:$B$45,z_Others!$D$21:$D$45,"",0,1)</f>
        <v>GLBW0</v>
      </c>
      <c r="M155" s="296" t="str">
        <f t="array" ref="M155">xlookup(F155,z_Others!$B$21:$B$45,z_Others!$C$21:$C$45,"",0,1)</f>
        <v>VZW</v>
      </c>
      <c r="N155" s="297">
        <f t="array" ref="N155">if(isblank(E155),"",xlookup($N$9&amp;M155,z_Others!$X$5:$X$17&amp;z_Others!$W$5:$W$17,z_Others!$Z$5:$Z$17,"",0,1))</f>
        <v>35560678</v>
      </c>
      <c r="O155" s="298" t="str">
        <f t="array" ref="O155">if(isblank(E155),"",xlookup($N$9&amp;M155,z_Others!$X$5:$X$17&amp;z_Others!$W$5:$W$17,z_Others!$AH$5:$AH$17,"",0,1))</f>
        <v>35 560678 020000x</v>
      </c>
      <c r="P155" s="299" t="str">
        <f t="array" ref="P155">if(isblank(E155),"",xlookup($N$9&amp;M155,z_Others!$X$5:$X$17&amp;z_Others!$W$5:$W$17,z_Others!$AI$5:$AI$17,"",0,1))</f>
        <v>35 560678 999999x</v>
      </c>
      <c r="Q155" s="300" t="s">
        <v>413</v>
      </c>
      <c r="R155" s="301" t="s">
        <v>414</v>
      </c>
      <c r="S155" s="302">
        <f t="array" ref="S155">if(isblank(E155),"",xlookup($S$9&amp;M155,z_Others!$X$5:$X$17&amp;z_Others!$W$5:$W$17,z_Others!$Z$5:$Z$17,"",0,1))</f>
        <v>35931451</v>
      </c>
      <c r="T155" s="303" t="str">
        <f t="array" ref="T155">if(isblank(E155),"",xlookup($S$9&amp;M155,z_Others!$X$5:$X$17&amp;z_Others!$W$5:$W$17,z_Others!$AH$5:$AH$17,"",0,1))</f>
        <v>35 931451 020000x</v>
      </c>
      <c r="U155" s="303" t="str">
        <f t="array" ref="U155">if(isblank(E155),"",xlookup($S$9&amp;M155,z_Others!$X$5:$X$17&amp;z_Others!$W$5:$W$17,z_Others!$AI$5:$AI$17,"",0,1))</f>
        <v>35 931451 999999x</v>
      </c>
      <c r="V155" s="303" t="str">
        <f t="shared" si="2"/>
        <v>64:9D:38:32:91:82
B0:D5:FB:C6:60:70</v>
      </c>
      <c r="W155" s="303" t="str">
        <f t="shared" si="3"/>
        <v>64:9D:38:37:25:61
B0:D5:FB:CE:01:8F</v>
      </c>
      <c r="X155" s="304" t="str">
        <f t="shared" si="4"/>
        <v>MP1.0</v>
      </c>
      <c r="Y155" s="292"/>
      <c r="Z155" s="304" t="str">
        <f t="shared" si="32"/>
        <v>Android 16</v>
      </c>
      <c r="AA155" s="304" t="str">
        <f t="shared" si="44"/>
        <v>TBD</v>
      </c>
      <c r="AB155" s="305" t="s">
        <v>1183</v>
      </c>
      <c r="AC155" s="361" t="s">
        <v>1175</v>
      </c>
      <c r="AD155" s="306"/>
      <c r="AE155" s="306"/>
      <c r="AF155" s="308"/>
      <c r="AG155" s="308"/>
      <c r="AH155" s="297" t="str">
        <f t="array" ref="AH155">if(isblank(E155),"",xlookup(F155,z_Others!$B$21:$B$45,z_Others!$F$21:$F$45,"TBD",0,1))</f>
        <v>US</v>
      </c>
      <c r="AI155" s="310" t="str">
        <f t="array" ref="AI155">if(isblank(E155),"", xlookup(E155,'Import_FL5_LH_PVTMP_Configs (Do'!E:E,'Import_FL5_LH_PVTMP_Configs (Do'!O:O,"TBD",0,1))</f>
        <v>TBD</v>
      </c>
      <c r="AJ155" s="311"/>
      <c r="AK155" s="310" t="str">
        <f t="array" ref="AK155">if(isblank(E155),"", xlookup(E155,'Import_FL5_LH_PVTMP_Configs (Do'!E:E,'Import_FL5_LH_PVTMP_Configs (Do'!Q:Q,"TBD",0,1))</f>
        <v>TBD</v>
      </c>
      <c r="AL155" s="310" t="str">
        <f t="array" ref="AL155">if(isblank(E155),"", xlookup(E155,'Import_FL5_LH_PVTMP_Configs (Do'!E:E,'Import_FL5_LH_PVTMP_Configs (Do'!M:M,"TBD",0,1))</f>
        <v>TBD</v>
      </c>
      <c r="AM155" s="310" t="str">
        <f t="array" ref="AM155">if(isblank(E155),"", xlookup(E155,'Import_FL5_LH_PVTMP_Configs (Do'!E:E,'Import_FL5_LH_PVTMP_Configs (Do'!N:N,"TBD",0,1))</f>
        <v>TBD</v>
      </c>
      <c r="AN155" s="310" t="str">
        <f t="array" ref="AN155">if(isblank(E155),"", xlookup(E155,'Import_FL5_LH_PVTMP_Configs (Do'!E:E,'Import_FL5_LH_PVTMP_Configs (Do'!K:K,"TBD",0,1))</f>
        <v>TBD</v>
      </c>
      <c r="AO155" s="292" t="str">
        <f t="array" ref="AO155">if(isblank(E155),"",XLOOKUP(E155,'FL5_G954 Pkg ASSY (Pkg BOM)'!L:L,'FL5_G954 Pkg ASSY (Pkg BOM)'!G:G,"N/A",0,1))</f>
        <v>N/A</v>
      </c>
      <c r="AP155" s="292" t="str">
        <f t="array" ref="AP155">if(isblank(E155),"",xlookup(E155,'FL5_G962 Country kit (Accesorie'!L:L,'FL5_G962 Country kit (Accesorie'!G:G,"N/A",0,1))</f>
        <v>N/A</v>
      </c>
      <c r="AQ155" s="304" t="str">
        <f t="array" ref="AQ155">if(isblank(E155),"", xlookup(E155,'Import_LH_Label approve'!E:E,'Import_LH_Label approve'!M:M,"",0,1))</f>
        <v/>
      </c>
      <c r="AR155" s="304" t="str">
        <f t="array" ref="AR155">if(isblank(E155),"",xlookup(E155,'Import_LH_Label approve'!E:E,'Import_LH_Label approve'!N:N,"",0,1))</f>
        <v/>
      </c>
      <c r="AS155" s="292" t="s">
        <v>419</v>
      </c>
      <c r="AT155" s="302" t="str">
        <f t="shared" si="6"/>
        <v>Yes</v>
      </c>
      <c r="AU155" s="302" t="str">
        <f t="shared" si="7"/>
        <v>No</v>
      </c>
      <c r="AV155" s="302" t="str">
        <f t="shared" si="8"/>
        <v>No</v>
      </c>
      <c r="AW155" s="297"/>
      <c r="AX155" s="302" t="s">
        <v>1184</v>
      </c>
      <c r="AY155" s="302" t="s">
        <v>1185</v>
      </c>
      <c r="AZ155" s="312" t="str">
        <f t="array" ref="AZ155">if(isblank(E155),"", xlookup(E155,Import_FL5_LH_PVT_BM!D:D,Import_FL5_LH_PVT_BM!AK:AK,$F$4,0,1))</f>
        <v>MP</v>
      </c>
      <c r="BA155" s="292" t="str">
        <f t="shared" si="9"/>
        <v>Retail_10ct</v>
      </c>
      <c r="BB155" s="313" t="str">
        <f t="array" ref="BB155">if(isblank(E155),"",xlookup(F155,z_Others!$B$21:$B$42,z_Others!$G$21:$G$42,"No",0,1))</f>
        <v>VZN Master Carton Label</v>
      </c>
      <c r="BC155" s="313" t="str">
        <f t="array" ref="BC155">if(isblank(E155),"",xlookup(F155,z_Others!$B$21:$B$42,z_Others!$H$21:$H$42,"No",0,1))</f>
        <v>VZN Pallet Label (BTS)</v>
      </c>
      <c r="BD155" s="314" t="str">
        <f t="array" ref="BD155">if(isblank(E155),"",xlookup(E155,'Import_VN_Label approve'!E:E,'Import_VN_Label approve'!L:L,"N/A",0,1))</f>
        <v/>
      </c>
      <c r="BE155" s="314" t="str">
        <f t="array" ref="BE155">if(isblank(E155),"",xlookup(E155,'Import_VN_Label approve'!E:E,'Import_VN_Label approve'!N:N,"N/A",0,1))</f>
        <v/>
      </c>
      <c r="BF155" s="315"/>
      <c r="BG155" s="316" t="s">
        <v>422</v>
      </c>
      <c r="BH155" s="317" t="s">
        <v>423</v>
      </c>
      <c r="BI155" s="360" t="s">
        <v>1091</v>
      </c>
      <c r="BJ155" s="319" t="str">
        <f t="array" ref="BJ155">if(isblank(E155),"", xlookup(D155,z_Others!$B$5:$B$17,z_Others!$C$5:$C$17,"",0,1))</f>
        <v>智能手機</v>
      </c>
      <c r="BK155" s="320">
        <v>45782.0</v>
      </c>
      <c r="BL155" s="320" t="str">
        <f t="array" ref="BL155">if(isblank(E155),"",xlookup(E155,'FL5_MP POR_LH_報關備案_G950 &amp; GA'!F:F,'FL5_MP POR_LH_報關備案_G950 &amp; GA'!E:E,"No Need",0,1))</f>
        <v>No Need</v>
      </c>
      <c r="BM155" s="321" t="str">
        <f t="array" ref="BM155">if(isblank(E155),"",xlookup($BM$9&amp;E155,'Import_FL5 MPS (06.06.25) - Sor'!E151:E334&amp;'Import_FL5 MPS (06.06.25) - Sor'!F151:F334,'Import_FL5 MPS (06.06.25) - Sor'!ES151:ES334,"No demand",0,1))</f>
        <v>No demand</v>
      </c>
      <c r="BN155" s="321" t="str">
        <f t="array" ref="BN155">if(isblank(E155),"",xlookup($BN$9&amp;E155,'Import_FL5 MPS (06.06.25) - Sor'!E151:E334&amp;'Import_FL5 MPS (06.06.25) - Sor'!F151:F334,'Import_FL5 MPS (06.06.25) - Sor'!ES151:ES334,"No demand",0,1))</f>
        <v>No demand</v>
      </c>
      <c r="BO155" s="321" t="str">
        <f t="array" ref="BO155">if(isblank(E155),"",xlookup($BO$9&amp;E155,'Import_FL5 MPS (06.06.25) - Sor'!E151:E334&amp;'Import_FL5 MPS (06.06.25) - Sor'!F151:F334,'Import_FL5 MPS (06.06.25) - Sor'!ES151:ES334,"No demand",0,1))</f>
        <v>No demand</v>
      </c>
      <c r="BP155" s="322" t="str">
        <f t="array" ref="BP155">if(isblank(E155),"", xlookup(E155,'Import_LH_Label approve'!E:E,'Import_LH_Label approve'!L:L,"",0,1))</f>
        <v/>
      </c>
      <c r="BQ155" s="322" t="str">
        <f t="array" ref="BQ155">if(isblank(E155),"",xlookup(E155,'Import_VN_Label approve'!E:E,'Import_VN_Label approve'!M:M,"N/A",0,1))</f>
        <v/>
      </c>
      <c r="BR155" s="325"/>
      <c r="BS155" s="323"/>
      <c r="BT155" s="324"/>
      <c r="BU155" s="117"/>
    </row>
    <row r="156" hidden="1">
      <c r="A156" s="7"/>
      <c r="B156" s="292">
        <v>145.0</v>
      </c>
      <c r="C156" s="231" t="s">
        <v>284</v>
      </c>
      <c r="D156" s="231" t="s">
        <v>408</v>
      </c>
      <c r="E156" s="350" t="s">
        <v>1186</v>
      </c>
      <c r="F156" s="323" t="s">
        <v>1173</v>
      </c>
      <c r="G156" s="294" t="s">
        <v>411</v>
      </c>
      <c r="H156" s="292" t="str">
        <f t="array" ref="H156">xlookup(F156,z_Others!$B$21:$B$45,z_Others!$E$21:$E$45,"",0,1)</f>
        <v>mmWave</v>
      </c>
      <c r="I156" s="310" t="s">
        <v>437</v>
      </c>
      <c r="J156" s="231" t="str">
        <f t="array" ref="J156">if(isblank(E156),"",xlookup(I156,z_Others!$M$17:$M$20,z_Others!$O$17:$O$20,"",0,1))</f>
        <v>Indigo</v>
      </c>
      <c r="K156" s="292" t="str">
        <f t="array" ref="K156">xlookup(I156,z_Others!$M$17:$M$20,z_Others!$N$17:$N$20,"",0,1)</f>
        <v>BUE</v>
      </c>
      <c r="L156" s="292" t="str">
        <f t="array" ref="L156">xlookup(F156,z_Others!$B$21:$B$45,z_Others!$D$21:$D$45,"",0,1)</f>
        <v>GLBW0</v>
      </c>
      <c r="M156" s="296" t="str">
        <f t="array" ref="M156">xlookup(F156,z_Others!$B$21:$B$45,z_Others!$C$21:$C$45,"",0,1)</f>
        <v>VZW</v>
      </c>
      <c r="N156" s="297">
        <f t="array" ref="N156">if(isblank(E156),"",xlookup($N$9&amp;M156,z_Others!$X$5:$X$17&amp;z_Others!$W$5:$W$17,z_Others!$Z$5:$Z$17,"",0,1))</f>
        <v>35560678</v>
      </c>
      <c r="O156" s="298" t="str">
        <f t="array" ref="O156">if(isblank(E156),"",xlookup($N$9&amp;M156,z_Others!$X$5:$X$17&amp;z_Others!$W$5:$W$17,z_Others!$AH$5:$AH$17,"",0,1))</f>
        <v>35 560678 020000x</v>
      </c>
      <c r="P156" s="299" t="str">
        <f t="array" ref="P156">if(isblank(E156),"",xlookup($N$9&amp;M156,z_Others!$X$5:$X$17&amp;z_Others!$W$5:$W$17,z_Others!$AI$5:$AI$17,"",0,1))</f>
        <v>35 560678 999999x</v>
      </c>
      <c r="Q156" s="300" t="s">
        <v>413</v>
      </c>
      <c r="R156" s="301" t="s">
        <v>414</v>
      </c>
      <c r="S156" s="302">
        <f t="array" ref="S156">if(isblank(E156),"",xlookup($S$9&amp;M156,z_Others!$X$5:$X$17&amp;z_Others!$W$5:$W$17,z_Others!$Z$5:$Z$17,"",0,1))</f>
        <v>35931451</v>
      </c>
      <c r="T156" s="303" t="str">
        <f t="array" ref="T156">if(isblank(E156),"",xlookup($S$9&amp;M156,z_Others!$X$5:$X$17&amp;z_Others!$W$5:$W$17,z_Others!$AH$5:$AH$17,"",0,1))</f>
        <v>35 931451 020000x</v>
      </c>
      <c r="U156" s="303" t="str">
        <f t="array" ref="U156">if(isblank(E156),"",xlookup($S$9&amp;M156,z_Others!$X$5:$X$17&amp;z_Others!$W$5:$W$17,z_Others!$AI$5:$AI$17,"",0,1))</f>
        <v>35 931451 999999x</v>
      </c>
      <c r="V156" s="303" t="str">
        <f t="shared" si="2"/>
        <v>64:9D:38:32:91:82
B0:D5:FB:C6:60:70</v>
      </c>
      <c r="W156" s="303" t="str">
        <f t="shared" si="3"/>
        <v>64:9D:38:37:25:61
B0:D5:FB:CE:01:8F</v>
      </c>
      <c r="X156" s="304" t="str">
        <f t="shared" si="4"/>
        <v>MP1.0</v>
      </c>
      <c r="Y156" s="292"/>
      <c r="Z156" s="304" t="str">
        <f t="shared" si="32"/>
        <v>Android 16</v>
      </c>
      <c r="AA156" s="304" t="str">
        <f t="shared" ref="AA156:AA167" si="45">if(isblank(E156),"",IF(AG156="AD1A.240530.047","Android 14",IF(AG156="AP3A.241105.008","Android 15",if(AG156="AP4A.241205.013","Android 15",if(AG156="AP4A.241205.013.C1","Android 15","TBD")))))</f>
        <v>TBD</v>
      </c>
      <c r="AB156" s="305" t="s">
        <v>1187</v>
      </c>
      <c r="AC156" s="361" t="s">
        <v>1175</v>
      </c>
      <c r="AD156" s="306"/>
      <c r="AE156" s="306"/>
      <c r="AF156" s="308"/>
      <c r="AG156" s="308"/>
      <c r="AH156" s="297" t="str">
        <f t="array" ref="AH156">if(isblank(E156),"",xlookup(F156,z_Others!$B$21:$B$45,z_Others!$F$21:$F$45,"TBD",0,1))</f>
        <v>US</v>
      </c>
      <c r="AI156" s="310" t="str">
        <f t="array" ref="AI156">if(isblank(E156),"", xlookup(E156,'Import_FL5_LH_PVTMP_Configs (Do'!E:E,'Import_FL5_LH_PVTMP_Configs (Do'!O:O,"TBD",0,1))</f>
        <v>TBD</v>
      </c>
      <c r="AJ156" s="311"/>
      <c r="AK156" s="310" t="str">
        <f t="array" ref="AK156">if(isblank(E156),"", xlookup(E156,'Import_FL5_LH_PVTMP_Configs (Do'!E:E,'Import_FL5_LH_PVTMP_Configs (Do'!Q:Q,"TBD",0,1))</f>
        <v>TBD</v>
      </c>
      <c r="AL156" s="310" t="str">
        <f t="array" ref="AL156">if(isblank(E156),"", xlookup(E156,'Import_FL5_LH_PVTMP_Configs (Do'!E:E,'Import_FL5_LH_PVTMP_Configs (Do'!M:M,"TBD",0,1))</f>
        <v>TBD</v>
      </c>
      <c r="AM156" s="310" t="str">
        <f t="array" ref="AM156">if(isblank(E156),"", xlookup(E156,'Import_FL5_LH_PVTMP_Configs (Do'!E:E,'Import_FL5_LH_PVTMP_Configs (Do'!N:N,"TBD",0,1))</f>
        <v>TBD</v>
      </c>
      <c r="AN156" s="310" t="str">
        <f t="array" ref="AN156">if(isblank(E156),"", xlookup(E156,'Import_FL5_LH_PVTMP_Configs (Do'!E:E,'Import_FL5_LH_PVTMP_Configs (Do'!K:K,"TBD",0,1))</f>
        <v>TBD</v>
      </c>
      <c r="AO156" s="292" t="str">
        <f t="array" ref="AO156">if(isblank(E156),"",XLOOKUP(E156,'FL5_G954 Pkg ASSY (Pkg BOM)'!L:L,'FL5_G954 Pkg ASSY (Pkg BOM)'!G:G,"N/A",0,1))</f>
        <v>N/A</v>
      </c>
      <c r="AP156" s="292" t="str">
        <f t="array" ref="AP156">if(isblank(E156),"",xlookup(E156,'FL5_G962 Country kit (Accesorie'!L:L,'FL5_G962 Country kit (Accesorie'!G:G,"N/A",0,1))</f>
        <v>N/A</v>
      </c>
      <c r="AQ156" s="304" t="str">
        <f t="array" ref="AQ156">if(isblank(E156),"", xlookup(E156,'Import_LH_Label approve'!E:E,'Import_LH_Label approve'!M:M,"",0,1))</f>
        <v/>
      </c>
      <c r="AR156" s="304" t="str">
        <f t="array" ref="AR156">if(isblank(E156),"",xlookup(E156,'Import_LH_Label approve'!E:E,'Import_LH_Label approve'!N:N,"",0,1))</f>
        <v/>
      </c>
      <c r="AS156" s="292" t="s">
        <v>419</v>
      </c>
      <c r="AT156" s="302" t="str">
        <f t="shared" si="6"/>
        <v>Yes</v>
      </c>
      <c r="AU156" s="302" t="str">
        <f t="shared" si="7"/>
        <v>No</v>
      </c>
      <c r="AV156" s="302" t="str">
        <f t="shared" si="8"/>
        <v>No</v>
      </c>
      <c r="AW156" s="297"/>
      <c r="AX156" s="302" t="s">
        <v>1188</v>
      </c>
      <c r="AY156" s="302" t="s">
        <v>1189</v>
      </c>
      <c r="AZ156" s="312" t="str">
        <f t="array" ref="AZ156">if(isblank(E156),"", xlookup(E156,Import_FL5_LH_PVT_BM!D:D,Import_FL5_LH_PVT_BM!AK:AK,$F$4,0,1))</f>
        <v>MP</v>
      </c>
      <c r="BA156" s="292" t="str">
        <f t="shared" si="9"/>
        <v>Retail_10ct</v>
      </c>
      <c r="BB156" s="313" t="str">
        <f t="array" ref="BB156">if(isblank(E156),"",xlookup(F156,z_Others!$B$21:$B$42,z_Others!$G$21:$G$42,"No",0,1))</f>
        <v>VZN Master Carton Label</v>
      </c>
      <c r="BC156" s="313" t="str">
        <f t="array" ref="BC156">if(isblank(E156),"",xlookup(F156,z_Others!$B$21:$B$42,z_Others!$H$21:$H$42,"No",0,1))</f>
        <v>VZN Pallet Label (BTS)</v>
      </c>
      <c r="BD156" s="314" t="str">
        <f t="array" ref="BD156">if(isblank(E156),"",xlookup(E156,'Import_VN_Label approve'!E:E,'Import_VN_Label approve'!L:L,"N/A",0,1))</f>
        <v/>
      </c>
      <c r="BE156" s="314" t="str">
        <f t="array" ref="BE156">if(isblank(E156),"",xlookup(E156,'Import_VN_Label approve'!E:E,'Import_VN_Label approve'!N:N,"N/A",0,1))</f>
        <v/>
      </c>
      <c r="BF156" s="315"/>
      <c r="BG156" s="316" t="s">
        <v>422</v>
      </c>
      <c r="BH156" s="317" t="s">
        <v>423</v>
      </c>
      <c r="BI156" s="360" t="s">
        <v>1091</v>
      </c>
      <c r="BJ156" s="319" t="str">
        <f t="array" ref="BJ156">if(isblank(E156),"", xlookup(D156,z_Others!$B$5:$B$17,z_Others!$C$5:$C$17,"",0,1))</f>
        <v>智能手機</v>
      </c>
      <c r="BK156" s="320">
        <v>45782.0</v>
      </c>
      <c r="BL156" s="320" t="str">
        <f t="array" ref="BL156">if(isblank(E156),"",xlookup(E156,'FL5_MP POR_LH_報關備案_G950 &amp; GA'!F:F,'FL5_MP POR_LH_報關備案_G950 &amp; GA'!E:E,"No Need",0,1))</f>
        <v>No Need</v>
      </c>
      <c r="BM156" s="321" t="str">
        <f t="array" ref="BM156">if(isblank(E156),"",xlookup($BM$9&amp;E156,'Import_FL5 MPS (06.06.25) - Sor'!E152:E334&amp;'Import_FL5 MPS (06.06.25) - Sor'!F152:F334,'Import_FL5 MPS (06.06.25) - Sor'!ES152:ES334,"No demand",0,1))</f>
        <v>No demand</v>
      </c>
      <c r="BN156" s="321" t="str">
        <f t="array" ref="BN156">if(isblank(E156),"",xlookup($BN$9&amp;E156,'Import_FL5 MPS (06.06.25) - Sor'!E152:E334&amp;'Import_FL5 MPS (06.06.25) - Sor'!F152:F334,'Import_FL5 MPS (06.06.25) - Sor'!ES152:ES334,"No demand",0,1))</f>
        <v>No demand</v>
      </c>
      <c r="BO156" s="321" t="str">
        <f t="array" ref="BO156">if(isblank(E156),"",xlookup($BO$9&amp;E156,'Import_FL5 MPS (06.06.25) - Sor'!E152:E334&amp;'Import_FL5 MPS (06.06.25) - Sor'!F152:F334,'Import_FL5 MPS (06.06.25) - Sor'!ES152:ES334,"No demand",0,1))</f>
        <v>No demand</v>
      </c>
      <c r="BP156" s="322" t="str">
        <f t="array" ref="BP156">if(isblank(E156),"", xlookup(E156,'Import_LH_Label approve'!E:E,'Import_LH_Label approve'!L:L,"",0,1))</f>
        <v/>
      </c>
      <c r="BQ156" s="322" t="str">
        <f t="array" ref="BQ156">if(isblank(E156),"",xlookup(E156,'Import_VN_Label approve'!E:E,'Import_VN_Label approve'!M:M,"N/A",0,1))</f>
        <v/>
      </c>
      <c r="BR156" s="325"/>
      <c r="BS156" s="323"/>
      <c r="BT156" s="324"/>
      <c r="BU156" s="91"/>
    </row>
    <row r="157" hidden="1">
      <c r="A157" s="7"/>
      <c r="B157" s="292">
        <v>146.0</v>
      </c>
      <c r="C157" s="231" t="s">
        <v>284</v>
      </c>
      <c r="D157" s="231" t="s">
        <v>408</v>
      </c>
      <c r="E157" s="350" t="s">
        <v>1190</v>
      </c>
      <c r="F157" s="313" t="s">
        <v>1191</v>
      </c>
      <c r="G157" s="294" t="s">
        <v>444</v>
      </c>
      <c r="H157" s="292" t="str">
        <f t="array" ref="H157">xlookup(F157,z_Others!$B$21:$B$45,z_Others!$E$21:$E$45,"",0,1)</f>
        <v>mmWave</v>
      </c>
      <c r="I157" s="310" t="s">
        <v>412</v>
      </c>
      <c r="J157" s="231" t="str">
        <f t="array" ref="J157">if(isblank(E157),"",xlookup(I157,z_Others!$M$17:$M$20,z_Others!$O$17:$O$20,"",0,1))</f>
        <v>Obsidian</v>
      </c>
      <c r="K157" s="292" t="str">
        <f t="array" ref="K157">xlookup(I157,z_Others!$M$17:$M$20,z_Others!$N$17:$N$20,"",0,1)</f>
        <v>BLK</v>
      </c>
      <c r="L157" s="292" t="str">
        <f t="array" ref="L157">xlookup(F157,z_Others!$B$21:$B$45,z_Others!$D$21:$D$45,"",0,1)</f>
        <v>GLBW0</v>
      </c>
      <c r="M157" s="296" t="str">
        <f t="array" ref="M157">xlookup(F157,z_Others!$B$21:$B$45,z_Others!$C$21:$C$45,"",0,1)</f>
        <v>ATT</v>
      </c>
      <c r="N157" s="297">
        <f t="array" ref="N157">if(isblank(E157),"",xlookup($N$9&amp;M157,z_Others!$X$5:$X$17&amp;z_Others!$W$5:$W$17,z_Others!$Z$5:$Z$17,"",0,1))</f>
        <v>35582324</v>
      </c>
      <c r="O157" s="298" t="str">
        <f t="array" ref="O157">if(isblank(E157),"",xlookup($N$9&amp;M157,z_Others!$X$5:$X$17&amp;z_Others!$W$5:$W$17,z_Others!$AH$5:$AH$17,"",0,1))</f>
        <v>35 582324 020000x</v>
      </c>
      <c r="P157" s="299" t="str">
        <f t="array" ref="P157">if(isblank(E157),"",xlookup($N$9&amp;M157,z_Others!$X$5:$X$17&amp;z_Others!$W$5:$W$17,z_Others!$AI$5:$AI$17,"",0,1))</f>
        <v>35 582324 999999x</v>
      </c>
      <c r="Q157" s="300" t="s">
        <v>413</v>
      </c>
      <c r="R157" s="301" t="s">
        <v>414</v>
      </c>
      <c r="S157" s="302">
        <f t="array" ref="S157">if(isblank(E157),"",xlookup($S$9&amp;M157,z_Others!$X$5:$X$17&amp;z_Others!$W$5:$W$17,z_Others!$Z$5:$Z$17,"",0,1))</f>
        <v>35484520</v>
      </c>
      <c r="T157" s="303" t="str">
        <f t="array" ref="T157">if(isblank(E157),"",xlookup($S$9&amp;M157,z_Others!$X$5:$X$17&amp;z_Others!$W$5:$W$17,z_Others!$AH$5:$AH$17,"",0,1))</f>
        <v>35 484520 020000x</v>
      </c>
      <c r="U157" s="303" t="str">
        <f t="array" ref="U157">if(isblank(E157),"",xlookup($S$9&amp;M157,z_Others!$X$5:$X$17&amp;z_Others!$W$5:$W$17,z_Others!$AI$5:$AI$17,"",0,1))</f>
        <v>35 484520 999999x</v>
      </c>
      <c r="V157" s="303" t="str">
        <f t="shared" si="2"/>
        <v>64:9D:38:32:91:82
B0:D5:FB:C6:60:70</v>
      </c>
      <c r="W157" s="303" t="str">
        <f t="shared" si="3"/>
        <v>64:9D:38:37:25:61
B0:D5:FB:CE:01:8F</v>
      </c>
      <c r="X157" s="304" t="str">
        <f t="shared" si="4"/>
        <v>MP1.0</v>
      </c>
      <c r="Y157" s="292"/>
      <c r="Z157" s="304" t="str">
        <f t="shared" si="32"/>
        <v>Android 16</v>
      </c>
      <c r="AA157" s="304" t="str">
        <f t="shared" si="45"/>
        <v>TBD</v>
      </c>
      <c r="AB157" s="305" t="s">
        <v>1192</v>
      </c>
      <c r="AC157" s="361" t="s">
        <v>1175</v>
      </c>
      <c r="AD157" s="306"/>
      <c r="AE157" s="306"/>
      <c r="AF157" s="308"/>
      <c r="AG157" s="308"/>
      <c r="AH157" s="297" t="str">
        <f t="array" ref="AH157">if(isblank(E157),"",xlookup(F157,z_Others!$B$21:$B$45,z_Others!$F$21:$F$45,"TBD",0,1))</f>
        <v>US</v>
      </c>
      <c r="AI157" s="310" t="str">
        <f t="array" ref="AI157">if(isblank(E157),"", xlookup(E157,'Import_FL5_LH_PVTMP_Configs (Do'!E:E,'Import_FL5_LH_PVTMP_Configs (Do'!O:O,"TBD",0,1))</f>
        <v>TBD</v>
      </c>
      <c r="AJ157" s="311"/>
      <c r="AK157" s="310" t="str">
        <f t="array" ref="AK157">if(isblank(E157),"", xlookup(E157,'Import_FL5_LH_PVTMP_Configs (Do'!E:E,'Import_FL5_LH_PVTMP_Configs (Do'!Q:Q,"TBD",0,1))</f>
        <v>TBD</v>
      </c>
      <c r="AL157" s="310" t="str">
        <f t="array" ref="AL157">if(isblank(E157),"", xlookup(E157,'Import_FL5_LH_PVTMP_Configs (Do'!E:E,'Import_FL5_LH_PVTMP_Configs (Do'!M:M,"TBD",0,1))</f>
        <v>TBD</v>
      </c>
      <c r="AM157" s="310" t="str">
        <f t="array" ref="AM157">if(isblank(E157),"", xlookup(E157,'Import_FL5_LH_PVTMP_Configs (Do'!E:E,'Import_FL5_LH_PVTMP_Configs (Do'!N:N,"TBD",0,1))</f>
        <v>TBD</v>
      </c>
      <c r="AN157" s="310" t="str">
        <f t="array" ref="AN157">if(isblank(E157),"", xlookup(E157,'Import_FL5_LH_PVTMP_Configs (Do'!E:E,'Import_FL5_LH_PVTMP_Configs (Do'!K:K,"TBD",0,1))</f>
        <v>TBD</v>
      </c>
      <c r="AO157" s="292" t="str">
        <f t="array" ref="AO157">if(isblank(E157),"",XLOOKUP(E157,'FL5_G954 Pkg ASSY (Pkg BOM)'!L:L,'FL5_G954 Pkg ASSY (Pkg BOM)'!G:G,"N/A",0,1))</f>
        <v>N/A</v>
      </c>
      <c r="AP157" s="292" t="str">
        <f t="array" ref="AP157">if(isblank(E157),"",xlookup(E157,'FL5_G962 Country kit (Accesorie'!L:L,'FL5_G962 Country kit (Accesorie'!G:G,"N/A",0,1))</f>
        <v>N/A</v>
      </c>
      <c r="AQ157" s="304" t="str">
        <f t="array" ref="AQ157">if(isblank(E157),"", xlookup(E157,'Import_LH_Label approve'!E:E,'Import_LH_Label approve'!M:M,"",0,1))</f>
        <v/>
      </c>
      <c r="AR157" s="304" t="str">
        <f t="array" ref="AR157">if(isblank(E157),"",xlookup(E157,'Import_LH_Label approve'!E:E,'Import_LH_Label approve'!N:N,"",0,1))</f>
        <v/>
      </c>
      <c r="AS157" s="292" t="s">
        <v>419</v>
      </c>
      <c r="AT157" s="302" t="str">
        <f t="shared" si="6"/>
        <v>Yes</v>
      </c>
      <c r="AU157" s="302" t="str">
        <f t="shared" si="7"/>
        <v>No</v>
      </c>
      <c r="AV157" s="302" t="str">
        <f t="shared" si="8"/>
        <v>No</v>
      </c>
      <c r="AW157" s="297"/>
      <c r="AX157" s="302" t="s">
        <v>1193</v>
      </c>
      <c r="AY157" s="302" t="s">
        <v>1194</v>
      </c>
      <c r="AZ157" s="312" t="str">
        <f t="array" ref="AZ157">if(isblank(E157),"", xlookup(E157,Import_FL5_LH_PVT_BM!D:D,Import_FL5_LH_PVT_BM!AK:AK,$F$4,0,1))</f>
        <v>MP</v>
      </c>
      <c r="BA157" s="292" t="str">
        <f t="shared" si="9"/>
        <v>Retail_10ct</v>
      </c>
      <c r="BB157" s="313" t="str">
        <f t="array" ref="BB157">if(isblank(E157),"",xlookup(F157,z_Others!$B$21:$B$42,z_Others!$G$21:$G$42,"No",0,1))</f>
        <v>ATT Master Carton Label</v>
      </c>
      <c r="BC157" s="313" t="str">
        <f t="array" ref="BC157">if(isblank(E157),"",xlookup(F157,z_Others!$B$21:$B$42,z_Others!$H$21:$H$42,"No",0,1))</f>
        <v>ATT Pallet Label (BTO)
ATT Pallet Label (BTS)</v>
      </c>
      <c r="BD157" s="314" t="str">
        <f t="array" ref="BD157">if(isblank(E157),"",xlookup(E157,'Import_VN_Label approve'!E:E,'Import_VN_Label approve'!L:L,"N/A",0,1))</f>
        <v/>
      </c>
      <c r="BE157" s="314" t="str">
        <f t="array" ref="BE157">if(isblank(E157),"",xlookup(E157,'Import_VN_Label approve'!E:E,'Import_VN_Label approve'!N:N,"N/A",0,1))</f>
        <v/>
      </c>
      <c r="BF157" s="315"/>
      <c r="BG157" s="316" t="s">
        <v>422</v>
      </c>
      <c r="BH157" s="317" t="s">
        <v>423</v>
      </c>
      <c r="BI157" s="360" t="s">
        <v>1091</v>
      </c>
      <c r="BJ157" s="319" t="str">
        <f t="array" ref="BJ157">if(isblank(E157),"", xlookup(D157,z_Others!$B$5:$B$17,z_Others!$C$5:$C$17,"",0,1))</f>
        <v>智能手機</v>
      </c>
      <c r="BK157" s="320">
        <v>45782.0</v>
      </c>
      <c r="BL157" s="320" t="str">
        <f t="array" ref="BL157">if(isblank(E157),"",xlookup(E157,'FL5_MP POR_LH_報關備案_G950 &amp; GA'!F:F,'FL5_MP POR_LH_報關備案_G950 &amp; GA'!E:E,"No Need",0,1))</f>
        <v>No Need</v>
      </c>
      <c r="BM157" s="321" t="str">
        <f t="array" ref="BM157">if(isblank(E157),"",xlookup($BM$9&amp;E157,'Import_FL5 MPS (06.06.25) - Sor'!E153:E334&amp;'Import_FL5 MPS (06.06.25) - Sor'!F153:F334,'Import_FL5 MPS (06.06.25) - Sor'!ES153:ES334,"No demand",0,1))</f>
        <v>No demand</v>
      </c>
      <c r="BN157" s="321" t="str">
        <f t="array" ref="BN157">if(isblank(E157),"",xlookup($BN$9&amp;E157,'Import_FL5 MPS (06.06.25) - Sor'!E153:E334&amp;'Import_FL5 MPS (06.06.25) - Sor'!F153:F334,'Import_FL5 MPS (06.06.25) - Sor'!ES153:ES334,"No demand",0,1))</f>
        <v>No demand</v>
      </c>
      <c r="BO157" s="321" t="str">
        <f t="array" ref="BO157">if(isblank(E157),"",xlookup($BO$9&amp;E157,'Import_FL5 MPS (06.06.25) - Sor'!E153:E334&amp;'Import_FL5 MPS (06.06.25) - Sor'!F153:F334,'Import_FL5 MPS (06.06.25) - Sor'!ES153:ES334,"No demand",0,1))</f>
        <v>No demand</v>
      </c>
      <c r="BP157" s="322" t="str">
        <f t="array" ref="BP157">if(isblank(E157),"", xlookup(E157,'Import_LH_Label approve'!E:E,'Import_LH_Label approve'!L:L,"",0,1))</f>
        <v/>
      </c>
      <c r="BQ157" s="322" t="str">
        <f t="array" ref="BQ157">if(isblank(E157),"",xlookup(E157,'Import_VN_Label approve'!E:E,'Import_VN_Label approve'!M:M,"N/A",0,1))</f>
        <v/>
      </c>
      <c r="BR157" s="325"/>
      <c r="BS157" s="323"/>
      <c r="BT157" s="324"/>
      <c r="BU157" s="91"/>
    </row>
    <row r="158" hidden="1">
      <c r="A158" s="7"/>
      <c r="B158" s="292">
        <v>147.0</v>
      </c>
      <c r="C158" s="231" t="s">
        <v>284</v>
      </c>
      <c r="D158" s="231" t="s">
        <v>408</v>
      </c>
      <c r="E158" s="350" t="s">
        <v>1195</v>
      </c>
      <c r="F158" s="313" t="s">
        <v>1191</v>
      </c>
      <c r="G158" s="294" t="s">
        <v>444</v>
      </c>
      <c r="H158" s="292" t="str">
        <f t="array" ref="H158">xlookup(F158,z_Others!$B$21:$B$45,z_Others!$E$21:$E$45,"",0,1)</f>
        <v>mmWave</v>
      </c>
      <c r="I158" s="310" t="s">
        <v>437</v>
      </c>
      <c r="J158" s="231" t="str">
        <f t="array" ref="J158">if(isblank(E158),"",xlookup(I158,z_Others!$M$17:$M$20,z_Others!$O$17:$O$20,"",0,1))</f>
        <v>Indigo</v>
      </c>
      <c r="K158" s="292" t="str">
        <f t="array" ref="K158">xlookup(I158,z_Others!$M$17:$M$20,z_Others!$N$17:$N$20,"",0,1)</f>
        <v>BUE</v>
      </c>
      <c r="L158" s="292" t="str">
        <f t="array" ref="L158">xlookup(F158,z_Others!$B$21:$B$45,z_Others!$D$21:$D$45,"",0,1)</f>
        <v>GLBW0</v>
      </c>
      <c r="M158" s="296" t="str">
        <f t="array" ref="M158">xlookup(F158,z_Others!$B$21:$B$45,z_Others!$C$21:$C$45,"",0,1)</f>
        <v>ATT</v>
      </c>
      <c r="N158" s="297">
        <f t="array" ref="N158">if(isblank(E158),"",xlookup($N$9&amp;M158,z_Others!$X$5:$X$17&amp;z_Others!$W$5:$W$17,z_Others!$Z$5:$Z$17,"",0,1))</f>
        <v>35582324</v>
      </c>
      <c r="O158" s="298" t="str">
        <f t="array" ref="O158">if(isblank(E158),"",xlookup($N$9&amp;M158,z_Others!$X$5:$X$17&amp;z_Others!$W$5:$W$17,z_Others!$AH$5:$AH$17,"",0,1))</f>
        <v>35 582324 020000x</v>
      </c>
      <c r="P158" s="299" t="str">
        <f t="array" ref="P158">if(isblank(E158),"",xlookup($N$9&amp;M158,z_Others!$X$5:$X$17&amp;z_Others!$W$5:$W$17,z_Others!$AI$5:$AI$17,"",0,1))</f>
        <v>35 582324 999999x</v>
      </c>
      <c r="Q158" s="300" t="s">
        <v>413</v>
      </c>
      <c r="R158" s="301" t="s">
        <v>414</v>
      </c>
      <c r="S158" s="302">
        <f t="array" ref="S158">if(isblank(E158),"",xlookup($S$9&amp;M158,z_Others!$X$5:$X$17&amp;z_Others!$W$5:$W$17,z_Others!$Z$5:$Z$17,"",0,1))</f>
        <v>35484520</v>
      </c>
      <c r="T158" s="303" t="str">
        <f t="array" ref="T158">if(isblank(E158),"",xlookup($S$9&amp;M158,z_Others!$X$5:$X$17&amp;z_Others!$W$5:$W$17,z_Others!$AH$5:$AH$17,"",0,1))</f>
        <v>35 484520 020000x</v>
      </c>
      <c r="U158" s="303" t="str">
        <f t="array" ref="U158">if(isblank(E158),"",xlookup($S$9&amp;M158,z_Others!$X$5:$X$17&amp;z_Others!$W$5:$W$17,z_Others!$AI$5:$AI$17,"",0,1))</f>
        <v>35 484520 999999x</v>
      </c>
      <c r="V158" s="303" t="str">
        <f t="shared" si="2"/>
        <v>64:9D:38:32:91:82
B0:D5:FB:C6:60:70</v>
      </c>
      <c r="W158" s="303" t="str">
        <f t="shared" si="3"/>
        <v>64:9D:38:37:25:61
B0:D5:FB:CE:01:8F</v>
      </c>
      <c r="X158" s="304" t="str">
        <f t="shared" si="4"/>
        <v>MP1.0</v>
      </c>
      <c r="Y158" s="292"/>
      <c r="Z158" s="304" t="str">
        <f t="shared" si="32"/>
        <v>Android 16</v>
      </c>
      <c r="AA158" s="304" t="str">
        <f t="shared" si="45"/>
        <v>TBD</v>
      </c>
      <c r="AB158" s="305" t="s">
        <v>1196</v>
      </c>
      <c r="AC158" s="361" t="s">
        <v>1175</v>
      </c>
      <c r="AD158" s="306"/>
      <c r="AE158" s="306"/>
      <c r="AF158" s="308"/>
      <c r="AG158" s="308"/>
      <c r="AH158" s="297" t="str">
        <f t="array" ref="AH158">if(isblank(E158),"",xlookup(F158,z_Others!$B$21:$B$45,z_Others!$F$21:$F$45,"TBD",0,1))</f>
        <v>US</v>
      </c>
      <c r="AI158" s="310" t="str">
        <f t="array" ref="AI158">if(isblank(E158),"", xlookup(E158,'Import_FL5_LH_PVTMP_Configs (Do'!E:E,'Import_FL5_LH_PVTMP_Configs (Do'!O:O,"TBD",0,1))</f>
        <v>TBD</v>
      </c>
      <c r="AJ158" s="311"/>
      <c r="AK158" s="310" t="str">
        <f t="array" ref="AK158">if(isblank(E158),"", xlookup(E158,'Import_FL5_LH_PVTMP_Configs (Do'!E:E,'Import_FL5_LH_PVTMP_Configs (Do'!Q:Q,"TBD",0,1))</f>
        <v>TBD</v>
      </c>
      <c r="AL158" s="310" t="str">
        <f t="array" ref="AL158">if(isblank(E158),"", xlookup(E158,'Import_FL5_LH_PVTMP_Configs (Do'!E:E,'Import_FL5_LH_PVTMP_Configs (Do'!M:M,"TBD",0,1))</f>
        <v>TBD</v>
      </c>
      <c r="AM158" s="310" t="str">
        <f t="array" ref="AM158">if(isblank(E158),"", xlookup(E158,'Import_FL5_LH_PVTMP_Configs (Do'!E:E,'Import_FL5_LH_PVTMP_Configs (Do'!N:N,"TBD",0,1))</f>
        <v>TBD</v>
      </c>
      <c r="AN158" s="310" t="str">
        <f t="array" ref="AN158">if(isblank(E158),"", xlookup(E158,'Import_FL5_LH_PVTMP_Configs (Do'!E:E,'Import_FL5_LH_PVTMP_Configs (Do'!K:K,"TBD",0,1))</f>
        <v>TBD</v>
      </c>
      <c r="AO158" s="292" t="str">
        <f t="array" ref="AO158">if(isblank(E158),"",XLOOKUP(E158,'FL5_G954 Pkg ASSY (Pkg BOM)'!L:L,'FL5_G954 Pkg ASSY (Pkg BOM)'!G:G,"N/A",0,1))</f>
        <v>N/A</v>
      </c>
      <c r="AP158" s="292" t="str">
        <f t="array" ref="AP158">if(isblank(E158),"",xlookup(E158,'FL5_G962 Country kit (Accesorie'!L:L,'FL5_G962 Country kit (Accesorie'!G:G,"N/A",0,1))</f>
        <v>N/A</v>
      </c>
      <c r="AQ158" s="304" t="str">
        <f t="array" ref="AQ158">if(isblank(E158),"", xlookup(E158,'Import_LH_Label approve'!E:E,'Import_LH_Label approve'!M:M,"",0,1))</f>
        <v/>
      </c>
      <c r="AR158" s="304" t="str">
        <f t="array" ref="AR158">if(isblank(E158),"",xlookup(E158,'Import_LH_Label approve'!E:E,'Import_LH_Label approve'!N:N,"",0,1))</f>
        <v/>
      </c>
      <c r="AS158" s="292" t="s">
        <v>419</v>
      </c>
      <c r="AT158" s="302" t="str">
        <f t="shared" si="6"/>
        <v>Yes</v>
      </c>
      <c r="AU158" s="302" t="str">
        <f t="shared" si="7"/>
        <v>No</v>
      </c>
      <c r="AV158" s="302" t="str">
        <f t="shared" si="8"/>
        <v>No</v>
      </c>
      <c r="AW158" s="297"/>
      <c r="AX158" s="302" t="s">
        <v>1197</v>
      </c>
      <c r="AY158" s="302" t="s">
        <v>1198</v>
      </c>
      <c r="AZ158" s="312" t="str">
        <f t="array" ref="AZ158">if(isblank(E158),"", xlookup(E158,Import_FL5_LH_PVT_BM!D:D,Import_FL5_LH_PVT_BM!AK:AK,$F$4,0,1))</f>
        <v>MP</v>
      </c>
      <c r="BA158" s="292" t="str">
        <f t="shared" si="9"/>
        <v>Retail_10ct</v>
      </c>
      <c r="BB158" s="313" t="str">
        <f t="array" ref="BB158">if(isblank(E158),"",xlookup(F158,z_Others!$B$21:$B$42,z_Others!$G$21:$G$42,"No",0,1))</f>
        <v>ATT Master Carton Label</v>
      </c>
      <c r="BC158" s="313" t="str">
        <f t="array" ref="BC158">if(isblank(E158),"",xlookup(F158,z_Others!$B$21:$B$42,z_Others!$H$21:$H$42,"No",0,1))</f>
        <v>ATT Pallet Label (BTO)
ATT Pallet Label (BTS)</v>
      </c>
      <c r="BD158" s="314" t="str">
        <f t="array" ref="BD158">if(isblank(E158),"",xlookup(E158,'Import_VN_Label approve'!E:E,'Import_VN_Label approve'!L:L,"N/A",0,1))</f>
        <v/>
      </c>
      <c r="BE158" s="314" t="str">
        <f t="array" ref="BE158">if(isblank(E158),"",xlookup(E158,'Import_VN_Label approve'!E:E,'Import_VN_Label approve'!N:N,"N/A",0,1))</f>
        <v/>
      </c>
      <c r="BF158" s="315"/>
      <c r="BG158" s="316" t="s">
        <v>422</v>
      </c>
      <c r="BH158" s="317" t="s">
        <v>423</v>
      </c>
      <c r="BI158" s="360" t="s">
        <v>1091</v>
      </c>
      <c r="BJ158" s="319" t="str">
        <f t="array" ref="BJ158">if(isblank(E158),"", xlookup(D158,z_Others!$B$5:$B$17,z_Others!$C$5:$C$17,"",0,1))</f>
        <v>智能手機</v>
      </c>
      <c r="BK158" s="320">
        <v>45782.0</v>
      </c>
      <c r="BL158" s="320" t="str">
        <f t="array" ref="BL158">if(isblank(E158),"",xlookup(E158,'FL5_MP POR_LH_報關備案_G950 &amp; GA'!F:F,'FL5_MP POR_LH_報關備案_G950 &amp; GA'!E:E,"No Need",0,1))</f>
        <v>No Need</v>
      </c>
      <c r="BM158" s="321" t="str">
        <f t="array" ref="BM158">if(isblank(E158),"",xlookup($BM$9&amp;E158,'Import_FL5 MPS (06.06.25) - Sor'!E154:E334&amp;'Import_FL5 MPS (06.06.25) - Sor'!F154:F334,'Import_FL5 MPS (06.06.25) - Sor'!ES154:ES334,"No demand",0,1))</f>
        <v>No demand</v>
      </c>
      <c r="BN158" s="321" t="str">
        <f t="array" ref="BN158">if(isblank(E158),"",xlookup($BN$9&amp;E158,'Import_FL5 MPS (06.06.25) - Sor'!E154:E334&amp;'Import_FL5 MPS (06.06.25) - Sor'!F154:F334,'Import_FL5 MPS (06.06.25) - Sor'!ES154:ES334,"No demand",0,1))</f>
        <v>No demand</v>
      </c>
      <c r="BO158" s="321" t="str">
        <f t="array" ref="BO158">if(isblank(E158),"",xlookup($BO$9&amp;E158,'Import_FL5 MPS (06.06.25) - Sor'!E154:E334&amp;'Import_FL5 MPS (06.06.25) - Sor'!F154:F334,'Import_FL5 MPS (06.06.25) - Sor'!ES154:ES334,"No demand",0,1))</f>
        <v>No demand</v>
      </c>
      <c r="BP158" s="322" t="str">
        <f t="array" ref="BP158">if(isblank(E158),"", xlookup(E158,'Import_LH_Label approve'!E:E,'Import_LH_Label approve'!L:L,"",0,1))</f>
        <v/>
      </c>
      <c r="BQ158" s="322" t="str">
        <f t="array" ref="BQ158">if(isblank(E158),"",xlookup(E158,'Import_VN_Label approve'!E:E,'Import_VN_Label approve'!M:M,"N/A",0,1))</f>
        <v/>
      </c>
      <c r="BR158" s="325"/>
      <c r="BS158" s="323"/>
      <c r="BT158" s="324"/>
      <c r="BU158" s="91"/>
    </row>
    <row r="159" hidden="1">
      <c r="A159" s="7"/>
      <c r="B159" s="292">
        <v>148.0</v>
      </c>
      <c r="C159" s="231" t="s">
        <v>284</v>
      </c>
      <c r="D159" s="231" t="s">
        <v>408</v>
      </c>
      <c r="E159" s="350" t="s">
        <v>1199</v>
      </c>
      <c r="F159" s="313" t="s">
        <v>1200</v>
      </c>
      <c r="G159" s="294" t="s">
        <v>459</v>
      </c>
      <c r="H159" s="292" t="str">
        <f t="array" ref="H159">xlookup(F159,z_Others!$B$21:$B$45,z_Others!$E$21:$E$45,"",0,1)</f>
        <v>mmWave</v>
      </c>
      <c r="I159" s="310" t="s">
        <v>412</v>
      </c>
      <c r="J159" s="231" t="str">
        <f t="array" ref="J159">if(isblank(E159),"",xlookup(I159,z_Others!$M$17:$M$20,z_Others!$O$17:$O$20,"",0,1))</f>
        <v>Obsidian</v>
      </c>
      <c r="K159" s="292" t="str">
        <f t="array" ref="K159">xlookup(I159,z_Others!$M$17:$M$20,z_Others!$N$17:$N$20,"",0,1)</f>
        <v>BLK</v>
      </c>
      <c r="L159" s="292" t="str">
        <f t="array" ref="L159">xlookup(F159,z_Others!$B$21:$B$45,z_Others!$D$21:$D$45,"",0,1)</f>
        <v>GLBW0</v>
      </c>
      <c r="M159" s="296" t="str">
        <f t="array" ref="M159">xlookup(F159,z_Others!$B$21:$B$45,z_Others!$C$21:$C$45,"",0,1)</f>
        <v>TMO</v>
      </c>
      <c r="N159" s="297">
        <f t="array" ref="N159">if(isblank(E159),"",xlookup($N$9&amp;M159,z_Others!$X$5:$X$17&amp;z_Others!$W$5:$W$17,z_Others!$Z$5:$Z$17,"",0,1))</f>
        <v>35163422</v>
      </c>
      <c r="O159" s="298" t="str">
        <f t="array" ref="O159">if(isblank(E159),"",xlookup($N$9&amp;M159,z_Others!$X$5:$X$17&amp;z_Others!$W$5:$W$17,z_Others!$AH$5:$AH$17,"",0,1))</f>
        <v>35 163422 020000x</v>
      </c>
      <c r="P159" s="299" t="str">
        <f t="array" ref="P159">if(isblank(E159),"",xlookup($N$9&amp;M159,z_Others!$X$5:$X$17&amp;z_Others!$W$5:$W$17,z_Others!$AI$5:$AI$17,"",0,1))</f>
        <v>35 163422 999999x</v>
      </c>
      <c r="Q159" s="300" t="s">
        <v>413</v>
      </c>
      <c r="R159" s="301" t="s">
        <v>414</v>
      </c>
      <c r="S159" s="302">
        <f t="array" ref="S159">if(isblank(E159),"",xlookup($S$9&amp;M159,z_Others!$X$5:$X$17&amp;z_Others!$W$5:$W$17,z_Others!$Z$5:$Z$17,"",0,1))</f>
        <v>35676321</v>
      </c>
      <c r="T159" s="303" t="str">
        <f t="array" ref="T159">if(isblank(E159),"",xlookup($S$9&amp;M159,z_Others!$X$5:$X$17&amp;z_Others!$W$5:$W$17,z_Others!$AH$5:$AH$17,"",0,1))</f>
        <v>35 676321 020000x</v>
      </c>
      <c r="U159" s="303" t="str">
        <f t="array" ref="U159">if(isblank(E159),"",xlookup($S$9&amp;M159,z_Others!$X$5:$X$17&amp;z_Others!$W$5:$W$17,z_Others!$AI$5:$AI$17,"",0,1))</f>
        <v>35 676321 999999x</v>
      </c>
      <c r="V159" s="303" t="str">
        <f t="shared" si="2"/>
        <v>64:9D:38:32:91:82
B0:D5:FB:C6:60:70</v>
      </c>
      <c r="W159" s="303" t="str">
        <f t="shared" si="3"/>
        <v>64:9D:38:37:25:61
B0:D5:FB:CE:01:8F</v>
      </c>
      <c r="X159" s="304" t="str">
        <f t="shared" si="4"/>
        <v>MP1.0</v>
      </c>
      <c r="Y159" s="292"/>
      <c r="Z159" s="304" t="str">
        <f t="shared" si="32"/>
        <v>Android 16</v>
      </c>
      <c r="AA159" s="304" t="str">
        <f t="shared" si="45"/>
        <v>TBD</v>
      </c>
      <c r="AB159" s="305" t="s">
        <v>1201</v>
      </c>
      <c r="AC159" s="361" t="s">
        <v>1175</v>
      </c>
      <c r="AD159" s="306"/>
      <c r="AE159" s="306"/>
      <c r="AF159" s="308"/>
      <c r="AG159" s="308"/>
      <c r="AH159" s="297" t="str">
        <f t="array" ref="AH159">if(isblank(E159),"",xlookup(F159,z_Others!$B$21:$B$45,z_Others!$F$21:$F$45,"TBD",0,1))</f>
        <v>US</v>
      </c>
      <c r="AI159" s="310" t="str">
        <f t="array" ref="AI159">if(isblank(E159),"", xlookup(E159,'Import_FL5_LH_PVTMP_Configs (Do'!E:E,'Import_FL5_LH_PVTMP_Configs (Do'!O:O,"TBD",0,1))</f>
        <v>TBD</v>
      </c>
      <c r="AJ159" s="311"/>
      <c r="AK159" s="310" t="str">
        <f t="array" ref="AK159">if(isblank(E159),"", xlookup(E159,'Import_FL5_LH_PVTMP_Configs (Do'!E:E,'Import_FL5_LH_PVTMP_Configs (Do'!Q:Q,"TBD",0,1))</f>
        <v>TBD</v>
      </c>
      <c r="AL159" s="310" t="str">
        <f t="array" ref="AL159">if(isblank(E159),"", xlookup(E159,'Import_FL5_LH_PVTMP_Configs (Do'!E:E,'Import_FL5_LH_PVTMP_Configs (Do'!M:M,"TBD",0,1))</f>
        <v>TBD</v>
      </c>
      <c r="AM159" s="310" t="str">
        <f t="array" ref="AM159">if(isblank(E159),"", xlookup(E159,'Import_FL5_LH_PVTMP_Configs (Do'!E:E,'Import_FL5_LH_PVTMP_Configs (Do'!N:N,"TBD",0,1))</f>
        <v>TBD</v>
      </c>
      <c r="AN159" s="310" t="str">
        <f t="array" ref="AN159">if(isblank(E159),"", xlookup(E159,'Import_FL5_LH_PVTMP_Configs (Do'!E:E,'Import_FL5_LH_PVTMP_Configs (Do'!K:K,"TBD",0,1))</f>
        <v>TBD</v>
      </c>
      <c r="AO159" s="292" t="str">
        <f t="array" ref="AO159">if(isblank(E159),"",XLOOKUP(E159,'FL5_G954 Pkg ASSY (Pkg BOM)'!L:L,'FL5_G954 Pkg ASSY (Pkg BOM)'!G:G,"N/A",0,1))</f>
        <v>N/A</v>
      </c>
      <c r="AP159" s="292" t="str">
        <f t="array" ref="AP159">if(isblank(E159),"",xlookup(E159,'FL5_G962 Country kit (Accesorie'!L:L,'FL5_G962 Country kit (Accesorie'!G:G,"N/A",0,1))</f>
        <v>N/A</v>
      </c>
      <c r="AQ159" s="304" t="str">
        <f t="array" ref="AQ159">if(isblank(E159),"", xlookup(E159,'Import_LH_Label approve'!E:E,'Import_LH_Label approve'!M:M,"",0,1))</f>
        <v/>
      </c>
      <c r="AR159" s="304" t="str">
        <f t="array" ref="AR159">if(isblank(E159),"",xlookup(E159,'Import_LH_Label approve'!E:E,'Import_LH_Label approve'!N:N,"",0,1))</f>
        <v/>
      </c>
      <c r="AS159" s="292" t="s">
        <v>419</v>
      </c>
      <c r="AT159" s="302" t="str">
        <f t="shared" si="6"/>
        <v>Yes</v>
      </c>
      <c r="AU159" s="302" t="str">
        <f t="shared" si="7"/>
        <v>No</v>
      </c>
      <c r="AV159" s="302" t="str">
        <f t="shared" si="8"/>
        <v>No</v>
      </c>
      <c r="AW159" s="302" t="s">
        <v>585</v>
      </c>
      <c r="AX159" s="302" t="s">
        <v>1202</v>
      </c>
      <c r="AY159" s="302" t="s">
        <v>1203</v>
      </c>
      <c r="AZ159" s="312" t="str">
        <f t="array" ref="AZ159">if(isblank(E159),"", xlookup(E159,Import_FL5_LH_PVT_BM!D:D,Import_FL5_LH_PVT_BM!AK:AK,$F$4,0,1))</f>
        <v>MP</v>
      </c>
      <c r="BA159" s="292" t="str">
        <f t="shared" si="9"/>
        <v>Retail_10ct</v>
      </c>
      <c r="BB159" s="313" t="str">
        <f t="array" ref="BB159">if(isblank(E159),"",xlookup(F159,z_Others!$B$21:$B$42,z_Others!$G$21:$G$42,"No",0,1))</f>
        <v>TMO Master Carton Label</v>
      </c>
      <c r="BC159" s="313" t="str">
        <f t="array" ref="BC159">if(isblank(E159),"",xlookup(F159,z_Others!$B$21:$B$42,z_Others!$H$21:$H$42,"No",0,1))</f>
        <v>T-Mobile Pallet Label (BTO)
T-Mobile Pallet Label (BTS)</v>
      </c>
      <c r="BD159" s="314" t="str">
        <f t="array" ref="BD159">if(isblank(E159),"",xlookup(E159,'Import_VN_Label approve'!E:E,'Import_VN_Label approve'!L:L,"N/A",0,1))</f>
        <v/>
      </c>
      <c r="BE159" s="314" t="str">
        <f t="array" ref="BE159">if(isblank(E159),"",xlookup(E159,'Import_VN_Label approve'!E:E,'Import_VN_Label approve'!N:N,"N/A",0,1))</f>
        <v/>
      </c>
      <c r="BF159" s="315"/>
      <c r="BG159" s="316" t="s">
        <v>422</v>
      </c>
      <c r="BH159" s="317" t="s">
        <v>423</v>
      </c>
      <c r="BI159" s="360" t="s">
        <v>1091</v>
      </c>
      <c r="BJ159" s="319" t="str">
        <f t="array" ref="BJ159">if(isblank(E159),"", xlookup(D159,z_Others!$B$5:$B$17,z_Others!$C$5:$C$17,"",0,1))</f>
        <v>智能手機</v>
      </c>
      <c r="BK159" s="320">
        <v>45782.0</v>
      </c>
      <c r="BL159" s="320" t="str">
        <f t="array" ref="BL159">if(isblank(E159),"",xlookup(E159,'FL5_MP POR_LH_報關備案_G950 &amp; GA'!F:F,'FL5_MP POR_LH_報關備案_G950 &amp; GA'!E:E,"No Need",0,1))</f>
        <v>No Need</v>
      </c>
      <c r="BM159" s="321" t="str">
        <f t="array" ref="BM159">if(isblank(E159),"",xlookup($BM$9&amp;E159,'Import_FL5 MPS (06.06.25) - Sor'!E155:E334&amp;'Import_FL5 MPS (06.06.25) - Sor'!F155:F334,'Import_FL5 MPS (06.06.25) - Sor'!ES155:ES334,"No demand",0,1))</f>
        <v>No demand</v>
      </c>
      <c r="BN159" s="321" t="str">
        <f t="array" ref="BN159">if(isblank(E159),"",xlookup($BN$9&amp;E159,'Import_FL5 MPS (06.06.25) - Sor'!E155:E334&amp;'Import_FL5 MPS (06.06.25) - Sor'!F155:F334,'Import_FL5 MPS (06.06.25) - Sor'!ES155:ES334,"No demand",0,1))</f>
        <v>No demand</v>
      </c>
      <c r="BO159" s="321" t="str">
        <f t="array" ref="BO159">if(isblank(E159),"",xlookup($BO$9&amp;E159,'Import_FL5 MPS (06.06.25) - Sor'!E155:E334&amp;'Import_FL5 MPS (06.06.25) - Sor'!F155:F334,'Import_FL5 MPS (06.06.25) - Sor'!ES155:ES334,"No demand",0,1))</f>
        <v>No demand</v>
      </c>
      <c r="BP159" s="322" t="str">
        <f t="array" ref="BP159">if(isblank(E159),"", xlookup(E159,'Import_LH_Label approve'!E:E,'Import_LH_Label approve'!L:L,"",0,1))</f>
        <v/>
      </c>
      <c r="BQ159" s="322" t="str">
        <f t="array" ref="BQ159">if(isblank(E159),"",xlookup(E159,'Import_VN_Label approve'!E:E,'Import_VN_Label approve'!M:M,"N/A",0,1))</f>
        <v/>
      </c>
      <c r="BR159" s="325"/>
      <c r="BS159" s="323"/>
      <c r="BT159" s="324"/>
      <c r="BU159" s="91"/>
    </row>
    <row r="160" hidden="1">
      <c r="A160" s="7"/>
      <c r="B160" s="292">
        <v>149.0</v>
      </c>
      <c r="C160" s="231" t="s">
        <v>284</v>
      </c>
      <c r="D160" s="231" t="s">
        <v>408</v>
      </c>
      <c r="E160" s="350" t="s">
        <v>1204</v>
      </c>
      <c r="F160" s="313" t="s">
        <v>1200</v>
      </c>
      <c r="G160" s="294" t="s">
        <v>459</v>
      </c>
      <c r="H160" s="292" t="str">
        <f t="array" ref="H160">xlookup(F160,z_Others!$B$21:$B$45,z_Others!$E$21:$E$45,"",0,1)</f>
        <v>mmWave</v>
      </c>
      <c r="I160" s="310" t="s">
        <v>437</v>
      </c>
      <c r="J160" s="231" t="str">
        <f t="array" ref="J160">if(isblank(E160),"",xlookup(I160,z_Others!$M$17:$M$20,z_Others!$O$17:$O$20,"",0,1))</f>
        <v>Indigo</v>
      </c>
      <c r="K160" s="292" t="str">
        <f t="array" ref="K160">xlookup(I160,z_Others!$M$17:$M$20,z_Others!$N$17:$N$20,"",0,1)</f>
        <v>BUE</v>
      </c>
      <c r="L160" s="292" t="str">
        <f t="array" ref="L160">xlookup(F160,z_Others!$B$21:$B$45,z_Others!$D$21:$D$45,"",0,1)</f>
        <v>GLBW0</v>
      </c>
      <c r="M160" s="296" t="str">
        <f t="array" ref="M160">xlookup(F160,z_Others!$B$21:$B$45,z_Others!$C$21:$C$45,"",0,1)</f>
        <v>TMO</v>
      </c>
      <c r="N160" s="297">
        <f t="array" ref="N160">if(isblank(E160),"",xlookup($N$9&amp;M160,z_Others!$X$5:$X$17&amp;z_Others!$W$5:$W$17,z_Others!$Z$5:$Z$17,"",0,1))</f>
        <v>35163422</v>
      </c>
      <c r="O160" s="298" t="str">
        <f t="array" ref="O160">if(isblank(E160),"",xlookup($N$9&amp;M160,z_Others!$X$5:$X$17&amp;z_Others!$W$5:$W$17,z_Others!$AH$5:$AH$17,"",0,1))</f>
        <v>35 163422 020000x</v>
      </c>
      <c r="P160" s="299" t="str">
        <f t="array" ref="P160">if(isblank(E160),"",xlookup($N$9&amp;M160,z_Others!$X$5:$X$17&amp;z_Others!$W$5:$W$17,z_Others!$AI$5:$AI$17,"",0,1))</f>
        <v>35 163422 999999x</v>
      </c>
      <c r="Q160" s="300" t="s">
        <v>413</v>
      </c>
      <c r="R160" s="301" t="s">
        <v>414</v>
      </c>
      <c r="S160" s="302">
        <f t="array" ref="S160">if(isblank(E160),"",xlookup($S$9&amp;M160,z_Others!$X$5:$X$17&amp;z_Others!$W$5:$W$17,z_Others!$Z$5:$Z$17,"",0,1))</f>
        <v>35676321</v>
      </c>
      <c r="T160" s="303" t="str">
        <f t="array" ref="T160">if(isblank(E160),"",xlookup($S$9&amp;M160,z_Others!$X$5:$X$17&amp;z_Others!$W$5:$W$17,z_Others!$AH$5:$AH$17,"",0,1))</f>
        <v>35 676321 020000x</v>
      </c>
      <c r="U160" s="303" t="str">
        <f t="array" ref="U160">if(isblank(E160),"",xlookup($S$9&amp;M160,z_Others!$X$5:$X$17&amp;z_Others!$W$5:$W$17,z_Others!$AI$5:$AI$17,"",0,1))</f>
        <v>35 676321 999999x</v>
      </c>
      <c r="V160" s="303" t="str">
        <f t="shared" si="2"/>
        <v>64:9D:38:32:91:82
B0:D5:FB:C6:60:70</v>
      </c>
      <c r="W160" s="303" t="str">
        <f t="shared" si="3"/>
        <v>64:9D:38:37:25:61
B0:D5:FB:CE:01:8F</v>
      </c>
      <c r="X160" s="304" t="str">
        <f t="shared" si="4"/>
        <v>MP1.0</v>
      </c>
      <c r="Y160" s="292"/>
      <c r="Z160" s="304" t="str">
        <f t="shared" si="32"/>
        <v>Android 16</v>
      </c>
      <c r="AA160" s="304" t="str">
        <f t="shared" si="45"/>
        <v>TBD</v>
      </c>
      <c r="AB160" s="305" t="s">
        <v>1205</v>
      </c>
      <c r="AC160" s="361" t="s">
        <v>1175</v>
      </c>
      <c r="AD160" s="306"/>
      <c r="AE160" s="306"/>
      <c r="AF160" s="308"/>
      <c r="AG160" s="308"/>
      <c r="AH160" s="297" t="str">
        <f t="array" ref="AH160">if(isblank(E160),"",xlookup(F160,z_Others!$B$21:$B$45,z_Others!$F$21:$F$45,"TBD",0,1))</f>
        <v>US</v>
      </c>
      <c r="AI160" s="310" t="str">
        <f t="array" ref="AI160">if(isblank(E160),"", xlookup(E160,'Import_FL5_LH_PVTMP_Configs (Do'!E:E,'Import_FL5_LH_PVTMP_Configs (Do'!O:O,"TBD",0,1))</f>
        <v>TBD</v>
      </c>
      <c r="AJ160" s="311"/>
      <c r="AK160" s="310" t="str">
        <f t="array" ref="AK160">if(isblank(E160),"", xlookup(E160,'Import_FL5_LH_PVTMP_Configs (Do'!E:E,'Import_FL5_LH_PVTMP_Configs (Do'!Q:Q,"TBD",0,1))</f>
        <v>TBD</v>
      </c>
      <c r="AL160" s="310" t="str">
        <f t="array" ref="AL160">if(isblank(E160),"", xlookup(E160,'Import_FL5_LH_PVTMP_Configs (Do'!E:E,'Import_FL5_LH_PVTMP_Configs (Do'!M:M,"TBD",0,1))</f>
        <v>TBD</v>
      </c>
      <c r="AM160" s="310" t="str">
        <f t="array" ref="AM160">if(isblank(E160),"", xlookup(E160,'Import_FL5_LH_PVTMP_Configs (Do'!E:E,'Import_FL5_LH_PVTMP_Configs (Do'!N:N,"TBD",0,1))</f>
        <v>TBD</v>
      </c>
      <c r="AN160" s="310" t="str">
        <f t="array" ref="AN160">if(isblank(E160),"", xlookup(E160,'Import_FL5_LH_PVTMP_Configs (Do'!E:E,'Import_FL5_LH_PVTMP_Configs (Do'!K:K,"TBD",0,1))</f>
        <v>TBD</v>
      </c>
      <c r="AO160" s="292" t="str">
        <f t="array" ref="AO160">if(isblank(E160),"",XLOOKUP(E160,'FL5_G954 Pkg ASSY (Pkg BOM)'!L:L,'FL5_G954 Pkg ASSY (Pkg BOM)'!G:G,"N/A",0,1))</f>
        <v>N/A</v>
      </c>
      <c r="AP160" s="292" t="str">
        <f t="array" ref="AP160">if(isblank(E160),"",xlookup(E160,'FL5_G962 Country kit (Accesorie'!L:L,'FL5_G962 Country kit (Accesorie'!G:G,"N/A",0,1))</f>
        <v>N/A</v>
      </c>
      <c r="AQ160" s="304" t="str">
        <f t="array" ref="AQ160">if(isblank(E160),"", xlookup(E160,'Import_LH_Label approve'!E:E,'Import_LH_Label approve'!M:M,"",0,1))</f>
        <v/>
      </c>
      <c r="AR160" s="304" t="str">
        <f t="array" ref="AR160">if(isblank(E160),"",xlookup(E160,'Import_LH_Label approve'!E:E,'Import_LH_Label approve'!N:N,"",0,1))</f>
        <v/>
      </c>
      <c r="AS160" s="292" t="s">
        <v>419</v>
      </c>
      <c r="AT160" s="302" t="str">
        <f t="shared" si="6"/>
        <v>Yes</v>
      </c>
      <c r="AU160" s="302" t="str">
        <f t="shared" si="7"/>
        <v>No</v>
      </c>
      <c r="AV160" s="302" t="str">
        <f t="shared" si="8"/>
        <v>No</v>
      </c>
      <c r="AW160" s="302" t="s">
        <v>585</v>
      </c>
      <c r="AX160" s="302" t="s">
        <v>1206</v>
      </c>
      <c r="AY160" s="302" t="s">
        <v>1207</v>
      </c>
      <c r="AZ160" s="312" t="str">
        <f t="array" ref="AZ160">if(isblank(E160),"", xlookup(E160,Import_FL5_LH_PVT_BM!D:D,Import_FL5_LH_PVT_BM!AK:AK,$F$4,0,1))</f>
        <v>MP</v>
      </c>
      <c r="BA160" s="292" t="str">
        <f t="shared" si="9"/>
        <v>Retail_10ct</v>
      </c>
      <c r="BB160" s="313" t="str">
        <f t="array" ref="BB160">if(isblank(E160),"",xlookup(F160,z_Others!$B$21:$B$42,z_Others!$G$21:$G$42,"No",0,1))</f>
        <v>TMO Master Carton Label</v>
      </c>
      <c r="BC160" s="313" t="str">
        <f t="array" ref="BC160">if(isblank(E160),"",xlookup(F160,z_Others!$B$21:$B$42,z_Others!$H$21:$H$42,"No",0,1))</f>
        <v>T-Mobile Pallet Label (BTO)
T-Mobile Pallet Label (BTS)</v>
      </c>
      <c r="BD160" s="314" t="str">
        <f t="array" ref="BD160">if(isblank(E160),"",xlookup(E160,'Import_VN_Label approve'!E:E,'Import_VN_Label approve'!L:L,"N/A",0,1))</f>
        <v/>
      </c>
      <c r="BE160" s="314" t="str">
        <f t="array" ref="BE160">if(isblank(E160),"",xlookup(E160,'Import_VN_Label approve'!E:E,'Import_VN_Label approve'!N:N,"N/A",0,1))</f>
        <v/>
      </c>
      <c r="BF160" s="315"/>
      <c r="BG160" s="316" t="s">
        <v>422</v>
      </c>
      <c r="BH160" s="317" t="s">
        <v>423</v>
      </c>
      <c r="BI160" s="360" t="s">
        <v>1091</v>
      </c>
      <c r="BJ160" s="319" t="str">
        <f t="array" ref="BJ160">if(isblank(E160),"", xlookup(D160,z_Others!$B$5:$B$17,z_Others!$C$5:$C$17,"",0,1))</f>
        <v>智能手機</v>
      </c>
      <c r="BK160" s="320">
        <v>45782.0</v>
      </c>
      <c r="BL160" s="320" t="str">
        <f t="array" ref="BL160">if(isblank(E160),"",xlookup(E160,'FL5_MP POR_LH_報關備案_G950 &amp; GA'!F:F,'FL5_MP POR_LH_報關備案_G950 &amp; GA'!E:E,"No Need",0,1))</f>
        <v>No Need</v>
      </c>
      <c r="BM160" s="321" t="str">
        <f t="array" ref="BM160">if(isblank(E160),"",xlookup($BM$9&amp;E160,'Import_FL5 MPS (06.06.25) - Sor'!E156:E334&amp;'Import_FL5 MPS (06.06.25) - Sor'!F156:F334,'Import_FL5 MPS (06.06.25) - Sor'!ES156:ES334,"No demand",0,1))</f>
        <v>No demand</v>
      </c>
      <c r="BN160" s="321" t="str">
        <f t="array" ref="BN160">if(isblank(E160),"",xlookup($BN$9&amp;E160,'Import_FL5 MPS (06.06.25) - Sor'!E156:E334&amp;'Import_FL5 MPS (06.06.25) - Sor'!F156:F334,'Import_FL5 MPS (06.06.25) - Sor'!ES156:ES334,"No demand",0,1))</f>
        <v>No demand</v>
      </c>
      <c r="BO160" s="321" t="str">
        <f t="array" ref="BO160">if(isblank(E160),"",xlookup($BO$9&amp;E160,'Import_FL5 MPS (06.06.25) - Sor'!E156:E334&amp;'Import_FL5 MPS (06.06.25) - Sor'!F156:F334,'Import_FL5 MPS (06.06.25) - Sor'!ES156:ES334,"No demand",0,1))</f>
        <v>No demand</v>
      </c>
      <c r="BP160" s="322" t="str">
        <f t="array" ref="BP160">if(isblank(E160),"", xlookup(E160,'Import_LH_Label approve'!E:E,'Import_LH_Label approve'!L:L,"",0,1))</f>
        <v/>
      </c>
      <c r="BQ160" s="322" t="str">
        <f t="array" ref="BQ160">if(isblank(E160),"",xlookup(E160,'Import_VN_Label approve'!E:E,'Import_VN_Label approve'!M:M,"N/A",0,1))</f>
        <v/>
      </c>
      <c r="BR160" s="325"/>
      <c r="BS160" s="323"/>
      <c r="BT160" s="324"/>
      <c r="BU160" s="91"/>
    </row>
    <row r="161" hidden="1">
      <c r="A161" s="7"/>
      <c r="B161" s="292">
        <v>150.0</v>
      </c>
      <c r="C161" s="231" t="s">
        <v>284</v>
      </c>
      <c r="D161" s="231" t="s">
        <v>408</v>
      </c>
      <c r="E161" s="350" t="s">
        <v>1208</v>
      </c>
      <c r="F161" s="313" t="s">
        <v>1209</v>
      </c>
      <c r="G161" s="294" t="s">
        <v>471</v>
      </c>
      <c r="H161" s="292" t="str">
        <f t="array" ref="H161">xlookup(F161,z_Others!$B$21:$B$45,z_Others!$E$21:$E$45,"",0,1)</f>
        <v>mmWave</v>
      </c>
      <c r="I161" s="310" t="s">
        <v>412</v>
      </c>
      <c r="J161" s="231" t="str">
        <f t="array" ref="J161">if(isblank(E161),"",xlookup(I161,z_Others!$M$17:$M$20,z_Others!$O$17:$O$20,"",0,1))</f>
        <v>Obsidian</v>
      </c>
      <c r="K161" s="292" t="str">
        <f t="array" ref="K161">xlookup(I161,z_Others!$M$17:$M$20,z_Others!$N$17:$N$20,"",0,1)</f>
        <v>BLK</v>
      </c>
      <c r="L161" s="292" t="str">
        <f t="array" ref="L161">xlookup(F161,z_Others!$B$21:$B$45,z_Others!$D$21:$D$45,"",0,1)</f>
        <v>GLBW0</v>
      </c>
      <c r="M161" s="296" t="str">
        <f t="array" ref="M161">xlookup(F161,z_Others!$B$21:$B$45,z_Others!$C$21:$C$45,"",0,1)</f>
        <v>NA</v>
      </c>
      <c r="N161" s="297">
        <f t="array" ref="N161">if(isblank(E161),"",xlookup($N$9&amp;M161,z_Others!$X$5:$X$17&amp;z_Others!$W$5:$W$17,z_Others!$Z$5:$Z$17,"",0,1))</f>
        <v>35124436</v>
      </c>
      <c r="O161" s="298" t="str">
        <f t="array" ref="O161">if(isblank(E161),"",xlookup($N$9&amp;M161,z_Others!$X$5:$X$17&amp;z_Others!$W$5:$W$17,z_Others!$AH$5:$AH$17,"",0,1))</f>
        <v>35 124436 070000x
</v>
      </c>
      <c r="P161" s="299" t="str">
        <f t="array" ref="P161">if(isblank(E161),"",xlookup($N$9&amp;M161,z_Others!$X$5:$X$17&amp;z_Others!$W$5:$W$17,z_Others!$AI$5:$AI$17,"",0,1))</f>
        <v>35 124436 999999x</v>
      </c>
      <c r="Q161" s="300" t="s">
        <v>413</v>
      </c>
      <c r="R161" s="301" t="s">
        <v>414</v>
      </c>
      <c r="S161" s="302">
        <f t="array" ref="S161">if(isblank(E161),"",xlookup($S$9&amp;M161,z_Others!$X$5:$X$17&amp;z_Others!$W$5:$W$17,z_Others!$Z$5:$Z$17,"",0,1))</f>
        <v>35676628</v>
      </c>
      <c r="T161" s="303" t="str">
        <f t="array" ref="T161">if(isblank(E161),"",xlookup($S$9&amp;M161,z_Others!$X$5:$X$17&amp;z_Others!$W$5:$W$17,z_Others!$AH$5:$AH$17,"",0,1))</f>
        <v>35 676628 040000x
35 676628 340000x</v>
      </c>
      <c r="U161" s="303" t="str">
        <f t="array" ref="U161">if(isblank(E161),"",xlookup($S$9&amp;M161,z_Others!$X$5:$X$17&amp;z_Others!$W$5:$W$17,z_Others!$AI$5:$AI$17,"",0,1))</f>
        <v>35 676628 999999x
35 676628 639999x</v>
      </c>
      <c r="V161" s="303" t="str">
        <f t="shared" si="2"/>
        <v>64:9D:38:32:91:82
B0:D5:FB:C6:60:70</v>
      </c>
      <c r="W161" s="303" t="str">
        <f t="shared" si="3"/>
        <v>64:9D:38:37:25:61
B0:D5:FB:CE:01:8F</v>
      </c>
      <c r="X161" s="304" t="str">
        <f t="shared" si="4"/>
        <v>MP1.0</v>
      </c>
      <c r="Y161" s="292"/>
      <c r="Z161" s="304" t="str">
        <f t="shared" si="32"/>
        <v>Android 16</v>
      </c>
      <c r="AA161" s="304" t="str">
        <f t="shared" si="45"/>
        <v>TBD</v>
      </c>
      <c r="AB161" s="305" t="s">
        <v>1210</v>
      </c>
      <c r="AC161" s="361" t="s">
        <v>1175</v>
      </c>
      <c r="AD161" s="306"/>
      <c r="AE161" s="306"/>
      <c r="AF161" s="308"/>
      <c r="AG161" s="308"/>
      <c r="AH161" s="297" t="str">
        <f t="array" ref="AH161">if(isblank(E161),"",xlookup(F161,z_Others!$B$21:$B$45,z_Others!$F$21:$F$45,"TBD",0,1))</f>
        <v>00</v>
      </c>
      <c r="AI161" s="310" t="str">
        <f t="array" ref="AI161">if(isblank(E161),"", xlookup(E161,'Import_FL5_LH_PVTMP_Configs (Do'!E:E,'Import_FL5_LH_PVTMP_Configs (Do'!O:O,"TBD",0,1))</f>
        <v>TBD</v>
      </c>
      <c r="AJ161" s="311"/>
      <c r="AK161" s="310" t="str">
        <f t="array" ref="AK161">if(isblank(E161),"", xlookup(E161,'Import_FL5_LH_PVTMP_Configs (Do'!E:E,'Import_FL5_LH_PVTMP_Configs (Do'!Q:Q,"TBD",0,1))</f>
        <v>TBD</v>
      </c>
      <c r="AL161" s="310" t="str">
        <f t="array" ref="AL161">if(isblank(E161),"", xlookup(E161,'Import_FL5_LH_PVTMP_Configs (Do'!E:E,'Import_FL5_LH_PVTMP_Configs (Do'!M:M,"TBD",0,1))</f>
        <v>TBD</v>
      </c>
      <c r="AM161" s="310" t="str">
        <f t="array" ref="AM161">if(isblank(E161),"", xlookup(E161,'Import_FL5_LH_PVTMP_Configs (Do'!E:E,'Import_FL5_LH_PVTMP_Configs (Do'!N:N,"TBD",0,1))</f>
        <v>TBD</v>
      </c>
      <c r="AN161" s="310" t="str">
        <f t="array" ref="AN161">if(isblank(E161),"", xlookup(E161,'Import_FL5_LH_PVTMP_Configs (Do'!E:E,'Import_FL5_LH_PVTMP_Configs (Do'!K:K,"TBD",0,1))</f>
        <v>TBD</v>
      </c>
      <c r="AO161" s="292" t="str">
        <f t="array" ref="AO161">if(isblank(E161),"",XLOOKUP(E161,'FL5_G954 Pkg ASSY (Pkg BOM)'!L:L,'FL5_G954 Pkg ASSY (Pkg BOM)'!G:G,"N/A",0,1))</f>
        <v>N/A</v>
      </c>
      <c r="AP161" s="292" t="str">
        <f t="array" ref="AP161">if(isblank(E161),"",xlookup(E161,'FL5_G962 Country kit (Accesorie'!L:L,'FL5_G962 Country kit (Accesorie'!G:G,"N/A",0,1))</f>
        <v>N/A</v>
      </c>
      <c r="AQ161" s="304" t="str">
        <f t="array" ref="AQ161">if(isblank(E161),"", xlookup(E161,'Import_LH_Label approve'!E:E,'Import_LH_Label approve'!M:M,"",0,1))</f>
        <v/>
      </c>
      <c r="AR161" s="304" t="str">
        <f t="array" ref="AR161">if(isblank(E161),"",xlookup(E161,'Import_LH_Label approve'!E:E,'Import_LH_Label approve'!N:N,"",0,1))</f>
        <v/>
      </c>
      <c r="AS161" s="292" t="s">
        <v>419</v>
      </c>
      <c r="AT161" s="302" t="str">
        <f t="shared" si="6"/>
        <v>Yes</v>
      </c>
      <c r="AU161" s="302" t="str">
        <f t="shared" si="7"/>
        <v>No</v>
      </c>
      <c r="AV161" s="302" t="str">
        <f t="shared" si="8"/>
        <v>No</v>
      </c>
      <c r="AW161" s="297"/>
      <c r="AX161" s="302" t="s">
        <v>1211</v>
      </c>
      <c r="AY161" s="302" t="s">
        <v>1212</v>
      </c>
      <c r="AZ161" s="312" t="str">
        <f t="array" ref="AZ161">if(isblank(E161),"", xlookup(E161,Import_FL5_LH_PVT_BM!D:D,Import_FL5_LH_PVT_BM!AK:AK,$F$4,0,1))</f>
        <v>MP</v>
      </c>
      <c r="BA161" s="292" t="str">
        <f t="shared" si="9"/>
        <v>Retail_10ct</v>
      </c>
      <c r="BB161" s="313" t="str">
        <f t="array" ref="BB161">if(isblank(E161),"",xlookup(F161,z_Others!$B$21:$B$42,z_Others!$G$21:$G$42,"No",0,1))</f>
        <v>ROW Master Carton Label (UPC)</v>
      </c>
      <c r="BC161" s="313" t="str">
        <f t="array" ref="BC161">if(isblank(E161),"",xlookup(F161,z_Others!$B$21:$B$42,z_Others!$H$21:$H$42,"No",0,1))</f>
        <v>Standard Pallet Label (BTO)
Standard Pallet Label (BTS)</v>
      </c>
      <c r="BD161" s="314" t="str">
        <f t="array" ref="BD161">if(isblank(E161),"",xlookup(E161,'Import_VN_Label approve'!E:E,'Import_VN_Label approve'!L:L,"N/A",0,1))</f>
        <v>N/A</v>
      </c>
      <c r="BE161" s="314" t="str">
        <f t="array" ref="BE161">if(isblank(E161),"",xlookup(E161,'Import_VN_Label approve'!E:E,'Import_VN_Label approve'!N:N,"N/A",0,1))</f>
        <v>N/A</v>
      </c>
      <c r="BF161" s="315"/>
      <c r="BG161" s="316" t="s">
        <v>422</v>
      </c>
      <c r="BH161" s="317" t="s">
        <v>423</v>
      </c>
      <c r="BI161" s="360" t="s">
        <v>1091</v>
      </c>
      <c r="BJ161" s="319" t="str">
        <f t="array" ref="BJ161">if(isblank(E161),"", xlookup(D161,z_Others!$B$5:$B$17,z_Others!$C$5:$C$17,"",0,1))</f>
        <v>智能手機</v>
      </c>
      <c r="BK161" s="320">
        <v>45782.0</v>
      </c>
      <c r="BL161" s="320" t="str">
        <f t="array" ref="BL161">if(isblank(E161),"",xlookup(E161,'FL5_MP POR_LH_報關備案_G950 &amp; GA'!F:F,'FL5_MP POR_LH_報關備案_G950 &amp; GA'!E:E,"No Need",0,1))</f>
        <v>No Need</v>
      </c>
      <c r="BM161" s="321" t="str">
        <f t="array" ref="BM161">if(isblank(E161),"",xlookup($BM$9&amp;E161,'Import_FL5 MPS (06.06.25) - Sor'!E157:E334&amp;'Import_FL5 MPS (06.06.25) - Sor'!F157:F334,'Import_FL5 MPS (06.06.25) - Sor'!ES157:ES334,"No demand",0,1))</f>
        <v>No demand</v>
      </c>
      <c r="BN161" s="321" t="str">
        <f t="array" ref="BN161">if(isblank(E161),"",xlookup($BN$9&amp;E161,'Import_FL5 MPS (06.06.25) - Sor'!E157:E334&amp;'Import_FL5 MPS (06.06.25) - Sor'!F157:F334,'Import_FL5 MPS (06.06.25) - Sor'!ES157:ES334,"No demand",0,1))</f>
        <v>No demand</v>
      </c>
      <c r="BO161" s="321" t="str">
        <f t="array" ref="BO161">if(isblank(E161),"",xlookup($BO$9&amp;E161,'Import_FL5 MPS (06.06.25) - Sor'!E157:E334&amp;'Import_FL5 MPS (06.06.25) - Sor'!F157:F334,'Import_FL5 MPS (06.06.25) - Sor'!ES157:ES334,"No demand",0,1))</f>
        <v>No demand</v>
      </c>
      <c r="BP161" s="322" t="str">
        <f t="array" ref="BP161">if(isblank(E161),"", xlookup(E161,'Import_LH_Label approve'!E:E,'Import_LH_Label approve'!L:L,"",0,1))</f>
        <v/>
      </c>
      <c r="BQ161" s="322" t="str">
        <f t="array" ref="BQ161">if(isblank(E161),"",xlookup(E161,'Import_VN_Label approve'!E:E,'Import_VN_Label approve'!M:M,"N/A",0,1))</f>
        <v>N/A</v>
      </c>
      <c r="BR161" s="325"/>
      <c r="BS161" s="323"/>
      <c r="BT161" s="324"/>
      <c r="BU161" s="91"/>
    </row>
    <row r="162" hidden="1">
      <c r="A162" s="7"/>
      <c r="B162" s="292">
        <v>151.0</v>
      </c>
      <c r="C162" s="231" t="s">
        <v>284</v>
      </c>
      <c r="D162" s="231" t="s">
        <v>408</v>
      </c>
      <c r="E162" s="350" t="s">
        <v>1213</v>
      </c>
      <c r="F162" s="313" t="s">
        <v>1209</v>
      </c>
      <c r="G162" s="294" t="s">
        <v>471</v>
      </c>
      <c r="H162" s="292" t="str">
        <f t="array" ref="H162">xlookup(F162,z_Others!$B$21:$B$45,z_Others!$E$21:$E$45,"",0,1)</f>
        <v>mmWave</v>
      </c>
      <c r="I162" s="310" t="s">
        <v>425</v>
      </c>
      <c r="J162" s="231" t="str">
        <f t="array" ref="J162">if(isblank(E162),"",xlookup(I162,z_Others!$M$17:$M$20,z_Others!$O$17:$O$20,"",0,1))</f>
        <v>Frost</v>
      </c>
      <c r="K162" s="292" t="str">
        <f t="array" ref="K162">xlookup(I162,z_Others!$M$17:$M$20,z_Others!$N$17:$N$20,"",0,1)</f>
        <v>PPL</v>
      </c>
      <c r="L162" s="292" t="str">
        <f t="array" ref="L162">xlookup(F162,z_Others!$B$21:$B$45,z_Others!$D$21:$D$45,"",0,1)</f>
        <v>GLBW0</v>
      </c>
      <c r="M162" s="296" t="str">
        <f t="array" ref="M162">xlookup(F162,z_Others!$B$21:$B$45,z_Others!$C$21:$C$45,"",0,1)</f>
        <v>NA</v>
      </c>
      <c r="N162" s="297">
        <f t="array" ref="N162">if(isblank(E162),"",xlookup($N$9&amp;M162,z_Others!$X$5:$X$17&amp;z_Others!$W$5:$W$17,z_Others!$Z$5:$Z$17,"",0,1))</f>
        <v>35124436</v>
      </c>
      <c r="O162" s="298" t="str">
        <f t="array" ref="O162">if(isblank(E162),"",xlookup($N$9&amp;M162,z_Others!$X$5:$X$17&amp;z_Others!$W$5:$W$17,z_Others!$AH$5:$AH$17,"",0,1))</f>
        <v>35 124436 070000x
</v>
      </c>
      <c r="P162" s="299" t="str">
        <f t="array" ref="P162">if(isblank(E162),"",xlookup($N$9&amp;M162,z_Others!$X$5:$X$17&amp;z_Others!$W$5:$W$17,z_Others!$AI$5:$AI$17,"",0,1))</f>
        <v>35 124436 999999x</v>
      </c>
      <c r="Q162" s="300" t="s">
        <v>413</v>
      </c>
      <c r="R162" s="301" t="s">
        <v>414</v>
      </c>
      <c r="S162" s="302">
        <f t="array" ref="S162">if(isblank(E162),"",xlookup($S$9&amp;M162,z_Others!$X$5:$X$17&amp;z_Others!$W$5:$W$17,z_Others!$Z$5:$Z$17,"",0,1))</f>
        <v>35676628</v>
      </c>
      <c r="T162" s="303" t="str">
        <f t="array" ref="T162">if(isblank(E162),"",xlookup($S$9&amp;M162,z_Others!$X$5:$X$17&amp;z_Others!$W$5:$W$17,z_Others!$AH$5:$AH$17,"",0,1))</f>
        <v>35 676628 040000x
35 676628 340000x</v>
      </c>
      <c r="U162" s="303" t="str">
        <f t="array" ref="U162">if(isblank(E162),"",xlookup($S$9&amp;M162,z_Others!$X$5:$X$17&amp;z_Others!$W$5:$W$17,z_Others!$AI$5:$AI$17,"",0,1))</f>
        <v>35 676628 999999x
35 676628 639999x</v>
      </c>
      <c r="V162" s="303" t="str">
        <f t="shared" si="2"/>
        <v>64:9D:38:32:91:82
B0:D5:FB:C6:60:70</v>
      </c>
      <c r="W162" s="303" t="str">
        <f t="shared" si="3"/>
        <v>64:9D:38:37:25:61
B0:D5:FB:CE:01:8F</v>
      </c>
      <c r="X162" s="304" t="str">
        <f t="shared" si="4"/>
        <v>MP1.0</v>
      </c>
      <c r="Y162" s="292"/>
      <c r="Z162" s="304" t="str">
        <f t="shared" si="32"/>
        <v>Android 16</v>
      </c>
      <c r="AA162" s="304" t="str">
        <f t="shared" si="45"/>
        <v>TBD</v>
      </c>
      <c r="AB162" s="305" t="s">
        <v>1214</v>
      </c>
      <c r="AC162" s="361" t="s">
        <v>1175</v>
      </c>
      <c r="AD162" s="306"/>
      <c r="AE162" s="306"/>
      <c r="AF162" s="308"/>
      <c r="AG162" s="308"/>
      <c r="AH162" s="297" t="str">
        <f t="array" ref="AH162">if(isblank(E162),"",xlookup(F162,z_Others!$B$21:$B$45,z_Others!$F$21:$F$45,"TBD",0,1))</f>
        <v>00</v>
      </c>
      <c r="AI162" s="310" t="str">
        <f t="array" ref="AI162">if(isblank(E162),"", xlookup(E162,'Import_FL5_LH_PVTMP_Configs (Do'!E:E,'Import_FL5_LH_PVTMP_Configs (Do'!O:O,"TBD",0,1))</f>
        <v>TBD</v>
      </c>
      <c r="AJ162" s="311"/>
      <c r="AK162" s="310" t="str">
        <f t="array" ref="AK162">if(isblank(E162),"", xlookup(E162,'Import_FL5_LH_PVTMP_Configs (Do'!E:E,'Import_FL5_LH_PVTMP_Configs (Do'!Q:Q,"TBD",0,1))</f>
        <v>TBD</v>
      </c>
      <c r="AL162" s="310" t="str">
        <f t="array" ref="AL162">if(isblank(E162),"", xlookup(E162,'Import_FL5_LH_PVTMP_Configs (Do'!E:E,'Import_FL5_LH_PVTMP_Configs (Do'!M:M,"TBD",0,1))</f>
        <v>TBD</v>
      </c>
      <c r="AM162" s="310" t="str">
        <f t="array" ref="AM162">if(isblank(E162),"", xlookup(E162,'Import_FL5_LH_PVTMP_Configs (Do'!E:E,'Import_FL5_LH_PVTMP_Configs (Do'!N:N,"TBD",0,1))</f>
        <v>TBD</v>
      </c>
      <c r="AN162" s="310" t="str">
        <f t="array" ref="AN162">if(isblank(E162),"", xlookup(E162,'Import_FL5_LH_PVTMP_Configs (Do'!E:E,'Import_FL5_LH_PVTMP_Configs (Do'!K:K,"TBD",0,1))</f>
        <v>TBD</v>
      </c>
      <c r="AO162" s="292" t="str">
        <f t="array" ref="AO162">if(isblank(E162),"",XLOOKUP(E162,'FL5_G954 Pkg ASSY (Pkg BOM)'!L:L,'FL5_G954 Pkg ASSY (Pkg BOM)'!G:G,"N/A",0,1))</f>
        <v>N/A</v>
      </c>
      <c r="AP162" s="292" t="str">
        <f t="array" ref="AP162">if(isblank(E162),"",xlookup(E162,'FL5_G962 Country kit (Accesorie'!L:L,'FL5_G962 Country kit (Accesorie'!G:G,"N/A",0,1))</f>
        <v>N/A</v>
      </c>
      <c r="AQ162" s="304" t="str">
        <f t="array" ref="AQ162">if(isblank(E162),"", xlookup(E162,'Import_LH_Label approve'!E:E,'Import_LH_Label approve'!M:M,"",0,1))</f>
        <v/>
      </c>
      <c r="AR162" s="304" t="str">
        <f t="array" ref="AR162">if(isblank(E162),"",xlookup(E162,'Import_LH_Label approve'!E:E,'Import_LH_Label approve'!N:N,"",0,1))</f>
        <v/>
      </c>
      <c r="AS162" s="292" t="s">
        <v>419</v>
      </c>
      <c r="AT162" s="302" t="str">
        <f t="shared" si="6"/>
        <v>Yes</v>
      </c>
      <c r="AU162" s="302" t="str">
        <f t="shared" si="7"/>
        <v>No</v>
      </c>
      <c r="AV162" s="302" t="str">
        <f t="shared" si="8"/>
        <v>No</v>
      </c>
      <c r="AW162" s="297"/>
      <c r="AX162" s="302" t="s">
        <v>1215</v>
      </c>
      <c r="AY162" s="302" t="s">
        <v>1216</v>
      </c>
      <c r="AZ162" s="312" t="str">
        <f t="array" ref="AZ162">if(isblank(E162),"", xlookup(E162,Import_FL5_LH_PVT_BM!D:D,Import_FL5_LH_PVT_BM!AK:AK,$F$4,0,1))</f>
        <v>MP</v>
      </c>
      <c r="BA162" s="292" t="str">
        <f t="shared" si="9"/>
        <v>Retail_10ct</v>
      </c>
      <c r="BB162" s="313" t="str">
        <f t="array" ref="BB162">if(isblank(E162),"",xlookup(F162,z_Others!$B$21:$B$42,z_Others!$G$21:$G$42,"No",0,1))</f>
        <v>ROW Master Carton Label (UPC)</v>
      </c>
      <c r="BC162" s="313" t="str">
        <f t="array" ref="BC162">if(isblank(E162),"",xlookup(F162,z_Others!$B$21:$B$42,z_Others!$H$21:$H$42,"No",0,1))</f>
        <v>Standard Pallet Label (BTO)
Standard Pallet Label (BTS)</v>
      </c>
      <c r="BD162" s="314" t="str">
        <f t="array" ref="BD162">if(isblank(E162),"",xlookup(E162,'Import_VN_Label approve'!E:E,'Import_VN_Label approve'!L:L,"N/A",0,1))</f>
        <v>N/A</v>
      </c>
      <c r="BE162" s="314" t="str">
        <f t="array" ref="BE162">if(isblank(E162),"",xlookup(E162,'Import_VN_Label approve'!E:E,'Import_VN_Label approve'!N:N,"N/A",0,1))</f>
        <v>N/A</v>
      </c>
      <c r="BF162" s="315"/>
      <c r="BG162" s="316" t="s">
        <v>422</v>
      </c>
      <c r="BH162" s="317" t="s">
        <v>423</v>
      </c>
      <c r="BI162" s="360" t="s">
        <v>1091</v>
      </c>
      <c r="BJ162" s="319" t="str">
        <f t="array" ref="BJ162">if(isblank(E162),"", xlookup(D162,z_Others!$B$5:$B$17,z_Others!$C$5:$C$17,"",0,1))</f>
        <v>智能手機</v>
      </c>
      <c r="BK162" s="320">
        <v>45782.0</v>
      </c>
      <c r="BL162" s="320" t="str">
        <f t="array" ref="BL162">if(isblank(E162),"",xlookup(E162,'FL5_MP POR_LH_報關備案_G950 &amp; GA'!F:F,'FL5_MP POR_LH_報關備案_G950 &amp; GA'!E:E,"No Need",0,1))</f>
        <v>No Need</v>
      </c>
      <c r="BM162" s="321" t="str">
        <f t="array" ref="BM162">if(isblank(E162),"",xlookup($BM$9&amp;E162,'Import_FL5 MPS (06.06.25) - Sor'!E158:E334&amp;'Import_FL5 MPS (06.06.25) - Sor'!F158:F334,'Import_FL5 MPS (06.06.25) - Sor'!ES158:ES334,"No demand",0,1))</f>
        <v>No demand</v>
      </c>
      <c r="BN162" s="321" t="str">
        <f t="array" ref="BN162">if(isblank(E162),"",xlookup($BN$9&amp;E162,'Import_FL5 MPS (06.06.25) - Sor'!E158:E334&amp;'Import_FL5 MPS (06.06.25) - Sor'!F158:F334,'Import_FL5 MPS (06.06.25) - Sor'!ES158:ES334,"No demand",0,1))</f>
        <v>No demand</v>
      </c>
      <c r="BO162" s="321" t="str">
        <f t="array" ref="BO162">if(isblank(E162),"",xlookup($BO$9&amp;E162,'Import_FL5 MPS (06.06.25) - Sor'!E158:E334&amp;'Import_FL5 MPS (06.06.25) - Sor'!F158:F334,'Import_FL5 MPS (06.06.25) - Sor'!ES158:ES334,"No demand",0,1))</f>
        <v>No demand</v>
      </c>
      <c r="BP162" s="322" t="str">
        <f t="array" ref="BP162">if(isblank(E162),"", xlookup(E162,'Import_LH_Label approve'!E:E,'Import_LH_Label approve'!L:L,"",0,1))</f>
        <v/>
      </c>
      <c r="BQ162" s="322" t="str">
        <f t="array" ref="BQ162">if(isblank(E162),"",xlookup(E162,'Import_VN_Label approve'!E:E,'Import_VN_Label approve'!M:M,"N/A",0,1))</f>
        <v>N/A</v>
      </c>
      <c r="BR162" s="325"/>
      <c r="BS162" s="323"/>
      <c r="BT162" s="324"/>
      <c r="BU162" s="91"/>
    </row>
    <row r="163" hidden="1">
      <c r="A163" s="7"/>
      <c r="B163" s="292">
        <v>152.0</v>
      </c>
      <c r="C163" s="231" t="s">
        <v>284</v>
      </c>
      <c r="D163" s="231" t="s">
        <v>408</v>
      </c>
      <c r="E163" s="350" t="s">
        <v>1217</v>
      </c>
      <c r="F163" s="313" t="s">
        <v>1209</v>
      </c>
      <c r="G163" s="294" t="s">
        <v>471</v>
      </c>
      <c r="H163" s="292" t="str">
        <f t="array" ref="H163">xlookup(F163,z_Others!$B$21:$B$45,z_Others!$E$21:$E$45,"",0,1)</f>
        <v>mmWave</v>
      </c>
      <c r="I163" s="310" t="s">
        <v>431</v>
      </c>
      <c r="J163" s="231" t="str">
        <f t="array" ref="J163">if(isblank(E163),"",xlookup(I163,z_Others!$M$17:$M$20,z_Others!$O$17:$O$20,"",0,1))</f>
        <v>Lemongrass</v>
      </c>
      <c r="K163" s="292" t="str">
        <f t="array" ref="K163">xlookup(I163,z_Others!$M$17:$M$20,z_Others!$N$17:$N$20,"",0,1)</f>
        <v>YEL</v>
      </c>
      <c r="L163" s="292" t="str">
        <f t="array" ref="L163">xlookup(F163,z_Others!$B$21:$B$45,z_Others!$D$21:$D$45,"",0,1)</f>
        <v>GLBW0</v>
      </c>
      <c r="M163" s="296" t="str">
        <f t="array" ref="M163">xlookup(F163,z_Others!$B$21:$B$45,z_Others!$C$21:$C$45,"",0,1)</f>
        <v>NA</v>
      </c>
      <c r="N163" s="297">
        <f t="array" ref="N163">if(isblank(E163),"",xlookup($N$9&amp;M163,z_Others!$X$5:$X$17&amp;z_Others!$W$5:$W$17,z_Others!$Z$5:$Z$17,"",0,1))</f>
        <v>35124436</v>
      </c>
      <c r="O163" s="298" t="str">
        <f t="array" ref="O163">if(isblank(E163),"",xlookup($N$9&amp;M163,z_Others!$X$5:$X$17&amp;z_Others!$W$5:$W$17,z_Others!$AH$5:$AH$17,"",0,1))</f>
        <v>35 124436 070000x
</v>
      </c>
      <c r="P163" s="299" t="str">
        <f t="array" ref="P163">if(isblank(E163),"",xlookup($N$9&amp;M163,z_Others!$X$5:$X$17&amp;z_Others!$W$5:$W$17,z_Others!$AI$5:$AI$17,"",0,1))</f>
        <v>35 124436 999999x</v>
      </c>
      <c r="Q163" s="300" t="s">
        <v>413</v>
      </c>
      <c r="R163" s="301" t="s">
        <v>414</v>
      </c>
      <c r="S163" s="302">
        <f t="array" ref="S163">if(isblank(E163),"",xlookup($S$9&amp;M163,z_Others!$X$5:$X$17&amp;z_Others!$W$5:$W$17,z_Others!$Z$5:$Z$17,"",0,1))</f>
        <v>35676628</v>
      </c>
      <c r="T163" s="303" t="str">
        <f t="array" ref="T163">if(isblank(E163),"",xlookup($S$9&amp;M163,z_Others!$X$5:$X$17&amp;z_Others!$W$5:$W$17,z_Others!$AH$5:$AH$17,"",0,1))</f>
        <v>35 676628 040000x
35 676628 340000x</v>
      </c>
      <c r="U163" s="303" t="str">
        <f t="array" ref="U163">if(isblank(E163),"",xlookup($S$9&amp;M163,z_Others!$X$5:$X$17&amp;z_Others!$W$5:$W$17,z_Others!$AI$5:$AI$17,"",0,1))</f>
        <v>35 676628 999999x
35 676628 639999x</v>
      </c>
      <c r="V163" s="303" t="str">
        <f t="shared" si="2"/>
        <v>64:9D:38:32:91:82
B0:D5:FB:C6:60:70</v>
      </c>
      <c r="W163" s="303" t="str">
        <f t="shared" si="3"/>
        <v>64:9D:38:37:25:61
B0:D5:FB:CE:01:8F</v>
      </c>
      <c r="X163" s="304" t="str">
        <f t="shared" si="4"/>
        <v>MP1.0</v>
      </c>
      <c r="Y163" s="292"/>
      <c r="Z163" s="304" t="str">
        <f t="shared" si="32"/>
        <v>Android 16</v>
      </c>
      <c r="AA163" s="304" t="str">
        <f t="shared" si="45"/>
        <v>TBD</v>
      </c>
      <c r="AB163" s="305" t="s">
        <v>1218</v>
      </c>
      <c r="AC163" s="361" t="s">
        <v>1175</v>
      </c>
      <c r="AD163" s="306"/>
      <c r="AE163" s="306"/>
      <c r="AF163" s="308"/>
      <c r="AG163" s="308"/>
      <c r="AH163" s="297" t="str">
        <f t="array" ref="AH163">if(isblank(E163),"",xlookup(F163,z_Others!$B$21:$B$45,z_Others!$F$21:$F$45,"TBD",0,1))</f>
        <v>00</v>
      </c>
      <c r="AI163" s="310" t="str">
        <f t="array" ref="AI163">if(isblank(E163),"", xlookup(E163,'Import_FL5_LH_PVTMP_Configs (Do'!E:E,'Import_FL5_LH_PVTMP_Configs (Do'!O:O,"TBD",0,1))</f>
        <v>TBD</v>
      </c>
      <c r="AJ163" s="311"/>
      <c r="AK163" s="310" t="str">
        <f t="array" ref="AK163">if(isblank(E163),"", xlookup(E163,'Import_FL5_LH_PVTMP_Configs (Do'!E:E,'Import_FL5_LH_PVTMP_Configs (Do'!Q:Q,"TBD",0,1))</f>
        <v>TBD</v>
      </c>
      <c r="AL163" s="310" t="str">
        <f t="array" ref="AL163">if(isblank(E163),"", xlookup(E163,'Import_FL5_LH_PVTMP_Configs (Do'!E:E,'Import_FL5_LH_PVTMP_Configs (Do'!M:M,"TBD",0,1))</f>
        <v>TBD</v>
      </c>
      <c r="AM163" s="310" t="str">
        <f t="array" ref="AM163">if(isblank(E163),"", xlookup(E163,'Import_FL5_LH_PVTMP_Configs (Do'!E:E,'Import_FL5_LH_PVTMP_Configs (Do'!N:N,"TBD",0,1))</f>
        <v>TBD</v>
      </c>
      <c r="AN163" s="310" t="str">
        <f t="array" ref="AN163">if(isblank(E163),"", xlookup(E163,'Import_FL5_LH_PVTMP_Configs (Do'!E:E,'Import_FL5_LH_PVTMP_Configs (Do'!K:K,"TBD",0,1))</f>
        <v>TBD</v>
      </c>
      <c r="AO163" s="292" t="str">
        <f t="array" ref="AO163">if(isblank(E163),"",XLOOKUP(E163,'FL5_G954 Pkg ASSY (Pkg BOM)'!L:L,'FL5_G954 Pkg ASSY (Pkg BOM)'!G:G,"N/A",0,1))</f>
        <v>N/A</v>
      </c>
      <c r="AP163" s="292" t="str">
        <f t="array" ref="AP163">if(isblank(E163),"",xlookup(E163,'FL5_G962 Country kit (Accesorie'!L:L,'FL5_G962 Country kit (Accesorie'!G:G,"N/A",0,1))</f>
        <v>N/A</v>
      </c>
      <c r="AQ163" s="304" t="str">
        <f t="array" ref="AQ163">if(isblank(E163),"", xlookup(E163,'Import_LH_Label approve'!E:E,'Import_LH_Label approve'!M:M,"",0,1))</f>
        <v/>
      </c>
      <c r="AR163" s="304" t="str">
        <f t="array" ref="AR163">if(isblank(E163),"",xlookup(E163,'Import_LH_Label approve'!E:E,'Import_LH_Label approve'!N:N,"",0,1))</f>
        <v/>
      </c>
      <c r="AS163" s="292" t="s">
        <v>419</v>
      </c>
      <c r="AT163" s="302" t="str">
        <f t="shared" si="6"/>
        <v>Yes</v>
      </c>
      <c r="AU163" s="302" t="str">
        <f t="shared" si="7"/>
        <v>No</v>
      </c>
      <c r="AV163" s="302" t="str">
        <f t="shared" si="8"/>
        <v>No</v>
      </c>
      <c r="AW163" s="297"/>
      <c r="AX163" s="302" t="s">
        <v>1219</v>
      </c>
      <c r="AY163" s="302" t="s">
        <v>1220</v>
      </c>
      <c r="AZ163" s="312" t="str">
        <f t="array" ref="AZ163">if(isblank(E163),"", xlookup(E163,Import_FL5_LH_PVT_BM!D:D,Import_FL5_LH_PVT_BM!AK:AK,$F$4,0,1))</f>
        <v>MP</v>
      </c>
      <c r="BA163" s="292" t="str">
        <f t="shared" si="9"/>
        <v>Retail_10ct</v>
      </c>
      <c r="BB163" s="313" t="str">
        <f t="array" ref="BB163">if(isblank(E163),"",xlookup(F163,z_Others!$B$21:$B$42,z_Others!$G$21:$G$42,"No",0,1))</f>
        <v>ROW Master Carton Label (UPC)</v>
      </c>
      <c r="BC163" s="313" t="str">
        <f t="array" ref="BC163">if(isblank(E163),"",xlookup(F163,z_Others!$B$21:$B$42,z_Others!$H$21:$H$42,"No",0,1))</f>
        <v>Standard Pallet Label (BTO)
Standard Pallet Label (BTS)</v>
      </c>
      <c r="BD163" s="314" t="str">
        <f t="array" ref="BD163">if(isblank(E163),"",xlookup(E163,'Import_VN_Label approve'!E:E,'Import_VN_Label approve'!L:L,"N/A",0,1))</f>
        <v>N/A</v>
      </c>
      <c r="BE163" s="314" t="str">
        <f t="array" ref="BE163">if(isblank(E163),"",xlookup(E163,'Import_VN_Label approve'!E:E,'Import_VN_Label approve'!N:N,"N/A",0,1))</f>
        <v>N/A</v>
      </c>
      <c r="BF163" s="315"/>
      <c r="BG163" s="316" t="s">
        <v>422</v>
      </c>
      <c r="BH163" s="317" t="s">
        <v>423</v>
      </c>
      <c r="BI163" s="360" t="s">
        <v>1091</v>
      </c>
      <c r="BJ163" s="319" t="str">
        <f t="array" ref="BJ163">if(isblank(E163),"", xlookup(D163,z_Others!$B$5:$B$17,z_Others!$C$5:$C$17,"",0,1))</f>
        <v>智能手機</v>
      </c>
      <c r="BK163" s="320">
        <v>45782.0</v>
      </c>
      <c r="BL163" s="320" t="str">
        <f t="array" ref="BL163">if(isblank(E163),"",xlookup(E163,'FL5_MP POR_LH_報關備案_G950 &amp; GA'!F:F,'FL5_MP POR_LH_報關備案_G950 &amp; GA'!E:E,"No Need",0,1))</f>
        <v>No Need</v>
      </c>
      <c r="BM163" s="321" t="str">
        <f t="array" ref="BM163">if(isblank(E163),"",xlookup($BM$9&amp;E163,'Import_FL5 MPS (06.06.25) - Sor'!E159:E334&amp;'Import_FL5 MPS (06.06.25) - Sor'!F159:F334,'Import_FL5 MPS (06.06.25) - Sor'!ES159:ES334,"No demand",0,1))</f>
        <v>No demand</v>
      </c>
      <c r="BN163" s="321" t="str">
        <f t="array" ref="BN163">if(isblank(E163),"",xlookup($BN$9&amp;E163,'Import_FL5 MPS (06.06.25) - Sor'!E159:E334&amp;'Import_FL5 MPS (06.06.25) - Sor'!F159:F334,'Import_FL5 MPS (06.06.25) - Sor'!ES159:ES334,"No demand",0,1))</f>
        <v>No demand</v>
      </c>
      <c r="BO163" s="321" t="str">
        <f t="array" ref="BO163">if(isblank(E163),"",xlookup($BO$9&amp;E163,'Import_FL5 MPS (06.06.25) - Sor'!E159:E334&amp;'Import_FL5 MPS (06.06.25) - Sor'!F159:F334,'Import_FL5 MPS (06.06.25) - Sor'!ES159:ES334,"No demand",0,1))</f>
        <v>No demand</v>
      </c>
      <c r="BP163" s="322" t="str">
        <f t="array" ref="BP163">if(isblank(E163),"", xlookup(E163,'Import_LH_Label approve'!E:E,'Import_LH_Label approve'!L:L,"",0,1))</f>
        <v/>
      </c>
      <c r="BQ163" s="322" t="str">
        <f t="array" ref="BQ163">if(isblank(E163),"",xlookup(E163,'Import_VN_Label approve'!E:E,'Import_VN_Label approve'!M:M,"N/A",0,1))</f>
        <v>N/A</v>
      </c>
      <c r="BR163" s="325"/>
      <c r="BS163" s="323"/>
      <c r="BT163" s="324"/>
      <c r="BU163" s="91"/>
    </row>
    <row r="164" hidden="1">
      <c r="A164" s="7"/>
      <c r="B164" s="292">
        <v>153.0</v>
      </c>
      <c r="C164" s="231" t="s">
        <v>284</v>
      </c>
      <c r="D164" s="231" t="s">
        <v>408</v>
      </c>
      <c r="E164" s="350" t="s">
        <v>1221</v>
      </c>
      <c r="F164" s="313" t="s">
        <v>1209</v>
      </c>
      <c r="G164" s="294" t="s">
        <v>471</v>
      </c>
      <c r="H164" s="292" t="str">
        <f t="array" ref="H164">xlookup(F164,z_Others!$B$21:$B$45,z_Others!$E$21:$E$45,"",0,1)</f>
        <v>mmWave</v>
      </c>
      <c r="I164" s="310" t="s">
        <v>437</v>
      </c>
      <c r="J164" s="231" t="str">
        <f t="array" ref="J164">if(isblank(E164),"",xlookup(I164,z_Others!$M$17:$M$20,z_Others!$O$17:$O$20,"",0,1))</f>
        <v>Indigo</v>
      </c>
      <c r="K164" s="292" t="str">
        <f t="array" ref="K164">xlookup(I164,z_Others!$M$17:$M$20,z_Others!$N$17:$N$20,"",0,1)</f>
        <v>BUE</v>
      </c>
      <c r="L164" s="292" t="str">
        <f t="array" ref="L164">xlookup(F164,z_Others!$B$21:$B$45,z_Others!$D$21:$D$45,"",0,1)</f>
        <v>GLBW0</v>
      </c>
      <c r="M164" s="296" t="str">
        <f t="array" ref="M164">xlookup(F164,z_Others!$B$21:$B$45,z_Others!$C$21:$C$45,"",0,1)</f>
        <v>NA</v>
      </c>
      <c r="N164" s="297">
        <f t="array" ref="N164">if(isblank(E164),"",xlookup($N$9&amp;M164,z_Others!$X$5:$X$17&amp;z_Others!$W$5:$W$17,z_Others!$Z$5:$Z$17,"",0,1))</f>
        <v>35124436</v>
      </c>
      <c r="O164" s="298" t="str">
        <f t="array" ref="O164">if(isblank(E164),"",xlookup($N$9&amp;M164,z_Others!$X$5:$X$17&amp;z_Others!$W$5:$W$17,z_Others!$AH$5:$AH$17,"",0,1))</f>
        <v>35 124436 070000x
</v>
      </c>
      <c r="P164" s="299" t="str">
        <f t="array" ref="P164">if(isblank(E164),"",xlookup($N$9&amp;M164,z_Others!$X$5:$X$17&amp;z_Others!$W$5:$W$17,z_Others!$AI$5:$AI$17,"",0,1))</f>
        <v>35 124436 999999x</v>
      </c>
      <c r="Q164" s="300" t="s">
        <v>413</v>
      </c>
      <c r="R164" s="301" t="s">
        <v>414</v>
      </c>
      <c r="S164" s="302">
        <f t="array" ref="S164">if(isblank(E164),"",xlookup($S$9&amp;M164,z_Others!$X$5:$X$17&amp;z_Others!$W$5:$W$17,z_Others!$Z$5:$Z$17,"",0,1))</f>
        <v>35676628</v>
      </c>
      <c r="T164" s="303" t="str">
        <f t="array" ref="T164">if(isblank(E164),"",xlookup($S$9&amp;M164,z_Others!$X$5:$X$17&amp;z_Others!$W$5:$W$17,z_Others!$AH$5:$AH$17,"",0,1))</f>
        <v>35 676628 040000x
35 676628 340000x</v>
      </c>
      <c r="U164" s="303" t="str">
        <f t="array" ref="U164">if(isblank(E164),"",xlookup($S$9&amp;M164,z_Others!$X$5:$X$17&amp;z_Others!$W$5:$W$17,z_Others!$AI$5:$AI$17,"",0,1))</f>
        <v>35 676628 999999x
35 676628 639999x</v>
      </c>
      <c r="V164" s="303" t="str">
        <f t="shared" si="2"/>
        <v>64:9D:38:32:91:82
B0:D5:FB:C6:60:70</v>
      </c>
      <c r="W164" s="303" t="str">
        <f t="shared" si="3"/>
        <v>64:9D:38:37:25:61
B0:D5:FB:CE:01:8F</v>
      </c>
      <c r="X164" s="304" t="str">
        <f t="shared" si="4"/>
        <v>MP1.0</v>
      </c>
      <c r="Y164" s="292"/>
      <c r="Z164" s="304" t="str">
        <f t="shared" si="32"/>
        <v>Android 16</v>
      </c>
      <c r="AA164" s="304" t="str">
        <f t="shared" si="45"/>
        <v>TBD</v>
      </c>
      <c r="AB164" s="305" t="s">
        <v>1222</v>
      </c>
      <c r="AC164" s="361" t="s">
        <v>1175</v>
      </c>
      <c r="AD164" s="306"/>
      <c r="AE164" s="306"/>
      <c r="AF164" s="308"/>
      <c r="AG164" s="308"/>
      <c r="AH164" s="297" t="str">
        <f t="array" ref="AH164">if(isblank(E164),"",xlookup(F164,z_Others!$B$21:$B$45,z_Others!$F$21:$F$45,"TBD",0,1))</f>
        <v>00</v>
      </c>
      <c r="AI164" s="310" t="str">
        <f t="array" ref="AI164">if(isblank(E164),"", xlookup(E164,'Import_FL5_LH_PVTMP_Configs (Do'!E:E,'Import_FL5_LH_PVTMP_Configs (Do'!O:O,"TBD",0,1))</f>
        <v>TBD</v>
      </c>
      <c r="AJ164" s="311"/>
      <c r="AK164" s="310" t="str">
        <f t="array" ref="AK164">if(isblank(E164),"", xlookup(E164,'Import_FL5_LH_PVTMP_Configs (Do'!E:E,'Import_FL5_LH_PVTMP_Configs (Do'!Q:Q,"TBD",0,1))</f>
        <v>TBD</v>
      </c>
      <c r="AL164" s="310" t="str">
        <f t="array" ref="AL164">if(isblank(E164),"", xlookup(E164,'Import_FL5_LH_PVTMP_Configs (Do'!E:E,'Import_FL5_LH_PVTMP_Configs (Do'!M:M,"TBD",0,1))</f>
        <v>TBD</v>
      </c>
      <c r="AM164" s="310" t="str">
        <f t="array" ref="AM164">if(isblank(E164),"", xlookup(E164,'Import_FL5_LH_PVTMP_Configs (Do'!E:E,'Import_FL5_LH_PVTMP_Configs (Do'!N:N,"TBD",0,1))</f>
        <v>TBD</v>
      </c>
      <c r="AN164" s="310" t="str">
        <f t="array" ref="AN164">if(isblank(E164),"", xlookup(E164,'Import_FL5_LH_PVTMP_Configs (Do'!E:E,'Import_FL5_LH_PVTMP_Configs (Do'!K:K,"TBD",0,1))</f>
        <v>TBD</v>
      </c>
      <c r="AO164" s="292" t="str">
        <f t="array" ref="AO164">if(isblank(E164),"",XLOOKUP(E164,'FL5_G954 Pkg ASSY (Pkg BOM)'!L:L,'FL5_G954 Pkg ASSY (Pkg BOM)'!G:G,"N/A",0,1))</f>
        <v>N/A</v>
      </c>
      <c r="AP164" s="292" t="str">
        <f t="array" ref="AP164">if(isblank(E164),"",xlookup(E164,'FL5_G962 Country kit (Accesorie'!L:L,'FL5_G962 Country kit (Accesorie'!G:G,"N/A",0,1))</f>
        <v>N/A</v>
      </c>
      <c r="AQ164" s="304" t="str">
        <f t="array" ref="AQ164">if(isblank(E164),"", xlookup(E164,'Import_LH_Label approve'!E:E,'Import_LH_Label approve'!M:M,"",0,1))</f>
        <v/>
      </c>
      <c r="AR164" s="304" t="str">
        <f t="array" ref="AR164">if(isblank(E164),"",xlookup(E164,'Import_LH_Label approve'!E:E,'Import_LH_Label approve'!N:N,"",0,1))</f>
        <v/>
      </c>
      <c r="AS164" s="292" t="s">
        <v>419</v>
      </c>
      <c r="AT164" s="302" t="str">
        <f t="shared" si="6"/>
        <v>Yes</v>
      </c>
      <c r="AU164" s="302" t="str">
        <f t="shared" si="7"/>
        <v>No</v>
      </c>
      <c r="AV164" s="302" t="str">
        <f t="shared" si="8"/>
        <v>No</v>
      </c>
      <c r="AW164" s="297"/>
      <c r="AX164" s="302" t="s">
        <v>1223</v>
      </c>
      <c r="AY164" s="302" t="s">
        <v>1224</v>
      </c>
      <c r="AZ164" s="312" t="str">
        <f t="array" ref="AZ164">if(isblank(E164),"", xlookup(E164,Import_FL5_LH_PVT_BM!D:D,Import_FL5_LH_PVT_BM!AK:AK,$F$4,0,1))</f>
        <v>MP</v>
      </c>
      <c r="BA164" s="292" t="str">
        <f t="shared" si="9"/>
        <v>Retail_10ct</v>
      </c>
      <c r="BB164" s="313" t="str">
        <f t="array" ref="BB164">if(isblank(E164),"",xlookup(F164,z_Others!$B$21:$B$42,z_Others!$G$21:$G$42,"No",0,1))</f>
        <v>ROW Master Carton Label (UPC)</v>
      </c>
      <c r="BC164" s="313" t="str">
        <f t="array" ref="BC164">if(isblank(E164),"",xlookup(F164,z_Others!$B$21:$B$42,z_Others!$H$21:$H$42,"No",0,1))</f>
        <v>Standard Pallet Label (BTO)
Standard Pallet Label (BTS)</v>
      </c>
      <c r="BD164" s="314" t="str">
        <f t="array" ref="BD164">if(isblank(E164),"",xlookup(E164,'Import_VN_Label approve'!E:E,'Import_VN_Label approve'!L:L,"N/A",0,1))</f>
        <v>N/A</v>
      </c>
      <c r="BE164" s="314" t="str">
        <f t="array" ref="BE164">if(isblank(E164),"",xlookup(E164,'Import_VN_Label approve'!E:E,'Import_VN_Label approve'!N:N,"N/A",0,1))</f>
        <v>N/A</v>
      </c>
      <c r="BF164" s="315"/>
      <c r="BG164" s="316" t="s">
        <v>422</v>
      </c>
      <c r="BH164" s="317" t="s">
        <v>423</v>
      </c>
      <c r="BI164" s="360" t="s">
        <v>1091</v>
      </c>
      <c r="BJ164" s="319" t="str">
        <f t="array" ref="BJ164">if(isblank(E164),"", xlookup(D164,z_Others!$B$5:$B$17,z_Others!$C$5:$C$17,"",0,1))</f>
        <v>智能手機</v>
      </c>
      <c r="BK164" s="320">
        <v>45782.0</v>
      </c>
      <c r="BL164" s="320" t="str">
        <f t="array" ref="BL164">if(isblank(E164),"",xlookup(E164,'FL5_MP POR_LH_報關備案_G950 &amp; GA'!F:F,'FL5_MP POR_LH_報關備案_G950 &amp; GA'!E:E,"No Need",0,1))</f>
        <v>No Need</v>
      </c>
      <c r="BM164" s="321" t="str">
        <f t="array" ref="BM164">if(isblank(E164),"",xlookup($BM$9&amp;E164,'Import_FL5 MPS (06.06.25) - Sor'!E160:E334&amp;'Import_FL5 MPS (06.06.25) - Sor'!F160:F334,'Import_FL5 MPS (06.06.25) - Sor'!ES160:ES334,"No demand",0,1))</f>
        <v>No demand</v>
      </c>
      <c r="BN164" s="321" t="str">
        <f t="array" ref="BN164">if(isblank(E164),"",xlookup($BN$9&amp;E164,'Import_FL5 MPS (06.06.25) - Sor'!E160:E334&amp;'Import_FL5 MPS (06.06.25) - Sor'!F160:F334,'Import_FL5 MPS (06.06.25) - Sor'!ES160:ES334,"No demand",0,1))</f>
        <v>No demand</v>
      </c>
      <c r="BO164" s="321" t="str">
        <f t="array" ref="BO164">if(isblank(E164),"",xlookup($BO$9&amp;E164,'Import_FL5 MPS (06.06.25) - Sor'!E160:E334&amp;'Import_FL5 MPS (06.06.25) - Sor'!F160:F334,'Import_FL5 MPS (06.06.25) - Sor'!ES160:ES334,"No demand",0,1))</f>
        <v>No demand</v>
      </c>
      <c r="BP164" s="322" t="str">
        <f t="array" ref="BP164">if(isblank(E164),"", xlookup(E164,'Import_LH_Label approve'!E:E,'Import_LH_Label approve'!L:L,"",0,1))</f>
        <v/>
      </c>
      <c r="BQ164" s="322" t="str">
        <f t="array" ref="BQ164">if(isblank(E164),"",xlookup(E164,'Import_VN_Label approve'!E:E,'Import_VN_Label approve'!M:M,"N/A",0,1))</f>
        <v>N/A</v>
      </c>
      <c r="BR164" s="325"/>
      <c r="BS164" s="323"/>
      <c r="BT164" s="324"/>
      <c r="BU164" s="91"/>
    </row>
    <row r="165" hidden="1">
      <c r="A165" s="7"/>
      <c r="B165" s="292">
        <v>154.0</v>
      </c>
      <c r="C165" s="231" t="s">
        <v>284</v>
      </c>
      <c r="D165" s="231" t="s">
        <v>408</v>
      </c>
      <c r="E165" s="350" t="s">
        <v>1225</v>
      </c>
      <c r="F165" s="294" t="s">
        <v>492</v>
      </c>
      <c r="G165" s="294" t="s">
        <v>493</v>
      </c>
      <c r="H165" s="292" t="str">
        <f t="array" ref="H165">xlookup(F165,z_Others!$B$21:$B$45,z_Others!$E$21:$E$45,"",0,1)</f>
        <v>Sub6</v>
      </c>
      <c r="I165" s="310" t="s">
        <v>412</v>
      </c>
      <c r="J165" s="231" t="str">
        <f t="array" ref="J165">if(isblank(E165),"",xlookup(I165,z_Others!$M$17:$M$20,z_Others!$O$17:$O$20,"",0,1))</f>
        <v>Obsidian</v>
      </c>
      <c r="K165" s="292" t="str">
        <f t="array" ref="K165">xlookup(I165,z_Others!$M$17:$M$20,z_Others!$N$17:$N$20,"",0,1)</f>
        <v>BLK</v>
      </c>
      <c r="L165" s="292" t="str">
        <f t="array" ref="L165">xlookup(F165,z_Others!$B$21:$B$45,z_Others!$D$21:$D$45,"",0,1)</f>
        <v>GK2MP</v>
      </c>
      <c r="M165" s="296" t="str">
        <f t="array" ref="M165">xlookup(F165,z_Others!$B$21:$B$45,z_Others!$C$21:$C$45,"",0,1)</f>
        <v>ROW</v>
      </c>
      <c r="N165" s="297">
        <v>3.5440766E7</v>
      </c>
      <c r="O165" s="331" t="s">
        <v>494</v>
      </c>
      <c r="P165" s="303" t="s">
        <v>495</v>
      </c>
      <c r="Q165" s="300" t="s">
        <v>413</v>
      </c>
      <c r="R165" s="301" t="s">
        <v>414</v>
      </c>
      <c r="S165" s="302">
        <f t="array" ref="S165">if(isblank(E165),"",xlookup($S$9&amp;M165,z_Others!$X$5:$X$17&amp;z_Others!$W$5:$W$17,z_Others!$Z$5:$Z$17,"",0,1))</f>
        <v>35795514</v>
      </c>
      <c r="T165" s="303" t="str">
        <f t="array" ref="T165">if(isblank(E165),"",xlookup($S$9&amp;M165,z_Others!$X$5:$X$17&amp;z_Others!$W$5:$W$17,z_Others!$AH$5:$AH$17,"",0,1))</f>
        <v>35 795514 040000x</v>
      </c>
      <c r="U165" s="303" t="str">
        <f t="array" ref="U165">if(isblank(E165),"",xlookup($S$9&amp;M165,z_Others!$X$5:$X$17&amp;z_Others!$W$5:$W$17,z_Others!$AI$5:$AI$17,"",0,1))</f>
        <v>35 795514 999999x</v>
      </c>
      <c r="V165" s="303" t="str">
        <f t="shared" si="2"/>
        <v>64:9D:38:32:91:82
B0:D5:FB:C6:60:70</v>
      </c>
      <c r="W165" s="303" t="str">
        <f t="shared" si="3"/>
        <v>64:9D:38:37:25:61
B0:D5:FB:CE:01:8F</v>
      </c>
      <c r="X165" s="304" t="str">
        <f t="shared" si="4"/>
        <v>MP1.0</v>
      </c>
      <c r="Y165" s="292"/>
      <c r="Z165" s="304" t="str">
        <f t="shared" si="32"/>
        <v>Android 16</v>
      </c>
      <c r="AA165" s="304" t="str">
        <f t="shared" si="45"/>
        <v>TBD</v>
      </c>
      <c r="AB165" s="305" t="s">
        <v>1226</v>
      </c>
      <c r="AC165" s="361" t="s">
        <v>1175</v>
      </c>
      <c r="AD165" s="306"/>
      <c r="AE165" s="306"/>
      <c r="AF165" s="308"/>
      <c r="AG165" s="308"/>
      <c r="AH165" s="297" t="str">
        <f t="array" ref="AH165">if(isblank(E165),"",xlookup(F165,z_Others!$B$21:$B$45,z_Others!$F$21:$F$45,"TBD",0,1))</f>
        <v>00</v>
      </c>
      <c r="AI165" s="310" t="str">
        <f t="array" ref="AI165">if(isblank(E165),"", xlookup(E165,'Import_FL5_LH_PVTMP_Configs (Do'!E:E,'Import_FL5_LH_PVTMP_Configs (Do'!O:O,"TBD",0,1))</f>
        <v>TBD</v>
      </c>
      <c r="AJ165" s="311"/>
      <c r="AK165" s="310" t="str">
        <f t="array" ref="AK165">if(isblank(E165),"", xlookup(E165,'Import_FL5_LH_PVTMP_Configs (Do'!E:E,'Import_FL5_LH_PVTMP_Configs (Do'!Q:Q,"TBD",0,1))</f>
        <v>TBD</v>
      </c>
      <c r="AL165" s="310" t="str">
        <f t="array" ref="AL165">if(isblank(E165),"", xlookup(E165,'Import_FL5_LH_PVTMP_Configs (Do'!E:E,'Import_FL5_LH_PVTMP_Configs (Do'!M:M,"TBD",0,1))</f>
        <v>TBD</v>
      </c>
      <c r="AM165" s="310" t="str">
        <f t="array" ref="AM165">if(isblank(E165),"", xlookup(E165,'Import_FL5_LH_PVTMP_Configs (Do'!E:E,'Import_FL5_LH_PVTMP_Configs (Do'!N:N,"TBD",0,1))</f>
        <v>TBD</v>
      </c>
      <c r="AN165" s="310" t="str">
        <f t="array" ref="AN165">if(isblank(E165),"", xlookup(E165,'Import_FL5_LH_PVTMP_Configs (Do'!E:E,'Import_FL5_LH_PVTMP_Configs (Do'!K:K,"TBD",0,1))</f>
        <v>TBD</v>
      </c>
      <c r="AO165" s="292" t="str">
        <f t="array" ref="AO165">if(isblank(E165),"",XLOOKUP(E165,'FL5_G954 Pkg ASSY (Pkg BOM)'!L:L,'FL5_G954 Pkg ASSY (Pkg BOM)'!G:G,"N/A",0,1))</f>
        <v>N/A</v>
      </c>
      <c r="AP165" s="292" t="str">
        <f t="array" ref="AP165">if(isblank(E165),"",xlookup(E165,'FL5_G962 Country kit (Accesorie'!L:L,'FL5_G962 Country kit (Accesorie'!G:G,"N/A",0,1))</f>
        <v>N/A</v>
      </c>
      <c r="AQ165" s="304" t="s">
        <v>1140</v>
      </c>
      <c r="AR165" s="304" t="s">
        <v>1140</v>
      </c>
      <c r="AS165" s="292" t="s">
        <v>419</v>
      </c>
      <c r="AT165" s="302" t="str">
        <f t="shared" si="6"/>
        <v>Yes</v>
      </c>
      <c r="AU165" s="302" t="str">
        <f t="shared" si="7"/>
        <v>No</v>
      </c>
      <c r="AV165" s="302" t="str">
        <f t="shared" si="8"/>
        <v>No</v>
      </c>
      <c r="AW165" s="297"/>
      <c r="AX165" s="302" t="s">
        <v>1227</v>
      </c>
      <c r="AY165" s="302" t="s">
        <v>1228</v>
      </c>
      <c r="AZ165" s="312" t="str">
        <f t="array" ref="AZ165">if(isblank(E165),"", xlookup(E165,Import_FL5_LH_PVT_BM!D:D,Import_FL5_LH_PVT_BM!AK:AK,$F$4,0,1))</f>
        <v>MP</v>
      </c>
      <c r="BA165" s="292" t="str">
        <f t="shared" si="9"/>
        <v>Retail_10ct</v>
      </c>
      <c r="BB165" s="313" t="str">
        <f t="array" ref="BB165">if(isblank(E165),"",xlookup(F165,z_Others!$B$21:$B$42,z_Others!$G$21:$G$42,"No",0,1))</f>
        <v>ROW Master Carton Label (UPC)</v>
      </c>
      <c r="BC165" s="313" t="str">
        <f t="array" ref="BC165">if(isblank(E165),"",xlookup(F165,z_Others!$B$21:$B$42,z_Others!$H$21:$H$42,"No",0,1))</f>
        <v>Standard Pallet Label (BTO)
Standard Pallet Label (BTS)</v>
      </c>
      <c r="BD165" s="314" t="str">
        <f t="array" ref="BD165">if(isblank(E165),"",xlookup(E165,'Import_VN_Label approve'!E:E,'Import_VN_Label approve'!L:L,"N/A",0,1))</f>
        <v>N/A</v>
      </c>
      <c r="BE165" s="314" t="str">
        <f t="array" ref="BE165">if(isblank(E165),"",xlookup(E165,'Import_VN_Label approve'!E:E,'Import_VN_Label approve'!N:N,"N/A",0,1))</f>
        <v>N/A</v>
      </c>
      <c r="BF165" s="315"/>
      <c r="BG165" s="332" t="s">
        <v>503</v>
      </c>
      <c r="BH165" s="317" t="s">
        <v>504</v>
      </c>
      <c r="BI165" s="360" t="s">
        <v>1091</v>
      </c>
      <c r="BJ165" s="319" t="str">
        <f t="array" ref="BJ165">if(isblank(E165),"", xlookup(D165,z_Others!$B$5:$B$17,z_Others!$C$5:$C$17,"",0,1))</f>
        <v>智能手機</v>
      </c>
      <c r="BK165" s="320">
        <v>45782.0</v>
      </c>
      <c r="BL165" s="320" t="str">
        <f t="array" ref="BL165">if(isblank(E165),"",xlookup(E165,'FL5_MP POR_LH_報關備案_G950 &amp; GA'!F:F,'FL5_MP POR_LH_報關備案_G950 &amp; GA'!E:E,"No Need",0,1))</f>
        <v>No Need</v>
      </c>
      <c r="BM165" s="321" t="str">
        <f t="array" ref="BM165">if(isblank(E165),"",xlookup($BM$9&amp;E165,'Import_FL5 MPS (06.06.25) - Sor'!E161:E334&amp;'Import_FL5 MPS (06.06.25) - Sor'!F161:F334,'Import_FL5 MPS (06.06.25) - Sor'!ES161:ES334,"No demand",0,1))</f>
        <v>No demand</v>
      </c>
      <c r="BN165" s="321" t="str">
        <f t="array" ref="BN165">if(isblank(E165),"",xlookup($BN$9&amp;E165,'Import_FL5 MPS (06.06.25) - Sor'!E161:E334&amp;'Import_FL5 MPS (06.06.25) - Sor'!F161:F334,'Import_FL5 MPS (06.06.25) - Sor'!ES161:ES334,"No demand",0,1))</f>
        <v>No demand</v>
      </c>
      <c r="BO165" s="321" t="str">
        <f t="array" ref="BO165">if(isblank(E165),"",xlookup($BO$9&amp;E165,'Import_FL5 MPS (06.06.25) - Sor'!E161:E334&amp;'Import_FL5 MPS (06.06.25) - Sor'!F161:F334,'Import_FL5 MPS (06.06.25) - Sor'!ES161:ES334,"No demand",0,1))</f>
        <v>No demand</v>
      </c>
      <c r="BP165" s="322" t="str">
        <f t="array" ref="BP165">if(isblank(E165),"", xlookup(E165,'Import_LH_Label approve'!E:E,'Import_LH_Label approve'!L:L,"",0,1))</f>
        <v/>
      </c>
      <c r="BQ165" s="322" t="str">
        <f t="array" ref="BQ165">if(isblank(E165),"",xlookup(E165,'Import_VN_Label approve'!E:E,'Import_VN_Label approve'!M:M,"N/A",0,1))</f>
        <v>N/A</v>
      </c>
      <c r="BR165" s="325"/>
      <c r="BS165" s="323"/>
      <c r="BT165" s="324"/>
      <c r="BU165" s="91"/>
    </row>
    <row r="166" hidden="1">
      <c r="A166" s="7"/>
      <c r="B166" s="292">
        <v>155.0</v>
      </c>
      <c r="C166" s="231" t="s">
        <v>284</v>
      </c>
      <c r="D166" s="231" t="s">
        <v>408</v>
      </c>
      <c r="E166" s="350" t="s">
        <v>1229</v>
      </c>
      <c r="F166" s="294" t="s">
        <v>492</v>
      </c>
      <c r="G166" s="294" t="s">
        <v>493</v>
      </c>
      <c r="H166" s="292" t="str">
        <f t="array" ref="H166">xlookup(F166,z_Others!$B$21:$B$45,z_Others!$E$21:$E$45,"",0,1)</f>
        <v>Sub6</v>
      </c>
      <c r="I166" s="310" t="s">
        <v>425</v>
      </c>
      <c r="J166" s="231" t="str">
        <f t="array" ref="J166">if(isblank(E166),"",xlookup(I166,z_Others!$M$17:$M$20,z_Others!$O$17:$O$20,"",0,1))</f>
        <v>Frost</v>
      </c>
      <c r="K166" s="292" t="str">
        <f t="array" ref="K166">xlookup(I166,z_Others!$M$17:$M$20,z_Others!$N$17:$N$20,"",0,1)</f>
        <v>PPL</v>
      </c>
      <c r="L166" s="292" t="str">
        <f t="array" ref="L166">xlookup(F166,z_Others!$B$21:$B$45,z_Others!$D$21:$D$45,"",0,1)</f>
        <v>GK2MP</v>
      </c>
      <c r="M166" s="296" t="str">
        <f t="array" ref="M166">xlookup(F166,z_Others!$B$21:$B$45,z_Others!$C$21:$C$45,"",0,1)</f>
        <v>ROW</v>
      </c>
      <c r="N166" s="297">
        <v>3.5440766E7</v>
      </c>
      <c r="O166" s="331" t="s">
        <v>494</v>
      </c>
      <c r="P166" s="303" t="s">
        <v>495</v>
      </c>
      <c r="Q166" s="300" t="s">
        <v>413</v>
      </c>
      <c r="R166" s="301" t="s">
        <v>414</v>
      </c>
      <c r="S166" s="302">
        <f t="array" ref="S166">if(isblank(E166),"",xlookup($S$9&amp;M166,z_Others!$X$5:$X$17&amp;z_Others!$W$5:$W$17,z_Others!$Z$5:$Z$17,"",0,1))</f>
        <v>35795514</v>
      </c>
      <c r="T166" s="303" t="str">
        <f t="array" ref="T166">if(isblank(E166),"",xlookup($S$9&amp;M166,z_Others!$X$5:$X$17&amp;z_Others!$W$5:$W$17,z_Others!$AH$5:$AH$17,"",0,1))</f>
        <v>35 795514 040000x</v>
      </c>
      <c r="U166" s="303" t="str">
        <f t="array" ref="U166">if(isblank(E166),"",xlookup($S$9&amp;M166,z_Others!$X$5:$X$17&amp;z_Others!$W$5:$W$17,z_Others!$AI$5:$AI$17,"",0,1))</f>
        <v>35 795514 999999x</v>
      </c>
      <c r="V166" s="303" t="str">
        <f t="shared" si="2"/>
        <v>64:9D:38:32:91:82
B0:D5:FB:C6:60:70</v>
      </c>
      <c r="W166" s="303" t="str">
        <f t="shared" si="3"/>
        <v>64:9D:38:37:25:61
B0:D5:FB:CE:01:8F</v>
      </c>
      <c r="X166" s="304" t="str">
        <f t="shared" si="4"/>
        <v>MP1.0</v>
      </c>
      <c r="Y166" s="292"/>
      <c r="Z166" s="304" t="str">
        <f t="shared" si="32"/>
        <v>Android 16</v>
      </c>
      <c r="AA166" s="304" t="str">
        <f t="shared" si="45"/>
        <v>TBD</v>
      </c>
      <c r="AB166" s="305" t="s">
        <v>1230</v>
      </c>
      <c r="AC166" s="361" t="s">
        <v>1175</v>
      </c>
      <c r="AD166" s="306"/>
      <c r="AE166" s="306"/>
      <c r="AF166" s="308"/>
      <c r="AG166" s="308"/>
      <c r="AH166" s="297" t="str">
        <f t="array" ref="AH166">if(isblank(E166),"",xlookup(F166,z_Others!$B$21:$B$45,z_Others!$F$21:$F$45,"TBD",0,1))</f>
        <v>00</v>
      </c>
      <c r="AI166" s="310" t="str">
        <f t="array" ref="AI166">if(isblank(E166),"", xlookup(E166,'Import_FL5_LH_PVTMP_Configs (Do'!E:E,'Import_FL5_LH_PVTMP_Configs (Do'!O:O,"TBD",0,1))</f>
        <v>TBD</v>
      </c>
      <c r="AJ166" s="311"/>
      <c r="AK166" s="310" t="str">
        <f t="array" ref="AK166">if(isblank(E166),"", xlookup(E166,'Import_FL5_LH_PVTMP_Configs (Do'!E:E,'Import_FL5_LH_PVTMP_Configs (Do'!Q:Q,"TBD",0,1))</f>
        <v>TBD</v>
      </c>
      <c r="AL166" s="310" t="str">
        <f t="array" ref="AL166">if(isblank(E166),"", xlookup(E166,'Import_FL5_LH_PVTMP_Configs (Do'!E:E,'Import_FL5_LH_PVTMP_Configs (Do'!M:M,"TBD",0,1))</f>
        <v>TBD</v>
      </c>
      <c r="AM166" s="310" t="str">
        <f t="array" ref="AM166">if(isblank(E166),"", xlookup(E166,'Import_FL5_LH_PVTMP_Configs (Do'!E:E,'Import_FL5_LH_PVTMP_Configs (Do'!N:N,"TBD",0,1))</f>
        <v>TBD</v>
      </c>
      <c r="AN166" s="310" t="str">
        <f t="array" ref="AN166">if(isblank(E166),"", xlookup(E166,'Import_FL5_LH_PVTMP_Configs (Do'!E:E,'Import_FL5_LH_PVTMP_Configs (Do'!K:K,"TBD",0,1))</f>
        <v>TBD</v>
      </c>
      <c r="AO166" s="292" t="str">
        <f t="array" ref="AO166">if(isblank(E166),"",XLOOKUP(E166,'FL5_G954 Pkg ASSY (Pkg BOM)'!L:L,'FL5_G954 Pkg ASSY (Pkg BOM)'!G:G,"N/A",0,1))</f>
        <v>N/A</v>
      </c>
      <c r="AP166" s="292" t="str">
        <f t="array" ref="AP166">if(isblank(E166),"",xlookup(E166,'FL5_G962 Country kit (Accesorie'!L:L,'FL5_G962 Country kit (Accesorie'!G:G,"N/A",0,1))</f>
        <v>N/A</v>
      </c>
      <c r="AQ166" s="304" t="s">
        <v>1140</v>
      </c>
      <c r="AR166" s="304" t="s">
        <v>1140</v>
      </c>
      <c r="AS166" s="292" t="s">
        <v>419</v>
      </c>
      <c r="AT166" s="302" t="str">
        <f t="shared" si="6"/>
        <v>Yes</v>
      </c>
      <c r="AU166" s="302" t="str">
        <f t="shared" si="7"/>
        <v>No</v>
      </c>
      <c r="AV166" s="302" t="str">
        <f t="shared" si="8"/>
        <v>No</v>
      </c>
      <c r="AW166" s="297"/>
      <c r="AX166" s="302" t="s">
        <v>1231</v>
      </c>
      <c r="AY166" s="302" t="s">
        <v>1232</v>
      </c>
      <c r="AZ166" s="312" t="str">
        <f t="array" ref="AZ166">if(isblank(E166),"", xlookup(E166,Import_FL5_LH_PVT_BM!D:D,Import_FL5_LH_PVT_BM!AK:AK,$F$4,0,1))</f>
        <v>MP</v>
      </c>
      <c r="BA166" s="292" t="str">
        <f t="shared" si="9"/>
        <v>Retail_10ct</v>
      </c>
      <c r="BB166" s="313" t="str">
        <f t="array" ref="BB166">if(isblank(E166),"",xlookup(F166,z_Others!$B$21:$B$42,z_Others!$G$21:$G$42,"No",0,1))</f>
        <v>ROW Master Carton Label (UPC)</v>
      </c>
      <c r="BC166" s="313" t="str">
        <f t="array" ref="BC166">if(isblank(E166),"",xlookup(F166,z_Others!$B$21:$B$42,z_Others!$H$21:$H$42,"No",0,1))</f>
        <v>Standard Pallet Label (BTO)
Standard Pallet Label (BTS)</v>
      </c>
      <c r="BD166" s="314" t="str">
        <f t="array" ref="BD166">if(isblank(E166),"",xlookup(E166,'Import_VN_Label approve'!E:E,'Import_VN_Label approve'!L:L,"N/A",0,1))</f>
        <v>N/A</v>
      </c>
      <c r="BE166" s="314" t="str">
        <f t="array" ref="BE166">if(isblank(E166),"",xlookup(E166,'Import_VN_Label approve'!E:E,'Import_VN_Label approve'!N:N,"N/A",0,1))</f>
        <v>N/A</v>
      </c>
      <c r="BF166" s="315"/>
      <c r="BG166" s="332" t="s">
        <v>503</v>
      </c>
      <c r="BH166" s="317" t="s">
        <v>504</v>
      </c>
      <c r="BI166" s="360" t="s">
        <v>1091</v>
      </c>
      <c r="BJ166" s="319" t="str">
        <f t="array" ref="BJ166">if(isblank(E166),"", xlookup(D166,z_Others!$B$5:$B$17,z_Others!$C$5:$C$17,"",0,1))</f>
        <v>智能手機</v>
      </c>
      <c r="BK166" s="320">
        <v>45782.0</v>
      </c>
      <c r="BL166" s="320" t="str">
        <f t="array" ref="BL166">if(isblank(E166),"",xlookup(E166,'FL5_MP POR_LH_報關備案_G950 &amp; GA'!F:F,'FL5_MP POR_LH_報關備案_G950 &amp; GA'!E:E,"No Need",0,1))</f>
        <v>No Need</v>
      </c>
      <c r="BM166" s="321" t="str">
        <f t="array" ref="BM166">if(isblank(E166),"",xlookup($BM$9&amp;E166,'Import_FL5 MPS (06.06.25) - Sor'!E162:E334&amp;'Import_FL5 MPS (06.06.25) - Sor'!F162:F334,'Import_FL5 MPS (06.06.25) - Sor'!ES162:ES334,"No demand",0,1))</f>
        <v>No demand</v>
      </c>
      <c r="BN166" s="321" t="str">
        <f t="array" ref="BN166">if(isblank(E166),"",xlookup($BN$9&amp;E166,'Import_FL5 MPS (06.06.25) - Sor'!E162:E334&amp;'Import_FL5 MPS (06.06.25) - Sor'!F162:F334,'Import_FL5 MPS (06.06.25) - Sor'!ES162:ES334,"No demand",0,1))</f>
        <v>No demand</v>
      </c>
      <c r="BO166" s="321" t="str">
        <f t="array" ref="BO166">if(isblank(E166),"",xlookup($BO$9&amp;E166,'Import_FL5 MPS (06.06.25) - Sor'!E162:E334&amp;'Import_FL5 MPS (06.06.25) - Sor'!F162:F334,'Import_FL5 MPS (06.06.25) - Sor'!ES162:ES334,"No demand",0,1))</f>
        <v>No demand</v>
      </c>
      <c r="BP166" s="322" t="str">
        <f t="array" ref="BP166">if(isblank(E166),"", xlookup(E166,'Import_LH_Label approve'!E:E,'Import_LH_Label approve'!L:L,"",0,1))</f>
        <v/>
      </c>
      <c r="BQ166" s="322" t="str">
        <f t="array" ref="BQ166">if(isblank(E166),"",xlookup(E166,'Import_VN_Label approve'!E:E,'Import_VN_Label approve'!M:M,"N/A",0,1))</f>
        <v>N/A</v>
      </c>
      <c r="BR166" s="325"/>
      <c r="BS166" s="323"/>
      <c r="BT166" s="324"/>
      <c r="BU166" s="91"/>
    </row>
    <row r="167" hidden="1">
      <c r="A167" s="7"/>
      <c r="B167" s="292">
        <v>156.0</v>
      </c>
      <c r="C167" s="231" t="s">
        <v>284</v>
      </c>
      <c r="D167" s="231" t="s">
        <v>408</v>
      </c>
      <c r="E167" s="350" t="s">
        <v>1233</v>
      </c>
      <c r="F167" s="294" t="s">
        <v>492</v>
      </c>
      <c r="G167" s="294" t="s">
        <v>493</v>
      </c>
      <c r="H167" s="292" t="str">
        <f t="array" ref="H167">xlookup(F167,z_Others!$B$21:$B$45,z_Others!$E$21:$E$45,"",0,1)</f>
        <v>Sub6</v>
      </c>
      <c r="I167" s="310" t="s">
        <v>431</v>
      </c>
      <c r="J167" s="231" t="str">
        <f t="array" ref="J167">if(isblank(E167),"",xlookup(I167,z_Others!$M$17:$M$20,z_Others!$O$17:$O$20,"",0,1))</f>
        <v>Lemongrass</v>
      </c>
      <c r="K167" s="292" t="str">
        <f t="array" ref="K167">xlookup(I167,z_Others!$M$17:$M$20,z_Others!$N$17:$N$20,"",0,1)</f>
        <v>YEL</v>
      </c>
      <c r="L167" s="292" t="str">
        <f t="array" ref="L167">xlookup(F167,z_Others!$B$21:$B$45,z_Others!$D$21:$D$45,"",0,1)</f>
        <v>GK2MP</v>
      </c>
      <c r="M167" s="296" t="str">
        <f t="array" ref="M167">xlookup(F167,z_Others!$B$21:$B$45,z_Others!$C$21:$C$45,"",0,1)</f>
        <v>ROW</v>
      </c>
      <c r="N167" s="297">
        <v>3.5440766E7</v>
      </c>
      <c r="O167" s="331" t="s">
        <v>494</v>
      </c>
      <c r="P167" s="303" t="s">
        <v>495</v>
      </c>
      <c r="Q167" s="300" t="s">
        <v>413</v>
      </c>
      <c r="R167" s="301" t="s">
        <v>414</v>
      </c>
      <c r="S167" s="302">
        <f t="array" ref="S167">if(isblank(E167),"",xlookup($S$9&amp;M167,z_Others!$X$5:$X$17&amp;z_Others!$W$5:$W$17,z_Others!$Z$5:$Z$17,"",0,1))</f>
        <v>35795514</v>
      </c>
      <c r="T167" s="303" t="str">
        <f t="array" ref="T167">if(isblank(E167),"",xlookup($S$9&amp;M167,z_Others!$X$5:$X$17&amp;z_Others!$W$5:$W$17,z_Others!$AH$5:$AH$17,"",0,1))</f>
        <v>35 795514 040000x</v>
      </c>
      <c r="U167" s="303" t="str">
        <f t="array" ref="U167">if(isblank(E167),"",xlookup($S$9&amp;M167,z_Others!$X$5:$X$17&amp;z_Others!$W$5:$W$17,z_Others!$AI$5:$AI$17,"",0,1))</f>
        <v>35 795514 999999x</v>
      </c>
      <c r="V167" s="303" t="str">
        <f t="shared" si="2"/>
        <v>64:9D:38:32:91:82
B0:D5:FB:C6:60:70</v>
      </c>
      <c r="W167" s="303" t="str">
        <f t="shared" si="3"/>
        <v>64:9D:38:37:25:61
B0:D5:FB:CE:01:8F</v>
      </c>
      <c r="X167" s="304" t="str">
        <f t="shared" si="4"/>
        <v>MP1.0</v>
      </c>
      <c r="Y167" s="292"/>
      <c r="Z167" s="304" t="str">
        <f t="shared" si="32"/>
        <v>Android 16</v>
      </c>
      <c r="AA167" s="304" t="str">
        <f t="shared" si="45"/>
        <v>TBD</v>
      </c>
      <c r="AB167" s="305" t="s">
        <v>1234</v>
      </c>
      <c r="AC167" s="361" t="s">
        <v>1175</v>
      </c>
      <c r="AD167" s="306"/>
      <c r="AE167" s="306"/>
      <c r="AF167" s="308"/>
      <c r="AG167" s="308"/>
      <c r="AH167" s="297" t="str">
        <f t="array" ref="AH167">if(isblank(E167),"",xlookup(F167,z_Others!$B$21:$B$45,z_Others!$F$21:$F$45,"TBD",0,1))</f>
        <v>00</v>
      </c>
      <c r="AI167" s="310" t="str">
        <f t="array" ref="AI167">if(isblank(E167),"", xlookup(E167,'Import_FL5_LH_PVTMP_Configs (Do'!E:E,'Import_FL5_LH_PVTMP_Configs (Do'!O:O,"TBD",0,1))</f>
        <v>TBD</v>
      </c>
      <c r="AJ167" s="311"/>
      <c r="AK167" s="310" t="str">
        <f t="array" ref="AK167">if(isblank(E167),"", xlookup(E167,'Import_FL5_LH_PVTMP_Configs (Do'!E:E,'Import_FL5_LH_PVTMP_Configs (Do'!Q:Q,"TBD",0,1))</f>
        <v>TBD</v>
      </c>
      <c r="AL167" s="310" t="str">
        <f t="array" ref="AL167">if(isblank(E167),"", xlookup(E167,'Import_FL5_LH_PVTMP_Configs (Do'!E:E,'Import_FL5_LH_PVTMP_Configs (Do'!M:M,"TBD",0,1))</f>
        <v>TBD</v>
      </c>
      <c r="AM167" s="310" t="str">
        <f t="array" ref="AM167">if(isblank(E167),"", xlookup(E167,'Import_FL5_LH_PVTMP_Configs (Do'!E:E,'Import_FL5_LH_PVTMP_Configs (Do'!N:N,"TBD",0,1))</f>
        <v>TBD</v>
      </c>
      <c r="AN167" s="310" t="str">
        <f t="array" ref="AN167">if(isblank(E167),"", xlookup(E167,'Import_FL5_LH_PVTMP_Configs (Do'!E:E,'Import_FL5_LH_PVTMP_Configs (Do'!K:K,"TBD",0,1))</f>
        <v>TBD</v>
      </c>
      <c r="AO167" s="292" t="str">
        <f t="array" ref="AO167">if(isblank(E167),"",XLOOKUP(E167,'FL5_G954 Pkg ASSY (Pkg BOM)'!L:L,'FL5_G954 Pkg ASSY (Pkg BOM)'!G:G,"N/A",0,1))</f>
        <v>N/A</v>
      </c>
      <c r="AP167" s="292" t="str">
        <f t="array" ref="AP167">if(isblank(E167),"",xlookup(E167,'FL5_G962 Country kit (Accesorie'!L:L,'FL5_G962 Country kit (Accesorie'!G:G,"N/A",0,1))</f>
        <v>N/A</v>
      </c>
      <c r="AQ167" s="304" t="s">
        <v>1140</v>
      </c>
      <c r="AR167" s="304" t="s">
        <v>1140</v>
      </c>
      <c r="AS167" s="292" t="s">
        <v>419</v>
      </c>
      <c r="AT167" s="302" t="str">
        <f t="shared" si="6"/>
        <v>Yes</v>
      </c>
      <c r="AU167" s="302" t="str">
        <f t="shared" si="7"/>
        <v>No</v>
      </c>
      <c r="AV167" s="302" t="str">
        <f t="shared" si="8"/>
        <v>No</v>
      </c>
      <c r="AW167" s="297"/>
      <c r="AX167" s="302" t="s">
        <v>1235</v>
      </c>
      <c r="AY167" s="302" t="s">
        <v>1236</v>
      </c>
      <c r="AZ167" s="312" t="str">
        <f t="array" ref="AZ167">if(isblank(E167),"", xlookup(E167,Import_FL5_LH_PVT_BM!D:D,Import_FL5_LH_PVT_BM!AK:AK,$F$4,0,1))</f>
        <v>MP</v>
      </c>
      <c r="BA167" s="292" t="str">
        <f t="shared" si="9"/>
        <v>Retail_10ct</v>
      </c>
      <c r="BB167" s="313" t="str">
        <f t="array" ref="BB167">if(isblank(E167),"",xlookup(F167,z_Others!$B$21:$B$42,z_Others!$G$21:$G$42,"No",0,1))</f>
        <v>ROW Master Carton Label (UPC)</v>
      </c>
      <c r="BC167" s="313" t="str">
        <f t="array" ref="BC167">if(isblank(E167),"",xlookup(F167,z_Others!$B$21:$B$42,z_Others!$H$21:$H$42,"No",0,1))</f>
        <v>Standard Pallet Label (BTO)
Standard Pallet Label (BTS)</v>
      </c>
      <c r="BD167" s="314" t="str">
        <f t="array" ref="BD167">if(isblank(E167),"",xlookup(E167,'Import_VN_Label approve'!E:E,'Import_VN_Label approve'!L:L,"N/A",0,1))</f>
        <v>N/A</v>
      </c>
      <c r="BE167" s="314" t="str">
        <f t="array" ref="BE167">if(isblank(E167),"",xlookup(E167,'Import_VN_Label approve'!E:E,'Import_VN_Label approve'!N:N,"N/A",0,1))</f>
        <v>N/A</v>
      </c>
      <c r="BF167" s="315"/>
      <c r="BG167" s="332" t="s">
        <v>503</v>
      </c>
      <c r="BH167" s="317" t="s">
        <v>504</v>
      </c>
      <c r="BI167" s="360" t="s">
        <v>1091</v>
      </c>
      <c r="BJ167" s="319" t="str">
        <f t="array" ref="BJ167">if(isblank(E167),"", xlookup(D167,z_Others!$B$5:$B$17,z_Others!$C$5:$C$17,"",0,1))</f>
        <v>智能手機</v>
      </c>
      <c r="BK167" s="320">
        <v>45782.0</v>
      </c>
      <c r="BL167" s="320" t="str">
        <f t="array" ref="BL167">if(isblank(E167),"",xlookup(E167,'FL5_MP POR_LH_報關備案_G950 &amp; GA'!F:F,'FL5_MP POR_LH_報關備案_G950 &amp; GA'!E:E,"No Need",0,1))</f>
        <v>No Need</v>
      </c>
      <c r="BM167" s="321" t="str">
        <f t="array" ref="BM167">if(isblank(E167),"",xlookup($BM$9&amp;E167,'Import_FL5 MPS (06.06.25) - Sor'!E163:E334&amp;'Import_FL5 MPS (06.06.25) - Sor'!F163:F334,'Import_FL5 MPS (06.06.25) - Sor'!ES163:ES334,"No demand",0,1))</f>
        <v>No demand</v>
      </c>
      <c r="BN167" s="321" t="str">
        <f t="array" ref="BN167">if(isblank(E167),"",xlookup($BN$9&amp;E167,'Import_FL5 MPS (06.06.25) - Sor'!E163:E334&amp;'Import_FL5 MPS (06.06.25) - Sor'!F163:F334,'Import_FL5 MPS (06.06.25) - Sor'!ES163:ES334,"No demand",0,1))</f>
        <v>No demand</v>
      </c>
      <c r="BO167" s="321" t="str">
        <f t="array" ref="BO167">if(isblank(E167),"",xlookup($BO$9&amp;E167,'Import_FL5 MPS (06.06.25) - Sor'!E163:E334&amp;'Import_FL5 MPS (06.06.25) - Sor'!F163:F334,'Import_FL5 MPS (06.06.25) - Sor'!ES163:ES334,"No demand",0,1))</f>
        <v>No demand</v>
      </c>
      <c r="BP167" s="322" t="str">
        <f t="array" ref="BP167">if(isblank(E167),"", xlookup(E167,'Import_LH_Label approve'!E:E,'Import_LH_Label approve'!L:L,"",0,1))</f>
        <v/>
      </c>
      <c r="BQ167" s="322" t="str">
        <f t="array" ref="BQ167">if(isblank(E167),"",xlookup(E167,'Import_VN_Label approve'!E:E,'Import_VN_Label approve'!M:M,"N/A",0,1))</f>
        <v>N/A</v>
      </c>
      <c r="BR167" s="325"/>
      <c r="BS167" s="323"/>
      <c r="BT167" s="324"/>
      <c r="BU167" s="91"/>
    </row>
    <row r="168" hidden="1">
      <c r="A168" s="7"/>
      <c r="B168" s="292">
        <v>157.0</v>
      </c>
      <c r="C168" s="231" t="s">
        <v>284</v>
      </c>
      <c r="D168" s="231" t="s">
        <v>408</v>
      </c>
      <c r="E168" s="350" t="s">
        <v>1237</v>
      </c>
      <c r="F168" s="294" t="s">
        <v>492</v>
      </c>
      <c r="G168" s="294" t="s">
        <v>493</v>
      </c>
      <c r="H168" s="292" t="str">
        <f t="array" ref="H168">xlookup(F168,z_Others!$B$21:$B$45,z_Others!$E$21:$E$45,"",0,1)</f>
        <v>Sub6</v>
      </c>
      <c r="I168" s="310" t="s">
        <v>437</v>
      </c>
      <c r="J168" s="231" t="str">
        <f t="array" ref="J168">if(isblank(E168),"",xlookup(I168,z_Others!$M$17:$M$20,z_Others!$O$17:$O$20,"",0,1))</f>
        <v>Indigo</v>
      </c>
      <c r="K168" s="292" t="str">
        <f t="array" ref="K168">xlookup(I168,z_Others!$M$17:$M$20,z_Others!$N$17:$N$20,"",0,1)</f>
        <v>BUE</v>
      </c>
      <c r="L168" s="292" t="str">
        <f t="array" ref="L168">xlookup(F168,z_Others!$B$21:$B$45,z_Others!$D$21:$D$45,"",0,1)</f>
        <v>GK2MP</v>
      </c>
      <c r="M168" s="296" t="str">
        <f t="array" ref="M168">xlookup(F168,z_Others!$B$21:$B$45,z_Others!$C$21:$C$45,"",0,1)</f>
        <v>ROW</v>
      </c>
      <c r="N168" s="297">
        <v>3.5440766E7</v>
      </c>
      <c r="O168" s="331" t="s">
        <v>494</v>
      </c>
      <c r="P168" s="303" t="s">
        <v>495</v>
      </c>
      <c r="Q168" s="300" t="s">
        <v>413</v>
      </c>
      <c r="R168" s="301" t="s">
        <v>414</v>
      </c>
      <c r="S168" s="302">
        <f t="array" ref="S168">if(isblank(E168),"",xlookup($S$9&amp;M168,z_Others!$X$5:$X$17&amp;z_Others!$W$5:$W$17,z_Others!$Z$5:$Z$17,"",0,1))</f>
        <v>35795514</v>
      </c>
      <c r="T168" s="303" t="str">
        <f t="array" ref="T168">if(isblank(E168),"",xlookup($S$9&amp;M168,z_Others!$X$5:$X$17&amp;z_Others!$W$5:$W$17,z_Others!$AH$5:$AH$17,"",0,1))</f>
        <v>35 795514 040000x</v>
      </c>
      <c r="U168" s="303" t="str">
        <f t="array" ref="U168">if(isblank(E168),"",xlookup($S$9&amp;M168,z_Others!$X$5:$X$17&amp;z_Others!$W$5:$W$17,z_Others!$AI$5:$AI$17,"",0,1))</f>
        <v>35 795514 999999x</v>
      </c>
      <c r="V168" s="303" t="str">
        <f t="shared" si="2"/>
        <v>64:9D:38:32:91:82
B0:D5:FB:C6:60:70</v>
      </c>
      <c r="W168" s="303" t="str">
        <f t="shared" si="3"/>
        <v>64:9D:38:37:25:61
B0:D5:FB:CE:01:8F</v>
      </c>
      <c r="X168" s="304" t="str">
        <f t="shared" si="4"/>
        <v>MP1.0</v>
      </c>
      <c r="Y168" s="292"/>
      <c r="Z168" s="304" t="str">
        <f t="shared" si="32"/>
        <v>Android 16</v>
      </c>
      <c r="AA168" s="304" t="str">
        <f t="shared" ref="AA168:AA203" si="46">if(isblank(E168),"",IF(AG168="AD1A.240530.047","Android 14",IF(AG168="AP3A.241105.008","Android 15","TBD")))</f>
        <v>TBD</v>
      </c>
      <c r="AB168" s="305" t="s">
        <v>1238</v>
      </c>
      <c r="AC168" s="361" t="s">
        <v>1175</v>
      </c>
      <c r="AD168" s="306"/>
      <c r="AE168" s="306"/>
      <c r="AF168" s="308"/>
      <c r="AG168" s="308"/>
      <c r="AH168" s="297" t="str">
        <f t="array" ref="AH168">if(isblank(E168),"",xlookup(F168,z_Others!$B$21:$B$45,z_Others!$F$21:$F$45,"TBD",0,1))</f>
        <v>00</v>
      </c>
      <c r="AI168" s="310" t="str">
        <f t="array" ref="AI168">if(isblank(E168),"", xlookup(E168,'Import_FL5_LH_PVTMP_Configs (Do'!E:E,'Import_FL5_LH_PVTMP_Configs (Do'!O:O,"TBD",0,1))</f>
        <v>TBD</v>
      </c>
      <c r="AJ168" s="311"/>
      <c r="AK168" s="310" t="str">
        <f t="array" ref="AK168">if(isblank(E168),"", xlookup(E168,'Import_FL5_LH_PVTMP_Configs (Do'!E:E,'Import_FL5_LH_PVTMP_Configs (Do'!Q:Q,"TBD",0,1))</f>
        <v>TBD</v>
      </c>
      <c r="AL168" s="310" t="str">
        <f t="array" ref="AL168">if(isblank(E168),"", xlookup(E168,'Import_FL5_LH_PVTMP_Configs (Do'!E:E,'Import_FL5_LH_PVTMP_Configs (Do'!M:M,"TBD",0,1))</f>
        <v>TBD</v>
      </c>
      <c r="AM168" s="310" t="str">
        <f t="array" ref="AM168">if(isblank(E168),"", xlookup(E168,'Import_FL5_LH_PVTMP_Configs (Do'!E:E,'Import_FL5_LH_PVTMP_Configs (Do'!N:N,"TBD",0,1))</f>
        <v>TBD</v>
      </c>
      <c r="AN168" s="310" t="str">
        <f t="array" ref="AN168">if(isblank(E168),"", xlookup(E168,'Import_FL5_LH_PVTMP_Configs (Do'!E:E,'Import_FL5_LH_PVTMP_Configs (Do'!K:K,"TBD",0,1))</f>
        <v>TBD</v>
      </c>
      <c r="AO168" s="292" t="str">
        <f t="array" ref="AO168">if(isblank(E168),"",XLOOKUP(E168,'FL5_G954 Pkg ASSY (Pkg BOM)'!L:L,'FL5_G954 Pkg ASSY (Pkg BOM)'!G:G,"N/A",0,1))</f>
        <v>N/A</v>
      </c>
      <c r="AP168" s="292" t="str">
        <f t="array" ref="AP168">if(isblank(E168),"",xlookup(E168,'FL5_G962 Country kit (Accesorie'!L:L,'FL5_G962 Country kit (Accesorie'!G:G,"N/A",0,1))</f>
        <v>N/A</v>
      </c>
      <c r="AQ168" s="304" t="s">
        <v>1140</v>
      </c>
      <c r="AR168" s="304" t="s">
        <v>1140</v>
      </c>
      <c r="AS168" s="292" t="s">
        <v>419</v>
      </c>
      <c r="AT168" s="302" t="str">
        <f t="shared" si="6"/>
        <v>Yes</v>
      </c>
      <c r="AU168" s="302" t="str">
        <f t="shared" si="7"/>
        <v>No</v>
      </c>
      <c r="AV168" s="302" t="str">
        <f t="shared" si="8"/>
        <v>No</v>
      </c>
      <c r="AW168" s="297"/>
      <c r="AX168" s="302" t="s">
        <v>1239</v>
      </c>
      <c r="AY168" s="302" t="s">
        <v>1240</v>
      </c>
      <c r="AZ168" s="312" t="str">
        <f t="array" ref="AZ168">if(isblank(E168),"", xlookup(E168,Import_FL5_LH_PVT_BM!D:D,Import_FL5_LH_PVT_BM!AK:AK,$F$4,0,1))</f>
        <v>MP</v>
      </c>
      <c r="BA168" s="292" t="str">
        <f t="shared" si="9"/>
        <v>Retail_10ct</v>
      </c>
      <c r="BB168" s="313" t="str">
        <f t="array" ref="BB168">if(isblank(E168),"",xlookup(F168,z_Others!$B$21:$B$42,z_Others!$G$21:$G$42,"No",0,1))</f>
        <v>ROW Master Carton Label (UPC)</v>
      </c>
      <c r="BC168" s="313" t="str">
        <f t="array" ref="BC168">if(isblank(E168),"",xlookup(F168,z_Others!$B$21:$B$42,z_Others!$H$21:$H$42,"No",0,1))</f>
        <v>Standard Pallet Label (BTO)
Standard Pallet Label (BTS)</v>
      </c>
      <c r="BD168" s="314" t="str">
        <f t="array" ref="BD168">if(isblank(E168),"",xlookup(E168,'Import_VN_Label approve'!E:E,'Import_VN_Label approve'!L:L,"N/A",0,1))</f>
        <v>N/A</v>
      </c>
      <c r="BE168" s="314" t="str">
        <f t="array" ref="BE168">if(isblank(E168),"",xlookup(E168,'Import_VN_Label approve'!E:E,'Import_VN_Label approve'!N:N,"N/A",0,1))</f>
        <v>N/A</v>
      </c>
      <c r="BF168" s="315"/>
      <c r="BG168" s="332" t="s">
        <v>503</v>
      </c>
      <c r="BH168" s="317" t="s">
        <v>504</v>
      </c>
      <c r="BI168" s="360" t="s">
        <v>1091</v>
      </c>
      <c r="BJ168" s="319" t="str">
        <f t="array" ref="BJ168">if(isblank(E168),"", xlookup(D168,z_Others!$B$5:$B$17,z_Others!$C$5:$C$17,"",0,1))</f>
        <v>智能手機</v>
      </c>
      <c r="BK168" s="320">
        <v>45782.0</v>
      </c>
      <c r="BL168" s="320" t="str">
        <f t="array" ref="BL168">if(isblank(E168),"",xlookup(E168,'FL5_MP POR_LH_報關備案_G950 &amp; GA'!F:F,'FL5_MP POR_LH_報關備案_G950 &amp; GA'!E:E,"No Need",0,1))</f>
        <v>No Need</v>
      </c>
      <c r="BM168" s="321" t="str">
        <f t="array" ref="BM168">if(isblank(E168),"",xlookup($BM$9&amp;E168,'Import_FL5 MPS (06.06.25) - Sor'!E164:E334&amp;'Import_FL5 MPS (06.06.25) - Sor'!F164:F334,'Import_FL5 MPS (06.06.25) - Sor'!ES164:ES334,"No demand",0,1))</f>
        <v>No demand</v>
      </c>
      <c r="BN168" s="321" t="str">
        <f t="array" ref="BN168">if(isblank(E168),"",xlookup($BN$9&amp;E168,'Import_FL5 MPS (06.06.25) - Sor'!E164:E334&amp;'Import_FL5 MPS (06.06.25) - Sor'!F164:F334,'Import_FL5 MPS (06.06.25) - Sor'!ES164:ES334,"No demand",0,1))</f>
        <v>No demand</v>
      </c>
      <c r="BO168" s="321" t="str">
        <f t="array" ref="BO168">if(isblank(E168),"",xlookup($BO$9&amp;E168,'Import_FL5 MPS (06.06.25) - Sor'!E164:E334&amp;'Import_FL5 MPS (06.06.25) - Sor'!F164:F334,'Import_FL5 MPS (06.06.25) - Sor'!ES164:ES334,"No demand",0,1))</f>
        <v>No demand</v>
      </c>
      <c r="BP168" s="322" t="str">
        <f t="array" ref="BP168">if(isblank(E168),"", xlookup(E168,'Import_LH_Label approve'!E:E,'Import_LH_Label approve'!L:L,"",0,1))</f>
        <v/>
      </c>
      <c r="BQ168" s="322" t="str">
        <f t="array" ref="BQ168">if(isblank(E168),"",xlookup(E168,'Import_VN_Label approve'!E:E,'Import_VN_Label approve'!M:M,"N/A",0,1))</f>
        <v>N/A</v>
      </c>
      <c r="BR168" s="325"/>
      <c r="BS168" s="323"/>
      <c r="BT168" s="324"/>
      <c r="BU168" s="117"/>
    </row>
    <row r="169" hidden="1">
      <c r="A169" s="7"/>
      <c r="B169" s="292">
        <v>158.0</v>
      </c>
      <c r="C169" s="231" t="s">
        <v>284</v>
      </c>
      <c r="D169" s="231" t="s">
        <v>408</v>
      </c>
      <c r="E169" s="350" t="s">
        <v>1241</v>
      </c>
      <c r="F169" s="325" t="s">
        <v>1242</v>
      </c>
      <c r="G169" s="294" t="s">
        <v>528</v>
      </c>
      <c r="H169" s="292" t="str">
        <f t="array" ref="H169">xlookup(F169,z_Others!$B$21:$B$45,z_Others!$E$21:$E$45,"",0,1)</f>
        <v>Sub6</v>
      </c>
      <c r="I169" s="310" t="s">
        <v>412</v>
      </c>
      <c r="J169" s="231" t="str">
        <f t="array" ref="J169">if(isblank(E169),"",xlookup(I169,z_Others!$M$17:$M$20,z_Others!$O$17:$O$20,"",0,1))</f>
        <v>Obsidian</v>
      </c>
      <c r="K169" s="292" t="str">
        <f t="array" ref="K169">xlookup(I169,z_Others!$M$17:$M$20,z_Others!$N$17:$N$20,"",0,1)</f>
        <v>BLK</v>
      </c>
      <c r="L169" s="292" t="str">
        <f t="array" ref="L169">xlookup(F169,z_Others!$B$21:$B$45,z_Others!$D$21:$D$45,"",0,1)</f>
        <v>GK2MP</v>
      </c>
      <c r="M169" s="296" t="str">
        <f t="array" ref="M169">xlookup(F169,z_Others!$B$21:$B$45,z_Others!$C$21:$C$45,"",0,1)</f>
        <v>ROW</v>
      </c>
      <c r="N169" s="297">
        <v>3.5440766E7</v>
      </c>
      <c r="O169" s="331" t="s">
        <v>494</v>
      </c>
      <c r="P169" s="303" t="s">
        <v>495</v>
      </c>
      <c r="Q169" s="300" t="s">
        <v>413</v>
      </c>
      <c r="R169" s="301" t="s">
        <v>414</v>
      </c>
      <c r="S169" s="302">
        <f t="array" ref="S169">if(isblank(E169),"",xlookup($S$9&amp;M169,z_Others!$X$5:$X$17&amp;z_Others!$W$5:$W$17,z_Others!$Z$5:$Z$17,"",0,1))</f>
        <v>35795514</v>
      </c>
      <c r="T169" s="303" t="str">
        <f t="array" ref="T169">if(isblank(E169),"",xlookup($S$9&amp;M169,z_Others!$X$5:$X$17&amp;z_Others!$W$5:$W$17,z_Others!$AH$5:$AH$17,"",0,1))</f>
        <v>35 795514 040000x</v>
      </c>
      <c r="U169" s="303" t="str">
        <f t="array" ref="U169">if(isblank(E169),"",xlookup($S$9&amp;M169,z_Others!$X$5:$X$17&amp;z_Others!$W$5:$W$17,z_Others!$AI$5:$AI$17,"",0,1))</f>
        <v>35 795514 999999x</v>
      </c>
      <c r="V169" s="303" t="str">
        <f t="shared" si="2"/>
        <v>64:9D:38:32:91:82
B0:D5:FB:C6:60:70</v>
      </c>
      <c r="W169" s="303" t="str">
        <f t="shared" si="3"/>
        <v>64:9D:38:37:25:61
B0:D5:FB:CE:01:8F</v>
      </c>
      <c r="X169" s="304" t="str">
        <f t="shared" si="4"/>
        <v>MP1.0</v>
      </c>
      <c r="Y169" s="292"/>
      <c r="Z169" s="304" t="str">
        <f t="shared" si="32"/>
        <v>Android 16</v>
      </c>
      <c r="AA169" s="304" t="str">
        <f t="shared" si="46"/>
        <v>TBD</v>
      </c>
      <c r="AB169" s="305" t="s">
        <v>1243</v>
      </c>
      <c r="AC169" s="361" t="s">
        <v>1175</v>
      </c>
      <c r="AD169" s="306"/>
      <c r="AE169" s="306"/>
      <c r="AF169" s="308"/>
      <c r="AG169" s="308"/>
      <c r="AH169" s="297" t="str">
        <f t="array" ref="AH169">if(isblank(E169),"",xlookup(F169,z_Others!$B$21:$B$45,z_Others!$F$21:$F$45,"TBD",0,1))</f>
        <v>00</v>
      </c>
      <c r="AI169" s="310" t="str">
        <f t="array" ref="AI169">if(isblank(E169),"", xlookup(E169,'Import_FL5_LH_PVTMP_Configs (Do'!E:E,'Import_FL5_LH_PVTMP_Configs (Do'!O:O,"TBD",0,1))</f>
        <v>TBD</v>
      </c>
      <c r="AJ169" s="311"/>
      <c r="AK169" s="310" t="str">
        <f t="array" ref="AK169">if(isblank(E169),"", xlookup(E169,'Import_FL5_LH_PVTMP_Configs (Do'!E:E,'Import_FL5_LH_PVTMP_Configs (Do'!Q:Q,"TBD",0,1))</f>
        <v>TBD</v>
      </c>
      <c r="AL169" s="310" t="str">
        <f t="array" ref="AL169">if(isblank(E169),"", xlookup(E169,'Import_FL5_LH_PVTMP_Configs (Do'!E:E,'Import_FL5_LH_PVTMP_Configs (Do'!M:M,"TBD",0,1))</f>
        <v>TBD</v>
      </c>
      <c r="AM169" s="310" t="str">
        <f t="array" ref="AM169">if(isblank(E169),"", xlookup(E169,'Import_FL5_LH_PVTMP_Configs (Do'!E:E,'Import_FL5_LH_PVTMP_Configs (Do'!N:N,"TBD",0,1))</f>
        <v>TBD</v>
      </c>
      <c r="AN169" s="310" t="str">
        <f t="array" ref="AN169">if(isblank(E169),"", xlookup(E169,'Import_FL5_LH_PVTMP_Configs (Do'!E:E,'Import_FL5_LH_PVTMP_Configs (Do'!K:K,"TBD",0,1))</f>
        <v>TBD</v>
      </c>
      <c r="AO169" s="292" t="str">
        <f t="array" ref="AO169">if(isblank(E169),"",XLOOKUP(E169,'FL5_G954 Pkg ASSY (Pkg BOM)'!L:L,'FL5_G954 Pkg ASSY (Pkg BOM)'!G:G,"N/A",0,1))</f>
        <v>N/A</v>
      </c>
      <c r="AP169" s="292" t="str">
        <f t="array" ref="AP169">if(isblank(E169),"",xlookup(E169,'FL5_G962 Country kit (Accesorie'!L:L,'FL5_G962 Country kit (Accesorie'!G:G,"N/A",0,1))</f>
        <v>N/A</v>
      </c>
      <c r="AQ169" s="304" t="s">
        <v>1140</v>
      </c>
      <c r="AR169" s="304" t="s">
        <v>1140</v>
      </c>
      <c r="AS169" s="292" t="s">
        <v>419</v>
      </c>
      <c r="AT169" s="302" t="str">
        <f t="shared" si="6"/>
        <v>Yes</v>
      </c>
      <c r="AU169" s="302" t="str">
        <f t="shared" si="7"/>
        <v>Yes</v>
      </c>
      <c r="AV169" s="302" t="str">
        <f t="shared" si="8"/>
        <v>No</v>
      </c>
      <c r="AW169" s="297"/>
      <c r="AX169" s="302" t="s">
        <v>1244</v>
      </c>
      <c r="AY169" s="302" t="s">
        <v>1245</v>
      </c>
      <c r="AZ169" s="312" t="str">
        <f t="array" ref="AZ169">if(isblank(E169),"", xlookup(E169,Import_FL5_LH_PVT_BM!D:D,Import_FL5_LH_PVT_BM!AK:AK,$F$4,0,1))</f>
        <v>MP</v>
      </c>
      <c r="BA169" s="292" t="str">
        <f t="shared" si="9"/>
        <v>Retail_10ct</v>
      </c>
      <c r="BB169" s="356" t="str">
        <f t="array" ref="BB169">if(isblank(E169),"",xlookup(F169,z_Others!$B$21:$B$42,z_Others!$G$21:$G$42,"No",0,1))</f>
        <v>ROW Master Carton Label (EAN)</v>
      </c>
      <c r="BC169" s="313" t="str">
        <f t="array" ref="BC169">if(isblank(E169),"",xlookup(F169,z_Others!$B$21:$B$42,z_Others!$H$21:$H$42,"No",0,1))</f>
        <v>Standard Pallet Label (BTO)
Standard Pallet Label (BTS)</v>
      </c>
      <c r="BD169" s="314" t="str">
        <f t="array" ref="BD169">if(isblank(E169),"",xlookup(E169,'Import_VN_Label approve'!E:E,'Import_VN_Label approve'!L:L,"N/A",0,1))</f>
        <v>N/A</v>
      </c>
      <c r="BE169" s="314" t="str">
        <f t="array" ref="BE169">if(isblank(E169),"",xlookup(E169,'Import_VN_Label approve'!E:E,'Import_VN_Label approve'!N:N,"N/A",0,1))</f>
        <v>N/A</v>
      </c>
      <c r="BF169" s="315"/>
      <c r="BG169" s="332" t="s">
        <v>503</v>
      </c>
      <c r="BH169" s="317" t="s">
        <v>504</v>
      </c>
      <c r="BI169" s="360" t="s">
        <v>1091</v>
      </c>
      <c r="BJ169" s="319" t="str">
        <f t="array" ref="BJ169">if(isblank(E169),"", xlookup(D169,z_Others!$B$5:$B$17,z_Others!$C$5:$C$17,"",0,1))</f>
        <v>智能手機</v>
      </c>
      <c r="BK169" s="320">
        <v>45782.0</v>
      </c>
      <c r="BL169" s="320" t="str">
        <f t="array" ref="BL169">if(isblank(E169),"",xlookup(E169,'FL5_MP POR_LH_報關備案_G950 &amp; GA'!F:F,'FL5_MP POR_LH_報關備案_G950 &amp; GA'!E:E,"No Need",0,1))</f>
        <v>No Need</v>
      </c>
      <c r="BM169" s="321" t="str">
        <f t="array" ref="BM169">if(isblank(E169),"",xlookup($BM$9&amp;E169,'Import_FL5 MPS (06.06.25) - Sor'!E165:E334&amp;'Import_FL5 MPS (06.06.25) - Sor'!F165:F334,'Import_FL5 MPS (06.06.25) - Sor'!ES165:ES334,"No demand",0,1))</f>
        <v>No demand</v>
      </c>
      <c r="BN169" s="321" t="str">
        <f t="array" ref="BN169">if(isblank(E169),"",xlookup($BN$9&amp;E169,'Import_FL5 MPS (06.06.25) - Sor'!E165:E334&amp;'Import_FL5 MPS (06.06.25) - Sor'!F165:F334,'Import_FL5 MPS (06.06.25) - Sor'!ES165:ES334,"No demand",0,1))</f>
        <v>No demand</v>
      </c>
      <c r="BO169" s="321" t="str">
        <f t="array" ref="BO169">if(isblank(E169),"",xlookup($BO$9&amp;E169,'Import_FL5 MPS (06.06.25) - Sor'!E165:E334&amp;'Import_FL5 MPS (06.06.25) - Sor'!F165:F334,'Import_FL5 MPS (06.06.25) - Sor'!ES165:ES334,"No demand",0,1))</f>
        <v>No demand</v>
      </c>
      <c r="BP169" s="322" t="str">
        <f t="array" ref="BP169">if(isblank(E169),"", xlookup(E169,'Import_LH_Label approve'!E:E,'Import_LH_Label approve'!L:L,"",0,1))</f>
        <v/>
      </c>
      <c r="BQ169" s="322" t="str">
        <f t="array" ref="BQ169">if(isblank(E169),"",xlookup(E169,'Import_VN_Label approve'!E:E,'Import_VN_Label approve'!M:M,"N/A",0,1))</f>
        <v>N/A</v>
      </c>
      <c r="BR169" s="325"/>
      <c r="BS169" s="323"/>
      <c r="BT169" s="324"/>
      <c r="BU169" s="117"/>
    </row>
    <row r="170" hidden="1">
      <c r="A170" s="7"/>
      <c r="B170" s="292">
        <v>159.0</v>
      </c>
      <c r="C170" s="231" t="s">
        <v>284</v>
      </c>
      <c r="D170" s="231" t="s">
        <v>408</v>
      </c>
      <c r="E170" s="350" t="s">
        <v>1246</v>
      </c>
      <c r="F170" s="325" t="s">
        <v>1242</v>
      </c>
      <c r="G170" s="294" t="s">
        <v>528</v>
      </c>
      <c r="H170" s="292" t="str">
        <f t="array" ref="H170">xlookup(F170,z_Others!$B$21:$B$45,z_Others!$E$21:$E$45,"",0,1)</f>
        <v>Sub6</v>
      </c>
      <c r="I170" s="310" t="s">
        <v>425</v>
      </c>
      <c r="J170" s="231" t="str">
        <f t="array" ref="J170">if(isblank(E170),"",xlookup(I170,z_Others!$M$17:$M$20,z_Others!$O$17:$O$20,"",0,1))</f>
        <v>Frost</v>
      </c>
      <c r="K170" s="292" t="str">
        <f t="array" ref="K170">xlookup(I170,z_Others!$M$17:$M$20,z_Others!$N$17:$N$20,"",0,1)</f>
        <v>PPL</v>
      </c>
      <c r="L170" s="292" t="str">
        <f t="array" ref="L170">xlookup(F170,z_Others!$B$21:$B$45,z_Others!$D$21:$D$45,"",0,1)</f>
        <v>GK2MP</v>
      </c>
      <c r="M170" s="296" t="str">
        <f t="array" ref="M170">xlookup(F170,z_Others!$B$21:$B$45,z_Others!$C$21:$C$45,"",0,1)</f>
        <v>ROW</v>
      </c>
      <c r="N170" s="297">
        <v>3.5440766E7</v>
      </c>
      <c r="O170" s="331" t="s">
        <v>494</v>
      </c>
      <c r="P170" s="303" t="s">
        <v>495</v>
      </c>
      <c r="Q170" s="300" t="s">
        <v>413</v>
      </c>
      <c r="R170" s="301" t="s">
        <v>414</v>
      </c>
      <c r="S170" s="302">
        <f t="array" ref="S170">if(isblank(E170),"",xlookup($S$9&amp;M170,z_Others!$X$5:$X$17&amp;z_Others!$W$5:$W$17,z_Others!$Z$5:$Z$17,"",0,1))</f>
        <v>35795514</v>
      </c>
      <c r="T170" s="303" t="str">
        <f t="array" ref="T170">if(isblank(E170),"",xlookup($S$9&amp;M170,z_Others!$X$5:$X$17&amp;z_Others!$W$5:$W$17,z_Others!$AH$5:$AH$17,"",0,1))</f>
        <v>35 795514 040000x</v>
      </c>
      <c r="U170" s="303" t="str">
        <f t="array" ref="U170">if(isblank(E170),"",xlookup($S$9&amp;M170,z_Others!$X$5:$X$17&amp;z_Others!$W$5:$W$17,z_Others!$AI$5:$AI$17,"",0,1))</f>
        <v>35 795514 999999x</v>
      </c>
      <c r="V170" s="303" t="str">
        <f t="shared" si="2"/>
        <v>64:9D:38:32:91:82
B0:D5:FB:C6:60:70</v>
      </c>
      <c r="W170" s="303" t="str">
        <f t="shared" si="3"/>
        <v>64:9D:38:37:25:61
B0:D5:FB:CE:01:8F</v>
      </c>
      <c r="X170" s="304" t="str">
        <f t="shared" si="4"/>
        <v>MP1.0</v>
      </c>
      <c r="Y170" s="292"/>
      <c r="Z170" s="304" t="str">
        <f t="shared" si="32"/>
        <v>Android 16</v>
      </c>
      <c r="AA170" s="304" t="str">
        <f t="shared" si="46"/>
        <v>TBD</v>
      </c>
      <c r="AB170" s="305" t="s">
        <v>1247</v>
      </c>
      <c r="AC170" s="361" t="s">
        <v>1175</v>
      </c>
      <c r="AD170" s="306"/>
      <c r="AE170" s="306"/>
      <c r="AF170" s="308"/>
      <c r="AG170" s="308"/>
      <c r="AH170" s="297" t="str">
        <f t="array" ref="AH170">if(isblank(E170),"",xlookup(F170,z_Others!$B$21:$B$45,z_Others!$F$21:$F$45,"TBD",0,1))</f>
        <v>00</v>
      </c>
      <c r="AI170" s="310" t="str">
        <f t="array" ref="AI170">if(isblank(E170),"", xlookup(E170,'Import_FL5_LH_PVTMP_Configs (Do'!E:E,'Import_FL5_LH_PVTMP_Configs (Do'!O:O,"TBD",0,1))</f>
        <v>TBD</v>
      </c>
      <c r="AJ170" s="311"/>
      <c r="AK170" s="310" t="str">
        <f t="array" ref="AK170">if(isblank(E170),"", xlookup(E170,'Import_FL5_LH_PVTMP_Configs (Do'!E:E,'Import_FL5_LH_PVTMP_Configs (Do'!Q:Q,"TBD",0,1))</f>
        <v>TBD</v>
      </c>
      <c r="AL170" s="310" t="str">
        <f t="array" ref="AL170">if(isblank(E170),"", xlookup(E170,'Import_FL5_LH_PVTMP_Configs (Do'!E:E,'Import_FL5_LH_PVTMP_Configs (Do'!M:M,"TBD",0,1))</f>
        <v>TBD</v>
      </c>
      <c r="AM170" s="310" t="str">
        <f t="array" ref="AM170">if(isblank(E170),"", xlookup(E170,'Import_FL5_LH_PVTMP_Configs (Do'!E:E,'Import_FL5_LH_PVTMP_Configs (Do'!N:N,"TBD",0,1))</f>
        <v>TBD</v>
      </c>
      <c r="AN170" s="310" t="str">
        <f t="array" ref="AN170">if(isblank(E170),"", xlookup(E170,'Import_FL5_LH_PVTMP_Configs (Do'!E:E,'Import_FL5_LH_PVTMP_Configs (Do'!K:K,"TBD",0,1))</f>
        <v>TBD</v>
      </c>
      <c r="AO170" s="292" t="str">
        <f t="array" ref="AO170">if(isblank(E170),"",XLOOKUP(E170,'FL5_G954 Pkg ASSY (Pkg BOM)'!L:L,'FL5_G954 Pkg ASSY (Pkg BOM)'!G:G,"N/A",0,1))</f>
        <v>N/A</v>
      </c>
      <c r="AP170" s="292" t="str">
        <f t="array" ref="AP170">if(isblank(E170),"",xlookup(E170,'FL5_G962 Country kit (Accesorie'!L:L,'FL5_G962 Country kit (Accesorie'!G:G,"N/A",0,1))</f>
        <v>N/A</v>
      </c>
      <c r="AQ170" s="304" t="s">
        <v>1140</v>
      </c>
      <c r="AR170" s="304" t="s">
        <v>1140</v>
      </c>
      <c r="AS170" s="292" t="s">
        <v>419</v>
      </c>
      <c r="AT170" s="302" t="str">
        <f t="shared" si="6"/>
        <v>Yes</v>
      </c>
      <c r="AU170" s="302" t="str">
        <f t="shared" si="7"/>
        <v>Yes</v>
      </c>
      <c r="AV170" s="302" t="str">
        <f t="shared" si="8"/>
        <v>No</v>
      </c>
      <c r="AW170" s="297"/>
      <c r="AX170" s="302" t="s">
        <v>1248</v>
      </c>
      <c r="AY170" s="302" t="s">
        <v>1249</v>
      </c>
      <c r="AZ170" s="312" t="str">
        <f t="array" ref="AZ170">if(isblank(E170),"", xlookup(E170,Import_FL5_LH_PVT_BM!D:D,Import_FL5_LH_PVT_BM!AK:AK,$F$4,0,1))</f>
        <v>MP</v>
      </c>
      <c r="BA170" s="292" t="str">
        <f t="shared" si="9"/>
        <v>Retail_10ct</v>
      </c>
      <c r="BB170" s="356" t="str">
        <f t="array" ref="BB170">if(isblank(E170),"",xlookup(F170,z_Others!$B$21:$B$42,z_Others!$G$21:$G$42,"No",0,1))</f>
        <v>ROW Master Carton Label (EAN)</v>
      </c>
      <c r="BC170" s="313" t="str">
        <f t="array" ref="BC170">if(isblank(E170),"",xlookup(F170,z_Others!$B$21:$B$42,z_Others!$H$21:$H$42,"No",0,1))</f>
        <v>Standard Pallet Label (BTO)
Standard Pallet Label (BTS)</v>
      </c>
      <c r="BD170" s="314" t="str">
        <f t="array" ref="BD170">if(isblank(E170),"",xlookup(E170,'Import_VN_Label approve'!E:E,'Import_VN_Label approve'!L:L,"N/A",0,1))</f>
        <v>N/A</v>
      </c>
      <c r="BE170" s="314" t="str">
        <f t="array" ref="BE170">if(isblank(E170),"",xlookup(E170,'Import_VN_Label approve'!E:E,'Import_VN_Label approve'!N:N,"N/A",0,1))</f>
        <v>N/A</v>
      </c>
      <c r="BF170" s="315"/>
      <c r="BG170" s="332" t="s">
        <v>503</v>
      </c>
      <c r="BH170" s="317" t="s">
        <v>504</v>
      </c>
      <c r="BI170" s="360" t="s">
        <v>1091</v>
      </c>
      <c r="BJ170" s="319" t="str">
        <f t="array" ref="BJ170">if(isblank(E170),"", xlookup(D170,z_Others!$B$5:$B$17,z_Others!$C$5:$C$17,"",0,1))</f>
        <v>智能手機</v>
      </c>
      <c r="BK170" s="320">
        <v>45782.0</v>
      </c>
      <c r="BL170" s="320" t="str">
        <f t="array" ref="BL170">if(isblank(E170),"",xlookup(E170,'FL5_MP POR_LH_報關備案_G950 &amp; GA'!F:F,'FL5_MP POR_LH_報關備案_G950 &amp; GA'!E:E,"No Need",0,1))</f>
        <v>No Need</v>
      </c>
      <c r="BM170" s="321" t="str">
        <f t="array" ref="BM170">if(isblank(E170),"",xlookup($BM$9&amp;E170,'Import_FL5 MPS (06.06.25) - Sor'!E166:E334&amp;'Import_FL5 MPS (06.06.25) - Sor'!F166:F334,'Import_FL5 MPS (06.06.25) - Sor'!ES166:ES334,"No demand",0,1))</f>
        <v>No demand</v>
      </c>
      <c r="BN170" s="321" t="str">
        <f t="array" ref="BN170">if(isblank(E170),"",xlookup($BN$9&amp;E170,'Import_FL5 MPS (06.06.25) - Sor'!E166:E334&amp;'Import_FL5 MPS (06.06.25) - Sor'!F166:F334,'Import_FL5 MPS (06.06.25) - Sor'!ES166:ES334,"No demand",0,1))</f>
        <v>No demand</v>
      </c>
      <c r="BO170" s="321" t="str">
        <f t="array" ref="BO170">if(isblank(E170),"",xlookup($BO$9&amp;E170,'Import_FL5 MPS (06.06.25) - Sor'!E166:E334&amp;'Import_FL5 MPS (06.06.25) - Sor'!F166:F334,'Import_FL5 MPS (06.06.25) - Sor'!ES166:ES334,"No demand",0,1))</f>
        <v>No demand</v>
      </c>
      <c r="BP170" s="322" t="str">
        <f t="array" ref="BP170">if(isblank(E170),"", xlookup(E170,'Import_LH_Label approve'!E:E,'Import_LH_Label approve'!L:L,"",0,1))</f>
        <v/>
      </c>
      <c r="BQ170" s="322" t="str">
        <f t="array" ref="BQ170">if(isblank(E170),"",xlookup(E170,'Import_VN_Label approve'!E:E,'Import_VN_Label approve'!M:M,"N/A",0,1))</f>
        <v>N/A</v>
      </c>
      <c r="BR170" s="325"/>
      <c r="BS170" s="323"/>
      <c r="BT170" s="324"/>
      <c r="BU170" s="117"/>
    </row>
    <row r="171" hidden="1">
      <c r="A171" s="7"/>
      <c r="B171" s="292">
        <v>160.0</v>
      </c>
      <c r="C171" s="231" t="s">
        <v>284</v>
      </c>
      <c r="D171" s="231" t="s">
        <v>408</v>
      </c>
      <c r="E171" s="350" t="s">
        <v>1250</v>
      </c>
      <c r="F171" s="325" t="s">
        <v>1242</v>
      </c>
      <c r="G171" s="294" t="s">
        <v>528</v>
      </c>
      <c r="H171" s="292" t="str">
        <f t="array" ref="H171">xlookup(F171,z_Others!$B$21:$B$45,z_Others!$E$21:$E$45,"",0,1)</f>
        <v>Sub6</v>
      </c>
      <c r="I171" s="310" t="s">
        <v>431</v>
      </c>
      <c r="J171" s="231" t="str">
        <f t="array" ref="J171">if(isblank(E171),"",xlookup(I171,z_Others!$M$17:$M$20,z_Others!$O$17:$O$20,"",0,1))</f>
        <v>Lemongrass</v>
      </c>
      <c r="K171" s="292" t="str">
        <f t="array" ref="K171">xlookup(I171,z_Others!$M$17:$M$20,z_Others!$N$17:$N$20,"",0,1)</f>
        <v>YEL</v>
      </c>
      <c r="L171" s="292" t="str">
        <f t="array" ref="L171">xlookup(F171,z_Others!$B$21:$B$45,z_Others!$D$21:$D$45,"",0,1)</f>
        <v>GK2MP</v>
      </c>
      <c r="M171" s="296" t="str">
        <f t="array" ref="M171">xlookup(F171,z_Others!$B$21:$B$45,z_Others!$C$21:$C$45,"",0,1)</f>
        <v>ROW</v>
      </c>
      <c r="N171" s="297">
        <v>3.5440766E7</v>
      </c>
      <c r="O171" s="331" t="s">
        <v>494</v>
      </c>
      <c r="P171" s="303" t="s">
        <v>495</v>
      </c>
      <c r="Q171" s="300" t="s">
        <v>413</v>
      </c>
      <c r="R171" s="301" t="s">
        <v>414</v>
      </c>
      <c r="S171" s="302">
        <f t="array" ref="S171">if(isblank(E171),"",xlookup($S$9&amp;M171,z_Others!$X$5:$X$17&amp;z_Others!$W$5:$W$17,z_Others!$Z$5:$Z$17,"",0,1))</f>
        <v>35795514</v>
      </c>
      <c r="T171" s="303" t="str">
        <f t="array" ref="T171">if(isblank(E171),"",xlookup($S$9&amp;M171,z_Others!$X$5:$X$17&amp;z_Others!$W$5:$W$17,z_Others!$AH$5:$AH$17,"",0,1))</f>
        <v>35 795514 040000x</v>
      </c>
      <c r="U171" s="303" t="str">
        <f t="array" ref="U171">if(isblank(E171),"",xlookup($S$9&amp;M171,z_Others!$X$5:$X$17&amp;z_Others!$W$5:$W$17,z_Others!$AI$5:$AI$17,"",0,1))</f>
        <v>35 795514 999999x</v>
      </c>
      <c r="V171" s="303" t="str">
        <f t="shared" si="2"/>
        <v>64:9D:38:32:91:82
B0:D5:FB:C6:60:70</v>
      </c>
      <c r="W171" s="303" t="str">
        <f t="shared" si="3"/>
        <v>64:9D:38:37:25:61
B0:D5:FB:CE:01:8F</v>
      </c>
      <c r="X171" s="304" t="str">
        <f t="shared" si="4"/>
        <v>MP1.0</v>
      </c>
      <c r="Y171" s="292"/>
      <c r="Z171" s="304" t="str">
        <f t="shared" si="32"/>
        <v>Android 16</v>
      </c>
      <c r="AA171" s="304" t="str">
        <f t="shared" si="46"/>
        <v>TBD</v>
      </c>
      <c r="AB171" s="305" t="s">
        <v>1251</v>
      </c>
      <c r="AC171" s="361" t="s">
        <v>1175</v>
      </c>
      <c r="AD171" s="306"/>
      <c r="AE171" s="306"/>
      <c r="AF171" s="308"/>
      <c r="AG171" s="308"/>
      <c r="AH171" s="297" t="str">
        <f t="array" ref="AH171">if(isblank(E171),"",xlookup(F171,z_Others!$B$21:$B$45,z_Others!$F$21:$F$45,"TBD",0,1))</f>
        <v>00</v>
      </c>
      <c r="AI171" s="310" t="str">
        <f t="array" ref="AI171">if(isblank(E171),"", xlookup(E171,'Import_FL5_LH_PVTMP_Configs (Do'!E:E,'Import_FL5_LH_PVTMP_Configs (Do'!O:O,"TBD",0,1))</f>
        <v>TBD</v>
      </c>
      <c r="AJ171" s="311"/>
      <c r="AK171" s="310" t="str">
        <f t="array" ref="AK171">if(isblank(E171),"", xlookup(E171,'Import_FL5_LH_PVTMP_Configs (Do'!E:E,'Import_FL5_LH_PVTMP_Configs (Do'!Q:Q,"TBD",0,1))</f>
        <v>TBD</v>
      </c>
      <c r="AL171" s="310" t="str">
        <f t="array" ref="AL171">if(isblank(E171),"", xlookup(E171,'Import_FL5_LH_PVTMP_Configs (Do'!E:E,'Import_FL5_LH_PVTMP_Configs (Do'!M:M,"TBD",0,1))</f>
        <v>TBD</v>
      </c>
      <c r="AM171" s="310" t="str">
        <f t="array" ref="AM171">if(isblank(E171),"", xlookup(E171,'Import_FL5_LH_PVTMP_Configs (Do'!E:E,'Import_FL5_LH_PVTMP_Configs (Do'!N:N,"TBD",0,1))</f>
        <v>TBD</v>
      </c>
      <c r="AN171" s="310" t="str">
        <f t="array" ref="AN171">if(isblank(E171),"", xlookup(E171,'Import_FL5_LH_PVTMP_Configs (Do'!E:E,'Import_FL5_LH_PVTMP_Configs (Do'!K:K,"TBD",0,1))</f>
        <v>TBD</v>
      </c>
      <c r="AO171" s="292" t="str">
        <f t="array" ref="AO171">if(isblank(E171),"",XLOOKUP(E171,'FL5_G954 Pkg ASSY (Pkg BOM)'!L:L,'FL5_G954 Pkg ASSY (Pkg BOM)'!G:G,"N/A",0,1))</f>
        <v>N/A</v>
      </c>
      <c r="AP171" s="292" t="str">
        <f t="array" ref="AP171">if(isblank(E171),"",xlookup(E171,'FL5_G962 Country kit (Accesorie'!L:L,'FL5_G962 Country kit (Accesorie'!G:G,"N/A",0,1))</f>
        <v>N/A</v>
      </c>
      <c r="AQ171" s="304" t="s">
        <v>1140</v>
      </c>
      <c r="AR171" s="304" t="s">
        <v>1140</v>
      </c>
      <c r="AS171" s="292" t="s">
        <v>419</v>
      </c>
      <c r="AT171" s="302" t="str">
        <f t="shared" si="6"/>
        <v>Yes</v>
      </c>
      <c r="AU171" s="302" t="str">
        <f t="shared" si="7"/>
        <v>Yes</v>
      </c>
      <c r="AV171" s="302" t="str">
        <f t="shared" si="8"/>
        <v>No</v>
      </c>
      <c r="AW171" s="297"/>
      <c r="AX171" s="302" t="s">
        <v>1252</v>
      </c>
      <c r="AY171" s="302" t="s">
        <v>1253</v>
      </c>
      <c r="AZ171" s="312" t="str">
        <f t="array" ref="AZ171">if(isblank(E171),"", xlookup(E171,Import_FL5_LH_PVT_BM!D:D,Import_FL5_LH_PVT_BM!AK:AK,$F$4,0,1))</f>
        <v>MP</v>
      </c>
      <c r="BA171" s="292" t="str">
        <f t="shared" si="9"/>
        <v>Retail_10ct</v>
      </c>
      <c r="BB171" s="356" t="str">
        <f t="array" ref="BB171">if(isblank(E171),"",xlookup(F171,z_Others!$B$21:$B$42,z_Others!$G$21:$G$42,"No",0,1))</f>
        <v>ROW Master Carton Label (EAN)</v>
      </c>
      <c r="BC171" s="313" t="str">
        <f t="array" ref="BC171">if(isblank(E171),"",xlookup(F171,z_Others!$B$21:$B$42,z_Others!$H$21:$H$42,"No",0,1))</f>
        <v>Standard Pallet Label (BTO)
Standard Pallet Label (BTS)</v>
      </c>
      <c r="BD171" s="314" t="str">
        <f t="array" ref="BD171">if(isblank(E171),"",xlookup(E171,'Import_VN_Label approve'!E:E,'Import_VN_Label approve'!L:L,"N/A",0,1))</f>
        <v>N/A</v>
      </c>
      <c r="BE171" s="314" t="str">
        <f t="array" ref="BE171">if(isblank(E171),"",xlookup(E171,'Import_VN_Label approve'!E:E,'Import_VN_Label approve'!N:N,"N/A",0,1))</f>
        <v>N/A</v>
      </c>
      <c r="BF171" s="315"/>
      <c r="BG171" s="332" t="s">
        <v>503</v>
      </c>
      <c r="BH171" s="317" t="s">
        <v>504</v>
      </c>
      <c r="BI171" s="360" t="s">
        <v>1091</v>
      </c>
      <c r="BJ171" s="319" t="str">
        <f t="array" ref="BJ171">if(isblank(E171),"", xlookup(D171,z_Others!$B$5:$B$17,z_Others!$C$5:$C$17,"",0,1))</f>
        <v>智能手機</v>
      </c>
      <c r="BK171" s="320">
        <v>45782.0</v>
      </c>
      <c r="BL171" s="320" t="str">
        <f t="array" ref="BL171">if(isblank(E171),"",xlookup(E171,'FL5_MP POR_LH_報關備案_G950 &amp; GA'!F:F,'FL5_MP POR_LH_報關備案_G950 &amp; GA'!E:E,"No Need",0,1))</f>
        <v>No Need</v>
      </c>
      <c r="BM171" s="321" t="str">
        <f t="array" ref="BM171">if(isblank(E171),"",xlookup($BM$9&amp;E171,'Import_FL5 MPS (06.06.25) - Sor'!E167:E334&amp;'Import_FL5 MPS (06.06.25) - Sor'!F167:F334,'Import_FL5 MPS (06.06.25) - Sor'!ES167:ES334,"No demand",0,1))</f>
        <v>No demand</v>
      </c>
      <c r="BN171" s="321" t="str">
        <f t="array" ref="BN171">if(isblank(E171),"",xlookup($BN$9&amp;E171,'Import_FL5 MPS (06.06.25) - Sor'!E167:E334&amp;'Import_FL5 MPS (06.06.25) - Sor'!F167:F334,'Import_FL5 MPS (06.06.25) - Sor'!ES167:ES334,"No demand",0,1))</f>
        <v>No demand</v>
      </c>
      <c r="BO171" s="321" t="str">
        <f t="array" ref="BO171">if(isblank(E171),"",xlookup($BO$9&amp;E171,'Import_FL5 MPS (06.06.25) - Sor'!E167:E334&amp;'Import_FL5 MPS (06.06.25) - Sor'!F167:F334,'Import_FL5 MPS (06.06.25) - Sor'!ES167:ES334,"No demand",0,1))</f>
        <v>No demand</v>
      </c>
      <c r="BP171" s="322" t="str">
        <f t="array" ref="BP171">if(isblank(E171),"", xlookup(E171,'Import_LH_Label approve'!E:E,'Import_LH_Label approve'!L:L,"",0,1))</f>
        <v/>
      </c>
      <c r="BQ171" s="322" t="str">
        <f t="array" ref="BQ171">if(isblank(E171),"",xlookup(E171,'Import_VN_Label approve'!E:E,'Import_VN_Label approve'!M:M,"N/A",0,1))</f>
        <v>N/A</v>
      </c>
      <c r="BR171" s="325"/>
      <c r="BS171" s="323"/>
      <c r="BT171" s="324"/>
      <c r="BU171" s="117"/>
    </row>
    <row r="172" hidden="1">
      <c r="A172" s="7"/>
      <c r="B172" s="292">
        <v>161.0</v>
      </c>
      <c r="C172" s="231" t="s">
        <v>284</v>
      </c>
      <c r="D172" s="231" t="s">
        <v>408</v>
      </c>
      <c r="E172" s="350" t="s">
        <v>1254</v>
      </c>
      <c r="F172" s="325" t="s">
        <v>1242</v>
      </c>
      <c r="G172" s="294" t="s">
        <v>528</v>
      </c>
      <c r="H172" s="292" t="str">
        <f t="array" ref="H172">xlookup(F172,z_Others!$B$21:$B$45,z_Others!$E$21:$E$45,"",0,1)</f>
        <v>Sub6</v>
      </c>
      <c r="I172" s="310" t="s">
        <v>437</v>
      </c>
      <c r="J172" s="231" t="str">
        <f t="array" ref="J172">if(isblank(E172),"",xlookup(I172,z_Others!$M$17:$M$20,z_Others!$O$17:$O$20,"",0,1))</f>
        <v>Indigo</v>
      </c>
      <c r="K172" s="292" t="str">
        <f t="array" ref="K172">xlookup(I172,z_Others!$M$17:$M$20,z_Others!$N$17:$N$20,"",0,1)</f>
        <v>BUE</v>
      </c>
      <c r="L172" s="292" t="str">
        <f t="array" ref="L172">xlookup(F172,z_Others!$B$21:$B$45,z_Others!$D$21:$D$45,"",0,1)</f>
        <v>GK2MP</v>
      </c>
      <c r="M172" s="296" t="str">
        <f t="array" ref="M172">xlookup(F172,z_Others!$B$21:$B$45,z_Others!$C$21:$C$45,"",0,1)</f>
        <v>ROW</v>
      </c>
      <c r="N172" s="297">
        <v>3.5440766E7</v>
      </c>
      <c r="O172" s="331" t="s">
        <v>494</v>
      </c>
      <c r="P172" s="303" t="s">
        <v>495</v>
      </c>
      <c r="Q172" s="300" t="s">
        <v>413</v>
      </c>
      <c r="R172" s="301" t="s">
        <v>414</v>
      </c>
      <c r="S172" s="302">
        <f t="array" ref="S172">if(isblank(E172),"",xlookup($S$9&amp;M172,z_Others!$X$5:$X$17&amp;z_Others!$W$5:$W$17,z_Others!$Z$5:$Z$17,"",0,1))</f>
        <v>35795514</v>
      </c>
      <c r="T172" s="303" t="str">
        <f t="array" ref="T172">if(isblank(E172),"",xlookup($S$9&amp;M172,z_Others!$X$5:$X$17&amp;z_Others!$W$5:$W$17,z_Others!$AH$5:$AH$17,"",0,1))</f>
        <v>35 795514 040000x</v>
      </c>
      <c r="U172" s="303" t="str">
        <f t="array" ref="U172">if(isblank(E172),"",xlookup($S$9&amp;M172,z_Others!$X$5:$X$17&amp;z_Others!$W$5:$W$17,z_Others!$AI$5:$AI$17,"",0,1))</f>
        <v>35 795514 999999x</v>
      </c>
      <c r="V172" s="303" t="str">
        <f t="shared" si="2"/>
        <v>64:9D:38:32:91:82
B0:D5:FB:C6:60:70</v>
      </c>
      <c r="W172" s="303" t="str">
        <f t="shared" si="3"/>
        <v>64:9D:38:37:25:61
B0:D5:FB:CE:01:8F</v>
      </c>
      <c r="X172" s="304" t="str">
        <f t="shared" si="4"/>
        <v>MP1.0</v>
      </c>
      <c r="Y172" s="292"/>
      <c r="Z172" s="304" t="str">
        <f t="shared" si="32"/>
        <v>Android 16</v>
      </c>
      <c r="AA172" s="304" t="str">
        <f t="shared" si="46"/>
        <v>TBD</v>
      </c>
      <c r="AB172" s="305" t="s">
        <v>1255</v>
      </c>
      <c r="AC172" s="361" t="s">
        <v>1175</v>
      </c>
      <c r="AD172" s="306"/>
      <c r="AE172" s="335"/>
      <c r="AF172" s="308"/>
      <c r="AG172" s="308"/>
      <c r="AH172" s="297" t="str">
        <f t="array" ref="AH172">if(isblank(E172),"",xlookup(F172,z_Others!$B$21:$B$45,z_Others!$F$21:$F$45,"TBD",0,1))</f>
        <v>00</v>
      </c>
      <c r="AI172" s="310" t="str">
        <f t="array" ref="AI172">if(isblank(E172),"", xlookup(E172,'Import_FL5_LH_PVTMP_Configs (Do'!E:E,'Import_FL5_LH_PVTMP_Configs (Do'!O:O,"TBD",0,1))</f>
        <v>TBD</v>
      </c>
      <c r="AJ172" s="311"/>
      <c r="AK172" s="310" t="str">
        <f t="array" ref="AK172">if(isblank(E172),"", xlookup(E172,'Import_FL5_LH_PVTMP_Configs (Do'!E:E,'Import_FL5_LH_PVTMP_Configs (Do'!Q:Q,"TBD",0,1))</f>
        <v>TBD</v>
      </c>
      <c r="AL172" s="310" t="str">
        <f t="array" ref="AL172">if(isblank(E172),"", xlookup(E172,'Import_FL5_LH_PVTMP_Configs (Do'!E:E,'Import_FL5_LH_PVTMP_Configs (Do'!M:M,"TBD",0,1))</f>
        <v>TBD</v>
      </c>
      <c r="AM172" s="310" t="str">
        <f t="array" ref="AM172">if(isblank(E172),"", xlookup(E172,'Import_FL5_LH_PVTMP_Configs (Do'!E:E,'Import_FL5_LH_PVTMP_Configs (Do'!N:N,"TBD",0,1))</f>
        <v>TBD</v>
      </c>
      <c r="AN172" s="310" t="str">
        <f t="array" ref="AN172">if(isblank(E172),"", xlookup(E172,'Import_FL5_LH_PVTMP_Configs (Do'!E:E,'Import_FL5_LH_PVTMP_Configs (Do'!K:K,"TBD",0,1))</f>
        <v>TBD</v>
      </c>
      <c r="AO172" s="292" t="str">
        <f t="array" ref="AO172">if(isblank(E172),"",XLOOKUP(E172,'FL5_G954 Pkg ASSY (Pkg BOM)'!L:L,'FL5_G954 Pkg ASSY (Pkg BOM)'!G:G,"N/A",0,1))</f>
        <v>N/A</v>
      </c>
      <c r="AP172" s="292" t="str">
        <f t="array" ref="AP172">if(isblank(E172),"",xlookup(E172,'FL5_G962 Country kit (Accesorie'!L:L,'FL5_G962 Country kit (Accesorie'!G:G,"N/A",0,1))</f>
        <v>N/A</v>
      </c>
      <c r="AQ172" s="304" t="s">
        <v>1140</v>
      </c>
      <c r="AR172" s="304" t="s">
        <v>1140</v>
      </c>
      <c r="AS172" s="292" t="s">
        <v>419</v>
      </c>
      <c r="AT172" s="302" t="str">
        <f t="shared" si="6"/>
        <v>Yes</v>
      </c>
      <c r="AU172" s="302" t="str">
        <f t="shared" si="7"/>
        <v>Yes</v>
      </c>
      <c r="AV172" s="302" t="str">
        <f t="shared" si="8"/>
        <v>No</v>
      </c>
      <c r="AW172" s="302"/>
      <c r="AX172" s="302" t="s">
        <v>1256</v>
      </c>
      <c r="AY172" s="302" t="s">
        <v>1257</v>
      </c>
      <c r="AZ172" s="312" t="str">
        <f t="array" ref="AZ172">if(isblank(E172),"", xlookup(E172,Import_FL5_LH_PVT_BM!D:D,Import_FL5_LH_PVT_BM!AK:AK,$F$4,0,1))</f>
        <v>MP</v>
      </c>
      <c r="BA172" s="292" t="str">
        <f t="shared" si="9"/>
        <v>Retail_10ct</v>
      </c>
      <c r="BB172" s="356" t="str">
        <f t="array" ref="BB172">if(isblank(E172),"",xlookup(F172,z_Others!$B$21:$B$42,z_Others!$G$21:$G$42,"No",0,1))</f>
        <v>ROW Master Carton Label (EAN)</v>
      </c>
      <c r="BC172" s="313" t="str">
        <f t="array" ref="BC172">if(isblank(E172),"",xlookup(F172,z_Others!$B$21:$B$42,z_Others!$H$21:$H$42,"No",0,1))</f>
        <v>Standard Pallet Label (BTO)
Standard Pallet Label (BTS)</v>
      </c>
      <c r="BD172" s="314" t="str">
        <f t="array" ref="BD172">if(isblank(E172),"",xlookup(E172,'Import_VN_Label approve'!E:E,'Import_VN_Label approve'!L:L,"N/A",0,1))</f>
        <v>N/A</v>
      </c>
      <c r="BE172" s="314" t="str">
        <f t="array" ref="BE172">if(isblank(E172),"",xlookup(E172,'Import_VN_Label approve'!E:E,'Import_VN_Label approve'!N:N,"N/A",0,1))</f>
        <v>N/A</v>
      </c>
      <c r="BF172" s="315"/>
      <c r="BG172" s="332" t="s">
        <v>503</v>
      </c>
      <c r="BH172" s="317" t="s">
        <v>504</v>
      </c>
      <c r="BI172" s="360" t="s">
        <v>1091</v>
      </c>
      <c r="BJ172" s="319" t="str">
        <f t="array" ref="BJ172">if(isblank(E172),"", xlookup(D172,z_Others!$B$5:$B$17,z_Others!$C$5:$C$17,"",0,1))</f>
        <v>智能手機</v>
      </c>
      <c r="BK172" s="320">
        <v>45782.0</v>
      </c>
      <c r="BL172" s="320" t="str">
        <f t="array" ref="BL172">if(isblank(E172),"",xlookup(E172,'FL5_MP POR_LH_報關備案_G950 &amp; GA'!F:F,'FL5_MP POR_LH_報關備案_G950 &amp; GA'!E:E,"No Need",0,1))</f>
        <v>No Need</v>
      </c>
      <c r="BM172" s="321" t="str">
        <f t="array" ref="BM172">if(isblank(E172),"",xlookup($BM$9&amp;E172,'Import_FL5 MPS (06.06.25) - Sor'!E168:E334&amp;'Import_FL5 MPS (06.06.25) - Sor'!F168:F334,'Import_FL5 MPS (06.06.25) - Sor'!ES168:ES334,"No demand",0,1))</f>
        <v>No demand</v>
      </c>
      <c r="BN172" s="321" t="str">
        <f t="array" ref="BN172">if(isblank(E172),"",xlookup($BN$9&amp;E172,'Import_FL5 MPS (06.06.25) - Sor'!E168:E334&amp;'Import_FL5 MPS (06.06.25) - Sor'!F168:F334,'Import_FL5 MPS (06.06.25) - Sor'!ES168:ES334,"No demand",0,1))</f>
        <v>No demand</v>
      </c>
      <c r="BO172" s="321" t="str">
        <f t="array" ref="BO172">if(isblank(E172),"",xlookup($BO$9&amp;E172,'Import_FL5 MPS (06.06.25) - Sor'!E168:E334&amp;'Import_FL5 MPS (06.06.25) - Sor'!F168:F334,'Import_FL5 MPS (06.06.25) - Sor'!ES168:ES334,"No demand",0,1))</f>
        <v>No demand</v>
      </c>
      <c r="BP172" s="322" t="str">
        <f t="array" ref="BP172">if(isblank(E172),"", xlookup(E172,'Import_LH_Label approve'!E:E,'Import_LH_Label approve'!L:L,"",0,1))</f>
        <v/>
      </c>
      <c r="BQ172" s="322" t="str">
        <f t="array" ref="BQ172">if(isblank(E172),"",xlookup(E172,'Import_VN_Label approve'!E:E,'Import_VN_Label approve'!M:M,"N/A",0,1))</f>
        <v>N/A</v>
      </c>
      <c r="BR172" s="313"/>
      <c r="BS172" s="323"/>
      <c r="BT172" s="324"/>
      <c r="BU172" s="91"/>
    </row>
    <row r="173" hidden="1">
      <c r="A173" s="7"/>
      <c r="B173" s="292">
        <v>162.0</v>
      </c>
      <c r="C173" s="231" t="s">
        <v>284</v>
      </c>
      <c r="D173" s="231" t="s">
        <v>408</v>
      </c>
      <c r="E173" s="334" t="s">
        <v>1258</v>
      </c>
      <c r="F173" s="325" t="s">
        <v>554</v>
      </c>
      <c r="G173" s="355" t="s">
        <v>555</v>
      </c>
      <c r="H173" s="292" t="str">
        <f t="array" ref="H173">xlookup(F173,z_Others!$B$21:$B$45,z_Others!$E$21:$E$45,"",0,1)</f>
        <v>JPN</v>
      </c>
      <c r="I173" s="310" t="s">
        <v>412</v>
      </c>
      <c r="J173" s="231" t="str">
        <f t="array" ref="J173">if(isblank(E173),"",xlookup(I173,z_Others!$M$17:$M$20,z_Others!$O$17:$O$20,"",0,1))</f>
        <v>Obsidian</v>
      </c>
      <c r="K173" s="292" t="str">
        <f t="array" ref="K173">xlookup(I173,z_Others!$M$17:$M$20,z_Others!$N$17:$N$20,"",0,1)</f>
        <v>BLK</v>
      </c>
      <c r="L173" s="292" t="str">
        <f t="array" ref="L173">xlookup(F173,z_Others!$B$21:$B$45,z_Others!$D$21:$D$45,"",0,1)</f>
        <v>GL066</v>
      </c>
      <c r="M173" s="296" t="str">
        <f t="array" ref="M173">xlookup(F173,z_Others!$B$21:$B$45,z_Others!$C$21:$C$45,"",0,1)</f>
        <v>JPN</v>
      </c>
      <c r="N173" s="297">
        <v>3.5416229E7</v>
      </c>
      <c r="O173" s="331" t="s">
        <v>556</v>
      </c>
      <c r="P173" s="303" t="s">
        <v>557</v>
      </c>
      <c r="Q173" s="300" t="s">
        <v>413</v>
      </c>
      <c r="R173" s="301" t="s">
        <v>414</v>
      </c>
      <c r="S173" s="302">
        <f t="array" ref="S173">if(isblank(E173),"",xlookup($S$9&amp;M173,z_Others!$X$5:$X$17&amp;z_Others!$W$5:$W$17,z_Others!$Z$5:$Z$17,"",0,1))</f>
        <v>35444932</v>
      </c>
      <c r="T173" s="303" t="str">
        <f t="array" ref="T173">if(isblank(E173),"",xlookup($S$9&amp;M173,z_Others!$X$5:$X$17&amp;z_Others!$W$5:$W$17,z_Others!$AH$5:$AH$17,"",0,1))</f>
        <v>35 444932 020000x</v>
      </c>
      <c r="U173" s="303" t="str">
        <f t="array" ref="U173">if(isblank(E173),"",xlookup($S$9&amp;M173,z_Others!$X$5:$X$17&amp;z_Others!$W$5:$W$17,z_Others!$AI$5:$AI$17,"",0,1))</f>
        <v>35 444932 999999x</v>
      </c>
      <c r="V173" s="303" t="str">
        <f t="shared" si="2"/>
        <v>64:9D:38:32:91:82
B0:D5:FB:C6:60:70</v>
      </c>
      <c r="W173" s="303" t="str">
        <f t="shared" si="3"/>
        <v>64:9D:38:37:25:61
B0:D5:FB:CE:01:8F</v>
      </c>
      <c r="X173" s="304" t="str">
        <f t="shared" si="4"/>
        <v>MP1.0</v>
      </c>
      <c r="Y173" s="292"/>
      <c r="Z173" s="304" t="str">
        <f t="shared" si="32"/>
        <v>Android 16</v>
      </c>
      <c r="AA173" s="304" t="str">
        <f t="shared" si="46"/>
        <v>TBD</v>
      </c>
      <c r="AB173" s="305" t="s">
        <v>1259</v>
      </c>
      <c r="AC173" s="361" t="s">
        <v>1175</v>
      </c>
      <c r="AD173" s="306"/>
      <c r="AE173" s="335"/>
      <c r="AF173" s="308"/>
      <c r="AG173" s="308"/>
      <c r="AH173" s="297" t="str">
        <f t="array" ref="AH173">if(isblank(E173),"",xlookup(F173,z_Others!$B$21:$B$45,z_Others!$F$21:$F$45,"TBD",0,1))</f>
        <v>00</v>
      </c>
      <c r="AI173" s="310" t="str">
        <f t="array" ref="AI173">if(isblank(E173),"", xlookup(E173,'Import_FL5_LH_PVTMP_Configs (Do'!E:E,'Import_FL5_LH_PVTMP_Configs (Do'!O:O,"TBD",0,1))</f>
        <v>TBD</v>
      </c>
      <c r="AJ173" s="311"/>
      <c r="AK173" s="310" t="str">
        <f t="array" ref="AK173">if(isblank(E173),"", xlookup(E173,'Import_FL5_LH_PVTMP_Configs (Do'!E:E,'Import_FL5_LH_PVTMP_Configs (Do'!Q:Q,"TBD",0,1))</f>
        <v>TBD</v>
      </c>
      <c r="AL173" s="310" t="str">
        <f t="array" ref="AL173">if(isblank(E173),"", xlookup(E173,'Import_FL5_LH_PVTMP_Configs (Do'!E:E,'Import_FL5_LH_PVTMP_Configs (Do'!M:M,"TBD",0,1))</f>
        <v>TBD</v>
      </c>
      <c r="AM173" s="310" t="str">
        <f t="array" ref="AM173">if(isblank(E173),"", xlookup(E173,'Import_FL5_LH_PVTMP_Configs (Do'!E:E,'Import_FL5_LH_PVTMP_Configs (Do'!N:N,"TBD",0,1))</f>
        <v>TBD</v>
      </c>
      <c r="AN173" s="310" t="str">
        <f t="array" ref="AN173">if(isblank(E173),"", xlookup(E173,'Import_FL5_LH_PVTMP_Configs (Do'!E:E,'Import_FL5_LH_PVTMP_Configs (Do'!K:K,"TBD",0,1))</f>
        <v>TBD</v>
      </c>
      <c r="AO173" s="292" t="str">
        <f t="array" ref="AO173">if(isblank(E173),"",XLOOKUP(E173,'FL5_G954 Pkg ASSY (Pkg BOM)'!L:L,'FL5_G954 Pkg ASSY (Pkg BOM)'!G:G,"N/A",0,1))</f>
        <v>N/A</v>
      </c>
      <c r="AP173" s="292" t="str">
        <f t="array" ref="AP173">if(isblank(E173),"",xlookup(E173,'FL5_G962 Country kit (Accesorie'!L:L,'FL5_G962 Country kit (Accesorie'!G:G,"N/A",0,1))</f>
        <v>N/A</v>
      </c>
      <c r="AQ173" s="304" t="s">
        <v>1140</v>
      </c>
      <c r="AR173" s="304" t="s">
        <v>1140</v>
      </c>
      <c r="AS173" s="292" t="s">
        <v>419</v>
      </c>
      <c r="AT173" s="302" t="str">
        <f t="shared" si="6"/>
        <v>Yes</v>
      </c>
      <c r="AU173" s="302" t="str">
        <f t="shared" si="7"/>
        <v>No</v>
      </c>
      <c r="AV173" s="302" t="str">
        <f t="shared" si="8"/>
        <v>No</v>
      </c>
      <c r="AW173" s="302"/>
      <c r="AX173" s="302" t="s">
        <v>1260</v>
      </c>
      <c r="AY173" s="302" t="s">
        <v>1261</v>
      </c>
      <c r="AZ173" s="312" t="str">
        <f t="array" ref="AZ173">if(isblank(E173),"", xlookup(E173,Import_FL5_LH_PVT_BM!D:D,Import_FL5_LH_PVT_BM!AK:AK,$F$4,0,1))</f>
        <v>MP</v>
      </c>
      <c r="BA173" s="292" t="str">
        <f t="shared" si="9"/>
        <v>Retail_10ct</v>
      </c>
      <c r="BB173" s="313" t="str">
        <f t="array" ref="BB173">if(isblank(E173),"",xlookup(F173,z_Others!$B$21:$B$42,z_Others!$G$21:$G$42,"No",0,1))</f>
        <v>ROW Master Carton Label (UPC)</v>
      </c>
      <c r="BC173" s="313" t="str">
        <f t="array" ref="BC173">if(isblank(E173),"",xlookup(F173,z_Others!$B$21:$B$42,z_Others!$H$21:$H$42,"No",0,1))</f>
        <v>Standard Pallet Label (BTO)
Standard Pallet Label (BTS)</v>
      </c>
      <c r="BD173" s="314" t="str">
        <f t="array" ref="BD173">if(isblank(E173),"",xlookup(E173,'Import_VN_Label approve'!E:E,'Import_VN_Label approve'!L:L,"N/A",0,1))</f>
        <v>N/A</v>
      </c>
      <c r="BE173" s="314" t="str">
        <f t="array" ref="BE173">if(isblank(E173),"",xlookup(E173,'Import_VN_Label approve'!E:E,'Import_VN_Label approve'!N:N,"N/A",0,1))</f>
        <v>N/A</v>
      </c>
      <c r="BF173" s="315"/>
      <c r="BG173" s="332" t="s">
        <v>503</v>
      </c>
      <c r="BH173" s="317" t="s">
        <v>504</v>
      </c>
      <c r="BI173" s="360" t="s">
        <v>1091</v>
      </c>
      <c r="BJ173" s="319" t="str">
        <f t="array" ref="BJ173">if(isblank(E173),"", xlookup(D173,z_Others!$B$5:$B$17,z_Others!$C$5:$C$17,"",0,1))</f>
        <v>智能手機</v>
      </c>
      <c r="BK173" s="320">
        <v>45782.0</v>
      </c>
      <c r="BL173" s="320" t="str">
        <f t="array" ref="BL173">if(isblank(E173),"",xlookup(E173,'FL5_MP POR_LH_報關備案_G950 &amp; GA'!F:F,'FL5_MP POR_LH_報關備案_G950 &amp; GA'!E:E,"No Need",0,1))</f>
        <v>No Need</v>
      </c>
      <c r="BM173" s="321" t="str">
        <f t="array" ref="BM173">if(isblank(E173),"",xlookup($BM$9&amp;E173,'Import_FL5 MPS (06.06.25) - Sor'!E169:E334&amp;'Import_FL5 MPS (06.06.25) - Sor'!F169:F334,'Import_FL5 MPS (06.06.25) - Sor'!ES169:ES334,"No demand",0,1))</f>
        <v>No demand</v>
      </c>
      <c r="BN173" s="321" t="str">
        <f t="array" ref="BN173">if(isblank(E173),"",xlookup($BN$9&amp;E173,'Import_FL5 MPS (06.06.25) - Sor'!E169:E334&amp;'Import_FL5 MPS (06.06.25) - Sor'!F169:F334,'Import_FL5 MPS (06.06.25) - Sor'!ES169:ES334,"No demand",0,1))</f>
        <v>No demand</v>
      </c>
      <c r="BO173" s="321" t="str">
        <f t="array" ref="BO173">if(isblank(E173),"",xlookup($BO$9&amp;E173,'Import_FL5 MPS (06.06.25) - Sor'!E169:E334&amp;'Import_FL5 MPS (06.06.25) - Sor'!F169:F334,'Import_FL5 MPS (06.06.25) - Sor'!ES169:ES334,"No demand",0,1))</f>
        <v>No demand</v>
      </c>
      <c r="BP173" s="322" t="str">
        <f t="array" ref="BP173">if(isblank(E173),"", xlookup(E173,'Import_LH_Label approve'!E:E,'Import_LH_Label approve'!L:L,"",0,1))</f>
        <v/>
      </c>
      <c r="BQ173" s="322" t="str">
        <f t="array" ref="BQ173">if(isblank(E173),"",xlookup(E173,'Import_VN_Label approve'!E:E,'Import_VN_Label approve'!M:M,"N/A",0,1))</f>
        <v>N/A</v>
      </c>
      <c r="BR173" s="313"/>
      <c r="BS173" s="323"/>
      <c r="BT173" s="324"/>
      <c r="BU173" s="91"/>
    </row>
    <row r="174" hidden="1">
      <c r="A174" s="7"/>
      <c r="B174" s="292">
        <v>163.0</v>
      </c>
      <c r="C174" s="231" t="s">
        <v>284</v>
      </c>
      <c r="D174" s="231" t="s">
        <v>408</v>
      </c>
      <c r="E174" s="350" t="s">
        <v>1262</v>
      </c>
      <c r="F174" s="325" t="s">
        <v>554</v>
      </c>
      <c r="G174" s="355" t="s">
        <v>555</v>
      </c>
      <c r="H174" s="292" t="str">
        <f t="array" ref="H174">xlookup(F174,z_Others!$B$21:$B$45,z_Others!$E$21:$E$45,"",0,1)</f>
        <v>JPN</v>
      </c>
      <c r="I174" s="310" t="s">
        <v>425</v>
      </c>
      <c r="J174" s="231" t="str">
        <f t="array" ref="J174">if(isblank(E174),"",xlookup(I174,z_Others!$M$17:$M$20,z_Others!$O$17:$O$20,"",0,1))</f>
        <v>Frost</v>
      </c>
      <c r="K174" s="292" t="str">
        <f t="array" ref="K174">xlookup(I174,z_Others!$M$17:$M$20,z_Others!$N$17:$N$20,"",0,1)</f>
        <v>PPL</v>
      </c>
      <c r="L174" s="292" t="str">
        <f t="array" ref="L174">xlookup(F174,z_Others!$B$21:$B$45,z_Others!$D$21:$D$45,"",0,1)</f>
        <v>GL066</v>
      </c>
      <c r="M174" s="296" t="str">
        <f t="array" ref="M174">xlookup(F174,z_Others!$B$21:$B$45,z_Others!$C$21:$C$45,"",0,1)</f>
        <v>JPN</v>
      </c>
      <c r="N174" s="297">
        <v>3.5416229E7</v>
      </c>
      <c r="O174" s="331" t="s">
        <v>556</v>
      </c>
      <c r="P174" s="303" t="s">
        <v>557</v>
      </c>
      <c r="Q174" s="300" t="s">
        <v>413</v>
      </c>
      <c r="R174" s="301" t="s">
        <v>414</v>
      </c>
      <c r="S174" s="302">
        <f t="array" ref="S174">if(isblank(E174),"",xlookup($S$9&amp;M174,z_Others!$X$5:$X$17&amp;z_Others!$W$5:$W$17,z_Others!$Z$5:$Z$17,"",0,1))</f>
        <v>35444932</v>
      </c>
      <c r="T174" s="303" t="str">
        <f t="array" ref="T174">if(isblank(E174),"",xlookup($S$9&amp;M174,z_Others!$X$5:$X$17&amp;z_Others!$W$5:$W$17,z_Others!$AH$5:$AH$17,"",0,1))</f>
        <v>35 444932 020000x</v>
      </c>
      <c r="U174" s="303" t="str">
        <f t="array" ref="U174">if(isblank(E174),"",xlookup($S$9&amp;M174,z_Others!$X$5:$X$17&amp;z_Others!$W$5:$W$17,z_Others!$AI$5:$AI$17,"",0,1))</f>
        <v>35 444932 999999x</v>
      </c>
      <c r="V174" s="303" t="str">
        <f t="shared" si="2"/>
        <v>64:9D:38:32:91:82
B0:D5:FB:C6:60:70</v>
      </c>
      <c r="W174" s="303" t="str">
        <f t="shared" si="3"/>
        <v>64:9D:38:37:25:61
B0:D5:FB:CE:01:8F</v>
      </c>
      <c r="X174" s="304" t="str">
        <f t="shared" si="4"/>
        <v>MP1.0</v>
      </c>
      <c r="Y174" s="292"/>
      <c r="Z174" s="304" t="str">
        <f t="shared" si="32"/>
        <v>Android 16</v>
      </c>
      <c r="AA174" s="304" t="str">
        <f t="shared" si="46"/>
        <v>TBD</v>
      </c>
      <c r="AB174" s="305" t="s">
        <v>1263</v>
      </c>
      <c r="AC174" s="361" t="s">
        <v>1175</v>
      </c>
      <c r="AD174" s="306"/>
      <c r="AE174" s="335"/>
      <c r="AF174" s="308"/>
      <c r="AG174" s="308"/>
      <c r="AH174" s="297" t="str">
        <f t="array" ref="AH174">if(isblank(E174),"",xlookup(F174,z_Others!$B$21:$B$45,z_Others!$F$21:$F$45,"TBD",0,1))</f>
        <v>00</v>
      </c>
      <c r="AI174" s="310" t="str">
        <f t="array" ref="AI174">if(isblank(E174),"", xlookup(E174,'Import_FL5_LH_PVTMP_Configs (Do'!E:E,'Import_FL5_LH_PVTMP_Configs (Do'!O:O,"TBD",0,1))</f>
        <v>TBD</v>
      </c>
      <c r="AJ174" s="311"/>
      <c r="AK174" s="310" t="str">
        <f t="array" ref="AK174">if(isblank(E174),"", xlookup(E174,'Import_FL5_LH_PVTMP_Configs (Do'!E:E,'Import_FL5_LH_PVTMP_Configs (Do'!Q:Q,"TBD",0,1))</f>
        <v>TBD</v>
      </c>
      <c r="AL174" s="310" t="str">
        <f t="array" ref="AL174">if(isblank(E174),"", xlookup(E174,'Import_FL5_LH_PVTMP_Configs (Do'!E:E,'Import_FL5_LH_PVTMP_Configs (Do'!M:M,"TBD",0,1))</f>
        <v>TBD</v>
      </c>
      <c r="AM174" s="310" t="str">
        <f t="array" ref="AM174">if(isblank(E174),"", xlookup(E174,'Import_FL5_LH_PVTMP_Configs (Do'!E:E,'Import_FL5_LH_PVTMP_Configs (Do'!N:N,"TBD",0,1))</f>
        <v>TBD</v>
      </c>
      <c r="AN174" s="310" t="str">
        <f t="array" ref="AN174">if(isblank(E174),"", xlookup(E174,'Import_FL5_LH_PVTMP_Configs (Do'!E:E,'Import_FL5_LH_PVTMP_Configs (Do'!K:K,"TBD",0,1))</f>
        <v>TBD</v>
      </c>
      <c r="AO174" s="292" t="str">
        <f t="array" ref="AO174">if(isblank(E174),"",XLOOKUP(E174,'FL5_G954 Pkg ASSY (Pkg BOM)'!L:L,'FL5_G954 Pkg ASSY (Pkg BOM)'!G:G,"N/A",0,1))</f>
        <v>N/A</v>
      </c>
      <c r="AP174" s="292" t="str">
        <f t="array" ref="AP174">if(isblank(E174),"",xlookup(E174,'FL5_G962 Country kit (Accesorie'!L:L,'FL5_G962 Country kit (Accesorie'!G:G,"N/A",0,1))</f>
        <v>N/A</v>
      </c>
      <c r="AQ174" s="304" t="s">
        <v>1140</v>
      </c>
      <c r="AR174" s="304" t="s">
        <v>1140</v>
      </c>
      <c r="AS174" s="292" t="s">
        <v>419</v>
      </c>
      <c r="AT174" s="302" t="str">
        <f t="shared" si="6"/>
        <v>Yes</v>
      </c>
      <c r="AU174" s="302" t="str">
        <f t="shared" si="7"/>
        <v>No</v>
      </c>
      <c r="AV174" s="302" t="str">
        <f t="shared" si="8"/>
        <v>No</v>
      </c>
      <c r="AW174" s="302"/>
      <c r="AX174" s="302" t="s">
        <v>1264</v>
      </c>
      <c r="AY174" s="302" t="s">
        <v>1265</v>
      </c>
      <c r="AZ174" s="312" t="str">
        <f t="array" ref="AZ174">if(isblank(E174),"", xlookup(E174,Import_FL5_LH_PVT_BM!D:D,Import_FL5_LH_PVT_BM!AK:AK,$F$4,0,1))</f>
        <v>MP</v>
      </c>
      <c r="BA174" s="292" t="str">
        <f t="shared" si="9"/>
        <v>Retail_10ct</v>
      </c>
      <c r="BB174" s="313" t="str">
        <f t="array" ref="BB174">if(isblank(E174),"",xlookup(F174,z_Others!$B$21:$B$42,z_Others!$G$21:$G$42,"No",0,1))</f>
        <v>ROW Master Carton Label (UPC)</v>
      </c>
      <c r="BC174" s="313" t="str">
        <f t="array" ref="BC174">if(isblank(E174),"",xlookup(F174,z_Others!$B$21:$B$42,z_Others!$H$21:$H$42,"No",0,1))</f>
        <v>Standard Pallet Label (BTO)
Standard Pallet Label (BTS)</v>
      </c>
      <c r="BD174" s="314" t="str">
        <f t="array" ref="BD174">if(isblank(E174),"",xlookup(E174,'Import_VN_Label approve'!E:E,'Import_VN_Label approve'!L:L,"N/A",0,1))</f>
        <v>N/A</v>
      </c>
      <c r="BE174" s="314" t="str">
        <f t="array" ref="BE174">if(isblank(E174),"",xlookup(E174,'Import_VN_Label approve'!E:E,'Import_VN_Label approve'!N:N,"N/A",0,1))</f>
        <v>N/A</v>
      </c>
      <c r="BF174" s="315"/>
      <c r="BG174" s="332" t="s">
        <v>503</v>
      </c>
      <c r="BH174" s="317" t="s">
        <v>504</v>
      </c>
      <c r="BI174" s="360" t="s">
        <v>1091</v>
      </c>
      <c r="BJ174" s="319" t="str">
        <f t="array" ref="BJ174">if(isblank(E174),"", xlookup(D174,z_Others!$B$5:$B$17,z_Others!$C$5:$C$17,"",0,1))</f>
        <v>智能手機</v>
      </c>
      <c r="BK174" s="320">
        <v>45782.0</v>
      </c>
      <c r="BL174" s="320" t="str">
        <f t="array" ref="BL174">if(isblank(E174),"",xlookup(E174,'FL5_MP POR_LH_報關備案_G950 &amp; GA'!F:F,'FL5_MP POR_LH_報關備案_G950 &amp; GA'!E:E,"No Need",0,1))</f>
        <v>No Need</v>
      </c>
      <c r="BM174" s="321" t="str">
        <f t="array" ref="BM174">if(isblank(E174),"",xlookup($BM$9&amp;E174,'Import_FL5 MPS (06.06.25) - Sor'!E170:E334&amp;'Import_FL5 MPS (06.06.25) - Sor'!F170:F334,'Import_FL5 MPS (06.06.25) - Sor'!ES170:ES334,"No demand",0,1))</f>
        <v>No demand</v>
      </c>
      <c r="BN174" s="321" t="str">
        <f t="array" ref="BN174">if(isblank(E174),"",xlookup($BN$9&amp;E174,'Import_FL5 MPS (06.06.25) - Sor'!E170:E334&amp;'Import_FL5 MPS (06.06.25) - Sor'!F170:F334,'Import_FL5 MPS (06.06.25) - Sor'!ES170:ES334,"No demand",0,1))</f>
        <v>No demand</v>
      </c>
      <c r="BO174" s="321" t="str">
        <f t="array" ref="BO174">if(isblank(E174),"",xlookup($BO$9&amp;E174,'Import_FL5 MPS (06.06.25) - Sor'!E170:E334&amp;'Import_FL5 MPS (06.06.25) - Sor'!F170:F334,'Import_FL5 MPS (06.06.25) - Sor'!ES170:ES334,"No demand",0,1))</f>
        <v>No demand</v>
      </c>
      <c r="BP174" s="322" t="str">
        <f t="array" ref="BP174">if(isblank(E174),"", xlookup(E174,'Import_LH_Label approve'!E:E,'Import_LH_Label approve'!L:L,"",0,1))</f>
        <v/>
      </c>
      <c r="BQ174" s="322" t="str">
        <f t="array" ref="BQ174">if(isblank(E174),"",xlookup(E174,'Import_VN_Label approve'!E:E,'Import_VN_Label approve'!M:M,"N/A",0,1))</f>
        <v>N/A</v>
      </c>
      <c r="BR174" s="313"/>
      <c r="BS174" s="323"/>
      <c r="BT174" s="324"/>
      <c r="BU174" s="91"/>
    </row>
    <row r="175" hidden="1">
      <c r="A175" s="7"/>
      <c r="B175" s="292">
        <v>164.0</v>
      </c>
      <c r="C175" s="231" t="s">
        <v>284</v>
      </c>
      <c r="D175" s="231" t="s">
        <v>408</v>
      </c>
      <c r="E175" s="350" t="s">
        <v>1266</v>
      </c>
      <c r="F175" s="325" t="s">
        <v>554</v>
      </c>
      <c r="G175" s="355" t="s">
        <v>555</v>
      </c>
      <c r="H175" s="292" t="str">
        <f t="array" ref="H175">xlookup(F175,z_Others!$B$21:$B$45,z_Others!$E$21:$E$45,"",0,1)</f>
        <v>JPN</v>
      </c>
      <c r="I175" s="310" t="s">
        <v>431</v>
      </c>
      <c r="J175" s="231" t="str">
        <f t="array" ref="J175">if(isblank(E175),"",xlookup(I175,z_Others!$M$17:$M$20,z_Others!$O$17:$O$20,"",0,1))</f>
        <v>Lemongrass</v>
      </c>
      <c r="K175" s="292" t="str">
        <f t="array" ref="K175">xlookup(I175,z_Others!$M$17:$M$20,z_Others!$N$17:$N$20,"",0,1)</f>
        <v>YEL</v>
      </c>
      <c r="L175" s="292" t="str">
        <f t="array" ref="L175">xlookup(F175,z_Others!$B$21:$B$45,z_Others!$D$21:$D$45,"",0,1)</f>
        <v>GL066</v>
      </c>
      <c r="M175" s="296" t="str">
        <f t="array" ref="M175">xlookup(F175,z_Others!$B$21:$B$45,z_Others!$C$21:$C$45,"",0,1)</f>
        <v>JPN</v>
      </c>
      <c r="N175" s="297">
        <v>3.5416229E7</v>
      </c>
      <c r="O175" s="331" t="s">
        <v>556</v>
      </c>
      <c r="P175" s="303" t="s">
        <v>557</v>
      </c>
      <c r="Q175" s="300" t="s">
        <v>413</v>
      </c>
      <c r="R175" s="301" t="s">
        <v>414</v>
      </c>
      <c r="S175" s="302">
        <f t="array" ref="S175">if(isblank(E175),"",xlookup($S$9&amp;M175,z_Others!$X$5:$X$17&amp;z_Others!$W$5:$W$17,z_Others!$Z$5:$Z$17,"",0,1))</f>
        <v>35444932</v>
      </c>
      <c r="T175" s="303" t="str">
        <f t="array" ref="T175">if(isblank(E175),"",xlookup($S$9&amp;M175,z_Others!$X$5:$X$17&amp;z_Others!$W$5:$W$17,z_Others!$AH$5:$AH$17,"",0,1))</f>
        <v>35 444932 020000x</v>
      </c>
      <c r="U175" s="303" t="str">
        <f t="array" ref="U175">if(isblank(E175),"",xlookup($S$9&amp;M175,z_Others!$X$5:$X$17&amp;z_Others!$W$5:$W$17,z_Others!$AI$5:$AI$17,"",0,1))</f>
        <v>35 444932 999999x</v>
      </c>
      <c r="V175" s="303" t="str">
        <f t="shared" si="2"/>
        <v>64:9D:38:32:91:82
B0:D5:FB:C6:60:70</v>
      </c>
      <c r="W175" s="303" t="str">
        <f t="shared" si="3"/>
        <v>64:9D:38:37:25:61
B0:D5:FB:CE:01:8F</v>
      </c>
      <c r="X175" s="304" t="str">
        <f t="shared" si="4"/>
        <v>MP1.0</v>
      </c>
      <c r="Y175" s="292"/>
      <c r="Z175" s="304" t="str">
        <f t="shared" si="32"/>
        <v>Android 16</v>
      </c>
      <c r="AA175" s="304" t="str">
        <f t="shared" si="46"/>
        <v>TBD</v>
      </c>
      <c r="AB175" s="305" t="s">
        <v>1267</v>
      </c>
      <c r="AC175" s="361" t="s">
        <v>1175</v>
      </c>
      <c r="AD175" s="306"/>
      <c r="AE175" s="335"/>
      <c r="AF175" s="308"/>
      <c r="AG175" s="308"/>
      <c r="AH175" s="297" t="str">
        <f t="array" ref="AH175">if(isblank(E175),"",xlookup(F175,z_Others!$B$21:$B$45,z_Others!$F$21:$F$45,"TBD",0,1))</f>
        <v>00</v>
      </c>
      <c r="AI175" s="310" t="str">
        <f t="array" ref="AI175">if(isblank(E175),"", xlookup(E175,'Import_FL5_LH_PVTMP_Configs (Do'!E:E,'Import_FL5_LH_PVTMP_Configs (Do'!O:O,"TBD",0,1))</f>
        <v>TBD</v>
      </c>
      <c r="AJ175" s="311"/>
      <c r="AK175" s="310" t="str">
        <f t="array" ref="AK175">if(isblank(E175),"", xlookup(E175,'Import_FL5_LH_PVTMP_Configs (Do'!E:E,'Import_FL5_LH_PVTMP_Configs (Do'!Q:Q,"TBD",0,1))</f>
        <v>TBD</v>
      </c>
      <c r="AL175" s="310" t="str">
        <f t="array" ref="AL175">if(isblank(E175),"", xlookup(E175,'Import_FL5_LH_PVTMP_Configs (Do'!E:E,'Import_FL5_LH_PVTMP_Configs (Do'!M:M,"TBD",0,1))</f>
        <v>TBD</v>
      </c>
      <c r="AM175" s="310" t="str">
        <f t="array" ref="AM175">if(isblank(E175),"", xlookup(E175,'Import_FL5_LH_PVTMP_Configs (Do'!E:E,'Import_FL5_LH_PVTMP_Configs (Do'!N:N,"TBD",0,1))</f>
        <v>TBD</v>
      </c>
      <c r="AN175" s="310" t="str">
        <f t="array" ref="AN175">if(isblank(E175),"", xlookup(E175,'Import_FL5_LH_PVTMP_Configs (Do'!E:E,'Import_FL5_LH_PVTMP_Configs (Do'!K:K,"TBD",0,1))</f>
        <v>TBD</v>
      </c>
      <c r="AO175" s="292" t="str">
        <f t="array" ref="AO175">if(isblank(E175),"",XLOOKUP(E175,'FL5_G954 Pkg ASSY (Pkg BOM)'!L:L,'FL5_G954 Pkg ASSY (Pkg BOM)'!G:G,"N/A",0,1))</f>
        <v>N/A</v>
      </c>
      <c r="AP175" s="292" t="str">
        <f t="array" ref="AP175">if(isblank(E175),"",xlookup(E175,'FL5_G962 Country kit (Accesorie'!L:L,'FL5_G962 Country kit (Accesorie'!G:G,"N/A",0,1))</f>
        <v>N/A</v>
      </c>
      <c r="AQ175" s="304" t="s">
        <v>1140</v>
      </c>
      <c r="AR175" s="304" t="s">
        <v>1140</v>
      </c>
      <c r="AS175" s="292" t="s">
        <v>419</v>
      </c>
      <c r="AT175" s="302" t="str">
        <f t="shared" si="6"/>
        <v>Yes</v>
      </c>
      <c r="AU175" s="302" t="str">
        <f t="shared" si="7"/>
        <v>No</v>
      </c>
      <c r="AV175" s="302" t="str">
        <f t="shared" si="8"/>
        <v>No</v>
      </c>
      <c r="AW175" s="302"/>
      <c r="AX175" s="302" t="s">
        <v>1268</v>
      </c>
      <c r="AY175" s="302" t="s">
        <v>1269</v>
      </c>
      <c r="AZ175" s="312" t="str">
        <f t="array" ref="AZ175">if(isblank(E175),"", xlookup(E175,Import_FL5_LH_PVT_BM!D:D,Import_FL5_LH_PVT_BM!AK:AK,$F$4,0,1))</f>
        <v>MP</v>
      </c>
      <c r="BA175" s="292" t="str">
        <f t="shared" si="9"/>
        <v>Retail_10ct</v>
      </c>
      <c r="BB175" s="313" t="str">
        <f t="array" ref="BB175">if(isblank(E175),"",xlookup(F175,z_Others!$B$21:$B$42,z_Others!$G$21:$G$42,"No",0,1))</f>
        <v>ROW Master Carton Label (UPC)</v>
      </c>
      <c r="BC175" s="313" t="str">
        <f t="array" ref="BC175">if(isblank(E175),"",xlookup(F175,z_Others!$B$21:$B$42,z_Others!$H$21:$H$42,"No",0,1))</f>
        <v>Standard Pallet Label (BTO)
Standard Pallet Label (BTS)</v>
      </c>
      <c r="BD175" s="314" t="str">
        <f t="array" ref="BD175">if(isblank(E175),"",xlookup(E175,'Import_VN_Label approve'!E:E,'Import_VN_Label approve'!L:L,"N/A",0,1))</f>
        <v>N/A</v>
      </c>
      <c r="BE175" s="314" t="str">
        <f t="array" ref="BE175">if(isblank(E175),"",xlookup(E175,'Import_VN_Label approve'!E:E,'Import_VN_Label approve'!N:N,"N/A",0,1))</f>
        <v>N/A</v>
      </c>
      <c r="BF175" s="315"/>
      <c r="BG175" s="332" t="s">
        <v>503</v>
      </c>
      <c r="BH175" s="317" t="s">
        <v>504</v>
      </c>
      <c r="BI175" s="360" t="s">
        <v>1091</v>
      </c>
      <c r="BJ175" s="319" t="str">
        <f t="array" ref="BJ175">if(isblank(E175),"", xlookup(D175,z_Others!$B$5:$B$17,z_Others!$C$5:$C$17,"",0,1))</f>
        <v>智能手機</v>
      </c>
      <c r="BK175" s="320">
        <v>45782.0</v>
      </c>
      <c r="BL175" s="320" t="str">
        <f t="array" ref="BL175">if(isblank(E175),"",xlookup(E175,'FL5_MP POR_LH_報關備案_G950 &amp; GA'!F:F,'FL5_MP POR_LH_報關備案_G950 &amp; GA'!E:E,"No Need",0,1))</f>
        <v>No Need</v>
      </c>
      <c r="BM175" s="321" t="str">
        <f t="array" ref="BM175">if(isblank(E175),"",xlookup($BM$9&amp;E175,'Import_FL5 MPS (06.06.25) - Sor'!E171:E334&amp;'Import_FL5 MPS (06.06.25) - Sor'!F171:F334,'Import_FL5 MPS (06.06.25) - Sor'!ES171:ES334,"No demand",0,1))</f>
        <v>No demand</v>
      </c>
      <c r="BN175" s="321" t="str">
        <f t="array" ref="BN175">if(isblank(E175),"",xlookup($BN$9&amp;E175,'Import_FL5 MPS (06.06.25) - Sor'!E171:E334&amp;'Import_FL5 MPS (06.06.25) - Sor'!F171:F334,'Import_FL5 MPS (06.06.25) - Sor'!ES171:ES334,"No demand",0,1))</f>
        <v>No demand</v>
      </c>
      <c r="BO175" s="321" t="str">
        <f t="array" ref="BO175">if(isblank(E175),"",xlookup($BO$9&amp;E175,'Import_FL5 MPS (06.06.25) - Sor'!E171:E334&amp;'Import_FL5 MPS (06.06.25) - Sor'!F171:F334,'Import_FL5 MPS (06.06.25) - Sor'!ES171:ES334,"No demand",0,1))</f>
        <v>No demand</v>
      </c>
      <c r="BP175" s="322" t="str">
        <f t="array" ref="BP175">if(isblank(E175),"", xlookup(E175,'Import_LH_Label approve'!E:E,'Import_LH_Label approve'!L:L,"",0,1))</f>
        <v/>
      </c>
      <c r="BQ175" s="322" t="str">
        <f t="array" ref="BQ175">if(isblank(E175),"",xlookup(E175,'Import_VN_Label approve'!E:E,'Import_VN_Label approve'!M:M,"N/A",0,1))</f>
        <v>N/A</v>
      </c>
      <c r="BR175" s="313"/>
      <c r="BS175" s="323"/>
      <c r="BT175" s="324"/>
      <c r="BU175" s="91"/>
    </row>
    <row r="176" hidden="1">
      <c r="A176" s="7"/>
      <c r="B176" s="292">
        <v>165.0</v>
      </c>
      <c r="C176" s="231" t="s">
        <v>284</v>
      </c>
      <c r="D176" s="231" t="s">
        <v>408</v>
      </c>
      <c r="E176" s="350" t="s">
        <v>1270</v>
      </c>
      <c r="F176" s="325" t="s">
        <v>554</v>
      </c>
      <c r="G176" s="355" t="s">
        <v>555</v>
      </c>
      <c r="H176" s="292" t="str">
        <f t="array" ref="H176">xlookup(F176,z_Others!$B$21:$B$45,z_Others!$E$21:$E$45,"",0,1)</f>
        <v>JPN</v>
      </c>
      <c r="I176" s="310" t="s">
        <v>437</v>
      </c>
      <c r="J176" s="231" t="str">
        <f t="array" ref="J176">if(isblank(E176),"",xlookup(I176,z_Others!$M$17:$M$20,z_Others!$O$17:$O$20,"",0,1))</f>
        <v>Indigo</v>
      </c>
      <c r="K176" s="292" t="str">
        <f t="array" ref="K176">xlookup(I176,z_Others!$M$17:$M$20,z_Others!$N$17:$N$20,"",0,1)</f>
        <v>BUE</v>
      </c>
      <c r="L176" s="292" t="str">
        <f t="array" ref="L176">xlookup(F176,z_Others!$B$21:$B$45,z_Others!$D$21:$D$45,"",0,1)</f>
        <v>GL066</v>
      </c>
      <c r="M176" s="296" t="str">
        <f t="array" ref="M176">xlookup(F176,z_Others!$B$21:$B$45,z_Others!$C$21:$C$45,"",0,1)</f>
        <v>JPN</v>
      </c>
      <c r="N176" s="297">
        <v>3.5416229E7</v>
      </c>
      <c r="O176" s="331" t="s">
        <v>556</v>
      </c>
      <c r="P176" s="303" t="s">
        <v>557</v>
      </c>
      <c r="Q176" s="300" t="s">
        <v>413</v>
      </c>
      <c r="R176" s="301" t="s">
        <v>414</v>
      </c>
      <c r="S176" s="302">
        <f t="array" ref="S176">if(isblank(E176),"",xlookup($S$9&amp;M176,z_Others!$X$5:$X$17&amp;z_Others!$W$5:$W$17,z_Others!$Z$5:$Z$17,"",0,1))</f>
        <v>35444932</v>
      </c>
      <c r="T176" s="303" t="str">
        <f t="array" ref="T176">if(isblank(E176),"",xlookup($S$9&amp;M176,z_Others!$X$5:$X$17&amp;z_Others!$W$5:$W$17,z_Others!$AH$5:$AH$17,"",0,1))</f>
        <v>35 444932 020000x</v>
      </c>
      <c r="U176" s="303" t="str">
        <f t="array" ref="U176">if(isblank(E176),"",xlookup($S$9&amp;M176,z_Others!$X$5:$X$17&amp;z_Others!$W$5:$W$17,z_Others!$AI$5:$AI$17,"",0,1))</f>
        <v>35 444932 999999x</v>
      </c>
      <c r="V176" s="303" t="str">
        <f t="shared" si="2"/>
        <v>64:9D:38:32:91:82
B0:D5:FB:C6:60:70</v>
      </c>
      <c r="W176" s="303" t="str">
        <f t="shared" si="3"/>
        <v>64:9D:38:37:25:61
B0:D5:FB:CE:01:8F</v>
      </c>
      <c r="X176" s="304" t="str">
        <f t="shared" si="4"/>
        <v>MP1.0</v>
      </c>
      <c r="Y176" s="292"/>
      <c r="Z176" s="304" t="str">
        <f t="shared" si="32"/>
        <v>Android 16</v>
      </c>
      <c r="AA176" s="304" t="str">
        <f t="shared" si="46"/>
        <v>TBD</v>
      </c>
      <c r="AB176" s="305" t="s">
        <v>1271</v>
      </c>
      <c r="AC176" s="361" t="s">
        <v>1175</v>
      </c>
      <c r="AD176" s="306"/>
      <c r="AE176" s="335"/>
      <c r="AF176" s="308"/>
      <c r="AG176" s="308"/>
      <c r="AH176" s="297" t="str">
        <f t="array" ref="AH176">if(isblank(E176),"",xlookup(F176,z_Others!$B$21:$B$45,z_Others!$F$21:$F$45,"TBD",0,1))</f>
        <v>00</v>
      </c>
      <c r="AI176" s="310" t="str">
        <f t="array" ref="AI176">if(isblank(E176),"", xlookup(E176,'Import_FL5_LH_PVTMP_Configs (Do'!E:E,'Import_FL5_LH_PVTMP_Configs (Do'!O:O,"TBD",0,1))</f>
        <v>TBD</v>
      </c>
      <c r="AJ176" s="311"/>
      <c r="AK176" s="310" t="str">
        <f t="array" ref="AK176">if(isblank(E176),"", xlookup(E176,'Import_FL5_LH_PVTMP_Configs (Do'!E:E,'Import_FL5_LH_PVTMP_Configs (Do'!Q:Q,"TBD",0,1))</f>
        <v>TBD</v>
      </c>
      <c r="AL176" s="310" t="str">
        <f t="array" ref="AL176">if(isblank(E176),"", xlookup(E176,'Import_FL5_LH_PVTMP_Configs (Do'!E:E,'Import_FL5_LH_PVTMP_Configs (Do'!M:M,"TBD",0,1))</f>
        <v>TBD</v>
      </c>
      <c r="AM176" s="310" t="str">
        <f t="array" ref="AM176">if(isblank(E176),"", xlookup(E176,'Import_FL5_LH_PVTMP_Configs (Do'!E:E,'Import_FL5_LH_PVTMP_Configs (Do'!N:N,"TBD",0,1))</f>
        <v>TBD</v>
      </c>
      <c r="AN176" s="310" t="str">
        <f t="array" ref="AN176">if(isblank(E176),"", xlookup(E176,'Import_FL5_LH_PVTMP_Configs (Do'!E:E,'Import_FL5_LH_PVTMP_Configs (Do'!K:K,"TBD",0,1))</f>
        <v>TBD</v>
      </c>
      <c r="AO176" s="292" t="str">
        <f t="array" ref="AO176">if(isblank(E176),"",XLOOKUP(E176,'FL5_G954 Pkg ASSY (Pkg BOM)'!L:L,'FL5_G954 Pkg ASSY (Pkg BOM)'!G:G,"N/A",0,1))</f>
        <v>N/A</v>
      </c>
      <c r="AP176" s="292" t="str">
        <f t="array" ref="AP176">if(isblank(E176),"",xlookup(E176,'FL5_G962 Country kit (Accesorie'!L:L,'FL5_G962 Country kit (Accesorie'!G:G,"N/A",0,1))</f>
        <v>N/A</v>
      </c>
      <c r="AQ176" s="304" t="s">
        <v>1140</v>
      </c>
      <c r="AR176" s="304" t="s">
        <v>1140</v>
      </c>
      <c r="AS176" s="292" t="s">
        <v>419</v>
      </c>
      <c r="AT176" s="302" t="str">
        <f t="shared" si="6"/>
        <v>Yes</v>
      </c>
      <c r="AU176" s="302" t="str">
        <f t="shared" si="7"/>
        <v>No</v>
      </c>
      <c r="AV176" s="302" t="str">
        <f t="shared" si="8"/>
        <v>No</v>
      </c>
      <c r="AW176" s="297"/>
      <c r="AX176" s="302" t="s">
        <v>1272</v>
      </c>
      <c r="AY176" s="302" t="s">
        <v>1273</v>
      </c>
      <c r="AZ176" s="312" t="str">
        <f t="array" ref="AZ176">if(isblank(E176),"", xlookup(E176,Import_FL5_LH_PVT_BM!D:D,Import_FL5_LH_PVT_BM!AK:AK,$F$4,0,1))</f>
        <v>MP</v>
      </c>
      <c r="BA176" s="292" t="str">
        <f t="shared" si="9"/>
        <v>Retail_10ct</v>
      </c>
      <c r="BB176" s="313" t="str">
        <f t="array" ref="BB176">if(isblank(E176),"",xlookup(F176,z_Others!$B$21:$B$42,z_Others!$G$21:$G$42,"No",0,1))</f>
        <v>ROW Master Carton Label (UPC)</v>
      </c>
      <c r="BC176" s="313" t="str">
        <f t="array" ref="BC176">if(isblank(E176),"",xlookup(F176,z_Others!$B$21:$B$42,z_Others!$H$21:$H$42,"No",0,1))</f>
        <v>Standard Pallet Label (BTO)
Standard Pallet Label (BTS)</v>
      </c>
      <c r="BD176" s="314" t="str">
        <f t="array" ref="BD176">if(isblank(E176),"",xlookup(E176,'Import_VN_Label approve'!E:E,'Import_VN_Label approve'!L:L,"N/A",0,1))</f>
        <v>N/A</v>
      </c>
      <c r="BE176" s="314" t="str">
        <f t="array" ref="BE176">if(isblank(E176),"",xlookup(E176,'Import_VN_Label approve'!E:E,'Import_VN_Label approve'!N:N,"N/A",0,1))</f>
        <v>N/A</v>
      </c>
      <c r="BF176" s="315"/>
      <c r="BG176" s="332" t="s">
        <v>503</v>
      </c>
      <c r="BH176" s="317" t="s">
        <v>504</v>
      </c>
      <c r="BI176" s="360" t="s">
        <v>1091</v>
      </c>
      <c r="BJ176" s="319" t="str">
        <f t="array" ref="BJ176">if(isblank(E176),"", xlookup(D176,z_Others!$B$5:$B$17,z_Others!$C$5:$C$17,"",0,1))</f>
        <v>智能手機</v>
      </c>
      <c r="BK176" s="320">
        <v>45782.0</v>
      </c>
      <c r="BL176" s="320" t="str">
        <f t="array" ref="BL176">if(isblank(E176),"",xlookup(E176,'FL5_MP POR_LH_報關備案_G950 &amp; GA'!F:F,'FL5_MP POR_LH_報關備案_G950 &amp; GA'!E:E,"No Need",0,1))</f>
        <v>No Need</v>
      </c>
      <c r="BM176" s="321" t="str">
        <f t="array" ref="BM176">if(isblank(E176),"",xlookup($BM$9&amp;E176,'Import_FL5 MPS (06.06.25) - Sor'!E172:E334&amp;'Import_FL5 MPS (06.06.25) - Sor'!F172:F334,'Import_FL5 MPS (06.06.25) - Sor'!ES172:ES334,"No demand",0,1))</f>
        <v>No demand</v>
      </c>
      <c r="BN176" s="321" t="str">
        <f t="array" ref="BN176">if(isblank(E176),"",xlookup($BN$9&amp;E176,'Import_FL5 MPS (06.06.25) - Sor'!E172:E334&amp;'Import_FL5 MPS (06.06.25) - Sor'!F172:F334,'Import_FL5 MPS (06.06.25) - Sor'!ES172:ES334,"No demand",0,1))</f>
        <v>No demand</v>
      </c>
      <c r="BO176" s="321" t="str">
        <f t="array" ref="BO176">if(isblank(E176),"",xlookup($BO$9&amp;E176,'Import_FL5 MPS (06.06.25) - Sor'!E172:E334&amp;'Import_FL5 MPS (06.06.25) - Sor'!F172:F334,'Import_FL5 MPS (06.06.25) - Sor'!ES172:ES334,"No demand",0,1))</f>
        <v>No demand</v>
      </c>
      <c r="BP176" s="322" t="str">
        <f t="array" ref="BP176">if(isblank(E176),"", xlookup(E176,'Import_LH_Label approve'!E:E,'Import_LH_Label approve'!L:L,"",0,1))</f>
        <v/>
      </c>
      <c r="BQ176" s="322" t="str">
        <f t="array" ref="BQ176">if(isblank(E176),"",xlookup(E176,'Import_VN_Label approve'!E:E,'Import_VN_Label approve'!M:M,"N/A",0,1))</f>
        <v>N/A</v>
      </c>
      <c r="BR176" s="313"/>
      <c r="BS176" s="323"/>
      <c r="BT176" s="324"/>
      <c r="BU176" s="91"/>
    </row>
    <row r="177" hidden="1">
      <c r="A177" s="7"/>
      <c r="B177" s="292">
        <v>166.0</v>
      </c>
      <c r="C177" s="231" t="s">
        <v>284</v>
      </c>
      <c r="D177" s="231" t="s">
        <v>291</v>
      </c>
      <c r="E177" s="334" t="s">
        <v>1274</v>
      </c>
      <c r="F177" s="313" t="s">
        <v>583</v>
      </c>
      <c r="G177" s="231" t="s">
        <v>493</v>
      </c>
      <c r="H177" s="292" t="str">
        <f t="array" ref="H177">xlookup(F177,z_Others!$B$21:$B$45,z_Others!$E$21:$E$45,"",0,1)</f>
        <v>Sub6</v>
      </c>
      <c r="I177" s="310" t="s">
        <v>412</v>
      </c>
      <c r="J177" s="231" t="str">
        <f t="array" ref="J177">if(isblank(E177),"",xlookup(I177,z_Others!$M$17:$M$20,z_Others!$O$17:$O$20,"",0,1))</f>
        <v>Obsidian</v>
      </c>
      <c r="K177" s="292" t="str">
        <f t="array" ref="K177">xlookup(I177,z_Others!$M$17:$M$20,z_Others!$N$17:$N$20,"",0,1)</f>
        <v>BLK</v>
      </c>
      <c r="L177" s="292" t="str">
        <f t="array" ref="L177">xlookup(F177,z_Others!$B$21:$B$45,z_Others!$D$21:$D$45,"",0,1)</f>
        <v>GK2MP</v>
      </c>
      <c r="M177" s="296" t="str">
        <f t="array" ref="M177">xlookup(F177,z_Others!$B$21:$B$45,z_Others!$C$21:$C$45,"",0,1)</f>
        <v>ROW</v>
      </c>
      <c r="N177" s="297">
        <f t="array" ref="N177">if(isblank(E177),"",xlookup($N$9&amp;M177,z_Others!$X$5:$X$17&amp;z_Others!$W$5:$W$17,z_Others!$Z$5:$Z$17,"",0,1))</f>
        <v>35440766</v>
      </c>
      <c r="O177" s="331" t="s">
        <v>494</v>
      </c>
      <c r="P177" s="303" t="s">
        <v>495</v>
      </c>
      <c r="Q177" s="300" t="s">
        <v>413</v>
      </c>
      <c r="R177" s="301" t="s">
        <v>414</v>
      </c>
      <c r="S177" s="302">
        <f t="array" ref="S177">if(isblank(E177),"",xlookup($S$9&amp;M177,z_Others!$X$5:$X$17&amp;z_Others!$W$5:$W$17,z_Others!$Z$5:$Z$17,"",0,1))</f>
        <v>35795514</v>
      </c>
      <c r="T177" s="303" t="str">
        <f t="array" ref="T177">if(isblank(E177),"",xlookup($S$9&amp;M177,z_Others!$X$5:$X$17&amp;z_Others!$W$5:$W$17,z_Others!$AH$5:$AH$17,"",0,1))</f>
        <v>35 795514 040000x</v>
      </c>
      <c r="U177" s="303" t="str">
        <f t="array" ref="U177">if(isblank(E177),"",xlookup($S$9&amp;M177,z_Others!$X$5:$X$17&amp;z_Others!$W$5:$W$17,z_Others!$AI$5:$AI$17,"",0,1))</f>
        <v>35 795514 999999x</v>
      </c>
      <c r="V177" s="303" t="str">
        <f t="shared" si="2"/>
        <v>64:9D:38:32:91:82
B0:D5:FB:C6:60:70</v>
      </c>
      <c r="W177" s="303" t="str">
        <f t="shared" si="3"/>
        <v>64:9D:38:37:25:61
B0:D5:FB:CE:01:8F</v>
      </c>
      <c r="X177" s="304" t="str">
        <f t="shared" si="4"/>
        <v>MP1.0</v>
      </c>
      <c r="Y177" s="292"/>
      <c r="Z177" s="304" t="str">
        <f t="shared" si="32"/>
        <v>Android 16</v>
      </c>
      <c r="AA177" s="304" t="str">
        <f t="shared" si="46"/>
        <v>TBD</v>
      </c>
      <c r="AB177" s="305" t="s">
        <v>1275</v>
      </c>
      <c r="AC177" s="361" t="s">
        <v>1175</v>
      </c>
      <c r="AD177" s="306"/>
      <c r="AE177" s="335"/>
      <c r="AF177" s="308"/>
      <c r="AG177" s="308"/>
      <c r="AH177" s="297" t="str">
        <f t="array" ref="AH177">if(isblank(E177),"",xlookup(F177,z_Others!$B$21:$B$45,z_Others!$F$21:$F$45,"TBD",0,1))</f>
        <v>00</v>
      </c>
      <c r="AI177" s="310" t="str">
        <f t="array" ref="AI177">if(isblank(E177),"", xlookup(E177,'Import_FL5_LH_PVTMP_Configs (Do'!E:E,'Import_FL5_LH_PVTMP_Configs (Do'!O:O,"TBD",0,1))</f>
        <v>TBD</v>
      </c>
      <c r="AJ177" s="311"/>
      <c r="AK177" s="310" t="str">
        <f t="array" ref="AK177">if(isblank(E177),"", xlookup(E177,'Import_FL5_LH_PVTMP_Configs (Do'!E:E,'Import_FL5_LH_PVTMP_Configs (Do'!Q:Q,"TBD",0,1))</f>
        <v>TBD</v>
      </c>
      <c r="AL177" s="310" t="str">
        <f t="array" ref="AL177">if(isblank(E177),"", xlookup(E177,'Import_FL5_LH_PVTMP_Configs (Do'!E:E,'Import_FL5_LH_PVTMP_Configs (Do'!M:M,"TBD",0,1))</f>
        <v>TBD</v>
      </c>
      <c r="AM177" s="310" t="str">
        <f t="array" ref="AM177">if(isblank(E177),"", xlookup(E177,'Import_FL5_LH_PVTMP_Configs (Do'!E:E,'Import_FL5_LH_PVTMP_Configs (Do'!N:N,"TBD",0,1))</f>
        <v>TBD</v>
      </c>
      <c r="AN177" s="310" t="str">
        <f t="array" ref="AN177">if(isblank(E177),"", xlookup(E177,'Import_FL5_LH_PVTMP_Configs (Do'!E:E,'Import_FL5_LH_PVTMP_Configs (Do'!K:K,"TBD",0,1))</f>
        <v>TBD</v>
      </c>
      <c r="AO177" s="292" t="str">
        <f t="array" ref="AO177">if(isblank(E177),"",XLOOKUP(E177,'FL5_G954 Pkg ASSY (Pkg BOM)'!L:L,'FL5_G954 Pkg ASSY (Pkg BOM)'!G:G,"N/A",0,1))</f>
        <v>N/A</v>
      </c>
      <c r="AP177" s="292" t="str">
        <f t="array" ref="AP177">if(isblank(E177),"",xlookup(E177,'FL5_G962 Country kit (Accesorie'!L:L,'FL5_G962 Country kit (Accesorie'!G:G,"N/A",0,1))</f>
        <v>N/A</v>
      </c>
      <c r="AQ177" s="304" t="str">
        <f t="array" ref="AQ177">if(isblank(E177),"", xlookup(E177,'Import_LH_Label approve'!E:E,'Import_LH_Label approve'!M:M,"",0,1))</f>
        <v/>
      </c>
      <c r="AR177" s="304" t="str">
        <f t="array" ref="AR177">if(isblank(E177),"",xlookup(E177,'Import_LH_Label approve'!E:E,'Import_LH_Label approve'!N:N,"",0,1))</f>
        <v/>
      </c>
      <c r="AS177" s="292" t="s">
        <v>419</v>
      </c>
      <c r="AT177" s="302" t="str">
        <f t="shared" si="6"/>
        <v>Yes</v>
      </c>
      <c r="AU177" s="302" t="str">
        <f t="shared" si="7"/>
        <v>No</v>
      </c>
      <c r="AV177" s="302" t="str">
        <f t="shared" si="8"/>
        <v>Yes</v>
      </c>
      <c r="AW177" s="302"/>
      <c r="AX177" s="302" t="s">
        <v>585</v>
      </c>
      <c r="AY177" s="302" t="s">
        <v>585</v>
      </c>
      <c r="AZ177" s="312" t="str">
        <f t="array" ref="AZ177">if(isblank(E177),"", xlookup(E177,Import_FL5_LH_PVT_BM!D:D,Import_FL5_LH_PVT_BM!AK:AK,$F$4,0,1))</f>
        <v>MP</v>
      </c>
      <c r="BA177" s="292" t="b">
        <f t="shared" si="9"/>
        <v>0</v>
      </c>
      <c r="BB177" s="313" t="str">
        <f t="array" ref="BB177">if(isblank(E177),"",xlookup(F177,z_Others!$B$21:$B$42,z_Others!$G$21:$G$42,"No",0,1))</f>
        <v>IN Master Carton Label</v>
      </c>
      <c r="BC177" s="313" t="str">
        <f t="array" ref="BC177">if(isblank(E177),"",xlookup(F177,z_Others!$B$21:$B$42,z_Others!$H$21:$H$42,"No",0,1))</f>
        <v>Standard Pallet Label (BTO)
Standard Pallet Label (BTS)</v>
      </c>
      <c r="BD177" s="314" t="str">
        <f t="array" ref="BD177">if(isblank(E177),"",xlookup(E177,'Import_VN_Label approve'!E:E,'Import_VN_Label approve'!L:L,"N/A",0,1))</f>
        <v>N/A</v>
      </c>
      <c r="BE177" s="314" t="str">
        <f t="array" ref="BE177">if(isblank(E177),"",xlookup(E177,'Import_VN_Label approve'!E:E,'Import_VN_Label approve'!N:N,"N/A",0,1))</f>
        <v>N/A</v>
      </c>
      <c r="BF177" s="315"/>
      <c r="BG177" s="315"/>
      <c r="BH177" s="317"/>
      <c r="BI177" s="362"/>
      <c r="BJ177" s="319" t="str">
        <f t="array" ref="BJ177">if(isblank(E177),"", xlookup(D177,z_Others!$B$5:$B$17,z_Others!$C$5:$C$17,"",0,1))</f>
        <v/>
      </c>
      <c r="BK177" s="320"/>
      <c r="BL177" s="320" t="str">
        <f t="array" ref="BL177">if(isblank(E177),"",xlookup(E177,'FL5_MP POR_LH_報關備案_G950 &amp; GA'!F:F,'FL5_MP POR_LH_報關備案_G950 &amp; GA'!E:E,"No Need",0,1))</f>
        <v>No Need</v>
      </c>
      <c r="BM177" s="321" t="str">
        <f t="array" ref="BM177">if(isblank(E177),"",xlookup($BM$9&amp;E177,'Import_FL5 MPS (06.06.25) - Sor'!E173:E334&amp;'Import_FL5 MPS (06.06.25) - Sor'!F173:F334,'Import_FL5 MPS (06.06.25) - Sor'!ES173:ES334,"No demand",0,1))</f>
        <v>No demand</v>
      </c>
      <c r="BN177" s="321" t="str">
        <f t="array" ref="BN177">if(isblank(E177),"",xlookup($BN$9&amp;E177,'Import_FL5 MPS (06.06.25) - Sor'!E173:E334&amp;'Import_FL5 MPS (06.06.25) - Sor'!F173:F334,'Import_FL5 MPS (06.06.25) - Sor'!ES173:ES334,"No demand",0,1))</f>
        <v>No demand</v>
      </c>
      <c r="BO177" s="321" t="str">
        <f t="array" ref="BO177">if(isblank(E177),"",xlookup($BO$9&amp;E177,'Import_FL5 MPS (06.06.25) - Sor'!E173:E334&amp;'Import_FL5 MPS (06.06.25) - Sor'!F173:F334,'Import_FL5 MPS (06.06.25) - Sor'!ES173:ES334,"No demand",0,1))</f>
        <v>No demand</v>
      </c>
      <c r="BP177" s="322" t="str">
        <f t="array" ref="BP177">if(isblank(E177),"", xlookup(E177,'Import_LH_Label approve'!E:E,'Import_LH_Label approve'!L:L,"",0,1))</f>
        <v/>
      </c>
      <c r="BQ177" s="322" t="str">
        <f t="array" ref="BQ177">if(isblank(E177),"",xlookup(E177,'Import_VN_Label approve'!E:E,'Import_VN_Label approve'!M:M,"N/A",0,1))</f>
        <v>N/A</v>
      </c>
      <c r="BR177" s="342" t="s">
        <v>586</v>
      </c>
      <c r="BS177" s="323"/>
      <c r="BT177" s="324"/>
      <c r="BU177" s="343"/>
    </row>
    <row r="178" hidden="1">
      <c r="A178" s="7"/>
      <c r="B178" s="292">
        <v>167.0</v>
      </c>
      <c r="C178" s="231" t="s">
        <v>284</v>
      </c>
      <c r="D178" s="231" t="s">
        <v>291</v>
      </c>
      <c r="E178" s="334" t="s">
        <v>1276</v>
      </c>
      <c r="F178" s="313" t="s">
        <v>583</v>
      </c>
      <c r="G178" s="231" t="s">
        <v>493</v>
      </c>
      <c r="H178" s="292" t="str">
        <f t="array" ref="H178">xlookup(F178,z_Others!$B$21:$B$45,z_Others!$E$21:$E$45,"",0,1)</f>
        <v>Sub6</v>
      </c>
      <c r="I178" s="310" t="s">
        <v>425</v>
      </c>
      <c r="J178" s="231" t="str">
        <f t="array" ref="J178">if(isblank(E178),"",xlookup(I178,z_Others!$M$17:$M$20,z_Others!$O$17:$O$20,"",0,1))</f>
        <v>Frost</v>
      </c>
      <c r="K178" s="292" t="str">
        <f t="array" ref="K178">xlookup(I178,z_Others!$M$17:$M$20,z_Others!$N$17:$N$20,"",0,1)</f>
        <v>PPL</v>
      </c>
      <c r="L178" s="292" t="str">
        <f t="array" ref="L178">xlookup(F178,z_Others!$B$21:$B$45,z_Others!$D$21:$D$45,"",0,1)</f>
        <v>GK2MP</v>
      </c>
      <c r="M178" s="296" t="str">
        <f t="array" ref="M178">xlookup(F178,z_Others!$B$21:$B$45,z_Others!$C$21:$C$45,"",0,1)</f>
        <v>ROW</v>
      </c>
      <c r="N178" s="297">
        <f t="array" ref="N178">if(isblank(E178),"",xlookup($N$9&amp;M178,z_Others!$X$5:$X$17&amp;z_Others!$W$5:$W$17,z_Others!$Z$5:$Z$17,"",0,1))</f>
        <v>35440766</v>
      </c>
      <c r="O178" s="331" t="s">
        <v>494</v>
      </c>
      <c r="P178" s="303" t="s">
        <v>495</v>
      </c>
      <c r="Q178" s="300" t="s">
        <v>413</v>
      </c>
      <c r="R178" s="301" t="s">
        <v>414</v>
      </c>
      <c r="S178" s="302">
        <f t="array" ref="S178">if(isblank(E178),"",xlookup($S$9&amp;M178,z_Others!$X$5:$X$17&amp;z_Others!$W$5:$W$17,z_Others!$Z$5:$Z$17,"",0,1))</f>
        <v>35795514</v>
      </c>
      <c r="T178" s="303" t="str">
        <f t="array" ref="T178">if(isblank(E178),"",xlookup($S$9&amp;M178,z_Others!$X$5:$X$17&amp;z_Others!$W$5:$W$17,z_Others!$AH$5:$AH$17,"",0,1))</f>
        <v>35 795514 040000x</v>
      </c>
      <c r="U178" s="303" t="str">
        <f t="array" ref="U178">if(isblank(E178),"",xlookup($S$9&amp;M178,z_Others!$X$5:$X$17&amp;z_Others!$W$5:$W$17,z_Others!$AI$5:$AI$17,"",0,1))</f>
        <v>35 795514 999999x</v>
      </c>
      <c r="V178" s="303" t="str">
        <f t="shared" si="2"/>
        <v>64:9D:38:32:91:82
B0:D5:FB:C6:60:70</v>
      </c>
      <c r="W178" s="303" t="str">
        <f t="shared" si="3"/>
        <v>64:9D:38:37:25:61
B0:D5:FB:CE:01:8F</v>
      </c>
      <c r="X178" s="304" t="str">
        <f t="shared" si="4"/>
        <v>MP1.0</v>
      </c>
      <c r="Y178" s="292"/>
      <c r="Z178" s="304" t="str">
        <f t="shared" si="32"/>
        <v>Android 16</v>
      </c>
      <c r="AA178" s="304" t="str">
        <f t="shared" si="46"/>
        <v>TBD</v>
      </c>
      <c r="AB178" s="305" t="s">
        <v>1277</v>
      </c>
      <c r="AC178" s="361" t="s">
        <v>1175</v>
      </c>
      <c r="AD178" s="306"/>
      <c r="AE178" s="335"/>
      <c r="AF178" s="308"/>
      <c r="AG178" s="308"/>
      <c r="AH178" s="297" t="str">
        <f t="array" ref="AH178">if(isblank(E178),"",xlookup(F178,z_Others!$B$21:$B$45,z_Others!$F$21:$F$45,"TBD",0,1))</f>
        <v>00</v>
      </c>
      <c r="AI178" s="310" t="str">
        <f t="array" ref="AI178">if(isblank(E178),"", xlookup(E178,'Import_FL5_LH_PVTMP_Configs (Do'!E:E,'Import_FL5_LH_PVTMP_Configs (Do'!O:O,"TBD",0,1))</f>
        <v>TBD</v>
      </c>
      <c r="AJ178" s="311"/>
      <c r="AK178" s="310" t="str">
        <f t="array" ref="AK178">if(isblank(E178),"", xlookup(E178,'Import_FL5_LH_PVTMP_Configs (Do'!E:E,'Import_FL5_LH_PVTMP_Configs (Do'!Q:Q,"TBD",0,1))</f>
        <v>TBD</v>
      </c>
      <c r="AL178" s="310" t="str">
        <f t="array" ref="AL178">if(isblank(E178),"", xlookup(E178,'Import_FL5_LH_PVTMP_Configs (Do'!E:E,'Import_FL5_LH_PVTMP_Configs (Do'!M:M,"TBD",0,1))</f>
        <v>TBD</v>
      </c>
      <c r="AM178" s="310" t="str">
        <f t="array" ref="AM178">if(isblank(E178),"", xlookup(E178,'Import_FL5_LH_PVTMP_Configs (Do'!E:E,'Import_FL5_LH_PVTMP_Configs (Do'!N:N,"TBD",0,1))</f>
        <v>TBD</v>
      </c>
      <c r="AN178" s="310" t="str">
        <f t="array" ref="AN178">if(isblank(E178),"", xlookup(E178,'Import_FL5_LH_PVTMP_Configs (Do'!E:E,'Import_FL5_LH_PVTMP_Configs (Do'!K:K,"TBD",0,1))</f>
        <v>TBD</v>
      </c>
      <c r="AO178" s="292" t="str">
        <f t="array" ref="AO178">if(isblank(E178),"",XLOOKUP(E178,'FL5_G954 Pkg ASSY (Pkg BOM)'!L:L,'FL5_G954 Pkg ASSY (Pkg BOM)'!G:G,"N/A",0,1))</f>
        <v>N/A</v>
      </c>
      <c r="AP178" s="292" t="str">
        <f t="array" ref="AP178">if(isblank(E178),"",xlookup(E178,'FL5_G962 Country kit (Accesorie'!L:L,'FL5_G962 Country kit (Accesorie'!G:G,"N/A",0,1))</f>
        <v>N/A</v>
      </c>
      <c r="AQ178" s="304" t="str">
        <f t="array" ref="AQ178">if(isblank(E178),"", xlookup(E178,'Import_LH_Label approve'!E:E,'Import_LH_Label approve'!M:M,"",0,1))</f>
        <v/>
      </c>
      <c r="AR178" s="304" t="str">
        <f t="array" ref="AR178">if(isblank(E178),"",xlookup(E178,'Import_LH_Label approve'!E:E,'Import_LH_Label approve'!N:N,"",0,1))</f>
        <v/>
      </c>
      <c r="AS178" s="292" t="s">
        <v>419</v>
      </c>
      <c r="AT178" s="302" t="str">
        <f t="shared" si="6"/>
        <v>Yes</v>
      </c>
      <c r="AU178" s="302" t="str">
        <f t="shared" si="7"/>
        <v>No</v>
      </c>
      <c r="AV178" s="302" t="str">
        <f t="shared" si="8"/>
        <v>Yes</v>
      </c>
      <c r="AW178" s="302"/>
      <c r="AX178" s="302" t="s">
        <v>585</v>
      </c>
      <c r="AY178" s="302" t="s">
        <v>585</v>
      </c>
      <c r="AZ178" s="312" t="str">
        <f t="array" ref="AZ178">if(isblank(E178),"", xlookup(E178,Import_FL5_LH_PVT_BM!D:D,Import_FL5_LH_PVT_BM!AK:AK,$F$4,0,1))</f>
        <v>MP</v>
      </c>
      <c r="BA178" s="292" t="b">
        <f t="shared" si="9"/>
        <v>0</v>
      </c>
      <c r="BB178" s="313" t="str">
        <f t="array" ref="BB178">if(isblank(E178),"",xlookup(F178,z_Others!$B$21:$B$42,z_Others!$G$21:$G$42,"No",0,1))</f>
        <v>IN Master Carton Label</v>
      </c>
      <c r="BC178" s="313" t="str">
        <f t="array" ref="BC178">if(isblank(E178),"",xlookup(F178,z_Others!$B$21:$B$42,z_Others!$H$21:$H$42,"No",0,1))</f>
        <v>Standard Pallet Label (BTO)
Standard Pallet Label (BTS)</v>
      </c>
      <c r="BD178" s="314" t="str">
        <f t="array" ref="BD178">if(isblank(E178),"",xlookup(E178,'Import_VN_Label approve'!E:E,'Import_VN_Label approve'!L:L,"N/A",0,1))</f>
        <v>N/A</v>
      </c>
      <c r="BE178" s="314" t="str">
        <f t="array" ref="BE178">if(isblank(E178),"",xlookup(E178,'Import_VN_Label approve'!E:E,'Import_VN_Label approve'!N:N,"N/A",0,1))</f>
        <v>N/A</v>
      </c>
      <c r="BF178" s="315"/>
      <c r="BG178" s="315"/>
      <c r="BH178" s="317"/>
      <c r="BI178" s="362"/>
      <c r="BJ178" s="319" t="str">
        <f t="array" ref="BJ178">if(isblank(E178),"", xlookup(D178,z_Others!$B$5:$B$17,z_Others!$C$5:$C$17,"",0,1))</f>
        <v/>
      </c>
      <c r="BK178" s="320"/>
      <c r="BL178" s="320" t="str">
        <f t="array" ref="BL178">if(isblank(E178),"",xlookup(E178,'FL5_MP POR_LH_報關備案_G950 &amp; GA'!F:F,'FL5_MP POR_LH_報關備案_G950 &amp; GA'!E:E,"No Need",0,1))</f>
        <v>No Need</v>
      </c>
      <c r="BM178" s="321" t="str">
        <f t="array" ref="BM178">if(isblank(E178),"",xlookup($BM$9&amp;E178,'Import_FL5 MPS (06.06.25) - Sor'!E174:E334&amp;'Import_FL5 MPS (06.06.25) - Sor'!F174:F334,'Import_FL5 MPS (06.06.25) - Sor'!ES174:ES334,"No demand",0,1))</f>
        <v>No demand</v>
      </c>
      <c r="BN178" s="321" t="str">
        <f t="array" ref="BN178">if(isblank(E178),"",xlookup($BN$9&amp;E178,'Import_FL5 MPS (06.06.25) - Sor'!E174:E334&amp;'Import_FL5 MPS (06.06.25) - Sor'!F174:F334,'Import_FL5 MPS (06.06.25) - Sor'!ES174:ES334,"No demand",0,1))</f>
        <v>No demand</v>
      </c>
      <c r="BO178" s="321" t="str">
        <f t="array" ref="BO178">if(isblank(E178),"",xlookup($BO$9&amp;E178,'Import_FL5 MPS (06.06.25) - Sor'!E174:E334&amp;'Import_FL5 MPS (06.06.25) - Sor'!F174:F334,'Import_FL5 MPS (06.06.25) - Sor'!ES174:ES334,"No demand",0,1))</f>
        <v>No demand</v>
      </c>
      <c r="BP178" s="322" t="str">
        <f t="array" ref="BP178">if(isblank(E178),"", xlookup(E178,'Import_LH_Label approve'!E:E,'Import_LH_Label approve'!L:L,"",0,1))</f>
        <v/>
      </c>
      <c r="BQ178" s="322" t="str">
        <f t="array" ref="BQ178">if(isblank(E178),"",xlookup(E178,'Import_VN_Label approve'!E:E,'Import_VN_Label approve'!M:M,"N/A",0,1))</f>
        <v>N/A</v>
      </c>
      <c r="BR178" s="342" t="s">
        <v>586</v>
      </c>
      <c r="BS178" s="323"/>
      <c r="BT178" s="324"/>
      <c r="BU178" s="343"/>
    </row>
    <row r="179" hidden="1">
      <c r="A179" s="7"/>
      <c r="B179" s="292">
        <v>168.0</v>
      </c>
      <c r="C179" s="231" t="s">
        <v>284</v>
      </c>
      <c r="D179" s="231" t="s">
        <v>291</v>
      </c>
      <c r="E179" s="334" t="s">
        <v>1278</v>
      </c>
      <c r="F179" s="313" t="s">
        <v>583</v>
      </c>
      <c r="G179" s="231" t="s">
        <v>493</v>
      </c>
      <c r="H179" s="292" t="str">
        <f t="array" ref="H179">xlookup(F179,z_Others!$B$21:$B$45,z_Others!$E$21:$E$45,"",0,1)</f>
        <v>Sub6</v>
      </c>
      <c r="I179" s="310" t="s">
        <v>431</v>
      </c>
      <c r="J179" s="231" t="str">
        <f t="array" ref="J179">if(isblank(E179),"",xlookup(I179,z_Others!$M$17:$M$20,z_Others!$O$17:$O$20,"",0,1))</f>
        <v>Lemongrass</v>
      </c>
      <c r="K179" s="292" t="str">
        <f t="array" ref="K179">xlookup(I179,z_Others!$M$17:$M$20,z_Others!$N$17:$N$20,"",0,1)</f>
        <v>YEL</v>
      </c>
      <c r="L179" s="292" t="str">
        <f t="array" ref="L179">xlookup(F179,z_Others!$B$21:$B$45,z_Others!$D$21:$D$45,"",0,1)</f>
        <v>GK2MP</v>
      </c>
      <c r="M179" s="296" t="str">
        <f t="array" ref="M179">xlookup(F179,z_Others!$B$21:$B$45,z_Others!$C$21:$C$45,"",0,1)</f>
        <v>ROW</v>
      </c>
      <c r="N179" s="297">
        <f t="array" ref="N179">if(isblank(E179),"",xlookup($N$9&amp;M179,z_Others!$X$5:$X$17&amp;z_Others!$W$5:$W$17,z_Others!$Z$5:$Z$17,"",0,1))</f>
        <v>35440766</v>
      </c>
      <c r="O179" s="331" t="s">
        <v>494</v>
      </c>
      <c r="P179" s="303" t="s">
        <v>495</v>
      </c>
      <c r="Q179" s="300" t="s">
        <v>413</v>
      </c>
      <c r="R179" s="301" t="s">
        <v>414</v>
      </c>
      <c r="S179" s="302">
        <f t="array" ref="S179">if(isblank(E179),"",xlookup($S$9&amp;M179,z_Others!$X$5:$X$17&amp;z_Others!$W$5:$W$17,z_Others!$Z$5:$Z$17,"",0,1))</f>
        <v>35795514</v>
      </c>
      <c r="T179" s="303" t="str">
        <f t="array" ref="T179">if(isblank(E179),"",xlookup($S$9&amp;M179,z_Others!$X$5:$X$17&amp;z_Others!$W$5:$W$17,z_Others!$AH$5:$AH$17,"",0,1))</f>
        <v>35 795514 040000x</v>
      </c>
      <c r="U179" s="303" t="str">
        <f t="array" ref="U179">if(isblank(E179),"",xlookup($S$9&amp;M179,z_Others!$X$5:$X$17&amp;z_Others!$W$5:$W$17,z_Others!$AI$5:$AI$17,"",0,1))</f>
        <v>35 795514 999999x</v>
      </c>
      <c r="V179" s="303" t="str">
        <f t="shared" si="2"/>
        <v>64:9D:38:32:91:82
B0:D5:FB:C6:60:70</v>
      </c>
      <c r="W179" s="303" t="str">
        <f t="shared" si="3"/>
        <v>64:9D:38:37:25:61
B0:D5:FB:CE:01:8F</v>
      </c>
      <c r="X179" s="304" t="str">
        <f t="shared" si="4"/>
        <v>MP1.0</v>
      </c>
      <c r="Y179" s="292"/>
      <c r="Z179" s="304" t="str">
        <f t="shared" si="32"/>
        <v>Android 16</v>
      </c>
      <c r="AA179" s="304" t="str">
        <f t="shared" si="46"/>
        <v>TBD</v>
      </c>
      <c r="AB179" s="305" t="s">
        <v>1279</v>
      </c>
      <c r="AC179" s="361" t="s">
        <v>1175</v>
      </c>
      <c r="AD179" s="306"/>
      <c r="AE179" s="335"/>
      <c r="AF179" s="308"/>
      <c r="AG179" s="308"/>
      <c r="AH179" s="297" t="str">
        <f t="array" ref="AH179">if(isblank(E179),"",xlookup(F179,z_Others!$B$21:$B$45,z_Others!$F$21:$F$45,"TBD",0,1))</f>
        <v>00</v>
      </c>
      <c r="AI179" s="310" t="str">
        <f t="array" ref="AI179">if(isblank(E179),"", xlookup(E179,'Import_FL5_LH_PVTMP_Configs (Do'!E:E,'Import_FL5_LH_PVTMP_Configs (Do'!O:O,"TBD",0,1))</f>
        <v>TBD</v>
      </c>
      <c r="AJ179" s="311"/>
      <c r="AK179" s="310" t="str">
        <f t="array" ref="AK179">if(isblank(E179),"", xlookup(E179,'Import_FL5_LH_PVTMP_Configs (Do'!E:E,'Import_FL5_LH_PVTMP_Configs (Do'!Q:Q,"TBD",0,1))</f>
        <v>TBD</v>
      </c>
      <c r="AL179" s="310" t="str">
        <f t="array" ref="AL179">if(isblank(E179),"", xlookup(E179,'Import_FL5_LH_PVTMP_Configs (Do'!E:E,'Import_FL5_LH_PVTMP_Configs (Do'!M:M,"TBD",0,1))</f>
        <v>TBD</v>
      </c>
      <c r="AM179" s="310" t="str">
        <f t="array" ref="AM179">if(isblank(E179),"", xlookup(E179,'Import_FL5_LH_PVTMP_Configs (Do'!E:E,'Import_FL5_LH_PVTMP_Configs (Do'!N:N,"TBD",0,1))</f>
        <v>TBD</v>
      </c>
      <c r="AN179" s="310" t="str">
        <f t="array" ref="AN179">if(isblank(E179),"", xlookup(E179,'Import_FL5_LH_PVTMP_Configs (Do'!E:E,'Import_FL5_LH_PVTMP_Configs (Do'!K:K,"TBD",0,1))</f>
        <v>TBD</v>
      </c>
      <c r="AO179" s="292" t="str">
        <f t="array" ref="AO179">if(isblank(E179),"",XLOOKUP(E179,'FL5_G954 Pkg ASSY (Pkg BOM)'!L:L,'FL5_G954 Pkg ASSY (Pkg BOM)'!G:G,"N/A",0,1))</f>
        <v>N/A</v>
      </c>
      <c r="AP179" s="292" t="str">
        <f t="array" ref="AP179">if(isblank(E179),"",xlookup(E179,'FL5_G962 Country kit (Accesorie'!L:L,'FL5_G962 Country kit (Accesorie'!G:G,"N/A",0,1))</f>
        <v>N/A</v>
      </c>
      <c r="AQ179" s="304" t="str">
        <f t="array" ref="AQ179">if(isblank(E179),"", xlookup(E179,'Import_LH_Label approve'!E:E,'Import_LH_Label approve'!M:M,"",0,1))</f>
        <v/>
      </c>
      <c r="AR179" s="304" t="str">
        <f t="array" ref="AR179">if(isblank(E179),"",xlookup(E179,'Import_LH_Label approve'!E:E,'Import_LH_Label approve'!N:N,"",0,1))</f>
        <v/>
      </c>
      <c r="AS179" s="292" t="s">
        <v>419</v>
      </c>
      <c r="AT179" s="302" t="str">
        <f t="shared" si="6"/>
        <v>Yes</v>
      </c>
      <c r="AU179" s="302" t="str">
        <f t="shared" si="7"/>
        <v>No</v>
      </c>
      <c r="AV179" s="302" t="str">
        <f t="shared" si="8"/>
        <v>Yes</v>
      </c>
      <c r="AW179" s="302"/>
      <c r="AX179" s="302" t="s">
        <v>585</v>
      </c>
      <c r="AY179" s="302"/>
      <c r="AZ179" s="312" t="str">
        <f t="array" ref="AZ179">if(isblank(E179),"", xlookup(E179,Import_FL5_LH_PVT_BM!D:D,Import_FL5_LH_PVT_BM!AK:AK,$F$4,0,1))</f>
        <v>MP</v>
      </c>
      <c r="BA179" s="292" t="b">
        <f t="shared" si="9"/>
        <v>0</v>
      </c>
      <c r="BB179" s="313" t="str">
        <f t="array" ref="BB179">if(isblank(E179),"",xlookup(F179,z_Others!$B$21:$B$42,z_Others!$G$21:$G$42,"No",0,1))</f>
        <v>IN Master Carton Label</v>
      </c>
      <c r="BC179" s="313" t="str">
        <f t="array" ref="BC179">if(isblank(E179),"",xlookup(F179,z_Others!$B$21:$B$42,z_Others!$H$21:$H$42,"No",0,1))</f>
        <v>Standard Pallet Label (BTO)
Standard Pallet Label (BTS)</v>
      </c>
      <c r="BD179" s="314" t="str">
        <f t="array" ref="BD179">if(isblank(E179),"",xlookup(E179,'Import_VN_Label approve'!E:E,'Import_VN_Label approve'!L:L,"N/A",0,1))</f>
        <v>N/A</v>
      </c>
      <c r="BE179" s="314" t="str">
        <f t="array" ref="BE179">if(isblank(E179),"",xlookup(E179,'Import_VN_Label approve'!E:E,'Import_VN_Label approve'!N:N,"N/A",0,1))</f>
        <v>N/A</v>
      </c>
      <c r="BF179" s="315"/>
      <c r="BG179" s="315"/>
      <c r="BH179" s="317"/>
      <c r="BI179" s="362"/>
      <c r="BJ179" s="319" t="str">
        <f t="array" ref="BJ179">if(isblank(E179),"", xlookup(D179,z_Others!$B$5:$B$17,z_Others!$C$5:$C$17,"",0,1))</f>
        <v/>
      </c>
      <c r="BK179" s="320"/>
      <c r="BL179" s="320" t="str">
        <f t="array" ref="BL179">if(isblank(E179),"",xlookup(E179,'FL5_MP POR_LH_報關備案_G950 &amp; GA'!F:F,'FL5_MP POR_LH_報關備案_G950 &amp; GA'!E:E,"No Need",0,1))</f>
        <v>No Need</v>
      </c>
      <c r="BM179" s="321" t="str">
        <f t="array" ref="BM179">if(isblank(E179),"",xlookup($BM$9&amp;E179,'Import_FL5 MPS (06.06.25) - Sor'!E175:E334&amp;'Import_FL5 MPS (06.06.25) - Sor'!F175:F334,'Import_FL5 MPS (06.06.25) - Sor'!ES175:ES334,"No demand",0,1))</f>
        <v>No demand</v>
      </c>
      <c r="BN179" s="321" t="str">
        <f t="array" ref="BN179">if(isblank(E179),"",xlookup($BN$9&amp;E179,'Import_FL5 MPS (06.06.25) - Sor'!E175:E334&amp;'Import_FL5 MPS (06.06.25) - Sor'!F175:F334,'Import_FL5 MPS (06.06.25) - Sor'!ES175:ES334,"No demand",0,1))</f>
        <v>No demand</v>
      </c>
      <c r="BO179" s="321" t="str">
        <f t="array" ref="BO179">if(isblank(E179),"",xlookup($BO$9&amp;E179,'Import_FL5 MPS (06.06.25) - Sor'!E175:E334&amp;'Import_FL5 MPS (06.06.25) - Sor'!F175:F334,'Import_FL5 MPS (06.06.25) - Sor'!ES175:ES334,"No demand",0,1))</f>
        <v>No demand</v>
      </c>
      <c r="BP179" s="322" t="str">
        <f t="array" ref="BP179">if(isblank(E179),"", xlookup(E179,'Import_LH_Label approve'!E:E,'Import_LH_Label approve'!L:L,"",0,1))</f>
        <v/>
      </c>
      <c r="BQ179" s="322" t="str">
        <f t="array" ref="BQ179">if(isblank(E179),"",xlookup(E179,'Import_VN_Label approve'!E:E,'Import_VN_Label approve'!M:M,"N/A",0,1))</f>
        <v>N/A</v>
      </c>
      <c r="BR179" s="342" t="s">
        <v>586</v>
      </c>
      <c r="BS179" s="323"/>
      <c r="BT179" s="324"/>
      <c r="BU179" s="343"/>
    </row>
    <row r="180" hidden="1">
      <c r="A180" s="7"/>
      <c r="B180" s="292">
        <v>169.0</v>
      </c>
      <c r="C180" s="231" t="s">
        <v>284</v>
      </c>
      <c r="D180" s="231" t="s">
        <v>291</v>
      </c>
      <c r="E180" s="334" t="s">
        <v>1280</v>
      </c>
      <c r="F180" s="313" t="s">
        <v>583</v>
      </c>
      <c r="G180" s="231" t="s">
        <v>493</v>
      </c>
      <c r="H180" s="292" t="str">
        <f t="array" ref="H180">xlookup(F180,z_Others!$B$21:$B$45,z_Others!$E$21:$E$45,"",0,1)</f>
        <v>Sub6</v>
      </c>
      <c r="I180" s="310" t="s">
        <v>437</v>
      </c>
      <c r="J180" s="231" t="str">
        <f t="array" ref="J180">if(isblank(E180),"",xlookup(I180,z_Others!$M$17:$M$20,z_Others!$O$17:$O$20,"",0,1))</f>
        <v>Indigo</v>
      </c>
      <c r="K180" s="292" t="str">
        <f t="array" ref="K180">xlookup(I180,z_Others!$M$17:$M$20,z_Others!$N$17:$N$20,"",0,1)</f>
        <v>BUE</v>
      </c>
      <c r="L180" s="292" t="str">
        <f t="array" ref="L180">xlookup(F180,z_Others!$B$21:$B$45,z_Others!$D$21:$D$45,"",0,1)</f>
        <v>GK2MP</v>
      </c>
      <c r="M180" s="296" t="str">
        <f t="array" ref="M180">xlookup(F180,z_Others!$B$21:$B$45,z_Others!$C$21:$C$45,"",0,1)</f>
        <v>ROW</v>
      </c>
      <c r="N180" s="297">
        <f t="array" ref="N180">if(isblank(E180),"",xlookup($N$9&amp;M180,z_Others!$X$5:$X$17&amp;z_Others!$W$5:$W$17,z_Others!$Z$5:$Z$17,"",0,1))</f>
        <v>35440766</v>
      </c>
      <c r="O180" s="331" t="s">
        <v>494</v>
      </c>
      <c r="P180" s="303" t="s">
        <v>495</v>
      </c>
      <c r="Q180" s="300" t="s">
        <v>413</v>
      </c>
      <c r="R180" s="301" t="s">
        <v>414</v>
      </c>
      <c r="S180" s="302">
        <f t="array" ref="S180">if(isblank(E180),"",xlookup($S$9&amp;M180,z_Others!$X$5:$X$17&amp;z_Others!$W$5:$W$17,z_Others!$Z$5:$Z$17,"",0,1))</f>
        <v>35795514</v>
      </c>
      <c r="T180" s="303" t="str">
        <f t="array" ref="T180">if(isblank(E180),"",xlookup($S$9&amp;M180,z_Others!$X$5:$X$17&amp;z_Others!$W$5:$W$17,z_Others!$AH$5:$AH$17,"",0,1))</f>
        <v>35 795514 040000x</v>
      </c>
      <c r="U180" s="303" t="str">
        <f t="array" ref="U180">if(isblank(E180),"",xlookup($S$9&amp;M180,z_Others!$X$5:$X$17&amp;z_Others!$W$5:$W$17,z_Others!$AI$5:$AI$17,"",0,1))</f>
        <v>35 795514 999999x</v>
      </c>
      <c r="V180" s="303" t="str">
        <f t="shared" si="2"/>
        <v>64:9D:38:32:91:82
B0:D5:FB:C6:60:70</v>
      </c>
      <c r="W180" s="303" t="str">
        <f t="shared" si="3"/>
        <v>64:9D:38:37:25:61
B0:D5:FB:CE:01:8F</v>
      </c>
      <c r="X180" s="304" t="str">
        <f t="shared" si="4"/>
        <v>MP1.0</v>
      </c>
      <c r="Y180" s="292"/>
      <c r="Z180" s="304" t="str">
        <f t="shared" si="32"/>
        <v>Android 16</v>
      </c>
      <c r="AA180" s="304" t="str">
        <f t="shared" si="46"/>
        <v>TBD</v>
      </c>
      <c r="AB180" s="305" t="s">
        <v>1281</v>
      </c>
      <c r="AC180" s="361" t="s">
        <v>1175</v>
      </c>
      <c r="AD180" s="306"/>
      <c r="AE180" s="335"/>
      <c r="AF180" s="308"/>
      <c r="AG180" s="308"/>
      <c r="AH180" s="297" t="str">
        <f t="array" ref="AH180">if(isblank(E180),"",xlookup(F180,z_Others!$B$21:$B$45,z_Others!$F$21:$F$45,"TBD",0,1))</f>
        <v>00</v>
      </c>
      <c r="AI180" s="310" t="str">
        <f t="array" ref="AI180">if(isblank(E180),"", xlookup(E180,'Import_FL5_LH_PVTMP_Configs (Do'!E:E,'Import_FL5_LH_PVTMP_Configs (Do'!O:O,"TBD",0,1))</f>
        <v>TBD</v>
      </c>
      <c r="AJ180" s="311"/>
      <c r="AK180" s="310" t="str">
        <f t="array" ref="AK180">if(isblank(E180),"", xlookup(E180,'Import_FL5_LH_PVTMP_Configs (Do'!E:E,'Import_FL5_LH_PVTMP_Configs (Do'!Q:Q,"TBD",0,1))</f>
        <v>TBD</v>
      </c>
      <c r="AL180" s="310" t="str">
        <f t="array" ref="AL180">if(isblank(E180),"", xlookup(E180,'Import_FL5_LH_PVTMP_Configs (Do'!E:E,'Import_FL5_LH_PVTMP_Configs (Do'!M:M,"TBD",0,1))</f>
        <v>TBD</v>
      </c>
      <c r="AM180" s="310" t="str">
        <f t="array" ref="AM180">if(isblank(E180),"", xlookup(E180,'Import_FL5_LH_PVTMP_Configs (Do'!E:E,'Import_FL5_LH_PVTMP_Configs (Do'!N:N,"TBD",0,1))</f>
        <v>TBD</v>
      </c>
      <c r="AN180" s="310" t="str">
        <f t="array" ref="AN180">if(isblank(E180),"", xlookup(E180,'Import_FL5_LH_PVTMP_Configs (Do'!E:E,'Import_FL5_LH_PVTMP_Configs (Do'!K:K,"TBD",0,1))</f>
        <v>TBD</v>
      </c>
      <c r="AO180" s="292" t="str">
        <f t="array" ref="AO180">if(isblank(E180),"",XLOOKUP(E180,'FL5_G954 Pkg ASSY (Pkg BOM)'!L:L,'FL5_G954 Pkg ASSY (Pkg BOM)'!G:G,"N/A",0,1))</f>
        <v>N/A</v>
      </c>
      <c r="AP180" s="292" t="str">
        <f t="array" ref="AP180">if(isblank(E180),"",xlookup(E180,'FL5_G962 Country kit (Accesorie'!L:L,'FL5_G962 Country kit (Accesorie'!G:G,"N/A",0,1))</f>
        <v>N/A</v>
      </c>
      <c r="AQ180" s="304" t="str">
        <f t="array" ref="AQ180">if(isblank(E180),"", xlookup(E180,'Import_LH_Label approve'!E:E,'Import_LH_Label approve'!M:M,"",0,1))</f>
        <v/>
      </c>
      <c r="AR180" s="304" t="str">
        <f t="array" ref="AR180">if(isblank(E180),"",xlookup(E180,'Import_LH_Label approve'!E:E,'Import_LH_Label approve'!N:N,"",0,1))</f>
        <v/>
      </c>
      <c r="AS180" s="292" t="s">
        <v>419</v>
      </c>
      <c r="AT180" s="302" t="str">
        <f t="shared" si="6"/>
        <v>Yes</v>
      </c>
      <c r="AU180" s="302" t="str">
        <f t="shared" si="7"/>
        <v>No</v>
      </c>
      <c r="AV180" s="302" t="str">
        <f t="shared" si="8"/>
        <v>Yes</v>
      </c>
      <c r="AW180" s="302"/>
      <c r="AX180" s="302" t="s">
        <v>585</v>
      </c>
      <c r="AY180" s="302" t="s">
        <v>585</v>
      </c>
      <c r="AZ180" s="312" t="str">
        <f t="array" ref="AZ180">if(isblank(E180),"", xlookup(E180,Import_FL5_LH_PVT_BM!D:D,Import_FL5_LH_PVT_BM!AK:AK,$F$4,0,1))</f>
        <v>MP</v>
      </c>
      <c r="BA180" s="292" t="b">
        <f t="shared" si="9"/>
        <v>0</v>
      </c>
      <c r="BB180" s="313" t="str">
        <f t="array" ref="BB180">if(isblank(E180),"",xlookup(F180,z_Others!$B$21:$B$42,z_Others!$G$21:$G$42,"No",0,1))</f>
        <v>IN Master Carton Label</v>
      </c>
      <c r="BC180" s="313" t="str">
        <f t="array" ref="BC180">if(isblank(E180),"",xlookup(F180,z_Others!$B$21:$B$42,z_Others!$H$21:$H$42,"No",0,1))</f>
        <v>Standard Pallet Label (BTO)
Standard Pallet Label (BTS)</v>
      </c>
      <c r="BD180" s="314" t="str">
        <f t="array" ref="BD180">if(isblank(E180),"",xlookup(E180,'Import_VN_Label approve'!E:E,'Import_VN_Label approve'!L:L,"N/A",0,1))</f>
        <v>N/A</v>
      </c>
      <c r="BE180" s="314" t="str">
        <f t="array" ref="BE180">if(isblank(E180),"",xlookup(E180,'Import_VN_Label approve'!E:E,'Import_VN_Label approve'!N:N,"N/A",0,1))</f>
        <v>N/A</v>
      </c>
      <c r="BF180" s="315"/>
      <c r="BG180" s="315"/>
      <c r="BH180" s="317"/>
      <c r="BI180" s="362"/>
      <c r="BJ180" s="319" t="str">
        <f t="array" ref="BJ180">if(isblank(E180),"", xlookup(D180,z_Others!$B$5:$B$17,z_Others!$C$5:$C$17,"",0,1))</f>
        <v/>
      </c>
      <c r="BK180" s="320"/>
      <c r="BL180" s="320" t="str">
        <f t="array" ref="BL180">if(isblank(E180),"",xlookup(E180,'FL5_MP POR_LH_報關備案_G950 &amp; GA'!F:F,'FL5_MP POR_LH_報關備案_G950 &amp; GA'!E:E,"No Need",0,1))</f>
        <v>No Need</v>
      </c>
      <c r="BM180" s="321" t="str">
        <f t="array" ref="BM180">if(isblank(E180),"",xlookup($BM$9&amp;E180,'Import_FL5 MPS (06.06.25) - Sor'!E176:E334&amp;'Import_FL5 MPS (06.06.25) - Sor'!F176:F334,'Import_FL5 MPS (06.06.25) - Sor'!ES176:ES334,"No demand",0,1))</f>
        <v>No demand</v>
      </c>
      <c r="BN180" s="321" t="str">
        <f t="array" ref="BN180">if(isblank(E180),"",xlookup($BN$9&amp;E180,'Import_FL5 MPS (06.06.25) - Sor'!E176:E334&amp;'Import_FL5 MPS (06.06.25) - Sor'!F176:F334,'Import_FL5 MPS (06.06.25) - Sor'!ES176:ES334,"No demand",0,1))</f>
        <v>No demand</v>
      </c>
      <c r="BO180" s="321" t="str">
        <f t="array" ref="BO180">if(isblank(E180),"",xlookup($BO$9&amp;E180,'Import_FL5 MPS (06.06.25) - Sor'!E176:E334&amp;'Import_FL5 MPS (06.06.25) - Sor'!F176:F334,'Import_FL5 MPS (06.06.25) - Sor'!ES176:ES334,"No demand",0,1))</f>
        <v>No demand</v>
      </c>
      <c r="BP180" s="322" t="str">
        <f t="array" ref="BP180">if(isblank(E180),"", xlookup(E180,'Import_LH_Label approve'!E:E,'Import_LH_Label approve'!L:L,"",0,1))</f>
        <v/>
      </c>
      <c r="BQ180" s="322" t="str">
        <f t="array" ref="BQ180">if(isblank(E180),"",xlookup(E180,'Import_VN_Label approve'!E:E,'Import_VN_Label approve'!M:M,"N/A",0,1))</f>
        <v>N/A</v>
      </c>
      <c r="BR180" s="342" t="s">
        <v>586</v>
      </c>
      <c r="BS180" s="323"/>
      <c r="BT180" s="324"/>
      <c r="BU180" s="343"/>
    </row>
    <row r="181" hidden="1">
      <c r="A181" s="7"/>
      <c r="B181" s="292">
        <v>170.0</v>
      </c>
      <c r="C181" s="231" t="s">
        <v>284</v>
      </c>
      <c r="D181" s="231" t="s">
        <v>408</v>
      </c>
      <c r="E181" s="350" t="s">
        <v>1282</v>
      </c>
      <c r="F181" s="313" t="s">
        <v>1173</v>
      </c>
      <c r="G181" s="355" t="s">
        <v>411</v>
      </c>
      <c r="H181" s="292" t="str">
        <f t="array" ref="H181">xlookup(F181,z_Others!$B$21:$B$45,z_Others!$E$21:$E$45,"",0,1)</f>
        <v>mmWave</v>
      </c>
      <c r="I181" s="310" t="s">
        <v>412</v>
      </c>
      <c r="J181" s="231" t="str">
        <f t="array" ref="J181">if(isblank(E181),"",xlookup(I181,z_Others!$M$17:$M$20,z_Others!$O$17:$O$20,"",0,1))</f>
        <v>Obsidian</v>
      </c>
      <c r="K181" s="292" t="str">
        <f t="array" ref="K181">xlookup(I181,z_Others!$M$17:$M$20,z_Others!$N$17:$N$20,"",0,1)</f>
        <v>BLK</v>
      </c>
      <c r="L181" s="292" t="str">
        <f t="array" ref="L181">xlookup(F181,z_Others!$B$21:$B$45,z_Others!$D$21:$D$45,"",0,1)</f>
        <v>GLBW0</v>
      </c>
      <c r="M181" s="296" t="str">
        <f t="array" ref="M181">xlookup(F181,z_Others!$B$21:$B$45,z_Others!$C$21:$C$45,"",0,1)</f>
        <v>VZW</v>
      </c>
      <c r="N181" s="297">
        <f t="array" ref="N181">if(isblank(E181),"",xlookup($N$9&amp;M181,z_Others!$X$5:$X$17&amp;z_Others!$W$5:$W$17,z_Others!$Z$5:$Z$17,"",0,1))</f>
        <v>35560678</v>
      </c>
      <c r="O181" s="298" t="str">
        <f t="array" ref="O181">if(isblank(E181),"",xlookup($N$9&amp;M181,z_Others!$X$5:$X$17&amp;z_Others!$W$5:$W$17,z_Others!$AH$5:$AH$17,"",0,1))</f>
        <v>35 560678 020000x</v>
      </c>
      <c r="P181" s="299" t="str">
        <f t="array" ref="P181">if(isblank(E181),"",xlookup($N$9&amp;M181,z_Others!$X$5:$X$17&amp;z_Others!$W$5:$W$17,z_Others!$AI$5:$AI$17,"",0,1))</f>
        <v>35 560678 999999x</v>
      </c>
      <c r="Q181" s="300" t="s">
        <v>413</v>
      </c>
      <c r="R181" s="301" t="s">
        <v>414</v>
      </c>
      <c r="S181" s="302">
        <f t="array" ref="S181">if(isblank(E181),"",xlookup($S$9&amp;M181,z_Others!$X$5:$X$17&amp;z_Others!$W$5:$W$17,z_Others!$Z$5:$Z$17,"",0,1))</f>
        <v>35931451</v>
      </c>
      <c r="T181" s="303" t="str">
        <f t="array" ref="T181">if(isblank(E181),"",xlookup($S$9&amp;M181,z_Others!$X$5:$X$17&amp;z_Others!$W$5:$W$17,z_Others!$AH$5:$AH$17,"",0,1))</f>
        <v>35 931451 020000x</v>
      </c>
      <c r="U181" s="303" t="str">
        <f t="array" ref="U181">if(isblank(E181),"",xlookup($S$9&amp;M181,z_Others!$X$5:$X$17&amp;z_Others!$W$5:$W$17,z_Others!$AI$5:$AI$17,"",0,1))</f>
        <v>35 931451 999999x</v>
      </c>
      <c r="V181" s="303" t="str">
        <f t="shared" si="2"/>
        <v>64:9D:38:32:91:82
B0:D5:FB:C6:60:70</v>
      </c>
      <c r="W181" s="303" t="str">
        <f t="shared" si="3"/>
        <v>64:9D:38:37:25:61
B0:D5:FB:CE:01:8F</v>
      </c>
      <c r="X181" s="304" t="str">
        <f t="shared" si="4"/>
        <v>MP1.0</v>
      </c>
      <c r="Y181" s="292"/>
      <c r="Z181" s="304" t="str">
        <f t="shared" si="32"/>
        <v>Android 16</v>
      </c>
      <c r="AA181" s="304" t="str">
        <f t="shared" si="46"/>
        <v>TBD</v>
      </c>
      <c r="AB181" s="305" t="s">
        <v>1283</v>
      </c>
      <c r="AC181" s="361" t="s">
        <v>1175</v>
      </c>
      <c r="AD181" s="306"/>
      <c r="AE181" s="335"/>
      <c r="AF181" s="308"/>
      <c r="AG181" s="308"/>
      <c r="AH181" s="297" t="str">
        <f t="array" ref="AH181">if(isblank(E181),"",xlookup(F181,z_Others!$B$21:$B$45,z_Others!$F$21:$F$45,"TBD",0,1))</f>
        <v>US</v>
      </c>
      <c r="AI181" s="310" t="str">
        <f t="array" ref="AI181">if(isblank(E181),"", xlookup(E181,'Import_FL5_LH_PVTMP_Configs (Do'!E:E,'Import_FL5_LH_PVTMP_Configs (Do'!O:O,"TBD",0,1))</f>
        <v>TBD</v>
      </c>
      <c r="AJ181" s="311"/>
      <c r="AK181" s="310" t="str">
        <f t="array" ref="AK181">if(isblank(E181),"", xlookup(E181,'Import_FL5_LH_PVTMP_Configs (Do'!E:E,'Import_FL5_LH_PVTMP_Configs (Do'!Q:Q,"TBD",0,1))</f>
        <v>TBD</v>
      </c>
      <c r="AL181" s="310" t="str">
        <f t="array" ref="AL181">if(isblank(E181),"", xlookup(E181,'Import_FL5_LH_PVTMP_Configs (Do'!E:E,'Import_FL5_LH_PVTMP_Configs (Do'!M:M,"TBD",0,1))</f>
        <v>TBD</v>
      </c>
      <c r="AM181" s="310" t="str">
        <f t="array" ref="AM181">if(isblank(E181),"", xlookup(E181,'Import_FL5_LH_PVTMP_Configs (Do'!E:E,'Import_FL5_LH_PVTMP_Configs (Do'!N:N,"TBD",0,1))</f>
        <v>TBD</v>
      </c>
      <c r="AN181" s="310" t="str">
        <f t="array" ref="AN181">if(isblank(E181),"", xlookup(E181,'Import_FL5_LH_PVTMP_Configs (Do'!E:E,'Import_FL5_LH_PVTMP_Configs (Do'!K:K,"TBD",0,1))</f>
        <v>TBD</v>
      </c>
      <c r="AO181" s="292" t="str">
        <f t="array" ref="AO181">if(isblank(E181),"",XLOOKUP(E181,'FL5_G954 Pkg ASSY (Pkg BOM)'!L:L,'FL5_G954 Pkg ASSY (Pkg BOM)'!G:G,"N/A",0,1))</f>
        <v>N/A</v>
      </c>
      <c r="AP181" s="292" t="str">
        <f t="array" ref="AP181">if(isblank(E181),"",xlookup(E181,'FL5_G962 Country kit (Accesorie'!L:L,'FL5_G962 Country kit (Accesorie'!G:G,"N/A",0,1))</f>
        <v>N/A</v>
      </c>
      <c r="AQ181" s="304" t="str">
        <f t="array" ref="AQ181">if(isblank(E181),"", xlookup(E181,'Import_LH_Label approve'!E:E,'Import_LH_Label approve'!M:M,"",0,1))</f>
        <v/>
      </c>
      <c r="AR181" s="304" t="str">
        <f t="array" ref="AR181">if(isblank(E181),"",xlookup(E181,'Import_LH_Label approve'!E:E,'Import_LH_Label approve'!N:N,"",0,1))</f>
        <v/>
      </c>
      <c r="AS181" s="292" t="s">
        <v>596</v>
      </c>
      <c r="AT181" s="302" t="str">
        <f t="shared" si="6"/>
        <v>Yes</v>
      </c>
      <c r="AU181" s="302" t="str">
        <f t="shared" si="7"/>
        <v>No</v>
      </c>
      <c r="AV181" s="302" t="str">
        <f t="shared" si="8"/>
        <v>No</v>
      </c>
      <c r="AW181" s="297"/>
      <c r="AX181" s="302" t="s">
        <v>1284</v>
      </c>
      <c r="AY181" s="302" t="s">
        <v>1285</v>
      </c>
      <c r="AZ181" s="312" t="str">
        <f t="array" ref="AZ181">if(isblank(E181),"", xlookup(E181,Import_FL5_LH_PVT_BM!D:D,Import_FL5_LH_PVT_BM!AK:AK,$F$4,0,1))</f>
        <v>MP</v>
      </c>
      <c r="BA181" s="292" t="str">
        <f t="shared" si="9"/>
        <v>Retail_10ct</v>
      </c>
      <c r="BB181" s="313" t="str">
        <f t="array" ref="BB181">if(isblank(E181),"",xlookup(F181,z_Others!$B$21:$B$42,z_Others!$G$21:$G$42,"No",0,1))</f>
        <v>VZN Master Carton Label</v>
      </c>
      <c r="BC181" s="313" t="str">
        <f t="array" ref="BC181">if(isblank(E181),"",xlookup(F181,z_Others!$B$21:$B$42,z_Others!$H$21:$H$42,"No",0,1))</f>
        <v>VZN Pallet Label (BTS)</v>
      </c>
      <c r="BD181" s="314" t="str">
        <f t="array" ref="BD181">if(isblank(E181),"",xlookup(E181,'Import_VN_Label approve'!E:E,'Import_VN_Label approve'!L:L,"N/A",0,1))</f>
        <v/>
      </c>
      <c r="BE181" s="314" t="str">
        <f t="array" ref="BE181">if(isblank(E181),"",xlookup(E181,'Import_VN_Label approve'!E:E,'Import_VN_Label approve'!N:N,"N/A",0,1))</f>
        <v/>
      </c>
      <c r="BF181" s="315"/>
      <c r="BG181" s="316" t="s">
        <v>422</v>
      </c>
      <c r="BH181" s="317" t="s">
        <v>423</v>
      </c>
      <c r="BI181" s="360" t="s">
        <v>1091</v>
      </c>
      <c r="BJ181" s="319" t="str">
        <f t="array" ref="BJ181">if(isblank(E181),"", xlookup(D181,z_Others!$B$5:$B$17,z_Others!$C$5:$C$17,"",0,1))</f>
        <v>智能手機</v>
      </c>
      <c r="BK181" s="320">
        <v>45782.0</v>
      </c>
      <c r="BL181" s="320" t="str">
        <f t="array" ref="BL181">if(isblank(E181),"",xlookup(E181,'FL5_MP POR_LH_報關備案_G950 &amp; GA'!F:F,'FL5_MP POR_LH_報關備案_G950 &amp; GA'!E:E,"No Need",0,1))</f>
        <v>No Need</v>
      </c>
      <c r="BM181" s="321" t="str">
        <f t="array" ref="BM181">if(isblank(E181),"",xlookup($BM$9&amp;E181,'Import_FL5 MPS (06.06.25) - Sor'!E177:E334&amp;'Import_FL5 MPS (06.06.25) - Sor'!F177:F334,'Import_FL5 MPS (06.06.25) - Sor'!ES177:ES334,"No demand",0,1))</f>
        <v>No demand</v>
      </c>
      <c r="BN181" s="321" t="str">
        <f t="array" ref="BN181">if(isblank(E181),"",xlookup($BN$9&amp;E181,'Import_FL5 MPS (06.06.25) - Sor'!E177:E334&amp;'Import_FL5 MPS (06.06.25) - Sor'!F177:F334,'Import_FL5 MPS (06.06.25) - Sor'!ES177:ES334,"No demand",0,1))</f>
        <v>No demand</v>
      </c>
      <c r="BO181" s="321" t="str">
        <f t="array" ref="BO181">if(isblank(E181),"",xlookup($BO$9&amp;E181,'Import_FL5 MPS (06.06.25) - Sor'!E177:E334&amp;'Import_FL5 MPS (06.06.25) - Sor'!F177:F334,'Import_FL5 MPS (06.06.25) - Sor'!ES177:ES334,"No demand",0,1))</f>
        <v>No demand</v>
      </c>
      <c r="BP181" s="322" t="str">
        <f t="array" ref="BP181">if(isblank(E181),"", xlookup(E181,'Import_LH_Label approve'!E:E,'Import_LH_Label approve'!L:L,"",0,1))</f>
        <v/>
      </c>
      <c r="BQ181" s="322" t="str">
        <f t="array" ref="BQ181">if(isblank(E181),"",xlookup(E181,'Import_VN_Label approve'!E:E,'Import_VN_Label approve'!M:M,"N/A",0,1))</f>
        <v/>
      </c>
      <c r="BR181" s="313"/>
      <c r="BS181" s="323"/>
      <c r="BT181" s="324"/>
      <c r="BU181" s="91"/>
    </row>
    <row r="182" hidden="1">
      <c r="A182" s="7"/>
      <c r="B182" s="292">
        <v>171.0</v>
      </c>
      <c r="C182" s="231" t="s">
        <v>284</v>
      </c>
      <c r="D182" s="231" t="s">
        <v>408</v>
      </c>
      <c r="E182" s="350" t="s">
        <v>1286</v>
      </c>
      <c r="F182" s="313" t="s">
        <v>1173</v>
      </c>
      <c r="G182" s="355" t="s">
        <v>411</v>
      </c>
      <c r="H182" s="292" t="str">
        <f t="array" ref="H182">xlookup(F182,z_Others!$B$21:$B$45,z_Others!$E$21:$E$45,"",0,1)</f>
        <v>mmWave</v>
      </c>
      <c r="I182" s="310" t="s">
        <v>437</v>
      </c>
      <c r="J182" s="231" t="str">
        <f t="array" ref="J182">if(isblank(E182),"",xlookup(I182,z_Others!$M$17:$M$20,z_Others!$O$17:$O$20,"",0,1))</f>
        <v>Indigo</v>
      </c>
      <c r="K182" s="292" t="str">
        <f t="array" ref="K182">xlookup(I182,z_Others!$M$17:$M$20,z_Others!$N$17:$N$20,"",0,1)</f>
        <v>BUE</v>
      </c>
      <c r="L182" s="292" t="str">
        <f t="array" ref="L182">xlookup(F182,z_Others!$B$21:$B$45,z_Others!$D$21:$D$45,"",0,1)</f>
        <v>GLBW0</v>
      </c>
      <c r="M182" s="296" t="str">
        <f t="array" ref="M182">xlookup(F182,z_Others!$B$21:$B$45,z_Others!$C$21:$C$45,"",0,1)</f>
        <v>VZW</v>
      </c>
      <c r="N182" s="297">
        <f t="array" ref="N182">if(isblank(E182),"",xlookup($N$9&amp;M182,z_Others!$X$5:$X$17&amp;z_Others!$W$5:$W$17,z_Others!$Z$5:$Z$17,"",0,1))</f>
        <v>35560678</v>
      </c>
      <c r="O182" s="298" t="str">
        <f t="array" ref="O182">if(isblank(E182),"",xlookup($N$9&amp;M182,z_Others!$X$5:$X$17&amp;z_Others!$W$5:$W$17,z_Others!$AH$5:$AH$17,"",0,1))</f>
        <v>35 560678 020000x</v>
      </c>
      <c r="P182" s="299" t="str">
        <f t="array" ref="P182">if(isblank(E182),"",xlookup($N$9&amp;M182,z_Others!$X$5:$X$17&amp;z_Others!$W$5:$W$17,z_Others!$AI$5:$AI$17,"",0,1))</f>
        <v>35 560678 999999x</v>
      </c>
      <c r="Q182" s="300" t="s">
        <v>413</v>
      </c>
      <c r="R182" s="301" t="s">
        <v>414</v>
      </c>
      <c r="S182" s="302">
        <f t="array" ref="S182">if(isblank(E182),"",xlookup($S$9&amp;M182,z_Others!$X$5:$X$17&amp;z_Others!$W$5:$W$17,z_Others!$Z$5:$Z$17,"",0,1))</f>
        <v>35931451</v>
      </c>
      <c r="T182" s="303" t="str">
        <f t="array" ref="T182">if(isblank(E182),"",xlookup($S$9&amp;M182,z_Others!$X$5:$X$17&amp;z_Others!$W$5:$W$17,z_Others!$AH$5:$AH$17,"",0,1))</f>
        <v>35 931451 020000x</v>
      </c>
      <c r="U182" s="303" t="str">
        <f t="array" ref="U182">if(isblank(E182),"",xlookup($S$9&amp;M182,z_Others!$X$5:$X$17&amp;z_Others!$W$5:$W$17,z_Others!$AI$5:$AI$17,"",0,1))</f>
        <v>35 931451 999999x</v>
      </c>
      <c r="V182" s="303" t="str">
        <f t="shared" si="2"/>
        <v>64:9D:38:32:91:82
B0:D5:FB:C6:60:70</v>
      </c>
      <c r="W182" s="303" t="str">
        <f t="shared" si="3"/>
        <v>64:9D:38:37:25:61
B0:D5:FB:CE:01:8F</v>
      </c>
      <c r="X182" s="304" t="str">
        <f t="shared" si="4"/>
        <v>MP1.0</v>
      </c>
      <c r="Y182" s="292"/>
      <c r="Z182" s="304" t="str">
        <f t="shared" si="32"/>
        <v>Android 16</v>
      </c>
      <c r="AA182" s="304" t="str">
        <f t="shared" si="46"/>
        <v>TBD</v>
      </c>
      <c r="AB182" s="305" t="s">
        <v>1287</v>
      </c>
      <c r="AC182" s="361" t="s">
        <v>1175</v>
      </c>
      <c r="AD182" s="306"/>
      <c r="AE182" s="335"/>
      <c r="AF182" s="308"/>
      <c r="AG182" s="308"/>
      <c r="AH182" s="297" t="str">
        <f t="array" ref="AH182">if(isblank(E182),"",xlookup(F182,z_Others!$B$21:$B$45,z_Others!$F$21:$F$45,"TBD",0,1))</f>
        <v>US</v>
      </c>
      <c r="AI182" s="310" t="str">
        <f t="array" ref="AI182">if(isblank(E182),"", xlookup(E182,'Import_FL5_LH_PVTMP_Configs (Do'!E:E,'Import_FL5_LH_PVTMP_Configs (Do'!O:O,"TBD",0,1))</f>
        <v>TBD</v>
      </c>
      <c r="AJ182" s="311"/>
      <c r="AK182" s="310" t="str">
        <f t="array" ref="AK182">if(isblank(E182),"", xlookup(E182,'Import_FL5_LH_PVTMP_Configs (Do'!E:E,'Import_FL5_LH_PVTMP_Configs (Do'!Q:Q,"TBD",0,1))</f>
        <v>TBD</v>
      </c>
      <c r="AL182" s="310" t="str">
        <f t="array" ref="AL182">if(isblank(E182),"", xlookup(E182,'Import_FL5_LH_PVTMP_Configs (Do'!E:E,'Import_FL5_LH_PVTMP_Configs (Do'!M:M,"TBD",0,1))</f>
        <v>TBD</v>
      </c>
      <c r="AM182" s="310" t="str">
        <f t="array" ref="AM182">if(isblank(E182),"", xlookup(E182,'Import_FL5_LH_PVTMP_Configs (Do'!E:E,'Import_FL5_LH_PVTMP_Configs (Do'!N:N,"TBD",0,1))</f>
        <v>TBD</v>
      </c>
      <c r="AN182" s="310" t="str">
        <f t="array" ref="AN182">if(isblank(E182),"", xlookup(E182,'Import_FL5_LH_PVTMP_Configs (Do'!E:E,'Import_FL5_LH_PVTMP_Configs (Do'!K:K,"TBD",0,1))</f>
        <v>TBD</v>
      </c>
      <c r="AO182" s="292" t="str">
        <f t="array" ref="AO182">if(isblank(E182),"",XLOOKUP(E182,'FL5_G954 Pkg ASSY (Pkg BOM)'!L:L,'FL5_G954 Pkg ASSY (Pkg BOM)'!G:G,"N/A",0,1))</f>
        <v>N/A</v>
      </c>
      <c r="AP182" s="292" t="str">
        <f t="array" ref="AP182">if(isblank(E182),"",xlookup(E182,'FL5_G962 Country kit (Accesorie'!L:L,'FL5_G962 Country kit (Accesorie'!G:G,"N/A",0,1))</f>
        <v>N/A</v>
      </c>
      <c r="AQ182" s="304" t="str">
        <f t="array" ref="AQ182">if(isblank(E182),"", xlookup(E182,'Import_LH_Label approve'!E:E,'Import_LH_Label approve'!M:M,"",0,1))</f>
        <v/>
      </c>
      <c r="AR182" s="304" t="str">
        <f t="array" ref="AR182">if(isblank(E182),"",xlookup(E182,'Import_LH_Label approve'!E:E,'Import_LH_Label approve'!N:N,"",0,1))</f>
        <v/>
      </c>
      <c r="AS182" s="292" t="s">
        <v>596</v>
      </c>
      <c r="AT182" s="302" t="str">
        <f t="shared" si="6"/>
        <v>Yes</v>
      </c>
      <c r="AU182" s="302" t="str">
        <f t="shared" si="7"/>
        <v>No</v>
      </c>
      <c r="AV182" s="302" t="str">
        <f t="shared" si="8"/>
        <v>No</v>
      </c>
      <c r="AW182" s="297"/>
      <c r="AX182" s="302" t="s">
        <v>1288</v>
      </c>
      <c r="AY182" s="302" t="s">
        <v>1289</v>
      </c>
      <c r="AZ182" s="312" t="str">
        <f t="array" ref="AZ182">if(isblank(E182),"", xlookup(E182,Import_FL5_LH_PVT_BM!D:D,Import_FL5_LH_PVT_BM!AK:AK,$F$4,0,1))</f>
        <v>MP</v>
      </c>
      <c r="BA182" s="292" t="str">
        <f t="shared" si="9"/>
        <v>Retail_10ct</v>
      </c>
      <c r="BB182" s="313" t="str">
        <f t="array" ref="BB182">if(isblank(E182),"",xlookup(F182,z_Others!$B$21:$B$42,z_Others!$G$21:$G$42,"No",0,1))</f>
        <v>VZN Master Carton Label</v>
      </c>
      <c r="BC182" s="313" t="str">
        <f t="array" ref="BC182">if(isblank(E182),"",xlookup(F182,z_Others!$B$21:$B$42,z_Others!$H$21:$H$42,"No",0,1))</f>
        <v>VZN Pallet Label (BTS)</v>
      </c>
      <c r="BD182" s="314" t="str">
        <f t="array" ref="BD182">if(isblank(E182),"",xlookup(E182,'Import_VN_Label approve'!E:E,'Import_VN_Label approve'!L:L,"N/A",0,1))</f>
        <v/>
      </c>
      <c r="BE182" s="314" t="str">
        <f t="array" ref="BE182">if(isblank(E182),"",xlookup(E182,'Import_VN_Label approve'!E:E,'Import_VN_Label approve'!N:N,"N/A",0,1))</f>
        <v/>
      </c>
      <c r="BF182" s="315"/>
      <c r="BG182" s="316" t="s">
        <v>422</v>
      </c>
      <c r="BH182" s="317" t="s">
        <v>423</v>
      </c>
      <c r="BI182" s="360" t="s">
        <v>1091</v>
      </c>
      <c r="BJ182" s="319" t="str">
        <f t="array" ref="BJ182">if(isblank(E182),"", xlookup(D182,z_Others!$B$5:$B$17,z_Others!$C$5:$C$17,"",0,1))</f>
        <v>智能手機</v>
      </c>
      <c r="BK182" s="320">
        <v>45782.0</v>
      </c>
      <c r="BL182" s="320" t="str">
        <f t="array" ref="BL182">if(isblank(E182),"",xlookup(E182,'FL5_MP POR_LH_報關備案_G950 &amp; GA'!F:F,'FL5_MP POR_LH_報關備案_G950 &amp; GA'!E:E,"No Need",0,1))</f>
        <v>No Need</v>
      </c>
      <c r="BM182" s="321" t="str">
        <f t="array" ref="BM182">if(isblank(E182),"",xlookup($BM$9&amp;E182,'Import_FL5 MPS (06.06.25) - Sor'!E178:E334&amp;'Import_FL5 MPS (06.06.25) - Sor'!F178:F334,'Import_FL5 MPS (06.06.25) - Sor'!ES178:ES334,"No demand",0,1))</f>
        <v>No demand</v>
      </c>
      <c r="BN182" s="321" t="str">
        <f t="array" ref="BN182">if(isblank(E182),"",xlookup($BN$9&amp;E182,'Import_FL5 MPS (06.06.25) - Sor'!E178:E334&amp;'Import_FL5 MPS (06.06.25) - Sor'!F178:F334,'Import_FL5 MPS (06.06.25) - Sor'!ES178:ES334,"No demand",0,1))</f>
        <v>No demand</v>
      </c>
      <c r="BO182" s="321" t="str">
        <f t="array" ref="BO182">if(isblank(E182),"",xlookup($BO$9&amp;E182,'Import_FL5 MPS (06.06.25) - Sor'!E178:E334&amp;'Import_FL5 MPS (06.06.25) - Sor'!F178:F334,'Import_FL5 MPS (06.06.25) - Sor'!ES178:ES334,"No demand",0,1))</f>
        <v>No demand</v>
      </c>
      <c r="BP182" s="322" t="str">
        <f t="array" ref="BP182">if(isblank(E182),"", xlookup(E182,'Import_LH_Label approve'!E:E,'Import_LH_Label approve'!L:L,"",0,1))</f>
        <v/>
      </c>
      <c r="BQ182" s="322" t="str">
        <f t="array" ref="BQ182">if(isblank(E182),"",xlookup(E182,'Import_VN_Label approve'!E:E,'Import_VN_Label approve'!M:M,"N/A",0,1))</f>
        <v/>
      </c>
      <c r="BR182" s="313"/>
      <c r="BS182" s="323"/>
      <c r="BT182" s="324"/>
      <c r="BU182" s="91"/>
    </row>
    <row r="183" hidden="1">
      <c r="A183" s="7"/>
      <c r="B183" s="292">
        <v>172.0</v>
      </c>
      <c r="C183" s="231" t="s">
        <v>284</v>
      </c>
      <c r="D183" s="231" t="s">
        <v>408</v>
      </c>
      <c r="E183" s="350" t="s">
        <v>1290</v>
      </c>
      <c r="F183" s="313" t="s">
        <v>1200</v>
      </c>
      <c r="G183" s="355" t="s">
        <v>459</v>
      </c>
      <c r="H183" s="292" t="str">
        <f t="array" ref="H183">xlookup(F183,z_Others!$B$21:$B$45,z_Others!$E$21:$E$45,"",0,1)</f>
        <v>mmWave</v>
      </c>
      <c r="I183" s="310" t="s">
        <v>412</v>
      </c>
      <c r="J183" s="231" t="str">
        <f t="array" ref="J183">if(isblank(E183),"",xlookup(I183,z_Others!$M$17:$M$20,z_Others!$O$17:$O$20,"",0,1))</f>
        <v>Obsidian</v>
      </c>
      <c r="K183" s="292" t="str">
        <f t="array" ref="K183">xlookup(I183,z_Others!$M$17:$M$20,z_Others!$N$17:$N$20,"",0,1)</f>
        <v>BLK</v>
      </c>
      <c r="L183" s="292" t="str">
        <f t="array" ref="L183">xlookup(F183,z_Others!$B$21:$B$45,z_Others!$D$21:$D$45,"",0,1)</f>
        <v>GLBW0</v>
      </c>
      <c r="M183" s="296" t="str">
        <f t="array" ref="M183">xlookup(F183,z_Others!$B$21:$B$45,z_Others!$C$21:$C$45,"",0,1)</f>
        <v>TMO</v>
      </c>
      <c r="N183" s="297">
        <f t="array" ref="N183">if(isblank(E183),"",xlookup($N$9&amp;M183,z_Others!$X$5:$X$17&amp;z_Others!$W$5:$W$17,z_Others!$Z$5:$Z$17,"",0,1))</f>
        <v>35163422</v>
      </c>
      <c r="O183" s="298" t="str">
        <f t="array" ref="O183">if(isblank(E183),"",xlookup($N$9&amp;M183,z_Others!$X$5:$X$17&amp;z_Others!$W$5:$W$17,z_Others!$AH$5:$AH$17,"",0,1))</f>
        <v>35 163422 020000x</v>
      </c>
      <c r="P183" s="299" t="str">
        <f t="array" ref="P183">if(isblank(E183),"",xlookup($N$9&amp;M183,z_Others!$X$5:$X$17&amp;z_Others!$W$5:$W$17,z_Others!$AI$5:$AI$17,"",0,1))</f>
        <v>35 163422 999999x</v>
      </c>
      <c r="Q183" s="300" t="s">
        <v>413</v>
      </c>
      <c r="R183" s="301" t="s">
        <v>414</v>
      </c>
      <c r="S183" s="302">
        <f t="array" ref="S183">if(isblank(E183),"",xlookup($S$9&amp;M183,z_Others!$X$5:$X$17&amp;z_Others!$W$5:$W$17,z_Others!$Z$5:$Z$17,"",0,1))</f>
        <v>35676321</v>
      </c>
      <c r="T183" s="303" t="str">
        <f t="array" ref="T183">if(isblank(E183),"",xlookup($S$9&amp;M183,z_Others!$X$5:$X$17&amp;z_Others!$W$5:$W$17,z_Others!$AH$5:$AH$17,"",0,1))</f>
        <v>35 676321 020000x</v>
      </c>
      <c r="U183" s="303" t="str">
        <f t="array" ref="U183">if(isblank(E183),"",xlookup($S$9&amp;M183,z_Others!$X$5:$X$17&amp;z_Others!$W$5:$W$17,z_Others!$AI$5:$AI$17,"",0,1))</f>
        <v>35 676321 999999x</v>
      </c>
      <c r="V183" s="303" t="str">
        <f t="shared" si="2"/>
        <v>64:9D:38:32:91:82
B0:D5:FB:C6:60:70</v>
      </c>
      <c r="W183" s="303" t="str">
        <f t="shared" si="3"/>
        <v>64:9D:38:37:25:61
B0:D5:FB:CE:01:8F</v>
      </c>
      <c r="X183" s="304" t="str">
        <f t="shared" si="4"/>
        <v>MP1.0</v>
      </c>
      <c r="Y183" s="292"/>
      <c r="Z183" s="304" t="str">
        <f t="shared" si="32"/>
        <v>Android 16</v>
      </c>
      <c r="AA183" s="304" t="str">
        <f t="shared" si="46"/>
        <v>TBD</v>
      </c>
      <c r="AB183" s="305" t="s">
        <v>1291</v>
      </c>
      <c r="AC183" s="361" t="s">
        <v>1175</v>
      </c>
      <c r="AD183" s="306"/>
      <c r="AE183" s="335"/>
      <c r="AF183" s="308"/>
      <c r="AG183" s="308"/>
      <c r="AH183" s="297" t="str">
        <f t="array" ref="AH183">if(isblank(E183),"",xlookup(F183,z_Others!$B$21:$B$45,z_Others!$F$21:$F$45,"TBD",0,1))</f>
        <v>US</v>
      </c>
      <c r="AI183" s="310" t="str">
        <f t="array" ref="AI183">if(isblank(E183),"", xlookup(E183,'Import_FL5_LH_PVTMP_Configs (Do'!E:E,'Import_FL5_LH_PVTMP_Configs (Do'!O:O,"TBD",0,1))</f>
        <v>TBD</v>
      </c>
      <c r="AJ183" s="311"/>
      <c r="AK183" s="310" t="str">
        <f t="array" ref="AK183">if(isblank(E183),"", xlookup(E183,'Import_FL5_LH_PVTMP_Configs (Do'!E:E,'Import_FL5_LH_PVTMP_Configs (Do'!Q:Q,"TBD",0,1))</f>
        <v>TBD</v>
      </c>
      <c r="AL183" s="310" t="str">
        <f t="array" ref="AL183">if(isblank(E183),"", xlookup(E183,'Import_FL5_LH_PVTMP_Configs (Do'!E:E,'Import_FL5_LH_PVTMP_Configs (Do'!M:M,"TBD",0,1))</f>
        <v>TBD</v>
      </c>
      <c r="AM183" s="310" t="str">
        <f t="array" ref="AM183">if(isblank(E183),"", xlookup(E183,'Import_FL5_LH_PVTMP_Configs (Do'!E:E,'Import_FL5_LH_PVTMP_Configs (Do'!N:N,"TBD",0,1))</f>
        <v>TBD</v>
      </c>
      <c r="AN183" s="310" t="str">
        <f t="array" ref="AN183">if(isblank(E183),"", xlookup(E183,'Import_FL5_LH_PVTMP_Configs (Do'!E:E,'Import_FL5_LH_PVTMP_Configs (Do'!K:K,"TBD",0,1))</f>
        <v>TBD</v>
      </c>
      <c r="AO183" s="292" t="str">
        <f t="array" ref="AO183">if(isblank(E183),"",XLOOKUP(E183,'FL5_G954 Pkg ASSY (Pkg BOM)'!L:L,'FL5_G954 Pkg ASSY (Pkg BOM)'!G:G,"N/A",0,1))</f>
        <v>N/A</v>
      </c>
      <c r="AP183" s="292" t="str">
        <f t="array" ref="AP183">if(isblank(E183),"",xlookup(E183,'FL5_G962 Country kit (Accesorie'!L:L,'FL5_G962 Country kit (Accesorie'!G:G,"N/A",0,1))</f>
        <v>N/A</v>
      </c>
      <c r="AQ183" s="304" t="str">
        <f t="array" ref="AQ183">if(isblank(E183),"", xlookup(E183,'Import_LH_Label approve'!E:E,'Import_LH_Label approve'!M:M,"",0,1))</f>
        <v/>
      </c>
      <c r="AR183" s="304" t="str">
        <f t="array" ref="AR183">if(isblank(E183),"",xlookup(E183,'Import_LH_Label approve'!E:E,'Import_LH_Label approve'!N:N,"",0,1))</f>
        <v/>
      </c>
      <c r="AS183" s="292" t="s">
        <v>596</v>
      </c>
      <c r="AT183" s="302" t="str">
        <f t="shared" si="6"/>
        <v>Yes</v>
      </c>
      <c r="AU183" s="302" t="str">
        <f t="shared" si="7"/>
        <v>No</v>
      </c>
      <c r="AV183" s="302" t="str">
        <f t="shared" si="8"/>
        <v>No</v>
      </c>
      <c r="AW183" s="302" t="s">
        <v>585</v>
      </c>
      <c r="AX183" s="302" t="s">
        <v>1292</v>
      </c>
      <c r="AY183" s="302" t="s">
        <v>1293</v>
      </c>
      <c r="AZ183" s="312" t="str">
        <f t="array" ref="AZ183">if(isblank(E183),"", xlookup(E183,Import_FL5_LH_PVT_BM!D:D,Import_FL5_LH_PVT_BM!AK:AK,$F$4,0,1))</f>
        <v>MP</v>
      </c>
      <c r="BA183" s="292" t="str">
        <f t="shared" si="9"/>
        <v>Retail_10ct</v>
      </c>
      <c r="BB183" s="313" t="str">
        <f t="array" ref="BB183">if(isblank(E183),"",xlookup(F183,z_Others!$B$21:$B$42,z_Others!$G$21:$G$42,"No",0,1))</f>
        <v>TMO Master Carton Label</v>
      </c>
      <c r="BC183" s="313" t="str">
        <f t="array" ref="BC183">if(isblank(E183),"",xlookup(F183,z_Others!$B$21:$B$42,z_Others!$H$21:$H$42,"No",0,1))</f>
        <v>T-Mobile Pallet Label (BTO)
T-Mobile Pallet Label (BTS)</v>
      </c>
      <c r="BD183" s="314" t="str">
        <f t="array" ref="BD183">if(isblank(E183),"",xlookup(E183,'Import_VN_Label approve'!E:E,'Import_VN_Label approve'!L:L,"N/A",0,1))</f>
        <v/>
      </c>
      <c r="BE183" s="314" t="str">
        <f t="array" ref="BE183">if(isblank(E183),"",xlookup(E183,'Import_VN_Label approve'!E:E,'Import_VN_Label approve'!N:N,"N/A",0,1))</f>
        <v/>
      </c>
      <c r="BF183" s="315"/>
      <c r="BG183" s="316" t="s">
        <v>422</v>
      </c>
      <c r="BH183" s="317" t="s">
        <v>423</v>
      </c>
      <c r="BI183" s="360" t="s">
        <v>1091</v>
      </c>
      <c r="BJ183" s="319" t="str">
        <f t="array" ref="BJ183">if(isblank(E183),"", xlookup(D183,z_Others!$B$5:$B$17,z_Others!$C$5:$C$17,"",0,1))</f>
        <v>智能手機</v>
      </c>
      <c r="BK183" s="320">
        <v>45782.0</v>
      </c>
      <c r="BL183" s="320" t="str">
        <f t="array" ref="BL183">if(isblank(E183),"",xlookup(E183,'FL5_MP POR_LH_報關備案_G950 &amp; GA'!F:F,'FL5_MP POR_LH_報關備案_G950 &amp; GA'!E:E,"No Need",0,1))</f>
        <v>No Need</v>
      </c>
      <c r="BM183" s="321" t="str">
        <f t="array" ref="BM183">if(isblank(E183),"",xlookup($BM$9&amp;E183,'Import_FL5 MPS (06.06.25) - Sor'!E179:E334&amp;'Import_FL5 MPS (06.06.25) - Sor'!F179:F334,'Import_FL5 MPS (06.06.25) - Sor'!ES179:ES334,"No demand",0,1))</f>
        <v>No demand</v>
      </c>
      <c r="BN183" s="321" t="str">
        <f t="array" ref="BN183">if(isblank(E183),"",xlookup($BN$9&amp;E183,'Import_FL5 MPS (06.06.25) - Sor'!E179:E334&amp;'Import_FL5 MPS (06.06.25) - Sor'!F179:F334,'Import_FL5 MPS (06.06.25) - Sor'!ES179:ES334,"No demand",0,1))</f>
        <v>No demand</v>
      </c>
      <c r="BO183" s="321" t="str">
        <f t="array" ref="BO183">if(isblank(E183),"",xlookup($BO$9&amp;E183,'Import_FL5 MPS (06.06.25) - Sor'!E179:E334&amp;'Import_FL5 MPS (06.06.25) - Sor'!F179:F334,'Import_FL5 MPS (06.06.25) - Sor'!ES179:ES334,"No demand",0,1))</f>
        <v>No demand</v>
      </c>
      <c r="BP183" s="322" t="str">
        <f t="array" ref="BP183">if(isblank(E183),"", xlookup(E183,'Import_LH_Label approve'!E:E,'Import_LH_Label approve'!L:L,"",0,1))</f>
        <v/>
      </c>
      <c r="BQ183" s="322" t="str">
        <f t="array" ref="BQ183">if(isblank(E183),"",xlookup(E183,'Import_VN_Label approve'!E:E,'Import_VN_Label approve'!M:M,"N/A",0,1))</f>
        <v/>
      </c>
      <c r="BR183" s="313"/>
      <c r="BS183" s="323"/>
      <c r="BT183" s="324"/>
      <c r="BU183" s="91"/>
    </row>
    <row r="184" hidden="1">
      <c r="A184" s="7"/>
      <c r="B184" s="292">
        <v>173.0</v>
      </c>
      <c r="C184" s="231" t="s">
        <v>284</v>
      </c>
      <c r="D184" s="231" t="s">
        <v>408</v>
      </c>
      <c r="E184" s="350" t="s">
        <v>1294</v>
      </c>
      <c r="F184" s="313" t="s">
        <v>1209</v>
      </c>
      <c r="G184" s="294" t="s">
        <v>471</v>
      </c>
      <c r="H184" s="292" t="str">
        <f t="array" ref="H184">xlookup(F184,z_Others!$B$21:$B$45,z_Others!$E$21:$E$45,"",0,1)</f>
        <v>mmWave</v>
      </c>
      <c r="I184" s="310" t="s">
        <v>412</v>
      </c>
      <c r="J184" s="231" t="str">
        <f t="array" ref="J184">if(isblank(E184),"",xlookup(I184,z_Others!$M$17:$M$20,z_Others!$O$17:$O$20,"",0,1))</f>
        <v>Obsidian</v>
      </c>
      <c r="K184" s="292" t="str">
        <f t="array" ref="K184">xlookup(I184,z_Others!$M$17:$M$20,z_Others!$N$17:$N$20,"",0,1)</f>
        <v>BLK</v>
      </c>
      <c r="L184" s="292" t="str">
        <f t="array" ref="L184">xlookup(F184,z_Others!$B$21:$B$45,z_Others!$D$21:$D$45,"",0,1)</f>
        <v>GLBW0</v>
      </c>
      <c r="M184" s="296" t="str">
        <f t="array" ref="M184">xlookup(F184,z_Others!$B$21:$B$45,z_Others!$C$21:$C$45,"",0,1)</f>
        <v>NA</v>
      </c>
      <c r="N184" s="297">
        <f t="array" ref="N184">if(isblank(E184),"",xlookup($N$9&amp;M184,z_Others!$X$5:$X$17&amp;z_Others!$W$5:$W$17,z_Others!$Z$5:$Z$17,"",0,1))</f>
        <v>35124436</v>
      </c>
      <c r="O184" s="298" t="str">
        <f t="array" ref="O184">if(isblank(E184),"",xlookup($N$9&amp;M184,z_Others!$X$5:$X$17&amp;z_Others!$W$5:$W$17,z_Others!$AH$5:$AH$17,"",0,1))</f>
        <v>35 124436 070000x
</v>
      </c>
      <c r="P184" s="299" t="str">
        <f t="array" ref="P184">if(isblank(E184),"",xlookup($N$9&amp;M184,z_Others!$X$5:$X$17&amp;z_Others!$W$5:$W$17,z_Others!$AI$5:$AI$17,"",0,1))</f>
        <v>35 124436 999999x</v>
      </c>
      <c r="Q184" s="300" t="s">
        <v>413</v>
      </c>
      <c r="R184" s="301" t="s">
        <v>414</v>
      </c>
      <c r="S184" s="302">
        <f t="array" ref="S184">if(isblank(E184),"",xlookup($S$9&amp;M184,z_Others!$X$5:$X$17&amp;z_Others!$W$5:$W$17,z_Others!$Z$5:$Z$17,"",0,1))</f>
        <v>35676628</v>
      </c>
      <c r="T184" s="303" t="str">
        <f t="array" ref="T184">if(isblank(E184),"",xlookup($S$9&amp;M184,z_Others!$X$5:$X$17&amp;z_Others!$W$5:$W$17,z_Others!$AH$5:$AH$17,"",0,1))</f>
        <v>35 676628 040000x
35 676628 340000x</v>
      </c>
      <c r="U184" s="303" t="str">
        <f t="array" ref="U184">if(isblank(E184),"",xlookup($S$9&amp;M184,z_Others!$X$5:$X$17&amp;z_Others!$W$5:$W$17,z_Others!$AI$5:$AI$17,"",0,1))</f>
        <v>35 676628 999999x
35 676628 639999x</v>
      </c>
      <c r="V184" s="303" t="str">
        <f t="shared" si="2"/>
        <v>64:9D:38:32:91:82
B0:D5:FB:C6:60:70</v>
      </c>
      <c r="W184" s="303" t="str">
        <f t="shared" si="3"/>
        <v>64:9D:38:37:25:61
B0:D5:FB:CE:01:8F</v>
      </c>
      <c r="X184" s="304" t="str">
        <f t="shared" si="4"/>
        <v>MP1.0</v>
      </c>
      <c r="Y184" s="292"/>
      <c r="Z184" s="304" t="str">
        <f t="shared" si="32"/>
        <v>Android 16</v>
      </c>
      <c r="AA184" s="304" t="str">
        <f t="shared" si="46"/>
        <v>TBD</v>
      </c>
      <c r="AB184" s="305" t="s">
        <v>1295</v>
      </c>
      <c r="AC184" s="361" t="s">
        <v>1175</v>
      </c>
      <c r="AD184" s="306"/>
      <c r="AE184" s="335"/>
      <c r="AF184" s="308"/>
      <c r="AG184" s="308"/>
      <c r="AH184" s="297" t="str">
        <f t="array" ref="AH184">if(isblank(E184),"",xlookup(F184,z_Others!$B$21:$B$45,z_Others!$F$21:$F$45,"TBD",0,1))</f>
        <v>00</v>
      </c>
      <c r="AI184" s="310" t="str">
        <f t="array" ref="AI184">if(isblank(E184),"", xlookup(E184,'Import_FL5_LH_PVTMP_Configs (Do'!E:E,'Import_FL5_LH_PVTMP_Configs (Do'!O:O,"TBD",0,1))</f>
        <v>TBD</v>
      </c>
      <c r="AJ184" s="311"/>
      <c r="AK184" s="310" t="str">
        <f t="array" ref="AK184">if(isblank(E184),"", xlookup(E184,'Import_FL5_LH_PVTMP_Configs (Do'!E:E,'Import_FL5_LH_PVTMP_Configs (Do'!Q:Q,"TBD",0,1))</f>
        <v>TBD</v>
      </c>
      <c r="AL184" s="310" t="str">
        <f t="array" ref="AL184">if(isblank(E184),"", xlookup(E184,'Import_FL5_LH_PVTMP_Configs (Do'!E:E,'Import_FL5_LH_PVTMP_Configs (Do'!M:M,"TBD",0,1))</f>
        <v>TBD</v>
      </c>
      <c r="AM184" s="310" t="str">
        <f t="array" ref="AM184">if(isblank(E184),"", xlookup(E184,'Import_FL5_LH_PVTMP_Configs (Do'!E:E,'Import_FL5_LH_PVTMP_Configs (Do'!N:N,"TBD",0,1))</f>
        <v>TBD</v>
      </c>
      <c r="AN184" s="310" t="str">
        <f t="array" ref="AN184">if(isblank(E184),"", xlookup(E184,'Import_FL5_LH_PVTMP_Configs (Do'!E:E,'Import_FL5_LH_PVTMP_Configs (Do'!K:K,"TBD",0,1))</f>
        <v>TBD</v>
      </c>
      <c r="AO184" s="292" t="str">
        <f t="array" ref="AO184">if(isblank(E184),"",XLOOKUP(E184,'FL5_G954 Pkg ASSY (Pkg BOM)'!L:L,'FL5_G954 Pkg ASSY (Pkg BOM)'!G:G,"N/A",0,1))</f>
        <v>N/A</v>
      </c>
      <c r="AP184" s="292" t="str">
        <f t="array" ref="AP184">if(isblank(E184),"",xlookup(E184,'FL5_G962 Country kit (Accesorie'!L:L,'FL5_G962 Country kit (Accesorie'!G:G,"N/A",0,1))</f>
        <v>N/A</v>
      </c>
      <c r="AQ184" s="304" t="str">
        <f t="array" ref="AQ184">if(isblank(E184),"", xlookup(E184,'Import_LH_Label approve'!E:E,'Import_LH_Label approve'!M:M,"",0,1))</f>
        <v/>
      </c>
      <c r="AR184" s="304" t="str">
        <f t="array" ref="AR184">if(isblank(E184),"",xlookup(E184,'Import_LH_Label approve'!E:E,'Import_LH_Label approve'!N:N,"",0,1))</f>
        <v/>
      </c>
      <c r="AS184" s="292" t="s">
        <v>596</v>
      </c>
      <c r="AT184" s="302" t="str">
        <f t="shared" si="6"/>
        <v>Yes</v>
      </c>
      <c r="AU184" s="302" t="str">
        <f t="shared" si="7"/>
        <v>No</v>
      </c>
      <c r="AV184" s="302" t="str">
        <f t="shared" si="8"/>
        <v>No</v>
      </c>
      <c r="AW184" s="302"/>
      <c r="AX184" s="302" t="s">
        <v>1296</v>
      </c>
      <c r="AY184" s="302" t="s">
        <v>1297</v>
      </c>
      <c r="AZ184" s="312" t="str">
        <f t="array" ref="AZ184">if(isblank(E184),"", xlookup(E184,Import_FL5_LH_PVT_BM!D:D,Import_FL5_LH_PVT_BM!AK:AK,$F$4,0,1))</f>
        <v>MP</v>
      </c>
      <c r="BA184" s="292" t="str">
        <f t="shared" si="9"/>
        <v>Retail_10ct</v>
      </c>
      <c r="BB184" s="313" t="str">
        <f t="array" ref="BB184">if(isblank(E184),"",xlookup(F184,z_Others!$B$21:$B$42,z_Others!$G$21:$G$42,"No",0,1))</f>
        <v>ROW Master Carton Label (UPC)</v>
      </c>
      <c r="BC184" s="313" t="str">
        <f t="array" ref="BC184">if(isblank(E184),"",xlookup(F184,z_Others!$B$21:$B$42,z_Others!$H$21:$H$42,"No",0,1))</f>
        <v>Standard Pallet Label (BTO)
Standard Pallet Label (BTS)</v>
      </c>
      <c r="BD184" s="314" t="str">
        <f t="array" ref="BD184">if(isblank(E184),"",xlookup(E184,'Import_VN_Label approve'!E:E,'Import_VN_Label approve'!L:L,"N/A",0,1))</f>
        <v>N/A</v>
      </c>
      <c r="BE184" s="314" t="str">
        <f t="array" ref="BE184">if(isblank(E184),"",xlookup(E184,'Import_VN_Label approve'!E:E,'Import_VN_Label approve'!N:N,"N/A",0,1))</f>
        <v>N/A</v>
      </c>
      <c r="BF184" s="315"/>
      <c r="BG184" s="316" t="s">
        <v>422</v>
      </c>
      <c r="BH184" s="317" t="s">
        <v>423</v>
      </c>
      <c r="BI184" s="360" t="s">
        <v>1091</v>
      </c>
      <c r="BJ184" s="319" t="str">
        <f t="array" ref="BJ184">if(isblank(E184),"", xlookup(D184,z_Others!$B$5:$B$17,z_Others!$C$5:$C$17,"",0,1))</f>
        <v>智能手機</v>
      </c>
      <c r="BK184" s="320">
        <v>45782.0</v>
      </c>
      <c r="BL184" s="320" t="str">
        <f t="array" ref="BL184">if(isblank(E184),"",xlookup(E184,'FL5_MP POR_LH_報關備案_G950 &amp; GA'!F:F,'FL5_MP POR_LH_報關備案_G950 &amp; GA'!E:E,"No Need",0,1))</f>
        <v>No Need</v>
      </c>
      <c r="BM184" s="321" t="str">
        <f t="array" ref="BM184">if(isblank(E184),"",xlookup($BM$9&amp;E184,'Import_FL5 MPS (06.06.25) - Sor'!E180:E334&amp;'Import_FL5 MPS (06.06.25) - Sor'!F180:F334,'Import_FL5 MPS (06.06.25) - Sor'!ES180:ES334,"No demand",0,1))</f>
        <v>No demand</v>
      </c>
      <c r="BN184" s="321" t="str">
        <f t="array" ref="BN184">if(isblank(E184),"",xlookup($BN$9&amp;E184,'Import_FL5 MPS (06.06.25) - Sor'!E180:E334&amp;'Import_FL5 MPS (06.06.25) - Sor'!F180:F334,'Import_FL5 MPS (06.06.25) - Sor'!ES180:ES334,"No demand",0,1))</f>
        <v>No demand</v>
      </c>
      <c r="BO184" s="321" t="str">
        <f t="array" ref="BO184">if(isblank(E184),"",xlookup($BO$9&amp;E184,'Import_FL5 MPS (06.06.25) - Sor'!E180:E334&amp;'Import_FL5 MPS (06.06.25) - Sor'!F180:F334,'Import_FL5 MPS (06.06.25) - Sor'!ES180:ES334,"No demand",0,1))</f>
        <v>No demand</v>
      </c>
      <c r="BP184" s="322" t="str">
        <f t="array" ref="BP184">if(isblank(E184),"", xlookup(E184,'Import_LH_Label approve'!E:E,'Import_LH_Label approve'!L:L,"",0,1))</f>
        <v/>
      </c>
      <c r="BQ184" s="322" t="str">
        <f t="array" ref="BQ184">if(isblank(E184),"",xlookup(E184,'Import_VN_Label approve'!E:E,'Import_VN_Label approve'!M:M,"N/A",0,1))</f>
        <v>N/A</v>
      </c>
      <c r="BR184" s="313"/>
      <c r="BS184" s="323"/>
      <c r="BT184" s="324"/>
      <c r="BU184" s="91"/>
    </row>
    <row r="185" hidden="1">
      <c r="A185" s="7"/>
      <c r="B185" s="292">
        <v>174.0</v>
      </c>
      <c r="C185" s="231" t="s">
        <v>284</v>
      </c>
      <c r="D185" s="231" t="s">
        <v>408</v>
      </c>
      <c r="E185" s="350" t="s">
        <v>1298</v>
      </c>
      <c r="F185" s="313" t="s">
        <v>1209</v>
      </c>
      <c r="G185" s="294" t="s">
        <v>471</v>
      </c>
      <c r="H185" s="292" t="str">
        <f t="array" ref="H185">xlookup(F185,z_Others!$B$21:$B$45,z_Others!$E$21:$E$45,"",0,1)</f>
        <v>mmWave</v>
      </c>
      <c r="I185" s="310" t="s">
        <v>425</v>
      </c>
      <c r="J185" s="231" t="str">
        <f t="array" ref="J185">if(isblank(E185),"",xlookup(I185,z_Others!$M$17:$M$20,z_Others!$O$17:$O$20,"",0,1))</f>
        <v>Frost</v>
      </c>
      <c r="K185" s="292" t="str">
        <f t="array" ref="K185">xlookup(I185,z_Others!$M$17:$M$20,z_Others!$N$17:$N$20,"",0,1)</f>
        <v>PPL</v>
      </c>
      <c r="L185" s="292" t="str">
        <f t="array" ref="L185">xlookup(F185,z_Others!$B$21:$B$45,z_Others!$D$21:$D$45,"",0,1)</f>
        <v>GLBW0</v>
      </c>
      <c r="M185" s="296" t="str">
        <f t="array" ref="M185">xlookup(F185,z_Others!$B$21:$B$45,z_Others!$C$21:$C$45,"",0,1)</f>
        <v>NA</v>
      </c>
      <c r="N185" s="297">
        <f t="array" ref="N185">if(isblank(E185),"",xlookup($N$9&amp;M185,z_Others!$X$5:$X$17&amp;z_Others!$W$5:$W$17,z_Others!$Z$5:$Z$17,"",0,1))</f>
        <v>35124436</v>
      </c>
      <c r="O185" s="298" t="str">
        <f t="array" ref="O185">if(isblank(E185),"",xlookup($N$9&amp;M185,z_Others!$X$5:$X$17&amp;z_Others!$W$5:$W$17,z_Others!$AH$5:$AH$17,"",0,1))</f>
        <v>35 124436 070000x
</v>
      </c>
      <c r="P185" s="299" t="str">
        <f t="array" ref="P185">if(isblank(E185),"",xlookup($N$9&amp;M185,z_Others!$X$5:$X$17&amp;z_Others!$W$5:$W$17,z_Others!$AI$5:$AI$17,"",0,1))</f>
        <v>35 124436 999999x</v>
      </c>
      <c r="Q185" s="300" t="s">
        <v>413</v>
      </c>
      <c r="R185" s="301" t="s">
        <v>414</v>
      </c>
      <c r="S185" s="302">
        <f t="array" ref="S185">if(isblank(E185),"",xlookup($S$9&amp;M185,z_Others!$X$5:$X$17&amp;z_Others!$W$5:$W$17,z_Others!$Z$5:$Z$17,"",0,1))</f>
        <v>35676628</v>
      </c>
      <c r="T185" s="303" t="str">
        <f t="array" ref="T185">if(isblank(E185),"",xlookup($S$9&amp;M185,z_Others!$X$5:$X$17&amp;z_Others!$W$5:$W$17,z_Others!$AH$5:$AH$17,"",0,1))</f>
        <v>35 676628 040000x
35 676628 340000x</v>
      </c>
      <c r="U185" s="303" t="str">
        <f t="array" ref="U185">if(isblank(E185),"",xlookup($S$9&amp;M185,z_Others!$X$5:$X$17&amp;z_Others!$W$5:$W$17,z_Others!$AI$5:$AI$17,"",0,1))</f>
        <v>35 676628 999999x
35 676628 639999x</v>
      </c>
      <c r="V185" s="303" t="str">
        <f t="shared" si="2"/>
        <v>64:9D:38:32:91:82
B0:D5:FB:C6:60:70</v>
      </c>
      <c r="W185" s="303" t="str">
        <f t="shared" si="3"/>
        <v>64:9D:38:37:25:61
B0:D5:FB:CE:01:8F</v>
      </c>
      <c r="X185" s="304" t="str">
        <f t="shared" si="4"/>
        <v>MP1.0</v>
      </c>
      <c r="Y185" s="292"/>
      <c r="Z185" s="304" t="str">
        <f t="shared" si="32"/>
        <v>Android 16</v>
      </c>
      <c r="AA185" s="304" t="str">
        <f t="shared" si="46"/>
        <v>TBD</v>
      </c>
      <c r="AB185" s="305" t="s">
        <v>1299</v>
      </c>
      <c r="AC185" s="361" t="s">
        <v>1175</v>
      </c>
      <c r="AD185" s="306"/>
      <c r="AE185" s="335"/>
      <c r="AF185" s="308"/>
      <c r="AG185" s="308"/>
      <c r="AH185" s="297" t="str">
        <f t="array" ref="AH185">if(isblank(E185),"",xlookup(F185,z_Others!$B$21:$B$45,z_Others!$F$21:$F$45,"TBD",0,1))</f>
        <v>00</v>
      </c>
      <c r="AI185" s="310" t="str">
        <f t="array" ref="AI185">if(isblank(E185),"", xlookup(E185,'Import_FL5_LH_PVTMP_Configs (Do'!E:E,'Import_FL5_LH_PVTMP_Configs (Do'!O:O,"TBD",0,1))</f>
        <v>TBD</v>
      </c>
      <c r="AJ185" s="311"/>
      <c r="AK185" s="310" t="str">
        <f t="array" ref="AK185">if(isblank(E185),"", xlookup(E185,'Import_FL5_LH_PVTMP_Configs (Do'!E:E,'Import_FL5_LH_PVTMP_Configs (Do'!Q:Q,"TBD",0,1))</f>
        <v>TBD</v>
      </c>
      <c r="AL185" s="310" t="str">
        <f t="array" ref="AL185">if(isblank(E185),"", xlookup(E185,'Import_FL5_LH_PVTMP_Configs (Do'!E:E,'Import_FL5_LH_PVTMP_Configs (Do'!M:M,"TBD",0,1))</f>
        <v>TBD</v>
      </c>
      <c r="AM185" s="310" t="str">
        <f t="array" ref="AM185">if(isblank(E185),"", xlookup(E185,'Import_FL5_LH_PVTMP_Configs (Do'!E:E,'Import_FL5_LH_PVTMP_Configs (Do'!N:N,"TBD",0,1))</f>
        <v>TBD</v>
      </c>
      <c r="AN185" s="310" t="str">
        <f t="array" ref="AN185">if(isblank(E185),"", xlookup(E185,'Import_FL5_LH_PVTMP_Configs (Do'!E:E,'Import_FL5_LH_PVTMP_Configs (Do'!K:K,"TBD",0,1))</f>
        <v>TBD</v>
      </c>
      <c r="AO185" s="292" t="str">
        <f t="array" ref="AO185">if(isblank(E185),"",XLOOKUP(E185,'FL5_G954 Pkg ASSY (Pkg BOM)'!L:L,'FL5_G954 Pkg ASSY (Pkg BOM)'!G:G,"N/A",0,1))</f>
        <v>N/A</v>
      </c>
      <c r="AP185" s="292" t="str">
        <f t="array" ref="AP185">if(isblank(E185),"",xlookup(E185,'FL5_G962 Country kit (Accesorie'!L:L,'FL5_G962 Country kit (Accesorie'!G:G,"N/A",0,1))</f>
        <v>N/A</v>
      </c>
      <c r="AQ185" s="304" t="str">
        <f t="array" ref="AQ185">if(isblank(E185),"", xlookup(E185,'Import_LH_Label approve'!E:E,'Import_LH_Label approve'!M:M,"",0,1))</f>
        <v/>
      </c>
      <c r="AR185" s="304" t="str">
        <f t="array" ref="AR185">if(isblank(E185),"",xlookup(E185,'Import_LH_Label approve'!E:E,'Import_LH_Label approve'!N:N,"",0,1))</f>
        <v/>
      </c>
      <c r="AS185" s="292" t="s">
        <v>596</v>
      </c>
      <c r="AT185" s="302" t="str">
        <f t="shared" si="6"/>
        <v>Yes</v>
      </c>
      <c r="AU185" s="302" t="str">
        <f t="shared" si="7"/>
        <v>No</v>
      </c>
      <c r="AV185" s="302" t="str">
        <f t="shared" si="8"/>
        <v>No</v>
      </c>
      <c r="AW185" s="302"/>
      <c r="AX185" s="302" t="s">
        <v>585</v>
      </c>
      <c r="AY185" s="302" t="s">
        <v>585</v>
      </c>
      <c r="AZ185" s="312" t="str">
        <f t="array" ref="AZ185">if(isblank(E185),"", xlookup(E185,Import_FL5_LH_PVT_BM!D:D,Import_FL5_LH_PVT_BM!AK:AK,$F$4,0,1))</f>
        <v>MP</v>
      </c>
      <c r="BA185" s="292" t="str">
        <f t="shared" si="9"/>
        <v>Retail_10ct</v>
      </c>
      <c r="BB185" s="313" t="str">
        <f t="array" ref="BB185">if(isblank(E185),"",xlookup(F185,z_Others!$B$21:$B$42,z_Others!$G$21:$G$42,"No",0,1))</f>
        <v>ROW Master Carton Label (UPC)</v>
      </c>
      <c r="BC185" s="313" t="str">
        <f t="array" ref="BC185">if(isblank(E185),"",xlookup(F185,z_Others!$B$21:$B$42,z_Others!$H$21:$H$42,"No",0,1))</f>
        <v>Standard Pallet Label (BTO)
Standard Pallet Label (BTS)</v>
      </c>
      <c r="BD185" s="314" t="str">
        <f t="array" ref="BD185">if(isblank(E185),"",xlookup(E185,'Import_VN_Label approve'!E:E,'Import_VN_Label approve'!L:L,"N/A",0,1))</f>
        <v>N/A</v>
      </c>
      <c r="BE185" s="314" t="str">
        <f t="array" ref="BE185">if(isblank(E185),"",xlookup(E185,'Import_VN_Label approve'!E:E,'Import_VN_Label approve'!N:N,"N/A",0,1))</f>
        <v>N/A</v>
      </c>
      <c r="BF185" s="315"/>
      <c r="BG185" s="316" t="s">
        <v>422</v>
      </c>
      <c r="BH185" s="317" t="s">
        <v>423</v>
      </c>
      <c r="BI185" s="360" t="s">
        <v>1091</v>
      </c>
      <c r="BJ185" s="319" t="str">
        <f t="array" ref="BJ185">if(isblank(E185),"", xlookup(D185,z_Others!$B$5:$B$17,z_Others!$C$5:$C$17,"",0,1))</f>
        <v>智能手機</v>
      </c>
      <c r="BK185" s="320">
        <v>45782.0</v>
      </c>
      <c r="BL185" s="320" t="str">
        <f t="array" ref="BL185">if(isblank(E185),"",xlookup(E185,'FL5_MP POR_LH_報關備案_G950 &amp; GA'!F:F,'FL5_MP POR_LH_報關備案_G950 &amp; GA'!E:E,"No Need",0,1))</f>
        <v>No Need</v>
      </c>
      <c r="BM185" s="321" t="str">
        <f t="array" ref="BM185">if(isblank(E185),"",xlookup($BM$9&amp;E185,'Import_FL5 MPS (06.06.25) - Sor'!E181:E334&amp;'Import_FL5 MPS (06.06.25) - Sor'!F181:F334,'Import_FL5 MPS (06.06.25) - Sor'!ES181:ES334,"No demand",0,1))</f>
        <v>No demand</v>
      </c>
      <c r="BN185" s="321" t="str">
        <f t="array" ref="BN185">if(isblank(E185),"",xlookup($BN$9&amp;E185,'Import_FL5 MPS (06.06.25) - Sor'!E181:E334&amp;'Import_FL5 MPS (06.06.25) - Sor'!F181:F334,'Import_FL5 MPS (06.06.25) - Sor'!ES181:ES334,"No demand",0,1))</f>
        <v>No demand</v>
      </c>
      <c r="BO185" s="321" t="str">
        <f t="array" ref="BO185">if(isblank(E185),"",xlookup($BO$9&amp;E185,'Import_FL5 MPS (06.06.25) - Sor'!E181:E334&amp;'Import_FL5 MPS (06.06.25) - Sor'!F181:F334,'Import_FL5 MPS (06.06.25) - Sor'!ES181:ES334,"No demand",0,1))</f>
        <v>No demand</v>
      </c>
      <c r="BP185" s="322" t="str">
        <f t="array" ref="BP185">if(isblank(E185),"", xlookup(E185,'Import_LH_Label approve'!E:E,'Import_LH_Label approve'!L:L,"",0,1))</f>
        <v/>
      </c>
      <c r="BQ185" s="322" t="str">
        <f t="array" ref="BQ185">if(isblank(E185),"",xlookup(E185,'Import_VN_Label approve'!E:E,'Import_VN_Label approve'!M:M,"N/A",0,1))</f>
        <v>N/A</v>
      </c>
      <c r="BR185" s="313"/>
      <c r="BS185" s="323"/>
      <c r="BT185" s="324"/>
      <c r="BU185" s="91"/>
    </row>
    <row r="186" hidden="1">
      <c r="A186" s="7"/>
      <c r="B186" s="292">
        <v>175.0</v>
      </c>
      <c r="C186" s="231" t="s">
        <v>284</v>
      </c>
      <c r="D186" s="231" t="s">
        <v>408</v>
      </c>
      <c r="E186" s="350" t="s">
        <v>1300</v>
      </c>
      <c r="F186" s="313" t="s">
        <v>1209</v>
      </c>
      <c r="G186" s="294" t="s">
        <v>471</v>
      </c>
      <c r="H186" s="292" t="str">
        <f t="array" ref="H186">xlookup(F186,z_Others!$B$21:$B$45,z_Others!$E$21:$E$45,"",0,1)</f>
        <v>mmWave</v>
      </c>
      <c r="I186" s="310" t="s">
        <v>431</v>
      </c>
      <c r="J186" s="231" t="str">
        <f t="array" ref="J186">if(isblank(E186),"",xlookup(I186,z_Others!$M$17:$M$20,z_Others!$O$17:$O$20,"",0,1))</f>
        <v>Lemongrass</v>
      </c>
      <c r="K186" s="292" t="str">
        <f t="array" ref="K186">xlookup(I186,z_Others!$M$17:$M$20,z_Others!$N$17:$N$20,"",0,1)</f>
        <v>YEL</v>
      </c>
      <c r="L186" s="292" t="str">
        <f t="array" ref="L186">xlookup(F186,z_Others!$B$21:$B$45,z_Others!$D$21:$D$45,"",0,1)</f>
        <v>GLBW0</v>
      </c>
      <c r="M186" s="296" t="str">
        <f t="array" ref="M186">xlookup(F186,z_Others!$B$21:$B$45,z_Others!$C$21:$C$45,"",0,1)</f>
        <v>NA</v>
      </c>
      <c r="N186" s="297">
        <f t="array" ref="N186">if(isblank(E186),"",xlookup($N$9&amp;M186,z_Others!$X$5:$X$17&amp;z_Others!$W$5:$W$17,z_Others!$Z$5:$Z$17,"",0,1))</f>
        <v>35124436</v>
      </c>
      <c r="O186" s="298" t="str">
        <f t="array" ref="O186">if(isblank(E186),"",xlookup($N$9&amp;M186,z_Others!$X$5:$X$17&amp;z_Others!$W$5:$W$17,z_Others!$AH$5:$AH$17,"",0,1))</f>
        <v>35 124436 070000x
</v>
      </c>
      <c r="P186" s="299" t="str">
        <f t="array" ref="P186">if(isblank(E186),"",xlookup($N$9&amp;M186,z_Others!$X$5:$X$17&amp;z_Others!$W$5:$W$17,z_Others!$AI$5:$AI$17,"",0,1))</f>
        <v>35 124436 999999x</v>
      </c>
      <c r="Q186" s="300" t="s">
        <v>413</v>
      </c>
      <c r="R186" s="301" t="s">
        <v>414</v>
      </c>
      <c r="S186" s="302">
        <f t="array" ref="S186">if(isblank(E186),"",xlookup($S$9&amp;M186,z_Others!$X$5:$X$17&amp;z_Others!$W$5:$W$17,z_Others!$Z$5:$Z$17,"",0,1))</f>
        <v>35676628</v>
      </c>
      <c r="T186" s="303" t="str">
        <f t="array" ref="T186">if(isblank(E186),"",xlookup($S$9&amp;M186,z_Others!$X$5:$X$17&amp;z_Others!$W$5:$W$17,z_Others!$AH$5:$AH$17,"",0,1))</f>
        <v>35 676628 040000x
35 676628 340000x</v>
      </c>
      <c r="U186" s="303" t="str">
        <f t="array" ref="U186">if(isblank(E186),"",xlookup($S$9&amp;M186,z_Others!$X$5:$X$17&amp;z_Others!$W$5:$W$17,z_Others!$AI$5:$AI$17,"",0,1))</f>
        <v>35 676628 999999x
35 676628 639999x</v>
      </c>
      <c r="V186" s="303" t="str">
        <f t="shared" si="2"/>
        <v>64:9D:38:32:91:82
B0:D5:FB:C6:60:70</v>
      </c>
      <c r="W186" s="303" t="str">
        <f t="shared" si="3"/>
        <v>64:9D:38:37:25:61
B0:D5:FB:CE:01:8F</v>
      </c>
      <c r="X186" s="304" t="str">
        <f t="shared" si="4"/>
        <v>MP1.0</v>
      </c>
      <c r="Y186" s="292"/>
      <c r="Z186" s="304" t="str">
        <f t="shared" si="32"/>
        <v>Android 16</v>
      </c>
      <c r="AA186" s="304" t="str">
        <f t="shared" si="46"/>
        <v>TBD</v>
      </c>
      <c r="AB186" s="305" t="s">
        <v>1301</v>
      </c>
      <c r="AC186" s="361" t="s">
        <v>1175</v>
      </c>
      <c r="AD186" s="306"/>
      <c r="AE186" s="335"/>
      <c r="AF186" s="308"/>
      <c r="AG186" s="308"/>
      <c r="AH186" s="297" t="str">
        <f t="array" ref="AH186">if(isblank(E186),"",xlookup(F186,z_Others!$B$21:$B$45,z_Others!$F$21:$F$45,"TBD",0,1))</f>
        <v>00</v>
      </c>
      <c r="AI186" s="310" t="str">
        <f t="array" ref="AI186">if(isblank(E186),"", xlookup(E186,'Import_FL5_LH_PVTMP_Configs (Do'!E:E,'Import_FL5_LH_PVTMP_Configs (Do'!O:O,"TBD",0,1))</f>
        <v>TBD</v>
      </c>
      <c r="AJ186" s="311"/>
      <c r="AK186" s="310" t="str">
        <f t="array" ref="AK186">if(isblank(E186),"", xlookup(E186,'Import_FL5_LH_PVTMP_Configs (Do'!E:E,'Import_FL5_LH_PVTMP_Configs (Do'!Q:Q,"TBD",0,1))</f>
        <v>TBD</v>
      </c>
      <c r="AL186" s="310" t="str">
        <f t="array" ref="AL186">if(isblank(E186),"", xlookup(E186,'Import_FL5_LH_PVTMP_Configs (Do'!E:E,'Import_FL5_LH_PVTMP_Configs (Do'!M:M,"TBD",0,1))</f>
        <v>TBD</v>
      </c>
      <c r="AM186" s="310" t="str">
        <f t="array" ref="AM186">if(isblank(E186),"", xlookup(E186,'Import_FL5_LH_PVTMP_Configs (Do'!E:E,'Import_FL5_LH_PVTMP_Configs (Do'!N:N,"TBD",0,1))</f>
        <v>TBD</v>
      </c>
      <c r="AN186" s="310" t="str">
        <f t="array" ref="AN186">if(isblank(E186),"", xlookup(E186,'Import_FL5_LH_PVTMP_Configs (Do'!E:E,'Import_FL5_LH_PVTMP_Configs (Do'!K:K,"TBD",0,1))</f>
        <v>TBD</v>
      </c>
      <c r="AO186" s="292" t="str">
        <f t="array" ref="AO186">if(isblank(E186),"",XLOOKUP(E186,'FL5_G954 Pkg ASSY (Pkg BOM)'!L:L,'FL5_G954 Pkg ASSY (Pkg BOM)'!G:G,"N/A",0,1))</f>
        <v>N/A</v>
      </c>
      <c r="AP186" s="292" t="str">
        <f t="array" ref="AP186">if(isblank(E186),"",xlookup(E186,'FL5_G962 Country kit (Accesorie'!L:L,'FL5_G962 Country kit (Accesorie'!G:G,"N/A",0,1))</f>
        <v>N/A</v>
      </c>
      <c r="AQ186" s="304" t="str">
        <f t="array" ref="AQ186">if(isblank(E186),"", xlookup(E186,'Import_LH_Label approve'!E:E,'Import_LH_Label approve'!M:M,"",0,1))</f>
        <v/>
      </c>
      <c r="AR186" s="304" t="str">
        <f t="array" ref="AR186">if(isblank(E186),"",xlookup(E186,'Import_LH_Label approve'!E:E,'Import_LH_Label approve'!N:N,"",0,1))</f>
        <v/>
      </c>
      <c r="AS186" s="292" t="s">
        <v>596</v>
      </c>
      <c r="AT186" s="302" t="str">
        <f t="shared" si="6"/>
        <v>Yes</v>
      </c>
      <c r="AU186" s="302" t="str">
        <f t="shared" si="7"/>
        <v>No</v>
      </c>
      <c r="AV186" s="302" t="str">
        <f t="shared" si="8"/>
        <v>No</v>
      </c>
      <c r="AW186" s="302"/>
      <c r="AX186" s="302" t="s">
        <v>585</v>
      </c>
      <c r="AY186" s="302" t="s">
        <v>585</v>
      </c>
      <c r="AZ186" s="312" t="str">
        <f t="array" ref="AZ186">if(isblank(E186),"", xlookup(E186,Import_FL5_LH_PVT_BM!D:D,Import_FL5_LH_PVT_BM!AK:AK,$F$4,0,1))</f>
        <v>MP</v>
      </c>
      <c r="BA186" s="292" t="str">
        <f t="shared" si="9"/>
        <v>Retail_10ct</v>
      </c>
      <c r="BB186" s="313" t="str">
        <f t="array" ref="BB186">if(isblank(E186),"",xlookup(F186,z_Others!$B$21:$B$42,z_Others!$G$21:$G$42,"No",0,1))</f>
        <v>ROW Master Carton Label (UPC)</v>
      </c>
      <c r="BC186" s="313" t="str">
        <f t="array" ref="BC186">if(isblank(E186),"",xlookup(F186,z_Others!$B$21:$B$42,z_Others!$H$21:$H$42,"No",0,1))</f>
        <v>Standard Pallet Label (BTO)
Standard Pallet Label (BTS)</v>
      </c>
      <c r="BD186" s="314" t="str">
        <f t="array" ref="BD186">if(isblank(E186),"",xlookup(E186,'Import_VN_Label approve'!E:E,'Import_VN_Label approve'!L:L,"N/A",0,1))</f>
        <v>N/A</v>
      </c>
      <c r="BE186" s="314" t="str">
        <f t="array" ref="BE186">if(isblank(E186),"",xlookup(E186,'Import_VN_Label approve'!E:E,'Import_VN_Label approve'!N:N,"N/A",0,1))</f>
        <v>N/A</v>
      </c>
      <c r="BF186" s="315"/>
      <c r="BG186" s="316" t="s">
        <v>422</v>
      </c>
      <c r="BH186" s="317" t="s">
        <v>423</v>
      </c>
      <c r="BI186" s="360" t="s">
        <v>1091</v>
      </c>
      <c r="BJ186" s="319" t="str">
        <f t="array" ref="BJ186">if(isblank(E186),"", xlookup(D186,z_Others!$B$5:$B$17,z_Others!$C$5:$C$17,"",0,1))</f>
        <v>智能手機</v>
      </c>
      <c r="BK186" s="320">
        <v>45782.0</v>
      </c>
      <c r="BL186" s="320" t="str">
        <f t="array" ref="BL186">if(isblank(E186),"",xlookup(E186,'FL5_MP POR_LH_報關備案_G950 &amp; GA'!F:F,'FL5_MP POR_LH_報關備案_G950 &amp; GA'!E:E,"No Need",0,1))</f>
        <v>No Need</v>
      </c>
      <c r="BM186" s="321" t="str">
        <f t="array" ref="BM186">if(isblank(E186),"",xlookup($BM$9&amp;E186,'Import_FL5 MPS (06.06.25) - Sor'!E182:E334&amp;'Import_FL5 MPS (06.06.25) - Sor'!F182:F334,'Import_FL5 MPS (06.06.25) - Sor'!ES182:ES334,"No demand",0,1))</f>
        <v>No demand</v>
      </c>
      <c r="BN186" s="321" t="str">
        <f t="array" ref="BN186">if(isblank(E186),"",xlookup($BN$9&amp;E186,'Import_FL5 MPS (06.06.25) - Sor'!E182:E334&amp;'Import_FL5 MPS (06.06.25) - Sor'!F182:F334,'Import_FL5 MPS (06.06.25) - Sor'!ES182:ES334,"No demand",0,1))</f>
        <v>No demand</v>
      </c>
      <c r="BO186" s="321" t="str">
        <f t="array" ref="BO186">if(isblank(E186),"",xlookup($BO$9&amp;E186,'Import_FL5 MPS (06.06.25) - Sor'!E182:E334&amp;'Import_FL5 MPS (06.06.25) - Sor'!F182:F334,'Import_FL5 MPS (06.06.25) - Sor'!ES182:ES334,"No demand",0,1))</f>
        <v>No demand</v>
      </c>
      <c r="BP186" s="322" t="str">
        <f t="array" ref="BP186">if(isblank(E186),"", xlookup(E186,'Import_LH_Label approve'!E:E,'Import_LH_Label approve'!L:L,"",0,1))</f>
        <v/>
      </c>
      <c r="BQ186" s="322" t="str">
        <f t="array" ref="BQ186">if(isblank(E186),"",xlookup(E186,'Import_VN_Label approve'!E:E,'Import_VN_Label approve'!M:M,"N/A",0,1))</f>
        <v>N/A</v>
      </c>
      <c r="BR186" s="313"/>
      <c r="BS186" s="323"/>
      <c r="BT186" s="324"/>
      <c r="BU186" s="91"/>
    </row>
    <row r="187" hidden="1">
      <c r="A187" s="7"/>
      <c r="B187" s="292">
        <v>176.0</v>
      </c>
      <c r="C187" s="231" t="s">
        <v>284</v>
      </c>
      <c r="D187" s="231" t="s">
        <v>408</v>
      </c>
      <c r="E187" s="350" t="s">
        <v>1302</v>
      </c>
      <c r="F187" s="313" t="s">
        <v>1209</v>
      </c>
      <c r="G187" s="294" t="s">
        <v>471</v>
      </c>
      <c r="H187" s="292" t="str">
        <f t="array" ref="H187">xlookup(F187,z_Others!$B$21:$B$45,z_Others!$E$21:$E$45,"",0,1)</f>
        <v>mmWave</v>
      </c>
      <c r="I187" s="310" t="s">
        <v>437</v>
      </c>
      <c r="J187" s="231" t="str">
        <f t="array" ref="J187">if(isblank(E187),"",xlookup(I187,z_Others!$M$17:$M$20,z_Others!$O$17:$O$20,"",0,1))</f>
        <v>Indigo</v>
      </c>
      <c r="K187" s="292" t="str">
        <f t="array" ref="K187">xlookup(I187,z_Others!$M$17:$M$20,z_Others!$N$17:$N$20,"",0,1)</f>
        <v>BUE</v>
      </c>
      <c r="L187" s="292" t="str">
        <f t="array" ref="L187">xlookup(F187,z_Others!$B$21:$B$45,z_Others!$D$21:$D$45,"",0,1)</f>
        <v>GLBW0</v>
      </c>
      <c r="M187" s="296" t="str">
        <f t="array" ref="M187">xlookup(F187,z_Others!$B$21:$B$45,z_Others!$C$21:$C$45,"",0,1)</f>
        <v>NA</v>
      </c>
      <c r="N187" s="297">
        <f t="array" ref="N187">if(isblank(E187),"",xlookup($N$9&amp;M187,z_Others!$X$5:$X$17&amp;z_Others!$W$5:$W$17,z_Others!$Z$5:$Z$17,"",0,1))</f>
        <v>35124436</v>
      </c>
      <c r="O187" s="298" t="str">
        <f t="array" ref="O187">if(isblank(E187),"",xlookup($N$9&amp;M187,z_Others!$X$5:$X$17&amp;z_Others!$W$5:$W$17,z_Others!$AH$5:$AH$17,"",0,1))</f>
        <v>35 124436 070000x
</v>
      </c>
      <c r="P187" s="299" t="str">
        <f t="array" ref="P187">if(isblank(E187),"",xlookup($N$9&amp;M187,z_Others!$X$5:$X$17&amp;z_Others!$W$5:$W$17,z_Others!$AI$5:$AI$17,"",0,1))</f>
        <v>35 124436 999999x</v>
      </c>
      <c r="Q187" s="300" t="s">
        <v>413</v>
      </c>
      <c r="R187" s="301" t="s">
        <v>414</v>
      </c>
      <c r="S187" s="302">
        <f t="array" ref="S187">if(isblank(E187),"",xlookup($S$9&amp;M187,z_Others!$X$5:$X$17&amp;z_Others!$W$5:$W$17,z_Others!$Z$5:$Z$17,"",0,1))</f>
        <v>35676628</v>
      </c>
      <c r="T187" s="303" t="str">
        <f t="array" ref="T187">if(isblank(E187),"",xlookup($S$9&amp;M187,z_Others!$X$5:$X$17&amp;z_Others!$W$5:$W$17,z_Others!$AH$5:$AH$17,"",0,1))</f>
        <v>35 676628 040000x
35 676628 340000x</v>
      </c>
      <c r="U187" s="303" t="str">
        <f t="array" ref="U187">if(isblank(E187),"",xlookup($S$9&amp;M187,z_Others!$X$5:$X$17&amp;z_Others!$W$5:$W$17,z_Others!$AI$5:$AI$17,"",0,1))</f>
        <v>35 676628 999999x
35 676628 639999x</v>
      </c>
      <c r="V187" s="303" t="str">
        <f t="shared" si="2"/>
        <v>64:9D:38:32:91:82
B0:D5:FB:C6:60:70</v>
      </c>
      <c r="W187" s="303" t="str">
        <f t="shared" si="3"/>
        <v>64:9D:38:37:25:61
B0:D5:FB:CE:01:8F</v>
      </c>
      <c r="X187" s="304" t="str">
        <f t="shared" si="4"/>
        <v>MP1.0</v>
      </c>
      <c r="Y187" s="292"/>
      <c r="Z187" s="304" t="str">
        <f t="shared" si="32"/>
        <v>Android 16</v>
      </c>
      <c r="AA187" s="304" t="str">
        <f t="shared" si="46"/>
        <v>TBD</v>
      </c>
      <c r="AB187" s="305" t="s">
        <v>1303</v>
      </c>
      <c r="AC187" s="361" t="s">
        <v>1175</v>
      </c>
      <c r="AD187" s="306"/>
      <c r="AE187" s="335"/>
      <c r="AF187" s="308"/>
      <c r="AG187" s="308"/>
      <c r="AH187" s="297" t="str">
        <f t="array" ref="AH187">if(isblank(E187),"",xlookup(F187,z_Others!$B$21:$B$45,z_Others!$F$21:$F$45,"TBD",0,1))</f>
        <v>00</v>
      </c>
      <c r="AI187" s="310" t="str">
        <f t="array" ref="AI187">if(isblank(E187),"", xlookup(E187,'Import_FL5_LH_PVTMP_Configs (Do'!E:E,'Import_FL5_LH_PVTMP_Configs (Do'!O:O,"TBD",0,1))</f>
        <v>TBD</v>
      </c>
      <c r="AJ187" s="311"/>
      <c r="AK187" s="310" t="str">
        <f t="array" ref="AK187">if(isblank(E187),"", xlookup(E187,'Import_FL5_LH_PVTMP_Configs (Do'!E:E,'Import_FL5_LH_PVTMP_Configs (Do'!Q:Q,"TBD",0,1))</f>
        <v>TBD</v>
      </c>
      <c r="AL187" s="310" t="str">
        <f t="array" ref="AL187">if(isblank(E187),"", xlookup(E187,'Import_FL5_LH_PVTMP_Configs (Do'!E:E,'Import_FL5_LH_PVTMP_Configs (Do'!M:M,"TBD",0,1))</f>
        <v>TBD</v>
      </c>
      <c r="AM187" s="310" t="str">
        <f t="array" ref="AM187">if(isblank(E187),"", xlookup(E187,'Import_FL5_LH_PVTMP_Configs (Do'!E:E,'Import_FL5_LH_PVTMP_Configs (Do'!N:N,"TBD",0,1))</f>
        <v>TBD</v>
      </c>
      <c r="AN187" s="310" t="str">
        <f t="array" ref="AN187">if(isblank(E187),"", xlookup(E187,'Import_FL5_LH_PVTMP_Configs (Do'!E:E,'Import_FL5_LH_PVTMP_Configs (Do'!K:K,"TBD",0,1))</f>
        <v>TBD</v>
      </c>
      <c r="AO187" s="292" t="str">
        <f t="array" ref="AO187">if(isblank(E187),"",XLOOKUP(E187,'FL5_G954 Pkg ASSY (Pkg BOM)'!L:L,'FL5_G954 Pkg ASSY (Pkg BOM)'!G:G,"N/A",0,1))</f>
        <v>N/A</v>
      </c>
      <c r="AP187" s="292" t="str">
        <f t="array" ref="AP187">if(isblank(E187),"",xlookup(E187,'FL5_G962 Country kit (Accesorie'!L:L,'FL5_G962 Country kit (Accesorie'!G:G,"N/A",0,1))</f>
        <v>N/A</v>
      </c>
      <c r="AQ187" s="304" t="str">
        <f t="array" ref="AQ187">if(isblank(E187),"", xlookup(E187,'Import_LH_Label approve'!E:E,'Import_LH_Label approve'!M:M,"",0,1))</f>
        <v/>
      </c>
      <c r="AR187" s="304" t="str">
        <f t="array" ref="AR187">if(isblank(E187),"",xlookup(E187,'Import_LH_Label approve'!E:E,'Import_LH_Label approve'!N:N,"",0,1))</f>
        <v/>
      </c>
      <c r="AS187" s="292" t="s">
        <v>596</v>
      </c>
      <c r="AT187" s="302" t="str">
        <f t="shared" si="6"/>
        <v>Yes</v>
      </c>
      <c r="AU187" s="302" t="str">
        <f t="shared" si="7"/>
        <v>No</v>
      </c>
      <c r="AV187" s="302" t="str">
        <f t="shared" si="8"/>
        <v>No</v>
      </c>
      <c r="AW187" s="302"/>
      <c r="AX187" s="302" t="s">
        <v>585</v>
      </c>
      <c r="AY187" s="302" t="s">
        <v>585</v>
      </c>
      <c r="AZ187" s="312" t="str">
        <f t="array" ref="AZ187">if(isblank(E187),"", xlookup(E187,Import_FL5_LH_PVT_BM!D:D,Import_FL5_LH_PVT_BM!AK:AK,$F$4,0,1))</f>
        <v>MP</v>
      </c>
      <c r="BA187" s="292" t="str">
        <f t="shared" si="9"/>
        <v>Retail_10ct</v>
      </c>
      <c r="BB187" s="313" t="str">
        <f t="array" ref="BB187">if(isblank(E187),"",xlookup(F187,z_Others!$B$21:$B$42,z_Others!$G$21:$G$42,"No",0,1))</f>
        <v>ROW Master Carton Label (UPC)</v>
      </c>
      <c r="BC187" s="313" t="str">
        <f t="array" ref="BC187">if(isblank(E187),"",xlookup(F187,z_Others!$B$21:$B$42,z_Others!$H$21:$H$42,"No",0,1))</f>
        <v>Standard Pallet Label (BTO)
Standard Pallet Label (BTS)</v>
      </c>
      <c r="BD187" s="314" t="str">
        <f t="array" ref="BD187">if(isblank(E187),"",xlookup(E187,'Import_VN_Label approve'!E:E,'Import_VN_Label approve'!L:L,"N/A",0,1))</f>
        <v>N/A</v>
      </c>
      <c r="BE187" s="314" t="str">
        <f t="array" ref="BE187">if(isblank(E187),"",xlookup(E187,'Import_VN_Label approve'!E:E,'Import_VN_Label approve'!N:N,"N/A",0,1))</f>
        <v>N/A</v>
      </c>
      <c r="BF187" s="315"/>
      <c r="BG187" s="316" t="s">
        <v>422</v>
      </c>
      <c r="BH187" s="317" t="s">
        <v>423</v>
      </c>
      <c r="BI187" s="360" t="s">
        <v>1091</v>
      </c>
      <c r="BJ187" s="319" t="str">
        <f t="array" ref="BJ187">if(isblank(E187),"", xlookup(D187,z_Others!$B$5:$B$17,z_Others!$C$5:$C$17,"",0,1))</f>
        <v>智能手機</v>
      </c>
      <c r="BK187" s="320">
        <v>45782.0</v>
      </c>
      <c r="BL187" s="320" t="str">
        <f t="array" ref="BL187">if(isblank(E187),"",xlookup(E187,'FL5_MP POR_LH_報關備案_G950 &amp; GA'!F:F,'FL5_MP POR_LH_報關備案_G950 &amp; GA'!E:E,"No Need",0,1))</f>
        <v>No Need</v>
      </c>
      <c r="BM187" s="321" t="str">
        <f t="array" ref="BM187">if(isblank(E187),"",xlookup($BM$9&amp;E187,'Import_FL5 MPS (06.06.25) - Sor'!E183:E334&amp;'Import_FL5 MPS (06.06.25) - Sor'!F183:F334,'Import_FL5 MPS (06.06.25) - Sor'!ES183:ES334,"No demand",0,1))</f>
        <v>No demand</v>
      </c>
      <c r="BN187" s="321" t="str">
        <f t="array" ref="BN187">if(isblank(E187),"",xlookup($BN$9&amp;E187,'Import_FL5 MPS (06.06.25) - Sor'!E183:E334&amp;'Import_FL5 MPS (06.06.25) - Sor'!F183:F334,'Import_FL5 MPS (06.06.25) - Sor'!ES183:ES334,"No demand",0,1))</f>
        <v>No demand</v>
      </c>
      <c r="BO187" s="321" t="str">
        <f t="array" ref="BO187">if(isblank(E187),"",xlookup($BO$9&amp;E187,'Import_FL5 MPS (06.06.25) - Sor'!E183:E334&amp;'Import_FL5 MPS (06.06.25) - Sor'!F183:F334,'Import_FL5 MPS (06.06.25) - Sor'!ES183:ES334,"No demand",0,1))</f>
        <v>No demand</v>
      </c>
      <c r="BP187" s="322" t="str">
        <f t="array" ref="BP187">if(isblank(E187),"", xlookup(E187,'Import_LH_Label approve'!E:E,'Import_LH_Label approve'!L:L,"",0,1))</f>
        <v/>
      </c>
      <c r="BQ187" s="322" t="str">
        <f t="array" ref="BQ187">if(isblank(E187),"",xlookup(E187,'Import_VN_Label approve'!E:E,'Import_VN_Label approve'!M:M,"N/A",0,1))</f>
        <v>N/A</v>
      </c>
      <c r="BR187" s="313"/>
      <c r="BS187" s="323"/>
      <c r="BT187" s="324"/>
      <c r="BU187" s="91"/>
    </row>
    <row r="188" hidden="1">
      <c r="A188" s="7"/>
      <c r="B188" s="292">
        <v>177.0</v>
      </c>
      <c r="C188" s="231" t="s">
        <v>284</v>
      </c>
      <c r="D188" s="231" t="s">
        <v>408</v>
      </c>
      <c r="E188" s="350" t="s">
        <v>1304</v>
      </c>
      <c r="F188" s="294" t="s">
        <v>492</v>
      </c>
      <c r="G188" s="294" t="s">
        <v>493</v>
      </c>
      <c r="H188" s="292" t="str">
        <f t="array" ref="H188">xlookup(F188,z_Others!$B$21:$B$45,z_Others!$E$21:$E$45,"",0,1)</f>
        <v>Sub6</v>
      </c>
      <c r="I188" s="310" t="s">
        <v>412</v>
      </c>
      <c r="J188" s="231" t="str">
        <f t="array" ref="J188">if(isblank(E188),"",xlookup(I188,z_Others!$M$17:$M$20,z_Others!$O$17:$O$20,"",0,1))</f>
        <v>Obsidian</v>
      </c>
      <c r="K188" s="292" t="str">
        <f t="array" ref="K188">xlookup(I188,z_Others!$M$17:$M$20,z_Others!$N$17:$N$20,"",0,1)</f>
        <v>BLK</v>
      </c>
      <c r="L188" s="292" t="str">
        <f t="array" ref="L188">xlookup(F188,z_Others!$B$21:$B$45,z_Others!$D$21:$D$45,"",0,1)</f>
        <v>GK2MP</v>
      </c>
      <c r="M188" s="296" t="str">
        <f t="array" ref="M188">xlookup(F188,z_Others!$B$21:$B$45,z_Others!$C$21:$C$45,"",0,1)</f>
        <v>ROW</v>
      </c>
      <c r="N188" s="297">
        <v>3.5440766E7</v>
      </c>
      <c r="O188" s="331" t="s">
        <v>494</v>
      </c>
      <c r="P188" s="303" t="s">
        <v>495</v>
      </c>
      <c r="Q188" s="300" t="s">
        <v>413</v>
      </c>
      <c r="R188" s="301" t="s">
        <v>414</v>
      </c>
      <c r="S188" s="302">
        <f t="array" ref="S188">if(isblank(E188),"",xlookup($S$9&amp;M188,z_Others!$X$5:$X$17&amp;z_Others!$W$5:$W$17,z_Others!$Z$5:$Z$17,"",0,1))</f>
        <v>35795514</v>
      </c>
      <c r="T188" s="303" t="str">
        <f t="array" ref="T188">if(isblank(E188),"",xlookup($S$9&amp;M188,z_Others!$X$5:$X$17&amp;z_Others!$W$5:$W$17,z_Others!$AH$5:$AH$17,"",0,1))</f>
        <v>35 795514 040000x</v>
      </c>
      <c r="U188" s="303" t="str">
        <f t="array" ref="U188">if(isblank(E188),"",xlookup($S$9&amp;M188,z_Others!$X$5:$X$17&amp;z_Others!$W$5:$W$17,z_Others!$AI$5:$AI$17,"",0,1))</f>
        <v>35 795514 999999x</v>
      </c>
      <c r="V188" s="303" t="str">
        <f t="shared" si="2"/>
        <v>64:9D:38:32:91:82
B0:D5:FB:C6:60:70</v>
      </c>
      <c r="W188" s="303" t="str">
        <f t="shared" si="3"/>
        <v>64:9D:38:37:25:61
B0:D5:FB:CE:01:8F</v>
      </c>
      <c r="X188" s="304" t="str">
        <f t="shared" si="4"/>
        <v>MP1.0</v>
      </c>
      <c r="Y188" s="292"/>
      <c r="Z188" s="304" t="str">
        <f t="shared" si="32"/>
        <v>Android 16</v>
      </c>
      <c r="AA188" s="304" t="str">
        <f t="shared" si="46"/>
        <v>TBD</v>
      </c>
      <c r="AB188" s="305" t="s">
        <v>1305</v>
      </c>
      <c r="AC188" s="361" t="s">
        <v>1175</v>
      </c>
      <c r="AD188" s="306"/>
      <c r="AE188" s="335"/>
      <c r="AF188" s="308"/>
      <c r="AG188" s="308"/>
      <c r="AH188" s="297" t="str">
        <f t="array" ref="AH188">if(isblank(E188),"",xlookup(F188,z_Others!$B$21:$B$45,z_Others!$F$21:$F$45,"TBD",0,1))</f>
        <v>00</v>
      </c>
      <c r="AI188" s="310" t="str">
        <f t="array" ref="AI188">if(isblank(E188),"", xlookup(E188,'Import_FL5_LH_PVTMP_Configs (Do'!E:E,'Import_FL5_LH_PVTMP_Configs (Do'!O:O,"TBD",0,1))</f>
        <v>TBD</v>
      </c>
      <c r="AJ188" s="311"/>
      <c r="AK188" s="310" t="str">
        <f t="array" ref="AK188">if(isblank(E188),"", xlookup(E188,'Import_FL5_LH_PVTMP_Configs (Do'!E:E,'Import_FL5_LH_PVTMP_Configs (Do'!Q:Q,"TBD",0,1))</f>
        <v>TBD</v>
      </c>
      <c r="AL188" s="310" t="str">
        <f t="array" ref="AL188">if(isblank(E188),"", xlookup(E188,'Import_FL5_LH_PVTMP_Configs (Do'!E:E,'Import_FL5_LH_PVTMP_Configs (Do'!M:M,"TBD",0,1))</f>
        <v>TBD</v>
      </c>
      <c r="AM188" s="310" t="str">
        <f t="array" ref="AM188">if(isblank(E188),"", xlookup(E188,'Import_FL5_LH_PVTMP_Configs (Do'!E:E,'Import_FL5_LH_PVTMP_Configs (Do'!N:N,"TBD",0,1))</f>
        <v>TBD</v>
      </c>
      <c r="AN188" s="310" t="str">
        <f t="array" ref="AN188">if(isblank(E188),"", xlookup(E188,'Import_FL5_LH_PVTMP_Configs (Do'!E:E,'Import_FL5_LH_PVTMP_Configs (Do'!K:K,"TBD",0,1))</f>
        <v>TBD</v>
      </c>
      <c r="AO188" s="292" t="str">
        <f t="array" ref="AO188">if(isblank(E188),"",XLOOKUP(E188,'FL5_G954 Pkg ASSY (Pkg BOM)'!L:L,'FL5_G954 Pkg ASSY (Pkg BOM)'!G:G,"N/A",0,1))</f>
        <v>N/A</v>
      </c>
      <c r="AP188" s="292" t="str">
        <f t="array" ref="AP188">if(isblank(E188),"",xlookup(E188,'FL5_G962 Country kit (Accesorie'!L:L,'FL5_G962 Country kit (Accesorie'!G:G,"N/A",0,1))</f>
        <v>N/A</v>
      </c>
      <c r="AQ188" s="304" t="s">
        <v>1140</v>
      </c>
      <c r="AR188" s="304" t="s">
        <v>1140</v>
      </c>
      <c r="AS188" s="292" t="s">
        <v>596</v>
      </c>
      <c r="AT188" s="302" t="str">
        <f t="shared" si="6"/>
        <v>Yes</v>
      </c>
      <c r="AU188" s="302" t="str">
        <f t="shared" si="7"/>
        <v>No</v>
      </c>
      <c r="AV188" s="302" t="str">
        <f t="shared" si="8"/>
        <v>No</v>
      </c>
      <c r="AW188" s="297"/>
      <c r="AX188" s="302" t="s">
        <v>585</v>
      </c>
      <c r="AY188" s="302" t="s">
        <v>585</v>
      </c>
      <c r="AZ188" s="312" t="str">
        <f t="array" ref="AZ188">if(isblank(E188),"", xlookup(E188,Import_FL5_LH_PVT_BM!D:D,Import_FL5_LH_PVT_BM!AK:AK,$F$4,0,1))</f>
        <v>MP</v>
      </c>
      <c r="BA188" s="292" t="str">
        <f t="shared" si="9"/>
        <v>Retail_10ct</v>
      </c>
      <c r="BB188" s="313" t="str">
        <f t="array" ref="BB188">if(isblank(E188),"",xlookup(F188,z_Others!$B$21:$B$42,z_Others!$G$21:$G$42,"No",0,1))</f>
        <v>ROW Master Carton Label (UPC)</v>
      </c>
      <c r="BC188" s="313" t="str">
        <f t="array" ref="BC188">if(isblank(E188),"",xlookup(F188,z_Others!$B$21:$B$42,z_Others!$H$21:$H$42,"No",0,1))</f>
        <v>Standard Pallet Label (BTO)
Standard Pallet Label (BTS)</v>
      </c>
      <c r="BD188" s="314" t="str">
        <f t="array" ref="BD188">if(isblank(E188),"",xlookup(E188,'Import_VN_Label approve'!E:E,'Import_VN_Label approve'!L:L,"N/A",0,1))</f>
        <v>N/A</v>
      </c>
      <c r="BE188" s="314" t="str">
        <f t="array" ref="BE188">if(isblank(E188),"",xlookup(E188,'Import_VN_Label approve'!E:E,'Import_VN_Label approve'!N:N,"N/A",0,1))</f>
        <v>N/A</v>
      </c>
      <c r="BF188" s="315"/>
      <c r="BG188" s="332" t="s">
        <v>503</v>
      </c>
      <c r="BH188" s="317" t="s">
        <v>504</v>
      </c>
      <c r="BI188" s="360" t="s">
        <v>1091</v>
      </c>
      <c r="BJ188" s="319" t="str">
        <f t="array" ref="BJ188">if(isblank(E188),"", xlookup(D188,z_Others!$B$5:$B$17,z_Others!$C$5:$C$17,"",0,1))</f>
        <v>智能手機</v>
      </c>
      <c r="BK188" s="320">
        <v>45782.0</v>
      </c>
      <c r="BL188" s="320" t="str">
        <f t="array" ref="BL188">if(isblank(E188),"",xlookup(E188,'FL5_MP POR_LH_報關備案_G950 &amp; GA'!F:F,'FL5_MP POR_LH_報關備案_G950 &amp; GA'!E:E,"No Need",0,1))</f>
        <v>No Need</v>
      </c>
      <c r="BM188" s="321" t="str">
        <f t="array" ref="BM188">if(isblank(E188),"",xlookup($BM$9&amp;E188,'Import_FL5 MPS (06.06.25) - Sor'!E184:E334&amp;'Import_FL5 MPS (06.06.25) - Sor'!F184:F334,'Import_FL5 MPS (06.06.25) - Sor'!ES184:ES334,"No demand",0,1))</f>
        <v>No demand</v>
      </c>
      <c r="BN188" s="321" t="str">
        <f t="array" ref="BN188">if(isblank(E188),"",xlookup($BN$9&amp;E188,'Import_FL5 MPS (06.06.25) - Sor'!E184:E334&amp;'Import_FL5 MPS (06.06.25) - Sor'!F184:F334,'Import_FL5 MPS (06.06.25) - Sor'!ES184:ES334,"No demand",0,1))</f>
        <v>No demand</v>
      </c>
      <c r="BO188" s="321" t="str">
        <f t="array" ref="BO188">if(isblank(E188),"",xlookup($BO$9&amp;E188,'Import_FL5 MPS (06.06.25) - Sor'!E184:E334&amp;'Import_FL5 MPS (06.06.25) - Sor'!F184:F334,'Import_FL5 MPS (06.06.25) - Sor'!ES184:ES334,"No demand",0,1))</f>
        <v>No demand</v>
      </c>
      <c r="BP188" s="322" t="str">
        <f t="array" ref="BP188">if(isblank(E188),"", xlookup(E188,'Import_LH_Label approve'!E:E,'Import_LH_Label approve'!L:L,"",0,1))</f>
        <v/>
      </c>
      <c r="BQ188" s="322" t="str">
        <f t="array" ref="BQ188">if(isblank(E188),"",xlookup(E188,'Import_VN_Label approve'!E:E,'Import_VN_Label approve'!M:M,"N/A",0,1))</f>
        <v>N/A</v>
      </c>
      <c r="BR188" s="313"/>
      <c r="BS188" s="323"/>
      <c r="BT188" s="324"/>
      <c r="BU188" s="91"/>
    </row>
    <row r="189" hidden="1">
      <c r="A189" s="7"/>
      <c r="B189" s="292">
        <v>178.0</v>
      </c>
      <c r="C189" s="231" t="s">
        <v>284</v>
      </c>
      <c r="D189" s="231" t="s">
        <v>408</v>
      </c>
      <c r="E189" s="350" t="s">
        <v>1306</v>
      </c>
      <c r="F189" s="294" t="s">
        <v>492</v>
      </c>
      <c r="G189" s="294" t="s">
        <v>493</v>
      </c>
      <c r="H189" s="292" t="str">
        <f t="array" ref="H189">xlookup(F189,z_Others!$B$21:$B$45,z_Others!$E$21:$E$45,"",0,1)</f>
        <v>Sub6</v>
      </c>
      <c r="I189" s="310" t="s">
        <v>425</v>
      </c>
      <c r="J189" s="231" t="str">
        <f t="array" ref="J189">if(isblank(E189),"",xlookup(I189,z_Others!$M$17:$M$20,z_Others!$O$17:$O$20,"",0,1))</f>
        <v>Frost</v>
      </c>
      <c r="K189" s="292" t="str">
        <f t="array" ref="K189">xlookup(I189,z_Others!$M$17:$M$20,z_Others!$N$17:$N$20,"",0,1)</f>
        <v>PPL</v>
      </c>
      <c r="L189" s="292" t="str">
        <f t="array" ref="L189">xlookup(F189,z_Others!$B$21:$B$45,z_Others!$D$21:$D$45,"",0,1)</f>
        <v>GK2MP</v>
      </c>
      <c r="M189" s="296" t="str">
        <f t="array" ref="M189">xlookup(F189,z_Others!$B$21:$B$45,z_Others!$C$21:$C$45,"",0,1)</f>
        <v>ROW</v>
      </c>
      <c r="N189" s="297">
        <v>3.5440766E7</v>
      </c>
      <c r="O189" s="331" t="s">
        <v>494</v>
      </c>
      <c r="P189" s="303" t="s">
        <v>495</v>
      </c>
      <c r="Q189" s="300" t="s">
        <v>413</v>
      </c>
      <c r="R189" s="301" t="s">
        <v>414</v>
      </c>
      <c r="S189" s="302">
        <f t="array" ref="S189">if(isblank(E189),"",xlookup($S$9&amp;M189,z_Others!$X$5:$X$17&amp;z_Others!$W$5:$W$17,z_Others!$Z$5:$Z$17,"",0,1))</f>
        <v>35795514</v>
      </c>
      <c r="T189" s="303" t="str">
        <f t="array" ref="T189">if(isblank(E189),"",xlookup($S$9&amp;M189,z_Others!$X$5:$X$17&amp;z_Others!$W$5:$W$17,z_Others!$AH$5:$AH$17,"",0,1))</f>
        <v>35 795514 040000x</v>
      </c>
      <c r="U189" s="303" t="str">
        <f t="array" ref="U189">if(isblank(E189),"",xlookup($S$9&amp;M189,z_Others!$X$5:$X$17&amp;z_Others!$W$5:$W$17,z_Others!$AI$5:$AI$17,"",0,1))</f>
        <v>35 795514 999999x</v>
      </c>
      <c r="V189" s="303" t="str">
        <f t="shared" si="2"/>
        <v>64:9D:38:32:91:82
B0:D5:FB:C6:60:70</v>
      </c>
      <c r="W189" s="303" t="str">
        <f t="shared" si="3"/>
        <v>64:9D:38:37:25:61
B0:D5:FB:CE:01:8F</v>
      </c>
      <c r="X189" s="304" t="str">
        <f t="shared" si="4"/>
        <v>MP1.0</v>
      </c>
      <c r="Y189" s="292"/>
      <c r="Z189" s="304" t="str">
        <f t="shared" si="32"/>
        <v>Android 16</v>
      </c>
      <c r="AA189" s="304" t="str">
        <f t="shared" si="46"/>
        <v>TBD</v>
      </c>
      <c r="AB189" s="305" t="s">
        <v>1307</v>
      </c>
      <c r="AC189" s="361" t="s">
        <v>1175</v>
      </c>
      <c r="AD189" s="306"/>
      <c r="AE189" s="335"/>
      <c r="AF189" s="308"/>
      <c r="AG189" s="308"/>
      <c r="AH189" s="297" t="str">
        <f t="array" ref="AH189">if(isblank(E189),"",xlookup(F189,z_Others!$B$21:$B$45,z_Others!$F$21:$F$45,"TBD",0,1))</f>
        <v>00</v>
      </c>
      <c r="AI189" s="310" t="str">
        <f t="array" ref="AI189">if(isblank(E189),"", xlookup(E189,'Import_FL5_LH_PVTMP_Configs (Do'!E:E,'Import_FL5_LH_PVTMP_Configs (Do'!O:O,"TBD",0,1))</f>
        <v>TBD</v>
      </c>
      <c r="AJ189" s="311"/>
      <c r="AK189" s="310" t="str">
        <f t="array" ref="AK189">if(isblank(E189),"", xlookup(E189,'Import_FL5_LH_PVTMP_Configs (Do'!E:E,'Import_FL5_LH_PVTMP_Configs (Do'!Q:Q,"TBD",0,1))</f>
        <v>TBD</v>
      </c>
      <c r="AL189" s="310" t="str">
        <f t="array" ref="AL189">if(isblank(E189),"", xlookup(E189,'Import_FL5_LH_PVTMP_Configs (Do'!E:E,'Import_FL5_LH_PVTMP_Configs (Do'!M:M,"TBD",0,1))</f>
        <v>TBD</v>
      </c>
      <c r="AM189" s="310" t="str">
        <f t="array" ref="AM189">if(isblank(E189),"", xlookup(E189,'Import_FL5_LH_PVTMP_Configs (Do'!E:E,'Import_FL5_LH_PVTMP_Configs (Do'!N:N,"TBD",0,1))</f>
        <v>TBD</v>
      </c>
      <c r="AN189" s="310" t="str">
        <f t="array" ref="AN189">if(isblank(E189),"", xlookup(E189,'Import_FL5_LH_PVTMP_Configs (Do'!E:E,'Import_FL5_LH_PVTMP_Configs (Do'!K:K,"TBD",0,1))</f>
        <v>TBD</v>
      </c>
      <c r="AO189" s="292" t="str">
        <f t="array" ref="AO189">if(isblank(E189),"",XLOOKUP(E189,'FL5_G954 Pkg ASSY (Pkg BOM)'!L:L,'FL5_G954 Pkg ASSY (Pkg BOM)'!G:G,"N/A",0,1))</f>
        <v>N/A</v>
      </c>
      <c r="AP189" s="292" t="str">
        <f t="array" ref="AP189">if(isblank(E189),"",xlookup(E189,'FL5_G962 Country kit (Accesorie'!L:L,'FL5_G962 Country kit (Accesorie'!G:G,"N/A",0,1))</f>
        <v>N/A</v>
      </c>
      <c r="AQ189" s="304" t="s">
        <v>1140</v>
      </c>
      <c r="AR189" s="304" t="s">
        <v>1140</v>
      </c>
      <c r="AS189" s="292" t="s">
        <v>596</v>
      </c>
      <c r="AT189" s="302" t="str">
        <f t="shared" si="6"/>
        <v>Yes</v>
      </c>
      <c r="AU189" s="302" t="str">
        <f t="shared" si="7"/>
        <v>No</v>
      </c>
      <c r="AV189" s="302" t="str">
        <f t="shared" si="8"/>
        <v>No</v>
      </c>
      <c r="AW189" s="297"/>
      <c r="AX189" s="302" t="s">
        <v>585</v>
      </c>
      <c r="AY189" s="302" t="s">
        <v>585</v>
      </c>
      <c r="AZ189" s="312" t="str">
        <f t="array" ref="AZ189">if(isblank(E189),"", xlookup(E189,Import_FL5_LH_PVT_BM!D:D,Import_FL5_LH_PVT_BM!AK:AK,$F$4,0,1))</f>
        <v>MP</v>
      </c>
      <c r="BA189" s="292" t="str">
        <f t="shared" si="9"/>
        <v>Retail_10ct</v>
      </c>
      <c r="BB189" s="313" t="str">
        <f t="array" ref="BB189">if(isblank(E189),"",xlookup(F189,z_Others!$B$21:$B$42,z_Others!$G$21:$G$42,"No",0,1))</f>
        <v>ROW Master Carton Label (UPC)</v>
      </c>
      <c r="BC189" s="313" t="str">
        <f t="array" ref="BC189">if(isblank(E189),"",xlookup(F189,z_Others!$B$21:$B$42,z_Others!$H$21:$H$42,"No",0,1))</f>
        <v>Standard Pallet Label (BTO)
Standard Pallet Label (BTS)</v>
      </c>
      <c r="BD189" s="314" t="str">
        <f t="array" ref="BD189">if(isblank(E189),"",xlookup(E189,'Import_VN_Label approve'!E:E,'Import_VN_Label approve'!L:L,"N/A",0,1))</f>
        <v>N/A</v>
      </c>
      <c r="BE189" s="314" t="str">
        <f t="array" ref="BE189">if(isblank(E189),"",xlookup(E189,'Import_VN_Label approve'!E:E,'Import_VN_Label approve'!N:N,"N/A",0,1))</f>
        <v>N/A</v>
      </c>
      <c r="BF189" s="315"/>
      <c r="BG189" s="332" t="s">
        <v>503</v>
      </c>
      <c r="BH189" s="317" t="s">
        <v>504</v>
      </c>
      <c r="BI189" s="360" t="s">
        <v>1091</v>
      </c>
      <c r="BJ189" s="319" t="str">
        <f t="array" ref="BJ189">if(isblank(E189),"", xlookup(D189,z_Others!$B$5:$B$17,z_Others!$C$5:$C$17,"",0,1))</f>
        <v>智能手機</v>
      </c>
      <c r="BK189" s="320">
        <v>45782.0</v>
      </c>
      <c r="BL189" s="320" t="str">
        <f t="array" ref="BL189">if(isblank(E189),"",xlookup(E189,'FL5_MP POR_LH_報關備案_G950 &amp; GA'!F:F,'FL5_MP POR_LH_報關備案_G950 &amp; GA'!E:E,"No Need",0,1))</f>
        <v>No Need</v>
      </c>
      <c r="BM189" s="321" t="str">
        <f t="array" ref="BM189">if(isblank(E189),"",xlookup($BM$9&amp;E189,'Import_FL5 MPS (06.06.25) - Sor'!E185:E334&amp;'Import_FL5 MPS (06.06.25) - Sor'!F185:F334,'Import_FL5 MPS (06.06.25) - Sor'!ES185:ES334,"No demand",0,1))</f>
        <v>No demand</v>
      </c>
      <c r="BN189" s="321" t="str">
        <f t="array" ref="BN189">if(isblank(E189),"",xlookup($BN$9&amp;E189,'Import_FL5 MPS (06.06.25) - Sor'!E185:E334&amp;'Import_FL5 MPS (06.06.25) - Sor'!F185:F334,'Import_FL5 MPS (06.06.25) - Sor'!ES185:ES334,"No demand",0,1))</f>
        <v>No demand</v>
      </c>
      <c r="BO189" s="321" t="str">
        <f t="array" ref="BO189">if(isblank(E189),"",xlookup($BO$9&amp;E189,'Import_FL5 MPS (06.06.25) - Sor'!E185:E334&amp;'Import_FL5 MPS (06.06.25) - Sor'!F185:F334,'Import_FL5 MPS (06.06.25) - Sor'!ES185:ES334,"No demand",0,1))</f>
        <v>No demand</v>
      </c>
      <c r="BP189" s="322" t="str">
        <f t="array" ref="BP189">if(isblank(E189),"", xlookup(E189,'Import_LH_Label approve'!E:E,'Import_LH_Label approve'!L:L,"",0,1))</f>
        <v/>
      </c>
      <c r="BQ189" s="322" t="str">
        <f t="array" ref="BQ189">if(isblank(E189),"",xlookup(E189,'Import_VN_Label approve'!E:E,'Import_VN_Label approve'!M:M,"N/A",0,1))</f>
        <v>N/A</v>
      </c>
      <c r="BR189" s="313"/>
      <c r="BS189" s="323"/>
      <c r="BT189" s="324"/>
      <c r="BU189" s="91"/>
    </row>
    <row r="190" hidden="1">
      <c r="A190" s="7"/>
      <c r="B190" s="292">
        <v>179.0</v>
      </c>
      <c r="C190" s="231" t="s">
        <v>284</v>
      </c>
      <c r="D190" s="231" t="s">
        <v>408</v>
      </c>
      <c r="E190" s="350" t="s">
        <v>1308</v>
      </c>
      <c r="F190" s="294" t="s">
        <v>492</v>
      </c>
      <c r="G190" s="294" t="s">
        <v>493</v>
      </c>
      <c r="H190" s="292" t="str">
        <f t="array" ref="H190">xlookup(F190,z_Others!$B$21:$B$45,z_Others!$E$21:$E$45,"",0,1)</f>
        <v>Sub6</v>
      </c>
      <c r="I190" s="310" t="s">
        <v>431</v>
      </c>
      <c r="J190" s="231" t="str">
        <f t="array" ref="J190">if(isblank(E190),"",xlookup(I190,z_Others!$M$17:$M$20,z_Others!$O$17:$O$20,"",0,1))</f>
        <v>Lemongrass</v>
      </c>
      <c r="K190" s="292" t="str">
        <f t="array" ref="K190">xlookup(I190,z_Others!$M$17:$M$20,z_Others!$N$17:$N$20,"",0,1)</f>
        <v>YEL</v>
      </c>
      <c r="L190" s="292" t="str">
        <f t="array" ref="L190">xlookup(F190,z_Others!$B$21:$B$45,z_Others!$D$21:$D$45,"",0,1)</f>
        <v>GK2MP</v>
      </c>
      <c r="M190" s="296" t="str">
        <f t="array" ref="M190">xlookup(F190,z_Others!$B$21:$B$45,z_Others!$C$21:$C$45,"",0,1)</f>
        <v>ROW</v>
      </c>
      <c r="N190" s="297">
        <v>3.5440766E7</v>
      </c>
      <c r="O190" s="331" t="s">
        <v>494</v>
      </c>
      <c r="P190" s="303" t="s">
        <v>495</v>
      </c>
      <c r="Q190" s="300" t="s">
        <v>413</v>
      </c>
      <c r="R190" s="301" t="s">
        <v>414</v>
      </c>
      <c r="S190" s="302">
        <f t="array" ref="S190">if(isblank(E190),"",xlookup($S$9&amp;M190,z_Others!$X$5:$X$17&amp;z_Others!$W$5:$W$17,z_Others!$Z$5:$Z$17,"",0,1))</f>
        <v>35795514</v>
      </c>
      <c r="T190" s="303" t="str">
        <f t="array" ref="T190">if(isblank(E190),"",xlookup($S$9&amp;M190,z_Others!$X$5:$X$17&amp;z_Others!$W$5:$W$17,z_Others!$AH$5:$AH$17,"",0,1))</f>
        <v>35 795514 040000x</v>
      </c>
      <c r="U190" s="303" t="str">
        <f t="array" ref="U190">if(isblank(E190),"",xlookup($S$9&amp;M190,z_Others!$X$5:$X$17&amp;z_Others!$W$5:$W$17,z_Others!$AI$5:$AI$17,"",0,1))</f>
        <v>35 795514 999999x</v>
      </c>
      <c r="V190" s="303" t="str">
        <f t="shared" si="2"/>
        <v>64:9D:38:32:91:82
B0:D5:FB:C6:60:70</v>
      </c>
      <c r="W190" s="303" t="str">
        <f t="shared" si="3"/>
        <v>64:9D:38:37:25:61
B0:D5:FB:CE:01:8F</v>
      </c>
      <c r="X190" s="304" t="str">
        <f t="shared" si="4"/>
        <v>MP1.0</v>
      </c>
      <c r="Y190" s="292"/>
      <c r="Z190" s="304" t="str">
        <f t="shared" si="32"/>
        <v>Android 16</v>
      </c>
      <c r="AA190" s="304" t="str">
        <f t="shared" si="46"/>
        <v>TBD</v>
      </c>
      <c r="AB190" s="305" t="s">
        <v>1309</v>
      </c>
      <c r="AC190" s="361" t="s">
        <v>1175</v>
      </c>
      <c r="AD190" s="306"/>
      <c r="AE190" s="335"/>
      <c r="AF190" s="308"/>
      <c r="AG190" s="308"/>
      <c r="AH190" s="297" t="str">
        <f t="array" ref="AH190">if(isblank(E190),"",xlookup(F190,z_Others!$B$21:$B$45,z_Others!$F$21:$F$45,"TBD",0,1))</f>
        <v>00</v>
      </c>
      <c r="AI190" s="310" t="str">
        <f t="array" ref="AI190">if(isblank(E190),"", xlookup(E190,'Import_FL5_LH_PVTMP_Configs (Do'!E:E,'Import_FL5_LH_PVTMP_Configs (Do'!O:O,"TBD",0,1))</f>
        <v>TBD</v>
      </c>
      <c r="AJ190" s="311"/>
      <c r="AK190" s="310" t="str">
        <f t="array" ref="AK190">if(isblank(E190),"", xlookup(E190,'Import_FL5_LH_PVTMP_Configs (Do'!E:E,'Import_FL5_LH_PVTMP_Configs (Do'!Q:Q,"TBD",0,1))</f>
        <v>TBD</v>
      </c>
      <c r="AL190" s="310" t="str">
        <f t="array" ref="AL190">if(isblank(E190),"", xlookup(E190,'Import_FL5_LH_PVTMP_Configs (Do'!E:E,'Import_FL5_LH_PVTMP_Configs (Do'!M:M,"TBD",0,1))</f>
        <v>TBD</v>
      </c>
      <c r="AM190" s="310" t="str">
        <f t="array" ref="AM190">if(isblank(E190),"", xlookup(E190,'Import_FL5_LH_PVTMP_Configs (Do'!E:E,'Import_FL5_LH_PVTMP_Configs (Do'!N:N,"TBD",0,1))</f>
        <v>TBD</v>
      </c>
      <c r="AN190" s="310" t="str">
        <f t="array" ref="AN190">if(isblank(E190),"", xlookup(E190,'Import_FL5_LH_PVTMP_Configs (Do'!E:E,'Import_FL5_LH_PVTMP_Configs (Do'!K:K,"TBD",0,1))</f>
        <v>TBD</v>
      </c>
      <c r="AO190" s="292" t="str">
        <f t="array" ref="AO190">if(isblank(E190),"",XLOOKUP(E190,'FL5_G954 Pkg ASSY (Pkg BOM)'!L:L,'FL5_G954 Pkg ASSY (Pkg BOM)'!G:G,"N/A",0,1))</f>
        <v>N/A</v>
      </c>
      <c r="AP190" s="292" t="str">
        <f t="array" ref="AP190">if(isblank(E190),"",xlookup(E190,'FL5_G962 Country kit (Accesorie'!L:L,'FL5_G962 Country kit (Accesorie'!G:G,"N/A",0,1))</f>
        <v>N/A</v>
      </c>
      <c r="AQ190" s="304" t="s">
        <v>1140</v>
      </c>
      <c r="AR190" s="304" t="s">
        <v>1140</v>
      </c>
      <c r="AS190" s="292" t="s">
        <v>596</v>
      </c>
      <c r="AT190" s="302" t="str">
        <f t="shared" si="6"/>
        <v>Yes</v>
      </c>
      <c r="AU190" s="302" t="str">
        <f t="shared" si="7"/>
        <v>No</v>
      </c>
      <c r="AV190" s="302" t="str">
        <f t="shared" si="8"/>
        <v>No</v>
      </c>
      <c r="AW190" s="297"/>
      <c r="AX190" s="302" t="s">
        <v>585</v>
      </c>
      <c r="AY190" s="302" t="s">
        <v>585</v>
      </c>
      <c r="AZ190" s="312" t="str">
        <f t="array" ref="AZ190">if(isblank(E190),"", xlookup(E190,Import_FL5_LH_PVT_BM!D:D,Import_FL5_LH_PVT_BM!AK:AK,$F$4,0,1))</f>
        <v>MP</v>
      </c>
      <c r="BA190" s="292" t="str">
        <f t="shared" si="9"/>
        <v>Retail_10ct</v>
      </c>
      <c r="BB190" s="313" t="str">
        <f t="array" ref="BB190">if(isblank(E190),"",xlookup(F190,z_Others!$B$21:$B$42,z_Others!$G$21:$G$42,"No",0,1))</f>
        <v>ROW Master Carton Label (UPC)</v>
      </c>
      <c r="BC190" s="313" t="str">
        <f t="array" ref="BC190">if(isblank(E190),"",xlookup(F190,z_Others!$B$21:$B$42,z_Others!$H$21:$H$42,"No",0,1))</f>
        <v>Standard Pallet Label (BTO)
Standard Pallet Label (BTS)</v>
      </c>
      <c r="BD190" s="314" t="str">
        <f t="array" ref="BD190">if(isblank(E190),"",xlookup(E190,'Import_VN_Label approve'!E:E,'Import_VN_Label approve'!L:L,"N/A",0,1))</f>
        <v>N/A</v>
      </c>
      <c r="BE190" s="314" t="str">
        <f t="array" ref="BE190">if(isblank(E190),"",xlookup(E190,'Import_VN_Label approve'!E:E,'Import_VN_Label approve'!N:N,"N/A",0,1))</f>
        <v>N/A</v>
      </c>
      <c r="BF190" s="315"/>
      <c r="BG190" s="332" t="s">
        <v>503</v>
      </c>
      <c r="BH190" s="317" t="s">
        <v>504</v>
      </c>
      <c r="BI190" s="360" t="s">
        <v>1091</v>
      </c>
      <c r="BJ190" s="319" t="str">
        <f t="array" ref="BJ190">if(isblank(E190),"", xlookup(D190,z_Others!$B$5:$B$17,z_Others!$C$5:$C$17,"",0,1))</f>
        <v>智能手機</v>
      </c>
      <c r="BK190" s="320">
        <v>45782.0</v>
      </c>
      <c r="BL190" s="320" t="str">
        <f t="array" ref="BL190">if(isblank(E190),"",xlookup(E190,'FL5_MP POR_LH_報關備案_G950 &amp; GA'!F:F,'FL5_MP POR_LH_報關備案_G950 &amp; GA'!E:E,"No Need",0,1))</f>
        <v>No Need</v>
      </c>
      <c r="BM190" s="321" t="str">
        <f t="array" ref="BM190">if(isblank(E190),"",xlookup($BM$9&amp;E190,'Import_FL5 MPS (06.06.25) - Sor'!E186:E334&amp;'Import_FL5 MPS (06.06.25) - Sor'!F186:F334,'Import_FL5 MPS (06.06.25) - Sor'!ES186:ES334,"No demand",0,1))</f>
        <v>No demand</v>
      </c>
      <c r="BN190" s="321" t="str">
        <f t="array" ref="BN190">if(isblank(E190),"",xlookup($BN$9&amp;E190,'Import_FL5 MPS (06.06.25) - Sor'!E186:E334&amp;'Import_FL5 MPS (06.06.25) - Sor'!F186:F334,'Import_FL5 MPS (06.06.25) - Sor'!ES186:ES334,"No demand",0,1))</f>
        <v>No demand</v>
      </c>
      <c r="BO190" s="321" t="str">
        <f t="array" ref="BO190">if(isblank(E190),"",xlookup($BO$9&amp;E190,'Import_FL5 MPS (06.06.25) - Sor'!E186:E334&amp;'Import_FL5 MPS (06.06.25) - Sor'!F186:F334,'Import_FL5 MPS (06.06.25) - Sor'!ES186:ES334,"No demand",0,1))</f>
        <v>No demand</v>
      </c>
      <c r="BP190" s="322" t="str">
        <f t="array" ref="BP190">if(isblank(E190),"", xlookup(E190,'Import_LH_Label approve'!E:E,'Import_LH_Label approve'!L:L,"",0,1))</f>
        <v/>
      </c>
      <c r="BQ190" s="322" t="str">
        <f t="array" ref="BQ190">if(isblank(E190),"",xlookup(E190,'Import_VN_Label approve'!E:E,'Import_VN_Label approve'!M:M,"N/A",0,1))</f>
        <v>N/A</v>
      </c>
      <c r="BR190" s="313"/>
      <c r="BS190" s="323"/>
      <c r="BT190" s="324"/>
      <c r="BU190" s="91"/>
    </row>
    <row r="191" hidden="1">
      <c r="A191" s="7"/>
      <c r="B191" s="292">
        <v>180.0</v>
      </c>
      <c r="C191" s="231" t="s">
        <v>284</v>
      </c>
      <c r="D191" s="231" t="s">
        <v>408</v>
      </c>
      <c r="E191" s="350" t="s">
        <v>1310</v>
      </c>
      <c r="F191" s="294" t="s">
        <v>492</v>
      </c>
      <c r="G191" s="294" t="s">
        <v>493</v>
      </c>
      <c r="H191" s="292" t="str">
        <f t="array" ref="H191">xlookup(F191,z_Others!$B$21:$B$45,z_Others!$E$21:$E$45,"",0,1)</f>
        <v>Sub6</v>
      </c>
      <c r="I191" s="310" t="s">
        <v>437</v>
      </c>
      <c r="J191" s="231" t="str">
        <f t="array" ref="J191">if(isblank(E191),"",xlookup(I191,z_Others!$M$17:$M$20,z_Others!$O$17:$O$20,"",0,1))</f>
        <v>Indigo</v>
      </c>
      <c r="K191" s="292" t="str">
        <f t="array" ref="K191">xlookup(I191,z_Others!$M$17:$M$20,z_Others!$N$17:$N$20,"",0,1)</f>
        <v>BUE</v>
      </c>
      <c r="L191" s="292" t="str">
        <f t="array" ref="L191">xlookup(F191,z_Others!$B$21:$B$45,z_Others!$D$21:$D$45,"",0,1)</f>
        <v>GK2MP</v>
      </c>
      <c r="M191" s="296" t="str">
        <f t="array" ref="M191">xlookup(F191,z_Others!$B$21:$B$45,z_Others!$C$21:$C$45,"",0,1)</f>
        <v>ROW</v>
      </c>
      <c r="N191" s="297">
        <v>3.5440766E7</v>
      </c>
      <c r="O191" s="331" t="s">
        <v>494</v>
      </c>
      <c r="P191" s="303" t="s">
        <v>495</v>
      </c>
      <c r="Q191" s="300" t="s">
        <v>413</v>
      </c>
      <c r="R191" s="301" t="s">
        <v>414</v>
      </c>
      <c r="S191" s="302">
        <f t="array" ref="S191">if(isblank(E191),"",xlookup($S$9&amp;M191,z_Others!$X$5:$X$17&amp;z_Others!$W$5:$W$17,z_Others!$Z$5:$Z$17,"",0,1))</f>
        <v>35795514</v>
      </c>
      <c r="T191" s="303" t="str">
        <f t="array" ref="T191">if(isblank(E191),"",xlookup($S$9&amp;M191,z_Others!$X$5:$X$17&amp;z_Others!$W$5:$W$17,z_Others!$AH$5:$AH$17,"",0,1))</f>
        <v>35 795514 040000x</v>
      </c>
      <c r="U191" s="303" t="str">
        <f t="array" ref="U191">if(isblank(E191),"",xlookup($S$9&amp;M191,z_Others!$X$5:$X$17&amp;z_Others!$W$5:$W$17,z_Others!$AI$5:$AI$17,"",0,1))</f>
        <v>35 795514 999999x</v>
      </c>
      <c r="V191" s="303" t="str">
        <f t="shared" si="2"/>
        <v>64:9D:38:32:91:82
B0:D5:FB:C6:60:70</v>
      </c>
      <c r="W191" s="303" t="str">
        <f t="shared" si="3"/>
        <v>64:9D:38:37:25:61
B0:D5:FB:CE:01:8F</v>
      </c>
      <c r="X191" s="304" t="str">
        <f t="shared" si="4"/>
        <v>MP1.0</v>
      </c>
      <c r="Y191" s="292"/>
      <c r="Z191" s="304" t="str">
        <f t="shared" si="32"/>
        <v>Android 16</v>
      </c>
      <c r="AA191" s="304" t="str">
        <f t="shared" si="46"/>
        <v>TBD</v>
      </c>
      <c r="AB191" s="363" t="s">
        <v>1311</v>
      </c>
      <c r="AC191" s="361" t="s">
        <v>1175</v>
      </c>
      <c r="AD191" s="306"/>
      <c r="AE191" s="335"/>
      <c r="AF191" s="308"/>
      <c r="AG191" s="308"/>
      <c r="AH191" s="297" t="str">
        <f t="array" ref="AH191">if(isblank(E191),"",xlookup(F191,z_Others!$B$21:$B$45,z_Others!$F$21:$F$45,"TBD",0,1))</f>
        <v>00</v>
      </c>
      <c r="AI191" s="310" t="str">
        <f t="array" ref="AI191">if(isblank(E191),"", xlookup(E191,'Import_FL5_LH_PVTMP_Configs (Do'!E:E,'Import_FL5_LH_PVTMP_Configs (Do'!O:O,"TBD",0,1))</f>
        <v>TBD</v>
      </c>
      <c r="AJ191" s="311"/>
      <c r="AK191" s="310" t="str">
        <f t="array" ref="AK191">if(isblank(E191),"", xlookup(E191,'Import_FL5_LH_PVTMP_Configs (Do'!E:E,'Import_FL5_LH_PVTMP_Configs (Do'!Q:Q,"TBD",0,1))</f>
        <v>TBD</v>
      </c>
      <c r="AL191" s="310" t="str">
        <f t="array" ref="AL191">if(isblank(E191),"", xlookup(E191,'Import_FL5_LH_PVTMP_Configs (Do'!E:E,'Import_FL5_LH_PVTMP_Configs (Do'!M:M,"TBD",0,1))</f>
        <v>TBD</v>
      </c>
      <c r="AM191" s="310" t="str">
        <f t="array" ref="AM191">if(isblank(E191),"", xlookup(E191,'Import_FL5_LH_PVTMP_Configs (Do'!E:E,'Import_FL5_LH_PVTMP_Configs (Do'!N:N,"TBD",0,1))</f>
        <v>TBD</v>
      </c>
      <c r="AN191" s="310" t="str">
        <f t="array" ref="AN191">if(isblank(E191),"", xlookup(E191,'Import_FL5_LH_PVTMP_Configs (Do'!E:E,'Import_FL5_LH_PVTMP_Configs (Do'!K:K,"TBD",0,1))</f>
        <v>TBD</v>
      </c>
      <c r="AO191" s="292" t="str">
        <f t="array" ref="AO191">if(isblank(E191),"",XLOOKUP(E191,'FL5_G954 Pkg ASSY (Pkg BOM)'!L:L,'FL5_G954 Pkg ASSY (Pkg BOM)'!G:G,"N/A",0,1))</f>
        <v>N/A</v>
      </c>
      <c r="AP191" s="292" t="str">
        <f t="array" ref="AP191">if(isblank(E191),"",xlookup(E191,'FL5_G962 Country kit (Accesorie'!L:L,'FL5_G962 Country kit (Accesorie'!G:G,"N/A",0,1))</f>
        <v>N/A</v>
      </c>
      <c r="AQ191" s="304" t="s">
        <v>1140</v>
      </c>
      <c r="AR191" s="304" t="s">
        <v>1140</v>
      </c>
      <c r="AS191" s="292" t="s">
        <v>596</v>
      </c>
      <c r="AT191" s="302" t="str">
        <f t="shared" si="6"/>
        <v>Yes</v>
      </c>
      <c r="AU191" s="302" t="str">
        <f t="shared" si="7"/>
        <v>No</v>
      </c>
      <c r="AV191" s="302" t="str">
        <f t="shared" si="8"/>
        <v>No</v>
      </c>
      <c r="AW191" s="297"/>
      <c r="AX191" s="302" t="s">
        <v>585</v>
      </c>
      <c r="AY191" s="302" t="s">
        <v>585</v>
      </c>
      <c r="AZ191" s="312" t="str">
        <f t="array" ref="AZ191">if(isblank(E191),"", xlookup(E191,Import_FL5_LH_PVT_BM!D:D,Import_FL5_LH_PVT_BM!AK:AK,$F$4,0,1))</f>
        <v>MP</v>
      </c>
      <c r="BA191" s="292" t="str">
        <f t="shared" si="9"/>
        <v>Retail_10ct</v>
      </c>
      <c r="BB191" s="313" t="str">
        <f t="array" ref="BB191">if(isblank(E191),"",xlookup(F191,z_Others!$B$21:$B$42,z_Others!$G$21:$G$42,"No",0,1))</f>
        <v>ROW Master Carton Label (UPC)</v>
      </c>
      <c r="BC191" s="313" t="str">
        <f t="array" ref="BC191">if(isblank(E191),"",xlookup(F191,z_Others!$B$21:$B$42,z_Others!$H$21:$H$42,"No",0,1))</f>
        <v>Standard Pallet Label (BTO)
Standard Pallet Label (BTS)</v>
      </c>
      <c r="BD191" s="314" t="str">
        <f t="array" ref="BD191">if(isblank(E191),"",xlookup(E191,'Import_VN_Label approve'!E:E,'Import_VN_Label approve'!L:L,"N/A",0,1))</f>
        <v>N/A</v>
      </c>
      <c r="BE191" s="314" t="str">
        <f t="array" ref="BE191">if(isblank(E191),"",xlookup(E191,'Import_VN_Label approve'!E:E,'Import_VN_Label approve'!N:N,"N/A",0,1))</f>
        <v>N/A</v>
      </c>
      <c r="BF191" s="315"/>
      <c r="BG191" s="332" t="s">
        <v>503</v>
      </c>
      <c r="BH191" s="317" t="s">
        <v>504</v>
      </c>
      <c r="BI191" s="360" t="s">
        <v>1091</v>
      </c>
      <c r="BJ191" s="319" t="str">
        <f t="array" ref="BJ191">if(isblank(E191),"", xlookup(D191,z_Others!$B$5:$B$17,z_Others!$C$5:$C$17,"",0,1))</f>
        <v>智能手機</v>
      </c>
      <c r="BK191" s="320">
        <v>45782.0</v>
      </c>
      <c r="BL191" s="320" t="str">
        <f t="array" ref="BL191">if(isblank(E191),"",xlookup(E191,'FL5_MP POR_LH_報關備案_G950 &amp; GA'!F:F,'FL5_MP POR_LH_報關備案_G950 &amp; GA'!E:E,"No Need",0,1))</f>
        <v>No Need</v>
      </c>
      <c r="BM191" s="321" t="str">
        <f t="array" ref="BM191">if(isblank(E191),"",xlookup($BM$9&amp;E191,'Import_FL5 MPS (06.06.25) - Sor'!E187:E334&amp;'Import_FL5 MPS (06.06.25) - Sor'!F187:F334,'Import_FL5 MPS (06.06.25) - Sor'!ES187:ES334,"No demand",0,1))</f>
        <v>No demand</v>
      </c>
      <c r="BN191" s="321" t="str">
        <f t="array" ref="BN191">if(isblank(E191),"",xlookup($BN$9&amp;E191,'Import_FL5 MPS (06.06.25) - Sor'!E187:E334&amp;'Import_FL5 MPS (06.06.25) - Sor'!F187:F334,'Import_FL5 MPS (06.06.25) - Sor'!ES187:ES334,"No demand",0,1))</f>
        <v>No demand</v>
      </c>
      <c r="BO191" s="321" t="str">
        <f t="array" ref="BO191">if(isblank(E191),"",xlookup($BO$9&amp;E191,'Import_FL5 MPS (06.06.25) - Sor'!E187:E334&amp;'Import_FL5 MPS (06.06.25) - Sor'!F187:F334,'Import_FL5 MPS (06.06.25) - Sor'!ES187:ES334,"No demand",0,1))</f>
        <v>No demand</v>
      </c>
      <c r="BP191" s="322" t="str">
        <f t="array" ref="BP191">if(isblank(E191),"", xlookup(E191,'Import_LH_Label approve'!E:E,'Import_LH_Label approve'!L:L,"",0,1))</f>
        <v/>
      </c>
      <c r="BQ191" s="322" t="str">
        <f t="array" ref="BQ191">if(isblank(E191),"",xlookup(E191,'Import_VN_Label approve'!E:E,'Import_VN_Label approve'!M:M,"N/A",0,1))</f>
        <v>N/A</v>
      </c>
      <c r="BR191" s="313"/>
      <c r="BS191" s="323"/>
      <c r="BT191" s="324"/>
      <c r="BU191" s="91"/>
    </row>
    <row r="192" hidden="1">
      <c r="A192" s="7"/>
      <c r="B192" s="292">
        <v>181.0</v>
      </c>
      <c r="C192" s="231" t="s">
        <v>284</v>
      </c>
      <c r="D192" s="231" t="s">
        <v>408</v>
      </c>
      <c r="E192" s="350" t="s">
        <v>1312</v>
      </c>
      <c r="F192" s="325" t="s">
        <v>1242</v>
      </c>
      <c r="G192" s="355" t="s">
        <v>528</v>
      </c>
      <c r="H192" s="292" t="str">
        <f t="array" ref="H192">xlookup(F192,z_Others!$B$21:$B$45,z_Others!$E$21:$E$45,"",0,1)</f>
        <v>Sub6</v>
      </c>
      <c r="I192" s="310" t="s">
        <v>412</v>
      </c>
      <c r="J192" s="231" t="str">
        <f t="array" ref="J192">if(isblank(E192),"",xlookup(I192,z_Others!$M$17:$M$20,z_Others!$O$17:$O$20,"",0,1))</f>
        <v>Obsidian</v>
      </c>
      <c r="K192" s="292" t="str">
        <f t="array" ref="K192">xlookup(I192,z_Others!$M$17:$M$20,z_Others!$N$17:$N$20,"",0,1)</f>
        <v>BLK</v>
      </c>
      <c r="L192" s="292" t="str">
        <f t="array" ref="L192">xlookup(F192,z_Others!$B$21:$B$45,z_Others!$D$21:$D$45,"",0,1)</f>
        <v>GK2MP</v>
      </c>
      <c r="M192" s="296" t="str">
        <f t="array" ref="M192">xlookup(F192,z_Others!$B$21:$B$45,z_Others!$C$21:$C$45,"",0,1)</f>
        <v>ROW</v>
      </c>
      <c r="N192" s="297">
        <v>3.5440766E7</v>
      </c>
      <c r="O192" s="331" t="s">
        <v>494</v>
      </c>
      <c r="P192" s="303" t="s">
        <v>495</v>
      </c>
      <c r="Q192" s="300" t="s">
        <v>413</v>
      </c>
      <c r="R192" s="301" t="s">
        <v>414</v>
      </c>
      <c r="S192" s="302">
        <f t="array" ref="S192">if(isblank(E192),"",xlookup($S$9&amp;M192,z_Others!$X$5:$X$17&amp;z_Others!$W$5:$W$17,z_Others!$Z$5:$Z$17,"",0,1))</f>
        <v>35795514</v>
      </c>
      <c r="T192" s="303" t="str">
        <f t="array" ref="T192">if(isblank(E192),"",xlookup($S$9&amp;M192,z_Others!$X$5:$X$17&amp;z_Others!$W$5:$W$17,z_Others!$AH$5:$AH$17,"",0,1))</f>
        <v>35 795514 040000x</v>
      </c>
      <c r="U192" s="303" t="str">
        <f t="array" ref="U192">if(isblank(E192),"",xlookup($S$9&amp;M192,z_Others!$X$5:$X$17&amp;z_Others!$W$5:$W$17,z_Others!$AI$5:$AI$17,"",0,1))</f>
        <v>35 795514 999999x</v>
      </c>
      <c r="V192" s="303" t="str">
        <f t="shared" si="2"/>
        <v>64:9D:38:32:91:82
B0:D5:FB:C6:60:70</v>
      </c>
      <c r="W192" s="303" t="str">
        <f t="shared" si="3"/>
        <v>64:9D:38:37:25:61
B0:D5:FB:CE:01:8F</v>
      </c>
      <c r="X192" s="304" t="str">
        <f t="shared" si="4"/>
        <v>MP1.0</v>
      </c>
      <c r="Y192" s="292"/>
      <c r="Z192" s="304" t="str">
        <f t="shared" si="32"/>
        <v>Android 16</v>
      </c>
      <c r="AA192" s="304" t="str">
        <f t="shared" si="46"/>
        <v>TBD</v>
      </c>
      <c r="AB192" s="305" t="s">
        <v>1313</v>
      </c>
      <c r="AC192" s="361" t="s">
        <v>1175</v>
      </c>
      <c r="AD192" s="306"/>
      <c r="AE192" s="335"/>
      <c r="AF192" s="308"/>
      <c r="AG192" s="308"/>
      <c r="AH192" s="297" t="str">
        <f t="array" ref="AH192">if(isblank(E192),"",xlookup(F192,z_Others!$B$21:$B$45,z_Others!$F$21:$F$45,"TBD",0,1))</f>
        <v>00</v>
      </c>
      <c r="AI192" s="310" t="str">
        <f t="array" ref="AI192">if(isblank(E192),"", xlookup(E192,'Import_FL5_LH_PVTMP_Configs (Do'!E:E,'Import_FL5_LH_PVTMP_Configs (Do'!O:O,"TBD",0,1))</f>
        <v>TBD</v>
      </c>
      <c r="AJ192" s="311"/>
      <c r="AK192" s="310" t="str">
        <f t="array" ref="AK192">if(isblank(E192),"", xlookup(E192,'Import_FL5_LH_PVTMP_Configs (Do'!E:E,'Import_FL5_LH_PVTMP_Configs (Do'!Q:Q,"TBD",0,1))</f>
        <v>TBD</v>
      </c>
      <c r="AL192" s="310" t="str">
        <f t="array" ref="AL192">if(isblank(E192),"", xlookup(E192,'Import_FL5_LH_PVTMP_Configs (Do'!E:E,'Import_FL5_LH_PVTMP_Configs (Do'!M:M,"TBD",0,1))</f>
        <v>TBD</v>
      </c>
      <c r="AM192" s="310" t="str">
        <f t="array" ref="AM192">if(isblank(E192),"", xlookup(E192,'Import_FL5_LH_PVTMP_Configs (Do'!E:E,'Import_FL5_LH_PVTMP_Configs (Do'!N:N,"TBD",0,1))</f>
        <v>TBD</v>
      </c>
      <c r="AN192" s="310" t="str">
        <f t="array" ref="AN192">if(isblank(E192),"", xlookup(E192,'Import_FL5_LH_PVTMP_Configs (Do'!E:E,'Import_FL5_LH_PVTMP_Configs (Do'!K:K,"TBD",0,1))</f>
        <v>TBD</v>
      </c>
      <c r="AO192" s="292" t="str">
        <f t="array" ref="AO192">if(isblank(E192),"",XLOOKUP(E192,'FL5_G954 Pkg ASSY (Pkg BOM)'!L:L,'FL5_G954 Pkg ASSY (Pkg BOM)'!G:G,"N/A",0,1))</f>
        <v>N/A</v>
      </c>
      <c r="AP192" s="292" t="str">
        <f t="array" ref="AP192">if(isblank(E192),"",xlookup(E192,'FL5_G962 Country kit (Accesorie'!L:L,'FL5_G962 Country kit (Accesorie'!G:G,"N/A",0,1))</f>
        <v>N/A</v>
      </c>
      <c r="AQ192" s="304" t="s">
        <v>1140</v>
      </c>
      <c r="AR192" s="304" t="s">
        <v>1140</v>
      </c>
      <c r="AS192" s="292" t="s">
        <v>596</v>
      </c>
      <c r="AT192" s="302" t="str">
        <f t="shared" si="6"/>
        <v>Yes</v>
      </c>
      <c r="AU192" s="302" t="str">
        <f t="shared" si="7"/>
        <v>Yes</v>
      </c>
      <c r="AV192" s="302" t="str">
        <f t="shared" si="8"/>
        <v>No</v>
      </c>
      <c r="AW192" s="297"/>
      <c r="AX192" s="302" t="s">
        <v>585</v>
      </c>
      <c r="AY192" s="302" t="s">
        <v>585</v>
      </c>
      <c r="AZ192" s="312" t="str">
        <f t="array" ref="AZ192">if(isblank(E192),"", xlookup(E192,Import_FL5_LH_PVT_BM!D:D,Import_FL5_LH_PVT_BM!AK:AK,$F$4,0,1))</f>
        <v>MP</v>
      </c>
      <c r="BA192" s="292" t="str">
        <f t="shared" si="9"/>
        <v>Retail_10ct</v>
      </c>
      <c r="BB192" s="356" t="str">
        <f t="array" ref="BB192">if(isblank(E192),"",xlookup(F192,z_Others!$B$21:$B$42,z_Others!$G$21:$G$42,"No",0,1))</f>
        <v>ROW Master Carton Label (EAN)</v>
      </c>
      <c r="BC192" s="313" t="str">
        <f t="array" ref="BC192">if(isblank(E192),"",xlookup(F192,z_Others!$B$21:$B$42,z_Others!$H$21:$H$42,"No",0,1))</f>
        <v>Standard Pallet Label (BTO)
Standard Pallet Label (BTS)</v>
      </c>
      <c r="BD192" s="314" t="str">
        <f t="array" ref="BD192">if(isblank(E192),"",xlookup(E192,'Import_VN_Label approve'!E:E,'Import_VN_Label approve'!L:L,"N/A",0,1))</f>
        <v>N/A</v>
      </c>
      <c r="BE192" s="314" t="str">
        <f t="array" ref="BE192">if(isblank(E192),"",xlookup(E192,'Import_VN_Label approve'!E:E,'Import_VN_Label approve'!N:N,"N/A",0,1))</f>
        <v>N/A</v>
      </c>
      <c r="BF192" s="315"/>
      <c r="BG192" s="332" t="s">
        <v>503</v>
      </c>
      <c r="BH192" s="317" t="s">
        <v>504</v>
      </c>
      <c r="BI192" s="360" t="s">
        <v>1091</v>
      </c>
      <c r="BJ192" s="319" t="str">
        <f t="array" ref="BJ192">if(isblank(E192),"", xlookup(D192,z_Others!$B$5:$B$17,z_Others!$C$5:$C$17,"",0,1))</f>
        <v>智能手機</v>
      </c>
      <c r="BK192" s="320">
        <v>45782.0</v>
      </c>
      <c r="BL192" s="320" t="str">
        <f t="array" ref="BL192">if(isblank(E192),"",xlookup(E192,'FL5_MP POR_LH_報關備案_G950 &amp; GA'!F:F,'FL5_MP POR_LH_報關備案_G950 &amp; GA'!E:E,"No Need",0,1))</f>
        <v>No Need</v>
      </c>
      <c r="BM192" s="321" t="str">
        <f t="array" ref="BM192">if(isblank(E192),"",xlookup($BM$9&amp;E192,'Import_FL5 MPS (06.06.25) - Sor'!E188:E334&amp;'Import_FL5 MPS (06.06.25) - Sor'!F188:F334,'Import_FL5 MPS (06.06.25) - Sor'!ES188:ES334,"No demand",0,1))</f>
        <v>No demand</v>
      </c>
      <c r="BN192" s="321" t="str">
        <f t="array" ref="BN192">if(isblank(E192),"",xlookup($BN$9&amp;E192,'Import_FL5 MPS (06.06.25) - Sor'!E188:E334&amp;'Import_FL5 MPS (06.06.25) - Sor'!F188:F334,'Import_FL5 MPS (06.06.25) - Sor'!ES188:ES334,"No demand",0,1))</f>
        <v>No demand</v>
      </c>
      <c r="BO192" s="321" t="str">
        <f t="array" ref="BO192">if(isblank(E192),"",xlookup($BO$9&amp;E192,'Import_FL5 MPS (06.06.25) - Sor'!E188:E334&amp;'Import_FL5 MPS (06.06.25) - Sor'!F188:F334,'Import_FL5 MPS (06.06.25) - Sor'!ES188:ES334,"No demand",0,1))</f>
        <v>No demand</v>
      </c>
      <c r="BP192" s="322" t="str">
        <f t="array" ref="BP192">if(isblank(E192),"", xlookup(E192,'Import_LH_Label approve'!E:E,'Import_LH_Label approve'!L:L,"",0,1))</f>
        <v/>
      </c>
      <c r="BQ192" s="322" t="str">
        <f t="array" ref="BQ192">if(isblank(E192),"",xlookup(E192,'Import_VN_Label approve'!E:E,'Import_VN_Label approve'!M:M,"N/A",0,1))</f>
        <v>N/A</v>
      </c>
      <c r="BR192" s="313"/>
      <c r="BS192" s="323"/>
      <c r="BT192" s="324"/>
      <c r="BU192" s="91"/>
    </row>
    <row r="193" hidden="1">
      <c r="A193" s="7"/>
      <c r="B193" s="292">
        <v>182.0</v>
      </c>
      <c r="C193" s="231" t="s">
        <v>284</v>
      </c>
      <c r="D193" s="231" t="s">
        <v>408</v>
      </c>
      <c r="E193" s="350" t="s">
        <v>1314</v>
      </c>
      <c r="F193" s="325" t="s">
        <v>1242</v>
      </c>
      <c r="G193" s="355" t="s">
        <v>528</v>
      </c>
      <c r="H193" s="292" t="str">
        <f t="array" ref="H193">xlookup(F193,z_Others!$B$21:$B$45,z_Others!$E$21:$E$45,"",0,1)</f>
        <v>Sub6</v>
      </c>
      <c r="I193" s="310" t="s">
        <v>425</v>
      </c>
      <c r="J193" s="231" t="str">
        <f t="array" ref="J193">if(isblank(E193),"",xlookup(I193,z_Others!$M$17:$M$20,z_Others!$O$17:$O$20,"",0,1))</f>
        <v>Frost</v>
      </c>
      <c r="K193" s="292" t="str">
        <f t="array" ref="K193">xlookup(I193,z_Others!$M$17:$M$20,z_Others!$N$17:$N$20,"",0,1)</f>
        <v>PPL</v>
      </c>
      <c r="L193" s="292" t="str">
        <f t="array" ref="L193">xlookup(F193,z_Others!$B$21:$B$45,z_Others!$D$21:$D$45,"",0,1)</f>
        <v>GK2MP</v>
      </c>
      <c r="M193" s="296" t="str">
        <f t="array" ref="M193">xlookup(F193,z_Others!$B$21:$B$45,z_Others!$C$21:$C$45,"",0,1)</f>
        <v>ROW</v>
      </c>
      <c r="N193" s="297">
        <v>3.5440766E7</v>
      </c>
      <c r="O193" s="331" t="s">
        <v>494</v>
      </c>
      <c r="P193" s="303" t="s">
        <v>495</v>
      </c>
      <c r="Q193" s="300" t="s">
        <v>413</v>
      </c>
      <c r="R193" s="301" t="s">
        <v>414</v>
      </c>
      <c r="S193" s="302">
        <f t="array" ref="S193">if(isblank(E193),"",xlookup($S$9&amp;M193,z_Others!$X$5:$X$17&amp;z_Others!$W$5:$W$17,z_Others!$Z$5:$Z$17,"",0,1))</f>
        <v>35795514</v>
      </c>
      <c r="T193" s="303" t="str">
        <f t="array" ref="T193">if(isblank(E193),"",xlookup($S$9&amp;M193,z_Others!$X$5:$X$17&amp;z_Others!$W$5:$W$17,z_Others!$AH$5:$AH$17,"",0,1))</f>
        <v>35 795514 040000x</v>
      </c>
      <c r="U193" s="303" t="str">
        <f t="array" ref="U193">if(isblank(E193),"",xlookup($S$9&amp;M193,z_Others!$X$5:$X$17&amp;z_Others!$W$5:$W$17,z_Others!$AI$5:$AI$17,"",0,1))</f>
        <v>35 795514 999999x</v>
      </c>
      <c r="V193" s="303" t="str">
        <f t="shared" si="2"/>
        <v>64:9D:38:32:91:82
B0:D5:FB:C6:60:70</v>
      </c>
      <c r="W193" s="303" t="str">
        <f t="shared" si="3"/>
        <v>64:9D:38:37:25:61
B0:D5:FB:CE:01:8F</v>
      </c>
      <c r="X193" s="304" t="str">
        <f t="shared" si="4"/>
        <v>MP1.0</v>
      </c>
      <c r="Y193" s="292"/>
      <c r="Z193" s="304" t="str">
        <f t="shared" si="32"/>
        <v>Android 16</v>
      </c>
      <c r="AA193" s="304" t="str">
        <f t="shared" si="46"/>
        <v>TBD</v>
      </c>
      <c r="AB193" s="305" t="s">
        <v>1315</v>
      </c>
      <c r="AC193" s="361" t="s">
        <v>1175</v>
      </c>
      <c r="AD193" s="306"/>
      <c r="AE193" s="335"/>
      <c r="AF193" s="308"/>
      <c r="AG193" s="308"/>
      <c r="AH193" s="297" t="str">
        <f t="array" ref="AH193">if(isblank(E193),"",xlookup(F193,z_Others!$B$21:$B$45,z_Others!$F$21:$F$45,"TBD",0,1))</f>
        <v>00</v>
      </c>
      <c r="AI193" s="310" t="str">
        <f t="array" ref="AI193">if(isblank(E193),"", xlookup(E193,'Import_FL5_LH_PVTMP_Configs (Do'!E:E,'Import_FL5_LH_PVTMP_Configs (Do'!O:O,"TBD",0,1))</f>
        <v>TBD</v>
      </c>
      <c r="AJ193" s="311"/>
      <c r="AK193" s="310" t="str">
        <f t="array" ref="AK193">if(isblank(E193),"", xlookup(E193,'Import_FL5_LH_PVTMP_Configs (Do'!E:E,'Import_FL5_LH_PVTMP_Configs (Do'!Q:Q,"TBD",0,1))</f>
        <v>TBD</v>
      </c>
      <c r="AL193" s="310" t="str">
        <f t="array" ref="AL193">if(isblank(E193),"", xlookup(E193,'Import_FL5_LH_PVTMP_Configs (Do'!E:E,'Import_FL5_LH_PVTMP_Configs (Do'!M:M,"TBD",0,1))</f>
        <v>TBD</v>
      </c>
      <c r="AM193" s="310" t="str">
        <f t="array" ref="AM193">if(isblank(E193),"", xlookup(E193,'Import_FL5_LH_PVTMP_Configs (Do'!E:E,'Import_FL5_LH_PVTMP_Configs (Do'!N:N,"TBD",0,1))</f>
        <v>TBD</v>
      </c>
      <c r="AN193" s="310" t="str">
        <f t="array" ref="AN193">if(isblank(E193),"", xlookup(E193,'Import_FL5_LH_PVTMP_Configs (Do'!E:E,'Import_FL5_LH_PVTMP_Configs (Do'!K:K,"TBD",0,1))</f>
        <v>TBD</v>
      </c>
      <c r="AO193" s="292" t="str">
        <f t="array" ref="AO193">if(isblank(E193),"",XLOOKUP(E193,'FL5_G954 Pkg ASSY (Pkg BOM)'!L:L,'FL5_G954 Pkg ASSY (Pkg BOM)'!G:G,"N/A",0,1))</f>
        <v>N/A</v>
      </c>
      <c r="AP193" s="292" t="str">
        <f t="array" ref="AP193">if(isblank(E193),"",xlookup(E193,'FL5_G962 Country kit (Accesorie'!L:L,'FL5_G962 Country kit (Accesorie'!G:G,"N/A",0,1))</f>
        <v>N/A</v>
      </c>
      <c r="AQ193" s="304" t="s">
        <v>1140</v>
      </c>
      <c r="AR193" s="304" t="s">
        <v>1140</v>
      </c>
      <c r="AS193" s="292" t="s">
        <v>596</v>
      </c>
      <c r="AT193" s="302" t="str">
        <f t="shared" si="6"/>
        <v>Yes</v>
      </c>
      <c r="AU193" s="302" t="str">
        <f t="shared" si="7"/>
        <v>Yes</v>
      </c>
      <c r="AV193" s="302" t="str">
        <f t="shared" si="8"/>
        <v>No</v>
      </c>
      <c r="AW193" s="297"/>
      <c r="AX193" s="302" t="s">
        <v>585</v>
      </c>
      <c r="AY193" s="302" t="s">
        <v>585</v>
      </c>
      <c r="AZ193" s="312" t="str">
        <f t="array" ref="AZ193">if(isblank(E193),"", xlookup(E193,Import_FL5_LH_PVT_BM!D:D,Import_FL5_LH_PVT_BM!AK:AK,$F$4,0,1))</f>
        <v>MP</v>
      </c>
      <c r="BA193" s="292" t="str">
        <f t="shared" si="9"/>
        <v>Retail_10ct</v>
      </c>
      <c r="BB193" s="356" t="str">
        <f t="array" ref="BB193">if(isblank(E193),"",xlookup(F193,z_Others!$B$21:$B$42,z_Others!$G$21:$G$42,"No",0,1))</f>
        <v>ROW Master Carton Label (EAN)</v>
      </c>
      <c r="BC193" s="313" t="str">
        <f t="array" ref="BC193">if(isblank(E193),"",xlookup(F193,z_Others!$B$21:$B$42,z_Others!$H$21:$H$42,"No",0,1))</f>
        <v>Standard Pallet Label (BTO)
Standard Pallet Label (BTS)</v>
      </c>
      <c r="BD193" s="314" t="str">
        <f t="array" ref="BD193">if(isblank(E193),"",xlookup(E193,'Import_VN_Label approve'!E:E,'Import_VN_Label approve'!L:L,"N/A",0,1))</f>
        <v>N/A</v>
      </c>
      <c r="BE193" s="314" t="str">
        <f t="array" ref="BE193">if(isblank(E193),"",xlookup(E193,'Import_VN_Label approve'!E:E,'Import_VN_Label approve'!N:N,"N/A",0,1))</f>
        <v>N/A</v>
      </c>
      <c r="BF193" s="315"/>
      <c r="BG193" s="332" t="s">
        <v>503</v>
      </c>
      <c r="BH193" s="317" t="s">
        <v>504</v>
      </c>
      <c r="BI193" s="360" t="s">
        <v>1091</v>
      </c>
      <c r="BJ193" s="319" t="str">
        <f t="array" ref="BJ193">if(isblank(E193),"", xlookup(D193,z_Others!$B$5:$B$17,z_Others!$C$5:$C$17,"",0,1))</f>
        <v>智能手機</v>
      </c>
      <c r="BK193" s="320">
        <v>45782.0</v>
      </c>
      <c r="BL193" s="320" t="str">
        <f t="array" ref="BL193">if(isblank(E193),"",xlookup(E193,'FL5_MP POR_LH_報關備案_G950 &amp; GA'!F:F,'FL5_MP POR_LH_報關備案_G950 &amp; GA'!E:E,"No Need",0,1))</f>
        <v>No Need</v>
      </c>
      <c r="BM193" s="321" t="str">
        <f t="array" ref="BM193">if(isblank(E193),"",xlookup($BM$9&amp;E193,'Import_FL5 MPS (06.06.25) - Sor'!E189:E334&amp;'Import_FL5 MPS (06.06.25) - Sor'!F189:F334,'Import_FL5 MPS (06.06.25) - Sor'!ES189:ES334,"No demand",0,1))</f>
        <v>No demand</v>
      </c>
      <c r="BN193" s="321" t="str">
        <f t="array" ref="BN193">if(isblank(E193),"",xlookup($BN$9&amp;E193,'Import_FL5 MPS (06.06.25) - Sor'!E189:E334&amp;'Import_FL5 MPS (06.06.25) - Sor'!F189:F334,'Import_FL5 MPS (06.06.25) - Sor'!ES189:ES334,"No demand",0,1))</f>
        <v>No demand</v>
      </c>
      <c r="BO193" s="321" t="str">
        <f t="array" ref="BO193">if(isblank(E193),"",xlookup($BO$9&amp;E193,'Import_FL5 MPS (06.06.25) - Sor'!E189:E334&amp;'Import_FL5 MPS (06.06.25) - Sor'!F189:F334,'Import_FL5 MPS (06.06.25) - Sor'!ES189:ES334,"No demand",0,1))</f>
        <v>No demand</v>
      </c>
      <c r="BP193" s="322" t="str">
        <f t="array" ref="BP193">if(isblank(E193),"", xlookup(E193,'Import_LH_Label approve'!E:E,'Import_LH_Label approve'!L:L,"",0,1))</f>
        <v/>
      </c>
      <c r="BQ193" s="322" t="str">
        <f t="array" ref="BQ193">if(isblank(E193),"",xlookup(E193,'Import_VN_Label approve'!E:E,'Import_VN_Label approve'!M:M,"N/A",0,1))</f>
        <v>N/A</v>
      </c>
      <c r="BR193" s="313"/>
      <c r="BS193" s="323"/>
      <c r="BT193" s="324"/>
      <c r="BU193" s="91"/>
    </row>
    <row r="194" hidden="1">
      <c r="A194" s="7"/>
      <c r="B194" s="292">
        <v>183.0</v>
      </c>
      <c r="C194" s="231" t="s">
        <v>284</v>
      </c>
      <c r="D194" s="231" t="s">
        <v>408</v>
      </c>
      <c r="E194" s="350" t="s">
        <v>1316</v>
      </c>
      <c r="F194" s="325" t="s">
        <v>1242</v>
      </c>
      <c r="G194" s="355" t="s">
        <v>528</v>
      </c>
      <c r="H194" s="292" t="str">
        <f t="array" ref="H194">xlookup(F194,z_Others!$B$21:$B$45,z_Others!$E$21:$E$45,"",0,1)</f>
        <v>Sub6</v>
      </c>
      <c r="I194" s="310" t="s">
        <v>431</v>
      </c>
      <c r="J194" s="231" t="str">
        <f t="array" ref="J194">if(isblank(E194),"",xlookup(I194,z_Others!$M$17:$M$20,z_Others!$O$17:$O$20,"",0,1))</f>
        <v>Lemongrass</v>
      </c>
      <c r="K194" s="292" t="str">
        <f t="array" ref="K194">xlookup(I194,z_Others!$M$17:$M$20,z_Others!$N$17:$N$20,"",0,1)</f>
        <v>YEL</v>
      </c>
      <c r="L194" s="292" t="str">
        <f t="array" ref="L194">xlookup(F194,z_Others!$B$21:$B$45,z_Others!$D$21:$D$45,"",0,1)</f>
        <v>GK2MP</v>
      </c>
      <c r="M194" s="296" t="str">
        <f t="array" ref="M194">xlookup(F194,z_Others!$B$21:$B$45,z_Others!$C$21:$C$45,"",0,1)</f>
        <v>ROW</v>
      </c>
      <c r="N194" s="297">
        <v>3.5440766E7</v>
      </c>
      <c r="O194" s="331" t="s">
        <v>494</v>
      </c>
      <c r="P194" s="303" t="s">
        <v>495</v>
      </c>
      <c r="Q194" s="300" t="s">
        <v>413</v>
      </c>
      <c r="R194" s="301" t="s">
        <v>414</v>
      </c>
      <c r="S194" s="302">
        <f t="array" ref="S194">if(isblank(E194),"",xlookup($S$9&amp;M194,z_Others!$X$5:$X$17&amp;z_Others!$W$5:$W$17,z_Others!$Z$5:$Z$17,"",0,1))</f>
        <v>35795514</v>
      </c>
      <c r="T194" s="303" t="str">
        <f t="array" ref="T194">if(isblank(E194),"",xlookup($S$9&amp;M194,z_Others!$X$5:$X$17&amp;z_Others!$W$5:$W$17,z_Others!$AH$5:$AH$17,"",0,1))</f>
        <v>35 795514 040000x</v>
      </c>
      <c r="U194" s="303" t="str">
        <f t="array" ref="U194">if(isblank(E194),"",xlookup($S$9&amp;M194,z_Others!$X$5:$X$17&amp;z_Others!$W$5:$W$17,z_Others!$AI$5:$AI$17,"",0,1))</f>
        <v>35 795514 999999x</v>
      </c>
      <c r="V194" s="303" t="str">
        <f t="shared" si="2"/>
        <v>64:9D:38:32:91:82
B0:D5:FB:C6:60:70</v>
      </c>
      <c r="W194" s="303" t="str">
        <f t="shared" si="3"/>
        <v>64:9D:38:37:25:61
B0:D5:FB:CE:01:8F</v>
      </c>
      <c r="X194" s="304" t="str">
        <f t="shared" si="4"/>
        <v>MP1.0</v>
      </c>
      <c r="Y194" s="292"/>
      <c r="Z194" s="304" t="str">
        <f t="shared" si="32"/>
        <v>Android 16</v>
      </c>
      <c r="AA194" s="304" t="str">
        <f t="shared" si="46"/>
        <v>TBD</v>
      </c>
      <c r="AB194" s="305" t="s">
        <v>1317</v>
      </c>
      <c r="AC194" s="361" t="s">
        <v>1175</v>
      </c>
      <c r="AD194" s="306"/>
      <c r="AE194" s="335"/>
      <c r="AF194" s="308"/>
      <c r="AG194" s="308"/>
      <c r="AH194" s="297" t="str">
        <f t="array" ref="AH194">if(isblank(E194),"",xlookup(F194,z_Others!$B$21:$B$45,z_Others!$F$21:$F$45,"TBD",0,1))</f>
        <v>00</v>
      </c>
      <c r="AI194" s="310" t="str">
        <f t="array" ref="AI194">if(isblank(E194),"", xlookup(E194,'Import_FL5_LH_PVTMP_Configs (Do'!E:E,'Import_FL5_LH_PVTMP_Configs (Do'!O:O,"TBD",0,1))</f>
        <v>TBD</v>
      </c>
      <c r="AJ194" s="311"/>
      <c r="AK194" s="310" t="str">
        <f t="array" ref="AK194">if(isblank(E194),"", xlookup(E194,'Import_FL5_LH_PVTMP_Configs (Do'!E:E,'Import_FL5_LH_PVTMP_Configs (Do'!Q:Q,"TBD",0,1))</f>
        <v>TBD</v>
      </c>
      <c r="AL194" s="310" t="str">
        <f t="array" ref="AL194">if(isblank(E194),"", xlookup(E194,'Import_FL5_LH_PVTMP_Configs (Do'!E:E,'Import_FL5_LH_PVTMP_Configs (Do'!M:M,"TBD",0,1))</f>
        <v>TBD</v>
      </c>
      <c r="AM194" s="310" t="str">
        <f t="array" ref="AM194">if(isblank(E194),"", xlookup(E194,'Import_FL5_LH_PVTMP_Configs (Do'!E:E,'Import_FL5_LH_PVTMP_Configs (Do'!N:N,"TBD",0,1))</f>
        <v>TBD</v>
      </c>
      <c r="AN194" s="310" t="str">
        <f t="array" ref="AN194">if(isblank(E194),"", xlookup(E194,'Import_FL5_LH_PVTMP_Configs (Do'!E:E,'Import_FL5_LH_PVTMP_Configs (Do'!K:K,"TBD",0,1))</f>
        <v>TBD</v>
      </c>
      <c r="AO194" s="292" t="str">
        <f t="array" ref="AO194">if(isblank(E194),"",XLOOKUP(E194,'FL5_G954 Pkg ASSY (Pkg BOM)'!L:L,'FL5_G954 Pkg ASSY (Pkg BOM)'!G:G,"N/A",0,1))</f>
        <v>N/A</v>
      </c>
      <c r="AP194" s="292" t="str">
        <f t="array" ref="AP194">if(isblank(E194),"",xlookup(E194,'FL5_G962 Country kit (Accesorie'!L:L,'FL5_G962 Country kit (Accesorie'!G:G,"N/A",0,1))</f>
        <v>N/A</v>
      </c>
      <c r="AQ194" s="304" t="s">
        <v>1140</v>
      </c>
      <c r="AR194" s="304" t="s">
        <v>1140</v>
      </c>
      <c r="AS194" s="292" t="s">
        <v>596</v>
      </c>
      <c r="AT194" s="302" t="str">
        <f t="shared" si="6"/>
        <v>Yes</v>
      </c>
      <c r="AU194" s="302" t="str">
        <f t="shared" si="7"/>
        <v>Yes</v>
      </c>
      <c r="AV194" s="302" t="str">
        <f t="shared" si="8"/>
        <v>No</v>
      </c>
      <c r="AW194" s="297"/>
      <c r="AX194" s="302" t="s">
        <v>585</v>
      </c>
      <c r="AY194" s="302" t="s">
        <v>585</v>
      </c>
      <c r="AZ194" s="312" t="str">
        <f t="array" ref="AZ194">if(isblank(E194),"", xlookup(E194,Import_FL5_LH_PVT_BM!D:D,Import_FL5_LH_PVT_BM!AK:AK,$F$4,0,1))</f>
        <v>MP</v>
      </c>
      <c r="BA194" s="292" t="str">
        <f t="shared" si="9"/>
        <v>Retail_10ct</v>
      </c>
      <c r="BB194" s="356" t="str">
        <f t="array" ref="BB194">if(isblank(E194),"",xlookup(F194,z_Others!$B$21:$B$42,z_Others!$G$21:$G$42,"No",0,1))</f>
        <v>ROW Master Carton Label (EAN)</v>
      </c>
      <c r="BC194" s="313" t="str">
        <f t="array" ref="BC194">if(isblank(E194),"",xlookup(F194,z_Others!$B$21:$B$42,z_Others!$H$21:$H$42,"No",0,1))</f>
        <v>Standard Pallet Label (BTO)
Standard Pallet Label (BTS)</v>
      </c>
      <c r="BD194" s="314" t="str">
        <f t="array" ref="BD194">if(isblank(E194),"",xlookup(E194,'Import_VN_Label approve'!E:E,'Import_VN_Label approve'!L:L,"N/A",0,1))</f>
        <v>N/A</v>
      </c>
      <c r="BE194" s="314" t="str">
        <f t="array" ref="BE194">if(isblank(E194),"",xlookup(E194,'Import_VN_Label approve'!E:E,'Import_VN_Label approve'!N:N,"N/A",0,1))</f>
        <v>N/A</v>
      </c>
      <c r="BF194" s="315"/>
      <c r="BG194" s="332" t="s">
        <v>503</v>
      </c>
      <c r="BH194" s="317" t="s">
        <v>504</v>
      </c>
      <c r="BI194" s="360" t="s">
        <v>1091</v>
      </c>
      <c r="BJ194" s="319" t="str">
        <f t="array" ref="BJ194">if(isblank(E194),"", xlookup(D194,z_Others!$B$5:$B$17,z_Others!$C$5:$C$17,"",0,1))</f>
        <v>智能手機</v>
      </c>
      <c r="BK194" s="320">
        <v>45782.0</v>
      </c>
      <c r="BL194" s="320" t="str">
        <f t="array" ref="BL194">if(isblank(E194),"",xlookup(E194,'FL5_MP POR_LH_報關備案_G950 &amp; GA'!F:F,'FL5_MP POR_LH_報關備案_G950 &amp; GA'!E:E,"No Need",0,1))</f>
        <v>No Need</v>
      </c>
      <c r="BM194" s="321" t="str">
        <f t="array" ref="BM194">if(isblank(E194),"",xlookup($BM$9&amp;E194,'Import_FL5 MPS (06.06.25) - Sor'!E190:E334&amp;'Import_FL5 MPS (06.06.25) - Sor'!F190:F334,'Import_FL5 MPS (06.06.25) - Sor'!ES190:ES334,"No demand",0,1))</f>
        <v>No demand</v>
      </c>
      <c r="BN194" s="321" t="str">
        <f t="array" ref="BN194">if(isblank(E194),"",xlookup($BN$9&amp;E194,'Import_FL5 MPS (06.06.25) - Sor'!E190:E334&amp;'Import_FL5 MPS (06.06.25) - Sor'!F190:F334,'Import_FL5 MPS (06.06.25) - Sor'!ES190:ES334,"No demand",0,1))</f>
        <v>No demand</v>
      </c>
      <c r="BO194" s="321" t="str">
        <f t="array" ref="BO194">if(isblank(E194),"",xlookup($BO$9&amp;E194,'Import_FL5 MPS (06.06.25) - Sor'!E190:E334&amp;'Import_FL5 MPS (06.06.25) - Sor'!F190:F334,'Import_FL5 MPS (06.06.25) - Sor'!ES190:ES334,"No demand",0,1))</f>
        <v>No demand</v>
      </c>
      <c r="BP194" s="322" t="str">
        <f t="array" ref="BP194">if(isblank(E194),"", xlookup(E194,'Import_LH_Label approve'!E:E,'Import_LH_Label approve'!L:L,"",0,1))</f>
        <v/>
      </c>
      <c r="BQ194" s="322" t="str">
        <f t="array" ref="BQ194">if(isblank(E194),"",xlookup(E194,'Import_VN_Label approve'!E:E,'Import_VN_Label approve'!M:M,"N/A",0,1))</f>
        <v>N/A</v>
      </c>
      <c r="BR194" s="313"/>
      <c r="BS194" s="323"/>
      <c r="BT194" s="324"/>
      <c r="BU194" s="91"/>
    </row>
    <row r="195" hidden="1">
      <c r="A195" s="7"/>
      <c r="B195" s="292">
        <v>184.0</v>
      </c>
      <c r="C195" s="231" t="s">
        <v>284</v>
      </c>
      <c r="D195" s="231" t="s">
        <v>408</v>
      </c>
      <c r="E195" s="350" t="s">
        <v>1318</v>
      </c>
      <c r="F195" s="325" t="s">
        <v>1242</v>
      </c>
      <c r="G195" s="355" t="s">
        <v>528</v>
      </c>
      <c r="H195" s="292" t="str">
        <f t="array" ref="H195">xlookup(F195,z_Others!$B$21:$B$45,z_Others!$E$21:$E$45,"",0,1)</f>
        <v>Sub6</v>
      </c>
      <c r="I195" s="310" t="s">
        <v>437</v>
      </c>
      <c r="J195" s="231" t="str">
        <f t="array" ref="J195">if(isblank(E195),"",xlookup(I195,z_Others!$M$17:$M$20,z_Others!$O$17:$O$20,"",0,1))</f>
        <v>Indigo</v>
      </c>
      <c r="K195" s="292" t="str">
        <f t="array" ref="K195">xlookup(I195,z_Others!$M$17:$M$20,z_Others!$N$17:$N$20,"",0,1)</f>
        <v>BUE</v>
      </c>
      <c r="L195" s="292" t="str">
        <f t="array" ref="L195">xlookup(F195,z_Others!$B$21:$B$45,z_Others!$D$21:$D$45,"",0,1)</f>
        <v>GK2MP</v>
      </c>
      <c r="M195" s="296" t="str">
        <f t="array" ref="M195">xlookup(F195,z_Others!$B$21:$B$45,z_Others!$C$21:$C$45,"",0,1)</f>
        <v>ROW</v>
      </c>
      <c r="N195" s="297">
        <v>3.5440766E7</v>
      </c>
      <c r="O195" s="331" t="s">
        <v>494</v>
      </c>
      <c r="P195" s="303" t="s">
        <v>495</v>
      </c>
      <c r="Q195" s="300" t="s">
        <v>413</v>
      </c>
      <c r="R195" s="301" t="s">
        <v>414</v>
      </c>
      <c r="S195" s="302">
        <f t="array" ref="S195">if(isblank(E195),"",xlookup($S$9&amp;M195,z_Others!$X$5:$X$17&amp;z_Others!$W$5:$W$17,z_Others!$Z$5:$Z$17,"",0,1))</f>
        <v>35795514</v>
      </c>
      <c r="T195" s="303" t="str">
        <f t="array" ref="T195">if(isblank(E195),"",xlookup($S$9&amp;M195,z_Others!$X$5:$X$17&amp;z_Others!$W$5:$W$17,z_Others!$AH$5:$AH$17,"",0,1))</f>
        <v>35 795514 040000x</v>
      </c>
      <c r="U195" s="303" t="str">
        <f t="array" ref="U195">if(isblank(E195),"",xlookup($S$9&amp;M195,z_Others!$X$5:$X$17&amp;z_Others!$W$5:$W$17,z_Others!$AI$5:$AI$17,"",0,1))</f>
        <v>35 795514 999999x</v>
      </c>
      <c r="V195" s="303" t="str">
        <f t="shared" si="2"/>
        <v>64:9D:38:32:91:82
B0:D5:FB:C6:60:70</v>
      </c>
      <c r="W195" s="303" t="str">
        <f t="shared" si="3"/>
        <v>64:9D:38:37:25:61
B0:D5:FB:CE:01:8F</v>
      </c>
      <c r="X195" s="304" t="str">
        <f t="shared" si="4"/>
        <v>MP1.0</v>
      </c>
      <c r="Y195" s="292"/>
      <c r="Z195" s="304" t="str">
        <f t="shared" si="32"/>
        <v>Android 16</v>
      </c>
      <c r="AA195" s="304" t="str">
        <f t="shared" si="46"/>
        <v>TBD</v>
      </c>
      <c r="AB195" s="305" t="s">
        <v>1319</v>
      </c>
      <c r="AC195" s="361" t="s">
        <v>1175</v>
      </c>
      <c r="AD195" s="306"/>
      <c r="AE195" s="335"/>
      <c r="AF195" s="308"/>
      <c r="AG195" s="308"/>
      <c r="AH195" s="297" t="str">
        <f t="array" ref="AH195">if(isblank(E195),"",xlookup(F195,z_Others!$B$21:$B$45,z_Others!$F$21:$F$45,"TBD",0,1))</f>
        <v>00</v>
      </c>
      <c r="AI195" s="310" t="str">
        <f t="array" ref="AI195">if(isblank(E195),"", xlookup(E195,'Import_FL5_LH_PVTMP_Configs (Do'!E:E,'Import_FL5_LH_PVTMP_Configs (Do'!O:O,"TBD",0,1))</f>
        <v>TBD</v>
      </c>
      <c r="AJ195" s="311"/>
      <c r="AK195" s="310" t="str">
        <f t="array" ref="AK195">if(isblank(E195),"", xlookup(E195,'Import_FL5_LH_PVTMP_Configs (Do'!E:E,'Import_FL5_LH_PVTMP_Configs (Do'!Q:Q,"TBD",0,1))</f>
        <v>TBD</v>
      </c>
      <c r="AL195" s="310" t="str">
        <f t="array" ref="AL195">if(isblank(E195),"", xlookup(E195,'Import_FL5_LH_PVTMP_Configs (Do'!E:E,'Import_FL5_LH_PVTMP_Configs (Do'!M:M,"TBD",0,1))</f>
        <v>TBD</v>
      </c>
      <c r="AM195" s="310" t="str">
        <f t="array" ref="AM195">if(isblank(E195),"", xlookup(E195,'Import_FL5_LH_PVTMP_Configs (Do'!E:E,'Import_FL5_LH_PVTMP_Configs (Do'!N:N,"TBD",0,1))</f>
        <v>TBD</v>
      </c>
      <c r="AN195" s="310" t="str">
        <f t="array" ref="AN195">if(isblank(E195),"", xlookup(E195,'Import_FL5_LH_PVTMP_Configs (Do'!E:E,'Import_FL5_LH_PVTMP_Configs (Do'!K:K,"TBD",0,1))</f>
        <v>TBD</v>
      </c>
      <c r="AO195" s="292" t="str">
        <f t="array" ref="AO195">if(isblank(E195),"",XLOOKUP(E195,'FL5_G954 Pkg ASSY (Pkg BOM)'!L:L,'FL5_G954 Pkg ASSY (Pkg BOM)'!G:G,"N/A",0,1))</f>
        <v>N/A</v>
      </c>
      <c r="AP195" s="292" t="str">
        <f t="array" ref="AP195">if(isblank(E195),"",xlookup(E195,'FL5_G962 Country kit (Accesorie'!L:L,'FL5_G962 Country kit (Accesorie'!G:G,"N/A",0,1))</f>
        <v>N/A</v>
      </c>
      <c r="AQ195" s="304" t="s">
        <v>1140</v>
      </c>
      <c r="AR195" s="304" t="s">
        <v>1140</v>
      </c>
      <c r="AS195" s="292" t="s">
        <v>596</v>
      </c>
      <c r="AT195" s="302" t="str">
        <f t="shared" si="6"/>
        <v>Yes</v>
      </c>
      <c r="AU195" s="302" t="str">
        <f t="shared" si="7"/>
        <v>Yes</v>
      </c>
      <c r="AV195" s="302" t="str">
        <f t="shared" si="8"/>
        <v>No</v>
      </c>
      <c r="AW195" s="297"/>
      <c r="AX195" s="302" t="s">
        <v>585</v>
      </c>
      <c r="AY195" s="302" t="s">
        <v>585</v>
      </c>
      <c r="AZ195" s="312" t="str">
        <f t="array" ref="AZ195">if(isblank(E195),"", xlookup(E195,Import_FL5_LH_PVT_BM!D:D,Import_FL5_LH_PVT_BM!AK:AK,$F$4,0,1))</f>
        <v>MP</v>
      </c>
      <c r="BA195" s="292" t="str">
        <f t="shared" si="9"/>
        <v>Retail_10ct</v>
      </c>
      <c r="BB195" s="356" t="str">
        <f t="array" ref="BB195">if(isblank(E195),"",xlookup(F195,z_Others!$B$21:$B$42,z_Others!$G$21:$G$42,"No",0,1))</f>
        <v>ROW Master Carton Label (EAN)</v>
      </c>
      <c r="BC195" s="313" t="str">
        <f t="array" ref="BC195">if(isblank(E195),"",xlookup(F195,z_Others!$B$21:$B$42,z_Others!$H$21:$H$42,"No",0,1))</f>
        <v>Standard Pallet Label (BTO)
Standard Pallet Label (BTS)</v>
      </c>
      <c r="BD195" s="314" t="str">
        <f t="array" ref="BD195">if(isblank(E195),"",xlookup(E195,'Import_VN_Label approve'!E:E,'Import_VN_Label approve'!L:L,"N/A",0,1))</f>
        <v>N/A</v>
      </c>
      <c r="BE195" s="314" t="str">
        <f t="array" ref="BE195">if(isblank(E195),"",xlookup(E195,'Import_VN_Label approve'!E:E,'Import_VN_Label approve'!N:N,"N/A",0,1))</f>
        <v>N/A</v>
      </c>
      <c r="BF195" s="315"/>
      <c r="BG195" s="332" t="s">
        <v>503</v>
      </c>
      <c r="BH195" s="317" t="s">
        <v>504</v>
      </c>
      <c r="BI195" s="360" t="s">
        <v>1091</v>
      </c>
      <c r="BJ195" s="319" t="str">
        <f t="array" ref="BJ195">if(isblank(E195),"", xlookup(D195,z_Others!$B$5:$B$17,z_Others!$C$5:$C$17,"",0,1))</f>
        <v>智能手機</v>
      </c>
      <c r="BK195" s="320">
        <v>45782.0</v>
      </c>
      <c r="BL195" s="320" t="str">
        <f t="array" ref="BL195">if(isblank(E195),"",xlookup(E195,'FL5_MP POR_LH_報關備案_G950 &amp; GA'!F:F,'FL5_MP POR_LH_報關備案_G950 &amp; GA'!E:E,"No Need",0,1))</f>
        <v>No Need</v>
      </c>
      <c r="BM195" s="321" t="str">
        <f t="array" ref="BM195">if(isblank(E195),"",xlookup($BM$9&amp;E195,'Import_FL5 MPS (06.06.25) - Sor'!E191:E334&amp;'Import_FL5 MPS (06.06.25) - Sor'!F191:F334,'Import_FL5 MPS (06.06.25) - Sor'!ES191:ES334,"No demand",0,1))</f>
        <v>No demand</v>
      </c>
      <c r="BN195" s="321" t="str">
        <f t="array" ref="BN195">if(isblank(E195),"",xlookup($BN$9&amp;E195,'Import_FL5 MPS (06.06.25) - Sor'!E191:E334&amp;'Import_FL5 MPS (06.06.25) - Sor'!F191:F334,'Import_FL5 MPS (06.06.25) - Sor'!ES191:ES334,"No demand",0,1))</f>
        <v>No demand</v>
      </c>
      <c r="BO195" s="321" t="str">
        <f t="array" ref="BO195">if(isblank(E195),"",xlookup($BO$9&amp;E195,'Import_FL5 MPS (06.06.25) - Sor'!E191:E334&amp;'Import_FL5 MPS (06.06.25) - Sor'!F191:F334,'Import_FL5 MPS (06.06.25) - Sor'!ES191:ES334,"No demand",0,1))</f>
        <v>No demand</v>
      </c>
      <c r="BP195" s="322" t="str">
        <f t="array" ref="BP195">if(isblank(E195),"", xlookup(E195,'Import_LH_Label approve'!E:E,'Import_LH_Label approve'!L:L,"",0,1))</f>
        <v/>
      </c>
      <c r="BQ195" s="322" t="str">
        <f t="array" ref="BQ195">if(isblank(E195),"",xlookup(E195,'Import_VN_Label approve'!E:E,'Import_VN_Label approve'!M:M,"N/A",0,1))</f>
        <v>N/A</v>
      </c>
      <c r="BR195" s="325"/>
      <c r="BS195" s="323"/>
      <c r="BT195" s="324"/>
      <c r="BU195" s="117"/>
    </row>
    <row r="196" hidden="1">
      <c r="A196" s="7"/>
      <c r="B196" s="292">
        <v>185.0</v>
      </c>
      <c r="C196" s="231" t="s">
        <v>284</v>
      </c>
      <c r="D196" s="231" t="s">
        <v>408</v>
      </c>
      <c r="E196" s="350" t="s">
        <v>1320</v>
      </c>
      <c r="F196" s="323" t="s">
        <v>583</v>
      </c>
      <c r="G196" s="355" t="s">
        <v>493</v>
      </c>
      <c r="H196" s="292" t="str">
        <f t="array" ref="H196">xlookup(F196,z_Others!$B$21:$B$45,z_Others!$E$21:$E$45,"",0,1)</f>
        <v>Sub6</v>
      </c>
      <c r="I196" s="310" t="s">
        <v>412</v>
      </c>
      <c r="J196" s="231" t="str">
        <f t="array" ref="J196">if(isblank(E196),"",xlookup(I196,z_Others!$M$17:$M$20,z_Others!$O$17:$O$20,"",0,1))</f>
        <v>Obsidian</v>
      </c>
      <c r="K196" s="292" t="str">
        <f t="array" ref="K196">xlookup(I196,z_Others!$M$17:$M$20,z_Others!$N$17:$N$20,"",0,1)</f>
        <v>BLK</v>
      </c>
      <c r="L196" s="292" t="str">
        <f t="array" ref="L196">xlookup(F196,z_Others!$B$21:$B$45,z_Others!$D$21:$D$45,"",0,1)</f>
        <v>GK2MP</v>
      </c>
      <c r="M196" s="296" t="str">
        <f t="array" ref="M196">xlookup(F196,z_Others!$B$21:$B$45,z_Others!$C$21:$C$45,"",0,1)</f>
        <v>ROW</v>
      </c>
      <c r="N196" s="297">
        <v>3.5440766E7</v>
      </c>
      <c r="O196" s="331" t="s">
        <v>494</v>
      </c>
      <c r="P196" s="303" t="s">
        <v>495</v>
      </c>
      <c r="Q196" s="300" t="s">
        <v>413</v>
      </c>
      <c r="R196" s="301" t="s">
        <v>414</v>
      </c>
      <c r="S196" s="302">
        <f t="array" ref="S196">if(isblank(E196),"",xlookup($S$9&amp;M196,z_Others!$X$5:$X$17&amp;z_Others!$W$5:$W$17,z_Others!$Z$5:$Z$17,"",0,1))</f>
        <v>35795514</v>
      </c>
      <c r="T196" s="303" t="str">
        <f t="array" ref="T196">if(isblank(E196),"",xlookup($S$9&amp;M196,z_Others!$X$5:$X$17&amp;z_Others!$W$5:$W$17,z_Others!$AH$5:$AH$17,"",0,1))</f>
        <v>35 795514 040000x</v>
      </c>
      <c r="U196" s="303" t="str">
        <f t="array" ref="U196">if(isblank(E196),"",xlookup($S$9&amp;M196,z_Others!$X$5:$X$17&amp;z_Others!$W$5:$W$17,z_Others!$AI$5:$AI$17,"",0,1))</f>
        <v>35 795514 999999x</v>
      </c>
      <c r="V196" s="303" t="str">
        <f t="shared" si="2"/>
        <v>64:9D:38:32:91:82
B0:D5:FB:C6:60:70</v>
      </c>
      <c r="W196" s="303" t="str">
        <f t="shared" si="3"/>
        <v>64:9D:38:37:25:61
B0:D5:FB:CE:01:8F</v>
      </c>
      <c r="X196" s="304" t="str">
        <f t="shared" si="4"/>
        <v>MP1.0</v>
      </c>
      <c r="Y196" s="292"/>
      <c r="Z196" s="304" t="str">
        <f t="shared" si="32"/>
        <v>Android 16</v>
      </c>
      <c r="AA196" s="304" t="str">
        <f t="shared" si="46"/>
        <v>TBD</v>
      </c>
      <c r="AB196" s="305" t="s">
        <v>1321</v>
      </c>
      <c r="AC196" s="361" t="s">
        <v>1175</v>
      </c>
      <c r="AD196" s="306"/>
      <c r="AE196" s="335"/>
      <c r="AF196" s="308"/>
      <c r="AG196" s="308"/>
      <c r="AH196" s="297" t="str">
        <f t="array" ref="AH196">if(isblank(E196),"",xlookup(F196,z_Others!$B$21:$B$45,z_Others!$F$21:$F$45,"TBD",0,1))</f>
        <v>00</v>
      </c>
      <c r="AI196" s="310" t="str">
        <f t="array" ref="AI196">if(isblank(E196),"", xlookup(E196,'Import_FL5_LH_PVTMP_Configs (Do'!E:E,'Import_FL5_LH_PVTMP_Configs (Do'!O:O,"TBD",0,1))</f>
        <v>TBD</v>
      </c>
      <c r="AJ196" s="311"/>
      <c r="AK196" s="310" t="str">
        <f t="array" ref="AK196">if(isblank(E196),"", xlookup(E196,'Import_FL5_LH_PVTMP_Configs (Do'!E:E,'Import_FL5_LH_PVTMP_Configs (Do'!Q:Q,"TBD",0,1))</f>
        <v>TBD</v>
      </c>
      <c r="AL196" s="310" t="str">
        <f t="array" ref="AL196">if(isblank(E196),"", xlookup(E196,'Import_FL5_LH_PVTMP_Configs (Do'!E:E,'Import_FL5_LH_PVTMP_Configs (Do'!M:M,"TBD",0,1))</f>
        <v>TBD</v>
      </c>
      <c r="AM196" s="310" t="str">
        <f t="array" ref="AM196">if(isblank(E196),"", xlookup(E196,'Import_FL5_LH_PVTMP_Configs (Do'!E:E,'Import_FL5_LH_PVTMP_Configs (Do'!N:N,"TBD",0,1))</f>
        <v>TBD</v>
      </c>
      <c r="AN196" s="310" t="str">
        <f t="array" ref="AN196">if(isblank(E196),"", xlookup(E196,'Import_FL5_LH_PVTMP_Configs (Do'!E:E,'Import_FL5_LH_PVTMP_Configs (Do'!K:K,"TBD",0,1))</f>
        <v>TBD</v>
      </c>
      <c r="AO196" s="292" t="str">
        <f t="array" ref="AO196">if(isblank(E196),"",XLOOKUP(E196,'FL5_G954 Pkg ASSY (Pkg BOM)'!L:L,'FL5_G954 Pkg ASSY (Pkg BOM)'!G:G,"N/A",0,1))</f>
        <v>N/A</v>
      </c>
      <c r="AP196" s="292" t="str">
        <f t="array" ref="AP196">if(isblank(E196),"",xlookup(E196,'FL5_G962 Country kit (Accesorie'!L:L,'FL5_G962 Country kit (Accesorie'!G:G,"N/A",0,1))</f>
        <v>N/A</v>
      </c>
      <c r="AQ196" s="304" t="s">
        <v>1140</v>
      </c>
      <c r="AR196" s="304" t="s">
        <v>1140</v>
      </c>
      <c r="AS196" s="292" t="s">
        <v>596</v>
      </c>
      <c r="AT196" s="302" t="str">
        <f t="shared" si="6"/>
        <v>Yes</v>
      </c>
      <c r="AU196" s="302" t="str">
        <f t="shared" si="7"/>
        <v>No</v>
      </c>
      <c r="AV196" s="302" t="str">
        <f t="shared" si="8"/>
        <v>Yes</v>
      </c>
      <c r="AW196" s="297"/>
      <c r="AX196" s="302" t="s">
        <v>585</v>
      </c>
      <c r="AY196" s="302" t="s">
        <v>585</v>
      </c>
      <c r="AZ196" s="312" t="str">
        <f t="array" ref="AZ196">if(isblank(E196),"", xlookup(E196,Import_FL5_LH_PVT_BM!D:D,Import_FL5_LH_PVT_BM!AK:AK,$F$4,0,1))</f>
        <v>MP</v>
      </c>
      <c r="BA196" s="292" t="str">
        <f t="shared" si="9"/>
        <v>Retail_10ct</v>
      </c>
      <c r="BB196" s="313" t="str">
        <f t="array" ref="BB196">if(isblank(E196),"",xlookup(F196,z_Others!$B$21:$B$42,z_Others!$G$21:$G$42,"No",0,1))</f>
        <v>IN Master Carton Label</v>
      </c>
      <c r="BC196" s="313" t="str">
        <f t="array" ref="BC196">if(isblank(E196),"",xlookup(F196,z_Others!$B$21:$B$42,z_Others!$H$21:$H$42,"No",0,1))</f>
        <v>Standard Pallet Label (BTO)
Standard Pallet Label (BTS)</v>
      </c>
      <c r="BD196" s="314" t="str">
        <f t="array" ref="BD196">if(isblank(E196),"",xlookup(E196,'Import_VN_Label approve'!E:E,'Import_VN_Label approve'!L:L,"N/A",0,1))</f>
        <v>N/A</v>
      </c>
      <c r="BE196" s="314" t="str">
        <f t="array" ref="BE196">if(isblank(E196),"",xlookup(E196,'Import_VN_Label approve'!E:E,'Import_VN_Label approve'!N:N,"N/A",0,1))</f>
        <v>N/A</v>
      </c>
      <c r="BF196" s="315"/>
      <c r="BG196" s="332" t="s">
        <v>503</v>
      </c>
      <c r="BH196" s="317" t="s">
        <v>504</v>
      </c>
      <c r="BI196" s="360" t="s">
        <v>1091</v>
      </c>
      <c r="BJ196" s="319" t="str">
        <f t="array" ref="BJ196">if(isblank(E196),"", xlookup(D196,z_Others!$B$5:$B$17,z_Others!$C$5:$C$17,"",0,1))</f>
        <v>智能手機</v>
      </c>
      <c r="BK196" s="320">
        <v>45782.0</v>
      </c>
      <c r="BL196" s="320" t="str">
        <f t="array" ref="BL196">if(isblank(E196),"",xlookup(E196,'FL5_MP POR_LH_報關備案_G950 &amp; GA'!F:F,'FL5_MP POR_LH_報關備案_G950 &amp; GA'!E:E,"No Need",0,1))</f>
        <v>No Need</v>
      </c>
      <c r="BM196" s="321" t="str">
        <f t="array" ref="BM196">if(isblank(E196),"",xlookup($BM$9&amp;E196,'Import_FL5 MPS (06.06.25) - Sor'!E192:E334&amp;'Import_FL5 MPS (06.06.25) - Sor'!F192:F334,'Import_FL5 MPS (06.06.25) - Sor'!ES192:ES334,"No demand",0,1))</f>
        <v>No demand</v>
      </c>
      <c r="BN196" s="321" t="str">
        <f t="array" ref="BN196">if(isblank(E196),"",xlookup($BN$9&amp;E196,'Import_FL5 MPS (06.06.25) - Sor'!E192:E334&amp;'Import_FL5 MPS (06.06.25) - Sor'!F192:F334,'Import_FL5 MPS (06.06.25) - Sor'!ES192:ES334,"No demand",0,1))</f>
        <v>No demand</v>
      </c>
      <c r="BO196" s="321" t="str">
        <f t="array" ref="BO196">if(isblank(E196),"",xlookup($BO$9&amp;E196,'Import_FL5 MPS (06.06.25) - Sor'!E192:E334&amp;'Import_FL5 MPS (06.06.25) - Sor'!F192:F334,'Import_FL5 MPS (06.06.25) - Sor'!ES192:ES334,"No demand",0,1))</f>
        <v>No demand</v>
      </c>
      <c r="BP196" s="322" t="str">
        <f t="array" ref="BP196">if(isblank(E196),"", xlookup(E196,'Import_LH_Label approve'!E:E,'Import_LH_Label approve'!L:L,"",0,1))</f>
        <v/>
      </c>
      <c r="BQ196" s="322" t="str">
        <f t="array" ref="BQ196">if(isblank(E196),"",xlookup(E196,'Import_VN_Label approve'!E:E,'Import_VN_Label approve'!M:M,"N/A",0,1))</f>
        <v>N/A</v>
      </c>
      <c r="BR196" s="325"/>
      <c r="BS196" s="323"/>
      <c r="BT196" s="324"/>
      <c r="BU196" s="117"/>
    </row>
    <row r="197" hidden="1">
      <c r="A197" s="7"/>
      <c r="B197" s="292">
        <v>186.0</v>
      </c>
      <c r="C197" s="231" t="s">
        <v>284</v>
      </c>
      <c r="D197" s="231" t="s">
        <v>408</v>
      </c>
      <c r="E197" s="350" t="s">
        <v>1322</v>
      </c>
      <c r="F197" s="323" t="s">
        <v>583</v>
      </c>
      <c r="G197" s="355" t="s">
        <v>493</v>
      </c>
      <c r="H197" s="292" t="str">
        <f t="array" ref="H197">xlookup(F197,z_Others!$B$21:$B$45,z_Others!$E$21:$E$45,"",0,1)</f>
        <v>Sub6</v>
      </c>
      <c r="I197" s="310" t="s">
        <v>425</v>
      </c>
      <c r="J197" s="231" t="str">
        <f t="array" ref="J197">if(isblank(E197),"",xlookup(I197,z_Others!$M$17:$M$20,z_Others!$O$17:$O$20,"",0,1))</f>
        <v>Frost</v>
      </c>
      <c r="K197" s="292" t="str">
        <f t="array" ref="K197">xlookup(I197,z_Others!$M$17:$M$20,z_Others!$N$17:$N$20,"",0,1)</f>
        <v>PPL</v>
      </c>
      <c r="L197" s="292" t="str">
        <f t="array" ref="L197">xlookup(F197,z_Others!$B$21:$B$45,z_Others!$D$21:$D$45,"",0,1)</f>
        <v>GK2MP</v>
      </c>
      <c r="M197" s="296" t="str">
        <f t="array" ref="M197">xlookup(F197,z_Others!$B$21:$B$45,z_Others!$C$21:$C$45,"",0,1)</f>
        <v>ROW</v>
      </c>
      <c r="N197" s="297">
        <v>3.5440766E7</v>
      </c>
      <c r="O197" s="331" t="s">
        <v>494</v>
      </c>
      <c r="P197" s="303" t="s">
        <v>495</v>
      </c>
      <c r="Q197" s="300" t="s">
        <v>413</v>
      </c>
      <c r="R197" s="301" t="s">
        <v>414</v>
      </c>
      <c r="S197" s="302">
        <f t="array" ref="S197">if(isblank(E197),"",xlookup($S$9&amp;M197,z_Others!$X$5:$X$17&amp;z_Others!$W$5:$W$17,z_Others!$Z$5:$Z$17,"",0,1))</f>
        <v>35795514</v>
      </c>
      <c r="T197" s="303" t="str">
        <f t="array" ref="T197">if(isblank(E197),"",xlookup($S$9&amp;M197,z_Others!$X$5:$X$17&amp;z_Others!$W$5:$W$17,z_Others!$AH$5:$AH$17,"",0,1))</f>
        <v>35 795514 040000x</v>
      </c>
      <c r="U197" s="303" t="str">
        <f t="array" ref="U197">if(isblank(E197),"",xlookup($S$9&amp;M197,z_Others!$X$5:$X$17&amp;z_Others!$W$5:$W$17,z_Others!$AI$5:$AI$17,"",0,1))</f>
        <v>35 795514 999999x</v>
      </c>
      <c r="V197" s="303" t="str">
        <f t="shared" si="2"/>
        <v>64:9D:38:32:91:82
B0:D5:FB:C6:60:70</v>
      </c>
      <c r="W197" s="303" t="str">
        <f t="shared" si="3"/>
        <v>64:9D:38:37:25:61
B0:D5:FB:CE:01:8F</v>
      </c>
      <c r="X197" s="304" t="str">
        <f t="shared" si="4"/>
        <v>MP1.0</v>
      </c>
      <c r="Y197" s="292"/>
      <c r="Z197" s="304" t="str">
        <f t="shared" si="32"/>
        <v>Android 16</v>
      </c>
      <c r="AA197" s="304" t="str">
        <f t="shared" si="46"/>
        <v>TBD</v>
      </c>
      <c r="AB197" s="305" t="s">
        <v>1323</v>
      </c>
      <c r="AC197" s="361" t="s">
        <v>1175</v>
      </c>
      <c r="AD197" s="306"/>
      <c r="AE197" s="335"/>
      <c r="AF197" s="308"/>
      <c r="AG197" s="308"/>
      <c r="AH197" s="297" t="str">
        <f t="array" ref="AH197">if(isblank(E197),"",xlookup(F197,z_Others!$B$21:$B$45,z_Others!$F$21:$F$45,"TBD",0,1))</f>
        <v>00</v>
      </c>
      <c r="AI197" s="310" t="str">
        <f t="array" ref="AI197">if(isblank(E197),"", xlookup(E197,'Import_FL5_LH_PVTMP_Configs (Do'!E:E,'Import_FL5_LH_PVTMP_Configs (Do'!O:O,"TBD",0,1))</f>
        <v>TBD</v>
      </c>
      <c r="AJ197" s="311"/>
      <c r="AK197" s="310" t="str">
        <f t="array" ref="AK197">if(isblank(E197),"", xlookup(E197,'Import_FL5_LH_PVTMP_Configs (Do'!E:E,'Import_FL5_LH_PVTMP_Configs (Do'!Q:Q,"TBD",0,1))</f>
        <v>TBD</v>
      </c>
      <c r="AL197" s="310" t="str">
        <f t="array" ref="AL197">if(isblank(E197),"", xlookup(E197,'Import_FL5_LH_PVTMP_Configs (Do'!E:E,'Import_FL5_LH_PVTMP_Configs (Do'!M:M,"TBD",0,1))</f>
        <v>TBD</v>
      </c>
      <c r="AM197" s="310" t="str">
        <f t="array" ref="AM197">if(isblank(E197),"", xlookup(E197,'Import_FL5_LH_PVTMP_Configs (Do'!E:E,'Import_FL5_LH_PVTMP_Configs (Do'!N:N,"TBD",0,1))</f>
        <v>TBD</v>
      </c>
      <c r="AN197" s="310" t="str">
        <f t="array" ref="AN197">if(isblank(E197),"", xlookup(E197,'Import_FL5_LH_PVTMP_Configs (Do'!E:E,'Import_FL5_LH_PVTMP_Configs (Do'!K:K,"TBD",0,1))</f>
        <v>TBD</v>
      </c>
      <c r="AO197" s="292" t="str">
        <f t="array" ref="AO197">if(isblank(E197),"",XLOOKUP(E197,'FL5_G954 Pkg ASSY (Pkg BOM)'!L:L,'FL5_G954 Pkg ASSY (Pkg BOM)'!G:G,"N/A",0,1))</f>
        <v>N/A</v>
      </c>
      <c r="AP197" s="292" t="str">
        <f t="array" ref="AP197">if(isblank(E197),"",xlookup(E197,'FL5_G962 Country kit (Accesorie'!L:L,'FL5_G962 Country kit (Accesorie'!G:G,"N/A",0,1))</f>
        <v>N/A</v>
      </c>
      <c r="AQ197" s="304" t="s">
        <v>1140</v>
      </c>
      <c r="AR197" s="304" t="s">
        <v>1140</v>
      </c>
      <c r="AS197" s="292" t="s">
        <v>596</v>
      </c>
      <c r="AT197" s="302" t="str">
        <f t="shared" si="6"/>
        <v>Yes</v>
      </c>
      <c r="AU197" s="302" t="str">
        <f t="shared" si="7"/>
        <v>No</v>
      </c>
      <c r="AV197" s="302" t="str">
        <f t="shared" si="8"/>
        <v>Yes</v>
      </c>
      <c r="AW197" s="297"/>
      <c r="AX197" s="302" t="s">
        <v>585</v>
      </c>
      <c r="AY197" s="302" t="s">
        <v>585</v>
      </c>
      <c r="AZ197" s="312" t="str">
        <f t="array" ref="AZ197">if(isblank(E197),"", xlookup(E197,Import_FL5_LH_PVT_BM!D:D,Import_FL5_LH_PVT_BM!AK:AK,$F$4,0,1))</f>
        <v>MP</v>
      </c>
      <c r="BA197" s="292" t="str">
        <f t="shared" si="9"/>
        <v>Retail_10ct</v>
      </c>
      <c r="BB197" s="313" t="str">
        <f t="array" ref="BB197">if(isblank(E197),"",xlookup(F197,z_Others!$B$21:$B$42,z_Others!$G$21:$G$42,"No",0,1))</f>
        <v>IN Master Carton Label</v>
      </c>
      <c r="BC197" s="313" t="str">
        <f t="array" ref="BC197">if(isblank(E197),"",xlookup(F197,z_Others!$B$21:$B$42,z_Others!$H$21:$H$42,"No",0,1))</f>
        <v>Standard Pallet Label (BTO)
Standard Pallet Label (BTS)</v>
      </c>
      <c r="BD197" s="314" t="str">
        <f t="array" ref="BD197">if(isblank(E197),"",xlookup(E197,'Import_VN_Label approve'!E:E,'Import_VN_Label approve'!L:L,"N/A",0,1))</f>
        <v>N/A</v>
      </c>
      <c r="BE197" s="314" t="str">
        <f t="array" ref="BE197">if(isblank(E197),"",xlookup(E197,'Import_VN_Label approve'!E:E,'Import_VN_Label approve'!N:N,"N/A",0,1))</f>
        <v>N/A</v>
      </c>
      <c r="BF197" s="315"/>
      <c r="BG197" s="332" t="s">
        <v>503</v>
      </c>
      <c r="BH197" s="317" t="s">
        <v>504</v>
      </c>
      <c r="BI197" s="360" t="s">
        <v>1091</v>
      </c>
      <c r="BJ197" s="319" t="str">
        <f t="array" ref="BJ197">if(isblank(E197),"", xlookup(D197,z_Others!$B$5:$B$17,z_Others!$C$5:$C$17,"",0,1))</f>
        <v>智能手機</v>
      </c>
      <c r="BK197" s="320">
        <v>45782.0</v>
      </c>
      <c r="BL197" s="320" t="str">
        <f t="array" ref="BL197">if(isblank(E197),"",xlookup(E197,'FL5_MP POR_LH_報關備案_G950 &amp; GA'!F:F,'FL5_MP POR_LH_報關備案_G950 &amp; GA'!E:E,"No Need",0,1))</f>
        <v>No Need</v>
      </c>
      <c r="BM197" s="321" t="str">
        <f t="array" ref="BM197">if(isblank(E197),"",xlookup($BM$9&amp;E197,'Import_FL5 MPS (06.06.25) - Sor'!E193:E334&amp;'Import_FL5 MPS (06.06.25) - Sor'!F193:F334,'Import_FL5 MPS (06.06.25) - Sor'!ES193:ES334,"No demand",0,1))</f>
        <v>No demand</v>
      </c>
      <c r="BN197" s="321" t="str">
        <f t="array" ref="BN197">if(isblank(E197),"",xlookup($BN$9&amp;E197,'Import_FL5 MPS (06.06.25) - Sor'!E193:E334&amp;'Import_FL5 MPS (06.06.25) - Sor'!F193:F334,'Import_FL5 MPS (06.06.25) - Sor'!ES193:ES334,"No demand",0,1))</f>
        <v>No demand</v>
      </c>
      <c r="BO197" s="321" t="str">
        <f t="array" ref="BO197">if(isblank(E197),"",xlookup($BO$9&amp;E197,'Import_FL5 MPS (06.06.25) - Sor'!E193:E334&amp;'Import_FL5 MPS (06.06.25) - Sor'!F193:F334,'Import_FL5 MPS (06.06.25) - Sor'!ES193:ES334,"No demand",0,1))</f>
        <v>No demand</v>
      </c>
      <c r="BP197" s="322" t="str">
        <f t="array" ref="BP197">if(isblank(E197),"", xlookup(E197,'Import_LH_Label approve'!E:E,'Import_LH_Label approve'!L:L,"",0,1))</f>
        <v/>
      </c>
      <c r="BQ197" s="322" t="str">
        <f t="array" ref="BQ197">if(isblank(E197),"",xlookup(E197,'Import_VN_Label approve'!E:E,'Import_VN_Label approve'!M:M,"N/A",0,1))</f>
        <v>N/A</v>
      </c>
      <c r="BR197" s="364"/>
      <c r="BS197" s="323"/>
      <c r="BT197" s="324"/>
      <c r="BU197" s="365"/>
    </row>
    <row r="198" hidden="1">
      <c r="A198" s="7"/>
      <c r="B198" s="292">
        <v>187.0</v>
      </c>
      <c r="C198" s="231" t="s">
        <v>284</v>
      </c>
      <c r="D198" s="231" t="s">
        <v>408</v>
      </c>
      <c r="E198" s="350" t="s">
        <v>1324</v>
      </c>
      <c r="F198" s="323" t="s">
        <v>583</v>
      </c>
      <c r="G198" s="355" t="s">
        <v>493</v>
      </c>
      <c r="H198" s="292" t="str">
        <f t="array" ref="H198">xlookup(F198,z_Others!$B$21:$B$45,z_Others!$E$21:$E$45,"",0,1)</f>
        <v>Sub6</v>
      </c>
      <c r="I198" s="310" t="s">
        <v>431</v>
      </c>
      <c r="J198" s="231" t="str">
        <f t="array" ref="J198">if(isblank(E198),"",xlookup(I198,z_Others!$M$17:$M$20,z_Others!$O$17:$O$20,"",0,1))</f>
        <v>Lemongrass</v>
      </c>
      <c r="K198" s="292" t="str">
        <f t="array" ref="K198">xlookup(I198,z_Others!$M$17:$M$20,z_Others!$N$17:$N$20,"",0,1)</f>
        <v>YEL</v>
      </c>
      <c r="L198" s="292" t="str">
        <f t="array" ref="L198">xlookup(F198,z_Others!$B$21:$B$45,z_Others!$D$21:$D$45,"",0,1)</f>
        <v>GK2MP</v>
      </c>
      <c r="M198" s="296" t="str">
        <f t="array" ref="M198">xlookup(F198,z_Others!$B$21:$B$45,z_Others!$C$21:$C$45,"",0,1)</f>
        <v>ROW</v>
      </c>
      <c r="N198" s="297">
        <v>3.5440766E7</v>
      </c>
      <c r="O198" s="331" t="s">
        <v>494</v>
      </c>
      <c r="P198" s="303" t="s">
        <v>495</v>
      </c>
      <c r="Q198" s="300" t="s">
        <v>413</v>
      </c>
      <c r="R198" s="301" t="s">
        <v>414</v>
      </c>
      <c r="S198" s="302">
        <f t="array" ref="S198">if(isblank(E198),"",xlookup($S$9&amp;M198,z_Others!$X$5:$X$17&amp;z_Others!$W$5:$W$17,z_Others!$Z$5:$Z$17,"",0,1))</f>
        <v>35795514</v>
      </c>
      <c r="T198" s="303" t="str">
        <f t="array" ref="T198">if(isblank(E198),"",xlookup($S$9&amp;M198,z_Others!$X$5:$X$17&amp;z_Others!$W$5:$W$17,z_Others!$AH$5:$AH$17,"",0,1))</f>
        <v>35 795514 040000x</v>
      </c>
      <c r="U198" s="303" t="str">
        <f t="array" ref="U198">if(isblank(E198),"",xlookup($S$9&amp;M198,z_Others!$X$5:$X$17&amp;z_Others!$W$5:$W$17,z_Others!$AI$5:$AI$17,"",0,1))</f>
        <v>35 795514 999999x</v>
      </c>
      <c r="V198" s="303" t="str">
        <f t="shared" si="2"/>
        <v>64:9D:38:32:91:82
B0:D5:FB:C6:60:70</v>
      </c>
      <c r="W198" s="303" t="str">
        <f t="shared" si="3"/>
        <v>64:9D:38:37:25:61
B0:D5:FB:CE:01:8F</v>
      </c>
      <c r="X198" s="304" t="str">
        <f t="shared" si="4"/>
        <v>MP1.0</v>
      </c>
      <c r="Y198" s="292"/>
      <c r="Z198" s="304" t="str">
        <f t="shared" si="32"/>
        <v>Android 16</v>
      </c>
      <c r="AA198" s="304" t="str">
        <f t="shared" si="46"/>
        <v>TBD</v>
      </c>
      <c r="AB198" s="305" t="s">
        <v>1325</v>
      </c>
      <c r="AC198" s="361" t="s">
        <v>1175</v>
      </c>
      <c r="AD198" s="306"/>
      <c r="AE198" s="335"/>
      <c r="AF198" s="308"/>
      <c r="AG198" s="308"/>
      <c r="AH198" s="297" t="str">
        <f t="array" ref="AH198">if(isblank(E198),"",xlookup(F198,z_Others!$B$21:$B$45,z_Others!$F$21:$F$45,"TBD",0,1))</f>
        <v>00</v>
      </c>
      <c r="AI198" s="310" t="str">
        <f t="array" ref="AI198">if(isblank(E198),"", xlookup(E198,'Import_FL5_LH_PVTMP_Configs (Do'!E:E,'Import_FL5_LH_PVTMP_Configs (Do'!O:O,"TBD",0,1))</f>
        <v>TBD</v>
      </c>
      <c r="AJ198" s="311"/>
      <c r="AK198" s="310" t="str">
        <f t="array" ref="AK198">if(isblank(E198),"", xlookup(E198,'Import_FL5_LH_PVTMP_Configs (Do'!E:E,'Import_FL5_LH_PVTMP_Configs (Do'!Q:Q,"TBD",0,1))</f>
        <v>TBD</v>
      </c>
      <c r="AL198" s="310" t="str">
        <f t="array" ref="AL198">if(isblank(E198),"", xlookup(E198,'Import_FL5_LH_PVTMP_Configs (Do'!E:E,'Import_FL5_LH_PVTMP_Configs (Do'!M:M,"TBD",0,1))</f>
        <v>TBD</v>
      </c>
      <c r="AM198" s="310" t="str">
        <f t="array" ref="AM198">if(isblank(E198),"", xlookup(E198,'Import_FL5_LH_PVTMP_Configs (Do'!E:E,'Import_FL5_LH_PVTMP_Configs (Do'!N:N,"TBD",0,1))</f>
        <v>TBD</v>
      </c>
      <c r="AN198" s="310" t="str">
        <f t="array" ref="AN198">if(isblank(E198),"", xlookup(E198,'Import_FL5_LH_PVTMP_Configs (Do'!E:E,'Import_FL5_LH_PVTMP_Configs (Do'!K:K,"TBD",0,1))</f>
        <v>TBD</v>
      </c>
      <c r="AO198" s="292" t="str">
        <f t="array" ref="AO198">if(isblank(E198),"",XLOOKUP(E198,'FL5_G954 Pkg ASSY (Pkg BOM)'!L:L,'FL5_G954 Pkg ASSY (Pkg BOM)'!G:G,"N/A",0,1))</f>
        <v>N/A</v>
      </c>
      <c r="AP198" s="292" t="str">
        <f t="array" ref="AP198">if(isblank(E198),"",xlookup(E198,'FL5_G962 Country kit (Accesorie'!L:L,'FL5_G962 Country kit (Accesorie'!G:G,"N/A",0,1))</f>
        <v>N/A</v>
      </c>
      <c r="AQ198" s="304" t="s">
        <v>1140</v>
      </c>
      <c r="AR198" s="304" t="s">
        <v>1140</v>
      </c>
      <c r="AS198" s="292" t="s">
        <v>596</v>
      </c>
      <c r="AT198" s="302" t="str">
        <f t="shared" si="6"/>
        <v>Yes</v>
      </c>
      <c r="AU198" s="302" t="str">
        <f t="shared" si="7"/>
        <v>No</v>
      </c>
      <c r="AV198" s="302" t="str">
        <f t="shared" si="8"/>
        <v>Yes</v>
      </c>
      <c r="AW198" s="297"/>
      <c r="AX198" s="302" t="s">
        <v>585</v>
      </c>
      <c r="AY198" s="302" t="s">
        <v>585</v>
      </c>
      <c r="AZ198" s="312" t="str">
        <f t="array" ref="AZ198">if(isblank(E198),"", xlookup(E198,Import_FL5_LH_PVT_BM!D:D,Import_FL5_LH_PVT_BM!AK:AK,$F$4,0,1))</f>
        <v>MP</v>
      </c>
      <c r="BA198" s="292" t="str">
        <f t="shared" si="9"/>
        <v>Retail_10ct</v>
      </c>
      <c r="BB198" s="313" t="str">
        <f t="array" ref="BB198">if(isblank(E198),"",xlookup(F198,z_Others!$B$21:$B$42,z_Others!$G$21:$G$42,"No",0,1))</f>
        <v>IN Master Carton Label</v>
      </c>
      <c r="BC198" s="313" t="str">
        <f t="array" ref="BC198">if(isblank(E198),"",xlookup(F198,z_Others!$B$21:$B$42,z_Others!$H$21:$H$42,"No",0,1))</f>
        <v>Standard Pallet Label (BTO)
Standard Pallet Label (BTS)</v>
      </c>
      <c r="BD198" s="314" t="str">
        <f t="array" ref="BD198">if(isblank(E198),"",xlookup(E198,'Import_VN_Label approve'!E:E,'Import_VN_Label approve'!L:L,"N/A",0,1))</f>
        <v>N/A</v>
      </c>
      <c r="BE198" s="314" t="str">
        <f t="array" ref="BE198">if(isblank(E198),"",xlookup(E198,'Import_VN_Label approve'!E:E,'Import_VN_Label approve'!N:N,"N/A",0,1))</f>
        <v>N/A</v>
      </c>
      <c r="BF198" s="315"/>
      <c r="BG198" s="332" t="s">
        <v>503</v>
      </c>
      <c r="BH198" s="317" t="s">
        <v>504</v>
      </c>
      <c r="BI198" s="360" t="s">
        <v>1091</v>
      </c>
      <c r="BJ198" s="319" t="str">
        <f t="array" ref="BJ198">if(isblank(E198),"", xlookup(D198,z_Others!$B$5:$B$17,z_Others!$C$5:$C$17,"",0,1))</f>
        <v>智能手機</v>
      </c>
      <c r="BK198" s="320">
        <v>45782.0</v>
      </c>
      <c r="BL198" s="320" t="str">
        <f t="array" ref="BL198">if(isblank(E198),"",xlookup(E198,'FL5_MP POR_LH_報關備案_G950 &amp; GA'!F:F,'FL5_MP POR_LH_報關備案_G950 &amp; GA'!E:E,"No Need",0,1))</f>
        <v>No Need</v>
      </c>
      <c r="BM198" s="321" t="str">
        <f t="array" ref="BM198">if(isblank(E198),"",xlookup($BM$9&amp;E198,'Import_FL5 MPS (06.06.25) - Sor'!E194:E334&amp;'Import_FL5 MPS (06.06.25) - Sor'!F194:F334,'Import_FL5 MPS (06.06.25) - Sor'!ES194:ES334,"No demand",0,1))</f>
        <v>No demand</v>
      </c>
      <c r="BN198" s="321" t="str">
        <f t="array" ref="BN198">if(isblank(E198),"",xlookup($BN$9&amp;E198,'Import_FL5 MPS (06.06.25) - Sor'!E194:E334&amp;'Import_FL5 MPS (06.06.25) - Sor'!F194:F334,'Import_FL5 MPS (06.06.25) - Sor'!ES194:ES334,"No demand",0,1))</f>
        <v>No demand</v>
      </c>
      <c r="BO198" s="321" t="str">
        <f t="array" ref="BO198">if(isblank(E198),"",xlookup($BO$9&amp;E198,'Import_FL5 MPS (06.06.25) - Sor'!E194:E334&amp;'Import_FL5 MPS (06.06.25) - Sor'!F194:F334,'Import_FL5 MPS (06.06.25) - Sor'!ES194:ES334,"No demand",0,1))</f>
        <v>No demand</v>
      </c>
      <c r="BP198" s="322" t="str">
        <f t="array" ref="BP198">if(isblank(E198),"", xlookup(E198,'Import_LH_Label approve'!E:E,'Import_LH_Label approve'!L:L,"",0,1))</f>
        <v/>
      </c>
      <c r="BQ198" s="322" t="str">
        <f t="array" ref="BQ198">if(isblank(E198),"",xlookup(E198,'Import_VN_Label approve'!E:E,'Import_VN_Label approve'!M:M,"N/A",0,1))</f>
        <v>N/A</v>
      </c>
      <c r="BR198" s="325"/>
      <c r="BS198" s="323"/>
      <c r="BT198" s="324"/>
      <c r="BU198" s="117"/>
    </row>
    <row r="199" hidden="1">
      <c r="A199" s="7"/>
      <c r="B199" s="292">
        <v>188.0</v>
      </c>
      <c r="C199" s="231" t="s">
        <v>284</v>
      </c>
      <c r="D199" s="231" t="s">
        <v>408</v>
      </c>
      <c r="E199" s="350" t="s">
        <v>1326</v>
      </c>
      <c r="F199" s="323" t="s">
        <v>583</v>
      </c>
      <c r="G199" s="355" t="s">
        <v>493</v>
      </c>
      <c r="H199" s="292" t="str">
        <f t="array" ref="H199">xlookup(F199,z_Others!$B$21:$B$45,z_Others!$E$21:$E$45,"",0,1)</f>
        <v>Sub6</v>
      </c>
      <c r="I199" s="310" t="s">
        <v>437</v>
      </c>
      <c r="J199" s="231" t="str">
        <f t="array" ref="J199">if(isblank(E199),"",xlookup(I199,z_Others!$M$17:$M$20,z_Others!$O$17:$O$20,"",0,1))</f>
        <v>Indigo</v>
      </c>
      <c r="K199" s="292" t="str">
        <f t="array" ref="K199">xlookup(I199,z_Others!$M$17:$M$20,z_Others!$N$17:$N$20,"",0,1)</f>
        <v>BUE</v>
      </c>
      <c r="L199" s="292" t="str">
        <f t="array" ref="L199">xlookup(F199,z_Others!$B$21:$B$45,z_Others!$D$21:$D$45,"",0,1)</f>
        <v>GK2MP</v>
      </c>
      <c r="M199" s="296" t="str">
        <f t="array" ref="M199">xlookup(F199,z_Others!$B$21:$B$45,z_Others!$C$21:$C$45,"",0,1)</f>
        <v>ROW</v>
      </c>
      <c r="N199" s="297">
        <v>3.5440766E7</v>
      </c>
      <c r="O199" s="331" t="s">
        <v>494</v>
      </c>
      <c r="P199" s="303" t="s">
        <v>495</v>
      </c>
      <c r="Q199" s="300" t="s">
        <v>413</v>
      </c>
      <c r="R199" s="301" t="s">
        <v>414</v>
      </c>
      <c r="S199" s="302">
        <f t="array" ref="S199">if(isblank(E199),"",xlookup($S$9&amp;M199,z_Others!$X$5:$X$17&amp;z_Others!$W$5:$W$17,z_Others!$Z$5:$Z$17,"",0,1))</f>
        <v>35795514</v>
      </c>
      <c r="T199" s="303" t="str">
        <f t="array" ref="T199">if(isblank(E199),"",xlookup($S$9&amp;M199,z_Others!$X$5:$X$17&amp;z_Others!$W$5:$W$17,z_Others!$AH$5:$AH$17,"",0,1))</f>
        <v>35 795514 040000x</v>
      </c>
      <c r="U199" s="303" t="str">
        <f t="array" ref="U199">if(isblank(E199),"",xlookup($S$9&amp;M199,z_Others!$X$5:$X$17&amp;z_Others!$W$5:$W$17,z_Others!$AI$5:$AI$17,"",0,1))</f>
        <v>35 795514 999999x</v>
      </c>
      <c r="V199" s="303" t="str">
        <f t="shared" si="2"/>
        <v>64:9D:38:32:91:82
B0:D5:FB:C6:60:70</v>
      </c>
      <c r="W199" s="303" t="str">
        <f t="shared" si="3"/>
        <v>64:9D:38:37:25:61
B0:D5:FB:CE:01:8F</v>
      </c>
      <c r="X199" s="304" t="str">
        <f t="shared" si="4"/>
        <v>MP1.0</v>
      </c>
      <c r="Y199" s="292"/>
      <c r="Z199" s="304" t="str">
        <f t="shared" si="32"/>
        <v>Android 16</v>
      </c>
      <c r="AA199" s="304" t="str">
        <f t="shared" si="46"/>
        <v>TBD</v>
      </c>
      <c r="AB199" s="305" t="s">
        <v>1327</v>
      </c>
      <c r="AC199" s="361" t="s">
        <v>1175</v>
      </c>
      <c r="AD199" s="306"/>
      <c r="AE199" s="335"/>
      <c r="AF199" s="308"/>
      <c r="AG199" s="308"/>
      <c r="AH199" s="297" t="str">
        <f t="array" ref="AH199">if(isblank(E199),"",xlookup(F199,z_Others!$B$21:$B$45,z_Others!$F$21:$F$45,"TBD",0,1))</f>
        <v>00</v>
      </c>
      <c r="AI199" s="310" t="str">
        <f t="array" ref="AI199">if(isblank(E199),"", xlookup(E199,'Import_FL5_LH_PVTMP_Configs (Do'!E:E,'Import_FL5_LH_PVTMP_Configs (Do'!O:O,"TBD",0,1))</f>
        <v>TBD</v>
      </c>
      <c r="AJ199" s="311"/>
      <c r="AK199" s="310" t="str">
        <f t="array" ref="AK199">if(isblank(E199),"", xlookup(E199,'Import_FL5_LH_PVTMP_Configs (Do'!E:E,'Import_FL5_LH_PVTMP_Configs (Do'!Q:Q,"TBD",0,1))</f>
        <v>TBD</v>
      </c>
      <c r="AL199" s="310" t="str">
        <f t="array" ref="AL199">if(isblank(E199),"", xlookup(E199,'Import_FL5_LH_PVTMP_Configs (Do'!E:E,'Import_FL5_LH_PVTMP_Configs (Do'!M:M,"TBD",0,1))</f>
        <v>TBD</v>
      </c>
      <c r="AM199" s="310" t="str">
        <f t="array" ref="AM199">if(isblank(E199),"", xlookup(E199,'Import_FL5_LH_PVTMP_Configs (Do'!E:E,'Import_FL5_LH_PVTMP_Configs (Do'!N:N,"TBD",0,1))</f>
        <v>TBD</v>
      </c>
      <c r="AN199" s="310" t="str">
        <f t="array" ref="AN199">if(isblank(E199),"", xlookup(E199,'Import_FL5_LH_PVTMP_Configs (Do'!E:E,'Import_FL5_LH_PVTMP_Configs (Do'!K:K,"TBD",0,1))</f>
        <v>TBD</v>
      </c>
      <c r="AO199" s="292" t="str">
        <f t="array" ref="AO199">if(isblank(E199),"",XLOOKUP(E199,'FL5_G954 Pkg ASSY (Pkg BOM)'!L:L,'FL5_G954 Pkg ASSY (Pkg BOM)'!G:G,"N/A",0,1))</f>
        <v>N/A</v>
      </c>
      <c r="AP199" s="292" t="str">
        <f t="array" ref="AP199">if(isblank(E199),"",xlookup(E199,'FL5_G962 Country kit (Accesorie'!L:L,'FL5_G962 Country kit (Accesorie'!G:G,"N/A",0,1))</f>
        <v>N/A</v>
      </c>
      <c r="AQ199" s="304" t="s">
        <v>1140</v>
      </c>
      <c r="AR199" s="304" t="s">
        <v>1140</v>
      </c>
      <c r="AS199" s="292" t="s">
        <v>596</v>
      </c>
      <c r="AT199" s="302" t="str">
        <f t="shared" si="6"/>
        <v>Yes</v>
      </c>
      <c r="AU199" s="302" t="str">
        <f t="shared" si="7"/>
        <v>No</v>
      </c>
      <c r="AV199" s="302" t="str">
        <f t="shared" si="8"/>
        <v>Yes</v>
      </c>
      <c r="AW199" s="297"/>
      <c r="AX199" s="336" t="s">
        <v>585</v>
      </c>
      <c r="AY199" s="336" t="s">
        <v>585</v>
      </c>
      <c r="AZ199" s="312" t="str">
        <f t="array" ref="AZ199">if(isblank(E199),"", xlookup(E199,Import_FL5_LH_PVT_BM!D:D,Import_FL5_LH_PVT_BM!AK:AK,$F$4,0,1))</f>
        <v>MP</v>
      </c>
      <c r="BA199" s="292" t="str">
        <f t="shared" si="9"/>
        <v>Retail_10ct</v>
      </c>
      <c r="BB199" s="313" t="str">
        <f t="array" ref="BB199">if(isblank(E199),"",xlookup(F199,z_Others!$B$21:$B$42,z_Others!$G$21:$G$42,"No",0,1))</f>
        <v>IN Master Carton Label</v>
      </c>
      <c r="BC199" s="313" t="str">
        <f t="array" ref="BC199">if(isblank(E199),"",xlookup(F199,z_Others!$B$21:$B$42,z_Others!$H$21:$H$42,"No",0,1))</f>
        <v>Standard Pallet Label (BTO)
Standard Pallet Label (BTS)</v>
      </c>
      <c r="BD199" s="314" t="str">
        <f t="array" ref="BD199">if(isblank(E199),"",xlookup(E199,'Import_VN_Label approve'!E:E,'Import_VN_Label approve'!L:L,"N/A",0,1))</f>
        <v>N/A</v>
      </c>
      <c r="BE199" s="314" t="str">
        <f t="array" ref="BE199">if(isblank(E199),"",xlookup(E199,'Import_VN_Label approve'!E:E,'Import_VN_Label approve'!N:N,"N/A",0,1))</f>
        <v>N/A</v>
      </c>
      <c r="BF199" s="315"/>
      <c r="BG199" s="332" t="s">
        <v>503</v>
      </c>
      <c r="BH199" s="317" t="s">
        <v>504</v>
      </c>
      <c r="BI199" s="360" t="s">
        <v>1091</v>
      </c>
      <c r="BJ199" s="319" t="str">
        <f t="array" ref="BJ199">if(isblank(E199),"", xlookup(D199,z_Others!$B$5:$B$17,z_Others!$C$5:$C$17,"",0,1))</f>
        <v>智能手機</v>
      </c>
      <c r="BK199" s="320">
        <v>45782.0</v>
      </c>
      <c r="BL199" s="320" t="str">
        <f t="array" ref="BL199">if(isblank(E199),"",xlookup(E199,'FL5_MP POR_LH_報關備案_G950 &amp; GA'!F:F,'FL5_MP POR_LH_報關備案_G950 &amp; GA'!E:E,"No Need",0,1))</f>
        <v>No Need</v>
      </c>
      <c r="BM199" s="321" t="str">
        <f t="array" ref="BM199">if(isblank(E199),"",xlookup($BM$9&amp;E199,'Import_FL5 MPS (06.06.25) - Sor'!E195:E334&amp;'Import_FL5 MPS (06.06.25) - Sor'!F195:F334,'Import_FL5 MPS (06.06.25) - Sor'!ES195:ES334,"No demand",0,1))</f>
        <v>No demand</v>
      </c>
      <c r="BN199" s="321" t="str">
        <f t="array" ref="BN199">if(isblank(E199),"",xlookup($BN$9&amp;E199,'Import_FL5 MPS (06.06.25) - Sor'!E195:E334&amp;'Import_FL5 MPS (06.06.25) - Sor'!F195:F334,'Import_FL5 MPS (06.06.25) - Sor'!ES195:ES334,"No demand",0,1))</f>
        <v>No demand</v>
      </c>
      <c r="BO199" s="321" t="str">
        <f t="array" ref="BO199">if(isblank(E199),"",xlookup($BO$9&amp;E199,'Import_FL5 MPS (06.06.25) - Sor'!E195:E334&amp;'Import_FL5 MPS (06.06.25) - Sor'!F195:F334,'Import_FL5 MPS (06.06.25) - Sor'!ES195:ES334,"No demand",0,1))</f>
        <v>No demand</v>
      </c>
      <c r="BP199" s="322" t="str">
        <f t="array" ref="BP199">if(isblank(E199),"", xlookup(E199,'Import_LH_Label approve'!E:E,'Import_LH_Label approve'!L:L,"",0,1))</f>
        <v/>
      </c>
      <c r="BQ199" s="322" t="str">
        <f t="array" ref="BQ199">if(isblank(E199),"",xlookup(E199,'Import_VN_Label approve'!E:E,'Import_VN_Label approve'!M:M,"N/A",0,1))</f>
        <v>N/A</v>
      </c>
      <c r="BR199" s="325"/>
      <c r="BS199" s="323"/>
      <c r="BT199" s="324"/>
      <c r="BU199" s="117"/>
    </row>
    <row r="200" hidden="1">
      <c r="A200" s="7"/>
      <c r="B200" s="292">
        <v>189.0</v>
      </c>
      <c r="C200" s="231" t="s">
        <v>284</v>
      </c>
      <c r="D200" s="231" t="s">
        <v>408</v>
      </c>
      <c r="E200" s="350" t="s">
        <v>1328</v>
      </c>
      <c r="F200" s="325" t="s">
        <v>554</v>
      </c>
      <c r="G200" s="355" t="s">
        <v>555</v>
      </c>
      <c r="H200" s="292" t="str">
        <f t="array" ref="H200">xlookup(F200,z_Others!$B$21:$B$45,z_Others!$E$21:$E$45,"",0,1)</f>
        <v>JPN</v>
      </c>
      <c r="I200" s="310" t="s">
        <v>412</v>
      </c>
      <c r="J200" s="231" t="str">
        <f t="array" ref="J200">if(isblank(E200),"",xlookup(I200,z_Others!$M$17:$M$20,z_Others!$O$17:$O$20,"",0,1))</f>
        <v>Obsidian</v>
      </c>
      <c r="K200" s="292" t="str">
        <f t="array" ref="K200">xlookup(I200,z_Others!$M$17:$M$20,z_Others!$N$17:$N$20,"",0,1)</f>
        <v>BLK</v>
      </c>
      <c r="L200" s="292" t="str">
        <f t="array" ref="L200">xlookup(F200,z_Others!$B$21:$B$45,z_Others!$D$21:$D$45,"",0,1)</f>
        <v>GL066</v>
      </c>
      <c r="M200" s="296" t="str">
        <f t="array" ref="M200">xlookup(F200,z_Others!$B$21:$B$45,z_Others!$C$21:$C$45,"",0,1)</f>
        <v>JPN</v>
      </c>
      <c r="N200" s="297">
        <v>3.5416229E7</v>
      </c>
      <c r="O200" s="331" t="s">
        <v>556</v>
      </c>
      <c r="P200" s="303" t="s">
        <v>557</v>
      </c>
      <c r="Q200" s="300" t="s">
        <v>413</v>
      </c>
      <c r="R200" s="301" t="s">
        <v>414</v>
      </c>
      <c r="S200" s="302">
        <f t="array" ref="S200">if(isblank(E200),"",xlookup($S$9&amp;M200,z_Others!$X$5:$X$17&amp;z_Others!$W$5:$W$17,z_Others!$Z$5:$Z$17,"",0,1))</f>
        <v>35444932</v>
      </c>
      <c r="T200" s="303" t="str">
        <f t="array" ref="T200">if(isblank(E200),"",xlookup($S$9&amp;M200,z_Others!$X$5:$X$17&amp;z_Others!$W$5:$W$17,z_Others!$AH$5:$AH$17,"",0,1))</f>
        <v>35 444932 020000x</v>
      </c>
      <c r="U200" s="303" t="str">
        <f t="array" ref="U200">if(isblank(E200),"",xlookup($S$9&amp;M200,z_Others!$X$5:$X$17&amp;z_Others!$W$5:$W$17,z_Others!$AI$5:$AI$17,"",0,1))</f>
        <v>35 444932 999999x</v>
      </c>
      <c r="V200" s="303" t="str">
        <f t="shared" si="2"/>
        <v>64:9D:38:32:91:82
B0:D5:FB:C6:60:70</v>
      </c>
      <c r="W200" s="303" t="str">
        <f t="shared" si="3"/>
        <v>64:9D:38:37:25:61
B0:D5:FB:CE:01:8F</v>
      </c>
      <c r="X200" s="304" t="str">
        <f t="shared" si="4"/>
        <v>MP1.0</v>
      </c>
      <c r="Y200" s="292"/>
      <c r="Z200" s="304" t="str">
        <f t="shared" si="32"/>
        <v>Android 16</v>
      </c>
      <c r="AA200" s="304" t="str">
        <f t="shared" si="46"/>
        <v>TBD</v>
      </c>
      <c r="AB200" s="305" t="s">
        <v>1329</v>
      </c>
      <c r="AC200" s="361" t="s">
        <v>1175</v>
      </c>
      <c r="AD200" s="306"/>
      <c r="AE200" s="335"/>
      <c r="AF200" s="308"/>
      <c r="AG200" s="308"/>
      <c r="AH200" s="297" t="str">
        <f t="array" ref="AH200">if(isblank(E200),"",xlookup(F200,z_Others!$B$21:$B$45,z_Others!$F$21:$F$45,"TBD",0,1))</f>
        <v>00</v>
      </c>
      <c r="AI200" s="310" t="str">
        <f t="array" ref="AI200">if(isblank(E200),"", xlookup(E200,'Import_FL5_LH_PVTMP_Configs (Do'!E:E,'Import_FL5_LH_PVTMP_Configs (Do'!O:O,"TBD",0,1))</f>
        <v>TBD</v>
      </c>
      <c r="AJ200" s="311"/>
      <c r="AK200" s="310" t="str">
        <f t="array" ref="AK200">if(isblank(E200),"", xlookup(E200,'Import_FL5_LH_PVTMP_Configs (Do'!E:E,'Import_FL5_LH_PVTMP_Configs (Do'!Q:Q,"TBD",0,1))</f>
        <v>TBD</v>
      </c>
      <c r="AL200" s="310" t="str">
        <f t="array" ref="AL200">if(isblank(E200),"", xlookup(E200,'Import_FL5_LH_PVTMP_Configs (Do'!E:E,'Import_FL5_LH_PVTMP_Configs (Do'!M:M,"TBD",0,1))</f>
        <v>TBD</v>
      </c>
      <c r="AM200" s="310" t="str">
        <f t="array" ref="AM200">if(isblank(E200),"", xlookup(E200,'Import_FL5_LH_PVTMP_Configs (Do'!E:E,'Import_FL5_LH_PVTMP_Configs (Do'!N:N,"TBD",0,1))</f>
        <v>TBD</v>
      </c>
      <c r="AN200" s="310" t="str">
        <f t="array" ref="AN200">if(isblank(E200),"", xlookup(E200,'Import_FL5_LH_PVTMP_Configs (Do'!E:E,'Import_FL5_LH_PVTMP_Configs (Do'!K:K,"TBD",0,1))</f>
        <v>TBD</v>
      </c>
      <c r="AO200" s="292" t="str">
        <f t="array" ref="AO200">if(isblank(E200),"",XLOOKUP(E200,'FL5_G954 Pkg ASSY (Pkg BOM)'!L:L,'FL5_G954 Pkg ASSY (Pkg BOM)'!G:G,"N/A",0,1))</f>
        <v>N/A</v>
      </c>
      <c r="AP200" s="292" t="str">
        <f t="array" ref="AP200">if(isblank(E200),"",xlookup(E200,'FL5_G962 Country kit (Accesorie'!L:L,'FL5_G962 Country kit (Accesorie'!G:G,"N/A",0,1))</f>
        <v>N/A</v>
      </c>
      <c r="AQ200" s="304" t="s">
        <v>1140</v>
      </c>
      <c r="AR200" s="304" t="s">
        <v>1140</v>
      </c>
      <c r="AS200" s="292" t="s">
        <v>596</v>
      </c>
      <c r="AT200" s="302" t="str">
        <f t="shared" si="6"/>
        <v>Yes</v>
      </c>
      <c r="AU200" s="302" t="str">
        <f t="shared" si="7"/>
        <v>No</v>
      </c>
      <c r="AV200" s="302" t="str">
        <f t="shared" si="8"/>
        <v>No</v>
      </c>
      <c r="AW200" s="297"/>
      <c r="AX200" s="336" t="s">
        <v>585</v>
      </c>
      <c r="AY200" s="336" t="s">
        <v>585</v>
      </c>
      <c r="AZ200" s="312" t="str">
        <f t="array" ref="AZ200">if(isblank(E200),"", xlookup(E200,Import_FL5_LH_PVT_BM!D:D,Import_FL5_LH_PVT_BM!AK:AK,$F$4,0,1))</f>
        <v>MP</v>
      </c>
      <c r="BA200" s="292" t="str">
        <f t="shared" si="9"/>
        <v>Retail_10ct</v>
      </c>
      <c r="BB200" s="313" t="str">
        <f t="array" ref="BB200">if(isblank(E200),"",xlookup(F200,z_Others!$B$21:$B$42,z_Others!$G$21:$G$42,"No",0,1))</f>
        <v>ROW Master Carton Label (UPC)</v>
      </c>
      <c r="BC200" s="313" t="str">
        <f t="array" ref="BC200">if(isblank(E200),"",xlookup(F200,z_Others!$B$21:$B$42,z_Others!$H$21:$H$42,"No",0,1))</f>
        <v>Standard Pallet Label (BTO)
Standard Pallet Label (BTS)</v>
      </c>
      <c r="BD200" s="314" t="str">
        <f t="array" ref="BD200">if(isblank(E200),"",xlookup(E200,'Import_VN_Label approve'!E:E,'Import_VN_Label approve'!L:L,"N/A",0,1))</f>
        <v>N/A</v>
      </c>
      <c r="BE200" s="314" t="str">
        <f t="array" ref="BE200">if(isblank(E200),"",xlookup(E200,'Import_VN_Label approve'!E:E,'Import_VN_Label approve'!N:N,"N/A",0,1))</f>
        <v>N/A</v>
      </c>
      <c r="BF200" s="315"/>
      <c r="BG200" s="332" t="s">
        <v>503</v>
      </c>
      <c r="BH200" s="317" t="s">
        <v>504</v>
      </c>
      <c r="BI200" s="360" t="s">
        <v>1091</v>
      </c>
      <c r="BJ200" s="319" t="str">
        <f t="array" ref="BJ200">if(isblank(E200),"", xlookup(D200,z_Others!$B$5:$B$17,z_Others!$C$5:$C$17,"",0,1))</f>
        <v>智能手機</v>
      </c>
      <c r="BK200" s="320">
        <v>45782.0</v>
      </c>
      <c r="BL200" s="320" t="str">
        <f t="array" ref="BL200">if(isblank(E200),"",xlookup(E200,'FL5_MP POR_LH_報關備案_G950 &amp; GA'!F:F,'FL5_MP POR_LH_報關備案_G950 &amp; GA'!E:E,"No Need",0,1))</f>
        <v>No Need</v>
      </c>
      <c r="BM200" s="321" t="str">
        <f t="array" ref="BM200">if(isblank(E200),"",xlookup($BM$9&amp;E200,'Import_FL5 MPS (06.06.25) - Sor'!E196:E334&amp;'Import_FL5 MPS (06.06.25) - Sor'!F196:F334,'Import_FL5 MPS (06.06.25) - Sor'!ES196:ES334,"No demand",0,1))</f>
        <v>No demand</v>
      </c>
      <c r="BN200" s="321" t="str">
        <f t="array" ref="BN200">if(isblank(E200),"",xlookup($BN$9&amp;E200,'Import_FL5 MPS (06.06.25) - Sor'!E196:E334&amp;'Import_FL5 MPS (06.06.25) - Sor'!F196:F334,'Import_FL5 MPS (06.06.25) - Sor'!ES196:ES334,"No demand",0,1))</f>
        <v>No demand</v>
      </c>
      <c r="BO200" s="321" t="str">
        <f t="array" ref="BO200">if(isblank(E200),"",xlookup($BO$9&amp;E200,'Import_FL5 MPS (06.06.25) - Sor'!E196:E334&amp;'Import_FL5 MPS (06.06.25) - Sor'!F196:F334,'Import_FL5 MPS (06.06.25) - Sor'!ES196:ES334,"No demand",0,1))</f>
        <v>No demand</v>
      </c>
      <c r="BP200" s="322" t="str">
        <f t="array" ref="BP200">if(isblank(E200),"", xlookup(E200,'Import_LH_Label approve'!E:E,'Import_LH_Label approve'!L:L,"",0,1))</f>
        <v/>
      </c>
      <c r="BQ200" s="322" t="str">
        <f t="array" ref="BQ200">if(isblank(E200),"",xlookup(E200,'Import_VN_Label approve'!E:E,'Import_VN_Label approve'!M:M,"N/A",0,1))</f>
        <v>N/A</v>
      </c>
      <c r="BR200" s="325"/>
      <c r="BS200" s="323"/>
      <c r="BT200" s="324"/>
      <c r="BU200" s="117"/>
    </row>
    <row r="201" hidden="1">
      <c r="A201" s="7"/>
      <c r="B201" s="292">
        <v>190.0</v>
      </c>
      <c r="C201" s="231" t="s">
        <v>284</v>
      </c>
      <c r="D201" s="231" t="s">
        <v>408</v>
      </c>
      <c r="E201" s="350" t="s">
        <v>1330</v>
      </c>
      <c r="F201" s="325" t="s">
        <v>554</v>
      </c>
      <c r="G201" s="355" t="s">
        <v>555</v>
      </c>
      <c r="H201" s="292" t="str">
        <f t="array" ref="H201">xlookup(F201,z_Others!$B$21:$B$45,z_Others!$E$21:$E$45,"",0,1)</f>
        <v>JPN</v>
      </c>
      <c r="I201" s="310" t="s">
        <v>425</v>
      </c>
      <c r="J201" s="231" t="str">
        <f t="array" ref="J201">if(isblank(E201),"",xlookup(I201,z_Others!$M$17:$M$20,z_Others!$O$17:$O$20,"",0,1))</f>
        <v>Frost</v>
      </c>
      <c r="K201" s="292" t="str">
        <f t="array" ref="K201">xlookup(I201,z_Others!$M$17:$M$20,z_Others!$N$17:$N$20,"",0,1)</f>
        <v>PPL</v>
      </c>
      <c r="L201" s="292" t="str">
        <f t="array" ref="L201">xlookup(F201,z_Others!$B$21:$B$45,z_Others!$D$21:$D$45,"",0,1)</f>
        <v>GL066</v>
      </c>
      <c r="M201" s="296" t="str">
        <f t="array" ref="M201">xlookup(F201,z_Others!$B$21:$B$45,z_Others!$C$21:$C$45,"",0,1)</f>
        <v>JPN</v>
      </c>
      <c r="N201" s="297">
        <v>3.5416229E7</v>
      </c>
      <c r="O201" s="331" t="s">
        <v>556</v>
      </c>
      <c r="P201" s="303" t="s">
        <v>557</v>
      </c>
      <c r="Q201" s="300" t="s">
        <v>413</v>
      </c>
      <c r="R201" s="301" t="s">
        <v>414</v>
      </c>
      <c r="S201" s="302">
        <f t="array" ref="S201">if(isblank(E201),"",xlookup($S$9&amp;M201,z_Others!$X$5:$X$17&amp;z_Others!$W$5:$W$17,z_Others!$Z$5:$Z$17,"",0,1))</f>
        <v>35444932</v>
      </c>
      <c r="T201" s="303" t="str">
        <f t="array" ref="T201">if(isblank(E201),"",xlookup($S$9&amp;M201,z_Others!$X$5:$X$17&amp;z_Others!$W$5:$W$17,z_Others!$AH$5:$AH$17,"",0,1))</f>
        <v>35 444932 020000x</v>
      </c>
      <c r="U201" s="303" t="str">
        <f t="array" ref="U201">if(isblank(E201),"",xlookup($S$9&amp;M201,z_Others!$X$5:$X$17&amp;z_Others!$W$5:$W$17,z_Others!$AI$5:$AI$17,"",0,1))</f>
        <v>35 444932 999999x</v>
      </c>
      <c r="V201" s="303" t="str">
        <f t="shared" si="2"/>
        <v>64:9D:38:32:91:82
B0:D5:FB:C6:60:70</v>
      </c>
      <c r="W201" s="303" t="str">
        <f t="shared" si="3"/>
        <v>64:9D:38:37:25:61
B0:D5:FB:CE:01:8F</v>
      </c>
      <c r="X201" s="304" t="str">
        <f t="shared" si="4"/>
        <v>MP1.0</v>
      </c>
      <c r="Y201" s="292"/>
      <c r="Z201" s="304" t="str">
        <f t="shared" si="32"/>
        <v>Android 16</v>
      </c>
      <c r="AA201" s="304" t="str">
        <f t="shared" si="46"/>
        <v>TBD</v>
      </c>
      <c r="AB201" s="305" t="s">
        <v>1331</v>
      </c>
      <c r="AC201" s="361" t="s">
        <v>1175</v>
      </c>
      <c r="AD201" s="306"/>
      <c r="AE201" s="335"/>
      <c r="AF201" s="308"/>
      <c r="AG201" s="308"/>
      <c r="AH201" s="297" t="str">
        <f t="array" ref="AH201">if(isblank(E201),"",xlookup(F201,z_Others!$B$21:$B$45,z_Others!$F$21:$F$45,"TBD",0,1))</f>
        <v>00</v>
      </c>
      <c r="AI201" s="310" t="str">
        <f t="array" ref="AI201">if(isblank(E201),"", xlookup(E201,'Import_FL5_LH_PVTMP_Configs (Do'!E:E,'Import_FL5_LH_PVTMP_Configs (Do'!O:O,"TBD",0,1))</f>
        <v>TBD</v>
      </c>
      <c r="AJ201" s="311"/>
      <c r="AK201" s="310" t="str">
        <f t="array" ref="AK201">if(isblank(E201),"", xlookup(E201,'Import_FL5_LH_PVTMP_Configs (Do'!E:E,'Import_FL5_LH_PVTMP_Configs (Do'!Q:Q,"TBD",0,1))</f>
        <v>TBD</v>
      </c>
      <c r="AL201" s="310" t="str">
        <f t="array" ref="AL201">if(isblank(E201),"", xlookup(E201,'Import_FL5_LH_PVTMP_Configs (Do'!E:E,'Import_FL5_LH_PVTMP_Configs (Do'!M:M,"TBD",0,1))</f>
        <v>TBD</v>
      </c>
      <c r="AM201" s="310" t="str">
        <f t="array" ref="AM201">if(isblank(E201),"", xlookup(E201,'Import_FL5_LH_PVTMP_Configs (Do'!E:E,'Import_FL5_LH_PVTMP_Configs (Do'!N:N,"TBD",0,1))</f>
        <v>TBD</v>
      </c>
      <c r="AN201" s="310" t="str">
        <f t="array" ref="AN201">if(isblank(E201),"", xlookup(E201,'Import_FL5_LH_PVTMP_Configs (Do'!E:E,'Import_FL5_LH_PVTMP_Configs (Do'!K:K,"TBD",0,1))</f>
        <v>TBD</v>
      </c>
      <c r="AO201" s="292" t="str">
        <f t="array" ref="AO201">if(isblank(E201),"",XLOOKUP(E201,'FL5_G954 Pkg ASSY (Pkg BOM)'!L:L,'FL5_G954 Pkg ASSY (Pkg BOM)'!G:G,"N/A",0,1))</f>
        <v>N/A</v>
      </c>
      <c r="AP201" s="292" t="str">
        <f t="array" ref="AP201">if(isblank(E201),"",xlookup(E201,'FL5_G962 Country kit (Accesorie'!L:L,'FL5_G962 Country kit (Accesorie'!G:G,"N/A",0,1))</f>
        <v>N/A</v>
      </c>
      <c r="AQ201" s="304" t="s">
        <v>1140</v>
      </c>
      <c r="AR201" s="304" t="s">
        <v>1140</v>
      </c>
      <c r="AS201" s="292" t="s">
        <v>596</v>
      </c>
      <c r="AT201" s="302" t="str">
        <f t="shared" si="6"/>
        <v>Yes</v>
      </c>
      <c r="AU201" s="302" t="str">
        <f t="shared" si="7"/>
        <v>No</v>
      </c>
      <c r="AV201" s="302" t="str">
        <f t="shared" si="8"/>
        <v>No</v>
      </c>
      <c r="AW201" s="297"/>
      <c r="AX201" s="336" t="s">
        <v>585</v>
      </c>
      <c r="AY201" s="336" t="s">
        <v>585</v>
      </c>
      <c r="AZ201" s="312" t="str">
        <f t="array" ref="AZ201">if(isblank(E201),"", xlookup(E201,Import_FL5_LH_PVT_BM!D:D,Import_FL5_LH_PVT_BM!AK:AK,$F$4,0,1))</f>
        <v>MP</v>
      </c>
      <c r="BA201" s="292" t="str">
        <f t="shared" si="9"/>
        <v>Retail_10ct</v>
      </c>
      <c r="BB201" s="313" t="str">
        <f t="array" ref="BB201">if(isblank(E201),"",xlookup(F201,z_Others!$B$21:$B$42,z_Others!$G$21:$G$42,"No",0,1))</f>
        <v>ROW Master Carton Label (UPC)</v>
      </c>
      <c r="BC201" s="313" t="str">
        <f t="array" ref="BC201">if(isblank(E201),"",xlookup(F201,z_Others!$B$21:$B$42,z_Others!$H$21:$H$42,"No",0,1))</f>
        <v>Standard Pallet Label (BTO)
Standard Pallet Label (BTS)</v>
      </c>
      <c r="BD201" s="314" t="str">
        <f t="array" ref="BD201">if(isblank(E201),"",xlookup(E201,'Import_VN_Label approve'!E:E,'Import_VN_Label approve'!L:L,"N/A",0,1))</f>
        <v>N/A</v>
      </c>
      <c r="BE201" s="314" t="str">
        <f t="array" ref="BE201">if(isblank(E201),"",xlookup(E201,'Import_VN_Label approve'!E:E,'Import_VN_Label approve'!N:N,"N/A",0,1))</f>
        <v>N/A</v>
      </c>
      <c r="BF201" s="315"/>
      <c r="BG201" s="332" t="s">
        <v>503</v>
      </c>
      <c r="BH201" s="317" t="s">
        <v>504</v>
      </c>
      <c r="BI201" s="360" t="s">
        <v>1091</v>
      </c>
      <c r="BJ201" s="319" t="str">
        <f t="array" ref="BJ201">if(isblank(E201),"", xlookup(D201,z_Others!$B$5:$B$17,z_Others!$C$5:$C$17,"",0,1))</f>
        <v>智能手機</v>
      </c>
      <c r="BK201" s="320">
        <v>45782.0</v>
      </c>
      <c r="BL201" s="320" t="str">
        <f t="array" ref="BL201">if(isblank(E201),"",xlookup(E201,'FL5_MP POR_LH_報關備案_G950 &amp; GA'!F:F,'FL5_MP POR_LH_報關備案_G950 &amp; GA'!E:E,"No Need",0,1))</f>
        <v>No Need</v>
      </c>
      <c r="BM201" s="321" t="str">
        <f t="array" ref="BM201">if(isblank(E201),"",xlookup($BM$9&amp;E201,'Import_FL5 MPS (06.06.25) - Sor'!E197:E334&amp;'Import_FL5 MPS (06.06.25) - Sor'!F197:F334,'Import_FL5 MPS (06.06.25) - Sor'!ES197:ES334,"No demand",0,1))</f>
        <v>No demand</v>
      </c>
      <c r="BN201" s="321" t="str">
        <f t="array" ref="BN201">if(isblank(E201),"",xlookup($BN$9&amp;E201,'Import_FL5 MPS (06.06.25) - Sor'!E197:E334&amp;'Import_FL5 MPS (06.06.25) - Sor'!F197:F334,'Import_FL5 MPS (06.06.25) - Sor'!ES197:ES334,"No demand",0,1))</f>
        <v>No demand</v>
      </c>
      <c r="BO201" s="321" t="str">
        <f t="array" ref="BO201">if(isblank(E201),"",xlookup($BO$9&amp;E201,'Import_FL5 MPS (06.06.25) - Sor'!E197:E334&amp;'Import_FL5 MPS (06.06.25) - Sor'!F197:F334,'Import_FL5 MPS (06.06.25) - Sor'!ES197:ES334,"No demand",0,1))</f>
        <v>No demand</v>
      </c>
      <c r="BP201" s="322" t="str">
        <f t="array" ref="BP201">if(isblank(E201),"", xlookup(E201,'Import_LH_Label approve'!E:E,'Import_LH_Label approve'!L:L,"",0,1))</f>
        <v/>
      </c>
      <c r="BQ201" s="322" t="str">
        <f t="array" ref="BQ201">if(isblank(E201),"",xlookup(E201,'Import_VN_Label approve'!E:E,'Import_VN_Label approve'!M:M,"N/A",0,1))</f>
        <v>N/A</v>
      </c>
      <c r="BR201" s="342"/>
      <c r="BS201" s="323"/>
      <c r="BT201" s="324"/>
      <c r="BU201" s="343"/>
    </row>
    <row r="202" hidden="1">
      <c r="A202" s="7"/>
      <c r="B202" s="292">
        <v>191.0</v>
      </c>
      <c r="C202" s="231" t="s">
        <v>284</v>
      </c>
      <c r="D202" s="231" t="s">
        <v>408</v>
      </c>
      <c r="E202" s="350" t="s">
        <v>1332</v>
      </c>
      <c r="F202" s="325" t="s">
        <v>554</v>
      </c>
      <c r="G202" s="355" t="s">
        <v>555</v>
      </c>
      <c r="H202" s="292" t="str">
        <f t="array" ref="H202">xlookup(F202,z_Others!$B$21:$B$45,z_Others!$E$21:$E$45,"",0,1)</f>
        <v>JPN</v>
      </c>
      <c r="I202" s="310" t="s">
        <v>431</v>
      </c>
      <c r="J202" s="231" t="str">
        <f t="array" ref="J202">if(isblank(E202),"",xlookup(I202,z_Others!$M$17:$M$20,z_Others!$O$17:$O$20,"",0,1))</f>
        <v>Lemongrass</v>
      </c>
      <c r="K202" s="292" t="str">
        <f t="array" ref="K202">xlookup(I202,z_Others!$M$17:$M$20,z_Others!$N$17:$N$20,"",0,1)</f>
        <v>YEL</v>
      </c>
      <c r="L202" s="292" t="str">
        <f t="array" ref="L202">xlookup(F202,z_Others!$B$21:$B$45,z_Others!$D$21:$D$45,"",0,1)</f>
        <v>GL066</v>
      </c>
      <c r="M202" s="296" t="str">
        <f t="array" ref="M202">xlookup(F202,z_Others!$B$21:$B$45,z_Others!$C$21:$C$45,"",0,1)</f>
        <v>JPN</v>
      </c>
      <c r="N202" s="297">
        <v>3.5416229E7</v>
      </c>
      <c r="O202" s="331" t="s">
        <v>556</v>
      </c>
      <c r="P202" s="303" t="s">
        <v>557</v>
      </c>
      <c r="Q202" s="300" t="s">
        <v>413</v>
      </c>
      <c r="R202" s="301" t="s">
        <v>414</v>
      </c>
      <c r="S202" s="302">
        <f t="array" ref="S202">if(isblank(E202),"",xlookup($S$9&amp;M202,z_Others!$X$5:$X$17&amp;z_Others!$W$5:$W$17,z_Others!$Z$5:$Z$17,"",0,1))</f>
        <v>35444932</v>
      </c>
      <c r="T202" s="303" t="str">
        <f t="array" ref="T202">if(isblank(E202),"",xlookup($S$9&amp;M202,z_Others!$X$5:$X$17&amp;z_Others!$W$5:$W$17,z_Others!$AH$5:$AH$17,"",0,1))</f>
        <v>35 444932 020000x</v>
      </c>
      <c r="U202" s="303" t="str">
        <f t="array" ref="U202">if(isblank(E202),"",xlookup($S$9&amp;M202,z_Others!$X$5:$X$17&amp;z_Others!$W$5:$W$17,z_Others!$AI$5:$AI$17,"",0,1))</f>
        <v>35 444932 999999x</v>
      </c>
      <c r="V202" s="303" t="str">
        <f t="shared" si="2"/>
        <v>64:9D:38:32:91:82
B0:D5:FB:C6:60:70</v>
      </c>
      <c r="W202" s="303" t="str">
        <f t="shared" si="3"/>
        <v>64:9D:38:37:25:61
B0:D5:FB:CE:01:8F</v>
      </c>
      <c r="X202" s="304" t="str">
        <f t="shared" si="4"/>
        <v>MP1.0</v>
      </c>
      <c r="Y202" s="292"/>
      <c r="Z202" s="304" t="str">
        <f t="shared" si="32"/>
        <v>Android 16</v>
      </c>
      <c r="AA202" s="304" t="str">
        <f t="shared" si="46"/>
        <v>TBD</v>
      </c>
      <c r="AB202" s="305" t="s">
        <v>1333</v>
      </c>
      <c r="AC202" s="361" t="s">
        <v>1175</v>
      </c>
      <c r="AD202" s="306"/>
      <c r="AE202" s="335"/>
      <c r="AF202" s="308"/>
      <c r="AG202" s="308"/>
      <c r="AH202" s="297" t="str">
        <f t="array" ref="AH202">if(isblank(E202),"",xlookup(F202,z_Others!$B$21:$B$45,z_Others!$F$21:$F$45,"TBD",0,1))</f>
        <v>00</v>
      </c>
      <c r="AI202" s="310" t="str">
        <f t="array" ref="AI202">if(isblank(E202),"", xlookup(E202,'Import_FL5_LH_PVTMP_Configs (Do'!E:E,'Import_FL5_LH_PVTMP_Configs (Do'!O:O,"TBD",0,1))</f>
        <v>TBD</v>
      </c>
      <c r="AJ202" s="311"/>
      <c r="AK202" s="310" t="str">
        <f t="array" ref="AK202">if(isblank(E202),"", xlookup(E202,'Import_FL5_LH_PVTMP_Configs (Do'!E:E,'Import_FL5_LH_PVTMP_Configs (Do'!Q:Q,"TBD",0,1))</f>
        <v>TBD</v>
      </c>
      <c r="AL202" s="310" t="str">
        <f t="array" ref="AL202">if(isblank(E202),"", xlookup(E202,'Import_FL5_LH_PVTMP_Configs (Do'!E:E,'Import_FL5_LH_PVTMP_Configs (Do'!M:M,"TBD",0,1))</f>
        <v>TBD</v>
      </c>
      <c r="AM202" s="310" t="str">
        <f t="array" ref="AM202">if(isblank(E202),"", xlookup(E202,'Import_FL5_LH_PVTMP_Configs (Do'!E:E,'Import_FL5_LH_PVTMP_Configs (Do'!N:N,"TBD",0,1))</f>
        <v>TBD</v>
      </c>
      <c r="AN202" s="310" t="str">
        <f t="array" ref="AN202">if(isblank(E202),"", xlookup(E202,'Import_FL5_LH_PVTMP_Configs (Do'!E:E,'Import_FL5_LH_PVTMP_Configs (Do'!K:K,"TBD",0,1))</f>
        <v>TBD</v>
      </c>
      <c r="AO202" s="292" t="str">
        <f t="array" ref="AO202">if(isblank(E202),"",XLOOKUP(E202,'FL5_G954 Pkg ASSY (Pkg BOM)'!L:L,'FL5_G954 Pkg ASSY (Pkg BOM)'!G:G,"N/A",0,1))</f>
        <v>N/A</v>
      </c>
      <c r="AP202" s="292" t="str">
        <f t="array" ref="AP202">if(isblank(E202),"",xlookup(E202,'FL5_G962 Country kit (Accesorie'!L:L,'FL5_G962 Country kit (Accesorie'!G:G,"N/A",0,1))</f>
        <v>N/A</v>
      </c>
      <c r="AQ202" s="304" t="s">
        <v>1140</v>
      </c>
      <c r="AR202" s="304" t="s">
        <v>1140</v>
      </c>
      <c r="AS202" s="292" t="s">
        <v>596</v>
      </c>
      <c r="AT202" s="302" t="str">
        <f t="shared" si="6"/>
        <v>Yes</v>
      </c>
      <c r="AU202" s="302" t="str">
        <f t="shared" si="7"/>
        <v>No</v>
      </c>
      <c r="AV202" s="302" t="str">
        <f t="shared" si="8"/>
        <v>No</v>
      </c>
      <c r="AW202" s="297"/>
      <c r="AX202" s="336" t="s">
        <v>585</v>
      </c>
      <c r="AY202" s="336" t="s">
        <v>585</v>
      </c>
      <c r="AZ202" s="312" t="str">
        <f t="array" ref="AZ202">if(isblank(E202),"", xlookup(E202,Import_FL5_LH_PVT_BM!D:D,Import_FL5_LH_PVT_BM!AK:AK,$F$4,0,1))</f>
        <v>MP</v>
      </c>
      <c r="BA202" s="292" t="str">
        <f t="shared" si="9"/>
        <v>Retail_10ct</v>
      </c>
      <c r="BB202" s="313" t="str">
        <f t="array" ref="BB202">if(isblank(E202),"",xlookup(F202,z_Others!$B$21:$B$42,z_Others!$G$21:$G$42,"No",0,1))</f>
        <v>ROW Master Carton Label (UPC)</v>
      </c>
      <c r="BC202" s="313" t="str">
        <f t="array" ref="BC202">if(isblank(E202),"",xlookup(F202,z_Others!$B$21:$B$42,z_Others!$H$21:$H$42,"No",0,1))</f>
        <v>Standard Pallet Label (BTO)
Standard Pallet Label (BTS)</v>
      </c>
      <c r="BD202" s="314" t="str">
        <f t="array" ref="BD202">if(isblank(E202),"",xlookup(E202,'Import_VN_Label approve'!E:E,'Import_VN_Label approve'!L:L,"N/A",0,1))</f>
        <v>N/A</v>
      </c>
      <c r="BE202" s="314" t="str">
        <f t="array" ref="BE202">if(isblank(E202),"",xlookup(E202,'Import_VN_Label approve'!E:E,'Import_VN_Label approve'!N:N,"N/A",0,1))</f>
        <v>N/A</v>
      </c>
      <c r="BF202" s="315"/>
      <c r="BG202" s="332" t="s">
        <v>503</v>
      </c>
      <c r="BH202" s="317" t="s">
        <v>504</v>
      </c>
      <c r="BI202" s="360" t="s">
        <v>1091</v>
      </c>
      <c r="BJ202" s="319" t="str">
        <f t="array" ref="BJ202">if(isblank(E202),"", xlookup(D202,z_Others!$B$5:$B$17,z_Others!$C$5:$C$17,"",0,1))</f>
        <v>智能手機</v>
      </c>
      <c r="BK202" s="320">
        <v>45782.0</v>
      </c>
      <c r="BL202" s="320" t="str">
        <f t="array" ref="BL202">if(isblank(E202),"",xlookup(E202,'FL5_MP POR_LH_報關備案_G950 &amp; GA'!F:F,'FL5_MP POR_LH_報關備案_G950 &amp; GA'!E:E,"No Need",0,1))</f>
        <v>No Need</v>
      </c>
      <c r="BM202" s="321" t="str">
        <f t="array" ref="BM202">if(isblank(E202),"",xlookup($BM$9&amp;E202,'Import_FL5 MPS (06.06.25) - Sor'!E198:E334&amp;'Import_FL5 MPS (06.06.25) - Sor'!F198:F334,'Import_FL5 MPS (06.06.25) - Sor'!ES198:ES334,"No demand",0,1))</f>
        <v>No demand</v>
      </c>
      <c r="BN202" s="321" t="str">
        <f t="array" ref="BN202">if(isblank(E202),"",xlookup($BN$9&amp;E202,'Import_FL5 MPS (06.06.25) - Sor'!E198:E334&amp;'Import_FL5 MPS (06.06.25) - Sor'!F198:F334,'Import_FL5 MPS (06.06.25) - Sor'!ES198:ES334,"No demand",0,1))</f>
        <v>No demand</v>
      </c>
      <c r="BO202" s="321" t="str">
        <f t="array" ref="BO202">if(isblank(E202),"",xlookup($BO$9&amp;E202,'Import_FL5 MPS (06.06.25) - Sor'!E198:E334&amp;'Import_FL5 MPS (06.06.25) - Sor'!F198:F334,'Import_FL5 MPS (06.06.25) - Sor'!ES198:ES334,"No demand",0,1))</f>
        <v>No demand</v>
      </c>
      <c r="BP202" s="322" t="str">
        <f t="array" ref="BP202">if(isblank(E202),"", xlookup(E202,'Import_LH_Label approve'!E:E,'Import_LH_Label approve'!L:L,"",0,1))</f>
        <v/>
      </c>
      <c r="BQ202" s="322" t="str">
        <f t="array" ref="BQ202">if(isblank(E202),"",xlookup(E202,'Import_VN_Label approve'!E:E,'Import_VN_Label approve'!M:M,"N/A",0,1))</f>
        <v>N/A</v>
      </c>
      <c r="BR202" s="342"/>
      <c r="BS202" s="323"/>
      <c r="BT202" s="324"/>
      <c r="BU202" s="343"/>
    </row>
    <row r="203" hidden="1">
      <c r="A203" s="7"/>
      <c r="B203" s="292">
        <v>192.0</v>
      </c>
      <c r="C203" s="231" t="s">
        <v>284</v>
      </c>
      <c r="D203" s="231" t="s">
        <v>408</v>
      </c>
      <c r="E203" s="350" t="s">
        <v>1334</v>
      </c>
      <c r="F203" s="325" t="s">
        <v>554</v>
      </c>
      <c r="G203" s="355" t="s">
        <v>555</v>
      </c>
      <c r="H203" s="292" t="str">
        <f t="array" ref="H203">xlookup(F203,z_Others!$B$21:$B$45,z_Others!$E$21:$E$45,"",0,1)</f>
        <v>JPN</v>
      </c>
      <c r="I203" s="310" t="s">
        <v>437</v>
      </c>
      <c r="J203" s="231" t="str">
        <f t="array" ref="J203">if(isblank(E203),"",xlookup(I203,z_Others!$M$17:$M$20,z_Others!$O$17:$O$20,"",0,1))</f>
        <v>Indigo</v>
      </c>
      <c r="K203" s="292" t="str">
        <f t="array" ref="K203">xlookup(I203,z_Others!$M$17:$M$20,z_Others!$N$17:$N$20,"",0,1)</f>
        <v>BUE</v>
      </c>
      <c r="L203" s="292" t="str">
        <f t="array" ref="L203">xlookup(F203,z_Others!$B$21:$B$45,z_Others!$D$21:$D$45,"",0,1)</f>
        <v>GL066</v>
      </c>
      <c r="M203" s="296" t="str">
        <f t="array" ref="M203">xlookup(F203,z_Others!$B$21:$B$45,z_Others!$C$21:$C$45,"",0,1)</f>
        <v>JPN</v>
      </c>
      <c r="N203" s="297">
        <v>3.5416229E7</v>
      </c>
      <c r="O203" s="331" t="s">
        <v>556</v>
      </c>
      <c r="P203" s="303" t="s">
        <v>557</v>
      </c>
      <c r="Q203" s="300" t="s">
        <v>413</v>
      </c>
      <c r="R203" s="301" t="s">
        <v>414</v>
      </c>
      <c r="S203" s="302">
        <f t="array" ref="S203">if(isblank(E203),"",xlookup($S$9&amp;M203,z_Others!$X$5:$X$17&amp;z_Others!$W$5:$W$17,z_Others!$Z$5:$Z$17,"",0,1))</f>
        <v>35444932</v>
      </c>
      <c r="T203" s="303" t="str">
        <f t="array" ref="T203">if(isblank(E203),"",xlookup($S$9&amp;M203,z_Others!$X$5:$X$17&amp;z_Others!$W$5:$W$17,z_Others!$AH$5:$AH$17,"",0,1))</f>
        <v>35 444932 020000x</v>
      </c>
      <c r="U203" s="303" t="str">
        <f t="array" ref="U203">if(isblank(E203),"",xlookup($S$9&amp;M203,z_Others!$X$5:$X$17&amp;z_Others!$W$5:$W$17,z_Others!$AI$5:$AI$17,"",0,1))</f>
        <v>35 444932 999999x</v>
      </c>
      <c r="V203" s="303" t="str">
        <f t="shared" si="2"/>
        <v>64:9D:38:32:91:82
B0:D5:FB:C6:60:70</v>
      </c>
      <c r="W203" s="303" t="str">
        <f t="shared" si="3"/>
        <v>64:9D:38:37:25:61
B0:D5:FB:CE:01:8F</v>
      </c>
      <c r="X203" s="304" t="str">
        <f t="shared" si="4"/>
        <v>MP1.0</v>
      </c>
      <c r="Y203" s="292"/>
      <c r="Z203" s="304" t="str">
        <f t="shared" si="32"/>
        <v>Android 16</v>
      </c>
      <c r="AA203" s="304" t="str">
        <f t="shared" si="46"/>
        <v>TBD</v>
      </c>
      <c r="AB203" s="305" t="s">
        <v>1335</v>
      </c>
      <c r="AC203" s="361" t="s">
        <v>1175</v>
      </c>
      <c r="AD203" s="306"/>
      <c r="AE203" s="335"/>
      <c r="AF203" s="308"/>
      <c r="AG203" s="308"/>
      <c r="AH203" s="297" t="str">
        <f t="array" ref="AH203">if(isblank(E203),"",xlookup(F203,z_Others!$B$21:$B$45,z_Others!$F$21:$F$45,"TBD",0,1))</f>
        <v>00</v>
      </c>
      <c r="AI203" s="310" t="str">
        <f t="array" ref="AI203">if(isblank(E203),"", xlookup(E203,'Import_FL5_LH_PVTMP_Configs (Do'!E:E,'Import_FL5_LH_PVTMP_Configs (Do'!O:O,"TBD",0,1))</f>
        <v>TBD</v>
      </c>
      <c r="AJ203" s="311"/>
      <c r="AK203" s="310" t="str">
        <f t="array" ref="AK203">if(isblank(E203),"", xlookup(E203,'Import_FL5_LH_PVTMP_Configs (Do'!E:E,'Import_FL5_LH_PVTMP_Configs (Do'!Q:Q,"TBD",0,1))</f>
        <v>TBD</v>
      </c>
      <c r="AL203" s="310" t="str">
        <f t="array" ref="AL203">if(isblank(E203),"", xlookup(E203,'Import_FL5_LH_PVTMP_Configs (Do'!E:E,'Import_FL5_LH_PVTMP_Configs (Do'!M:M,"TBD",0,1))</f>
        <v>TBD</v>
      </c>
      <c r="AM203" s="310" t="str">
        <f t="array" ref="AM203">if(isblank(E203),"", xlookup(E203,'Import_FL5_LH_PVTMP_Configs (Do'!E:E,'Import_FL5_LH_PVTMP_Configs (Do'!N:N,"TBD",0,1))</f>
        <v>TBD</v>
      </c>
      <c r="AN203" s="310" t="str">
        <f t="array" ref="AN203">if(isblank(E203),"", xlookup(E203,'Import_FL5_LH_PVTMP_Configs (Do'!E:E,'Import_FL5_LH_PVTMP_Configs (Do'!K:K,"TBD",0,1))</f>
        <v>TBD</v>
      </c>
      <c r="AO203" s="292" t="str">
        <f t="array" ref="AO203">if(isblank(E203),"",XLOOKUP(E203,'FL5_G954 Pkg ASSY (Pkg BOM)'!L:L,'FL5_G954 Pkg ASSY (Pkg BOM)'!G:G,"N/A",0,1))</f>
        <v>N/A</v>
      </c>
      <c r="AP203" s="292" t="str">
        <f t="array" ref="AP203">if(isblank(E203),"",xlookup(E203,'FL5_G962 Country kit (Accesorie'!L:L,'FL5_G962 Country kit (Accesorie'!G:G,"N/A",0,1))</f>
        <v>N/A</v>
      </c>
      <c r="AQ203" s="304" t="s">
        <v>1140</v>
      </c>
      <c r="AR203" s="304" t="s">
        <v>1140</v>
      </c>
      <c r="AS203" s="292" t="s">
        <v>596</v>
      </c>
      <c r="AT203" s="302" t="str">
        <f t="shared" si="6"/>
        <v>Yes</v>
      </c>
      <c r="AU203" s="302" t="str">
        <f t="shared" si="7"/>
        <v>No</v>
      </c>
      <c r="AV203" s="302" t="str">
        <f t="shared" si="8"/>
        <v>No</v>
      </c>
      <c r="AW203" s="297"/>
      <c r="AX203" s="336" t="s">
        <v>585</v>
      </c>
      <c r="AY203" s="336" t="s">
        <v>585</v>
      </c>
      <c r="AZ203" s="312" t="str">
        <f t="array" ref="AZ203">if(isblank(E203),"", xlookup(E203,Import_FL5_LH_PVT_BM!D:D,Import_FL5_LH_PVT_BM!AK:AK,$F$4,0,1))</f>
        <v>MP</v>
      </c>
      <c r="BA203" s="292" t="str">
        <f t="shared" si="9"/>
        <v>Retail_10ct</v>
      </c>
      <c r="BB203" s="313" t="str">
        <f t="array" ref="BB203">if(isblank(E203),"",xlookup(F203,z_Others!$B$21:$B$42,z_Others!$G$21:$G$42,"No",0,1))</f>
        <v>ROW Master Carton Label (UPC)</v>
      </c>
      <c r="BC203" s="313" t="str">
        <f t="array" ref="BC203">if(isblank(E203),"",xlookup(F203,z_Others!$B$21:$B$42,z_Others!$H$21:$H$42,"No",0,1))</f>
        <v>Standard Pallet Label (BTO)
Standard Pallet Label (BTS)</v>
      </c>
      <c r="BD203" s="314" t="str">
        <f t="array" ref="BD203">if(isblank(E203),"",xlookup(E203,'Import_VN_Label approve'!E:E,'Import_VN_Label approve'!L:L,"N/A",0,1))</f>
        <v>N/A</v>
      </c>
      <c r="BE203" s="314" t="str">
        <f t="array" ref="BE203">if(isblank(E203),"",xlookup(E203,'Import_VN_Label approve'!E:E,'Import_VN_Label approve'!N:N,"N/A",0,1))</f>
        <v>N/A</v>
      </c>
      <c r="BF203" s="315"/>
      <c r="BG203" s="332" t="s">
        <v>503</v>
      </c>
      <c r="BH203" s="317" t="s">
        <v>504</v>
      </c>
      <c r="BI203" s="360" t="s">
        <v>1091</v>
      </c>
      <c r="BJ203" s="319" t="str">
        <f t="array" ref="BJ203">if(isblank(E203),"", xlookup(D203,z_Others!$B$5:$B$17,z_Others!$C$5:$C$17,"",0,1))</f>
        <v>智能手機</v>
      </c>
      <c r="BK203" s="320">
        <v>45782.0</v>
      </c>
      <c r="BL203" s="320" t="str">
        <f t="array" ref="BL203">if(isblank(E203),"",xlookup(E203,'FL5_MP POR_LH_報關備案_G950 &amp; GA'!F:F,'FL5_MP POR_LH_報關備案_G950 &amp; GA'!E:E,"No Need",0,1))</f>
        <v>No Need</v>
      </c>
      <c r="BM203" s="321" t="str">
        <f t="array" ref="BM203">if(isblank(E203),"",xlookup($BM$9&amp;E203,'Import_FL5 MPS (06.06.25) - Sor'!E199:E334&amp;'Import_FL5 MPS (06.06.25) - Sor'!F199:F334,'Import_FL5 MPS (06.06.25) - Sor'!ES199:ES334,"No demand",0,1))</f>
        <v>No demand</v>
      </c>
      <c r="BN203" s="321" t="str">
        <f t="array" ref="BN203">if(isblank(E203),"",xlookup($BN$9&amp;E203,'Import_FL5 MPS (06.06.25) - Sor'!E199:E334&amp;'Import_FL5 MPS (06.06.25) - Sor'!F199:F334,'Import_FL5 MPS (06.06.25) - Sor'!ES199:ES334,"No demand",0,1))</f>
        <v>No demand</v>
      </c>
      <c r="BO203" s="321" t="str">
        <f t="array" ref="BO203">if(isblank(E203),"",xlookup($BO$9&amp;E203,'Import_FL5 MPS (06.06.25) - Sor'!E199:E334&amp;'Import_FL5 MPS (06.06.25) - Sor'!F199:F334,'Import_FL5 MPS (06.06.25) - Sor'!ES199:ES334,"No demand",0,1))</f>
        <v>No demand</v>
      </c>
      <c r="BP203" s="322" t="str">
        <f t="array" ref="BP203">if(isblank(E203),"", xlookup(E203,'Import_LH_Label approve'!E:E,'Import_LH_Label approve'!L:L,"",0,1))</f>
        <v/>
      </c>
      <c r="BQ203" s="322" t="str">
        <f t="array" ref="BQ203">if(isblank(E203),"",xlookup(E203,'Import_VN_Label approve'!E:E,'Import_VN_Label approve'!M:M,"N/A",0,1))</f>
        <v>N/A</v>
      </c>
      <c r="BR203" s="325"/>
      <c r="BS203" s="323"/>
      <c r="BT203" s="324"/>
      <c r="BU203" s="117"/>
    </row>
    <row r="204">
      <c r="A204" s="7"/>
      <c r="B204" s="292">
        <v>193.0</v>
      </c>
      <c r="C204" s="231" t="s">
        <v>286</v>
      </c>
      <c r="D204" s="231" t="s">
        <v>408</v>
      </c>
      <c r="E204" s="334" t="s">
        <v>1336</v>
      </c>
      <c r="F204" s="325" t="s">
        <v>410</v>
      </c>
      <c r="G204" s="355" t="s">
        <v>411</v>
      </c>
      <c r="H204" s="292" t="s">
        <v>1337</v>
      </c>
      <c r="I204" s="310" t="s">
        <v>437</v>
      </c>
      <c r="J204" s="231" t="s">
        <v>1338</v>
      </c>
      <c r="K204" s="292" t="s">
        <v>1339</v>
      </c>
      <c r="L204" s="292" t="s">
        <v>1340</v>
      </c>
      <c r="M204" s="310" t="s">
        <v>1097</v>
      </c>
      <c r="N204" s="297">
        <v>3.5560678E7</v>
      </c>
      <c r="O204" s="298" t="s">
        <v>1341</v>
      </c>
      <c r="P204" s="299" t="s">
        <v>1342</v>
      </c>
      <c r="Q204" s="300" t="s">
        <v>413</v>
      </c>
      <c r="R204" s="301" t="s">
        <v>414</v>
      </c>
      <c r="S204" s="302">
        <v>3.5931451E7</v>
      </c>
      <c r="T204" s="303" t="s">
        <v>1343</v>
      </c>
      <c r="U204" s="303" t="s">
        <v>1344</v>
      </c>
      <c r="V204" s="303" t="s">
        <v>1345</v>
      </c>
      <c r="W204" s="303" t="str">
        <f t="shared" si="3"/>
        <v>64:9D:38:37:25:61
B0:D5:FB:CE:01:8F</v>
      </c>
      <c r="X204" s="304" t="s">
        <v>298</v>
      </c>
      <c r="Y204" s="292"/>
      <c r="Z204" s="304" t="s">
        <v>299</v>
      </c>
      <c r="AA204" s="304" t="s">
        <v>585</v>
      </c>
      <c r="AB204" s="305" t="s">
        <v>745</v>
      </c>
      <c r="AC204" s="305" t="s">
        <v>746</v>
      </c>
      <c r="AD204" s="366"/>
      <c r="AE204" s="307" t="s">
        <v>418</v>
      </c>
      <c r="AF204" s="308"/>
      <c r="AG204" s="314"/>
      <c r="AH204" s="297" t="s">
        <v>1122</v>
      </c>
      <c r="AI204" s="310" t="s">
        <v>1346</v>
      </c>
      <c r="AJ204" s="311"/>
      <c r="AK204" s="310" t="s">
        <v>1347</v>
      </c>
      <c r="AL204" s="310" t="s">
        <v>1348</v>
      </c>
      <c r="AM204" s="310" t="s">
        <v>1349</v>
      </c>
      <c r="AN204" s="310" t="s">
        <v>1350</v>
      </c>
      <c r="AO204" s="292" t="s">
        <v>1351</v>
      </c>
      <c r="AP204" s="292" t="s">
        <v>1352</v>
      </c>
      <c r="AQ204" s="304" t="s">
        <v>1353</v>
      </c>
      <c r="AR204" s="304" t="s">
        <v>1354</v>
      </c>
      <c r="AS204" s="292" t="s">
        <v>419</v>
      </c>
      <c r="AT204" s="302" t="s">
        <v>1355</v>
      </c>
      <c r="AU204" s="302" t="s">
        <v>45</v>
      </c>
      <c r="AV204" s="302" t="s">
        <v>45</v>
      </c>
      <c r="AW204" s="302"/>
      <c r="AX204" s="302" t="s">
        <v>747</v>
      </c>
      <c r="AY204" s="302" t="s">
        <v>748</v>
      </c>
      <c r="AZ204" s="312" t="s">
        <v>278</v>
      </c>
      <c r="BA204" s="292" t="s">
        <v>1356</v>
      </c>
      <c r="BB204" s="313" t="s">
        <v>1357</v>
      </c>
      <c r="BC204" s="313" t="s">
        <v>1358</v>
      </c>
      <c r="BD204" s="314" t="s">
        <v>1359</v>
      </c>
      <c r="BE204" s="314" t="s">
        <v>1354</v>
      </c>
      <c r="BF204" s="315"/>
      <c r="BG204" s="315" t="s">
        <v>1360</v>
      </c>
      <c r="BH204" s="315"/>
      <c r="BI204" s="367">
        <v>45773.0</v>
      </c>
      <c r="BJ204" s="320" t="s">
        <v>1361</v>
      </c>
      <c r="BK204" s="320">
        <v>45782.0</v>
      </c>
      <c r="BL204" s="320" t="s">
        <v>1362</v>
      </c>
      <c r="BM204" s="321">
        <v>45837.0</v>
      </c>
      <c r="BN204" s="321" t="s">
        <v>1363</v>
      </c>
      <c r="BO204" s="321" t="s">
        <v>1364</v>
      </c>
      <c r="BP204" s="314"/>
      <c r="BQ204" s="322"/>
      <c r="BR204" s="325"/>
      <c r="BS204" s="323"/>
      <c r="BT204" s="324"/>
      <c r="BU204" s="117"/>
    </row>
    <row r="205">
      <c r="A205" s="7"/>
      <c r="B205" s="292">
        <v>194.0</v>
      </c>
      <c r="C205" s="231" t="s">
        <v>287</v>
      </c>
      <c r="D205" s="231" t="s">
        <v>408</v>
      </c>
      <c r="E205" s="334" t="s">
        <v>1365</v>
      </c>
      <c r="F205" s="325" t="s">
        <v>470</v>
      </c>
      <c r="G205" s="355" t="s">
        <v>471</v>
      </c>
      <c r="H205" s="292" t="s">
        <v>1337</v>
      </c>
      <c r="I205" s="310" t="s">
        <v>412</v>
      </c>
      <c r="J205" s="231" t="s">
        <v>1366</v>
      </c>
      <c r="K205" s="292" t="s">
        <v>1367</v>
      </c>
      <c r="L205" s="292" t="s">
        <v>1340</v>
      </c>
      <c r="M205" s="310" t="s">
        <v>1368</v>
      </c>
      <c r="N205" s="297">
        <v>3.5124436E7</v>
      </c>
      <c r="O205" s="298" t="s">
        <v>1369</v>
      </c>
      <c r="P205" s="299" t="s">
        <v>1370</v>
      </c>
      <c r="Q205" s="300" t="s">
        <v>413</v>
      </c>
      <c r="R205" s="301" t="s">
        <v>414</v>
      </c>
      <c r="S205" s="302">
        <v>3.5676628E7</v>
      </c>
      <c r="T205" s="303" t="s">
        <v>1371</v>
      </c>
      <c r="U205" s="303" t="s">
        <v>1372</v>
      </c>
      <c r="V205" s="303" t="s">
        <v>1345</v>
      </c>
      <c r="W205" s="303" t="str">
        <f t="shared" si="3"/>
        <v>64:9D:38:37:25:61
B0:D5:FB:CE:01:8F</v>
      </c>
      <c r="X205" s="304" t="s">
        <v>298</v>
      </c>
      <c r="Y205" s="292"/>
      <c r="Z205" s="304" t="s">
        <v>299</v>
      </c>
      <c r="AA205" s="304" t="s">
        <v>585</v>
      </c>
      <c r="AB205" s="305" t="s">
        <v>1035</v>
      </c>
      <c r="AC205" s="305" t="s">
        <v>1036</v>
      </c>
      <c r="AD205" s="314"/>
      <c r="AE205" s="307" t="s">
        <v>418</v>
      </c>
      <c r="AF205" s="308"/>
      <c r="AG205" s="308"/>
      <c r="AH205" s="297" t="s">
        <v>1373</v>
      </c>
      <c r="AI205" s="310" t="s">
        <v>1346</v>
      </c>
      <c r="AJ205" s="311"/>
      <c r="AK205" s="310" t="s">
        <v>1347</v>
      </c>
      <c r="AL205" s="310" t="s">
        <v>1348</v>
      </c>
      <c r="AM205" s="310" t="s">
        <v>1374</v>
      </c>
      <c r="AN205" s="310" t="s">
        <v>1375</v>
      </c>
      <c r="AO205" s="292" t="s">
        <v>1376</v>
      </c>
      <c r="AP205" s="292" t="s">
        <v>1352</v>
      </c>
      <c r="AQ205" s="304" t="s">
        <v>1377</v>
      </c>
      <c r="AR205" s="304" t="s">
        <v>1378</v>
      </c>
      <c r="AS205" s="292" t="s">
        <v>419</v>
      </c>
      <c r="AT205" s="302" t="s">
        <v>1355</v>
      </c>
      <c r="AU205" s="302" t="s">
        <v>45</v>
      </c>
      <c r="AV205" s="302" t="s">
        <v>45</v>
      </c>
      <c r="AW205" s="302"/>
      <c r="AX205" s="302" t="s">
        <v>1037</v>
      </c>
      <c r="AY205" s="302" t="s">
        <v>1038</v>
      </c>
      <c r="AZ205" s="312" t="s">
        <v>278</v>
      </c>
      <c r="BA205" s="292" t="s">
        <v>1356</v>
      </c>
      <c r="BB205" s="313" t="s">
        <v>1379</v>
      </c>
      <c r="BC205" s="313" t="s">
        <v>1380</v>
      </c>
      <c r="BD205" s="314" t="s">
        <v>1381</v>
      </c>
      <c r="BE205" s="314" t="s">
        <v>1381</v>
      </c>
      <c r="BF205" s="315"/>
      <c r="BG205" s="315" t="s">
        <v>1360</v>
      </c>
      <c r="BH205" s="315"/>
      <c r="BI205" s="367">
        <v>45782.0</v>
      </c>
      <c r="BJ205" s="320" t="s">
        <v>1361</v>
      </c>
      <c r="BK205" s="320">
        <v>45782.0</v>
      </c>
      <c r="BL205" s="320" t="s">
        <v>1362</v>
      </c>
      <c r="BM205" s="321" t="s">
        <v>1364</v>
      </c>
      <c r="BN205" s="321" t="s">
        <v>1364</v>
      </c>
      <c r="BO205" s="321" t="s">
        <v>1364</v>
      </c>
      <c r="BP205" s="314" t="s">
        <v>1368</v>
      </c>
      <c r="BQ205" s="322" t="s">
        <v>1381</v>
      </c>
      <c r="BR205" s="117"/>
      <c r="BS205" s="324"/>
      <c r="BT205" s="324"/>
      <c r="BU205" s="117"/>
    </row>
    <row r="206">
      <c r="A206" s="7"/>
      <c r="B206" s="292">
        <v>195.0</v>
      </c>
      <c r="C206" s="231" t="s">
        <v>287</v>
      </c>
      <c r="D206" s="231" t="s">
        <v>408</v>
      </c>
      <c r="E206" s="334" t="s">
        <v>1382</v>
      </c>
      <c r="F206" s="325" t="s">
        <v>470</v>
      </c>
      <c r="G206" s="355" t="s">
        <v>471</v>
      </c>
      <c r="H206" s="292" t="s">
        <v>1337</v>
      </c>
      <c r="I206" s="310" t="s">
        <v>437</v>
      </c>
      <c r="J206" s="231" t="s">
        <v>1338</v>
      </c>
      <c r="K206" s="292" t="s">
        <v>1339</v>
      </c>
      <c r="L206" s="292" t="s">
        <v>1340</v>
      </c>
      <c r="M206" s="310" t="s">
        <v>1368</v>
      </c>
      <c r="N206" s="297">
        <v>3.5124436E7</v>
      </c>
      <c r="O206" s="298" t="s">
        <v>1369</v>
      </c>
      <c r="P206" s="299" t="s">
        <v>1370</v>
      </c>
      <c r="Q206" s="300" t="s">
        <v>413</v>
      </c>
      <c r="R206" s="301" t="s">
        <v>414</v>
      </c>
      <c r="S206" s="302">
        <v>3.5676628E7</v>
      </c>
      <c r="T206" s="303" t="s">
        <v>1371</v>
      </c>
      <c r="U206" s="303" t="s">
        <v>1372</v>
      </c>
      <c r="V206" s="303" t="s">
        <v>1345</v>
      </c>
      <c r="W206" s="303" t="str">
        <f t="shared" si="3"/>
        <v>64:9D:38:37:25:61
B0:D5:FB:CE:01:8F</v>
      </c>
      <c r="X206" s="304" t="s">
        <v>298</v>
      </c>
      <c r="Y206" s="292"/>
      <c r="Z206" s="304" t="s">
        <v>299</v>
      </c>
      <c r="AA206" s="304" t="s">
        <v>585</v>
      </c>
      <c r="AB206" s="305" t="s">
        <v>1040</v>
      </c>
      <c r="AC206" s="305" t="s">
        <v>1041</v>
      </c>
      <c r="AD206" s="314"/>
      <c r="AE206" s="307" t="s">
        <v>418</v>
      </c>
      <c r="AF206" s="308"/>
      <c r="AG206" s="308"/>
      <c r="AH206" s="297" t="s">
        <v>1373</v>
      </c>
      <c r="AI206" s="310" t="s">
        <v>1346</v>
      </c>
      <c r="AJ206" s="311"/>
      <c r="AK206" s="310" t="s">
        <v>1347</v>
      </c>
      <c r="AL206" s="310" t="s">
        <v>1348</v>
      </c>
      <c r="AM206" s="310" t="s">
        <v>1349</v>
      </c>
      <c r="AN206" s="310" t="s">
        <v>1350</v>
      </c>
      <c r="AO206" s="292" t="s">
        <v>1376</v>
      </c>
      <c r="AP206" s="292" t="s">
        <v>1352</v>
      </c>
      <c r="AQ206" s="304" t="s">
        <v>1383</v>
      </c>
      <c r="AR206" s="304" t="s">
        <v>1378</v>
      </c>
      <c r="AS206" s="292" t="s">
        <v>419</v>
      </c>
      <c r="AT206" s="302" t="s">
        <v>1355</v>
      </c>
      <c r="AU206" s="302" t="s">
        <v>45</v>
      </c>
      <c r="AV206" s="302" t="s">
        <v>45</v>
      </c>
      <c r="AW206" s="302"/>
      <c r="AX206" s="302" t="s">
        <v>1042</v>
      </c>
      <c r="AY206" s="302" t="s">
        <v>1043</v>
      </c>
      <c r="AZ206" s="312" t="s">
        <v>278</v>
      </c>
      <c r="BA206" s="292" t="s">
        <v>1356</v>
      </c>
      <c r="BB206" s="313" t="s">
        <v>1379</v>
      </c>
      <c r="BC206" s="313" t="s">
        <v>1380</v>
      </c>
      <c r="BD206" s="314" t="s">
        <v>1381</v>
      </c>
      <c r="BE206" s="314" t="s">
        <v>1381</v>
      </c>
      <c r="BF206" s="315"/>
      <c r="BG206" s="315" t="s">
        <v>1360</v>
      </c>
      <c r="BH206" s="315"/>
      <c r="BI206" s="367">
        <v>45782.0</v>
      </c>
      <c r="BJ206" s="320" t="s">
        <v>1361</v>
      </c>
      <c r="BK206" s="320">
        <v>45782.0</v>
      </c>
      <c r="BL206" s="320" t="s">
        <v>1362</v>
      </c>
      <c r="BM206" s="321" t="s">
        <v>1364</v>
      </c>
      <c r="BN206" s="321" t="s">
        <v>1363</v>
      </c>
      <c r="BO206" s="321" t="s">
        <v>1364</v>
      </c>
      <c r="BP206" s="314" t="s">
        <v>1368</v>
      </c>
      <c r="BQ206" s="322" t="s">
        <v>1381</v>
      </c>
      <c r="BR206" s="117"/>
      <c r="BS206" s="324"/>
      <c r="BT206" s="324"/>
      <c r="BU206" s="117"/>
    </row>
    <row r="207">
      <c r="A207" s="7"/>
      <c r="B207" s="292">
        <v>196.0</v>
      </c>
      <c r="C207" s="231" t="s">
        <v>287</v>
      </c>
      <c r="D207" s="231" t="s">
        <v>408</v>
      </c>
      <c r="E207" s="334" t="s">
        <v>1384</v>
      </c>
      <c r="F207" s="325" t="s">
        <v>554</v>
      </c>
      <c r="G207" s="355" t="s">
        <v>555</v>
      </c>
      <c r="H207" s="292" t="s">
        <v>1385</v>
      </c>
      <c r="I207" s="310" t="s">
        <v>412</v>
      </c>
      <c r="J207" s="231" t="s">
        <v>1366</v>
      </c>
      <c r="K207" s="292" t="s">
        <v>1367</v>
      </c>
      <c r="L207" s="292" t="s">
        <v>1386</v>
      </c>
      <c r="M207" s="310" t="s">
        <v>1385</v>
      </c>
      <c r="N207" s="297">
        <v>3.5416229E7</v>
      </c>
      <c r="O207" s="331" t="s">
        <v>556</v>
      </c>
      <c r="P207" s="303" t="s">
        <v>557</v>
      </c>
      <c r="Q207" s="300" t="s">
        <v>413</v>
      </c>
      <c r="R207" s="301" t="s">
        <v>414</v>
      </c>
      <c r="S207" s="302">
        <v>3.5444932E7</v>
      </c>
      <c r="T207" s="303" t="s">
        <v>1387</v>
      </c>
      <c r="U207" s="303" t="s">
        <v>1388</v>
      </c>
      <c r="V207" s="303" t="s">
        <v>1345</v>
      </c>
      <c r="W207" s="303" t="s">
        <v>1389</v>
      </c>
      <c r="X207" s="304" t="s">
        <v>298</v>
      </c>
      <c r="Y207" s="292"/>
      <c r="Z207" s="304" t="s">
        <v>299</v>
      </c>
      <c r="AA207" s="304" t="s">
        <v>585</v>
      </c>
      <c r="AB207" s="305" t="s">
        <v>1045</v>
      </c>
      <c r="AC207" s="305" t="s">
        <v>1046</v>
      </c>
      <c r="AD207" s="314"/>
      <c r="AE207" s="307" t="s">
        <v>418</v>
      </c>
      <c r="AF207" s="308"/>
      <c r="AG207" s="308"/>
      <c r="AH207" s="297" t="s">
        <v>1373</v>
      </c>
      <c r="AI207" s="310" t="s">
        <v>1390</v>
      </c>
      <c r="AJ207" s="311"/>
      <c r="AK207" s="310" t="s">
        <v>1347</v>
      </c>
      <c r="AL207" s="310" t="s">
        <v>1348</v>
      </c>
      <c r="AM207" s="310" t="s">
        <v>1374</v>
      </c>
      <c r="AN207" s="310" t="s">
        <v>1391</v>
      </c>
      <c r="AO207" s="292" t="s">
        <v>1392</v>
      </c>
      <c r="AP207" s="292" t="s">
        <v>1352</v>
      </c>
      <c r="AQ207" s="304" t="s">
        <v>560</v>
      </c>
      <c r="AR207" s="304" t="s">
        <v>1047</v>
      </c>
      <c r="AS207" s="292" t="s">
        <v>419</v>
      </c>
      <c r="AT207" s="302" t="s">
        <v>1355</v>
      </c>
      <c r="AU207" s="302" t="s">
        <v>45</v>
      </c>
      <c r="AV207" s="302" t="s">
        <v>45</v>
      </c>
      <c r="AW207" s="302"/>
      <c r="AX207" s="302" t="s">
        <v>1048</v>
      </c>
      <c r="AY207" s="302" t="s">
        <v>1049</v>
      </c>
      <c r="AZ207" s="312" t="s">
        <v>278</v>
      </c>
      <c r="BA207" s="292" t="s">
        <v>1356</v>
      </c>
      <c r="BB207" s="313" t="s">
        <v>1379</v>
      </c>
      <c r="BC207" s="313" t="s">
        <v>1380</v>
      </c>
      <c r="BD207" s="314" t="s">
        <v>1381</v>
      </c>
      <c r="BE207" s="314" t="s">
        <v>1381</v>
      </c>
      <c r="BF207" s="315"/>
      <c r="BG207" s="315" t="s">
        <v>1393</v>
      </c>
      <c r="BH207" s="315"/>
      <c r="BI207" s="367">
        <v>45782.0</v>
      </c>
      <c r="BJ207" s="320" t="s">
        <v>1361</v>
      </c>
      <c r="BK207" s="320">
        <v>45782.0</v>
      </c>
      <c r="BL207" s="320" t="s">
        <v>1362</v>
      </c>
      <c r="BM207" s="321">
        <v>45851.0</v>
      </c>
      <c r="BN207" s="321" t="s">
        <v>1364</v>
      </c>
      <c r="BO207" s="321" t="s">
        <v>1364</v>
      </c>
      <c r="BP207" s="314" t="s">
        <v>1368</v>
      </c>
      <c r="BQ207" s="322" t="s">
        <v>1381</v>
      </c>
      <c r="BR207" s="117"/>
      <c r="BS207" s="324"/>
      <c r="BT207" s="324"/>
      <c r="BU207" s="117"/>
    </row>
    <row r="208">
      <c r="A208" s="7"/>
      <c r="B208" s="292">
        <v>197.0</v>
      </c>
      <c r="C208" s="231" t="s">
        <v>287</v>
      </c>
      <c r="D208" s="231" t="s">
        <v>408</v>
      </c>
      <c r="E208" s="334" t="s">
        <v>1394</v>
      </c>
      <c r="F208" s="325" t="s">
        <v>554</v>
      </c>
      <c r="G208" s="355" t="s">
        <v>555</v>
      </c>
      <c r="H208" s="292" t="s">
        <v>1385</v>
      </c>
      <c r="I208" s="310" t="s">
        <v>437</v>
      </c>
      <c r="J208" s="231" t="s">
        <v>1338</v>
      </c>
      <c r="K208" s="292" t="s">
        <v>1339</v>
      </c>
      <c r="L208" s="292" t="s">
        <v>1386</v>
      </c>
      <c r="M208" s="310" t="s">
        <v>1385</v>
      </c>
      <c r="N208" s="297">
        <v>3.5416229E7</v>
      </c>
      <c r="O208" s="331" t="s">
        <v>556</v>
      </c>
      <c r="P208" s="303" t="s">
        <v>557</v>
      </c>
      <c r="Q208" s="300" t="s">
        <v>413</v>
      </c>
      <c r="R208" s="301" t="s">
        <v>414</v>
      </c>
      <c r="S208" s="302">
        <v>3.5444932E7</v>
      </c>
      <c r="T208" s="303" t="s">
        <v>1387</v>
      </c>
      <c r="U208" s="303" t="s">
        <v>1388</v>
      </c>
      <c r="V208" s="303" t="s">
        <v>1345</v>
      </c>
      <c r="W208" s="303" t="s">
        <v>1389</v>
      </c>
      <c r="X208" s="304" t="s">
        <v>298</v>
      </c>
      <c r="Y208" s="292"/>
      <c r="Z208" s="304" t="s">
        <v>299</v>
      </c>
      <c r="AA208" s="304" t="s">
        <v>585</v>
      </c>
      <c r="AB208" s="305" t="s">
        <v>1051</v>
      </c>
      <c r="AC208" s="305" t="s">
        <v>1052</v>
      </c>
      <c r="AD208" s="314"/>
      <c r="AE208" s="307" t="s">
        <v>418</v>
      </c>
      <c r="AF208" s="308"/>
      <c r="AG208" s="308"/>
      <c r="AH208" s="297" t="s">
        <v>1373</v>
      </c>
      <c r="AI208" s="310" t="s">
        <v>1390</v>
      </c>
      <c r="AJ208" s="311"/>
      <c r="AK208" s="310" t="s">
        <v>1347</v>
      </c>
      <c r="AL208" s="310" t="s">
        <v>1348</v>
      </c>
      <c r="AM208" s="310" t="s">
        <v>1349</v>
      </c>
      <c r="AN208" s="310" t="s">
        <v>1395</v>
      </c>
      <c r="AO208" s="292" t="s">
        <v>1392</v>
      </c>
      <c r="AP208" s="292" t="s">
        <v>1352</v>
      </c>
      <c r="AQ208" s="304" t="s">
        <v>579</v>
      </c>
      <c r="AR208" s="304" t="s">
        <v>1047</v>
      </c>
      <c r="AS208" s="292" t="s">
        <v>419</v>
      </c>
      <c r="AT208" s="302" t="s">
        <v>1355</v>
      </c>
      <c r="AU208" s="302" t="s">
        <v>45</v>
      </c>
      <c r="AV208" s="302" t="s">
        <v>45</v>
      </c>
      <c r="AW208" s="302"/>
      <c r="AX208" s="302" t="s">
        <v>1053</v>
      </c>
      <c r="AY208" s="302" t="s">
        <v>1054</v>
      </c>
      <c r="AZ208" s="312" t="s">
        <v>278</v>
      </c>
      <c r="BA208" s="292" t="s">
        <v>1356</v>
      </c>
      <c r="BB208" s="313" t="s">
        <v>1379</v>
      </c>
      <c r="BC208" s="313" t="s">
        <v>1380</v>
      </c>
      <c r="BD208" s="314" t="s">
        <v>1381</v>
      </c>
      <c r="BE208" s="314" t="s">
        <v>1381</v>
      </c>
      <c r="BF208" s="315"/>
      <c r="BG208" s="315" t="s">
        <v>1393</v>
      </c>
      <c r="BH208" s="315"/>
      <c r="BI208" s="367">
        <v>45782.0</v>
      </c>
      <c r="BJ208" s="320" t="s">
        <v>1361</v>
      </c>
      <c r="BK208" s="320">
        <v>45782.0</v>
      </c>
      <c r="BL208" s="320" t="s">
        <v>1362</v>
      </c>
      <c r="BM208" s="321" t="s">
        <v>1364</v>
      </c>
      <c r="BN208" s="321" t="s">
        <v>1364</v>
      </c>
      <c r="BO208" s="321" t="s">
        <v>1364</v>
      </c>
      <c r="BP208" s="314" t="s">
        <v>1368</v>
      </c>
      <c r="BQ208" s="322" t="s">
        <v>1381</v>
      </c>
      <c r="BR208" s="117"/>
      <c r="BS208" s="324"/>
      <c r="BT208" s="324"/>
      <c r="BU208" s="117"/>
    </row>
    <row r="209">
      <c r="A209" s="7"/>
      <c r="B209" s="292">
        <v>198.0</v>
      </c>
      <c r="C209" s="231" t="s">
        <v>287</v>
      </c>
      <c r="D209" s="231" t="s">
        <v>408</v>
      </c>
      <c r="E209" s="334" t="s">
        <v>1396</v>
      </c>
      <c r="F209" s="325" t="s">
        <v>492</v>
      </c>
      <c r="G209" s="355" t="s">
        <v>493</v>
      </c>
      <c r="H209" s="292" t="s">
        <v>1397</v>
      </c>
      <c r="I209" s="310" t="s">
        <v>412</v>
      </c>
      <c r="J209" s="231" t="s">
        <v>1366</v>
      </c>
      <c r="K209" s="292" t="s">
        <v>1367</v>
      </c>
      <c r="L209" s="292" t="s">
        <v>1398</v>
      </c>
      <c r="M209" s="310" t="s">
        <v>1399</v>
      </c>
      <c r="N209" s="297">
        <v>3.5440766E7</v>
      </c>
      <c r="O209" s="331" t="s">
        <v>494</v>
      </c>
      <c r="P209" s="303" t="s">
        <v>495</v>
      </c>
      <c r="Q209" s="300" t="s">
        <v>413</v>
      </c>
      <c r="R209" s="301" t="s">
        <v>414</v>
      </c>
      <c r="S209" s="302">
        <v>3.5795514E7</v>
      </c>
      <c r="T209" s="303" t="s">
        <v>1400</v>
      </c>
      <c r="U209" s="303" t="s">
        <v>1401</v>
      </c>
      <c r="V209" s="303" t="s">
        <v>1345</v>
      </c>
      <c r="W209" s="303" t="s">
        <v>1389</v>
      </c>
      <c r="X209" s="304" t="s">
        <v>298</v>
      </c>
      <c r="Y209" s="292"/>
      <c r="Z209" s="304" t="s">
        <v>299</v>
      </c>
      <c r="AA209" s="304" t="s">
        <v>585</v>
      </c>
      <c r="AB209" s="305" t="s">
        <v>1056</v>
      </c>
      <c r="AC209" s="305" t="s">
        <v>1057</v>
      </c>
      <c r="AD209" s="314"/>
      <c r="AE209" s="307" t="s">
        <v>418</v>
      </c>
      <c r="AF209" s="308"/>
      <c r="AG209" s="308"/>
      <c r="AH209" s="297" t="s">
        <v>1373</v>
      </c>
      <c r="AI209" s="310" t="s">
        <v>1390</v>
      </c>
      <c r="AJ209" s="311"/>
      <c r="AK209" s="310" t="s">
        <v>1347</v>
      </c>
      <c r="AL209" s="310" t="s">
        <v>1348</v>
      </c>
      <c r="AM209" s="310" t="s">
        <v>1374</v>
      </c>
      <c r="AN209" s="310" t="s">
        <v>1391</v>
      </c>
      <c r="AO209" s="292" t="s">
        <v>1392</v>
      </c>
      <c r="AP209" s="292" t="s">
        <v>1352</v>
      </c>
      <c r="AQ209" s="304" t="s">
        <v>498</v>
      </c>
      <c r="AR209" s="304" t="s">
        <v>1058</v>
      </c>
      <c r="AS209" s="292" t="s">
        <v>419</v>
      </c>
      <c r="AT209" s="302" t="s">
        <v>1355</v>
      </c>
      <c r="AU209" s="302" t="s">
        <v>45</v>
      </c>
      <c r="AV209" s="302" t="s">
        <v>45</v>
      </c>
      <c r="AW209" s="302"/>
      <c r="AX209" s="302" t="s">
        <v>1059</v>
      </c>
      <c r="AY209" s="302" t="s">
        <v>1060</v>
      </c>
      <c r="AZ209" s="312" t="s">
        <v>278</v>
      </c>
      <c r="BA209" s="292" t="s">
        <v>1356</v>
      </c>
      <c r="BB209" s="313" t="s">
        <v>1379</v>
      </c>
      <c r="BC209" s="313" t="s">
        <v>1380</v>
      </c>
      <c r="BD209" s="314" t="s">
        <v>1381</v>
      </c>
      <c r="BE209" s="314" t="s">
        <v>1381</v>
      </c>
      <c r="BF209" s="315"/>
      <c r="BG209" s="315" t="s">
        <v>1393</v>
      </c>
      <c r="BH209" s="315"/>
      <c r="BI209" s="367">
        <v>45782.0</v>
      </c>
      <c r="BJ209" s="320" t="s">
        <v>1361</v>
      </c>
      <c r="BK209" s="320">
        <v>45782.0</v>
      </c>
      <c r="BL209" s="320" t="s">
        <v>1362</v>
      </c>
      <c r="BM209" s="321" t="s">
        <v>1364</v>
      </c>
      <c r="BN209" s="321" t="s">
        <v>1364</v>
      </c>
      <c r="BO209" s="321" t="s">
        <v>1364</v>
      </c>
      <c r="BP209" s="314" t="s">
        <v>1368</v>
      </c>
      <c r="BQ209" s="322" t="s">
        <v>1381</v>
      </c>
      <c r="BR209" s="117"/>
      <c r="BS209" s="324"/>
      <c r="BT209" s="324"/>
      <c r="BU209" s="117"/>
    </row>
    <row r="210">
      <c r="A210" s="7"/>
      <c r="B210" s="292">
        <v>199.0</v>
      </c>
      <c r="C210" s="231" t="s">
        <v>287</v>
      </c>
      <c r="D210" s="231" t="s">
        <v>408</v>
      </c>
      <c r="E210" s="334" t="s">
        <v>1402</v>
      </c>
      <c r="F210" s="325" t="s">
        <v>492</v>
      </c>
      <c r="G210" s="355" t="s">
        <v>493</v>
      </c>
      <c r="H210" s="292" t="s">
        <v>1397</v>
      </c>
      <c r="I210" s="310" t="s">
        <v>437</v>
      </c>
      <c r="J210" s="231" t="s">
        <v>1338</v>
      </c>
      <c r="K210" s="292" t="s">
        <v>1339</v>
      </c>
      <c r="L210" s="292" t="s">
        <v>1398</v>
      </c>
      <c r="M210" s="310" t="s">
        <v>1399</v>
      </c>
      <c r="N210" s="297">
        <v>3.5440766E7</v>
      </c>
      <c r="O210" s="331" t="s">
        <v>494</v>
      </c>
      <c r="P210" s="303" t="s">
        <v>495</v>
      </c>
      <c r="Q210" s="300" t="s">
        <v>413</v>
      </c>
      <c r="R210" s="301" t="s">
        <v>414</v>
      </c>
      <c r="S210" s="302">
        <v>3.5795514E7</v>
      </c>
      <c r="T210" s="303" t="s">
        <v>1400</v>
      </c>
      <c r="U210" s="303" t="s">
        <v>1401</v>
      </c>
      <c r="V210" s="303" t="s">
        <v>1345</v>
      </c>
      <c r="W210" s="303" t="s">
        <v>1389</v>
      </c>
      <c r="X210" s="304" t="s">
        <v>298</v>
      </c>
      <c r="Y210" s="292"/>
      <c r="Z210" s="304" t="s">
        <v>299</v>
      </c>
      <c r="AA210" s="304" t="s">
        <v>585</v>
      </c>
      <c r="AB210" s="305" t="s">
        <v>1062</v>
      </c>
      <c r="AC210" s="305" t="s">
        <v>1063</v>
      </c>
      <c r="AD210" s="314"/>
      <c r="AE210" s="307" t="s">
        <v>418</v>
      </c>
      <c r="AF210" s="308"/>
      <c r="AG210" s="308"/>
      <c r="AH210" s="297" t="s">
        <v>1373</v>
      </c>
      <c r="AI210" s="310" t="s">
        <v>1390</v>
      </c>
      <c r="AJ210" s="311"/>
      <c r="AK210" s="310" t="s">
        <v>1347</v>
      </c>
      <c r="AL210" s="310" t="s">
        <v>1348</v>
      </c>
      <c r="AM210" s="310" t="s">
        <v>1349</v>
      </c>
      <c r="AN210" s="310" t="s">
        <v>1395</v>
      </c>
      <c r="AO210" s="292" t="s">
        <v>1392</v>
      </c>
      <c r="AP210" s="292" t="s">
        <v>1352</v>
      </c>
      <c r="AQ210" s="304" t="s">
        <v>522</v>
      </c>
      <c r="AR210" s="304" t="s">
        <v>1058</v>
      </c>
      <c r="AS210" s="292" t="s">
        <v>419</v>
      </c>
      <c r="AT210" s="302" t="s">
        <v>1355</v>
      </c>
      <c r="AU210" s="302" t="s">
        <v>45</v>
      </c>
      <c r="AV210" s="302" t="s">
        <v>45</v>
      </c>
      <c r="AW210" s="302"/>
      <c r="AX210" s="302" t="s">
        <v>1064</v>
      </c>
      <c r="AY210" s="302" t="s">
        <v>1065</v>
      </c>
      <c r="AZ210" s="312" t="s">
        <v>278</v>
      </c>
      <c r="BA210" s="292" t="s">
        <v>1356</v>
      </c>
      <c r="BB210" s="313" t="s">
        <v>1379</v>
      </c>
      <c r="BC210" s="313" t="s">
        <v>1380</v>
      </c>
      <c r="BD210" s="314" t="s">
        <v>1381</v>
      </c>
      <c r="BE210" s="314" t="s">
        <v>1381</v>
      </c>
      <c r="BF210" s="315"/>
      <c r="BG210" s="315" t="s">
        <v>1393</v>
      </c>
      <c r="BH210" s="315"/>
      <c r="BI210" s="367">
        <v>45782.0</v>
      </c>
      <c r="BJ210" s="320" t="s">
        <v>1361</v>
      </c>
      <c r="BK210" s="320">
        <v>45782.0</v>
      </c>
      <c r="BL210" s="320" t="s">
        <v>1362</v>
      </c>
      <c r="BM210" s="321" t="s">
        <v>1363</v>
      </c>
      <c r="BN210" s="321" t="s">
        <v>1364</v>
      </c>
      <c r="BO210" s="321" t="s">
        <v>1364</v>
      </c>
      <c r="BP210" s="314" t="s">
        <v>1368</v>
      </c>
      <c r="BQ210" s="322" t="s">
        <v>1381</v>
      </c>
      <c r="BR210" s="117"/>
      <c r="BS210" s="324"/>
      <c r="BT210" s="324"/>
      <c r="BU210" s="117"/>
    </row>
    <row r="211">
      <c r="A211" s="7"/>
      <c r="B211" s="292">
        <v>200.0</v>
      </c>
      <c r="C211" s="231" t="s">
        <v>287</v>
      </c>
      <c r="D211" s="231" t="s">
        <v>408</v>
      </c>
      <c r="E211" s="334" t="s">
        <v>1403</v>
      </c>
      <c r="F211" s="313" t="s">
        <v>992</v>
      </c>
      <c r="G211" s="355" t="s">
        <v>528</v>
      </c>
      <c r="H211" s="292" t="s">
        <v>1397</v>
      </c>
      <c r="I211" s="310" t="s">
        <v>412</v>
      </c>
      <c r="J211" s="231" t="s">
        <v>1366</v>
      </c>
      <c r="K211" s="292" t="s">
        <v>1367</v>
      </c>
      <c r="L211" s="292" t="s">
        <v>1404</v>
      </c>
      <c r="M211" s="310" t="s">
        <v>1399</v>
      </c>
      <c r="N211" s="297">
        <v>3.5440766E7</v>
      </c>
      <c r="O211" s="331" t="s">
        <v>494</v>
      </c>
      <c r="P211" s="303" t="s">
        <v>495</v>
      </c>
      <c r="Q211" s="300" t="s">
        <v>413</v>
      </c>
      <c r="R211" s="301" t="s">
        <v>414</v>
      </c>
      <c r="S211" s="302">
        <v>3.5795514E7</v>
      </c>
      <c r="T211" s="303" t="s">
        <v>1400</v>
      </c>
      <c r="U211" s="303" t="s">
        <v>1401</v>
      </c>
      <c r="V211" s="303" t="s">
        <v>1345</v>
      </c>
      <c r="W211" s="303" t="s">
        <v>1389</v>
      </c>
      <c r="X211" s="304" t="s">
        <v>298</v>
      </c>
      <c r="Y211" s="292"/>
      <c r="Z211" s="304" t="s">
        <v>299</v>
      </c>
      <c r="AA211" s="304" t="s">
        <v>585</v>
      </c>
      <c r="AB211" s="305" t="s">
        <v>1067</v>
      </c>
      <c r="AC211" s="305" t="s">
        <v>1068</v>
      </c>
      <c r="AD211" s="314"/>
      <c r="AE211" s="307" t="s">
        <v>418</v>
      </c>
      <c r="AF211" s="308"/>
      <c r="AG211" s="308"/>
      <c r="AH211" s="297" t="s">
        <v>1373</v>
      </c>
      <c r="AI211" s="310" t="s">
        <v>1390</v>
      </c>
      <c r="AJ211" s="311"/>
      <c r="AK211" s="310" t="s">
        <v>1347</v>
      </c>
      <c r="AL211" s="310" t="s">
        <v>1348</v>
      </c>
      <c r="AM211" s="310" t="s">
        <v>1374</v>
      </c>
      <c r="AN211" s="310" t="s">
        <v>1391</v>
      </c>
      <c r="AO211" s="292" t="s">
        <v>1405</v>
      </c>
      <c r="AP211" s="292" t="s">
        <v>1352</v>
      </c>
      <c r="AQ211" s="304" t="s">
        <v>531</v>
      </c>
      <c r="AR211" s="304" t="s">
        <v>1406</v>
      </c>
      <c r="AS211" s="292" t="s">
        <v>419</v>
      </c>
      <c r="AT211" s="302" t="s">
        <v>1355</v>
      </c>
      <c r="AU211" s="302" t="s">
        <v>1355</v>
      </c>
      <c r="AV211" s="302" t="s">
        <v>45</v>
      </c>
      <c r="AW211" s="302"/>
      <c r="AX211" s="302" t="s">
        <v>1069</v>
      </c>
      <c r="AY211" s="302" t="s">
        <v>1070</v>
      </c>
      <c r="AZ211" s="312" t="s">
        <v>278</v>
      </c>
      <c r="BA211" s="292" t="s">
        <v>1356</v>
      </c>
      <c r="BB211" s="313" t="s">
        <v>1407</v>
      </c>
      <c r="BC211" s="313" t="s">
        <v>1380</v>
      </c>
      <c r="BD211" s="314" t="s">
        <v>1381</v>
      </c>
      <c r="BE211" s="314" t="s">
        <v>1381</v>
      </c>
      <c r="BF211" s="315"/>
      <c r="BG211" s="315" t="s">
        <v>1393</v>
      </c>
      <c r="BH211" s="315"/>
      <c r="BI211" s="367">
        <v>45782.0</v>
      </c>
      <c r="BJ211" s="320" t="s">
        <v>1361</v>
      </c>
      <c r="BK211" s="320">
        <v>45782.0</v>
      </c>
      <c r="BL211" s="320" t="s">
        <v>1362</v>
      </c>
      <c r="BM211" s="321" t="s">
        <v>1364</v>
      </c>
      <c r="BN211" s="321" t="s">
        <v>1364</v>
      </c>
      <c r="BO211" s="321" t="s">
        <v>1364</v>
      </c>
      <c r="BP211" s="314" t="s">
        <v>1368</v>
      </c>
      <c r="BQ211" s="322" t="s">
        <v>1381</v>
      </c>
      <c r="BR211" s="117"/>
      <c r="BS211" s="324"/>
      <c r="BT211" s="324"/>
      <c r="BU211" s="117"/>
    </row>
    <row r="212">
      <c r="A212" s="7"/>
      <c r="B212" s="292">
        <v>201.0</v>
      </c>
      <c r="C212" s="231" t="s">
        <v>287</v>
      </c>
      <c r="D212" s="231" t="s">
        <v>408</v>
      </c>
      <c r="E212" s="334" t="s">
        <v>1408</v>
      </c>
      <c r="F212" s="313" t="s">
        <v>992</v>
      </c>
      <c r="G212" s="355" t="s">
        <v>528</v>
      </c>
      <c r="H212" s="292" t="s">
        <v>1397</v>
      </c>
      <c r="I212" s="310" t="s">
        <v>437</v>
      </c>
      <c r="J212" s="231" t="s">
        <v>1338</v>
      </c>
      <c r="K212" s="292" t="s">
        <v>1339</v>
      </c>
      <c r="L212" s="292" t="s">
        <v>1404</v>
      </c>
      <c r="M212" s="310" t="s">
        <v>1399</v>
      </c>
      <c r="N212" s="297">
        <v>3.5440766E7</v>
      </c>
      <c r="O212" s="331" t="s">
        <v>494</v>
      </c>
      <c r="P212" s="303" t="s">
        <v>495</v>
      </c>
      <c r="Q212" s="300" t="s">
        <v>413</v>
      </c>
      <c r="R212" s="301" t="s">
        <v>414</v>
      </c>
      <c r="S212" s="302">
        <v>3.5795514E7</v>
      </c>
      <c r="T212" s="303" t="s">
        <v>1400</v>
      </c>
      <c r="U212" s="303" t="s">
        <v>1401</v>
      </c>
      <c r="V212" s="303" t="s">
        <v>1345</v>
      </c>
      <c r="W212" s="303" t="s">
        <v>1389</v>
      </c>
      <c r="X212" s="304" t="s">
        <v>298</v>
      </c>
      <c r="Y212" s="292"/>
      <c r="Z212" s="304" t="s">
        <v>299</v>
      </c>
      <c r="AA212" s="304" t="s">
        <v>585</v>
      </c>
      <c r="AB212" s="305" t="s">
        <v>1072</v>
      </c>
      <c r="AC212" s="305" t="s">
        <v>1073</v>
      </c>
      <c r="AD212" s="314"/>
      <c r="AE212" s="307" t="s">
        <v>418</v>
      </c>
      <c r="AF212" s="308"/>
      <c r="AG212" s="308"/>
      <c r="AH212" s="297" t="s">
        <v>1373</v>
      </c>
      <c r="AI212" s="310" t="s">
        <v>1390</v>
      </c>
      <c r="AJ212" s="311"/>
      <c r="AK212" s="310" t="s">
        <v>1347</v>
      </c>
      <c r="AL212" s="310" t="s">
        <v>1348</v>
      </c>
      <c r="AM212" s="310" t="s">
        <v>1349</v>
      </c>
      <c r="AN212" s="310" t="s">
        <v>1395</v>
      </c>
      <c r="AO212" s="292" t="s">
        <v>1405</v>
      </c>
      <c r="AP212" s="292" t="s">
        <v>1352</v>
      </c>
      <c r="AQ212" s="304" t="s">
        <v>550</v>
      </c>
      <c r="AR212" s="304" t="s">
        <v>1406</v>
      </c>
      <c r="AS212" s="292" t="s">
        <v>419</v>
      </c>
      <c r="AT212" s="302" t="s">
        <v>1355</v>
      </c>
      <c r="AU212" s="302" t="s">
        <v>1355</v>
      </c>
      <c r="AV212" s="302" t="s">
        <v>45</v>
      </c>
      <c r="AW212" s="302"/>
      <c r="AX212" s="302" t="s">
        <v>1074</v>
      </c>
      <c r="AY212" s="302" t="s">
        <v>1075</v>
      </c>
      <c r="AZ212" s="312" t="s">
        <v>278</v>
      </c>
      <c r="BA212" s="292" t="s">
        <v>1356</v>
      </c>
      <c r="BB212" s="313" t="s">
        <v>1407</v>
      </c>
      <c r="BC212" s="313" t="s">
        <v>1380</v>
      </c>
      <c r="BD212" s="314" t="s">
        <v>1381</v>
      </c>
      <c r="BE212" s="314" t="s">
        <v>1381</v>
      </c>
      <c r="BF212" s="315"/>
      <c r="BG212" s="315" t="s">
        <v>1393</v>
      </c>
      <c r="BH212" s="315"/>
      <c r="BI212" s="367">
        <v>45782.0</v>
      </c>
      <c r="BJ212" s="320" t="s">
        <v>1361</v>
      </c>
      <c r="BK212" s="320">
        <v>45782.0</v>
      </c>
      <c r="BL212" s="320" t="s">
        <v>1362</v>
      </c>
      <c r="BM212" s="321" t="s">
        <v>1364</v>
      </c>
      <c r="BN212" s="321" t="s">
        <v>1364</v>
      </c>
      <c r="BO212" s="321" t="s">
        <v>1364</v>
      </c>
      <c r="BP212" s="314" t="s">
        <v>1368</v>
      </c>
      <c r="BQ212" s="322" t="s">
        <v>1381</v>
      </c>
      <c r="BR212" s="117"/>
      <c r="BS212" s="324"/>
      <c r="BT212" s="324"/>
      <c r="BU212" s="117"/>
    </row>
    <row r="213">
      <c r="A213" s="7"/>
      <c r="B213" s="292">
        <v>202.0</v>
      </c>
      <c r="C213" s="231" t="s">
        <v>287</v>
      </c>
      <c r="D213" s="231" t="s">
        <v>408</v>
      </c>
      <c r="E213" s="334" t="s">
        <v>1409</v>
      </c>
      <c r="F213" s="325" t="s">
        <v>583</v>
      </c>
      <c r="G213" s="355" t="s">
        <v>493</v>
      </c>
      <c r="H213" s="292" t="s">
        <v>1397</v>
      </c>
      <c r="I213" s="310" t="s">
        <v>437</v>
      </c>
      <c r="J213" s="231" t="s">
        <v>1338</v>
      </c>
      <c r="K213" s="292" t="s">
        <v>1339</v>
      </c>
      <c r="L213" s="292" t="s">
        <v>1398</v>
      </c>
      <c r="M213" s="310" t="s">
        <v>1399</v>
      </c>
      <c r="N213" s="297">
        <v>3.5440766E7</v>
      </c>
      <c r="O213" s="331" t="s">
        <v>494</v>
      </c>
      <c r="P213" s="303" t="s">
        <v>495</v>
      </c>
      <c r="Q213" s="300" t="s">
        <v>413</v>
      </c>
      <c r="R213" s="301" t="s">
        <v>414</v>
      </c>
      <c r="S213" s="302">
        <v>3.5795514E7</v>
      </c>
      <c r="T213" s="303" t="s">
        <v>1400</v>
      </c>
      <c r="U213" s="303" t="s">
        <v>1401</v>
      </c>
      <c r="V213" s="303" t="s">
        <v>1345</v>
      </c>
      <c r="W213" s="303" t="s">
        <v>1389</v>
      </c>
      <c r="X213" s="304" t="s">
        <v>298</v>
      </c>
      <c r="Y213" s="292"/>
      <c r="Z213" s="304" t="s">
        <v>299</v>
      </c>
      <c r="AA213" s="304" t="s">
        <v>585</v>
      </c>
      <c r="AB213" s="305" t="s">
        <v>1082</v>
      </c>
      <c r="AC213" s="305" t="s">
        <v>1083</v>
      </c>
      <c r="AD213" s="314"/>
      <c r="AE213" s="307" t="s">
        <v>418</v>
      </c>
      <c r="AF213" s="308"/>
      <c r="AG213" s="308"/>
      <c r="AH213" s="297" t="s">
        <v>1373</v>
      </c>
      <c r="AI213" s="310" t="s">
        <v>1410</v>
      </c>
      <c r="AJ213" s="311"/>
      <c r="AK213" s="310" t="s">
        <v>1411</v>
      </c>
      <c r="AL213" s="310" t="s">
        <v>1348</v>
      </c>
      <c r="AM213" s="310" t="s">
        <v>1349</v>
      </c>
      <c r="AN213" s="310" t="s">
        <v>1412</v>
      </c>
      <c r="AO213" s="292" t="s">
        <v>1392</v>
      </c>
      <c r="AP213" s="292" t="s">
        <v>1352</v>
      </c>
      <c r="AQ213" s="304" t="s">
        <v>702</v>
      </c>
      <c r="AR213" s="304" t="s">
        <v>1047</v>
      </c>
      <c r="AS213" s="292" t="s">
        <v>596</v>
      </c>
      <c r="AT213" s="302" t="s">
        <v>1355</v>
      </c>
      <c r="AU213" s="302" t="s">
        <v>45</v>
      </c>
      <c r="AV213" s="302" t="s">
        <v>1355</v>
      </c>
      <c r="AW213" s="302"/>
      <c r="AX213" s="302" t="s">
        <v>1084</v>
      </c>
      <c r="AY213" s="302" t="s">
        <v>1085</v>
      </c>
      <c r="AZ213" s="312" t="s">
        <v>278</v>
      </c>
      <c r="BA213" s="292" t="s">
        <v>1356</v>
      </c>
      <c r="BB213" s="313" t="s">
        <v>1413</v>
      </c>
      <c r="BC213" s="313" t="s">
        <v>1380</v>
      </c>
      <c r="BD213" s="314" t="s">
        <v>1381</v>
      </c>
      <c r="BE213" s="314" t="s">
        <v>1381</v>
      </c>
      <c r="BF213" s="315"/>
      <c r="BG213" s="315" t="s">
        <v>1393</v>
      </c>
      <c r="BH213" s="315"/>
      <c r="BI213" s="367">
        <v>45782.0</v>
      </c>
      <c r="BJ213" s="320" t="s">
        <v>1361</v>
      </c>
      <c r="BK213" s="320">
        <v>45782.0</v>
      </c>
      <c r="BL213" s="320" t="s">
        <v>1362</v>
      </c>
      <c r="BM213" s="321">
        <v>45851.0</v>
      </c>
      <c r="BN213" s="321" t="s">
        <v>1364</v>
      </c>
      <c r="BO213" s="321" t="s">
        <v>1364</v>
      </c>
      <c r="BP213" s="314" t="s">
        <v>1414</v>
      </c>
      <c r="BQ213" s="322" t="s">
        <v>1381</v>
      </c>
      <c r="BR213" s="117"/>
      <c r="BS213" s="324"/>
      <c r="BT213" s="324"/>
      <c r="BU213" s="117"/>
    </row>
    <row r="214" hidden="1">
      <c r="A214" s="7"/>
      <c r="B214" s="292"/>
      <c r="C214" s="231"/>
      <c r="D214" s="231"/>
      <c r="E214" s="334"/>
      <c r="F214" s="313"/>
      <c r="G214" s="231"/>
      <c r="H214" s="292"/>
      <c r="I214" s="310"/>
      <c r="J214" s="231"/>
      <c r="K214" s="292"/>
      <c r="L214" s="292"/>
      <c r="M214" s="310"/>
      <c r="N214" s="297"/>
      <c r="O214" s="298"/>
      <c r="P214" s="299"/>
      <c r="Q214" s="301"/>
      <c r="R214" s="301"/>
      <c r="S214" s="302"/>
      <c r="T214" s="303"/>
      <c r="U214" s="303"/>
      <c r="V214" s="303"/>
      <c r="W214" s="303"/>
      <c r="X214" s="304"/>
      <c r="Y214" s="292"/>
      <c r="Z214" s="304"/>
      <c r="AA214" s="304"/>
      <c r="AB214" s="305"/>
      <c r="AC214" s="305"/>
      <c r="AD214" s="368"/>
      <c r="AE214" s="335"/>
      <c r="AF214" s="314"/>
      <c r="AG214" s="314"/>
      <c r="AH214" s="310"/>
      <c r="AI214" s="310"/>
      <c r="AJ214" s="311"/>
      <c r="AK214" s="310"/>
      <c r="AL214" s="310"/>
      <c r="AM214" s="310"/>
      <c r="AN214" s="310"/>
      <c r="AO214" s="292"/>
      <c r="AP214" s="292"/>
      <c r="AQ214" s="304"/>
      <c r="AR214" s="304"/>
      <c r="AS214" s="292"/>
      <c r="AT214" s="302"/>
      <c r="AU214" s="302"/>
      <c r="AV214" s="302"/>
      <c r="AW214" s="302"/>
      <c r="AX214" s="302"/>
      <c r="AY214" s="302"/>
      <c r="AZ214" s="312"/>
      <c r="BA214" s="292"/>
      <c r="BB214" s="313"/>
      <c r="BC214" s="313"/>
      <c r="BD214" s="314"/>
      <c r="BE214" s="314"/>
      <c r="BF214" s="315"/>
      <c r="BG214" s="369"/>
      <c r="BH214" s="315"/>
      <c r="BI214" s="362"/>
      <c r="BJ214" s="320"/>
      <c r="BK214" s="320"/>
      <c r="BL214" s="320"/>
      <c r="BM214" s="321"/>
      <c r="BN214" s="321"/>
      <c r="BO214" s="321"/>
      <c r="BP214" s="370"/>
      <c r="BQ214" s="322"/>
      <c r="BR214" s="117"/>
      <c r="BS214" s="324"/>
      <c r="BT214" s="324"/>
      <c r="BU214" s="117"/>
    </row>
    <row r="215" hidden="1">
      <c r="A215" s="7"/>
      <c r="B215" s="292"/>
      <c r="C215" s="231"/>
      <c r="D215" s="231"/>
      <c r="E215" s="334"/>
      <c r="F215" s="313"/>
      <c r="G215" s="231"/>
      <c r="H215" s="292"/>
      <c r="I215" s="310"/>
      <c r="J215" s="231"/>
      <c r="K215" s="292"/>
      <c r="L215" s="292"/>
      <c r="M215" s="310"/>
      <c r="N215" s="297"/>
      <c r="O215" s="298"/>
      <c r="P215" s="299"/>
      <c r="Q215" s="301"/>
      <c r="R215" s="301"/>
      <c r="S215" s="302"/>
      <c r="T215" s="303"/>
      <c r="U215" s="303"/>
      <c r="V215" s="303"/>
      <c r="W215" s="303"/>
      <c r="X215" s="304"/>
      <c r="Y215" s="292"/>
      <c r="Z215" s="304"/>
      <c r="AA215" s="304"/>
      <c r="AB215" s="305"/>
      <c r="AC215" s="305"/>
      <c r="AD215" s="368"/>
      <c r="AE215" s="335"/>
      <c r="AF215" s="314"/>
      <c r="AG215" s="314"/>
      <c r="AH215" s="310"/>
      <c r="AI215" s="310"/>
      <c r="AJ215" s="311"/>
      <c r="AK215" s="310"/>
      <c r="AL215" s="310"/>
      <c r="AM215" s="310"/>
      <c r="AN215" s="310"/>
      <c r="AO215" s="292"/>
      <c r="AP215" s="292"/>
      <c r="AQ215" s="304"/>
      <c r="AR215" s="304"/>
      <c r="AS215" s="292"/>
      <c r="AT215" s="302"/>
      <c r="AU215" s="302"/>
      <c r="AV215" s="302"/>
      <c r="AW215" s="302"/>
      <c r="AX215" s="302"/>
      <c r="AY215" s="302"/>
      <c r="AZ215" s="312"/>
      <c r="BA215" s="292"/>
      <c r="BB215" s="313"/>
      <c r="BC215" s="313"/>
      <c r="BD215" s="314"/>
      <c r="BE215" s="314"/>
      <c r="BF215" s="315"/>
      <c r="BG215" s="369"/>
      <c r="BH215" s="315"/>
      <c r="BI215" s="362"/>
      <c r="BJ215" s="320"/>
      <c r="BK215" s="320"/>
      <c r="BL215" s="320"/>
      <c r="BM215" s="321"/>
      <c r="BN215" s="321"/>
      <c r="BO215" s="321"/>
      <c r="BP215" s="370"/>
      <c r="BQ215" s="322"/>
      <c r="BR215" s="117"/>
      <c r="BS215" s="324"/>
      <c r="BT215" s="324"/>
      <c r="BU215" s="117"/>
    </row>
    <row r="216" hidden="1">
      <c r="A216" s="7"/>
      <c r="B216" s="292"/>
      <c r="C216" s="231"/>
      <c r="D216" s="231"/>
      <c r="E216" s="334"/>
      <c r="F216" s="313"/>
      <c r="G216" s="231"/>
      <c r="H216" s="292"/>
      <c r="I216" s="310"/>
      <c r="J216" s="231"/>
      <c r="K216" s="292"/>
      <c r="L216" s="292"/>
      <c r="M216" s="310"/>
      <c r="N216" s="297"/>
      <c r="O216" s="298"/>
      <c r="P216" s="299"/>
      <c r="Q216" s="301"/>
      <c r="R216" s="301"/>
      <c r="S216" s="302"/>
      <c r="T216" s="303"/>
      <c r="U216" s="303"/>
      <c r="V216" s="303"/>
      <c r="W216" s="303"/>
      <c r="X216" s="304"/>
      <c r="Y216" s="292"/>
      <c r="Z216" s="304"/>
      <c r="AA216" s="304"/>
      <c r="AB216" s="305"/>
      <c r="AC216" s="305"/>
      <c r="AD216" s="368"/>
      <c r="AE216" s="335"/>
      <c r="AF216" s="314"/>
      <c r="AG216" s="314"/>
      <c r="AH216" s="310"/>
      <c r="AI216" s="310"/>
      <c r="AJ216" s="311"/>
      <c r="AK216" s="310"/>
      <c r="AL216" s="310"/>
      <c r="AM216" s="310"/>
      <c r="AN216" s="310"/>
      <c r="AO216" s="292"/>
      <c r="AP216" s="292"/>
      <c r="AQ216" s="304"/>
      <c r="AR216" s="304"/>
      <c r="AS216" s="292"/>
      <c r="AT216" s="302"/>
      <c r="AU216" s="302"/>
      <c r="AV216" s="302"/>
      <c r="AW216" s="302"/>
      <c r="AX216" s="302"/>
      <c r="AY216" s="302"/>
      <c r="AZ216" s="312"/>
      <c r="BA216" s="292"/>
      <c r="BB216" s="313"/>
      <c r="BC216" s="313"/>
      <c r="BD216" s="314"/>
      <c r="BE216" s="314"/>
      <c r="BF216" s="315"/>
      <c r="BG216" s="369"/>
      <c r="BH216" s="315"/>
      <c r="BI216" s="362"/>
      <c r="BJ216" s="320"/>
      <c r="BK216" s="320"/>
      <c r="BL216" s="320"/>
      <c r="BM216" s="321"/>
      <c r="BN216" s="321"/>
      <c r="BO216" s="321"/>
      <c r="BP216" s="370"/>
      <c r="BQ216" s="322"/>
      <c r="BR216" s="117"/>
      <c r="BS216" s="324"/>
      <c r="BT216" s="324"/>
      <c r="BU216" s="117"/>
    </row>
    <row r="217" hidden="1">
      <c r="A217" s="7"/>
      <c r="B217" s="292"/>
      <c r="C217" s="231"/>
      <c r="D217" s="231"/>
      <c r="E217" s="334"/>
      <c r="F217" s="313"/>
      <c r="G217" s="231"/>
      <c r="H217" s="292"/>
      <c r="I217" s="310"/>
      <c r="J217" s="231"/>
      <c r="K217" s="292"/>
      <c r="L217" s="292"/>
      <c r="M217" s="310"/>
      <c r="N217" s="297"/>
      <c r="O217" s="298"/>
      <c r="P217" s="299"/>
      <c r="Q217" s="301"/>
      <c r="R217" s="301"/>
      <c r="S217" s="302"/>
      <c r="T217" s="303"/>
      <c r="U217" s="303"/>
      <c r="V217" s="303"/>
      <c r="W217" s="303"/>
      <c r="X217" s="304"/>
      <c r="Y217" s="292"/>
      <c r="Z217" s="304"/>
      <c r="AA217" s="304"/>
      <c r="AB217" s="305"/>
      <c r="AC217" s="305"/>
      <c r="AD217" s="368"/>
      <c r="AE217" s="335"/>
      <c r="AF217" s="314"/>
      <c r="AG217" s="314"/>
      <c r="AH217" s="310"/>
      <c r="AI217" s="310"/>
      <c r="AJ217" s="311"/>
      <c r="AK217" s="310"/>
      <c r="AL217" s="310"/>
      <c r="AM217" s="310"/>
      <c r="AN217" s="310"/>
      <c r="AO217" s="292"/>
      <c r="AP217" s="292"/>
      <c r="AQ217" s="304"/>
      <c r="AR217" s="304"/>
      <c r="AS217" s="292"/>
      <c r="AT217" s="302"/>
      <c r="AU217" s="302"/>
      <c r="AV217" s="302"/>
      <c r="AW217" s="302"/>
      <c r="AX217" s="302"/>
      <c r="AY217" s="302"/>
      <c r="AZ217" s="312"/>
      <c r="BA217" s="292"/>
      <c r="BB217" s="313"/>
      <c r="BC217" s="313"/>
      <c r="BD217" s="314"/>
      <c r="BE217" s="314"/>
      <c r="BF217" s="315"/>
      <c r="BG217" s="369"/>
      <c r="BH217" s="315"/>
      <c r="BI217" s="362"/>
      <c r="BJ217" s="320"/>
      <c r="BK217" s="320"/>
      <c r="BL217" s="320"/>
      <c r="BM217" s="321"/>
      <c r="BN217" s="321"/>
      <c r="BO217" s="321"/>
      <c r="BP217" s="370"/>
      <c r="BQ217" s="322"/>
      <c r="BR217" s="117"/>
      <c r="BS217" s="324"/>
      <c r="BT217" s="324"/>
      <c r="BU217" s="117"/>
    </row>
    <row r="218" hidden="1">
      <c r="A218" s="7"/>
      <c r="B218" s="292"/>
      <c r="C218" s="231"/>
      <c r="D218" s="231"/>
      <c r="E218" s="334"/>
      <c r="F218" s="313"/>
      <c r="G218" s="231"/>
      <c r="H218" s="292"/>
      <c r="I218" s="310"/>
      <c r="J218" s="231"/>
      <c r="K218" s="292"/>
      <c r="L218" s="292"/>
      <c r="M218" s="310"/>
      <c r="N218" s="297"/>
      <c r="O218" s="298"/>
      <c r="P218" s="299"/>
      <c r="Q218" s="301"/>
      <c r="R218" s="301"/>
      <c r="S218" s="302"/>
      <c r="T218" s="303"/>
      <c r="U218" s="303"/>
      <c r="V218" s="303"/>
      <c r="W218" s="303"/>
      <c r="X218" s="304"/>
      <c r="Y218" s="292"/>
      <c r="Z218" s="304"/>
      <c r="AA218" s="304"/>
      <c r="AB218" s="305"/>
      <c r="AC218" s="305"/>
      <c r="AD218" s="368"/>
      <c r="AE218" s="335"/>
      <c r="AF218" s="314"/>
      <c r="AG218" s="314"/>
      <c r="AH218" s="310"/>
      <c r="AI218" s="310"/>
      <c r="AJ218" s="311"/>
      <c r="AK218" s="310"/>
      <c r="AL218" s="310"/>
      <c r="AM218" s="310"/>
      <c r="AN218" s="310"/>
      <c r="AO218" s="292"/>
      <c r="AP218" s="292"/>
      <c r="AQ218" s="304"/>
      <c r="AR218" s="304"/>
      <c r="AS218" s="292"/>
      <c r="AT218" s="302"/>
      <c r="AU218" s="302"/>
      <c r="AV218" s="302"/>
      <c r="AW218" s="302"/>
      <c r="AX218" s="302"/>
      <c r="AY218" s="302"/>
      <c r="AZ218" s="312"/>
      <c r="BA218" s="292"/>
      <c r="BB218" s="313"/>
      <c r="BC218" s="313"/>
      <c r="BD218" s="314"/>
      <c r="BE218" s="314"/>
      <c r="BF218" s="315"/>
      <c r="BG218" s="369"/>
      <c r="BH218" s="315"/>
      <c r="BI218" s="362"/>
      <c r="BJ218" s="320"/>
      <c r="BK218" s="320"/>
      <c r="BL218" s="320"/>
      <c r="BM218" s="321"/>
      <c r="BN218" s="321"/>
      <c r="BO218" s="321"/>
      <c r="BP218" s="370"/>
      <c r="BQ218" s="322"/>
      <c r="BR218" s="117"/>
      <c r="BS218" s="324"/>
      <c r="BT218" s="324"/>
      <c r="BU218" s="117"/>
    </row>
    <row r="219" hidden="1">
      <c r="A219" s="7"/>
      <c r="B219" s="292"/>
      <c r="C219" s="231"/>
      <c r="D219" s="231"/>
      <c r="E219" s="334"/>
      <c r="F219" s="313"/>
      <c r="G219" s="231"/>
      <c r="H219" s="292"/>
      <c r="I219" s="310"/>
      <c r="J219" s="231"/>
      <c r="K219" s="292"/>
      <c r="L219" s="292"/>
      <c r="M219" s="310"/>
      <c r="N219" s="297"/>
      <c r="O219" s="298"/>
      <c r="P219" s="299"/>
      <c r="Q219" s="301"/>
      <c r="R219" s="301"/>
      <c r="S219" s="302"/>
      <c r="T219" s="303"/>
      <c r="U219" s="303"/>
      <c r="V219" s="303"/>
      <c r="W219" s="303"/>
      <c r="X219" s="304"/>
      <c r="Y219" s="292"/>
      <c r="Z219" s="304"/>
      <c r="AA219" s="304"/>
      <c r="AB219" s="305"/>
      <c r="AC219" s="305"/>
      <c r="AD219" s="368"/>
      <c r="AE219" s="335"/>
      <c r="AF219" s="314"/>
      <c r="AG219" s="314"/>
      <c r="AH219" s="310"/>
      <c r="AI219" s="310"/>
      <c r="AJ219" s="311"/>
      <c r="AK219" s="310"/>
      <c r="AL219" s="310"/>
      <c r="AM219" s="310"/>
      <c r="AN219" s="310"/>
      <c r="AO219" s="292"/>
      <c r="AP219" s="292"/>
      <c r="AQ219" s="304"/>
      <c r="AR219" s="304"/>
      <c r="AS219" s="292"/>
      <c r="AT219" s="302"/>
      <c r="AU219" s="302"/>
      <c r="AV219" s="302"/>
      <c r="AW219" s="302"/>
      <c r="AX219" s="302"/>
      <c r="AY219" s="302"/>
      <c r="AZ219" s="312"/>
      <c r="BA219" s="292"/>
      <c r="BB219" s="313"/>
      <c r="BC219" s="313"/>
      <c r="BD219" s="314"/>
      <c r="BE219" s="314"/>
      <c r="BF219" s="315"/>
      <c r="BG219" s="369"/>
      <c r="BH219" s="315"/>
      <c r="BI219" s="362"/>
      <c r="BJ219" s="320"/>
      <c r="BK219" s="320"/>
      <c r="BL219" s="320"/>
      <c r="BM219" s="321"/>
      <c r="BN219" s="321"/>
      <c r="BO219" s="321"/>
      <c r="BP219" s="370"/>
      <c r="BQ219" s="322"/>
      <c r="BR219" s="117"/>
      <c r="BS219" s="324"/>
      <c r="BT219" s="324"/>
      <c r="BU219" s="117"/>
    </row>
    <row r="220" hidden="1">
      <c r="A220" s="7"/>
      <c r="B220" s="292"/>
      <c r="C220" s="231"/>
      <c r="D220" s="231"/>
      <c r="E220" s="334"/>
      <c r="F220" s="313"/>
      <c r="G220" s="231"/>
      <c r="H220" s="292"/>
      <c r="I220" s="310"/>
      <c r="J220" s="231"/>
      <c r="K220" s="292"/>
      <c r="L220" s="292"/>
      <c r="M220" s="310"/>
      <c r="N220" s="297"/>
      <c r="O220" s="298"/>
      <c r="P220" s="299"/>
      <c r="Q220" s="301"/>
      <c r="R220" s="301"/>
      <c r="S220" s="302"/>
      <c r="T220" s="303"/>
      <c r="U220" s="303"/>
      <c r="V220" s="303"/>
      <c r="W220" s="303"/>
      <c r="X220" s="304"/>
      <c r="Y220" s="292"/>
      <c r="Z220" s="304"/>
      <c r="AA220" s="304"/>
      <c r="AB220" s="305"/>
      <c r="AC220" s="305"/>
      <c r="AD220" s="368"/>
      <c r="AE220" s="335"/>
      <c r="AF220" s="314"/>
      <c r="AG220" s="314"/>
      <c r="AH220" s="310"/>
      <c r="AI220" s="310"/>
      <c r="AJ220" s="311"/>
      <c r="AK220" s="310"/>
      <c r="AL220" s="310"/>
      <c r="AM220" s="310"/>
      <c r="AN220" s="310"/>
      <c r="AO220" s="292"/>
      <c r="AP220" s="292"/>
      <c r="AQ220" s="304"/>
      <c r="AR220" s="304"/>
      <c r="AS220" s="292"/>
      <c r="AT220" s="302"/>
      <c r="AU220" s="302"/>
      <c r="AV220" s="302"/>
      <c r="AW220" s="302"/>
      <c r="AX220" s="302"/>
      <c r="AY220" s="302"/>
      <c r="AZ220" s="312"/>
      <c r="BA220" s="292"/>
      <c r="BB220" s="313"/>
      <c r="BC220" s="313"/>
      <c r="BD220" s="314"/>
      <c r="BE220" s="314"/>
      <c r="BF220" s="315"/>
      <c r="BG220" s="369"/>
      <c r="BH220" s="315"/>
      <c r="BI220" s="362"/>
      <c r="BJ220" s="320"/>
      <c r="BK220" s="320"/>
      <c r="BL220" s="320"/>
      <c r="BM220" s="321"/>
      <c r="BN220" s="321"/>
      <c r="BO220" s="321"/>
      <c r="BP220" s="370"/>
      <c r="BQ220" s="322"/>
      <c r="BR220" s="117"/>
      <c r="BS220" s="324"/>
      <c r="BT220" s="324"/>
      <c r="BU220" s="117"/>
    </row>
    <row r="221" hidden="1">
      <c r="A221" s="7"/>
      <c r="B221" s="292"/>
      <c r="C221" s="231"/>
      <c r="D221" s="231"/>
      <c r="E221" s="334"/>
      <c r="F221" s="313"/>
      <c r="G221" s="231"/>
      <c r="H221" s="292"/>
      <c r="I221" s="310"/>
      <c r="J221" s="231"/>
      <c r="K221" s="292"/>
      <c r="L221" s="292"/>
      <c r="M221" s="310"/>
      <c r="N221" s="297"/>
      <c r="O221" s="298"/>
      <c r="P221" s="299"/>
      <c r="Q221" s="301"/>
      <c r="R221" s="301"/>
      <c r="S221" s="302"/>
      <c r="T221" s="303"/>
      <c r="U221" s="303"/>
      <c r="V221" s="303"/>
      <c r="W221" s="303"/>
      <c r="X221" s="304"/>
      <c r="Y221" s="292"/>
      <c r="Z221" s="304"/>
      <c r="AA221" s="304"/>
      <c r="AB221" s="305"/>
      <c r="AC221" s="305"/>
      <c r="AD221" s="368"/>
      <c r="AE221" s="335"/>
      <c r="AF221" s="314"/>
      <c r="AG221" s="314"/>
      <c r="AH221" s="310"/>
      <c r="AI221" s="310"/>
      <c r="AJ221" s="311"/>
      <c r="AK221" s="310"/>
      <c r="AL221" s="310"/>
      <c r="AM221" s="310"/>
      <c r="AN221" s="310"/>
      <c r="AO221" s="292"/>
      <c r="AP221" s="292"/>
      <c r="AQ221" s="304"/>
      <c r="AR221" s="304"/>
      <c r="AS221" s="292"/>
      <c r="AT221" s="302"/>
      <c r="AU221" s="302"/>
      <c r="AV221" s="302"/>
      <c r="AW221" s="302"/>
      <c r="AX221" s="302"/>
      <c r="AY221" s="302"/>
      <c r="AZ221" s="312"/>
      <c r="BA221" s="292"/>
      <c r="BB221" s="313"/>
      <c r="BC221" s="313"/>
      <c r="BD221" s="314"/>
      <c r="BE221" s="314"/>
      <c r="BF221" s="315"/>
      <c r="BG221" s="369"/>
      <c r="BH221" s="315"/>
      <c r="BI221" s="362"/>
      <c r="BJ221" s="320"/>
      <c r="BK221" s="320"/>
      <c r="BL221" s="320"/>
      <c r="BM221" s="321"/>
      <c r="BN221" s="321"/>
      <c r="BO221" s="321"/>
      <c r="BP221" s="370"/>
      <c r="BQ221" s="322"/>
      <c r="BR221" s="117"/>
      <c r="BS221" s="324"/>
      <c r="BT221" s="324"/>
      <c r="BU221" s="117"/>
    </row>
    <row r="222" hidden="1">
      <c r="A222" s="7"/>
      <c r="B222" s="292"/>
      <c r="C222" s="231"/>
      <c r="D222" s="231"/>
      <c r="E222" s="334"/>
      <c r="F222" s="313"/>
      <c r="G222" s="231"/>
      <c r="H222" s="292"/>
      <c r="I222" s="310"/>
      <c r="J222" s="231"/>
      <c r="K222" s="292"/>
      <c r="L222" s="292"/>
      <c r="M222" s="310"/>
      <c r="N222" s="297"/>
      <c r="O222" s="298"/>
      <c r="P222" s="299"/>
      <c r="Q222" s="301"/>
      <c r="R222" s="301"/>
      <c r="S222" s="302"/>
      <c r="T222" s="303"/>
      <c r="U222" s="303"/>
      <c r="V222" s="303"/>
      <c r="W222" s="303"/>
      <c r="X222" s="304"/>
      <c r="Y222" s="292"/>
      <c r="Z222" s="304"/>
      <c r="AA222" s="304"/>
      <c r="AB222" s="305"/>
      <c r="AC222" s="305"/>
      <c r="AD222" s="368"/>
      <c r="AE222" s="335"/>
      <c r="AF222" s="314"/>
      <c r="AG222" s="314"/>
      <c r="AH222" s="310"/>
      <c r="AI222" s="310"/>
      <c r="AJ222" s="311"/>
      <c r="AK222" s="310"/>
      <c r="AL222" s="310"/>
      <c r="AM222" s="310"/>
      <c r="AN222" s="310"/>
      <c r="AO222" s="292"/>
      <c r="AP222" s="292"/>
      <c r="AQ222" s="304"/>
      <c r="AR222" s="304"/>
      <c r="AS222" s="292"/>
      <c r="AT222" s="302"/>
      <c r="AU222" s="302"/>
      <c r="AV222" s="302"/>
      <c r="AW222" s="302"/>
      <c r="AX222" s="302"/>
      <c r="AY222" s="302"/>
      <c r="AZ222" s="312"/>
      <c r="BA222" s="292"/>
      <c r="BB222" s="313"/>
      <c r="BC222" s="313"/>
      <c r="BD222" s="314"/>
      <c r="BE222" s="314"/>
      <c r="BF222" s="315"/>
      <c r="BG222" s="369"/>
      <c r="BH222" s="315"/>
      <c r="BI222" s="362"/>
      <c r="BJ222" s="320"/>
      <c r="BK222" s="320"/>
      <c r="BL222" s="320"/>
      <c r="BM222" s="321"/>
      <c r="BN222" s="321"/>
      <c r="BO222" s="321"/>
      <c r="BP222" s="370"/>
      <c r="BQ222" s="322"/>
      <c r="BR222" s="117"/>
      <c r="BS222" s="324"/>
      <c r="BT222" s="324"/>
      <c r="BU222" s="117"/>
    </row>
    <row r="223" hidden="1">
      <c r="A223" s="7"/>
      <c r="B223" s="292"/>
      <c r="C223" s="231"/>
      <c r="D223" s="231"/>
      <c r="E223" s="334"/>
      <c r="F223" s="313"/>
      <c r="G223" s="231"/>
      <c r="H223" s="292"/>
      <c r="I223" s="310"/>
      <c r="J223" s="231"/>
      <c r="K223" s="292"/>
      <c r="L223" s="292"/>
      <c r="M223" s="310"/>
      <c r="N223" s="297"/>
      <c r="O223" s="298"/>
      <c r="P223" s="299"/>
      <c r="Q223" s="301"/>
      <c r="R223" s="301"/>
      <c r="S223" s="302"/>
      <c r="T223" s="303"/>
      <c r="U223" s="303"/>
      <c r="V223" s="303"/>
      <c r="W223" s="303"/>
      <c r="X223" s="304"/>
      <c r="Y223" s="292"/>
      <c r="Z223" s="304"/>
      <c r="AA223" s="304"/>
      <c r="AB223" s="305"/>
      <c r="AC223" s="305"/>
      <c r="AD223" s="368"/>
      <c r="AE223" s="335"/>
      <c r="AF223" s="314"/>
      <c r="AG223" s="314"/>
      <c r="AH223" s="310"/>
      <c r="AI223" s="310"/>
      <c r="AJ223" s="311"/>
      <c r="AK223" s="310"/>
      <c r="AL223" s="310"/>
      <c r="AM223" s="310"/>
      <c r="AN223" s="310"/>
      <c r="AO223" s="292"/>
      <c r="AP223" s="292"/>
      <c r="AQ223" s="304"/>
      <c r="AR223" s="304"/>
      <c r="AS223" s="292"/>
      <c r="AT223" s="302"/>
      <c r="AU223" s="302"/>
      <c r="AV223" s="302"/>
      <c r="AW223" s="302"/>
      <c r="AX223" s="302"/>
      <c r="AY223" s="302"/>
      <c r="AZ223" s="312"/>
      <c r="BA223" s="292"/>
      <c r="BB223" s="313"/>
      <c r="BC223" s="313"/>
      <c r="BD223" s="314"/>
      <c r="BE223" s="314"/>
      <c r="BF223" s="315"/>
      <c r="BG223" s="369"/>
      <c r="BH223" s="315"/>
      <c r="BI223" s="362"/>
      <c r="BJ223" s="320"/>
      <c r="BK223" s="320"/>
      <c r="BL223" s="320"/>
      <c r="BM223" s="321"/>
      <c r="BN223" s="321"/>
      <c r="BO223" s="321"/>
      <c r="BP223" s="370"/>
      <c r="BQ223" s="322"/>
      <c r="BR223" s="117"/>
      <c r="BS223" s="324"/>
      <c r="BT223" s="324"/>
      <c r="BU223" s="117"/>
    </row>
    <row r="224" hidden="1">
      <c r="A224" s="7"/>
      <c r="B224" s="292"/>
      <c r="C224" s="231"/>
      <c r="D224" s="231"/>
      <c r="E224" s="334"/>
      <c r="F224" s="313"/>
      <c r="G224" s="231"/>
      <c r="H224" s="292"/>
      <c r="I224" s="310"/>
      <c r="J224" s="231"/>
      <c r="K224" s="292"/>
      <c r="L224" s="292"/>
      <c r="M224" s="310"/>
      <c r="N224" s="297"/>
      <c r="O224" s="298"/>
      <c r="P224" s="299"/>
      <c r="Q224" s="301"/>
      <c r="R224" s="301"/>
      <c r="S224" s="302"/>
      <c r="T224" s="303"/>
      <c r="U224" s="303"/>
      <c r="V224" s="303"/>
      <c r="W224" s="303"/>
      <c r="X224" s="304"/>
      <c r="Y224" s="292"/>
      <c r="Z224" s="304"/>
      <c r="AA224" s="304"/>
      <c r="AB224" s="305"/>
      <c r="AC224" s="305"/>
      <c r="AD224" s="368"/>
      <c r="AE224" s="335"/>
      <c r="AF224" s="314"/>
      <c r="AG224" s="314"/>
      <c r="AH224" s="310"/>
      <c r="AI224" s="310"/>
      <c r="AJ224" s="311"/>
      <c r="AK224" s="310"/>
      <c r="AL224" s="310"/>
      <c r="AM224" s="310"/>
      <c r="AN224" s="310"/>
      <c r="AO224" s="292"/>
      <c r="AP224" s="292"/>
      <c r="AQ224" s="304"/>
      <c r="AR224" s="304"/>
      <c r="AS224" s="292"/>
      <c r="AT224" s="302"/>
      <c r="AU224" s="302"/>
      <c r="AV224" s="302"/>
      <c r="AW224" s="302"/>
      <c r="AX224" s="302"/>
      <c r="AY224" s="302"/>
      <c r="AZ224" s="312"/>
      <c r="BA224" s="292"/>
      <c r="BB224" s="313"/>
      <c r="BC224" s="313"/>
      <c r="BD224" s="314"/>
      <c r="BE224" s="314"/>
      <c r="BF224" s="315"/>
      <c r="BG224" s="369"/>
      <c r="BH224" s="315"/>
      <c r="BI224" s="362"/>
      <c r="BJ224" s="320"/>
      <c r="BK224" s="320"/>
      <c r="BL224" s="320"/>
      <c r="BM224" s="321"/>
      <c r="BN224" s="321"/>
      <c r="BO224" s="321"/>
      <c r="BP224" s="370"/>
      <c r="BQ224" s="322"/>
      <c r="BR224" s="117"/>
      <c r="BS224" s="324"/>
      <c r="BT224" s="324"/>
      <c r="BU224" s="117"/>
    </row>
    <row r="225" hidden="1">
      <c r="A225" s="7"/>
      <c r="B225" s="292"/>
      <c r="C225" s="231"/>
      <c r="D225" s="231"/>
      <c r="E225" s="334"/>
      <c r="F225" s="313"/>
      <c r="G225" s="231"/>
      <c r="H225" s="292"/>
      <c r="I225" s="310"/>
      <c r="J225" s="231"/>
      <c r="K225" s="292"/>
      <c r="L225" s="292"/>
      <c r="M225" s="310"/>
      <c r="N225" s="297"/>
      <c r="O225" s="298"/>
      <c r="P225" s="299"/>
      <c r="Q225" s="301"/>
      <c r="R225" s="301"/>
      <c r="S225" s="302"/>
      <c r="T225" s="303"/>
      <c r="U225" s="303"/>
      <c r="V225" s="303"/>
      <c r="W225" s="303"/>
      <c r="X225" s="304"/>
      <c r="Y225" s="292"/>
      <c r="Z225" s="304"/>
      <c r="AA225" s="304"/>
      <c r="AB225" s="305"/>
      <c r="AC225" s="305"/>
      <c r="AD225" s="368"/>
      <c r="AE225" s="335"/>
      <c r="AF225" s="314"/>
      <c r="AG225" s="314"/>
      <c r="AH225" s="310"/>
      <c r="AI225" s="310"/>
      <c r="AJ225" s="311"/>
      <c r="AK225" s="310"/>
      <c r="AL225" s="310"/>
      <c r="AM225" s="310"/>
      <c r="AN225" s="310"/>
      <c r="AO225" s="292"/>
      <c r="AP225" s="292"/>
      <c r="AQ225" s="304"/>
      <c r="AR225" s="304"/>
      <c r="AS225" s="292"/>
      <c r="AT225" s="302"/>
      <c r="AU225" s="302"/>
      <c r="AV225" s="302"/>
      <c r="AW225" s="302"/>
      <c r="AX225" s="302"/>
      <c r="AY225" s="302"/>
      <c r="AZ225" s="312"/>
      <c r="BA225" s="292"/>
      <c r="BB225" s="313"/>
      <c r="BC225" s="313"/>
      <c r="BD225" s="314"/>
      <c r="BE225" s="314"/>
      <c r="BF225" s="315"/>
      <c r="BG225" s="369"/>
      <c r="BH225" s="315"/>
      <c r="BI225" s="362"/>
      <c r="BJ225" s="320"/>
      <c r="BK225" s="320"/>
      <c r="BL225" s="320"/>
      <c r="BM225" s="321"/>
      <c r="BN225" s="321"/>
      <c r="BO225" s="321"/>
      <c r="BP225" s="370"/>
      <c r="BQ225" s="322"/>
      <c r="BR225" s="117"/>
      <c r="BS225" s="324"/>
      <c r="BT225" s="324"/>
      <c r="BU225" s="117"/>
    </row>
    <row r="226" hidden="1">
      <c r="A226" s="7"/>
      <c r="B226" s="292"/>
      <c r="C226" s="231"/>
      <c r="D226" s="231"/>
      <c r="E226" s="334"/>
      <c r="F226" s="313"/>
      <c r="G226" s="231"/>
      <c r="H226" s="292"/>
      <c r="I226" s="310"/>
      <c r="J226" s="231"/>
      <c r="K226" s="292"/>
      <c r="L226" s="292"/>
      <c r="M226" s="310"/>
      <c r="N226" s="297"/>
      <c r="O226" s="298"/>
      <c r="P226" s="299"/>
      <c r="Q226" s="301"/>
      <c r="R226" s="301"/>
      <c r="S226" s="302"/>
      <c r="T226" s="303"/>
      <c r="U226" s="303"/>
      <c r="V226" s="303"/>
      <c r="W226" s="303"/>
      <c r="X226" s="304"/>
      <c r="Y226" s="292"/>
      <c r="Z226" s="304"/>
      <c r="AA226" s="304"/>
      <c r="AB226" s="305"/>
      <c r="AC226" s="305"/>
      <c r="AD226" s="368"/>
      <c r="AE226" s="335"/>
      <c r="AF226" s="314"/>
      <c r="AG226" s="314"/>
      <c r="AH226" s="310"/>
      <c r="AI226" s="310"/>
      <c r="AJ226" s="311"/>
      <c r="AK226" s="310"/>
      <c r="AL226" s="310"/>
      <c r="AM226" s="310"/>
      <c r="AN226" s="310"/>
      <c r="AO226" s="292"/>
      <c r="AP226" s="292"/>
      <c r="AQ226" s="304"/>
      <c r="AR226" s="304"/>
      <c r="AS226" s="292"/>
      <c r="AT226" s="302"/>
      <c r="AU226" s="302"/>
      <c r="AV226" s="302"/>
      <c r="AW226" s="302"/>
      <c r="AX226" s="302"/>
      <c r="AY226" s="302"/>
      <c r="AZ226" s="312"/>
      <c r="BA226" s="292"/>
      <c r="BB226" s="313"/>
      <c r="BC226" s="313"/>
      <c r="BD226" s="314"/>
      <c r="BE226" s="314"/>
      <c r="BF226" s="315"/>
      <c r="BG226" s="369"/>
      <c r="BH226" s="315"/>
      <c r="BI226" s="362"/>
      <c r="BJ226" s="320"/>
      <c r="BK226" s="320"/>
      <c r="BL226" s="320"/>
      <c r="BM226" s="321"/>
      <c r="BN226" s="321"/>
      <c r="BO226" s="321"/>
      <c r="BP226" s="370"/>
      <c r="BQ226" s="322"/>
      <c r="BR226" s="117"/>
      <c r="BS226" s="324"/>
      <c r="BT226" s="324"/>
      <c r="BU226" s="117"/>
    </row>
    <row r="227" hidden="1">
      <c r="A227" s="7"/>
      <c r="B227" s="176"/>
      <c r="C227" s="230"/>
      <c r="D227" s="230"/>
      <c r="E227" s="371"/>
      <c r="F227" s="91"/>
      <c r="G227" s="230"/>
      <c r="H227" s="176"/>
      <c r="I227" s="7"/>
      <c r="J227" s="230"/>
      <c r="K227" s="176"/>
      <c r="L227" s="176"/>
      <c r="M227" s="7"/>
      <c r="N227" s="372"/>
      <c r="O227" s="373"/>
      <c r="P227" s="374"/>
      <c r="Q227" s="375"/>
      <c r="R227" s="375"/>
      <c r="S227" s="376"/>
      <c r="T227" s="377"/>
      <c r="U227" s="377"/>
      <c r="V227" s="377"/>
      <c r="W227" s="377"/>
      <c r="X227" s="229"/>
      <c r="Y227" s="176"/>
      <c r="Z227" s="229"/>
      <c r="AA227" s="229"/>
      <c r="AB227" s="82"/>
      <c r="AC227" s="82"/>
      <c r="AD227" s="378"/>
      <c r="AE227" s="379"/>
      <c r="AF227" s="380"/>
      <c r="AG227" s="380"/>
      <c r="AH227" s="7"/>
      <c r="AI227" s="7"/>
      <c r="AJ227" s="381"/>
      <c r="AK227" s="7"/>
      <c r="AL227" s="7"/>
      <c r="AM227" s="7"/>
      <c r="AN227" s="7"/>
      <c r="AO227" s="176"/>
      <c r="AP227" s="176"/>
      <c r="AQ227" s="229"/>
      <c r="AR227" s="229"/>
      <c r="AS227" s="176"/>
      <c r="AT227" s="376"/>
      <c r="AU227" s="376"/>
      <c r="AV227" s="376"/>
      <c r="AW227" s="376"/>
      <c r="AX227" s="376"/>
      <c r="AY227" s="376"/>
      <c r="AZ227" s="382"/>
      <c r="BA227" s="176"/>
      <c r="BB227" s="91"/>
      <c r="BC227" s="91"/>
      <c r="BD227" s="380"/>
      <c r="BE227" s="380"/>
      <c r="BF227" s="383"/>
      <c r="BG227" s="384"/>
      <c r="BH227" s="383"/>
      <c r="BI227" s="385"/>
      <c r="BJ227" s="386"/>
      <c r="BK227" s="386"/>
      <c r="BL227" s="386"/>
      <c r="BM227" s="387"/>
      <c r="BN227" s="387"/>
      <c r="BO227" s="387"/>
      <c r="BP227" s="388"/>
      <c r="BQ227" s="389"/>
      <c r="BR227" s="117"/>
      <c r="BS227" s="324"/>
      <c r="BT227" s="324"/>
      <c r="BU227" s="117"/>
    </row>
    <row r="228" hidden="1">
      <c r="A228" s="7"/>
      <c r="B228" s="176"/>
      <c r="C228" s="230"/>
      <c r="D228" s="230"/>
      <c r="E228" s="371"/>
      <c r="F228" s="91"/>
      <c r="G228" s="230"/>
      <c r="H228" s="176"/>
      <c r="I228" s="7"/>
      <c r="J228" s="230"/>
      <c r="K228" s="176"/>
      <c r="L228" s="176"/>
      <c r="M228" s="7"/>
      <c r="N228" s="372"/>
      <c r="O228" s="373"/>
      <c r="P228" s="374"/>
      <c r="Q228" s="375"/>
      <c r="R228" s="375"/>
      <c r="S228" s="376"/>
      <c r="T228" s="377"/>
      <c r="U228" s="377"/>
      <c r="V228" s="377"/>
      <c r="W228" s="377"/>
      <c r="X228" s="229"/>
      <c r="Y228" s="176"/>
      <c r="Z228" s="229"/>
      <c r="AA228" s="229"/>
      <c r="AB228" s="82"/>
      <c r="AC228" s="82"/>
      <c r="AD228" s="378"/>
      <c r="AE228" s="379"/>
      <c r="AF228" s="380"/>
      <c r="AG228" s="380"/>
      <c r="AH228" s="7"/>
      <c r="AI228" s="7"/>
      <c r="AJ228" s="381"/>
      <c r="AK228" s="7"/>
      <c r="AL228" s="7"/>
      <c r="AM228" s="7"/>
      <c r="AN228" s="7" t="str">
        <f t="shared" ref="AN228:AN242" si="47">VLOOKUP(E228,E1:AN213,36,0)</f>
        <v>#N/A</v>
      </c>
      <c r="AO228" s="7" t="s">
        <v>1395</v>
      </c>
      <c r="AP228" s="176"/>
      <c r="AQ228" s="229"/>
      <c r="AR228" s="229"/>
      <c r="AS228" s="176"/>
      <c r="AT228" s="376"/>
      <c r="AU228" s="376"/>
      <c r="AV228" s="376"/>
      <c r="AW228" s="376"/>
      <c r="AX228" s="376"/>
      <c r="AY228" s="376"/>
      <c r="AZ228" s="382"/>
      <c r="BA228" s="176"/>
      <c r="BB228" s="91"/>
      <c r="BC228" s="91"/>
      <c r="BD228" s="380"/>
      <c r="BE228" s="380"/>
      <c r="BF228" s="383"/>
      <c r="BG228" s="384"/>
      <c r="BH228" s="383"/>
      <c r="BI228" s="385"/>
      <c r="BJ228" s="386"/>
      <c r="BK228" s="386"/>
      <c r="BL228" s="386"/>
      <c r="BM228" s="387"/>
      <c r="BN228" s="387"/>
      <c r="BO228" s="387"/>
      <c r="BP228" s="388"/>
      <c r="BQ228" s="389"/>
      <c r="BR228" s="117"/>
      <c r="BS228" s="324"/>
      <c r="BT228" s="324"/>
      <c r="BU228" s="117"/>
    </row>
    <row r="229" hidden="1">
      <c r="A229" s="7"/>
      <c r="B229" s="176"/>
      <c r="C229" s="230"/>
      <c r="D229" s="230"/>
      <c r="E229" s="371"/>
      <c r="F229" s="91"/>
      <c r="G229" s="230"/>
      <c r="H229" s="176"/>
      <c r="I229" s="7"/>
      <c r="J229" s="230"/>
      <c r="K229" s="176"/>
      <c r="L229" s="176"/>
      <c r="M229" s="7"/>
      <c r="N229" s="372"/>
      <c r="O229" s="373"/>
      <c r="P229" s="374"/>
      <c r="Q229" s="375"/>
      <c r="R229" s="375"/>
      <c r="S229" s="376"/>
      <c r="T229" s="377"/>
      <c r="U229" s="377"/>
      <c r="V229" s="377"/>
      <c r="W229" s="377"/>
      <c r="X229" s="229"/>
      <c r="Y229" s="176"/>
      <c r="Z229" s="229"/>
      <c r="AA229" s="229"/>
      <c r="AB229" s="82"/>
      <c r="AC229" s="82"/>
      <c r="AD229" s="378"/>
      <c r="AE229" s="379"/>
      <c r="AF229" s="380"/>
      <c r="AG229" s="380"/>
      <c r="AH229" s="7"/>
      <c r="AI229" s="7"/>
      <c r="AJ229" s="381"/>
      <c r="AK229" s="7"/>
      <c r="AL229" s="7"/>
      <c r="AM229" s="7"/>
      <c r="AN229" s="7" t="str">
        <f t="shared" si="47"/>
        <v>#N/A</v>
      </c>
      <c r="AO229" s="7" t="s">
        <v>1375</v>
      </c>
      <c r="AP229" s="176"/>
      <c r="AQ229" s="229"/>
      <c r="AR229" s="229"/>
      <c r="AS229" s="176"/>
      <c r="AT229" s="376"/>
      <c r="AU229" s="376"/>
      <c r="AV229" s="376"/>
      <c r="AW229" s="376"/>
      <c r="AX229" s="376"/>
      <c r="AY229" s="376"/>
      <c r="AZ229" s="382"/>
      <c r="BA229" s="176"/>
      <c r="BB229" s="91"/>
      <c r="BC229" s="91"/>
      <c r="BD229" s="380"/>
      <c r="BE229" s="380"/>
      <c r="BF229" s="383"/>
      <c r="BG229" s="384"/>
      <c r="BH229" s="383"/>
      <c r="BI229" s="385"/>
      <c r="BJ229" s="386"/>
      <c r="BK229" s="386"/>
      <c r="BL229" s="386"/>
      <c r="BM229" s="387"/>
      <c r="BN229" s="387"/>
      <c r="BO229" s="387"/>
      <c r="BP229" s="388"/>
      <c r="BQ229" s="389"/>
      <c r="BR229" s="117"/>
      <c r="BS229" s="324"/>
      <c r="BT229" s="324"/>
      <c r="BU229" s="117"/>
    </row>
    <row r="230" hidden="1">
      <c r="A230" s="7"/>
      <c r="B230" s="176"/>
      <c r="C230" s="230"/>
      <c r="D230" s="230"/>
      <c r="E230" s="371"/>
      <c r="F230" s="91"/>
      <c r="G230" s="230"/>
      <c r="H230" s="176"/>
      <c r="I230" s="7"/>
      <c r="J230" s="230"/>
      <c r="K230" s="176"/>
      <c r="L230" s="176"/>
      <c r="M230" s="7"/>
      <c r="N230" s="372"/>
      <c r="O230" s="373"/>
      <c r="P230" s="374"/>
      <c r="Q230" s="375"/>
      <c r="R230" s="375"/>
      <c r="S230" s="376"/>
      <c r="T230" s="377"/>
      <c r="U230" s="377"/>
      <c r="V230" s="377"/>
      <c r="W230" s="377"/>
      <c r="X230" s="229"/>
      <c r="Y230" s="176"/>
      <c r="Z230" s="229"/>
      <c r="AA230" s="229"/>
      <c r="AB230" s="82"/>
      <c r="AC230" s="82"/>
      <c r="AD230" s="378"/>
      <c r="AE230" s="379"/>
      <c r="AF230" s="380"/>
      <c r="AG230" s="380"/>
      <c r="AH230" s="7"/>
      <c r="AI230" s="7"/>
      <c r="AJ230" s="381"/>
      <c r="AK230" s="7"/>
      <c r="AL230" s="7"/>
      <c r="AM230" s="7"/>
      <c r="AN230" s="7" t="str">
        <f t="shared" si="47"/>
        <v>#N/A</v>
      </c>
      <c r="AO230" s="7" t="s">
        <v>1395</v>
      </c>
      <c r="AP230" s="176"/>
      <c r="AQ230" s="229"/>
      <c r="AR230" s="229"/>
      <c r="AS230" s="176"/>
      <c r="AT230" s="376"/>
      <c r="AU230" s="376"/>
      <c r="AV230" s="376"/>
      <c r="AW230" s="376"/>
      <c r="AX230" s="376"/>
      <c r="AY230" s="376"/>
      <c r="AZ230" s="382"/>
      <c r="BA230" s="176"/>
      <c r="BB230" s="91"/>
      <c r="BC230" s="91"/>
      <c r="BD230" s="380"/>
      <c r="BE230" s="380"/>
      <c r="BF230" s="383"/>
      <c r="BG230" s="384"/>
      <c r="BH230" s="383"/>
      <c r="BI230" s="385"/>
      <c r="BJ230" s="386"/>
      <c r="BK230" s="386"/>
      <c r="BL230" s="386"/>
      <c r="BM230" s="387"/>
      <c r="BN230" s="387"/>
      <c r="BO230" s="387"/>
      <c r="BP230" s="388"/>
      <c r="BQ230" s="389"/>
      <c r="BR230" s="117"/>
      <c r="BS230" s="324"/>
      <c r="BT230" s="324"/>
      <c r="BU230" s="117"/>
    </row>
    <row r="231" hidden="1">
      <c r="A231" s="7"/>
      <c r="B231" s="176"/>
      <c r="C231" s="230"/>
      <c r="D231" s="230"/>
      <c r="E231" s="371"/>
      <c r="F231" s="91"/>
      <c r="G231" s="230"/>
      <c r="H231" s="176"/>
      <c r="I231" s="7"/>
      <c r="J231" s="230"/>
      <c r="K231" s="176"/>
      <c r="L231" s="176"/>
      <c r="M231" s="7"/>
      <c r="N231" s="372"/>
      <c r="O231" s="373"/>
      <c r="P231" s="374"/>
      <c r="Q231" s="375"/>
      <c r="R231" s="375"/>
      <c r="S231" s="376"/>
      <c r="T231" s="377"/>
      <c r="U231" s="377"/>
      <c r="V231" s="377"/>
      <c r="W231" s="377"/>
      <c r="X231" s="229"/>
      <c r="Y231" s="176"/>
      <c r="Z231" s="229"/>
      <c r="AA231" s="229"/>
      <c r="AB231" s="82"/>
      <c r="AC231" s="82"/>
      <c r="AD231" s="378"/>
      <c r="AE231" s="379"/>
      <c r="AF231" s="380"/>
      <c r="AG231" s="380"/>
      <c r="AH231" s="7"/>
      <c r="AI231" s="7"/>
      <c r="AJ231" s="381"/>
      <c r="AK231" s="7"/>
      <c r="AL231" s="7"/>
      <c r="AM231" s="7"/>
      <c r="AN231" s="7" t="str">
        <f t="shared" si="47"/>
        <v>#N/A</v>
      </c>
      <c r="AO231" s="7" t="s">
        <v>1350</v>
      </c>
      <c r="AP231" s="176"/>
      <c r="AQ231" s="229"/>
      <c r="AR231" s="229"/>
      <c r="AS231" s="176"/>
      <c r="AT231" s="376"/>
      <c r="AU231" s="376"/>
      <c r="AV231" s="376"/>
      <c r="AW231" s="376"/>
      <c r="AX231" s="376"/>
      <c r="AY231" s="376"/>
      <c r="AZ231" s="382"/>
      <c r="BA231" s="176"/>
      <c r="BB231" s="91"/>
      <c r="BC231" s="91"/>
      <c r="BD231" s="380"/>
      <c r="BE231" s="380"/>
      <c r="BF231" s="383"/>
      <c r="BG231" s="384"/>
      <c r="BH231" s="383"/>
      <c r="BI231" s="385"/>
      <c r="BJ231" s="386"/>
      <c r="BK231" s="386"/>
      <c r="BL231" s="386"/>
      <c r="BM231" s="387"/>
      <c r="BN231" s="387"/>
      <c r="BO231" s="387"/>
      <c r="BP231" s="388"/>
      <c r="BQ231" s="389"/>
      <c r="BR231" s="117"/>
      <c r="BS231" s="324"/>
      <c r="BT231" s="324"/>
      <c r="BU231" s="117"/>
    </row>
    <row r="232" hidden="1">
      <c r="A232" s="7"/>
      <c r="B232" s="176"/>
      <c r="C232" s="230"/>
      <c r="D232" s="230"/>
      <c r="E232" s="371"/>
      <c r="F232" s="91"/>
      <c r="G232" s="230"/>
      <c r="H232" s="176"/>
      <c r="I232" s="7"/>
      <c r="J232" s="230"/>
      <c r="K232" s="176"/>
      <c r="L232" s="176"/>
      <c r="M232" s="7"/>
      <c r="N232" s="372"/>
      <c r="O232" s="373"/>
      <c r="P232" s="374"/>
      <c r="Q232" s="375"/>
      <c r="R232" s="375"/>
      <c r="S232" s="376"/>
      <c r="T232" s="377"/>
      <c r="U232" s="377"/>
      <c r="V232" s="377"/>
      <c r="W232" s="377"/>
      <c r="X232" s="229"/>
      <c r="Y232" s="176"/>
      <c r="Z232" s="229"/>
      <c r="AA232" s="229"/>
      <c r="AB232" s="82"/>
      <c r="AC232" s="82"/>
      <c r="AD232" s="378"/>
      <c r="AE232" s="379"/>
      <c r="AF232" s="380"/>
      <c r="AG232" s="380"/>
      <c r="AH232" s="7"/>
      <c r="AI232" s="7"/>
      <c r="AJ232" s="381"/>
      <c r="AK232" s="7"/>
      <c r="AL232" s="7"/>
      <c r="AM232" s="7"/>
      <c r="AN232" s="7" t="str">
        <f t="shared" si="47"/>
        <v>#N/A</v>
      </c>
      <c r="AO232" s="7" t="s">
        <v>1412</v>
      </c>
      <c r="AP232" s="176"/>
      <c r="AQ232" s="229"/>
      <c r="AR232" s="229"/>
      <c r="AS232" s="176"/>
      <c r="AT232" s="376"/>
      <c r="AU232" s="376"/>
      <c r="AV232" s="376"/>
      <c r="AW232" s="376"/>
      <c r="AX232" s="376"/>
      <c r="AY232" s="376"/>
      <c r="AZ232" s="382"/>
      <c r="BA232" s="176"/>
      <c r="BB232" s="91"/>
      <c r="BC232" s="91"/>
      <c r="BD232" s="380"/>
      <c r="BE232" s="380"/>
      <c r="BF232" s="383"/>
      <c r="BG232" s="384"/>
      <c r="BH232" s="383"/>
      <c r="BI232" s="385"/>
      <c r="BJ232" s="386"/>
      <c r="BK232" s="386"/>
      <c r="BL232" s="386"/>
      <c r="BM232" s="387"/>
      <c r="BN232" s="387"/>
      <c r="BO232" s="387"/>
      <c r="BP232" s="388"/>
      <c r="BQ232" s="389"/>
      <c r="BR232" s="117"/>
      <c r="BS232" s="324"/>
      <c r="BT232" s="324"/>
      <c r="BU232" s="117"/>
    </row>
    <row r="233" hidden="1">
      <c r="A233" s="7"/>
      <c r="B233" s="176"/>
      <c r="C233" s="230"/>
      <c r="D233" s="230"/>
      <c r="E233" s="371"/>
      <c r="F233" s="91"/>
      <c r="G233" s="230"/>
      <c r="H233" s="176"/>
      <c r="I233" s="7"/>
      <c r="J233" s="230"/>
      <c r="K233" s="176"/>
      <c r="L233" s="176"/>
      <c r="M233" s="7"/>
      <c r="N233" s="372"/>
      <c r="O233" s="373"/>
      <c r="P233" s="374"/>
      <c r="Q233" s="375"/>
      <c r="R233" s="375"/>
      <c r="S233" s="376"/>
      <c r="T233" s="377"/>
      <c r="U233" s="377"/>
      <c r="V233" s="377"/>
      <c r="W233" s="377"/>
      <c r="X233" s="229"/>
      <c r="Y233" s="176"/>
      <c r="Z233" s="229"/>
      <c r="AA233" s="229"/>
      <c r="AB233" s="82"/>
      <c r="AC233" s="82"/>
      <c r="AD233" s="378"/>
      <c r="AE233" s="379"/>
      <c r="AF233" s="380"/>
      <c r="AG233" s="380"/>
      <c r="AH233" s="7"/>
      <c r="AI233" s="7"/>
      <c r="AJ233" s="381"/>
      <c r="AK233" s="7"/>
      <c r="AL233" s="7"/>
      <c r="AM233" s="7"/>
      <c r="AN233" s="7" t="str">
        <f t="shared" si="47"/>
        <v>#N/A</v>
      </c>
      <c r="AO233" s="7" t="s">
        <v>1391</v>
      </c>
      <c r="AP233" s="176"/>
      <c r="AQ233" s="229"/>
      <c r="AR233" s="229"/>
      <c r="AS233" s="176"/>
      <c r="AT233" s="376"/>
      <c r="AU233" s="376"/>
      <c r="AV233" s="376"/>
      <c r="AW233" s="376"/>
      <c r="AX233" s="376"/>
      <c r="AY233" s="376"/>
      <c r="AZ233" s="382"/>
      <c r="BA233" s="176"/>
      <c r="BB233" s="91"/>
      <c r="BC233" s="91"/>
      <c r="BD233" s="380"/>
      <c r="BE233" s="380"/>
      <c r="BF233" s="383"/>
      <c r="BG233" s="384"/>
      <c r="BH233" s="383"/>
      <c r="BI233" s="385"/>
      <c r="BJ233" s="386"/>
      <c r="BK233" s="386"/>
      <c r="BL233" s="386"/>
      <c r="BM233" s="387"/>
      <c r="BN233" s="387"/>
      <c r="BO233" s="387"/>
      <c r="BP233" s="388"/>
      <c r="BQ233" s="389"/>
      <c r="BR233" s="117"/>
      <c r="BS233" s="324"/>
      <c r="BT233" s="324"/>
      <c r="BU233" s="117"/>
    </row>
    <row r="234" hidden="1">
      <c r="A234" s="7"/>
      <c r="B234" s="176"/>
      <c r="C234" s="230"/>
      <c r="D234" s="230"/>
      <c r="E234" s="371"/>
      <c r="F234" s="91"/>
      <c r="G234" s="230"/>
      <c r="H234" s="176"/>
      <c r="I234" s="7"/>
      <c r="J234" s="230"/>
      <c r="K234" s="176"/>
      <c r="L234" s="176"/>
      <c r="M234" s="7"/>
      <c r="N234" s="372"/>
      <c r="O234" s="373"/>
      <c r="P234" s="374"/>
      <c r="Q234" s="375"/>
      <c r="R234" s="375"/>
      <c r="S234" s="376"/>
      <c r="T234" s="377"/>
      <c r="U234" s="377"/>
      <c r="V234" s="377"/>
      <c r="W234" s="377"/>
      <c r="X234" s="229"/>
      <c r="Y234" s="176"/>
      <c r="Z234" s="229"/>
      <c r="AA234" s="229"/>
      <c r="AB234" s="82"/>
      <c r="AC234" s="82"/>
      <c r="AD234" s="378"/>
      <c r="AE234" s="379"/>
      <c r="AF234" s="380"/>
      <c r="AG234" s="380"/>
      <c r="AH234" s="7"/>
      <c r="AI234" s="7"/>
      <c r="AJ234" s="381"/>
      <c r="AK234" s="7"/>
      <c r="AL234" s="7"/>
      <c r="AM234" s="7"/>
      <c r="AN234" s="7" t="str">
        <f t="shared" si="47"/>
        <v>#N/A</v>
      </c>
      <c r="AO234" s="7" t="s">
        <v>1395</v>
      </c>
      <c r="AP234" s="176"/>
      <c r="AQ234" s="229"/>
      <c r="AR234" s="229"/>
      <c r="AS234" s="176"/>
      <c r="AT234" s="376"/>
      <c r="AU234" s="376"/>
      <c r="AV234" s="376"/>
      <c r="AW234" s="376"/>
      <c r="AX234" s="376"/>
      <c r="AY234" s="376"/>
      <c r="AZ234" s="382"/>
      <c r="BA234" s="176"/>
      <c r="BB234" s="91"/>
      <c r="BC234" s="91"/>
      <c r="BD234" s="380"/>
      <c r="BE234" s="380"/>
      <c r="BF234" s="383"/>
      <c r="BG234" s="384"/>
      <c r="BH234" s="383"/>
      <c r="BI234" s="385"/>
      <c r="BJ234" s="386"/>
      <c r="BK234" s="386"/>
      <c r="BL234" s="386"/>
      <c r="BM234" s="387"/>
      <c r="BN234" s="387"/>
      <c r="BO234" s="387"/>
      <c r="BP234" s="388"/>
      <c r="BQ234" s="389"/>
      <c r="BR234" s="117"/>
      <c r="BS234" s="324"/>
      <c r="BT234" s="324"/>
      <c r="BU234" s="117"/>
    </row>
    <row r="235">
      <c r="A235" s="7"/>
      <c r="B235" s="176"/>
      <c r="C235" s="230"/>
      <c r="D235" s="230"/>
      <c r="E235" s="371"/>
      <c r="F235" s="91"/>
      <c r="G235" s="230"/>
      <c r="H235" s="176"/>
      <c r="I235" s="7"/>
      <c r="J235" s="230"/>
      <c r="K235" s="176"/>
      <c r="L235" s="176"/>
      <c r="M235" s="7"/>
      <c r="N235" s="372"/>
      <c r="O235" s="373"/>
      <c r="P235" s="374"/>
      <c r="Q235" s="375"/>
      <c r="R235" s="375"/>
      <c r="S235" s="376"/>
      <c r="T235" s="377"/>
      <c r="U235" s="377"/>
      <c r="V235" s="377"/>
      <c r="W235" s="377"/>
      <c r="X235" s="229"/>
      <c r="Y235" s="176"/>
      <c r="Z235" s="229"/>
      <c r="AA235" s="229"/>
      <c r="AB235" s="82"/>
      <c r="AC235" s="82"/>
      <c r="AD235" s="378"/>
      <c r="AE235" s="379"/>
      <c r="AF235" s="380"/>
      <c r="AG235" s="380"/>
      <c r="AH235" s="7"/>
      <c r="AI235" s="7"/>
      <c r="AJ235" s="381"/>
      <c r="AK235" s="7"/>
      <c r="AL235" s="7"/>
      <c r="AM235" s="7"/>
      <c r="AN235" s="7" t="str">
        <f t="shared" si="47"/>
        <v>#N/A</v>
      </c>
      <c r="AO235" s="176"/>
      <c r="AP235" s="176"/>
      <c r="AQ235" s="229"/>
      <c r="AR235" s="229"/>
      <c r="AS235" s="176"/>
      <c r="AT235" s="376"/>
      <c r="AU235" s="376"/>
      <c r="AV235" s="376"/>
      <c r="AW235" s="376"/>
      <c r="AX235" s="376"/>
      <c r="AY235" s="376"/>
      <c r="AZ235" s="382"/>
      <c r="BA235" s="176"/>
      <c r="BB235" s="91"/>
      <c r="BC235" s="91"/>
      <c r="BD235" s="380"/>
      <c r="BE235" s="380"/>
      <c r="BF235" s="383"/>
      <c r="BG235" s="384"/>
      <c r="BH235" s="383"/>
      <c r="BI235" s="385"/>
      <c r="BJ235" s="386"/>
      <c r="BK235" s="386"/>
      <c r="BL235" s="386"/>
      <c r="BM235" s="387"/>
      <c r="BN235" s="387"/>
      <c r="BO235" s="387"/>
      <c r="BP235" s="388"/>
      <c r="BQ235" s="389"/>
      <c r="BR235" s="117"/>
      <c r="BS235" s="324"/>
      <c r="BT235" s="324"/>
      <c r="BU235" s="117"/>
    </row>
    <row r="236">
      <c r="A236" s="7"/>
      <c r="B236" s="176"/>
      <c r="C236" s="230"/>
      <c r="D236" s="230"/>
      <c r="E236" s="371"/>
      <c r="F236" s="91"/>
      <c r="G236" s="230"/>
      <c r="H236" s="176"/>
      <c r="I236" s="7"/>
      <c r="J236" s="230"/>
      <c r="K236" s="176"/>
      <c r="L236" s="176"/>
      <c r="M236" s="7"/>
      <c r="N236" s="372"/>
      <c r="O236" s="373"/>
      <c r="P236" s="374"/>
      <c r="Q236" s="375"/>
      <c r="R236" s="375"/>
      <c r="S236" s="376"/>
      <c r="T236" s="377"/>
      <c r="U236" s="377"/>
      <c r="V236" s="377"/>
      <c r="W236" s="377"/>
      <c r="X236" s="229"/>
      <c r="Y236" s="176"/>
      <c r="Z236" s="229"/>
      <c r="AA236" s="229"/>
      <c r="AB236" s="82"/>
      <c r="AC236" s="82"/>
      <c r="AD236" s="378"/>
      <c r="AE236" s="379"/>
      <c r="AF236" s="380"/>
      <c r="AG236" s="380"/>
      <c r="AH236" s="7"/>
      <c r="AI236" s="7"/>
      <c r="AJ236" s="381"/>
      <c r="AK236" s="7"/>
      <c r="AL236" s="7"/>
      <c r="AM236" s="7"/>
      <c r="AN236" s="7" t="str">
        <f t="shared" si="47"/>
        <v>#N/A</v>
      </c>
      <c r="AO236" s="176"/>
      <c r="AP236" s="176"/>
      <c r="AQ236" s="229"/>
      <c r="AR236" s="229"/>
      <c r="AS236" s="176"/>
      <c r="AT236" s="376"/>
      <c r="AU236" s="376"/>
      <c r="AV236" s="376"/>
      <c r="AW236" s="376"/>
      <c r="AX236" s="376"/>
      <c r="AY236" s="376"/>
      <c r="AZ236" s="382"/>
      <c r="BA236" s="176"/>
      <c r="BB236" s="91"/>
      <c r="BC236" s="91"/>
      <c r="BD236" s="380"/>
      <c r="BE236" s="380"/>
      <c r="BF236" s="383"/>
      <c r="BG236" s="384"/>
      <c r="BH236" s="383"/>
      <c r="BI236" s="385"/>
      <c r="BJ236" s="386"/>
      <c r="BK236" s="386"/>
      <c r="BL236" s="386"/>
      <c r="BM236" s="387"/>
      <c r="BN236" s="387"/>
      <c r="BO236" s="387"/>
      <c r="BP236" s="388"/>
      <c r="BQ236" s="389"/>
      <c r="BR236" s="117"/>
      <c r="BS236" s="324"/>
      <c r="BT236" s="324"/>
      <c r="BU236" s="117"/>
    </row>
    <row r="237">
      <c r="A237" s="7"/>
      <c r="B237" s="176"/>
      <c r="C237" s="230"/>
      <c r="D237" s="230"/>
      <c r="E237" s="371"/>
      <c r="F237" s="91"/>
      <c r="G237" s="230"/>
      <c r="H237" s="176"/>
      <c r="I237" s="7"/>
      <c r="J237" s="230"/>
      <c r="K237" s="176"/>
      <c r="L237" s="176"/>
      <c r="M237" s="7"/>
      <c r="N237" s="372"/>
      <c r="O237" s="373"/>
      <c r="P237" s="374"/>
      <c r="Q237" s="375"/>
      <c r="R237" s="375"/>
      <c r="S237" s="376"/>
      <c r="T237" s="377"/>
      <c r="U237" s="377"/>
      <c r="V237" s="377"/>
      <c r="W237" s="377"/>
      <c r="X237" s="229"/>
      <c r="Y237" s="176"/>
      <c r="Z237" s="229"/>
      <c r="AA237" s="229"/>
      <c r="AB237" s="82"/>
      <c r="AC237" s="82"/>
      <c r="AD237" s="378"/>
      <c r="AE237" s="379"/>
      <c r="AF237" s="380"/>
      <c r="AG237" s="380"/>
      <c r="AH237" s="7"/>
      <c r="AI237" s="7"/>
      <c r="AJ237" s="381"/>
      <c r="AK237" s="7"/>
      <c r="AL237" s="7"/>
      <c r="AM237" s="7"/>
      <c r="AN237" s="7" t="str">
        <f t="shared" si="47"/>
        <v>#N/A</v>
      </c>
      <c r="AO237" s="176"/>
      <c r="AP237" s="176"/>
      <c r="AQ237" s="229"/>
      <c r="AR237" s="229"/>
      <c r="AS237" s="176"/>
      <c r="AT237" s="376"/>
      <c r="AU237" s="376"/>
      <c r="AV237" s="376"/>
      <c r="AW237" s="376"/>
      <c r="AX237" s="376"/>
      <c r="AY237" s="376"/>
      <c r="AZ237" s="382"/>
      <c r="BA237" s="176"/>
      <c r="BB237" s="91"/>
      <c r="BC237" s="91"/>
      <c r="BD237" s="380"/>
      <c r="BE237" s="380"/>
      <c r="BF237" s="383"/>
      <c r="BG237" s="384"/>
      <c r="BH237" s="383"/>
      <c r="BI237" s="385"/>
      <c r="BJ237" s="386"/>
      <c r="BK237" s="386"/>
      <c r="BL237" s="386"/>
      <c r="BM237" s="387"/>
      <c r="BN237" s="387"/>
      <c r="BO237" s="387"/>
      <c r="BP237" s="388"/>
      <c r="BQ237" s="389"/>
      <c r="BR237" s="117"/>
      <c r="BS237" s="324"/>
      <c r="BT237" s="324"/>
      <c r="BU237" s="117"/>
    </row>
    <row r="238">
      <c r="A238" s="7"/>
      <c r="B238" s="176"/>
      <c r="C238" s="230"/>
      <c r="D238" s="230"/>
      <c r="E238" s="371"/>
      <c r="F238" s="91"/>
      <c r="G238" s="230"/>
      <c r="H238" s="176"/>
      <c r="I238" s="7"/>
      <c r="J238" s="230"/>
      <c r="K238" s="176"/>
      <c r="L238" s="176"/>
      <c r="M238" s="7"/>
      <c r="N238" s="372"/>
      <c r="O238" s="373"/>
      <c r="P238" s="374"/>
      <c r="Q238" s="375"/>
      <c r="R238" s="375"/>
      <c r="S238" s="376"/>
      <c r="T238" s="377"/>
      <c r="U238" s="377"/>
      <c r="V238" s="377"/>
      <c r="W238" s="377"/>
      <c r="X238" s="229"/>
      <c r="Y238" s="176"/>
      <c r="Z238" s="229"/>
      <c r="AA238" s="229"/>
      <c r="AB238" s="82"/>
      <c r="AC238" s="82"/>
      <c r="AD238" s="378"/>
      <c r="AE238" s="379"/>
      <c r="AF238" s="380"/>
      <c r="AG238" s="380"/>
      <c r="AH238" s="7"/>
      <c r="AI238" s="7"/>
      <c r="AJ238" s="381"/>
      <c r="AK238" s="7"/>
      <c r="AL238" s="7"/>
      <c r="AM238" s="7"/>
      <c r="AN238" s="7" t="str">
        <f t="shared" si="47"/>
        <v>#N/A</v>
      </c>
      <c r="AO238" s="176"/>
      <c r="AP238" s="176"/>
      <c r="AQ238" s="229"/>
      <c r="AR238" s="229"/>
      <c r="AS238" s="176"/>
      <c r="AT238" s="376"/>
      <c r="AU238" s="376"/>
      <c r="AV238" s="376"/>
      <c r="AW238" s="376"/>
      <c r="AX238" s="376"/>
      <c r="AY238" s="376"/>
      <c r="AZ238" s="382"/>
      <c r="BA238" s="176"/>
      <c r="BB238" s="91"/>
      <c r="BC238" s="91"/>
      <c r="BD238" s="380"/>
      <c r="BE238" s="380"/>
      <c r="BF238" s="383"/>
      <c r="BG238" s="384"/>
      <c r="BH238" s="383"/>
      <c r="BI238" s="385"/>
      <c r="BJ238" s="386"/>
      <c r="BK238" s="386"/>
      <c r="BL238" s="386"/>
      <c r="BM238" s="387"/>
      <c r="BN238" s="387"/>
      <c r="BO238" s="387"/>
      <c r="BP238" s="388"/>
      <c r="BQ238" s="389"/>
      <c r="BR238" s="117"/>
      <c r="BS238" s="324"/>
      <c r="BT238" s="324"/>
      <c r="BU238" s="117"/>
    </row>
    <row r="239">
      <c r="A239" s="7"/>
      <c r="B239" s="176"/>
      <c r="C239" s="230"/>
      <c r="D239" s="230"/>
      <c r="E239" s="371"/>
      <c r="F239" s="91"/>
      <c r="G239" s="230"/>
      <c r="H239" s="176"/>
      <c r="I239" s="7"/>
      <c r="J239" s="230"/>
      <c r="K239" s="176"/>
      <c r="L239" s="176"/>
      <c r="M239" s="7"/>
      <c r="N239" s="372"/>
      <c r="O239" s="373"/>
      <c r="P239" s="374"/>
      <c r="Q239" s="375"/>
      <c r="R239" s="375"/>
      <c r="S239" s="376"/>
      <c r="T239" s="377"/>
      <c r="U239" s="377"/>
      <c r="V239" s="377"/>
      <c r="W239" s="377"/>
      <c r="X239" s="229"/>
      <c r="Y239" s="176"/>
      <c r="Z239" s="229"/>
      <c r="AA239" s="229"/>
      <c r="AB239" s="82"/>
      <c r="AC239" s="82"/>
      <c r="AD239" s="378"/>
      <c r="AE239" s="379"/>
      <c r="AF239" s="380"/>
      <c r="AG239" s="380"/>
      <c r="AH239" s="7"/>
      <c r="AI239" s="7"/>
      <c r="AJ239" s="381"/>
      <c r="AK239" s="7"/>
      <c r="AL239" s="7"/>
      <c r="AM239" s="7"/>
      <c r="AN239" s="7" t="str">
        <f t="shared" si="47"/>
        <v>#N/A</v>
      </c>
      <c r="AO239" s="176"/>
      <c r="AP239" s="176"/>
      <c r="AQ239" s="229"/>
      <c r="AR239" s="229"/>
      <c r="AS239" s="176"/>
      <c r="AT239" s="376"/>
      <c r="AU239" s="376"/>
      <c r="AV239" s="376"/>
      <c r="AW239" s="376"/>
      <c r="AX239" s="376"/>
      <c r="AY239" s="376"/>
      <c r="AZ239" s="382"/>
      <c r="BA239" s="176"/>
      <c r="BB239" s="91"/>
      <c r="BC239" s="91"/>
      <c r="BD239" s="380"/>
      <c r="BE239" s="380"/>
      <c r="BF239" s="383"/>
      <c r="BG239" s="384"/>
      <c r="BH239" s="383"/>
      <c r="BI239" s="385"/>
      <c r="BJ239" s="386"/>
      <c r="BK239" s="386"/>
      <c r="BL239" s="386"/>
      <c r="BM239" s="387"/>
      <c r="BN239" s="387"/>
      <c r="BO239" s="387"/>
      <c r="BP239" s="388"/>
      <c r="BQ239" s="389"/>
      <c r="BR239" s="117"/>
      <c r="BS239" s="324"/>
      <c r="BT239" s="324"/>
      <c r="BU239" s="117"/>
    </row>
    <row r="240">
      <c r="A240" s="7"/>
      <c r="B240" s="176"/>
      <c r="C240" s="230"/>
      <c r="D240" s="230"/>
      <c r="E240" s="371"/>
      <c r="F240" s="91"/>
      <c r="G240" s="230"/>
      <c r="H240" s="176"/>
      <c r="I240" s="7"/>
      <c r="J240" s="230"/>
      <c r="K240" s="176"/>
      <c r="L240" s="176"/>
      <c r="M240" s="7"/>
      <c r="N240" s="372"/>
      <c r="O240" s="373"/>
      <c r="P240" s="374"/>
      <c r="Q240" s="375"/>
      <c r="R240" s="375"/>
      <c r="S240" s="376"/>
      <c r="T240" s="377"/>
      <c r="U240" s="377"/>
      <c r="V240" s="377"/>
      <c r="W240" s="377"/>
      <c r="X240" s="229"/>
      <c r="Y240" s="176"/>
      <c r="Z240" s="229"/>
      <c r="AA240" s="229"/>
      <c r="AB240" s="82"/>
      <c r="AC240" s="82"/>
      <c r="AD240" s="378"/>
      <c r="AE240" s="379"/>
      <c r="AF240" s="380"/>
      <c r="AG240" s="380"/>
      <c r="AH240" s="7"/>
      <c r="AI240" s="7"/>
      <c r="AJ240" s="381"/>
      <c r="AK240" s="7"/>
      <c r="AL240" s="7"/>
      <c r="AM240" s="7"/>
      <c r="AN240" s="7" t="str">
        <f t="shared" si="47"/>
        <v>#N/A</v>
      </c>
      <c r="AO240" s="176"/>
      <c r="AP240" s="176"/>
      <c r="AQ240" s="229"/>
      <c r="AR240" s="229"/>
      <c r="AS240" s="176"/>
      <c r="AT240" s="376"/>
      <c r="AU240" s="376"/>
      <c r="AV240" s="376"/>
      <c r="AW240" s="376"/>
      <c r="AX240" s="376"/>
      <c r="AY240" s="376"/>
      <c r="AZ240" s="382"/>
      <c r="BA240" s="176"/>
      <c r="BB240" s="91"/>
      <c r="BC240" s="91"/>
      <c r="BD240" s="380"/>
      <c r="BE240" s="380"/>
      <c r="BF240" s="383"/>
      <c r="BG240" s="384"/>
      <c r="BH240" s="383"/>
      <c r="BI240" s="385"/>
      <c r="BJ240" s="386"/>
      <c r="BK240" s="386"/>
      <c r="BL240" s="386"/>
      <c r="BM240" s="387"/>
      <c r="BN240" s="387"/>
      <c r="BO240" s="387"/>
      <c r="BP240" s="388"/>
      <c r="BQ240" s="389"/>
      <c r="BR240" s="117"/>
      <c r="BS240" s="324"/>
      <c r="BT240" s="324"/>
      <c r="BU240" s="117"/>
    </row>
    <row r="241">
      <c r="A241" s="7"/>
      <c r="B241" s="176"/>
      <c r="C241" s="230"/>
      <c r="D241" s="230"/>
      <c r="E241" s="371"/>
      <c r="F241" s="91"/>
      <c r="G241" s="230"/>
      <c r="H241" s="176"/>
      <c r="I241" s="7"/>
      <c r="J241" s="230"/>
      <c r="K241" s="176"/>
      <c r="L241" s="176"/>
      <c r="M241" s="7"/>
      <c r="N241" s="372"/>
      <c r="O241" s="373"/>
      <c r="P241" s="374"/>
      <c r="Q241" s="375"/>
      <c r="R241" s="375"/>
      <c r="S241" s="376"/>
      <c r="T241" s="377"/>
      <c r="U241" s="377"/>
      <c r="V241" s="377"/>
      <c r="W241" s="377"/>
      <c r="X241" s="229"/>
      <c r="Y241" s="176"/>
      <c r="Z241" s="229"/>
      <c r="AA241" s="229"/>
      <c r="AB241" s="82"/>
      <c r="AC241" s="82"/>
      <c r="AD241" s="378"/>
      <c r="AE241" s="379"/>
      <c r="AF241" s="380"/>
      <c r="AG241" s="380"/>
      <c r="AH241" s="7"/>
      <c r="AI241" s="7"/>
      <c r="AJ241" s="381"/>
      <c r="AK241" s="7"/>
      <c r="AL241" s="7"/>
      <c r="AM241" s="7"/>
      <c r="AN241" s="7" t="str">
        <f t="shared" si="47"/>
        <v>#N/A</v>
      </c>
      <c r="AO241" s="176"/>
      <c r="AP241" s="176"/>
      <c r="AQ241" s="229"/>
      <c r="AR241" s="229"/>
      <c r="AS241" s="176"/>
      <c r="AT241" s="376"/>
      <c r="AU241" s="376"/>
      <c r="AV241" s="376"/>
      <c r="AW241" s="376"/>
      <c r="AX241" s="376"/>
      <c r="AY241" s="376"/>
      <c r="AZ241" s="382"/>
      <c r="BA241" s="176"/>
      <c r="BB241" s="91"/>
      <c r="BC241" s="91"/>
      <c r="BD241" s="380"/>
      <c r="BE241" s="380"/>
      <c r="BF241" s="383"/>
      <c r="BG241" s="384"/>
      <c r="BH241" s="383"/>
      <c r="BI241" s="385"/>
      <c r="BJ241" s="386"/>
      <c r="BK241" s="386"/>
      <c r="BL241" s="386"/>
      <c r="BM241" s="387"/>
      <c r="BN241" s="387"/>
      <c r="BO241" s="387"/>
      <c r="BP241" s="388"/>
      <c r="BQ241" s="389"/>
      <c r="BR241" s="117"/>
      <c r="BS241" s="324"/>
      <c r="BT241" s="324"/>
      <c r="BU241" s="117"/>
    </row>
    <row r="242">
      <c r="A242" s="7"/>
      <c r="B242" s="176"/>
      <c r="C242" s="230"/>
      <c r="D242" s="230"/>
      <c r="E242" s="371"/>
      <c r="F242" s="91"/>
      <c r="G242" s="230"/>
      <c r="H242" s="176"/>
      <c r="I242" s="7"/>
      <c r="J242" s="230"/>
      <c r="K242" s="176"/>
      <c r="L242" s="176"/>
      <c r="M242" s="7"/>
      <c r="N242" s="372"/>
      <c r="O242" s="373"/>
      <c r="P242" s="374"/>
      <c r="Q242" s="375"/>
      <c r="R242" s="375"/>
      <c r="S242" s="376"/>
      <c r="T242" s="377"/>
      <c r="U242" s="377"/>
      <c r="V242" s="377"/>
      <c r="W242" s="377"/>
      <c r="X242" s="229"/>
      <c r="Y242" s="176"/>
      <c r="Z242" s="229"/>
      <c r="AA242" s="229"/>
      <c r="AB242" s="82"/>
      <c r="AC242" s="82"/>
      <c r="AD242" s="378"/>
      <c r="AE242" s="379"/>
      <c r="AF242" s="380"/>
      <c r="AG242" s="380"/>
      <c r="AH242" s="7"/>
      <c r="AI242" s="7"/>
      <c r="AJ242" s="381"/>
      <c r="AK242" s="7"/>
      <c r="AL242" s="7"/>
      <c r="AM242" s="7"/>
      <c r="AN242" s="7" t="str">
        <f t="shared" si="47"/>
        <v>#N/A</v>
      </c>
      <c r="AO242" s="176"/>
      <c r="AP242" s="176"/>
      <c r="AQ242" s="229"/>
      <c r="AR242" s="229"/>
      <c r="AS242" s="176"/>
      <c r="AT242" s="376"/>
      <c r="AU242" s="376"/>
      <c r="AV242" s="376"/>
      <c r="AW242" s="376"/>
      <c r="AX242" s="376"/>
      <c r="AY242" s="376"/>
      <c r="AZ242" s="382"/>
      <c r="BA242" s="176"/>
      <c r="BB242" s="91"/>
      <c r="BC242" s="91"/>
      <c r="BD242" s="380"/>
      <c r="BE242" s="380"/>
      <c r="BF242" s="383"/>
      <c r="BG242" s="384"/>
      <c r="BH242" s="383"/>
      <c r="BI242" s="385"/>
      <c r="BJ242" s="386"/>
      <c r="BK242" s="386"/>
      <c r="BL242" s="386"/>
      <c r="BM242" s="387"/>
      <c r="BN242" s="387"/>
      <c r="BO242" s="387"/>
      <c r="BP242" s="388"/>
      <c r="BQ242" s="389"/>
      <c r="BR242" s="117"/>
      <c r="BS242" s="324"/>
      <c r="BT242" s="324"/>
      <c r="BU242" s="117"/>
    </row>
    <row r="243">
      <c r="A243" s="7"/>
      <c r="B243" s="176"/>
      <c r="C243" s="230"/>
      <c r="D243" s="230"/>
      <c r="E243" s="371"/>
      <c r="F243" s="91"/>
      <c r="G243" s="230"/>
      <c r="H243" s="176"/>
      <c r="I243" s="7"/>
      <c r="J243" s="230"/>
      <c r="K243" s="176"/>
      <c r="L243" s="176"/>
      <c r="M243" s="7"/>
      <c r="N243" s="372"/>
      <c r="O243" s="373"/>
      <c r="P243" s="374"/>
      <c r="Q243" s="375"/>
      <c r="R243" s="375"/>
      <c r="S243" s="376"/>
      <c r="T243" s="377"/>
      <c r="U243" s="377"/>
      <c r="V243" s="377"/>
      <c r="W243" s="377"/>
      <c r="X243" s="229"/>
      <c r="Y243" s="176"/>
      <c r="Z243" s="229"/>
      <c r="AA243" s="229"/>
      <c r="AB243" s="82"/>
      <c r="AC243" s="82"/>
      <c r="AD243" s="378"/>
      <c r="AE243" s="379"/>
      <c r="AF243" s="380"/>
      <c r="AG243" s="380"/>
      <c r="AH243" s="7"/>
      <c r="AI243" s="7"/>
      <c r="AJ243" s="381"/>
      <c r="AK243" s="7"/>
      <c r="AL243" s="7"/>
      <c r="AM243" s="7"/>
      <c r="AN243" s="7"/>
      <c r="AO243" s="176"/>
      <c r="AP243" s="176"/>
      <c r="AQ243" s="229"/>
      <c r="AR243" s="229"/>
      <c r="AS243" s="176"/>
      <c r="AT243" s="376"/>
      <c r="AU243" s="376"/>
      <c r="AV243" s="376"/>
      <c r="AW243" s="376"/>
      <c r="AX243" s="376"/>
      <c r="AY243" s="376"/>
      <c r="AZ243" s="382"/>
      <c r="BA243" s="176"/>
      <c r="BB243" s="91"/>
      <c r="BC243" s="91"/>
      <c r="BD243" s="380"/>
      <c r="BE243" s="380"/>
      <c r="BF243" s="383"/>
      <c r="BG243" s="384"/>
      <c r="BH243" s="383"/>
      <c r="BI243" s="385"/>
      <c r="BJ243" s="386"/>
      <c r="BK243" s="386"/>
      <c r="BL243" s="386"/>
      <c r="BM243" s="387"/>
      <c r="BN243" s="387"/>
      <c r="BO243" s="387"/>
      <c r="BP243" s="388"/>
      <c r="BQ243" s="389"/>
      <c r="BR243" s="117"/>
      <c r="BS243" s="324"/>
      <c r="BT243" s="324"/>
      <c r="BU243" s="117"/>
    </row>
    <row r="244">
      <c r="A244" s="7"/>
      <c r="B244" s="176"/>
      <c r="C244" s="230"/>
      <c r="D244" s="230"/>
      <c r="E244" s="371"/>
      <c r="F244" s="91"/>
      <c r="G244" s="230"/>
      <c r="H244" s="176"/>
      <c r="I244" s="7"/>
      <c r="J244" s="230"/>
      <c r="K244" s="176"/>
      <c r="L244" s="176"/>
      <c r="M244" s="7"/>
      <c r="N244" s="372"/>
      <c r="O244" s="373"/>
      <c r="P244" s="374"/>
      <c r="Q244" s="375"/>
      <c r="R244" s="375"/>
      <c r="S244" s="376"/>
      <c r="T244" s="377"/>
      <c r="U244" s="377"/>
      <c r="V244" s="377"/>
      <c r="W244" s="377"/>
      <c r="X244" s="229"/>
      <c r="Y244" s="176"/>
      <c r="Z244" s="229"/>
      <c r="AA244" s="229"/>
      <c r="AB244" s="82"/>
      <c r="AC244" s="82"/>
      <c r="AD244" s="378"/>
      <c r="AE244" s="379"/>
      <c r="AF244" s="380"/>
      <c r="AG244" s="380"/>
      <c r="AH244" s="7"/>
      <c r="AI244" s="7"/>
      <c r="AJ244" s="381"/>
      <c r="AK244" s="7"/>
      <c r="AL244" s="7"/>
      <c r="AM244" s="7"/>
      <c r="AN244" s="7"/>
      <c r="AO244" s="176"/>
      <c r="AP244" s="176"/>
      <c r="AQ244" s="229"/>
      <c r="AR244" s="229"/>
      <c r="AS244" s="176"/>
      <c r="AT244" s="376"/>
      <c r="AU244" s="376"/>
      <c r="AV244" s="376"/>
      <c r="AW244" s="376"/>
      <c r="AX244" s="376"/>
      <c r="AY244" s="376"/>
      <c r="AZ244" s="382"/>
      <c r="BA244" s="176"/>
      <c r="BB244" s="91"/>
      <c r="BC244" s="91"/>
      <c r="BD244" s="380"/>
      <c r="BE244" s="380"/>
      <c r="BF244" s="383"/>
      <c r="BG244" s="384"/>
      <c r="BH244" s="383"/>
      <c r="BI244" s="385"/>
      <c r="BJ244" s="386"/>
      <c r="BK244" s="386"/>
      <c r="BL244" s="386"/>
      <c r="BM244" s="387"/>
      <c r="BN244" s="387"/>
      <c r="BO244" s="387"/>
      <c r="BP244" s="388"/>
      <c r="BQ244" s="389"/>
      <c r="BR244" s="117"/>
      <c r="BS244" s="324"/>
      <c r="BT244" s="324"/>
      <c r="BU244" s="117"/>
    </row>
    <row r="245">
      <c r="A245" s="7"/>
      <c r="B245" s="176"/>
      <c r="C245" s="230"/>
      <c r="D245" s="230"/>
      <c r="E245" s="371"/>
      <c r="F245" s="91"/>
      <c r="G245" s="230"/>
      <c r="H245" s="176"/>
      <c r="I245" s="7"/>
      <c r="J245" s="230"/>
      <c r="K245" s="176"/>
      <c r="L245" s="176"/>
      <c r="M245" s="7"/>
      <c r="N245" s="372"/>
      <c r="O245" s="373"/>
      <c r="P245" s="374"/>
      <c r="Q245" s="375"/>
      <c r="R245" s="375"/>
      <c r="S245" s="376"/>
      <c r="T245" s="377"/>
      <c r="U245" s="377"/>
      <c r="V245" s="377"/>
      <c r="W245" s="377"/>
      <c r="X245" s="229"/>
      <c r="Y245" s="176"/>
      <c r="Z245" s="229"/>
      <c r="AA245" s="229"/>
      <c r="AB245" s="82"/>
      <c r="AC245" s="82"/>
      <c r="AD245" s="378"/>
      <c r="AE245" s="379"/>
      <c r="AF245" s="380"/>
      <c r="AG245" s="380"/>
      <c r="AH245" s="7"/>
      <c r="AI245" s="7"/>
      <c r="AJ245" s="381"/>
      <c r="AK245" s="7"/>
      <c r="AL245" s="7"/>
      <c r="AM245" s="7"/>
      <c r="AN245" s="7"/>
      <c r="AO245" s="176"/>
      <c r="AP245" s="176"/>
      <c r="AQ245" s="229"/>
      <c r="AR245" s="229"/>
      <c r="AS245" s="176"/>
      <c r="AT245" s="376"/>
      <c r="AU245" s="376"/>
      <c r="AV245" s="376"/>
      <c r="AW245" s="376"/>
      <c r="AX245" s="376"/>
      <c r="AY245" s="376"/>
      <c r="AZ245" s="382"/>
      <c r="BA245" s="176"/>
      <c r="BB245" s="91"/>
      <c r="BC245" s="91"/>
      <c r="BD245" s="380"/>
      <c r="BE245" s="380"/>
      <c r="BF245" s="383"/>
      <c r="BG245" s="384"/>
      <c r="BH245" s="383"/>
      <c r="BI245" s="385"/>
      <c r="BJ245" s="386"/>
      <c r="BK245" s="386"/>
      <c r="BL245" s="386"/>
      <c r="BM245" s="387"/>
      <c r="BN245" s="387"/>
      <c r="BO245" s="387"/>
      <c r="BP245" s="388"/>
      <c r="BQ245" s="389"/>
      <c r="BR245" s="117"/>
      <c r="BS245" s="324"/>
      <c r="BT245" s="324"/>
      <c r="BU245" s="117"/>
    </row>
    <row r="246">
      <c r="A246" s="7"/>
      <c r="B246" s="176"/>
      <c r="C246" s="230"/>
      <c r="D246" s="230"/>
      <c r="E246" s="371"/>
      <c r="F246" s="91"/>
      <c r="G246" s="230"/>
      <c r="H246" s="176"/>
      <c r="I246" s="7"/>
      <c r="J246" s="230"/>
      <c r="K246" s="176"/>
      <c r="L246" s="176"/>
      <c r="M246" s="7"/>
      <c r="N246" s="372"/>
      <c r="O246" s="373"/>
      <c r="P246" s="374"/>
      <c r="Q246" s="375"/>
      <c r="R246" s="375"/>
      <c r="S246" s="376"/>
      <c r="T246" s="377"/>
      <c r="U246" s="377"/>
      <c r="V246" s="377"/>
      <c r="W246" s="377"/>
      <c r="X246" s="229"/>
      <c r="Y246" s="176"/>
      <c r="Z246" s="229"/>
      <c r="AA246" s="229"/>
      <c r="AB246" s="82"/>
      <c r="AC246" s="82"/>
      <c r="AD246" s="378"/>
      <c r="AE246" s="379"/>
      <c r="AF246" s="380"/>
      <c r="AG246" s="380"/>
      <c r="AH246" s="7"/>
      <c r="AI246" s="7"/>
      <c r="AJ246" s="381"/>
      <c r="AK246" s="7"/>
      <c r="AL246" s="7"/>
      <c r="AM246" s="7"/>
      <c r="AN246" s="7"/>
      <c r="AO246" s="176"/>
      <c r="AP246" s="176"/>
      <c r="AQ246" s="229"/>
      <c r="AR246" s="229"/>
      <c r="AS246" s="176"/>
      <c r="AT246" s="376"/>
      <c r="AU246" s="376"/>
      <c r="AV246" s="376"/>
      <c r="AW246" s="376"/>
      <c r="AX246" s="376"/>
      <c r="AY246" s="376"/>
      <c r="AZ246" s="382"/>
      <c r="BA246" s="176"/>
      <c r="BB246" s="91"/>
      <c r="BC246" s="91"/>
      <c r="BD246" s="380"/>
      <c r="BE246" s="380"/>
      <c r="BF246" s="383"/>
      <c r="BG246" s="384"/>
      <c r="BH246" s="383"/>
      <c r="BI246" s="385"/>
      <c r="BJ246" s="386"/>
      <c r="BK246" s="386"/>
      <c r="BL246" s="386"/>
      <c r="BM246" s="387"/>
      <c r="BN246" s="387"/>
      <c r="BO246" s="387"/>
      <c r="BP246" s="388"/>
      <c r="BQ246" s="389"/>
      <c r="BR246" s="117"/>
      <c r="BS246" s="324"/>
      <c r="BT246" s="324"/>
      <c r="BU246" s="117"/>
    </row>
    <row r="247">
      <c r="A247" s="7"/>
      <c r="B247" s="176"/>
      <c r="C247" s="230"/>
      <c r="D247" s="230"/>
      <c r="E247" s="371"/>
      <c r="F247" s="91"/>
      <c r="G247" s="230"/>
      <c r="H247" s="176"/>
      <c r="I247" s="7"/>
      <c r="J247" s="230"/>
      <c r="K247" s="176"/>
      <c r="L247" s="176"/>
      <c r="M247" s="7"/>
      <c r="N247" s="372"/>
      <c r="O247" s="373"/>
      <c r="P247" s="374"/>
      <c r="Q247" s="375"/>
      <c r="R247" s="375"/>
      <c r="S247" s="376"/>
      <c r="T247" s="377"/>
      <c r="U247" s="377"/>
      <c r="V247" s="377"/>
      <c r="W247" s="377"/>
      <c r="X247" s="229"/>
      <c r="Y247" s="176"/>
      <c r="Z247" s="229"/>
      <c r="AA247" s="229"/>
      <c r="AB247" s="82"/>
      <c r="AC247" s="82"/>
      <c r="AD247" s="378"/>
      <c r="AE247" s="379"/>
      <c r="AF247" s="380"/>
      <c r="AG247" s="380"/>
      <c r="AH247" s="7"/>
      <c r="AI247" s="7"/>
      <c r="AJ247" s="381"/>
      <c r="AK247" s="7"/>
      <c r="AL247" s="7"/>
      <c r="AM247" s="7"/>
      <c r="AN247" s="7"/>
      <c r="AO247" s="176"/>
      <c r="AP247" s="176"/>
      <c r="AQ247" s="229"/>
      <c r="AR247" s="229"/>
      <c r="AS247" s="176"/>
      <c r="AT247" s="376"/>
      <c r="AU247" s="376"/>
      <c r="AV247" s="376"/>
      <c r="AW247" s="376"/>
      <c r="AX247" s="376"/>
      <c r="AY247" s="376"/>
      <c r="AZ247" s="382"/>
      <c r="BA247" s="176"/>
      <c r="BB247" s="91"/>
      <c r="BC247" s="91"/>
      <c r="BD247" s="380"/>
      <c r="BE247" s="380"/>
      <c r="BF247" s="383"/>
      <c r="BG247" s="384"/>
      <c r="BH247" s="383"/>
      <c r="BI247" s="385"/>
      <c r="BJ247" s="386"/>
      <c r="BK247" s="386"/>
      <c r="BL247" s="386"/>
      <c r="BM247" s="387"/>
      <c r="BN247" s="387"/>
      <c r="BO247" s="387"/>
      <c r="BP247" s="388"/>
      <c r="BQ247" s="389"/>
      <c r="BR247" s="117"/>
      <c r="BS247" s="324"/>
      <c r="BT247" s="324"/>
      <c r="BU247" s="117"/>
    </row>
    <row r="248">
      <c r="A248" s="7"/>
      <c r="B248" s="176"/>
      <c r="C248" s="230"/>
      <c r="D248" s="230"/>
      <c r="E248" s="371"/>
      <c r="F248" s="91"/>
      <c r="G248" s="230"/>
      <c r="H248" s="176"/>
      <c r="I248" s="7"/>
      <c r="J248" s="230"/>
      <c r="K248" s="176"/>
      <c r="L248" s="176"/>
      <c r="M248" s="7"/>
      <c r="N248" s="372"/>
      <c r="O248" s="373"/>
      <c r="P248" s="374"/>
      <c r="Q248" s="375"/>
      <c r="R248" s="375"/>
      <c r="S248" s="376"/>
      <c r="T248" s="377"/>
      <c r="U248" s="377"/>
      <c r="V248" s="377"/>
      <c r="W248" s="377"/>
      <c r="X248" s="229"/>
      <c r="Y248" s="176"/>
      <c r="Z248" s="229"/>
      <c r="AA248" s="229"/>
      <c r="AB248" s="82"/>
      <c r="AC248" s="82"/>
      <c r="AD248" s="378"/>
      <c r="AE248" s="379"/>
      <c r="AF248" s="380"/>
      <c r="AG248" s="380"/>
      <c r="AH248" s="7"/>
      <c r="AI248" s="7"/>
      <c r="AJ248" s="381"/>
      <c r="AK248" s="7"/>
      <c r="AL248" s="7"/>
      <c r="AM248" s="7"/>
      <c r="AN248" s="7"/>
      <c r="AO248" s="176"/>
      <c r="AP248" s="176"/>
      <c r="AQ248" s="229"/>
      <c r="AR248" s="229"/>
      <c r="AS248" s="176"/>
      <c r="AT248" s="376"/>
      <c r="AU248" s="376"/>
      <c r="AV248" s="376"/>
      <c r="AW248" s="376"/>
      <c r="AX248" s="376"/>
      <c r="AY248" s="376"/>
      <c r="AZ248" s="382"/>
      <c r="BA248" s="176"/>
      <c r="BB248" s="91"/>
      <c r="BC248" s="91"/>
      <c r="BD248" s="380"/>
      <c r="BE248" s="380"/>
      <c r="BF248" s="383"/>
      <c r="BG248" s="384"/>
      <c r="BH248" s="383"/>
      <c r="BI248" s="385"/>
      <c r="BJ248" s="386"/>
      <c r="BK248" s="386"/>
      <c r="BL248" s="386"/>
      <c r="BM248" s="387"/>
      <c r="BN248" s="387"/>
      <c r="BO248" s="387"/>
      <c r="BP248" s="388"/>
      <c r="BQ248" s="389"/>
      <c r="BR248" s="117"/>
      <c r="BS248" s="324"/>
      <c r="BT248" s="324"/>
      <c r="BU248" s="117"/>
    </row>
    <row r="249">
      <c r="A249" s="7"/>
      <c r="B249" s="176"/>
      <c r="C249" s="230"/>
      <c r="D249" s="230"/>
      <c r="E249" s="371"/>
      <c r="F249" s="91"/>
      <c r="G249" s="230"/>
      <c r="H249" s="176"/>
      <c r="I249" s="7"/>
      <c r="J249" s="230"/>
      <c r="K249" s="176"/>
      <c r="L249" s="176"/>
      <c r="M249" s="7"/>
      <c r="N249" s="372"/>
      <c r="O249" s="373"/>
      <c r="P249" s="374"/>
      <c r="Q249" s="375"/>
      <c r="R249" s="375"/>
      <c r="S249" s="376"/>
      <c r="T249" s="377"/>
      <c r="U249" s="377"/>
      <c r="V249" s="377"/>
      <c r="W249" s="377"/>
      <c r="X249" s="229"/>
      <c r="Y249" s="176"/>
      <c r="Z249" s="229"/>
      <c r="AA249" s="229"/>
      <c r="AB249" s="82"/>
      <c r="AC249" s="82"/>
      <c r="AD249" s="378"/>
      <c r="AE249" s="379"/>
      <c r="AF249" s="380"/>
      <c r="AG249" s="380"/>
      <c r="AH249" s="7"/>
      <c r="AI249" s="7"/>
      <c r="AJ249" s="381"/>
      <c r="AK249" s="7"/>
      <c r="AL249" s="7"/>
      <c r="AM249" s="7"/>
      <c r="AN249" s="7"/>
      <c r="AO249" s="176"/>
      <c r="AP249" s="176"/>
      <c r="AQ249" s="229"/>
      <c r="AR249" s="229"/>
      <c r="AS249" s="176"/>
      <c r="AT249" s="376"/>
      <c r="AU249" s="376"/>
      <c r="AV249" s="376"/>
      <c r="AW249" s="376"/>
      <c r="AX249" s="376"/>
      <c r="AY249" s="376"/>
      <c r="AZ249" s="382"/>
      <c r="BA249" s="176"/>
      <c r="BB249" s="91"/>
      <c r="BC249" s="91"/>
      <c r="BD249" s="380"/>
      <c r="BE249" s="380"/>
      <c r="BF249" s="383"/>
      <c r="BG249" s="384"/>
      <c r="BH249" s="383"/>
      <c r="BI249" s="385"/>
      <c r="BJ249" s="386"/>
      <c r="BK249" s="386"/>
      <c r="BL249" s="386"/>
      <c r="BM249" s="387"/>
      <c r="BN249" s="387"/>
      <c r="BO249" s="387"/>
      <c r="BP249" s="388"/>
      <c r="BQ249" s="389"/>
      <c r="BR249" s="117"/>
      <c r="BS249" s="324"/>
      <c r="BT249" s="324"/>
      <c r="BU249" s="117"/>
    </row>
    <row r="250">
      <c r="A250" s="7"/>
      <c r="B250" s="176"/>
      <c r="C250" s="230"/>
      <c r="D250" s="230"/>
      <c r="E250" s="371"/>
      <c r="F250" s="91"/>
      <c r="G250" s="230"/>
      <c r="H250" s="176"/>
      <c r="I250" s="7"/>
      <c r="J250" s="230"/>
      <c r="K250" s="176"/>
      <c r="L250" s="176"/>
      <c r="M250" s="7"/>
      <c r="N250" s="372"/>
      <c r="O250" s="373"/>
      <c r="P250" s="374"/>
      <c r="Q250" s="375"/>
      <c r="R250" s="375"/>
      <c r="S250" s="376"/>
      <c r="T250" s="377"/>
      <c r="U250" s="377"/>
      <c r="V250" s="377"/>
      <c r="W250" s="377"/>
      <c r="X250" s="229"/>
      <c r="Y250" s="176"/>
      <c r="Z250" s="229"/>
      <c r="AA250" s="229"/>
      <c r="AB250" s="82"/>
      <c r="AC250" s="82"/>
      <c r="AD250" s="378"/>
      <c r="AE250" s="379"/>
      <c r="AF250" s="380"/>
      <c r="AG250" s="380"/>
      <c r="AH250" s="7"/>
      <c r="AI250" s="7"/>
      <c r="AJ250" s="381"/>
      <c r="AK250" s="7"/>
      <c r="AL250" s="7"/>
      <c r="AM250" s="7"/>
      <c r="AN250" s="7"/>
      <c r="AO250" s="176"/>
      <c r="AP250" s="176"/>
      <c r="AQ250" s="229"/>
      <c r="AR250" s="229"/>
      <c r="AS250" s="176"/>
      <c r="AT250" s="376"/>
      <c r="AU250" s="376"/>
      <c r="AV250" s="376"/>
      <c r="AW250" s="376"/>
      <c r="AX250" s="376"/>
      <c r="AY250" s="376"/>
      <c r="AZ250" s="382"/>
      <c r="BA250" s="176"/>
      <c r="BB250" s="91"/>
      <c r="BC250" s="91"/>
      <c r="BD250" s="380"/>
      <c r="BE250" s="380"/>
      <c r="BF250" s="383"/>
      <c r="BG250" s="384"/>
      <c r="BH250" s="383"/>
      <c r="BI250" s="385"/>
      <c r="BJ250" s="386"/>
      <c r="BK250" s="386"/>
      <c r="BL250" s="386"/>
      <c r="BM250" s="387"/>
      <c r="BN250" s="387"/>
      <c r="BO250" s="387"/>
      <c r="BP250" s="388"/>
      <c r="BQ250" s="389"/>
      <c r="BR250" s="117"/>
      <c r="BS250" s="324"/>
      <c r="BT250" s="324"/>
      <c r="BU250" s="117"/>
    </row>
    <row r="251">
      <c r="A251" s="7"/>
      <c r="B251" s="176"/>
      <c r="C251" s="230"/>
      <c r="D251" s="230"/>
      <c r="E251" s="371"/>
      <c r="F251" s="91"/>
      <c r="G251" s="230"/>
      <c r="H251" s="176"/>
      <c r="I251" s="7"/>
      <c r="J251" s="230"/>
      <c r="K251" s="176"/>
      <c r="L251" s="176"/>
      <c r="M251" s="7"/>
      <c r="N251" s="372"/>
      <c r="O251" s="373"/>
      <c r="P251" s="374"/>
      <c r="Q251" s="375"/>
      <c r="R251" s="375"/>
      <c r="S251" s="376"/>
      <c r="T251" s="377"/>
      <c r="U251" s="377"/>
      <c r="V251" s="377"/>
      <c r="W251" s="377"/>
      <c r="X251" s="229"/>
      <c r="Y251" s="176"/>
      <c r="Z251" s="229"/>
      <c r="AA251" s="229"/>
      <c r="AB251" s="82"/>
      <c r="AC251" s="82"/>
      <c r="AD251" s="378"/>
      <c r="AE251" s="379"/>
      <c r="AF251" s="380"/>
      <c r="AG251" s="380"/>
      <c r="AH251" s="7"/>
      <c r="AI251" s="7"/>
      <c r="AJ251" s="381"/>
      <c r="AK251" s="7"/>
      <c r="AL251" s="7"/>
      <c r="AM251" s="7"/>
      <c r="AN251" s="7"/>
      <c r="AO251" s="176"/>
      <c r="AP251" s="176"/>
      <c r="AQ251" s="229"/>
      <c r="AR251" s="229"/>
      <c r="AS251" s="176"/>
      <c r="AT251" s="376"/>
      <c r="AU251" s="376"/>
      <c r="AV251" s="376"/>
      <c r="AW251" s="376"/>
      <c r="AX251" s="376"/>
      <c r="AY251" s="376"/>
      <c r="AZ251" s="382"/>
      <c r="BA251" s="176"/>
      <c r="BB251" s="91"/>
      <c r="BC251" s="91"/>
      <c r="BD251" s="380"/>
      <c r="BE251" s="380"/>
      <c r="BF251" s="383"/>
      <c r="BG251" s="384"/>
      <c r="BH251" s="383"/>
      <c r="BI251" s="385"/>
      <c r="BJ251" s="386"/>
      <c r="BK251" s="386"/>
      <c r="BL251" s="386"/>
      <c r="BM251" s="387"/>
      <c r="BN251" s="387"/>
      <c r="BO251" s="387"/>
      <c r="BP251" s="388"/>
      <c r="BQ251" s="389"/>
      <c r="BR251" s="117"/>
      <c r="BS251" s="324"/>
      <c r="BT251" s="324"/>
      <c r="BU251" s="117"/>
    </row>
    <row r="252">
      <c r="A252" s="7"/>
      <c r="B252" s="176"/>
      <c r="C252" s="230"/>
      <c r="D252" s="230"/>
      <c r="E252" s="371"/>
      <c r="F252" s="91"/>
      <c r="G252" s="230"/>
      <c r="H252" s="176"/>
      <c r="I252" s="7"/>
      <c r="J252" s="230"/>
      <c r="K252" s="176"/>
      <c r="L252" s="176"/>
      <c r="M252" s="7"/>
      <c r="N252" s="372"/>
      <c r="O252" s="373"/>
      <c r="P252" s="374"/>
      <c r="Q252" s="375"/>
      <c r="R252" s="375"/>
      <c r="S252" s="376"/>
      <c r="T252" s="377"/>
      <c r="U252" s="377"/>
      <c r="V252" s="377"/>
      <c r="W252" s="377"/>
      <c r="X252" s="229"/>
      <c r="Y252" s="176"/>
      <c r="Z252" s="229"/>
      <c r="AA252" s="229"/>
      <c r="AB252" s="82"/>
      <c r="AC252" s="82"/>
      <c r="AD252" s="378"/>
      <c r="AE252" s="379"/>
      <c r="AF252" s="380"/>
      <c r="AG252" s="380"/>
      <c r="AH252" s="7"/>
      <c r="AI252" s="7"/>
      <c r="AJ252" s="381"/>
      <c r="AK252" s="7"/>
      <c r="AL252" s="7"/>
      <c r="AM252" s="7"/>
      <c r="AN252" s="7"/>
      <c r="AO252" s="176"/>
      <c r="AP252" s="176"/>
      <c r="AQ252" s="229"/>
      <c r="AR252" s="229"/>
      <c r="AS252" s="176"/>
      <c r="AT252" s="376"/>
      <c r="AU252" s="376"/>
      <c r="AV252" s="376"/>
      <c r="AW252" s="376"/>
      <c r="AX252" s="376"/>
      <c r="AY252" s="376"/>
      <c r="AZ252" s="382"/>
      <c r="BA252" s="176"/>
      <c r="BB252" s="91"/>
      <c r="BC252" s="91"/>
      <c r="BD252" s="380"/>
      <c r="BE252" s="380"/>
      <c r="BF252" s="383"/>
      <c r="BG252" s="384"/>
      <c r="BH252" s="383"/>
      <c r="BI252" s="385"/>
      <c r="BJ252" s="386"/>
      <c r="BK252" s="386"/>
      <c r="BL252" s="386"/>
      <c r="BM252" s="387"/>
      <c r="BN252" s="387"/>
      <c r="BO252" s="387"/>
      <c r="BP252" s="388"/>
      <c r="BQ252" s="389"/>
      <c r="BR252" s="117"/>
      <c r="BS252" s="324"/>
      <c r="BT252" s="324"/>
      <c r="BU252" s="117"/>
    </row>
    <row r="253">
      <c r="A253" s="7"/>
      <c r="B253" s="176"/>
      <c r="C253" s="230"/>
      <c r="D253" s="230"/>
      <c r="E253" s="371"/>
      <c r="F253" s="91"/>
      <c r="G253" s="230"/>
      <c r="H253" s="176"/>
      <c r="I253" s="7"/>
      <c r="J253" s="230"/>
      <c r="K253" s="176"/>
      <c r="L253" s="176"/>
      <c r="M253" s="7"/>
      <c r="N253" s="372"/>
      <c r="O253" s="373"/>
      <c r="P253" s="374"/>
      <c r="Q253" s="375"/>
      <c r="R253" s="375"/>
      <c r="S253" s="376"/>
      <c r="T253" s="377"/>
      <c r="U253" s="377"/>
      <c r="V253" s="377"/>
      <c r="W253" s="377"/>
      <c r="X253" s="229"/>
      <c r="Y253" s="176"/>
      <c r="Z253" s="229"/>
      <c r="AA253" s="229"/>
      <c r="AB253" s="82"/>
      <c r="AC253" s="82"/>
      <c r="AD253" s="378"/>
      <c r="AE253" s="379"/>
      <c r="AF253" s="380"/>
      <c r="AG253" s="380"/>
      <c r="AH253" s="7"/>
      <c r="AI253" s="7"/>
      <c r="AJ253" s="381"/>
      <c r="AK253" s="7"/>
      <c r="AL253" s="7"/>
      <c r="AM253" s="7"/>
      <c r="AN253" s="7"/>
      <c r="AO253" s="176"/>
      <c r="AP253" s="176"/>
      <c r="AQ253" s="229"/>
      <c r="AR253" s="229"/>
      <c r="AS253" s="176"/>
      <c r="AT253" s="376"/>
      <c r="AU253" s="376"/>
      <c r="AV253" s="376"/>
      <c r="AW253" s="376"/>
      <c r="AX253" s="376"/>
      <c r="AY253" s="376"/>
      <c r="AZ253" s="382"/>
      <c r="BA253" s="176"/>
      <c r="BB253" s="91"/>
      <c r="BC253" s="91"/>
      <c r="BD253" s="380"/>
      <c r="BE253" s="380"/>
      <c r="BF253" s="383"/>
      <c r="BG253" s="384"/>
      <c r="BH253" s="383"/>
      <c r="BI253" s="385"/>
      <c r="BJ253" s="386"/>
      <c r="BK253" s="386"/>
      <c r="BL253" s="386"/>
      <c r="BM253" s="387"/>
      <c r="BN253" s="387"/>
      <c r="BO253" s="387"/>
      <c r="BP253" s="388"/>
      <c r="BQ253" s="389"/>
      <c r="BR253" s="117"/>
      <c r="BS253" s="324"/>
      <c r="BT253" s="324"/>
      <c r="BU253" s="117"/>
    </row>
    <row r="254">
      <c r="A254" s="7"/>
      <c r="B254" s="176"/>
      <c r="C254" s="230"/>
      <c r="D254" s="230"/>
      <c r="E254" s="371"/>
      <c r="F254" s="91"/>
      <c r="G254" s="230"/>
      <c r="H254" s="176"/>
      <c r="I254" s="7"/>
      <c r="J254" s="230"/>
      <c r="K254" s="176"/>
      <c r="L254" s="176"/>
      <c r="M254" s="7"/>
      <c r="N254" s="372"/>
      <c r="O254" s="373"/>
      <c r="P254" s="374"/>
      <c r="Q254" s="375"/>
      <c r="R254" s="375"/>
      <c r="S254" s="376"/>
      <c r="T254" s="377"/>
      <c r="U254" s="377"/>
      <c r="V254" s="377"/>
      <c r="W254" s="377"/>
      <c r="X254" s="229"/>
      <c r="Y254" s="176"/>
      <c r="Z254" s="229"/>
      <c r="AA254" s="229"/>
      <c r="AB254" s="82"/>
      <c r="AC254" s="82"/>
      <c r="AD254" s="378"/>
      <c r="AE254" s="379"/>
      <c r="AF254" s="380"/>
      <c r="AG254" s="380"/>
      <c r="AH254" s="7"/>
      <c r="AI254" s="7"/>
      <c r="AJ254" s="381"/>
      <c r="AK254" s="7"/>
      <c r="AL254" s="7"/>
      <c r="AM254" s="7"/>
      <c r="AN254" s="7"/>
      <c r="AO254" s="176"/>
      <c r="AP254" s="176"/>
      <c r="AQ254" s="229"/>
      <c r="AR254" s="229"/>
      <c r="AS254" s="176"/>
      <c r="AT254" s="376"/>
      <c r="AU254" s="376"/>
      <c r="AV254" s="376"/>
      <c r="AW254" s="376"/>
      <c r="AX254" s="376"/>
      <c r="AY254" s="376"/>
      <c r="AZ254" s="382"/>
      <c r="BA254" s="176"/>
      <c r="BB254" s="91"/>
      <c r="BC254" s="91"/>
      <c r="BD254" s="380"/>
      <c r="BE254" s="380"/>
      <c r="BF254" s="383"/>
      <c r="BG254" s="384"/>
      <c r="BH254" s="383"/>
      <c r="BI254" s="385"/>
      <c r="BJ254" s="386"/>
      <c r="BK254" s="386"/>
      <c r="BL254" s="386"/>
      <c r="BM254" s="387"/>
      <c r="BN254" s="387"/>
      <c r="BO254" s="387"/>
      <c r="BP254" s="388"/>
      <c r="BQ254" s="389"/>
      <c r="BR254" s="117"/>
      <c r="BS254" s="324"/>
      <c r="BT254" s="324"/>
      <c r="BU254" s="117"/>
    </row>
    <row r="255">
      <c r="A255" s="7"/>
      <c r="B255" s="176"/>
      <c r="C255" s="230"/>
      <c r="D255" s="230"/>
      <c r="E255" s="371"/>
      <c r="F255" s="91"/>
      <c r="G255" s="230"/>
      <c r="H255" s="176"/>
      <c r="I255" s="7"/>
      <c r="J255" s="230"/>
      <c r="K255" s="176"/>
      <c r="L255" s="176"/>
      <c r="M255" s="7"/>
      <c r="N255" s="372"/>
      <c r="O255" s="373"/>
      <c r="P255" s="374"/>
      <c r="Q255" s="375"/>
      <c r="R255" s="375"/>
      <c r="S255" s="376"/>
      <c r="T255" s="377"/>
      <c r="U255" s="377"/>
      <c r="V255" s="377"/>
      <c r="W255" s="377"/>
      <c r="X255" s="229"/>
      <c r="Y255" s="176"/>
      <c r="Z255" s="229"/>
      <c r="AA255" s="229"/>
      <c r="AB255" s="82"/>
      <c r="AC255" s="82"/>
      <c r="AD255" s="378"/>
      <c r="AE255" s="379"/>
      <c r="AF255" s="380"/>
      <c r="AG255" s="380"/>
      <c r="AH255" s="7"/>
      <c r="AI255" s="7"/>
      <c r="AJ255" s="381"/>
      <c r="AK255" s="7"/>
      <c r="AL255" s="7"/>
      <c r="AM255" s="7"/>
      <c r="AN255" s="7"/>
      <c r="AO255" s="176"/>
      <c r="AP255" s="176"/>
      <c r="AQ255" s="229"/>
      <c r="AR255" s="229"/>
      <c r="AS255" s="176"/>
      <c r="AT255" s="376"/>
      <c r="AU255" s="376"/>
      <c r="AV255" s="376"/>
      <c r="AW255" s="376"/>
      <c r="AX255" s="376"/>
      <c r="AY255" s="376"/>
      <c r="AZ255" s="382"/>
      <c r="BA255" s="176"/>
      <c r="BB255" s="91"/>
      <c r="BC255" s="91"/>
      <c r="BD255" s="380"/>
      <c r="BE255" s="380"/>
      <c r="BF255" s="383"/>
      <c r="BG255" s="384"/>
      <c r="BH255" s="383"/>
      <c r="BI255" s="385"/>
      <c r="BJ255" s="386"/>
      <c r="BK255" s="386"/>
      <c r="BL255" s="386"/>
      <c r="BM255" s="387"/>
      <c r="BN255" s="387"/>
      <c r="BO255" s="387"/>
      <c r="BP255" s="388"/>
      <c r="BQ255" s="389"/>
      <c r="BR255" s="117"/>
      <c r="BS255" s="324"/>
      <c r="BT255" s="324"/>
      <c r="BU255" s="117"/>
    </row>
    <row r="256">
      <c r="A256" s="7"/>
      <c r="B256" s="176"/>
      <c r="C256" s="230"/>
      <c r="D256" s="230"/>
      <c r="E256" s="371"/>
      <c r="F256" s="91"/>
      <c r="G256" s="230"/>
      <c r="H256" s="176"/>
      <c r="I256" s="7"/>
      <c r="J256" s="230"/>
      <c r="K256" s="176"/>
      <c r="L256" s="176"/>
      <c r="M256" s="7"/>
      <c r="N256" s="372"/>
      <c r="O256" s="373"/>
      <c r="P256" s="374"/>
      <c r="Q256" s="375"/>
      <c r="R256" s="375"/>
      <c r="S256" s="376"/>
      <c r="T256" s="377"/>
      <c r="U256" s="377"/>
      <c r="V256" s="377"/>
      <c r="W256" s="377"/>
      <c r="X256" s="229"/>
      <c r="Y256" s="176"/>
      <c r="Z256" s="229"/>
      <c r="AA256" s="229"/>
      <c r="AB256" s="82"/>
      <c r="AC256" s="82"/>
      <c r="AD256" s="378"/>
      <c r="AE256" s="379"/>
      <c r="AF256" s="380"/>
      <c r="AG256" s="380"/>
      <c r="AH256" s="7"/>
      <c r="AI256" s="7"/>
      <c r="AJ256" s="381"/>
      <c r="AK256" s="7"/>
      <c r="AL256" s="7"/>
      <c r="AM256" s="7"/>
      <c r="AN256" s="7"/>
      <c r="AO256" s="176"/>
      <c r="AP256" s="176"/>
      <c r="AQ256" s="229"/>
      <c r="AR256" s="229"/>
      <c r="AS256" s="176"/>
      <c r="AT256" s="376"/>
      <c r="AU256" s="376"/>
      <c r="AV256" s="376"/>
      <c r="AW256" s="376"/>
      <c r="AX256" s="376"/>
      <c r="AY256" s="376"/>
      <c r="AZ256" s="382"/>
      <c r="BA256" s="176"/>
      <c r="BB256" s="91"/>
      <c r="BC256" s="91"/>
      <c r="BD256" s="380"/>
      <c r="BE256" s="380"/>
      <c r="BF256" s="383"/>
      <c r="BG256" s="384"/>
      <c r="BH256" s="383"/>
      <c r="BI256" s="385"/>
      <c r="BJ256" s="386"/>
      <c r="BK256" s="386"/>
      <c r="BL256" s="386"/>
      <c r="BM256" s="387"/>
      <c r="BN256" s="387"/>
      <c r="BO256" s="387"/>
      <c r="BP256" s="388"/>
      <c r="BQ256" s="389"/>
      <c r="BR256" s="117"/>
      <c r="BS256" s="324"/>
      <c r="BT256" s="324"/>
      <c r="BU256" s="117"/>
    </row>
    <row r="257">
      <c r="A257" s="7"/>
      <c r="B257" s="176"/>
      <c r="C257" s="230"/>
      <c r="D257" s="230"/>
      <c r="E257" s="371"/>
      <c r="F257" s="91"/>
      <c r="G257" s="230"/>
      <c r="H257" s="176"/>
      <c r="I257" s="7"/>
      <c r="J257" s="230"/>
      <c r="K257" s="176"/>
      <c r="L257" s="176"/>
      <c r="M257" s="7"/>
      <c r="N257" s="372"/>
      <c r="O257" s="373"/>
      <c r="P257" s="374"/>
      <c r="Q257" s="375"/>
      <c r="R257" s="375"/>
      <c r="S257" s="376"/>
      <c r="T257" s="377"/>
      <c r="U257" s="377"/>
      <c r="V257" s="377"/>
      <c r="W257" s="377"/>
      <c r="X257" s="229"/>
      <c r="Y257" s="176"/>
      <c r="Z257" s="229"/>
      <c r="AA257" s="229"/>
      <c r="AB257" s="82"/>
      <c r="AC257" s="82"/>
      <c r="AD257" s="378"/>
      <c r="AE257" s="379"/>
      <c r="AF257" s="380"/>
      <c r="AG257" s="380"/>
      <c r="AH257" s="7"/>
      <c r="AI257" s="7"/>
      <c r="AJ257" s="381"/>
      <c r="AK257" s="7"/>
      <c r="AL257" s="7"/>
      <c r="AM257" s="7"/>
      <c r="AN257" s="7"/>
      <c r="AO257" s="176"/>
      <c r="AP257" s="176"/>
      <c r="AQ257" s="229"/>
      <c r="AR257" s="229"/>
      <c r="AS257" s="176"/>
      <c r="AT257" s="376"/>
      <c r="AU257" s="376"/>
      <c r="AV257" s="376"/>
      <c r="AW257" s="376"/>
      <c r="AX257" s="376"/>
      <c r="AY257" s="376"/>
      <c r="AZ257" s="382"/>
      <c r="BA257" s="176"/>
      <c r="BB257" s="91"/>
      <c r="BC257" s="91"/>
      <c r="BD257" s="380"/>
      <c r="BE257" s="380"/>
      <c r="BF257" s="383"/>
      <c r="BG257" s="384"/>
      <c r="BH257" s="383"/>
      <c r="BI257" s="385"/>
      <c r="BJ257" s="386"/>
      <c r="BK257" s="386"/>
      <c r="BL257" s="386"/>
      <c r="BM257" s="387"/>
      <c r="BN257" s="387"/>
      <c r="BO257" s="387"/>
      <c r="BP257" s="388"/>
      <c r="BQ257" s="389"/>
      <c r="BR257" s="117"/>
      <c r="BS257" s="324"/>
      <c r="BT257" s="324"/>
      <c r="BU257" s="117"/>
    </row>
    <row r="258">
      <c r="A258" s="7"/>
      <c r="B258" s="176"/>
      <c r="C258" s="230"/>
      <c r="D258" s="230"/>
      <c r="E258" s="371"/>
      <c r="F258" s="91"/>
      <c r="G258" s="230"/>
      <c r="H258" s="176"/>
      <c r="I258" s="7"/>
      <c r="J258" s="230"/>
      <c r="K258" s="176"/>
      <c r="L258" s="176"/>
      <c r="M258" s="7"/>
      <c r="N258" s="372"/>
      <c r="O258" s="373"/>
      <c r="P258" s="374"/>
      <c r="Q258" s="375"/>
      <c r="R258" s="375"/>
      <c r="S258" s="376"/>
      <c r="T258" s="377"/>
      <c r="U258" s="377"/>
      <c r="V258" s="377"/>
      <c r="W258" s="377"/>
      <c r="X258" s="229"/>
      <c r="Y258" s="176"/>
      <c r="Z258" s="229"/>
      <c r="AA258" s="229"/>
      <c r="AB258" s="82"/>
      <c r="AC258" s="82"/>
      <c r="AD258" s="378"/>
      <c r="AE258" s="379"/>
      <c r="AF258" s="380"/>
      <c r="AG258" s="380"/>
      <c r="AH258" s="7"/>
      <c r="AI258" s="7"/>
      <c r="AJ258" s="381"/>
      <c r="AK258" s="7"/>
      <c r="AL258" s="7"/>
      <c r="AM258" s="7"/>
      <c r="AN258" s="7"/>
      <c r="AO258" s="176"/>
      <c r="AP258" s="176"/>
      <c r="AQ258" s="229"/>
      <c r="AR258" s="229"/>
      <c r="AS258" s="176"/>
      <c r="AT258" s="376"/>
      <c r="AU258" s="376"/>
      <c r="AV258" s="376"/>
      <c r="AW258" s="376"/>
      <c r="AX258" s="376"/>
      <c r="AY258" s="376"/>
      <c r="AZ258" s="382"/>
      <c r="BA258" s="176"/>
      <c r="BB258" s="91"/>
      <c r="BC258" s="91"/>
      <c r="BD258" s="380"/>
      <c r="BE258" s="380"/>
      <c r="BF258" s="383"/>
      <c r="BG258" s="384"/>
      <c r="BH258" s="383"/>
      <c r="BI258" s="385"/>
      <c r="BJ258" s="386"/>
      <c r="BK258" s="386"/>
      <c r="BL258" s="386"/>
      <c r="BM258" s="387"/>
      <c r="BN258" s="387"/>
      <c r="BO258" s="387"/>
      <c r="BP258" s="388"/>
      <c r="BQ258" s="389"/>
      <c r="BR258" s="117"/>
      <c r="BS258" s="324"/>
      <c r="BT258" s="324"/>
      <c r="BU258" s="117"/>
    </row>
    <row r="259">
      <c r="A259" s="7"/>
      <c r="B259" s="176"/>
      <c r="C259" s="230"/>
      <c r="D259" s="230"/>
      <c r="E259" s="371"/>
      <c r="F259" s="91"/>
      <c r="G259" s="230"/>
      <c r="H259" s="176"/>
      <c r="I259" s="7"/>
      <c r="J259" s="230"/>
      <c r="K259" s="176"/>
      <c r="L259" s="176"/>
      <c r="M259" s="7"/>
      <c r="N259" s="372"/>
      <c r="O259" s="373"/>
      <c r="P259" s="374"/>
      <c r="Q259" s="375"/>
      <c r="R259" s="375"/>
      <c r="S259" s="376"/>
      <c r="T259" s="377"/>
      <c r="U259" s="377"/>
      <c r="V259" s="377"/>
      <c r="W259" s="377"/>
      <c r="X259" s="229"/>
      <c r="Y259" s="176"/>
      <c r="Z259" s="229"/>
      <c r="AA259" s="229"/>
      <c r="AB259" s="82"/>
      <c r="AC259" s="82"/>
      <c r="AD259" s="378"/>
      <c r="AE259" s="379"/>
      <c r="AF259" s="380"/>
      <c r="AG259" s="380"/>
      <c r="AH259" s="7"/>
      <c r="AI259" s="7"/>
      <c r="AJ259" s="381"/>
      <c r="AK259" s="7"/>
      <c r="AL259" s="7"/>
      <c r="AM259" s="7"/>
      <c r="AN259" s="7"/>
      <c r="AO259" s="176"/>
      <c r="AP259" s="176"/>
      <c r="AQ259" s="229"/>
      <c r="AR259" s="229"/>
      <c r="AS259" s="176"/>
      <c r="AT259" s="376"/>
      <c r="AU259" s="376"/>
      <c r="AV259" s="376"/>
      <c r="AW259" s="376"/>
      <c r="AX259" s="376"/>
      <c r="AY259" s="376"/>
      <c r="AZ259" s="382"/>
      <c r="BA259" s="176"/>
      <c r="BB259" s="91"/>
      <c r="BC259" s="91"/>
      <c r="BD259" s="380"/>
      <c r="BE259" s="380"/>
      <c r="BF259" s="383"/>
      <c r="BG259" s="384"/>
      <c r="BH259" s="383"/>
      <c r="BI259" s="385"/>
      <c r="BJ259" s="386"/>
      <c r="BK259" s="386"/>
      <c r="BL259" s="386"/>
      <c r="BM259" s="387"/>
      <c r="BN259" s="387"/>
      <c r="BO259" s="387"/>
      <c r="BP259" s="388"/>
      <c r="BQ259" s="389"/>
      <c r="BR259" s="117"/>
      <c r="BS259" s="324"/>
      <c r="BT259" s="324"/>
      <c r="BU259" s="117"/>
    </row>
    <row r="260">
      <c r="A260" s="7"/>
      <c r="B260" s="176"/>
      <c r="C260" s="230"/>
      <c r="D260" s="230"/>
      <c r="E260" s="371"/>
      <c r="F260" s="91"/>
      <c r="G260" s="230"/>
      <c r="H260" s="176"/>
      <c r="I260" s="7"/>
      <c r="J260" s="230"/>
      <c r="K260" s="176"/>
      <c r="L260" s="176"/>
      <c r="M260" s="7"/>
      <c r="N260" s="372"/>
      <c r="O260" s="373"/>
      <c r="P260" s="374"/>
      <c r="Q260" s="375"/>
      <c r="R260" s="375"/>
      <c r="S260" s="376"/>
      <c r="T260" s="377"/>
      <c r="U260" s="377"/>
      <c r="V260" s="377"/>
      <c r="W260" s="377"/>
      <c r="X260" s="229"/>
      <c r="Y260" s="176"/>
      <c r="Z260" s="229"/>
      <c r="AA260" s="229"/>
      <c r="AB260" s="82"/>
      <c r="AC260" s="82"/>
      <c r="AD260" s="378"/>
      <c r="AE260" s="379"/>
      <c r="AF260" s="380"/>
      <c r="AG260" s="380"/>
      <c r="AH260" s="7"/>
      <c r="AI260" s="7"/>
      <c r="AJ260" s="381"/>
      <c r="AK260" s="7"/>
      <c r="AL260" s="7"/>
      <c r="AM260" s="7"/>
      <c r="AN260" s="7"/>
      <c r="AO260" s="176"/>
      <c r="AP260" s="176"/>
      <c r="AQ260" s="229"/>
      <c r="AR260" s="229"/>
      <c r="AS260" s="176"/>
      <c r="AT260" s="376"/>
      <c r="AU260" s="376"/>
      <c r="AV260" s="376"/>
      <c r="AW260" s="376"/>
      <c r="AX260" s="376"/>
      <c r="AY260" s="376"/>
      <c r="AZ260" s="382"/>
      <c r="BA260" s="176"/>
      <c r="BB260" s="91"/>
      <c r="BC260" s="91"/>
      <c r="BD260" s="380"/>
      <c r="BE260" s="380"/>
      <c r="BF260" s="383"/>
      <c r="BG260" s="384"/>
      <c r="BH260" s="383"/>
      <c r="BI260" s="385"/>
      <c r="BJ260" s="386"/>
      <c r="BK260" s="386"/>
      <c r="BL260" s="386"/>
      <c r="BM260" s="387"/>
      <c r="BN260" s="387"/>
      <c r="BO260" s="387"/>
      <c r="BP260" s="388"/>
      <c r="BQ260" s="389"/>
      <c r="BR260" s="117"/>
      <c r="BS260" s="324"/>
      <c r="BT260" s="324"/>
      <c r="BU260" s="117"/>
    </row>
    <row r="261">
      <c r="A261" s="7"/>
      <c r="B261" s="176"/>
      <c r="C261" s="230"/>
      <c r="D261" s="230"/>
      <c r="E261" s="371"/>
      <c r="F261" s="91"/>
      <c r="G261" s="230"/>
      <c r="H261" s="176"/>
      <c r="I261" s="7"/>
      <c r="J261" s="230"/>
      <c r="K261" s="176"/>
      <c r="L261" s="176"/>
      <c r="M261" s="7"/>
      <c r="N261" s="372"/>
      <c r="O261" s="373"/>
      <c r="P261" s="374"/>
      <c r="Q261" s="375"/>
      <c r="R261" s="375"/>
      <c r="S261" s="376"/>
      <c r="T261" s="377"/>
      <c r="U261" s="377"/>
      <c r="V261" s="377"/>
      <c r="W261" s="377"/>
      <c r="X261" s="229"/>
      <c r="Y261" s="176"/>
      <c r="Z261" s="229"/>
      <c r="AA261" s="229"/>
      <c r="AB261" s="82"/>
      <c r="AC261" s="82"/>
      <c r="AD261" s="378"/>
      <c r="AE261" s="379"/>
      <c r="AF261" s="380"/>
      <c r="AG261" s="380"/>
      <c r="AH261" s="7"/>
      <c r="AI261" s="7"/>
      <c r="AJ261" s="381"/>
      <c r="AK261" s="7"/>
      <c r="AL261" s="7"/>
      <c r="AM261" s="7"/>
      <c r="AN261" s="7"/>
      <c r="AO261" s="176"/>
      <c r="AP261" s="176"/>
      <c r="AQ261" s="229"/>
      <c r="AR261" s="229"/>
      <c r="AS261" s="176"/>
      <c r="AT261" s="376"/>
      <c r="AU261" s="376"/>
      <c r="AV261" s="376"/>
      <c r="AW261" s="376"/>
      <c r="AX261" s="376"/>
      <c r="AY261" s="376"/>
      <c r="AZ261" s="382"/>
      <c r="BA261" s="176"/>
      <c r="BB261" s="91"/>
      <c r="BC261" s="91"/>
      <c r="BD261" s="380"/>
      <c r="BE261" s="380"/>
      <c r="BF261" s="383"/>
      <c r="BG261" s="384"/>
      <c r="BH261" s="383"/>
      <c r="BI261" s="385"/>
      <c r="BJ261" s="386"/>
      <c r="BK261" s="386"/>
      <c r="BL261" s="386"/>
      <c r="BM261" s="387"/>
      <c r="BN261" s="387"/>
      <c r="BO261" s="387"/>
      <c r="BP261" s="388"/>
      <c r="BQ261" s="389"/>
      <c r="BR261" s="117"/>
      <c r="BS261" s="324"/>
      <c r="BT261" s="324"/>
      <c r="BU261" s="117"/>
    </row>
    <row r="262">
      <c r="A262" s="7"/>
      <c r="B262" s="176"/>
      <c r="C262" s="230"/>
      <c r="D262" s="230"/>
      <c r="E262" s="371"/>
      <c r="F262" s="91"/>
      <c r="G262" s="230"/>
      <c r="H262" s="176"/>
      <c r="I262" s="7"/>
      <c r="J262" s="230"/>
      <c r="K262" s="176"/>
      <c r="L262" s="176"/>
      <c r="M262" s="7"/>
      <c r="N262" s="372"/>
      <c r="O262" s="373"/>
      <c r="P262" s="374"/>
      <c r="Q262" s="375"/>
      <c r="R262" s="375"/>
      <c r="S262" s="376"/>
      <c r="T262" s="377"/>
      <c r="U262" s="377"/>
      <c r="V262" s="377"/>
      <c r="W262" s="377"/>
      <c r="X262" s="229"/>
      <c r="Y262" s="176"/>
      <c r="Z262" s="229"/>
      <c r="AA262" s="229"/>
      <c r="AB262" s="82"/>
      <c r="AC262" s="82"/>
      <c r="AD262" s="378"/>
      <c r="AE262" s="379"/>
      <c r="AF262" s="380"/>
      <c r="AG262" s="380"/>
      <c r="AH262" s="7"/>
      <c r="AI262" s="7"/>
      <c r="AJ262" s="381"/>
      <c r="AK262" s="7"/>
      <c r="AL262" s="7"/>
      <c r="AM262" s="7"/>
      <c r="AN262" s="7"/>
      <c r="AO262" s="176"/>
      <c r="AP262" s="176"/>
      <c r="AQ262" s="229"/>
      <c r="AR262" s="229"/>
      <c r="AS262" s="176"/>
      <c r="AT262" s="376"/>
      <c r="AU262" s="376"/>
      <c r="AV262" s="376"/>
      <c r="AW262" s="376"/>
      <c r="AX262" s="376"/>
      <c r="AY262" s="376"/>
      <c r="AZ262" s="382"/>
      <c r="BA262" s="176"/>
      <c r="BB262" s="91"/>
      <c r="BC262" s="91"/>
      <c r="BD262" s="380"/>
      <c r="BE262" s="380"/>
      <c r="BF262" s="383"/>
      <c r="BG262" s="384"/>
      <c r="BH262" s="383"/>
      <c r="BI262" s="385"/>
      <c r="BJ262" s="386"/>
      <c r="BK262" s="386"/>
      <c r="BL262" s="386"/>
      <c r="BM262" s="387"/>
      <c r="BN262" s="387"/>
      <c r="BO262" s="387"/>
      <c r="BP262" s="388"/>
      <c r="BQ262" s="389"/>
      <c r="BR262" s="117"/>
      <c r="BS262" s="324"/>
      <c r="BT262" s="324"/>
      <c r="BU262" s="117"/>
    </row>
    <row r="263">
      <c r="A263" s="7"/>
      <c r="B263" s="176"/>
      <c r="C263" s="230"/>
      <c r="D263" s="230"/>
      <c r="E263" s="371"/>
      <c r="F263" s="91"/>
      <c r="G263" s="230"/>
      <c r="H263" s="176"/>
      <c r="I263" s="7"/>
      <c r="J263" s="230"/>
      <c r="K263" s="176"/>
      <c r="L263" s="176"/>
      <c r="M263" s="7"/>
      <c r="N263" s="372"/>
      <c r="O263" s="373"/>
      <c r="P263" s="374"/>
      <c r="Q263" s="375"/>
      <c r="R263" s="375"/>
      <c r="S263" s="376"/>
      <c r="T263" s="377"/>
      <c r="U263" s="377"/>
      <c r="V263" s="377"/>
      <c r="W263" s="377"/>
      <c r="X263" s="229"/>
      <c r="Y263" s="176"/>
      <c r="Z263" s="229"/>
      <c r="AA263" s="229"/>
      <c r="AB263" s="82"/>
      <c r="AC263" s="82"/>
      <c r="AD263" s="378"/>
      <c r="AE263" s="379"/>
      <c r="AF263" s="380"/>
      <c r="AG263" s="380"/>
      <c r="AH263" s="7"/>
      <c r="AI263" s="7"/>
      <c r="AJ263" s="381"/>
      <c r="AK263" s="7"/>
      <c r="AL263" s="7"/>
      <c r="AM263" s="7"/>
      <c r="AN263" s="7"/>
      <c r="AO263" s="176"/>
      <c r="AP263" s="176"/>
      <c r="AQ263" s="229"/>
      <c r="AR263" s="229"/>
      <c r="AS263" s="176"/>
      <c r="AT263" s="376"/>
      <c r="AU263" s="376"/>
      <c r="AV263" s="376"/>
      <c r="AW263" s="376"/>
      <c r="AX263" s="376"/>
      <c r="AY263" s="376"/>
      <c r="AZ263" s="382"/>
      <c r="BA263" s="176"/>
      <c r="BB263" s="91"/>
      <c r="BC263" s="91"/>
      <c r="BD263" s="380"/>
      <c r="BE263" s="380"/>
      <c r="BF263" s="383"/>
      <c r="BG263" s="384"/>
      <c r="BH263" s="383"/>
      <c r="BI263" s="385"/>
      <c r="BJ263" s="386"/>
      <c r="BK263" s="386"/>
      <c r="BL263" s="386"/>
      <c r="BM263" s="387"/>
      <c r="BN263" s="387"/>
      <c r="BO263" s="387"/>
      <c r="BP263" s="388"/>
      <c r="BQ263" s="389"/>
      <c r="BR263" s="117"/>
      <c r="BS263" s="324"/>
      <c r="BT263" s="324"/>
      <c r="BU263" s="117"/>
    </row>
    <row r="264">
      <c r="A264" s="7"/>
      <c r="B264" s="176"/>
      <c r="C264" s="230"/>
      <c r="D264" s="230"/>
      <c r="E264" s="371"/>
      <c r="F264" s="91"/>
      <c r="G264" s="230"/>
      <c r="H264" s="176"/>
      <c r="I264" s="7"/>
      <c r="J264" s="230"/>
      <c r="K264" s="176"/>
      <c r="L264" s="176"/>
      <c r="M264" s="7"/>
      <c r="N264" s="372"/>
      <c r="O264" s="373"/>
      <c r="P264" s="374"/>
      <c r="Q264" s="375"/>
      <c r="R264" s="375"/>
      <c r="S264" s="376"/>
      <c r="T264" s="377"/>
      <c r="U264" s="377"/>
      <c r="V264" s="377"/>
      <c r="W264" s="377"/>
      <c r="X264" s="229"/>
      <c r="Y264" s="176"/>
      <c r="Z264" s="229"/>
      <c r="AA264" s="229"/>
      <c r="AB264" s="82"/>
      <c r="AC264" s="82"/>
      <c r="AD264" s="378"/>
      <c r="AE264" s="379"/>
      <c r="AF264" s="380"/>
      <c r="AG264" s="380"/>
      <c r="AH264" s="7"/>
      <c r="AI264" s="7"/>
      <c r="AJ264" s="381"/>
      <c r="AK264" s="7"/>
      <c r="AL264" s="7"/>
      <c r="AM264" s="7"/>
      <c r="AN264" s="7"/>
      <c r="AO264" s="176"/>
      <c r="AP264" s="176"/>
      <c r="AQ264" s="229"/>
      <c r="AR264" s="229"/>
      <c r="AS264" s="176"/>
      <c r="AT264" s="376"/>
      <c r="AU264" s="376"/>
      <c r="AV264" s="376"/>
      <c r="AW264" s="376"/>
      <c r="AX264" s="376"/>
      <c r="AY264" s="376"/>
      <c r="AZ264" s="382"/>
      <c r="BA264" s="176"/>
      <c r="BB264" s="91"/>
      <c r="BC264" s="91"/>
      <c r="BD264" s="380"/>
      <c r="BE264" s="380"/>
      <c r="BF264" s="383"/>
      <c r="BG264" s="384"/>
      <c r="BH264" s="383"/>
      <c r="BI264" s="385"/>
      <c r="BJ264" s="386"/>
      <c r="BK264" s="386"/>
      <c r="BL264" s="386"/>
      <c r="BM264" s="387"/>
      <c r="BN264" s="387"/>
      <c r="BO264" s="387"/>
      <c r="BP264" s="388"/>
      <c r="BQ264" s="389"/>
      <c r="BR264" s="117"/>
      <c r="BS264" s="324"/>
      <c r="BT264" s="324"/>
      <c r="BU264" s="117"/>
    </row>
    <row r="265">
      <c r="A265" s="7"/>
      <c r="B265" s="176"/>
      <c r="C265" s="230"/>
      <c r="D265" s="230"/>
      <c r="E265" s="371"/>
      <c r="F265" s="91"/>
      <c r="G265" s="230"/>
      <c r="H265" s="176"/>
      <c r="I265" s="7"/>
      <c r="J265" s="230"/>
      <c r="K265" s="176"/>
      <c r="L265" s="176"/>
      <c r="M265" s="7"/>
      <c r="N265" s="372"/>
      <c r="O265" s="373"/>
      <c r="P265" s="374"/>
      <c r="Q265" s="375"/>
      <c r="R265" s="375"/>
      <c r="S265" s="376"/>
      <c r="T265" s="377"/>
      <c r="U265" s="377"/>
      <c r="V265" s="377"/>
      <c r="W265" s="377"/>
      <c r="X265" s="229"/>
      <c r="Y265" s="176"/>
      <c r="Z265" s="229"/>
      <c r="AA265" s="229"/>
      <c r="AB265" s="82"/>
      <c r="AC265" s="82"/>
      <c r="AD265" s="378"/>
      <c r="AE265" s="379"/>
      <c r="AF265" s="380"/>
      <c r="AG265" s="380"/>
      <c r="AH265" s="7"/>
      <c r="AI265" s="7"/>
      <c r="AJ265" s="381"/>
      <c r="AK265" s="7"/>
      <c r="AL265" s="7"/>
      <c r="AM265" s="7"/>
      <c r="AN265" s="7"/>
      <c r="AO265" s="176"/>
      <c r="AP265" s="176"/>
      <c r="AQ265" s="229"/>
      <c r="AR265" s="229"/>
      <c r="AS265" s="176"/>
      <c r="AT265" s="376"/>
      <c r="AU265" s="376"/>
      <c r="AV265" s="376"/>
      <c r="AW265" s="376"/>
      <c r="AX265" s="376"/>
      <c r="AY265" s="376"/>
      <c r="AZ265" s="382"/>
      <c r="BA265" s="176"/>
      <c r="BB265" s="91"/>
      <c r="BC265" s="91"/>
      <c r="BD265" s="380"/>
      <c r="BE265" s="380"/>
      <c r="BF265" s="383"/>
      <c r="BG265" s="384"/>
      <c r="BH265" s="383"/>
      <c r="BI265" s="385"/>
      <c r="BJ265" s="386"/>
      <c r="BK265" s="386"/>
      <c r="BL265" s="386"/>
      <c r="BM265" s="387"/>
      <c r="BN265" s="387"/>
      <c r="BO265" s="387"/>
      <c r="BP265" s="388"/>
      <c r="BQ265" s="389"/>
      <c r="BR265" s="117"/>
      <c r="BS265" s="324"/>
      <c r="BT265" s="324"/>
      <c r="BU265" s="117"/>
    </row>
    <row r="266">
      <c r="A266" s="7"/>
      <c r="B266" s="176"/>
      <c r="C266" s="230"/>
      <c r="D266" s="230"/>
      <c r="E266" s="371"/>
      <c r="F266" s="91"/>
      <c r="G266" s="230"/>
      <c r="H266" s="176"/>
      <c r="I266" s="7"/>
      <c r="J266" s="230"/>
      <c r="K266" s="176"/>
      <c r="L266" s="176"/>
      <c r="M266" s="7"/>
      <c r="N266" s="372"/>
      <c r="O266" s="373"/>
      <c r="P266" s="374"/>
      <c r="Q266" s="375"/>
      <c r="R266" s="375"/>
      <c r="S266" s="376"/>
      <c r="T266" s="377"/>
      <c r="U266" s="377"/>
      <c r="V266" s="377"/>
      <c r="W266" s="377"/>
      <c r="X266" s="229"/>
      <c r="Y266" s="176"/>
      <c r="Z266" s="229"/>
      <c r="AA266" s="229"/>
      <c r="AB266" s="82"/>
      <c r="AC266" s="82"/>
      <c r="AD266" s="378"/>
      <c r="AE266" s="379"/>
      <c r="AF266" s="380"/>
      <c r="AG266" s="380"/>
      <c r="AH266" s="7"/>
      <c r="AI266" s="7"/>
      <c r="AJ266" s="381"/>
      <c r="AK266" s="7"/>
      <c r="AL266" s="7"/>
      <c r="AM266" s="7"/>
      <c r="AN266" s="7"/>
      <c r="AO266" s="176"/>
      <c r="AP266" s="176"/>
      <c r="AQ266" s="229"/>
      <c r="AR266" s="229"/>
      <c r="AS266" s="176"/>
      <c r="AT266" s="376"/>
      <c r="AU266" s="376"/>
      <c r="AV266" s="376"/>
      <c r="AW266" s="376"/>
      <c r="AX266" s="376"/>
      <c r="AY266" s="376"/>
      <c r="AZ266" s="382"/>
      <c r="BA266" s="176"/>
      <c r="BB266" s="91"/>
      <c r="BC266" s="91"/>
      <c r="BD266" s="380"/>
      <c r="BE266" s="380"/>
      <c r="BF266" s="383"/>
      <c r="BG266" s="384"/>
      <c r="BH266" s="383"/>
      <c r="BI266" s="385"/>
      <c r="BJ266" s="386"/>
      <c r="BK266" s="386"/>
      <c r="BL266" s="386"/>
      <c r="BM266" s="387"/>
      <c r="BN266" s="387"/>
      <c r="BO266" s="387"/>
      <c r="BP266" s="388"/>
      <c r="BQ266" s="389"/>
      <c r="BR266" s="117"/>
      <c r="BS266" s="324"/>
      <c r="BT266" s="324"/>
      <c r="BU266" s="117"/>
    </row>
    <row r="267">
      <c r="A267" s="7"/>
      <c r="B267" s="176"/>
      <c r="C267" s="230"/>
      <c r="D267" s="230"/>
      <c r="E267" s="371"/>
      <c r="F267" s="91"/>
      <c r="G267" s="230"/>
      <c r="H267" s="176"/>
      <c r="I267" s="7"/>
      <c r="J267" s="230"/>
      <c r="K267" s="176"/>
      <c r="L267" s="176"/>
      <c r="M267" s="7"/>
      <c r="N267" s="372"/>
      <c r="O267" s="373"/>
      <c r="P267" s="374"/>
      <c r="Q267" s="375"/>
      <c r="R267" s="375"/>
      <c r="S267" s="376"/>
      <c r="T267" s="377"/>
      <c r="U267" s="377"/>
      <c r="V267" s="377"/>
      <c r="W267" s="377"/>
      <c r="X267" s="229"/>
      <c r="Y267" s="176"/>
      <c r="Z267" s="229"/>
      <c r="AA267" s="229"/>
      <c r="AB267" s="82"/>
      <c r="AC267" s="82"/>
      <c r="AD267" s="378"/>
      <c r="AE267" s="379"/>
      <c r="AF267" s="380"/>
      <c r="AG267" s="380"/>
      <c r="AH267" s="7"/>
      <c r="AI267" s="7"/>
      <c r="AJ267" s="381"/>
      <c r="AK267" s="7"/>
      <c r="AL267" s="7"/>
      <c r="AM267" s="7"/>
      <c r="AN267" s="7"/>
      <c r="AO267" s="176"/>
      <c r="AP267" s="176"/>
      <c r="AQ267" s="229"/>
      <c r="AR267" s="229"/>
      <c r="AS267" s="176"/>
      <c r="AT267" s="376"/>
      <c r="AU267" s="376"/>
      <c r="AV267" s="376"/>
      <c r="AW267" s="376"/>
      <c r="AX267" s="376"/>
      <c r="AY267" s="376"/>
      <c r="AZ267" s="382"/>
      <c r="BA267" s="176"/>
      <c r="BB267" s="91"/>
      <c r="BC267" s="91"/>
      <c r="BD267" s="380"/>
      <c r="BE267" s="380"/>
      <c r="BF267" s="383"/>
      <c r="BG267" s="384"/>
      <c r="BH267" s="383"/>
      <c r="BI267" s="385"/>
      <c r="BJ267" s="386"/>
      <c r="BK267" s="386"/>
      <c r="BL267" s="386"/>
      <c r="BM267" s="387"/>
      <c r="BN267" s="387"/>
      <c r="BO267" s="387"/>
      <c r="BP267" s="388"/>
      <c r="BQ267" s="389"/>
      <c r="BR267" s="117"/>
      <c r="BS267" s="324"/>
      <c r="BT267" s="324"/>
      <c r="BU267" s="117"/>
    </row>
    <row r="268">
      <c r="A268" s="7"/>
      <c r="B268" s="176"/>
      <c r="C268" s="230"/>
      <c r="D268" s="230"/>
      <c r="E268" s="371"/>
      <c r="F268" s="91"/>
      <c r="G268" s="230"/>
      <c r="H268" s="176"/>
      <c r="I268" s="7"/>
      <c r="J268" s="230"/>
      <c r="K268" s="176"/>
      <c r="L268" s="176"/>
      <c r="M268" s="7"/>
      <c r="N268" s="372"/>
      <c r="O268" s="373"/>
      <c r="P268" s="374"/>
      <c r="Q268" s="375"/>
      <c r="R268" s="375"/>
      <c r="S268" s="376"/>
      <c r="T268" s="377"/>
      <c r="U268" s="377"/>
      <c r="V268" s="377"/>
      <c r="W268" s="377"/>
      <c r="X268" s="229"/>
      <c r="Y268" s="176"/>
      <c r="Z268" s="229"/>
      <c r="AA268" s="229"/>
      <c r="AB268" s="82"/>
      <c r="AC268" s="82"/>
      <c r="AD268" s="378"/>
      <c r="AE268" s="379"/>
      <c r="AF268" s="380"/>
      <c r="AG268" s="380"/>
      <c r="AH268" s="7"/>
      <c r="AI268" s="7"/>
      <c r="AJ268" s="381"/>
      <c r="AK268" s="7"/>
      <c r="AL268" s="7"/>
      <c r="AM268" s="7"/>
      <c r="AN268" s="7"/>
      <c r="AO268" s="176"/>
      <c r="AP268" s="176"/>
      <c r="AQ268" s="229"/>
      <c r="AR268" s="229"/>
      <c r="AS268" s="176"/>
      <c r="AT268" s="376"/>
      <c r="AU268" s="376"/>
      <c r="AV268" s="376"/>
      <c r="AW268" s="376"/>
      <c r="AX268" s="376"/>
      <c r="AY268" s="376"/>
      <c r="AZ268" s="382"/>
      <c r="BA268" s="176"/>
      <c r="BB268" s="91"/>
      <c r="BC268" s="91"/>
      <c r="BD268" s="380"/>
      <c r="BE268" s="380"/>
      <c r="BF268" s="383"/>
      <c r="BG268" s="384"/>
      <c r="BH268" s="383"/>
      <c r="BI268" s="385"/>
      <c r="BJ268" s="386"/>
      <c r="BK268" s="386"/>
      <c r="BL268" s="386"/>
      <c r="BM268" s="387"/>
      <c r="BN268" s="387"/>
      <c r="BO268" s="387"/>
      <c r="BP268" s="388"/>
      <c r="BQ268" s="389"/>
      <c r="BR268" s="117"/>
      <c r="BS268" s="324"/>
      <c r="BT268" s="324"/>
      <c r="BU268" s="117"/>
    </row>
    <row r="269">
      <c r="A269" s="7"/>
      <c r="B269" s="176"/>
      <c r="C269" s="230"/>
      <c r="D269" s="230"/>
      <c r="E269" s="371"/>
      <c r="F269" s="91"/>
      <c r="G269" s="230"/>
      <c r="H269" s="176"/>
      <c r="I269" s="7"/>
      <c r="J269" s="230"/>
      <c r="K269" s="176"/>
      <c r="L269" s="176"/>
      <c r="M269" s="7"/>
      <c r="N269" s="372"/>
      <c r="O269" s="373"/>
      <c r="P269" s="374"/>
      <c r="Q269" s="375"/>
      <c r="R269" s="375"/>
      <c r="S269" s="376"/>
      <c r="T269" s="377"/>
      <c r="U269" s="377"/>
      <c r="V269" s="377"/>
      <c r="W269" s="377"/>
      <c r="X269" s="229"/>
      <c r="Y269" s="176"/>
      <c r="Z269" s="229"/>
      <c r="AA269" s="229"/>
      <c r="AB269" s="82"/>
      <c r="AC269" s="82"/>
      <c r="AD269" s="378"/>
      <c r="AE269" s="379"/>
      <c r="AF269" s="380"/>
      <c r="AG269" s="380"/>
      <c r="AH269" s="7"/>
      <c r="AI269" s="7"/>
      <c r="AJ269" s="381"/>
      <c r="AK269" s="7"/>
      <c r="AL269" s="7"/>
      <c r="AM269" s="7"/>
      <c r="AN269" s="7"/>
      <c r="AO269" s="176"/>
      <c r="AP269" s="176"/>
      <c r="AQ269" s="229"/>
      <c r="AR269" s="229"/>
      <c r="AS269" s="176"/>
      <c r="AT269" s="376"/>
      <c r="AU269" s="376"/>
      <c r="AV269" s="376"/>
      <c r="AW269" s="376"/>
      <c r="AX269" s="376"/>
      <c r="AY269" s="376"/>
      <c r="AZ269" s="382"/>
      <c r="BA269" s="176"/>
      <c r="BB269" s="91"/>
      <c r="BC269" s="91"/>
      <c r="BD269" s="380"/>
      <c r="BE269" s="380"/>
      <c r="BF269" s="383"/>
      <c r="BG269" s="384"/>
      <c r="BH269" s="383"/>
      <c r="BI269" s="385"/>
      <c r="BJ269" s="386"/>
      <c r="BK269" s="386"/>
      <c r="BL269" s="386"/>
      <c r="BM269" s="387"/>
      <c r="BN269" s="387"/>
      <c r="BO269" s="387"/>
      <c r="BP269" s="388"/>
      <c r="BQ269" s="389"/>
      <c r="BR269" s="117"/>
      <c r="BS269" s="324"/>
      <c r="BT269" s="324"/>
      <c r="BU269" s="117"/>
    </row>
    <row r="270">
      <c r="A270" s="7"/>
      <c r="B270" s="176"/>
      <c r="C270" s="230"/>
      <c r="D270" s="230"/>
      <c r="E270" s="371"/>
      <c r="F270" s="91"/>
      <c r="G270" s="230"/>
      <c r="H270" s="176"/>
      <c r="I270" s="7"/>
      <c r="J270" s="230"/>
      <c r="K270" s="176"/>
      <c r="L270" s="176"/>
      <c r="M270" s="7"/>
      <c r="N270" s="372"/>
      <c r="O270" s="373"/>
      <c r="P270" s="374"/>
      <c r="Q270" s="375"/>
      <c r="R270" s="375"/>
      <c r="S270" s="376"/>
      <c r="T270" s="377"/>
      <c r="U270" s="377"/>
      <c r="V270" s="377"/>
      <c r="W270" s="377"/>
      <c r="X270" s="229"/>
      <c r="Y270" s="176"/>
      <c r="Z270" s="229"/>
      <c r="AA270" s="229"/>
      <c r="AB270" s="82"/>
      <c r="AC270" s="82"/>
      <c r="AD270" s="378"/>
      <c r="AE270" s="379"/>
      <c r="AF270" s="380"/>
      <c r="AG270" s="380"/>
      <c r="AH270" s="7"/>
      <c r="AI270" s="7"/>
      <c r="AJ270" s="381"/>
      <c r="AK270" s="7"/>
      <c r="AL270" s="7"/>
      <c r="AM270" s="7"/>
      <c r="AN270" s="7"/>
      <c r="AO270" s="176"/>
      <c r="AP270" s="176"/>
      <c r="AQ270" s="229"/>
      <c r="AR270" s="229"/>
      <c r="AS270" s="176"/>
      <c r="AT270" s="376"/>
      <c r="AU270" s="376"/>
      <c r="AV270" s="376"/>
      <c r="AW270" s="376"/>
      <c r="AX270" s="376"/>
      <c r="AY270" s="376"/>
      <c r="AZ270" s="382"/>
      <c r="BA270" s="176"/>
      <c r="BB270" s="91"/>
      <c r="BC270" s="91"/>
      <c r="BD270" s="380"/>
      <c r="BE270" s="380"/>
      <c r="BF270" s="383"/>
      <c r="BG270" s="384"/>
      <c r="BH270" s="383"/>
      <c r="BI270" s="385"/>
      <c r="BJ270" s="386"/>
      <c r="BK270" s="386"/>
      <c r="BL270" s="386"/>
      <c r="BM270" s="387"/>
      <c r="BN270" s="387"/>
      <c r="BO270" s="387"/>
      <c r="BP270" s="388"/>
      <c r="BQ270" s="389"/>
      <c r="BR270" s="117"/>
      <c r="BS270" s="324"/>
      <c r="BT270" s="324"/>
      <c r="BU270" s="117"/>
    </row>
    <row r="271">
      <c r="A271" s="7"/>
      <c r="B271" s="176"/>
      <c r="C271" s="230"/>
      <c r="D271" s="230"/>
      <c r="E271" s="371"/>
      <c r="F271" s="91"/>
      <c r="G271" s="230"/>
      <c r="H271" s="176"/>
      <c r="I271" s="7"/>
      <c r="J271" s="230"/>
      <c r="K271" s="176"/>
      <c r="L271" s="176"/>
      <c r="M271" s="7"/>
      <c r="N271" s="372"/>
      <c r="O271" s="373"/>
      <c r="P271" s="374"/>
      <c r="Q271" s="375"/>
      <c r="R271" s="375"/>
      <c r="S271" s="376"/>
      <c r="T271" s="377"/>
      <c r="U271" s="377"/>
      <c r="V271" s="377"/>
      <c r="W271" s="377"/>
      <c r="X271" s="229"/>
      <c r="Y271" s="176"/>
      <c r="Z271" s="229"/>
      <c r="AA271" s="229"/>
      <c r="AB271" s="82"/>
      <c r="AC271" s="82"/>
      <c r="AD271" s="378"/>
      <c r="AE271" s="379"/>
      <c r="AF271" s="380"/>
      <c r="AG271" s="380"/>
      <c r="AH271" s="7"/>
      <c r="AI271" s="7"/>
      <c r="AJ271" s="381"/>
      <c r="AK271" s="7"/>
      <c r="AL271" s="7"/>
      <c r="AM271" s="7"/>
      <c r="AN271" s="7"/>
      <c r="AO271" s="176"/>
      <c r="AP271" s="176"/>
      <c r="AQ271" s="229"/>
      <c r="AR271" s="229"/>
      <c r="AS271" s="176"/>
      <c r="AT271" s="376"/>
      <c r="AU271" s="376"/>
      <c r="AV271" s="376"/>
      <c r="AW271" s="376"/>
      <c r="AX271" s="376"/>
      <c r="AY271" s="376"/>
      <c r="AZ271" s="382"/>
      <c r="BA271" s="176"/>
      <c r="BB271" s="91"/>
      <c r="BC271" s="91"/>
      <c r="BD271" s="380"/>
      <c r="BE271" s="380"/>
      <c r="BF271" s="383"/>
      <c r="BG271" s="384"/>
      <c r="BH271" s="383"/>
      <c r="BI271" s="385"/>
      <c r="BJ271" s="386"/>
      <c r="BK271" s="386"/>
      <c r="BL271" s="386"/>
      <c r="BM271" s="387"/>
      <c r="BN271" s="387"/>
      <c r="BO271" s="387"/>
      <c r="BP271" s="388"/>
      <c r="BQ271" s="389"/>
      <c r="BR271" s="117"/>
      <c r="BS271" s="324"/>
      <c r="BT271" s="324"/>
      <c r="BU271" s="117"/>
    </row>
    <row r="272">
      <c r="A272" s="7"/>
      <c r="B272" s="176"/>
      <c r="C272" s="230"/>
      <c r="D272" s="230"/>
      <c r="E272" s="371"/>
      <c r="F272" s="91"/>
      <c r="G272" s="230"/>
      <c r="H272" s="176"/>
      <c r="I272" s="7"/>
      <c r="J272" s="230"/>
      <c r="K272" s="176"/>
      <c r="L272" s="176"/>
      <c r="M272" s="7"/>
      <c r="N272" s="372"/>
      <c r="O272" s="373"/>
      <c r="P272" s="374"/>
      <c r="Q272" s="375"/>
      <c r="R272" s="375"/>
      <c r="S272" s="376"/>
      <c r="T272" s="377"/>
      <c r="U272" s="377"/>
      <c r="V272" s="377"/>
      <c r="W272" s="377"/>
      <c r="X272" s="229"/>
      <c r="Y272" s="176"/>
      <c r="Z272" s="229"/>
      <c r="AA272" s="229"/>
      <c r="AB272" s="82"/>
      <c r="AC272" s="82"/>
      <c r="AD272" s="378"/>
      <c r="AE272" s="379"/>
      <c r="AF272" s="380"/>
      <c r="AG272" s="380"/>
      <c r="AH272" s="7"/>
      <c r="AI272" s="7"/>
      <c r="AJ272" s="381"/>
      <c r="AK272" s="7"/>
      <c r="AL272" s="7"/>
      <c r="AM272" s="7"/>
      <c r="AN272" s="7"/>
      <c r="AO272" s="176"/>
      <c r="AP272" s="176"/>
      <c r="AQ272" s="229"/>
      <c r="AR272" s="229"/>
      <c r="AS272" s="176"/>
      <c r="AT272" s="376"/>
      <c r="AU272" s="376"/>
      <c r="AV272" s="376"/>
      <c r="AW272" s="376"/>
      <c r="AX272" s="376"/>
      <c r="AY272" s="376"/>
      <c r="AZ272" s="382"/>
      <c r="BA272" s="176"/>
      <c r="BB272" s="91"/>
      <c r="BC272" s="91"/>
      <c r="BD272" s="380"/>
      <c r="BE272" s="380"/>
      <c r="BF272" s="383"/>
      <c r="BG272" s="384"/>
      <c r="BH272" s="383"/>
      <c r="BI272" s="385"/>
      <c r="BJ272" s="386"/>
      <c r="BK272" s="386"/>
      <c r="BL272" s="386"/>
      <c r="BM272" s="387"/>
      <c r="BN272" s="387"/>
      <c r="BO272" s="387"/>
      <c r="BP272" s="388"/>
      <c r="BQ272" s="389"/>
      <c r="BR272" s="117"/>
      <c r="BS272" s="324"/>
      <c r="BT272" s="324"/>
      <c r="BU272" s="117"/>
    </row>
    <row r="273">
      <c r="A273" s="7"/>
      <c r="B273" s="176"/>
      <c r="C273" s="230"/>
      <c r="D273" s="230"/>
      <c r="E273" s="371"/>
      <c r="F273" s="91"/>
      <c r="G273" s="230"/>
      <c r="H273" s="176"/>
      <c r="I273" s="7"/>
      <c r="J273" s="230"/>
      <c r="K273" s="176"/>
      <c r="L273" s="176"/>
      <c r="M273" s="7"/>
      <c r="N273" s="372"/>
      <c r="O273" s="373"/>
      <c r="P273" s="374"/>
      <c r="Q273" s="375"/>
      <c r="R273" s="375"/>
      <c r="S273" s="376"/>
      <c r="T273" s="377"/>
      <c r="U273" s="377"/>
      <c r="V273" s="377"/>
      <c r="W273" s="377"/>
      <c r="X273" s="229"/>
      <c r="Y273" s="176"/>
      <c r="Z273" s="229"/>
      <c r="AA273" s="229"/>
      <c r="AB273" s="82"/>
      <c r="AC273" s="82"/>
      <c r="AD273" s="378"/>
      <c r="AE273" s="379"/>
      <c r="AF273" s="380"/>
      <c r="AG273" s="380"/>
      <c r="AH273" s="7"/>
      <c r="AI273" s="7"/>
      <c r="AJ273" s="381"/>
      <c r="AK273" s="7"/>
      <c r="AL273" s="7"/>
      <c r="AM273" s="7"/>
      <c r="AN273" s="7"/>
      <c r="AO273" s="176"/>
      <c r="AP273" s="176"/>
      <c r="AQ273" s="229"/>
      <c r="AR273" s="229"/>
      <c r="AS273" s="176"/>
      <c r="AT273" s="376"/>
      <c r="AU273" s="376"/>
      <c r="AV273" s="376"/>
      <c r="AW273" s="376"/>
      <c r="AX273" s="376"/>
      <c r="AY273" s="376"/>
      <c r="AZ273" s="382"/>
      <c r="BA273" s="176"/>
      <c r="BB273" s="91"/>
      <c r="BC273" s="91"/>
      <c r="BD273" s="380"/>
      <c r="BE273" s="380"/>
      <c r="BF273" s="383"/>
      <c r="BG273" s="384"/>
      <c r="BH273" s="383"/>
      <c r="BI273" s="385"/>
      <c r="BJ273" s="386"/>
      <c r="BK273" s="386"/>
      <c r="BL273" s="386"/>
      <c r="BM273" s="387"/>
      <c r="BN273" s="387"/>
      <c r="BO273" s="387"/>
      <c r="BP273" s="388"/>
      <c r="BQ273" s="389"/>
      <c r="BR273" s="117"/>
      <c r="BS273" s="324"/>
      <c r="BT273" s="324"/>
      <c r="BU273" s="117"/>
    </row>
    <row r="274">
      <c r="A274" s="7"/>
      <c r="B274" s="176"/>
      <c r="C274" s="230"/>
      <c r="D274" s="230"/>
      <c r="E274" s="371"/>
      <c r="F274" s="91"/>
      <c r="G274" s="230"/>
      <c r="H274" s="176"/>
      <c r="I274" s="7"/>
      <c r="J274" s="230"/>
      <c r="K274" s="176"/>
      <c r="L274" s="176"/>
      <c r="M274" s="7"/>
      <c r="N274" s="372"/>
      <c r="O274" s="373"/>
      <c r="P274" s="374"/>
      <c r="Q274" s="375"/>
      <c r="R274" s="375"/>
      <c r="S274" s="376"/>
      <c r="T274" s="377"/>
      <c r="U274" s="377"/>
      <c r="V274" s="377"/>
      <c r="W274" s="377"/>
      <c r="X274" s="229"/>
      <c r="Y274" s="176"/>
      <c r="Z274" s="229"/>
      <c r="AA274" s="229"/>
      <c r="AB274" s="82"/>
      <c r="AC274" s="82"/>
      <c r="AD274" s="378"/>
      <c r="AE274" s="379"/>
      <c r="AF274" s="380"/>
      <c r="AG274" s="380"/>
      <c r="AH274" s="7"/>
      <c r="AI274" s="7"/>
      <c r="AJ274" s="381"/>
      <c r="AK274" s="7"/>
      <c r="AL274" s="7"/>
      <c r="AM274" s="7"/>
      <c r="AN274" s="7"/>
      <c r="AO274" s="176"/>
      <c r="AP274" s="176"/>
      <c r="AQ274" s="229"/>
      <c r="AR274" s="229"/>
      <c r="AS274" s="176"/>
      <c r="AT274" s="376"/>
      <c r="AU274" s="376"/>
      <c r="AV274" s="376"/>
      <c r="AW274" s="376"/>
      <c r="AX274" s="376"/>
      <c r="AY274" s="376"/>
      <c r="AZ274" s="382"/>
      <c r="BA274" s="176"/>
      <c r="BB274" s="91"/>
      <c r="BC274" s="91"/>
      <c r="BD274" s="380"/>
      <c r="BE274" s="380"/>
      <c r="BF274" s="383"/>
      <c r="BG274" s="384"/>
      <c r="BH274" s="383"/>
      <c r="BI274" s="385"/>
      <c r="BJ274" s="386"/>
      <c r="BK274" s="386"/>
      <c r="BL274" s="386"/>
      <c r="BM274" s="387"/>
      <c r="BN274" s="387"/>
      <c r="BO274" s="387"/>
      <c r="BP274" s="388"/>
      <c r="BQ274" s="389"/>
      <c r="BR274" s="117"/>
      <c r="BS274" s="324"/>
      <c r="BT274" s="324"/>
      <c r="BU274" s="117"/>
    </row>
    <row r="275">
      <c r="A275" s="7"/>
      <c r="B275" s="176"/>
      <c r="C275" s="230"/>
      <c r="D275" s="230"/>
      <c r="E275" s="371"/>
      <c r="F275" s="91"/>
      <c r="G275" s="230"/>
      <c r="H275" s="176"/>
      <c r="I275" s="7"/>
      <c r="J275" s="230"/>
      <c r="K275" s="176"/>
      <c r="L275" s="176"/>
      <c r="M275" s="7"/>
      <c r="N275" s="372"/>
      <c r="O275" s="373"/>
      <c r="P275" s="374"/>
      <c r="Q275" s="375"/>
      <c r="R275" s="375"/>
      <c r="S275" s="376"/>
      <c r="T275" s="377"/>
      <c r="U275" s="377"/>
      <c r="V275" s="377"/>
      <c r="W275" s="377"/>
      <c r="X275" s="229"/>
      <c r="Y275" s="176"/>
      <c r="Z275" s="229"/>
      <c r="AA275" s="229"/>
      <c r="AB275" s="82"/>
      <c r="AC275" s="82"/>
      <c r="AD275" s="378"/>
      <c r="AE275" s="379"/>
      <c r="AF275" s="380"/>
      <c r="AG275" s="380"/>
      <c r="AH275" s="7"/>
      <c r="AI275" s="7"/>
      <c r="AJ275" s="381"/>
      <c r="AK275" s="7"/>
      <c r="AL275" s="7"/>
      <c r="AM275" s="7"/>
      <c r="AN275" s="7"/>
      <c r="AO275" s="176"/>
      <c r="AP275" s="176"/>
      <c r="AQ275" s="229"/>
      <c r="AR275" s="229"/>
      <c r="AS275" s="176"/>
      <c r="AT275" s="376"/>
      <c r="AU275" s="376"/>
      <c r="AV275" s="376"/>
      <c r="AW275" s="376"/>
      <c r="AX275" s="376"/>
      <c r="AY275" s="376"/>
      <c r="AZ275" s="382"/>
      <c r="BA275" s="176"/>
      <c r="BB275" s="91"/>
      <c r="BC275" s="91"/>
      <c r="BD275" s="380"/>
      <c r="BE275" s="380"/>
      <c r="BF275" s="383"/>
      <c r="BG275" s="384"/>
      <c r="BH275" s="383"/>
      <c r="BI275" s="385"/>
      <c r="BJ275" s="386"/>
      <c r="BK275" s="386"/>
      <c r="BL275" s="386"/>
      <c r="BM275" s="387"/>
      <c r="BN275" s="387"/>
      <c r="BO275" s="387"/>
      <c r="BP275" s="388"/>
      <c r="BQ275" s="389"/>
      <c r="BR275" s="117"/>
      <c r="BS275" s="324"/>
      <c r="BT275" s="324"/>
      <c r="BU275" s="117"/>
    </row>
    <row r="276">
      <c r="A276" s="7"/>
      <c r="B276" s="176"/>
      <c r="C276" s="230"/>
      <c r="D276" s="230"/>
      <c r="E276" s="371"/>
      <c r="F276" s="91"/>
      <c r="G276" s="230"/>
      <c r="H276" s="176"/>
      <c r="I276" s="7"/>
      <c r="J276" s="230"/>
      <c r="K276" s="176"/>
      <c r="L276" s="176"/>
      <c r="M276" s="7"/>
      <c r="N276" s="372"/>
      <c r="O276" s="373"/>
      <c r="P276" s="374"/>
      <c r="Q276" s="375"/>
      <c r="R276" s="375"/>
      <c r="S276" s="376"/>
      <c r="T276" s="377"/>
      <c r="U276" s="377"/>
      <c r="V276" s="377"/>
      <c r="W276" s="377"/>
      <c r="X276" s="229"/>
      <c r="Y276" s="176"/>
      <c r="Z276" s="229"/>
      <c r="AA276" s="229"/>
      <c r="AB276" s="82"/>
      <c r="AC276" s="82"/>
      <c r="AD276" s="378"/>
      <c r="AE276" s="379"/>
      <c r="AF276" s="380"/>
      <c r="AG276" s="380"/>
      <c r="AH276" s="7"/>
      <c r="AI276" s="7"/>
      <c r="AJ276" s="381"/>
      <c r="AK276" s="7"/>
      <c r="AL276" s="7"/>
      <c r="AM276" s="7"/>
      <c r="AN276" s="7"/>
      <c r="AO276" s="176"/>
      <c r="AP276" s="176"/>
      <c r="AQ276" s="229"/>
      <c r="AR276" s="229"/>
      <c r="AS276" s="176"/>
      <c r="AT276" s="376"/>
      <c r="AU276" s="376"/>
      <c r="AV276" s="376"/>
      <c r="AW276" s="376"/>
      <c r="AX276" s="376"/>
      <c r="AY276" s="376"/>
      <c r="AZ276" s="382"/>
      <c r="BA276" s="176"/>
      <c r="BB276" s="91"/>
      <c r="BC276" s="91"/>
      <c r="BD276" s="380"/>
      <c r="BE276" s="380"/>
      <c r="BF276" s="383"/>
      <c r="BG276" s="384"/>
      <c r="BH276" s="383"/>
      <c r="BI276" s="385"/>
      <c r="BJ276" s="386"/>
      <c r="BK276" s="386"/>
      <c r="BL276" s="386"/>
      <c r="BM276" s="387"/>
      <c r="BN276" s="387"/>
      <c r="BO276" s="387"/>
      <c r="BP276" s="388"/>
      <c r="BQ276" s="389"/>
      <c r="BR276" s="117"/>
      <c r="BS276" s="324"/>
      <c r="BT276" s="324"/>
      <c r="BU276" s="117"/>
    </row>
    <row r="277">
      <c r="A277" s="7"/>
      <c r="B277" s="176"/>
      <c r="C277" s="230"/>
      <c r="D277" s="230"/>
      <c r="E277" s="371"/>
      <c r="F277" s="91"/>
      <c r="G277" s="230"/>
      <c r="H277" s="176"/>
      <c r="I277" s="7"/>
      <c r="J277" s="230"/>
      <c r="K277" s="176"/>
      <c r="L277" s="176"/>
      <c r="M277" s="7"/>
      <c r="N277" s="372"/>
      <c r="O277" s="373"/>
      <c r="P277" s="374"/>
      <c r="Q277" s="375"/>
      <c r="R277" s="375"/>
      <c r="S277" s="376"/>
      <c r="T277" s="377"/>
      <c r="U277" s="377"/>
      <c r="V277" s="377"/>
      <c r="W277" s="377"/>
      <c r="X277" s="229"/>
      <c r="Y277" s="176"/>
      <c r="Z277" s="229"/>
      <c r="AA277" s="229"/>
      <c r="AB277" s="82"/>
      <c r="AC277" s="82"/>
      <c r="AD277" s="378"/>
      <c r="AE277" s="379"/>
      <c r="AF277" s="380"/>
      <c r="AG277" s="380"/>
      <c r="AH277" s="7"/>
      <c r="AI277" s="7"/>
      <c r="AJ277" s="381"/>
      <c r="AK277" s="7"/>
      <c r="AL277" s="7"/>
      <c r="AM277" s="7"/>
      <c r="AN277" s="7"/>
      <c r="AO277" s="176"/>
      <c r="AP277" s="176"/>
      <c r="AQ277" s="229"/>
      <c r="AR277" s="229"/>
      <c r="AS277" s="176"/>
      <c r="AT277" s="376"/>
      <c r="AU277" s="376"/>
      <c r="AV277" s="376"/>
      <c r="AW277" s="376"/>
      <c r="AX277" s="376"/>
      <c r="AY277" s="376"/>
      <c r="AZ277" s="382"/>
      <c r="BA277" s="176"/>
      <c r="BB277" s="91"/>
      <c r="BC277" s="91"/>
      <c r="BD277" s="380"/>
      <c r="BE277" s="380"/>
      <c r="BF277" s="383"/>
      <c r="BG277" s="384"/>
      <c r="BH277" s="383"/>
      <c r="BI277" s="385"/>
      <c r="BJ277" s="386"/>
      <c r="BK277" s="386"/>
      <c r="BL277" s="386"/>
      <c r="BM277" s="387"/>
      <c r="BN277" s="387"/>
      <c r="BO277" s="387"/>
      <c r="BP277" s="388"/>
      <c r="BQ277" s="389"/>
      <c r="BR277" s="117"/>
      <c r="BS277" s="324"/>
      <c r="BT277" s="324"/>
      <c r="BU277" s="117"/>
    </row>
    <row r="278">
      <c r="A278" s="7"/>
      <c r="B278" s="176"/>
      <c r="C278" s="230"/>
      <c r="D278" s="230"/>
      <c r="E278" s="371"/>
      <c r="F278" s="91"/>
      <c r="G278" s="230"/>
      <c r="H278" s="176"/>
      <c r="I278" s="7"/>
      <c r="J278" s="230"/>
      <c r="K278" s="176"/>
      <c r="L278" s="176"/>
      <c r="M278" s="7"/>
      <c r="N278" s="372"/>
      <c r="O278" s="373"/>
      <c r="P278" s="374"/>
      <c r="Q278" s="375"/>
      <c r="R278" s="375"/>
      <c r="S278" s="376"/>
      <c r="T278" s="377"/>
      <c r="U278" s="377"/>
      <c r="V278" s="377"/>
      <c r="W278" s="377"/>
      <c r="X278" s="229"/>
      <c r="Y278" s="176"/>
      <c r="Z278" s="229"/>
      <c r="AA278" s="229"/>
      <c r="AB278" s="82"/>
      <c r="AC278" s="82"/>
      <c r="AD278" s="378"/>
      <c r="AE278" s="379"/>
      <c r="AF278" s="380"/>
      <c r="AG278" s="380"/>
      <c r="AH278" s="7"/>
      <c r="AI278" s="7"/>
      <c r="AJ278" s="381"/>
      <c r="AK278" s="7"/>
      <c r="AL278" s="7"/>
      <c r="AM278" s="7"/>
      <c r="AN278" s="7"/>
      <c r="AO278" s="176"/>
      <c r="AP278" s="176"/>
      <c r="AQ278" s="229"/>
      <c r="AR278" s="229"/>
      <c r="AS278" s="176"/>
      <c r="AT278" s="376"/>
      <c r="AU278" s="376"/>
      <c r="AV278" s="376"/>
      <c r="AW278" s="376"/>
      <c r="AX278" s="376"/>
      <c r="AY278" s="376"/>
      <c r="AZ278" s="382"/>
      <c r="BA278" s="176"/>
      <c r="BB278" s="91"/>
      <c r="BC278" s="91"/>
      <c r="BD278" s="380"/>
      <c r="BE278" s="380"/>
      <c r="BF278" s="383"/>
      <c r="BG278" s="384"/>
      <c r="BH278" s="383"/>
      <c r="BI278" s="385"/>
      <c r="BJ278" s="386"/>
      <c r="BK278" s="386"/>
      <c r="BL278" s="386"/>
      <c r="BM278" s="387"/>
      <c r="BN278" s="387"/>
      <c r="BO278" s="387"/>
      <c r="BP278" s="388"/>
      <c r="BQ278" s="389"/>
      <c r="BR278" s="117"/>
      <c r="BS278" s="324"/>
      <c r="BT278" s="324"/>
      <c r="BU278" s="117"/>
    </row>
    <row r="279">
      <c r="A279" s="7"/>
      <c r="B279" s="176"/>
      <c r="C279" s="230"/>
      <c r="D279" s="230"/>
      <c r="E279" s="371"/>
      <c r="F279" s="91"/>
      <c r="G279" s="230"/>
      <c r="H279" s="176"/>
      <c r="I279" s="7"/>
      <c r="J279" s="230"/>
      <c r="K279" s="176"/>
      <c r="L279" s="176"/>
      <c r="M279" s="7"/>
      <c r="N279" s="372"/>
      <c r="O279" s="373"/>
      <c r="P279" s="374"/>
      <c r="Q279" s="375"/>
      <c r="R279" s="375"/>
      <c r="S279" s="376"/>
      <c r="T279" s="377"/>
      <c r="U279" s="377"/>
      <c r="V279" s="377"/>
      <c r="W279" s="377"/>
      <c r="X279" s="229"/>
      <c r="Y279" s="176"/>
      <c r="Z279" s="229"/>
      <c r="AA279" s="229"/>
      <c r="AB279" s="82"/>
      <c r="AC279" s="82"/>
      <c r="AD279" s="378"/>
      <c r="AE279" s="379"/>
      <c r="AF279" s="380"/>
      <c r="AG279" s="380"/>
      <c r="AH279" s="7"/>
      <c r="AI279" s="7"/>
      <c r="AJ279" s="381"/>
      <c r="AK279" s="7"/>
      <c r="AL279" s="7"/>
      <c r="AM279" s="7"/>
      <c r="AN279" s="7"/>
      <c r="AO279" s="176"/>
      <c r="AP279" s="176"/>
      <c r="AQ279" s="229"/>
      <c r="AR279" s="229"/>
      <c r="AS279" s="176"/>
      <c r="AT279" s="376"/>
      <c r="AU279" s="376"/>
      <c r="AV279" s="376"/>
      <c r="AW279" s="376"/>
      <c r="AX279" s="376"/>
      <c r="AY279" s="376"/>
      <c r="AZ279" s="382"/>
      <c r="BA279" s="176"/>
      <c r="BB279" s="91"/>
      <c r="BC279" s="91"/>
      <c r="BD279" s="380"/>
      <c r="BE279" s="380"/>
      <c r="BF279" s="383"/>
      <c r="BG279" s="384"/>
      <c r="BH279" s="383"/>
      <c r="BI279" s="385"/>
      <c r="BJ279" s="386"/>
      <c r="BK279" s="386"/>
      <c r="BL279" s="386"/>
      <c r="BM279" s="387"/>
      <c r="BN279" s="387"/>
      <c r="BO279" s="387"/>
      <c r="BP279" s="388"/>
      <c r="BQ279" s="389"/>
      <c r="BR279" s="117"/>
      <c r="BS279" s="324"/>
      <c r="BT279" s="324"/>
      <c r="BU279" s="117"/>
    </row>
    <row r="280">
      <c r="A280" s="7"/>
      <c r="B280" s="176"/>
      <c r="C280" s="230"/>
      <c r="D280" s="230"/>
      <c r="E280" s="371"/>
      <c r="F280" s="91"/>
      <c r="G280" s="230"/>
      <c r="H280" s="176"/>
      <c r="I280" s="7"/>
      <c r="J280" s="230"/>
      <c r="K280" s="176"/>
      <c r="L280" s="176"/>
      <c r="M280" s="7"/>
      <c r="N280" s="372"/>
      <c r="O280" s="373"/>
      <c r="P280" s="374"/>
      <c r="Q280" s="375"/>
      <c r="R280" s="375"/>
      <c r="S280" s="376"/>
      <c r="T280" s="377"/>
      <c r="U280" s="377"/>
      <c r="V280" s="377"/>
      <c r="W280" s="377"/>
      <c r="X280" s="229"/>
      <c r="Y280" s="176"/>
      <c r="Z280" s="229"/>
      <c r="AA280" s="229"/>
      <c r="AB280" s="82"/>
      <c r="AC280" s="82"/>
      <c r="AD280" s="378"/>
      <c r="AE280" s="379"/>
      <c r="AF280" s="380"/>
      <c r="AG280" s="380"/>
      <c r="AH280" s="7"/>
      <c r="AI280" s="7"/>
      <c r="AJ280" s="381"/>
      <c r="AK280" s="7"/>
      <c r="AL280" s="7"/>
      <c r="AM280" s="7"/>
      <c r="AN280" s="7"/>
      <c r="AO280" s="176"/>
      <c r="AP280" s="176"/>
      <c r="AQ280" s="229"/>
      <c r="AR280" s="229"/>
      <c r="AS280" s="176"/>
      <c r="AT280" s="376"/>
      <c r="AU280" s="376"/>
      <c r="AV280" s="376"/>
      <c r="AW280" s="376"/>
      <c r="AX280" s="376"/>
      <c r="AY280" s="376"/>
      <c r="AZ280" s="382"/>
      <c r="BA280" s="176"/>
      <c r="BB280" s="91"/>
      <c r="BC280" s="91"/>
      <c r="BD280" s="380"/>
      <c r="BE280" s="380"/>
      <c r="BF280" s="383"/>
      <c r="BG280" s="384"/>
      <c r="BH280" s="383"/>
      <c r="BI280" s="385"/>
      <c r="BJ280" s="386"/>
      <c r="BK280" s="386"/>
      <c r="BL280" s="386"/>
      <c r="BM280" s="387"/>
      <c r="BN280" s="387"/>
      <c r="BO280" s="387"/>
      <c r="BP280" s="388"/>
      <c r="BQ280" s="389"/>
      <c r="BR280" s="117"/>
      <c r="BS280" s="324"/>
      <c r="BT280" s="324"/>
      <c r="BU280" s="117"/>
    </row>
    <row r="281">
      <c r="A281" s="7"/>
      <c r="B281" s="176"/>
      <c r="C281" s="230"/>
      <c r="D281" s="230"/>
      <c r="E281" s="371"/>
      <c r="F281" s="91"/>
      <c r="G281" s="230"/>
      <c r="H281" s="176"/>
      <c r="I281" s="7"/>
      <c r="J281" s="230"/>
      <c r="K281" s="176"/>
      <c r="L281" s="176"/>
      <c r="M281" s="7"/>
      <c r="N281" s="372"/>
      <c r="O281" s="373"/>
      <c r="P281" s="374"/>
      <c r="Q281" s="375"/>
      <c r="R281" s="375"/>
      <c r="S281" s="376"/>
      <c r="T281" s="377"/>
      <c r="U281" s="377"/>
      <c r="V281" s="377"/>
      <c r="W281" s="377"/>
      <c r="X281" s="229"/>
      <c r="Y281" s="176"/>
      <c r="Z281" s="229"/>
      <c r="AA281" s="229"/>
      <c r="AB281" s="82"/>
      <c r="AC281" s="82"/>
      <c r="AD281" s="378"/>
      <c r="AE281" s="379"/>
      <c r="AF281" s="380"/>
      <c r="AG281" s="380"/>
      <c r="AH281" s="7"/>
      <c r="AI281" s="7"/>
      <c r="AJ281" s="381"/>
      <c r="AK281" s="7"/>
      <c r="AL281" s="7"/>
      <c r="AM281" s="7"/>
      <c r="AN281" s="7"/>
      <c r="AO281" s="176"/>
      <c r="AP281" s="176"/>
      <c r="AQ281" s="229"/>
      <c r="AR281" s="229"/>
      <c r="AS281" s="176"/>
      <c r="AT281" s="376"/>
      <c r="AU281" s="376"/>
      <c r="AV281" s="376"/>
      <c r="AW281" s="376"/>
      <c r="AX281" s="376"/>
      <c r="AY281" s="376"/>
      <c r="AZ281" s="382"/>
      <c r="BA281" s="176"/>
      <c r="BB281" s="91"/>
      <c r="BC281" s="91"/>
      <c r="BD281" s="380"/>
      <c r="BE281" s="380"/>
      <c r="BF281" s="383"/>
      <c r="BG281" s="384"/>
      <c r="BH281" s="383"/>
      <c r="BI281" s="385"/>
      <c r="BJ281" s="386"/>
      <c r="BK281" s="386"/>
      <c r="BL281" s="386"/>
      <c r="BM281" s="387"/>
      <c r="BN281" s="387"/>
      <c r="BO281" s="387"/>
      <c r="BP281" s="388"/>
      <c r="BQ281" s="389"/>
      <c r="BR281" s="117"/>
      <c r="BS281" s="324"/>
      <c r="BT281" s="324"/>
      <c r="BU281" s="117"/>
    </row>
    <row r="282">
      <c r="A282" s="7"/>
      <c r="B282" s="176"/>
      <c r="C282" s="230"/>
      <c r="D282" s="230"/>
      <c r="E282" s="371"/>
      <c r="F282" s="91"/>
      <c r="G282" s="230"/>
      <c r="H282" s="176"/>
      <c r="I282" s="7"/>
      <c r="J282" s="230"/>
      <c r="K282" s="176"/>
      <c r="L282" s="176"/>
      <c r="M282" s="7"/>
      <c r="N282" s="372"/>
      <c r="O282" s="373"/>
      <c r="P282" s="374"/>
      <c r="Q282" s="375"/>
      <c r="R282" s="375"/>
      <c r="S282" s="376"/>
      <c r="T282" s="377"/>
      <c r="U282" s="377"/>
      <c r="V282" s="377"/>
      <c r="W282" s="377"/>
      <c r="X282" s="229"/>
      <c r="Y282" s="176"/>
      <c r="Z282" s="229"/>
      <c r="AA282" s="229"/>
      <c r="AB282" s="82"/>
      <c r="AC282" s="82"/>
      <c r="AD282" s="378"/>
      <c r="AE282" s="379"/>
      <c r="AF282" s="380"/>
      <c r="AG282" s="380"/>
      <c r="AH282" s="7"/>
      <c r="AI282" s="7"/>
      <c r="AJ282" s="381"/>
      <c r="AK282" s="7"/>
      <c r="AL282" s="7"/>
      <c r="AM282" s="7"/>
      <c r="AN282" s="7"/>
      <c r="AO282" s="176"/>
      <c r="AP282" s="176"/>
      <c r="AQ282" s="229"/>
      <c r="AR282" s="229"/>
      <c r="AS282" s="176"/>
      <c r="AT282" s="376"/>
      <c r="AU282" s="376"/>
      <c r="AV282" s="376"/>
      <c r="AW282" s="376"/>
      <c r="AX282" s="376"/>
      <c r="AY282" s="376"/>
      <c r="AZ282" s="382"/>
      <c r="BA282" s="176"/>
      <c r="BB282" s="91"/>
      <c r="BC282" s="91"/>
      <c r="BD282" s="380"/>
      <c r="BE282" s="380"/>
      <c r="BF282" s="383"/>
      <c r="BG282" s="384"/>
      <c r="BH282" s="383"/>
      <c r="BI282" s="385"/>
      <c r="BJ282" s="386"/>
      <c r="BK282" s="386"/>
      <c r="BL282" s="386"/>
      <c r="BM282" s="387"/>
      <c r="BN282" s="387"/>
      <c r="BO282" s="387"/>
      <c r="BP282" s="388"/>
      <c r="BQ282" s="389"/>
      <c r="BR282" s="117"/>
      <c r="BS282" s="324"/>
      <c r="BT282" s="324"/>
      <c r="BU282" s="117"/>
    </row>
    <row r="283">
      <c r="A283" s="7"/>
      <c r="B283" s="176"/>
      <c r="C283" s="230"/>
      <c r="D283" s="230"/>
      <c r="E283" s="371"/>
      <c r="F283" s="91"/>
      <c r="G283" s="230"/>
      <c r="H283" s="176"/>
      <c r="I283" s="7"/>
      <c r="J283" s="230"/>
      <c r="K283" s="176"/>
      <c r="L283" s="176"/>
      <c r="M283" s="7"/>
      <c r="N283" s="372"/>
      <c r="O283" s="373"/>
      <c r="P283" s="374"/>
      <c r="Q283" s="375"/>
      <c r="R283" s="375"/>
      <c r="S283" s="376"/>
      <c r="T283" s="377"/>
      <c r="U283" s="377"/>
      <c r="V283" s="377"/>
      <c r="W283" s="377"/>
      <c r="X283" s="229"/>
      <c r="Y283" s="176"/>
      <c r="Z283" s="229"/>
      <c r="AA283" s="229"/>
      <c r="AB283" s="82"/>
      <c r="AC283" s="82"/>
      <c r="AD283" s="378"/>
      <c r="AE283" s="379"/>
      <c r="AF283" s="380"/>
      <c r="AG283" s="380"/>
      <c r="AH283" s="7"/>
      <c r="AI283" s="7"/>
      <c r="AJ283" s="381"/>
      <c r="AK283" s="7"/>
      <c r="AL283" s="7"/>
      <c r="AM283" s="7"/>
      <c r="AN283" s="7"/>
      <c r="AO283" s="176"/>
      <c r="AP283" s="176"/>
      <c r="AQ283" s="229"/>
      <c r="AR283" s="229"/>
      <c r="AS283" s="176"/>
      <c r="AT283" s="376"/>
      <c r="AU283" s="376"/>
      <c r="AV283" s="376"/>
      <c r="AW283" s="376"/>
      <c r="AX283" s="376"/>
      <c r="AY283" s="376"/>
      <c r="AZ283" s="382"/>
      <c r="BA283" s="176"/>
      <c r="BB283" s="91"/>
      <c r="BC283" s="91"/>
      <c r="BD283" s="380"/>
      <c r="BE283" s="380"/>
      <c r="BF283" s="383"/>
      <c r="BG283" s="384"/>
      <c r="BH283" s="383"/>
      <c r="BI283" s="385"/>
      <c r="BJ283" s="386"/>
      <c r="BK283" s="386"/>
      <c r="BL283" s="386"/>
      <c r="BM283" s="387"/>
      <c r="BN283" s="387"/>
      <c r="BO283" s="387"/>
      <c r="BP283" s="388"/>
      <c r="BQ283" s="389"/>
      <c r="BR283" s="117"/>
      <c r="BS283" s="324"/>
      <c r="BT283" s="324"/>
      <c r="BU283" s="117"/>
    </row>
    <row r="284">
      <c r="A284" s="7"/>
      <c r="B284" s="176"/>
      <c r="C284" s="230"/>
      <c r="D284" s="230"/>
      <c r="E284" s="371"/>
      <c r="F284" s="91"/>
      <c r="G284" s="230"/>
      <c r="H284" s="176"/>
      <c r="I284" s="7"/>
      <c r="J284" s="230"/>
      <c r="K284" s="176"/>
      <c r="L284" s="176"/>
      <c r="M284" s="7"/>
      <c r="N284" s="372"/>
      <c r="O284" s="373"/>
      <c r="P284" s="374"/>
      <c r="Q284" s="375"/>
      <c r="R284" s="375"/>
      <c r="S284" s="376"/>
      <c r="T284" s="377"/>
      <c r="U284" s="377"/>
      <c r="V284" s="377"/>
      <c r="W284" s="377"/>
      <c r="X284" s="229"/>
      <c r="Y284" s="176"/>
      <c r="Z284" s="229"/>
      <c r="AA284" s="229"/>
      <c r="AB284" s="82"/>
      <c r="AC284" s="82"/>
      <c r="AD284" s="378"/>
      <c r="AE284" s="379"/>
      <c r="AF284" s="380"/>
      <c r="AG284" s="380"/>
      <c r="AH284" s="7"/>
      <c r="AI284" s="7"/>
      <c r="AJ284" s="381"/>
      <c r="AK284" s="7"/>
      <c r="AL284" s="7"/>
      <c r="AM284" s="7"/>
      <c r="AN284" s="7"/>
      <c r="AO284" s="176"/>
      <c r="AP284" s="176"/>
      <c r="AQ284" s="229"/>
      <c r="AR284" s="229"/>
      <c r="AS284" s="176"/>
      <c r="AT284" s="376"/>
      <c r="AU284" s="376"/>
      <c r="AV284" s="376"/>
      <c r="AW284" s="376"/>
      <c r="AX284" s="376"/>
      <c r="AY284" s="376"/>
      <c r="AZ284" s="382"/>
      <c r="BA284" s="176"/>
      <c r="BB284" s="91"/>
      <c r="BC284" s="91"/>
      <c r="BD284" s="380"/>
      <c r="BE284" s="380"/>
      <c r="BF284" s="383"/>
      <c r="BG284" s="384"/>
      <c r="BH284" s="383"/>
      <c r="BI284" s="385"/>
      <c r="BJ284" s="386"/>
      <c r="BK284" s="386"/>
      <c r="BL284" s="386"/>
      <c r="BM284" s="387"/>
      <c r="BN284" s="387"/>
      <c r="BO284" s="387"/>
      <c r="BP284" s="388"/>
      <c r="BQ284" s="389"/>
      <c r="BR284" s="117"/>
      <c r="BS284" s="324"/>
      <c r="BT284" s="324"/>
      <c r="BU284" s="117"/>
    </row>
    <row r="285">
      <c r="A285" s="7"/>
      <c r="B285" s="176"/>
      <c r="C285" s="230"/>
      <c r="D285" s="230"/>
      <c r="E285" s="371"/>
      <c r="F285" s="91"/>
      <c r="G285" s="230"/>
      <c r="H285" s="176"/>
      <c r="I285" s="7"/>
      <c r="J285" s="230"/>
      <c r="K285" s="176"/>
      <c r="L285" s="176"/>
      <c r="M285" s="7"/>
      <c r="N285" s="372"/>
      <c r="O285" s="373"/>
      <c r="P285" s="374"/>
      <c r="Q285" s="375"/>
      <c r="R285" s="375"/>
      <c r="S285" s="376"/>
      <c r="T285" s="377"/>
      <c r="U285" s="377"/>
      <c r="V285" s="377"/>
      <c r="W285" s="377"/>
      <c r="X285" s="229"/>
      <c r="Y285" s="176"/>
      <c r="Z285" s="229"/>
      <c r="AA285" s="229"/>
      <c r="AB285" s="82"/>
      <c r="AC285" s="82"/>
      <c r="AD285" s="378"/>
      <c r="AE285" s="379"/>
      <c r="AF285" s="380"/>
      <c r="AG285" s="380"/>
      <c r="AH285" s="7"/>
      <c r="AI285" s="7"/>
      <c r="AJ285" s="381"/>
      <c r="AK285" s="7"/>
      <c r="AL285" s="7"/>
      <c r="AM285" s="7"/>
      <c r="AN285" s="7"/>
      <c r="AO285" s="176"/>
      <c r="AP285" s="176"/>
      <c r="AQ285" s="229"/>
      <c r="AR285" s="229"/>
      <c r="AS285" s="176"/>
      <c r="AT285" s="376"/>
      <c r="AU285" s="376"/>
      <c r="AV285" s="376"/>
      <c r="AW285" s="376"/>
      <c r="AX285" s="376"/>
      <c r="AY285" s="376"/>
      <c r="AZ285" s="382"/>
      <c r="BA285" s="176"/>
      <c r="BB285" s="91"/>
      <c r="BC285" s="91"/>
      <c r="BD285" s="380"/>
      <c r="BE285" s="380"/>
      <c r="BF285" s="383"/>
      <c r="BG285" s="384"/>
      <c r="BH285" s="383"/>
      <c r="BI285" s="385"/>
      <c r="BJ285" s="386"/>
      <c r="BK285" s="386"/>
      <c r="BL285" s="386"/>
      <c r="BM285" s="387"/>
      <c r="BN285" s="387"/>
      <c r="BO285" s="387"/>
      <c r="BP285" s="388"/>
      <c r="BQ285" s="389"/>
      <c r="BR285" s="117"/>
      <c r="BS285" s="324"/>
      <c r="BT285" s="324"/>
      <c r="BU285" s="117"/>
    </row>
    <row r="286">
      <c r="A286" s="7"/>
      <c r="B286" s="176"/>
      <c r="C286" s="230"/>
      <c r="D286" s="230"/>
      <c r="E286" s="371"/>
      <c r="F286" s="91"/>
      <c r="G286" s="230"/>
      <c r="H286" s="176"/>
      <c r="I286" s="7"/>
      <c r="J286" s="230"/>
      <c r="K286" s="176"/>
      <c r="L286" s="176"/>
      <c r="M286" s="7"/>
      <c r="N286" s="372"/>
      <c r="O286" s="373"/>
      <c r="P286" s="374"/>
      <c r="Q286" s="375"/>
      <c r="R286" s="375"/>
      <c r="S286" s="376"/>
      <c r="T286" s="377"/>
      <c r="U286" s="377"/>
      <c r="V286" s="377"/>
      <c r="W286" s="377"/>
      <c r="X286" s="229"/>
      <c r="Y286" s="176"/>
      <c r="Z286" s="229"/>
      <c r="AA286" s="229"/>
      <c r="AB286" s="82"/>
      <c r="AC286" s="82"/>
      <c r="AD286" s="378"/>
      <c r="AE286" s="379"/>
      <c r="AF286" s="380"/>
      <c r="AG286" s="380"/>
      <c r="AH286" s="7"/>
      <c r="AI286" s="7"/>
      <c r="AJ286" s="381"/>
      <c r="AK286" s="7"/>
      <c r="AL286" s="7"/>
      <c r="AM286" s="7"/>
      <c r="AN286" s="7"/>
      <c r="AO286" s="176"/>
      <c r="AP286" s="176"/>
      <c r="AQ286" s="229"/>
      <c r="AR286" s="229"/>
      <c r="AS286" s="176"/>
      <c r="AT286" s="376"/>
      <c r="AU286" s="376"/>
      <c r="AV286" s="376"/>
      <c r="AW286" s="376"/>
      <c r="AX286" s="376"/>
      <c r="AY286" s="376"/>
      <c r="AZ286" s="382"/>
      <c r="BA286" s="176"/>
      <c r="BB286" s="91"/>
      <c r="BC286" s="91"/>
      <c r="BD286" s="380"/>
      <c r="BE286" s="380"/>
      <c r="BF286" s="383"/>
      <c r="BG286" s="384"/>
      <c r="BH286" s="383"/>
      <c r="BI286" s="385"/>
      <c r="BJ286" s="386"/>
      <c r="BK286" s="386"/>
      <c r="BL286" s="386"/>
      <c r="BM286" s="387"/>
      <c r="BN286" s="387"/>
      <c r="BO286" s="387"/>
      <c r="BP286" s="388"/>
      <c r="BQ286" s="389"/>
      <c r="BR286" s="117"/>
      <c r="BS286" s="324"/>
      <c r="BT286" s="324"/>
      <c r="BU286" s="117"/>
    </row>
    <row r="287">
      <c r="A287" s="7"/>
      <c r="B287" s="176"/>
      <c r="C287" s="230"/>
      <c r="D287" s="230"/>
      <c r="E287" s="371"/>
      <c r="F287" s="91"/>
      <c r="G287" s="230"/>
      <c r="H287" s="176"/>
      <c r="I287" s="7"/>
      <c r="J287" s="230"/>
      <c r="K287" s="176"/>
      <c r="L287" s="176"/>
      <c r="M287" s="7"/>
      <c r="N287" s="372"/>
      <c r="O287" s="373"/>
      <c r="P287" s="374"/>
      <c r="Q287" s="375"/>
      <c r="R287" s="375"/>
      <c r="S287" s="376"/>
      <c r="T287" s="377"/>
      <c r="U287" s="377"/>
      <c r="V287" s="377"/>
      <c r="W287" s="377"/>
      <c r="X287" s="229"/>
      <c r="Y287" s="176"/>
      <c r="Z287" s="229"/>
      <c r="AA287" s="229"/>
      <c r="AB287" s="82"/>
      <c r="AC287" s="82"/>
      <c r="AD287" s="378"/>
      <c r="AE287" s="379"/>
      <c r="AF287" s="380"/>
      <c r="AG287" s="380"/>
      <c r="AH287" s="7"/>
      <c r="AI287" s="7"/>
      <c r="AJ287" s="381"/>
      <c r="AK287" s="7"/>
      <c r="AL287" s="7"/>
      <c r="AM287" s="7"/>
      <c r="AN287" s="7"/>
      <c r="AO287" s="176"/>
      <c r="AP287" s="176"/>
      <c r="AQ287" s="229"/>
      <c r="AR287" s="229"/>
      <c r="AS287" s="176"/>
      <c r="AT287" s="376"/>
      <c r="AU287" s="376"/>
      <c r="AV287" s="376"/>
      <c r="AW287" s="376"/>
      <c r="AX287" s="376"/>
      <c r="AY287" s="376"/>
      <c r="AZ287" s="382"/>
      <c r="BA287" s="176"/>
      <c r="BB287" s="91"/>
      <c r="BC287" s="91"/>
      <c r="BD287" s="380"/>
      <c r="BE287" s="380"/>
      <c r="BF287" s="383"/>
      <c r="BG287" s="384"/>
      <c r="BH287" s="383"/>
      <c r="BI287" s="385"/>
      <c r="BJ287" s="386"/>
      <c r="BK287" s="386"/>
      <c r="BL287" s="386"/>
      <c r="BM287" s="387"/>
      <c r="BN287" s="387"/>
      <c r="BO287" s="387"/>
      <c r="BP287" s="388"/>
      <c r="BQ287" s="389"/>
      <c r="BR287" s="117"/>
      <c r="BS287" s="324"/>
      <c r="BT287" s="324"/>
      <c r="BU287" s="117"/>
    </row>
    <row r="288">
      <c r="A288" s="7"/>
      <c r="B288" s="176"/>
      <c r="C288" s="230"/>
      <c r="D288" s="230"/>
      <c r="E288" s="371"/>
      <c r="F288" s="91"/>
      <c r="G288" s="230"/>
      <c r="H288" s="176"/>
      <c r="I288" s="7"/>
      <c r="J288" s="230"/>
      <c r="K288" s="176"/>
      <c r="L288" s="176"/>
      <c r="M288" s="7"/>
      <c r="N288" s="372"/>
      <c r="O288" s="373"/>
      <c r="P288" s="374"/>
      <c r="Q288" s="375"/>
      <c r="R288" s="375"/>
      <c r="S288" s="376"/>
      <c r="T288" s="377"/>
      <c r="U288" s="377"/>
      <c r="V288" s="377"/>
      <c r="W288" s="377"/>
      <c r="X288" s="229"/>
      <c r="Y288" s="176"/>
      <c r="Z288" s="229"/>
      <c r="AA288" s="229"/>
      <c r="AB288" s="82"/>
      <c r="AC288" s="82"/>
      <c r="AD288" s="378"/>
      <c r="AE288" s="379"/>
      <c r="AF288" s="380"/>
      <c r="AG288" s="380"/>
      <c r="AH288" s="7"/>
      <c r="AI288" s="7"/>
      <c r="AJ288" s="381"/>
      <c r="AK288" s="7"/>
      <c r="AL288" s="7"/>
      <c r="AM288" s="7"/>
      <c r="AN288" s="7"/>
      <c r="AO288" s="176"/>
      <c r="AP288" s="176"/>
      <c r="AQ288" s="229"/>
      <c r="AR288" s="229"/>
      <c r="AS288" s="176"/>
      <c r="AT288" s="376"/>
      <c r="AU288" s="376"/>
      <c r="AV288" s="376"/>
      <c r="AW288" s="376"/>
      <c r="AX288" s="376"/>
      <c r="AY288" s="376"/>
      <c r="AZ288" s="382"/>
      <c r="BA288" s="176"/>
      <c r="BB288" s="91"/>
      <c r="BC288" s="91"/>
      <c r="BD288" s="380"/>
      <c r="BE288" s="380"/>
      <c r="BF288" s="383"/>
      <c r="BG288" s="384"/>
      <c r="BH288" s="383"/>
      <c r="BI288" s="385"/>
      <c r="BJ288" s="386"/>
      <c r="BK288" s="386"/>
      <c r="BL288" s="386"/>
      <c r="BM288" s="387"/>
      <c r="BN288" s="387"/>
      <c r="BO288" s="387"/>
      <c r="BP288" s="388"/>
      <c r="BQ288" s="389"/>
      <c r="BR288" s="117"/>
      <c r="BS288" s="324"/>
      <c r="BT288" s="324"/>
      <c r="BU288" s="117"/>
    </row>
    <row r="289">
      <c r="A289" s="7"/>
      <c r="B289" s="176"/>
      <c r="C289" s="230"/>
      <c r="D289" s="230"/>
      <c r="E289" s="371"/>
      <c r="F289" s="91"/>
      <c r="G289" s="230"/>
      <c r="H289" s="176"/>
      <c r="I289" s="7"/>
      <c r="J289" s="230"/>
      <c r="K289" s="176"/>
      <c r="L289" s="176"/>
      <c r="M289" s="7"/>
      <c r="N289" s="372"/>
      <c r="O289" s="373"/>
      <c r="P289" s="374"/>
      <c r="Q289" s="375"/>
      <c r="R289" s="375"/>
      <c r="S289" s="376"/>
      <c r="T289" s="377"/>
      <c r="U289" s="377"/>
      <c r="V289" s="377"/>
      <c r="W289" s="377"/>
      <c r="X289" s="229"/>
      <c r="Y289" s="176"/>
      <c r="Z289" s="229"/>
      <c r="AA289" s="229"/>
      <c r="AB289" s="82"/>
      <c r="AC289" s="82"/>
      <c r="AD289" s="378"/>
      <c r="AE289" s="379"/>
      <c r="AF289" s="380"/>
      <c r="AG289" s="380"/>
      <c r="AH289" s="7"/>
      <c r="AI289" s="7"/>
      <c r="AJ289" s="381"/>
      <c r="AK289" s="7"/>
      <c r="AL289" s="7"/>
      <c r="AM289" s="7"/>
      <c r="AN289" s="7"/>
      <c r="AO289" s="176"/>
      <c r="AP289" s="176"/>
      <c r="AQ289" s="229"/>
      <c r="AR289" s="229"/>
      <c r="AS289" s="176"/>
      <c r="AT289" s="376"/>
      <c r="AU289" s="376"/>
      <c r="AV289" s="376"/>
      <c r="AW289" s="376"/>
      <c r="AX289" s="376"/>
      <c r="AY289" s="376"/>
      <c r="AZ289" s="382"/>
      <c r="BA289" s="176"/>
      <c r="BB289" s="91"/>
      <c r="BC289" s="91"/>
      <c r="BD289" s="380"/>
      <c r="BE289" s="380"/>
      <c r="BF289" s="383"/>
      <c r="BG289" s="384"/>
      <c r="BH289" s="383"/>
      <c r="BI289" s="385"/>
      <c r="BJ289" s="386"/>
      <c r="BK289" s="386"/>
      <c r="BL289" s="386"/>
      <c r="BM289" s="387"/>
      <c r="BN289" s="387"/>
      <c r="BO289" s="387"/>
      <c r="BP289" s="388"/>
      <c r="BQ289" s="389"/>
      <c r="BR289" s="117"/>
      <c r="BS289" s="324"/>
      <c r="BT289" s="324"/>
      <c r="BU289" s="117"/>
    </row>
    <row r="290">
      <c r="A290" s="7"/>
      <c r="B290" s="176"/>
      <c r="C290" s="230"/>
      <c r="D290" s="230"/>
      <c r="E290" s="371"/>
      <c r="F290" s="91"/>
      <c r="G290" s="230"/>
      <c r="H290" s="176"/>
      <c r="I290" s="7"/>
      <c r="J290" s="230"/>
      <c r="K290" s="176"/>
      <c r="L290" s="176"/>
      <c r="M290" s="7"/>
      <c r="N290" s="372"/>
      <c r="O290" s="373"/>
      <c r="P290" s="374"/>
      <c r="Q290" s="375"/>
      <c r="R290" s="375"/>
      <c r="S290" s="376"/>
      <c r="T290" s="377"/>
      <c r="U290" s="377"/>
      <c r="V290" s="377"/>
      <c r="W290" s="377"/>
      <c r="X290" s="229"/>
      <c r="Y290" s="176"/>
      <c r="Z290" s="229"/>
      <c r="AA290" s="229"/>
      <c r="AB290" s="82"/>
      <c r="AC290" s="82"/>
      <c r="AD290" s="378"/>
      <c r="AE290" s="379"/>
      <c r="AF290" s="380"/>
      <c r="AG290" s="380"/>
      <c r="AH290" s="7"/>
      <c r="AI290" s="7"/>
      <c r="AJ290" s="381"/>
      <c r="AK290" s="7"/>
      <c r="AL290" s="7"/>
      <c r="AM290" s="7"/>
      <c r="AN290" s="7"/>
      <c r="AO290" s="176"/>
      <c r="AP290" s="176"/>
      <c r="AQ290" s="229"/>
      <c r="AR290" s="229"/>
      <c r="AS290" s="176"/>
      <c r="AT290" s="376"/>
      <c r="AU290" s="376"/>
      <c r="AV290" s="376"/>
      <c r="AW290" s="376"/>
      <c r="AX290" s="376"/>
      <c r="AY290" s="376"/>
      <c r="AZ290" s="382"/>
      <c r="BA290" s="176"/>
      <c r="BB290" s="91"/>
      <c r="BC290" s="91"/>
      <c r="BD290" s="380"/>
      <c r="BE290" s="380"/>
      <c r="BF290" s="383"/>
      <c r="BG290" s="384"/>
      <c r="BH290" s="383"/>
      <c r="BI290" s="385"/>
      <c r="BJ290" s="386"/>
      <c r="BK290" s="386"/>
      <c r="BL290" s="386"/>
      <c r="BM290" s="387"/>
      <c r="BN290" s="387"/>
      <c r="BO290" s="387"/>
      <c r="BP290" s="388"/>
      <c r="BQ290" s="389"/>
      <c r="BR290" s="117"/>
      <c r="BS290" s="324"/>
      <c r="BT290" s="324"/>
      <c r="BU290" s="117"/>
    </row>
    <row r="291">
      <c r="A291" s="7"/>
      <c r="B291" s="176"/>
      <c r="C291" s="230"/>
      <c r="D291" s="230"/>
      <c r="E291" s="371"/>
      <c r="F291" s="91"/>
      <c r="G291" s="230"/>
      <c r="H291" s="176"/>
      <c r="I291" s="7"/>
      <c r="J291" s="230"/>
      <c r="K291" s="176"/>
      <c r="L291" s="176"/>
      <c r="M291" s="7"/>
      <c r="N291" s="372"/>
      <c r="O291" s="373"/>
      <c r="P291" s="374"/>
      <c r="Q291" s="375"/>
      <c r="R291" s="375"/>
      <c r="S291" s="376"/>
      <c r="T291" s="377"/>
      <c r="U291" s="377"/>
      <c r="V291" s="377"/>
      <c r="W291" s="377"/>
      <c r="X291" s="229"/>
      <c r="Y291" s="176"/>
      <c r="Z291" s="229"/>
      <c r="AA291" s="229"/>
      <c r="AB291" s="82"/>
      <c r="AC291" s="82"/>
      <c r="AD291" s="378"/>
      <c r="AE291" s="379"/>
      <c r="AF291" s="380"/>
      <c r="AG291" s="380"/>
      <c r="AH291" s="7"/>
      <c r="AI291" s="7"/>
      <c r="AJ291" s="381"/>
      <c r="AK291" s="7"/>
      <c r="AL291" s="7"/>
      <c r="AM291" s="7"/>
      <c r="AN291" s="7"/>
      <c r="AO291" s="176"/>
      <c r="AP291" s="176"/>
      <c r="AQ291" s="229"/>
      <c r="AR291" s="229"/>
      <c r="AS291" s="176"/>
      <c r="AT291" s="376"/>
      <c r="AU291" s="376"/>
      <c r="AV291" s="376"/>
      <c r="AW291" s="376"/>
      <c r="AX291" s="376"/>
      <c r="AY291" s="376"/>
      <c r="AZ291" s="382"/>
      <c r="BA291" s="176"/>
      <c r="BB291" s="91"/>
      <c r="BC291" s="91"/>
      <c r="BD291" s="380"/>
      <c r="BE291" s="380"/>
      <c r="BF291" s="383"/>
      <c r="BG291" s="384"/>
      <c r="BH291" s="383"/>
      <c r="BI291" s="385"/>
      <c r="BJ291" s="386"/>
      <c r="BK291" s="386"/>
      <c r="BL291" s="386"/>
      <c r="BM291" s="387"/>
      <c r="BN291" s="387"/>
      <c r="BO291" s="387"/>
      <c r="BP291" s="388"/>
      <c r="BQ291" s="389"/>
      <c r="BR291" s="117"/>
      <c r="BS291" s="324"/>
      <c r="BT291" s="324"/>
      <c r="BU291" s="117"/>
    </row>
    <row r="292">
      <c r="A292" s="7"/>
      <c r="B292" s="176"/>
      <c r="C292" s="230"/>
      <c r="D292" s="230"/>
      <c r="E292" s="371"/>
      <c r="F292" s="91"/>
      <c r="G292" s="230"/>
      <c r="H292" s="176"/>
      <c r="I292" s="7"/>
      <c r="J292" s="230"/>
      <c r="K292" s="176"/>
      <c r="L292" s="176"/>
      <c r="M292" s="7"/>
      <c r="N292" s="372"/>
      <c r="O292" s="373"/>
      <c r="P292" s="374"/>
      <c r="Q292" s="375"/>
      <c r="R292" s="375"/>
      <c r="S292" s="376"/>
      <c r="T292" s="377"/>
      <c r="U292" s="377"/>
      <c r="V292" s="377"/>
      <c r="W292" s="377"/>
      <c r="X292" s="229"/>
      <c r="Y292" s="176"/>
      <c r="Z292" s="229"/>
      <c r="AA292" s="229"/>
      <c r="AB292" s="82"/>
      <c r="AC292" s="82"/>
      <c r="AD292" s="378"/>
      <c r="AE292" s="379"/>
      <c r="AF292" s="380"/>
      <c r="AG292" s="380"/>
      <c r="AH292" s="7"/>
      <c r="AI292" s="7"/>
      <c r="AJ292" s="381"/>
      <c r="AK292" s="7"/>
      <c r="AL292" s="7"/>
      <c r="AM292" s="7"/>
      <c r="AN292" s="7"/>
      <c r="AO292" s="176"/>
      <c r="AP292" s="176"/>
      <c r="AQ292" s="229"/>
      <c r="AR292" s="229"/>
      <c r="AS292" s="176"/>
      <c r="AT292" s="376"/>
      <c r="AU292" s="376"/>
      <c r="AV292" s="376"/>
      <c r="AW292" s="376"/>
      <c r="AX292" s="376"/>
      <c r="AY292" s="376"/>
      <c r="AZ292" s="382"/>
      <c r="BA292" s="176"/>
      <c r="BB292" s="91"/>
      <c r="BC292" s="91"/>
      <c r="BD292" s="380"/>
      <c r="BE292" s="380"/>
      <c r="BF292" s="383"/>
      <c r="BG292" s="384"/>
      <c r="BH292" s="383"/>
      <c r="BI292" s="385"/>
      <c r="BJ292" s="386"/>
      <c r="BK292" s="386"/>
      <c r="BL292" s="386"/>
      <c r="BM292" s="387"/>
      <c r="BN292" s="387"/>
      <c r="BO292" s="387"/>
      <c r="BP292" s="388"/>
      <c r="BQ292" s="389"/>
      <c r="BR292" s="117"/>
      <c r="BS292" s="324"/>
      <c r="BT292" s="324"/>
      <c r="BU292" s="117"/>
    </row>
    <row r="293">
      <c r="A293" s="7"/>
      <c r="B293" s="176"/>
      <c r="C293" s="230"/>
      <c r="D293" s="230"/>
      <c r="E293" s="371"/>
      <c r="F293" s="91"/>
      <c r="G293" s="230"/>
      <c r="H293" s="176"/>
      <c r="I293" s="7"/>
      <c r="J293" s="230"/>
      <c r="K293" s="176"/>
      <c r="L293" s="176"/>
      <c r="M293" s="7"/>
      <c r="N293" s="372"/>
      <c r="O293" s="373"/>
      <c r="P293" s="374"/>
      <c r="Q293" s="375"/>
      <c r="R293" s="375"/>
      <c r="S293" s="376"/>
      <c r="T293" s="377"/>
      <c r="U293" s="377"/>
      <c r="V293" s="377"/>
      <c r="W293" s="377"/>
      <c r="X293" s="229"/>
      <c r="Y293" s="176"/>
      <c r="Z293" s="229"/>
      <c r="AA293" s="229"/>
      <c r="AB293" s="82"/>
      <c r="AC293" s="82"/>
      <c r="AD293" s="378"/>
      <c r="AE293" s="379"/>
      <c r="AF293" s="380"/>
      <c r="AG293" s="380"/>
      <c r="AH293" s="7"/>
      <c r="AI293" s="7"/>
      <c r="AJ293" s="381"/>
      <c r="AK293" s="7"/>
      <c r="AL293" s="7"/>
      <c r="AM293" s="7"/>
      <c r="AN293" s="7"/>
      <c r="AO293" s="176"/>
      <c r="AP293" s="176"/>
      <c r="AQ293" s="229"/>
      <c r="AR293" s="229"/>
      <c r="AS293" s="176"/>
      <c r="AT293" s="376"/>
      <c r="AU293" s="376"/>
      <c r="AV293" s="376"/>
      <c r="AW293" s="376"/>
      <c r="AX293" s="376"/>
      <c r="AY293" s="376"/>
      <c r="AZ293" s="382"/>
      <c r="BA293" s="176"/>
      <c r="BB293" s="91"/>
      <c r="BC293" s="91"/>
      <c r="BD293" s="380"/>
      <c r="BE293" s="380"/>
      <c r="BF293" s="383"/>
      <c r="BG293" s="384"/>
      <c r="BH293" s="383"/>
      <c r="BI293" s="385"/>
      <c r="BJ293" s="386"/>
      <c r="BK293" s="386"/>
      <c r="BL293" s="386"/>
      <c r="BM293" s="387"/>
      <c r="BN293" s="387"/>
      <c r="BO293" s="387"/>
      <c r="BP293" s="388"/>
      <c r="BQ293" s="389"/>
      <c r="BR293" s="117"/>
      <c r="BS293" s="324"/>
      <c r="BT293" s="324"/>
      <c r="BU293" s="117"/>
    </row>
    <row r="294">
      <c r="A294" s="7"/>
      <c r="B294" s="176"/>
      <c r="C294" s="230"/>
      <c r="D294" s="230"/>
      <c r="E294" s="371"/>
      <c r="F294" s="91"/>
      <c r="G294" s="230"/>
      <c r="H294" s="176"/>
      <c r="I294" s="7"/>
      <c r="J294" s="230"/>
      <c r="K294" s="176"/>
      <c r="L294" s="176"/>
      <c r="M294" s="7"/>
      <c r="N294" s="372"/>
      <c r="O294" s="373"/>
      <c r="P294" s="374"/>
      <c r="Q294" s="375"/>
      <c r="R294" s="375"/>
      <c r="S294" s="376"/>
      <c r="T294" s="377"/>
      <c r="U294" s="377"/>
      <c r="V294" s="377"/>
      <c r="W294" s="377"/>
      <c r="X294" s="229"/>
      <c r="Y294" s="176"/>
      <c r="Z294" s="229"/>
      <c r="AA294" s="229"/>
      <c r="AB294" s="82"/>
      <c r="AC294" s="82"/>
      <c r="AD294" s="378"/>
      <c r="AE294" s="379"/>
      <c r="AF294" s="380"/>
      <c r="AG294" s="380"/>
      <c r="AH294" s="7"/>
      <c r="AI294" s="7"/>
      <c r="AJ294" s="381"/>
      <c r="AK294" s="7"/>
      <c r="AL294" s="7"/>
      <c r="AM294" s="7"/>
      <c r="AN294" s="7"/>
      <c r="AO294" s="176"/>
      <c r="AP294" s="176"/>
      <c r="AQ294" s="229"/>
      <c r="AR294" s="229"/>
      <c r="AS294" s="176"/>
      <c r="AT294" s="376"/>
      <c r="AU294" s="376"/>
      <c r="AV294" s="376"/>
      <c r="AW294" s="376"/>
      <c r="AX294" s="376"/>
      <c r="AY294" s="376"/>
      <c r="AZ294" s="382"/>
      <c r="BA294" s="176"/>
      <c r="BB294" s="91"/>
      <c r="BC294" s="91"/>
      <c r="BD294" s="380"/>
      <c r="BE294" s="380"/>
      <c r="BF294" s="383"/>
      <c r="BG294" s="384"/>
      <c r="BH294" s="383"/>
      <c r="BI294" s="385"/>
      <c r="BJ294" s="386"/>
      <c r="BK294" s="386"/>
      <c r="BL294" s="386"/>
      <c r="BM294" s="387"/>
      <c r="BN294" s="387"/>
      <c r="BO294" s="387"/>
      <c r="BP294" s="388"/>
      <c r="BQ294" s="389"/>
      <c r="BR294" s="117"/>
      <c r="BS294" s="324"/>
      <c r="BT294" s="324"/>
      <c r="BU294" s="117"/>
    </row>
    <row r="295">
      <c r="A295" s="7"/>
      <c r="B295" s="176"/>
      <c r="C295" s="230"/>
      <c r="D295" s="230"/>
      <c r="E295" s="371"/>
      <c r="F295" s="91"/>
      <c r="G295" s="230"/>
      <c r="H295" s="176"/>
      <c r="I295" s="7"/>
      <c r="J295" s="230"/>
      <c r="K295" s="176"/>
      <c r="L295" s="176"/>
      <c r="M295" s="7"/>
      <c r="N295" s="372"/>
      <c r="O295" s="373"/>
      <c r="P295" s="374"/>
      <c r="Q295" s="375"/>
      <c r="R295" s="375"/>
      <c r="S295" s="376"/>
      <c r="T295" s="377"/>
      <c r="U295" s="377"/>
      <c r="V295" s="377"/>
      <c r="W295" s="377"/>
      <c r="X295" s="229"/>
      <c r="Y295" s="176"/>
      <c r="Z295" s="229"/>
      <c r="AA295" s="229"/>
      <c r="AB295" s="82"/>
      <c r="AC295" s="82"/>
      <c r="AD295" s="378"/>
      <c r="AE295" s="379"/>
      <c r="AF295" s="380"/>
      <c r="AG295" s="380"/>
      <c r="AH295" s="7"/>
      <c r="AI295" s="7"/>
      <c r="AJ295" s="381"/>
      <c r="AK295" s="7"/>
      <c r="AL295" s="7"/>
      <c r="AM295" s="7"/>
      <c r="AN295" s="7"/>
      <c r="AO295" s="176"/>
      <c r="AP295" s="176"/>
      <c r="AQ295" s="229"/>
      <c r="AR295" s="229"/>
      <c r="AS295" s="176"/>
      <c r="AT295" s="376"/>
      <c r="AU295" s="376"/>
      <c r="AV295" s="376"/>
      <c r="AW295" s="376"/>
      <c r="AX295" s="376"/>
      <c r="AY295" s="376"/>
      <c r="AZ295" s="382"/>
      <c r="BA295" s="176"/>
      <c r="BB295" s="91"/>
      <c r="BC295" s="91"/>
      <c r="BD295" s="380"/>
      <c r="BE295" s="380"/>
      <c r="BF295" s="383"/>
      <c r="BG295" s="384"/>
      <c r="BH295" s="383"/>
      <c r="BI295" s="385"/>
      <c r="BJ295" s="386"/>
      <c r="BK295" s="386"/>
      <c r="BL295" s="386"/>
      <c r="BM295" s="387"/>
      <c r="BN295" s="387"/>
      <c r="BO295" s="387"/>
      <c r="BP295" s="388"/>
      <c r="BQ295" s="389"/>
      <c r="BR295" s="117"/>
      <c r="BS295" s="324"/>
      <c r="BT295" s="324"/>
      <c r="BU295" s="117"/>
    </row>
    <row r="296">
      <c r="A296" s="7"/>
      <c r="B296" s="176"/>
      <c r="C296" s="230"/>
      <c r="D296" s="230"/>
      <c r="E296" s="371"/>
      <c r="F296" s="91"/>
      <c r="G296" s="230"/>
      <c r="H296" s="176"/>
      <c r="I296" s="7"/>
      <c r="J296" s="230"/>
      <c r="K296" s="176"/>
      <c r="L296" s="176"/>
      <c r="M296" s="7"/>
      <c r="N296" s="372"/>
      <c r="O296" s="373"/>
      <c r="P296" s="374"/>
      <c r="Q296" s="375"/>
      <c r="R296" s="375"/>
      <c r="S296" s="376"/>
      <c r="T296" s="377"/>
      <c r="U296" s="377"/>
      <c r="V296" s="377"/>
      <c r="W296" s="377"/>
      <c r="X296" s="229"/>
      <c r="Y296" s="176"/>
      <c r="Z296" s="229"/>
      <c r="AA296" s="229"/>
      <c r="AB296" s="82"/>
      <c r="AC296" s="82"/>
      <c r="AD296" s="378"/>
      <c r="AE296" s="379"/>
      <c r="AF296" s="380"/>
      <c r="AG296" s="380"/>
      <c r="AH296" s="7"/>
      <c r="AI296" s="7"/>
      <c r="AJ296" s="381"/>
      <c r="AK296" s="7"/>
      <c r="AL296" s="7"/>
      <c r="AM296" s="7"/>
      <c r="AN296" s="7"/>
      <c r="AO296" s="176"/>
      <c r="AP296" s="176"/>
      <c r="AQ296" s="229"/>
      <c r="AR296" s="229"/>
      <c r="AS296" s="176"/>
      <c r="AT296" s="376"/>
      <c r="AU296" s="376"/>
      <c r="AV296" s="376"/>
      <c r="AW296" s="376"/>
      <c r="AX296" s="376"/>
      <c r="AY296" s="376"/>
      <c r="AZ296" s="382"/>
      <c r="BA296" s="176"/>
      <c r="BB296" s="91"/>
      <c r="BC296" s="91"/>
      <c r="BD296" s="380"/>
      <c r="BE296" s="380"/>
      <c r="BF296" s="383"/>
      <c r="BG296" s="384"/>
      <c r="BH296" s="383"/>
      <c r="BI296" s="385"/>
      <c r="BJ296" s="386"/>
      <c r="BK296" s="386"/>
      <c r="BL296" s="386"/>
      <c r="BM296" s="387"/>
      <c r="BN296" s="387"/>
      <c r="BO296" s="387"/>
      <c r="BP296" s="388"/>
      <c r="BQ296" s="389"/>
      <c r="BR296" s="117"/>
      <c r="BS296" s="324"/>
      <c r="BT296" s="324"/>
      <c r="BU296" s="117"/>
    </row>
    <row r="297">
      <c r="A297" s="7"/>
      <c r="B297" s="176"/>
      <c r="C297" s="230"/>
      <c r="D297" s="230"/>
      <c r="E297" s="371"/>
      <c r="F297" s="91"/>
      <c r="G297" s="230"/>
      <c r="H297" s="176"/>
      <c r="I297" s="7"/>
      <c r="J297" s="230"/>
      <c r="K297" s="176"/>
      <c r="L297" s="176"/>
      <c r="M297" s="7"/>
      <c r="N297" s="372"/>
      <c r="O297" s="373"/>
      <c r="P297" s="374"/>
      <c r="Q297" s="375"/>
      <c r="R297" s="375"/>
      <c r="S297" s="376"/>
      <c r="T297" s="377"/>
      <c r="U297" s="377"/>
      <c r="V297" s="377"/>
      <c r="W297" s="377"/>
      <c r="X297" s="229"/>
      <c r="Y297" s="176"/>
      <c r="Z297" s="229"/>
      <c r="AA297" s="229"/>
      <c r="AB297" s="82"/>
      <c r="AC297" s="82"/>
      <c r="AD297" s="378"/>
      <c r="AE297" s="379"/>
      <c r="AF297" s="380"/>
      <c r="AG297" s="380"/>
      <c r="AH297" s="7"/>
      <c r="AI297" s="7"/>
      <c r="AJ297" s="381"/>
      <c r="AK297" s="7"/>
      <c r="AL297" s="7"/>
      <c r="AM297" s="7"/>
      <c r="AN297" s="7"/>
      <c r="AO297" s="176"/>
      <c r="AP297" s="176"/>
      <c r="AQ297" s="229"/>
      <c r="AR297" s="229"/>
      <c r="AS297" s="176"/>
      <c r="AT297" s="376"/>
      <c r="AU297" s="376"/>
      <c r="AV297" s="376"/>
      <c r="AW297" s="376"/>
      <c r="AX297" s="376"/>
      <c r="AY297" s="376"/>
      <c r="AZ297" s="382"/>
      <c r="BA297" s="176"/>
      <c r="BB297" s="91"/>
      <c r="BC297" s="91"/>
      <c r="BD297" s="380"/>
      <c r="BE297" s="380"/>
      <c r="BF297" s="383"/>
      <c r="BG297" s="384"/>
      <c r="BH297" s="383"/>
      <c r="BI297" s="385"/>
      <c r="BJ297" s="386"/>
      <c r="BK297" s="386"/>
      <c r="BL297" s="386"/>
      <c r="BM297" s="387"/>
      <c r="BN297" s="387"/>
      <c r="BO297" s="387"/>
      <c r="BP297" s="388"/>
      <c r="BQ297" s="389"/>
      <c r="BR297" s="117"/>
      <c r="BS297" s="324"/>
      <c r="BT297" s="324"/>
      <c r="BU297" s="117"/>
    </row>
    <row r="298">
      <c r="A298" s="7"/>
      <c r="B298" s="176"/>
      <c r="C298" s="230"/>
      <c r="D298" s="230"/>
      <c r="E298" s="371"/>
      <c r="F298" s="91"/>
      <c r="G298" s="230"/>
      <c r="H298" s="176"/>
      <c r="I298" s="7"/>
      <c r="J298" s="230"/>
      <c r="K298" s="176"/>
      <c r="L298" s="176"/>
      <c r="M298" s="7"/>
      <c r="N298" s="372"/>
      <c r="O298" s="373"/>
      <c r="P298" s="374"/>
      <c r="Q298" s="375"/>
      <c r="R298" s="375"/>
      <c r="S298" s="376"/>
      <c r="T298" s="377"/>
      <c r="U298" s="377"/>
      <c r="V298" s="377"/>
      <c r="W298" s="377"/>
      <c r="X298" s="229"/>
      <c r="Y298" s="176"/>
      <c r="Z298" s="229"/>
      <c r="AA298" s="229"/>
      <c r="AB298" s="82"/>
      <c r="AC298" s="82"/>
      <c r="AD298" s="378"/>
      <c r="AE298" s="379"/>
      <c r="AF298" s="380"/>
      <c r="AG298" s="380"/>
      <c r="AH298" s="7"/>
      <c r="AI298" s="7"/>
      <c r="AJ298" s="381"/>
      <c r="AK298" s="7"/>
      <c r="AL298" s="7"/>
      <c r="AM298" s="7"/>
      <c r="AN298" s="7"/>
      <c r="AO298" s="176"/>
      <c r="AP298" s="176"/>
      <c r="AQ298" s="229"/>
      <c r="AR298" s="229"/>
      <c r="AS298" s="176"/>
      <c r="AT298" s="376"/>
      <c r="AU298" s="376"/>
      <c r="AV298" s="376"/>
      <c r="AW298" s="376"/>
      <c r="AX298" s="376"/>
      <c r="AY298" s="376"/>
      <c r="AZ298" s="382"/>
      <c r="BA298" s="176"/>
      <c r="BB298" s="91"/>
      <c r="BC298" s="91"/>
      <c r="BD298" s="380"/>
      <c r="BE298" s="380"/>
      <c r="BF298" s="383"/>
      <c r="BG298" s="384"/>
      <c r="BH298" s="383"/>
      <c r="BI298" s="385"/>
      <c r="BJ298" s="386"/>
      <c r="BK298" s="386"/>
      <c r="BL298" s="386"/>
      <c r="BM298" s="387"/>
      <c r="BN298" s="387"/>
      <c r="BO298" s="387"/>
      <c r="BP298" s="388"/>
      <c r="BQ298" s="389"/>
      <c r="BR298" s="117"/>
      <c r="BS298" s="324"/>
      <c r="BT298" s="324"/>
      <c r="BU298" s="117"/>
    </row>
    <row r="299">
      <c r="A299" s="7"/>
      <c r="B299" s="176"/>
      <c r="C299" s="230"/>
      <c r="D299" s="230"/>
      <c r="E299" s="371"/>
      <c r="F299" s="91"/>
      <c r="G299" s="230"/>
      <c r="H299" s="176"/>
      <c r="I299" s="7"/>
      <c r="J299" s="230"/>
      <c r="K299" s="176"/>
      <c r="L299" s="176"/>
      <c r="M299" s="7"/>
      <c r="N299" s="372"/>
      <c r="O299" s="373"/>
      <c r="P299" s="374"/>
      <c r="Q299" s="375"/>
      <c r="R299" s="375"/>
      <c r="S299" s="376"/>
      <c r="T299" s="377"/>
      <c r="U299" s="377"/>
      <c r="V299" s="377"/>
      <c r="W299" s="377"/>
      <c r="X299" s="229"/>
      <c r="Y299" s="176"/>
      <c r="Z299" s="229"/>
      <c r="AA299" s="229"/>
      <c r="AB299" s="82"/>
      <c r="AC299" s="82"/>
      <c r="AD299" s="378"/>
      <c r="AE299" s="379"/>
      <c r="AF299" s="380"/>
      <c r="AG299" s="380"/>
      <c r="AH299" s="7"/>
      <c r="AI299" s="7"/>
      <c r="AJ299" s="381"/>
      <c r="AK299" s="7"/>
      <c r="AL299" s="7"/>
      <c r="AM299" s="7"/>
      <c r="AN299" s="7"/>
      <c r="AO299" s="176"/>
      <c r="AP299" s="176"/>
      <c r="AQ299" s="229"/>
      <c r="AR299" s="229"/>
      <c r="AS299" s="176"/>
      <c r="AT299" s="376"/>
      <c r="AU299" s="376"/>
      <c r="AV299" s="376"/>
      <c r="AW299" s="376"/>
      <c r="AX299" s="376"/>
      <c r="AY299" s="376"/>
      <c r="AZ299" s="382"/>
      <c r="BA299" s="176"/>
      <c r="BB299" s="91"/>
      <c r="BC299" s="91"/>
      <c r="BD299" s="380"/>
      <c r="BE299" s="380"/>
      <c r="BF299" s="383"/>
      <c r="BG299" s="384"/>
      <c r="BH299" s="383"/>
      <c r="BI299" s="385"/>
      <c r="BJ299" s="386"/>
      <c r="BK299" s="386"/>
      <c r="BL299" s="386"/>
      <c r="BM299" s="387"/>
      <c r="BN299" s="387"/>
      <c r="BO299" s="387"/>
      <c r="BP299" s="388"/>
      <c r="BQ299" s="389"/>
      <c r="BR299" s="117"/>
      <c r="BS299" s="324"/>
      <c r="BT299" s="324"/>
      <c r="BU299" s="117"/>
    </row>
    <row r="300">
      <c r="A300" s="7"/>
      <c r="B300" s="176"/>
      <c r="C300" s="230"/>
      <c r="D300" s="230"/>
      <c r="E300" s="371"/>
      <c r="F300" s="91"/>
      <c r="G300" s="230"/>
      <c r="H300" s="176"/>
      <c r="I300" s="7"/>
      <c r="J300" s="230"/>
      <c r="K300" s="176"/>
      <c r="L300" s="176"/>
      <c r="M300" s="7"/>
      <c r="N300" s="372"/>
      <c r="O300" s="373"/>
      <c r="P300" s="374"/>
      <c r="Q300" s="375"/>
      <c r="R300" s="375"/>
      <c r="S300" s="376"/>
      <c r="T300" s="377"/>
      <c r="U300" s="377"/>
      <c r="V300" s="377"/>
      <c r="W300" s="377"/>
      <c r="X300" s="229"/>
      <c r="Y300" s="176"/>
      <c r="Z300" s="229"/>
      <c r="AA300" s="229"/>
      <c r="AB300" s="82"/>
      <c r="AC300" s="82"/>
      <c r="AD300" s="378"/>
      <c r="AE300" s="379"/>
      <c r="AF300" s="380"/>
      <c r="AG300" s="380"/>
      <c r="AH300" s="7"/>
      <c r="AI300" s="7"/>
      <c r="AJ300" s="381"/>
      <c r="AK300" s="7"/>
      <c r="AL300" s="7"/>
      <c r="AM300" s="7"/>
      <c r="AN300" s="7"/>
      <c r="AO300" s="176"/>
      <c r="AP300" s="176"/>
      <c r="AQ300" s="229"/>
      <c r="AR300" s="229"/>
      <c r="AS300" s="176"/>
      <c r="AT300" s="376"/>
      <c r="AU300" s="376"/>
      <c r="AV300" s="376"/>
      <c r="AW300" s="376"/>
      <c r="AX300" s="376"/>
      <c r="AY300" s="376"/>
      <c r="AZ300" s="382"/>
      <c r="BA300" s="176"/>
      <c r="BB300" s="91"/>
      <c r="BC300" s="91"/>
      <c r="BD300" s="380"/>
      <c r="BE300" s="380"/>
      <c r="BF300" s="383"/>
      <c r="BG300" s="384"/>
      <c r="BH300" s="383"/>
      <c r="BI300" s="385"/>
      <c r="BJ300" s="386"/>
      <c r="BK300" s="386"/>
      <c r="BL300" s="386"/>
      <c r="BM300" s="387"/>
      <c r="BN300" s="387"/>
      <c r="BO300" s="387"/>
      <c r="BP300" s="388"/>
      <c r="BQ300" s="389"/>
      <c r="BR300" s="117"/>
      <c r="BS300" s="324"/>
      <c r="BT300" s="324"/>
      <c r="BU300" s="117"/>
    </row>
    <row r="301">
      <c r="A301" s="7"/>
      <c r="B301" s="176"/>
      <c r="C301" s="230"/>
      <c r="D301" s="230"/>
      <c r="E301" s="371"/>
      <c r="F301" s="91"/>
      <c r="G301" s="230"/>
      <c r="H301" s="176"/>
      <c r="I301" s="7"/>
      <c r="J301" s="230"/>
      <c r="K301" s="176"/>
      <c r="L301" s="176"/>
      <c r="M301" s="7"/>
      <c r="N301" s="372"/>
      <c r="O301" s="373"/>
      <c r="P301" s="374"/>
      <c r="Q301" s="375"/>
      <c r="R301" s="375"/>
      <c r="S301" s="376"/>
      <c r="T301" s="377"/>
      <c r="U301" s="377"/>
      <c r="V301" s="377"/>
      <c r="W301" s="377"/>
      <c r="X301" s="229"/>
      <c r="Y301" s="176"/>
      <c r="Z301" s="229"/>
      <c r="AA301" s="229"/>
      <c r="AB301" s="82"/>
      <c r="AC301" s="82"/>
      <c r="AD301" s="378"/>
      <c r="AE301" s="379"/>
      <c r="AF301" s="380"/>
      <c r="AG301" s="380"/>
      <c r="AH301" s="7"/>
      <c r="AI301" s="7"/>
      <c r="AJ301" s="381"/>
      <c r="AK301" s="7"/>
      <c r="AL301" s="7"/>
      <c r="AM301" s="7"/>
      <c r="AN301" s="7"/>
      <c r="AO301" s="176"/>
      <c r="AP301" s="176"/>
      <c r="AQ301" s="229"/>
      <c r="AR301" s="229"/>
      <c r="AS301" s="176"/>
      <c r="AT301" s="376"/>
      <c r="AU301" s="376"/>
      <c r="AV301" s="376"/>
      <c r="AW301" s="376"/>
      <c r="AX301" s="376"/>
      <c r="AY301" s="376"/>
      <c r="AZ301" s="382"/>
      <c r="BA301" s="176"/>
      <c r="BB301" s="91"/>
      <c r="BC301" s="91"/>
      <c r="BD301" s="380"/>
      <c r="BE301" s="380"/>
      <c r="BF301" s="383"/>
      <c r="BG301" s="384"/>
      <c r="BH301" s="383"/>
      <c r="BI301" s="385"/>
      <c r="BJ301" s="386"/>
      <c r="BK301" s="386"/>
      <c r="BL301" s="386"/>
      <c r="BM301" s="387"/>
      <c r="BN301" s="387"/>
      <c r="BO301" s="387"/>
      <c r="BP301" s="388"/>
      <c r="BQ301" s="389"/>
      <c r="BR301" s="117"/>
      <c r="BS301" s="324"/>
      <c r="BT301" s="324"/>
      <c r="BU301" s="117"/>
    </row>
    <row r="302">
      <c r="A302" s="7"/>
      <c r="B302" s="176"/>
      <c r="C302" s="230"/>
      <c r="D302" s="230"/>
      <c r="E302" s="371"/>
      <c r="F302" s="91"/>
      <c r="G302" s="230"/>
      <c r="H302" s="176"/>
      <c r="I302" s="7"/>
      <c r="J302" s="230"/>
      <c r="K302" s="176"/>
      <c r="L302" s="176"/>
      <c r="M302" s="7"/>
      <c r="N302" s="372"/>
      <c r="O302" s="373"/>
      <c r="P302" s="374"/>
      <c r="Q302" s="375"/>
      <c r="R302" s="375"/>
      <c r="S302" s="376"/>
      <c r="T302" s="377"/>
      <c r="U302" s="377"/>
      <c r="V302" s="377"/>
      <c r="W302" s="377"/>
      <c r="X302" s="229"/>
      <c r="Y302" s="176"/>
      <c r="Z302" s="229"/>
      <c r="AA302" s="229"/>
      <c r="AB302" s="82"/>
      <c r="AC302" s="82"/>
      <c r="AD302" s="378"/>
      <c r="AE302" s="379"/>
      <c r="AF302" s="380"/>
      <c r="AG302" s="380"/>
      <c r="AH302" s="7"/>
      <c r="AI302" s="7"/>
      <c r="AJ302" s="381"/>
      <c r="AK302" s="7"/>
      <c r="AL302" s="7"/>
      <c r="AM302" s="7"/>
      <c r="AN302" s="7"/>
      <c r="AO302" s="176"/>
      <c r="AP302" s="176"/>
      <c r="AQ302" s="229"/>
      <c r="AR302" s="229"/>
      <c r="AS302" s="176"/>
      <c r="AT302" s="376"/>
      <c r="AU302" s="376"/>
      <c r="AV302" s="376"/>
      <c r="AW302" s="376"/>
      <c r="AX302" s="376"/>
      <c r="AY302" s="376"/>
      <c r="AZ302" s="382"/>
      <c r="BA302" s="176"/>
      <c r="BB302" s="91"/>
      <c r="BC302" s="91"/>
      <c r="BD302" s="380"/>
      <c r="BE302" s="380"/>
      <c r="BF302" s="383"/>
      <c r="BG302" s="384"/>
      <c r="BH302" s="383"/>
      <c r="BI302" s="385"/>
      <c r="BJ302" s="386"/>
      <c r="BK302" s="386"/>
      <c r="BL302" s="386"/>
      <c r="BM302" s="387"/>
      <c r="BN302" s="387"/>
      <c r="BO302" s="387"/>
      <c r="BP302" s="388"/>
      <c r="BQ302" s="389"/>
      <c r="BR302" s="117"/>
      <c r="BS302" s="324"/>
      <c r="BT302" s="324"/>
      <c r="BU302" s="117"/>
    </row>
    <row r="303">
      <c r="A303" s="7"/>
      <c r="B303" s="176"/>
      <c r="C303" s="230"/>
      <c r="D303" s="230"/>
      <c r="E303" s="371"/>
      <c r="F303" s="91"/>
      <c r="G303" s="230"/>
      <c r="H303" s="176"/>
      <c r="I303" s="7"/>
      <c r="J303" s="230"/>
      <c r="K303" s="176"/>
      <c r="L303" s="176"/>
      <c r="M303" s="7"/>
      <c r="N303" s="372"/>
      <c r="O303" s="373"/>
      <c r="P303" s="374"/>
      <c r="Q303" s="375"/>
      <c r="R303" s="375"/>
      <c r="S303" s="376"/>
      <c r="T303" s="377"/>
      <c r="U303" s="377"/>
      <c r="V303" s="377"/>
      <c r="W303" s="377"/>
      <c r="X303" s="229"/>
      <c r="Y303" s="176"/>
      <c r="Z303" s="229"/>
      <c r="AA303" s="229"/>
      <c r="AB303" s="82"/>
      <c r="AC303" s="82"/>
      <c r="AD303" s="378"/>
      <c r="AE303" s="379"/>
      <c r="AF303" s="380"/>
      <c r="AG303" s="380"/>
      <c r="AH303" s="7"/>
      <c r="AI303" s="7"/>
      <c r="AJ303" s="381"/>
      <c r="AK303" s="7"/>
      <c r="AL303" s="7"/>
      <c r="AM303" s="7"/>
      <c r="AN303" s="7"/>
      <c r="AO303" s="176"/>
      <c r="AP303" s="176"/>
      <c r="AQ303" s="229"/>
      <c r="AR303" s="229"/>
      <c r="AS303" s="176"/>
      <c r="AT303" s="376"/>
      <c r="AU303" s="376"/>
      <c r="AV303" s="376"/>
      <c r="AW303" s="376"/>
      <c r="AX303" s="376"/>
      <c r="AY303" s="376"/>
      <c r="AZ303" s="382"/>
      <c r="BA303" s="176"/>
      <c r="BB303" s="91"/>
      <c r="BC303" s="91"/>
      <c r="BD303" s="380"/>
      <c r="BE303" s="380"/>
      <c r="BF303" s="383"/>
      <c r="BG303" s="384"/>
      <c r="BH303" s="383"/>
      <c r="BI303" s="385"/>
      <c r="BJ303" s="386"/>
      <c r="BK303" s="386"/>
      <c r="BL303" s="386"/>
      <c r="BM303" s="387"/>
      <c r="BN303" s="387"/>
      <c r="BO303" s="387"/>
      <c r="BP303" s="388"/>
      <c r="BQ303" s="389"/>
      <c r="BR303" s="117"/>
      <c r="BS303" s="324"/>
      <c r="BT303" s="324"/>
      <c r="BU303" s="117"/>
    </row>
    <row r="304">
      <c r="A304" s="7"/>
      <c r="B304" s="176"/>
      <c r="C304" s="230"/>
      <c r="D304" s="230"/>
      <c r="E304" s="371"/>
      <c r="F304" s="91"/>
      <c r="G304" s="230"/>
      <c r="H304" s="176"/>
      <c r="I304" s="7"/>
      <c r="J304" s="230"/>
      <c r="K304" s="176"/>
      <c r="L304" s="176"/>
      <c r="M304" s="7"/>
      <c r="N304" s="372"/>
      <c r="O304" s="373"/>
      <c r="P304" s="374"/>
      <c r="Q304" s="375"/>
      <c r="R304" s="375"/>
      <c r="S304" s="376"/>
      <c r="T304" s="377"/>
      <c r="U304" s="377"/>
      <c r="V304" s="377"/>
      <c r="W304" s="377"/>
      <c r="X304" s="229"/>
      <c r="Y304" s="176"/>
      <c r="Z304" s="229"/>
      <c r="AA304" s="229"/>
      <c r="AB304" s="82"/>
      <c r="AC304" s="82"/>
      <c r="AD304" s="378"/>
      <c r="AE304" s="379"/>
      <c r="AF304" s="380"/>
      <c r="AG304" s="380"/>
      <c r="AH304" s="7"/>
      <c r="AI304" s="7"/>
      <c r="AJ304" s="381"/>
      <c r="AK304" s="7"/>
      <c r="AL304" s="7"/>
      <c r="AM304" s="7"/>
      <c r="AN304" s="7"/>
      <c r="AO304" s="176"/>
      <c r="AP304" s="176"/>
      <c r="AQ304" s="229"/>
      <c r="AR304" s="229"/>
      <c r="AS304" s="176"/>
      <c r="AT304" s="376"/>
      <c r="AU304" s="376"/>
      <c r="AV304" s="376"/>
      <c r="AW304" s="376"/>
      <c r="AX304" s="376"/>
      <c r="AY304" s="376"/>
      <c r="AZ304" s="382"/>
      <c r="BA304" s="176"/>
      <c r="BB304" s="91"/>
      <c r="BC304" s="91"/>
      <c r="BD304" s="380"/>
      <c r="BE304" s="380"/>
      <c r="BF304" s="383"/>
      <c r="BG304" s="384"/>
      <c r="BH304" s="383"/>
      <c r="BI304" s="385"/>
      <c r="BJ304" s="386"/>
      <c r="BK304" s="386"/>
      <c r="BL304" s="386"/>
      <c r="BM304" s="387"/>
      <c r="BN304" s="387"/>
      <c r="BO304" s="387"/>
      <c r="BP304" s="388"/>
      <c r="BQ304" s="389"/>
      <c r="BR304" s="117"/>
      <c r="BS304" s="324"/>
      <c r="BT304" s="324"/>
      <c r="BU304" s="117"/>
    </row>
    <row r="305">
      <c r="A305" s="7"/>
      <c r="B305" s="176"/>
      <c r="C305" s="230"/>
      <c r="D305" s="230"/>
      <c r="E305" s="371"/>
      <c r="F305" s="91"/>
      <c r="G305" s="230"/>
      <c r="H305" s="176"/>
      <c r="I305" s="7"/>
      <c r="J305" s="230"/>
      <c r="K305" s="176"/>
      <c r="L305" s="176"/>
      <c r="M305" s="7"/>
      <c r="N305" s="372"/>
      <c r="O305" s="373"/>
      <c r="P305" s="374"/>
      <c r="Q305" s="375"/>
      <c r="R305" s="375"/>
      <c r="S305" s="376"/>
      <c r="T305" s="377"/>
      <c r="U305" s="377"/>
      <c r="V305" s="377"/>
      <c r="W305" s="377"/>
      <c r="X305" s="229"/>
      <c r="Y305" s="176"/>
      <c r="Z305" s="229"/>
      <c r="AA305" s="229"/>
      <c r="AB305" s="82"/>
      <c r="AC305" s="82"/>
      <c r="AD305" s="378"/>
      <c r="AE305" s="379"/>
      <c r="AF305" s="380"/>
      <c r="AG305" s="380"/>
      <c r="AH305" s="7"/>
      <c r="AI305" s="7"/>
      <c r="AJ305" s="381"/>
      <c r="AK305" s="7"/>
      <c r="AL305" s="7"/>
      <c r="AM305" s="7"/>
      <c r="AN305" s="7"/>
      <c r="AO305" s="176"/>
      <c r="AP305" s="176"/>
      <c r="AQ305" s="229"/>
      <c r="AR305" s="229"/>
      <c r="AS305" s="176"/>
      <c r="AT305" s="376"/>
      <c r="AU305" s="376"/>
      <c r="AV305" s="376"/>
      <c r="AW305" s="376"/>
      <c r="AX305" s="376"/>
      <c r="AY305" s="376"/>
      <c r="AZ305" s="382"/>
      <c r="BA305" s="176"/>
      <c r="BB305" s="91"/>
      <c r="BC305" s="91"/>
      <c r="BD305" s="380"/>
      <c r="BE305" s="380"/>
      <c r="BF305" s="383"/>
      <c r="BG305" s="384"/>
      <c r="BH305" s="383"/>
      <c r="BI305" s="385"/>
      <c r="BJ305" s="386"/>
      <c r="BK305" s="386"/>
      <c r="BL305" s="386"/>
      <c r="BM305" s="387"/>
      <c r="BN305" s="387"/>
      <c r="BO305" s="387"/>
      <c r="BP305" s="388"/>
      <c r="BQ305" s="389"/>
      <c r="BR305" s="117"/>
      <c r="BS305" s="324"/>
      <c r="BT305" s="324"/>
      <c r="BU305" s="117"/>
    </row>
    <row r="306">
      <c r="A306" s="7"/>
      <c r="B306" s="176"/>
      <c r="C306" s="230"/>
      <c r="D306" s="230"/>
      <c r="E306" s="371"/>
      <c r="F306" s="91"/>
      <c r="G306" s="230"/>
      <c r="H306" s="176"/>
      <c r="I306" s="7"/>
      <c r="J306" s="230"/>
      <c r="K306" s="176"/>
      <c r="L306" s="176"/>
      <c r="M306" s="7"/>
      <c r="N306" s="372"/>
      <c r="O306" s="373"/>
      <c r="P306" s="374"/>
      <c r="Q306" s="375"/>
      <c r="R306" s="375"/>
      <c r="S306" s="376"/>
      <c r="T306" s="377"/>
      <c r="U306" s="377"/>
      <c r="V306" s="377"/>
      <c r="W306" s="377"/>
      <c r="X306" s="229"/>
      <c r="Y306" s="176"/>
      <c r="Z306" s="229"/>
      <c r="AA306" s="229"/>
      <c r="AB306" s="82"/>
      <c r="AC306" s="82"/>
      <c r="AD306" s="378"/>
      <c r="AE306" s="379"/>
      <c r="AF306" s="380"/>
      <c r="AG306" s="380"/>
      <c r="AH306" s="7"/>
      <c r="AI306" s="7"/>
      <c r="AJ306" s="381"/>
      <c r="AK306" s="7"/>
      <c r="AL306" s="7"/>
      <c r="AM306" s="7"/>
      <c r="AN306" s="7"/>
      <c r="AO306" s="176"/>
      <c r="AP306" s="176"/>
      <c r="AQ306" s="229"/>
      <c r="AR306" s="229"/>
      <c r="AS306" s="176"/>
      <c r="AT306" s="376"/>
      <c r="AU306" s="376"/>
      <c r="AV306" s="376"/>
      <c r="AW306" s="376"/>
      <c r="AX306" s="376"/>
      <c r="AY306" s="376"/>
      <c r="AZ306" s="382"/>
      <c r="BA306" s="176"/>
      <c r="BB306" s="91"/>
      <c r="BC306" s="91"/>
      <c r="BD306" s="380"/>
      <c r="BE306" s="380"/>
      <c r="BF306" s="383"/>
      <c r="BG306" s="384"/>
      <c r="BH306" s="383"/>
      <c r="BI306" s="385"/>
      <c r="BJ306" s="386"/>
      <c r="BK306" s="386"/>
      <c r="BL306" s="386"/>
      <c r="BM306" s="387"/>
      <c r="BN306" s="387"/>
      <c r="BO306" s="387"/>
      <c r="BP306" s="388"/>
      <c r="BQ306" s="389"/>
      <c r="BR306" s="117"/>
      <c r="BS306" s="324"/>
      <c r="BT306" s="324"/>
      <c r="BU306" s="117"/>
    </row>
    <row r="307">
      <c r="A307" s="7"/>
      <c r="B307" s="176"/>
      <c r="C307" s="230"/>
      <c r="D307" s="230"/>
      <c r="E307" s="371"/>
      <c r="F307" s="91"/>
      <c r="G307" s="230"/>
      <c r="H307" s="176"/>
      <c r="I307" s="7"/>
      <c r="J307" s="230"/>
      <c r="K307" s="176"/>
      <c r="L307" s="176"/>
      <c r="M307" s="7"/>
      <c r="N307" s="372"/>
      <c r="O307" s="373"/>
      <c r="P307" s="374"/>
      <c r="Q307" s="375"/>
      <c r="R307" s="375"/>
      <c r="S307" s="376"/>
      <c r="T307" s="377"/>
      <c r="U307" s="377"/>
      <c r="V307" s="377"/>
      <c r="W307" s="377"/>
      <c r="X307" s="229"/>
      <c r="Y307" s="176"/>
      <c r="Z307" s="229"/>
      <c r="AA307" s="229"/>
      <c r="AB307" s="82"/>
      <c r="AC307" s="82"/>
      <c r="AD307" s="378"/>
      <c r="AE307" s="379"/>
      <c r="AF307" s="380"/>
      <c r="AG307" s="380"/>
      <c r="AH307" s="7"/>
      <c r="AI307" s="7"/>
      <c r="AJ307" s="381"/>
      <c r="AK307" s="7"/>
      <c r="AL307" s="7"/>
      <c r="AM307" s="7"/>
      <c r="AN307" s="7"/>
      <c r="AO307" s="176"/>
      <c r="AP307" s="176"/>
      <c r="AQ307" s="229"/>
      <c r="AR307" s="229"/>
      <c r="AS307" s="176"/>
      <c r="AT307" s="376"/>
      <c r="AU307" s="376"/>
      <c r="AV307" s="376"/>
      <c r="AW307" s="376"/>
      <c r="AX307" s="376"/>
      <c r="AY307" s="376"/>
      <c r="AZ307" s="382"/>
      <c r="BA307" s="176"/>
      <c r="BB307" s="91"/>
      <c r="BC307" s="91"/>
      <c r="BD307" s="380"/>
      <c r="BE307" s="380"/>
      <c r="BF307" s="383"/>
      <c r="BG307" s="384"/>
      <c r="BH307" s="383"/>
      <c r="BI307" s="385"/>
      <c r="BJ307" s="386"/>
      <c r="BK307" s="386"/>
      <c r="BL307" s="386"/>
      <c r="BM307" s="387"/>
      <c r="BN307" s="387"/>
      <c r="BO307" s="387"/>
      <c r="BP307" s="388"/>
      <c r="BQ307" s="389"/>
      <c r="BR307" s="117"/>
      <c r="BS307" s="324"/>
      <c r="BT307" s="324"/>
      <c r="BU307" s="117"/>
    </row>
    <row r="308">
      <c r="A308" s="7"/>
      <c r="B308" s="176"/>
      <c r="C308" s="230"/>
      <c r="D308" s="230"/>
      <c r="E308" s="371"/>
      <c r="F308" s="91"/>
      <c r="G308" s="230"/>
      <c r="H308" s="176"/>
      <c r="I308" s="7"/>
      <c r="J308" s="230"/>
      <c r="K308" s="176"/>
      <c r="L308" s="176"/>
      <c r="M308" s="7"/>
      <c r="N308" s="372"/>
      <c r="O308" s="373"/>
      <c r="P308" s="374"/>
      <c r="Q308" s="375"/>
      <c r="R308" s="375"/>
      <c r="S308" s="376"/>
      <c r="T308" s="377"/>
      <c r="U308" s="377"/>
      <c r="V308" s="377"/>
      <c r="W308" s="377"/>
      <c r="X308" s="229"/>
      <c r="Y308" s="176"/>
      <c r="Z308" s="229"/>
      <c r="AA308" s="229"/>
      <c r="AB308" s="82"/>
      <c r="AC308" s="82"/>
      <c r="AD308" s="378"/>
      <c r="AE308" s="379"/>
      <c r="AF308" s="380"/>
      <c r="AG308" s="380"/>
      <c r="AH308" s="7"/>
      <c r="AI308" s="7"/>
      <c r="AJ308" s="381"/>
      <c r="AK308" s="7"/>
      <c r="AL308" s="7"/>
      <c r="AM308" s="7"/>
      <c r="AN308" s="7"/>
      <c r="AO308" s="176"/>
      <c r="AP308" s="176"/>
      <c r="AQ308" s="229"/>
      <c r="AR308" s="229"/>
      <c r="AS308" s="176"/>
      <c r="AT308" s="376"/>
      <c r="AU308" s="376"/>
      <c r="AV308" s="376"/>
      <c r="AW308" s="376"/>
      <c r="AX308" s="376"/>
      <c r="AY308" s="376"/>
      <c r="AZ308" s="382"/>
      <c r="BA308" s="176"/>
      <c r="BB308" s="91"/>
      <c r="BC308" s="91"/>
      <c r="BD308" s="380"/>
      <c r="BE308" s="380"/>
      <c r="BF308" s="383"/>
      <c r="BG308" s="384"/>
      <c r="BH308" s="383"/>
      <c r="BI308" s="385"/>
      <c r="BJ308" s="386"/>
      <c r="BK308" s="386"/>
      <c r="BL308" s="386"/>
      <c r="BM308" s="387"/>
      <c r="BN308" s="387"/>
      <c r="BO308" s="387"/>
      <c r="BP308" s="388"/>
      <c r="BQ308" s="389"/>
      <c r="BR308" s="117"/>
      <c r="BS308" s="324"/>
      <c r="BT308" s="324"/>
      <c r="BU308" s="117"/>
    </row>
    <row r="309">
      <c r="A309" s="7"/>
      <c r="B309" s="176"/>
      <c r="C309" s="230"/>
      <c r="D309" s="230"/>
      <c r="E309" s="371"/>
      <c r="F309" s="91"/>
      <c r="G309" s="230"/>
      <c r="H309" s="176"/>
      <c r="I309" s="7"/>
      <c r="J309" s="230"/>
      <c r="K309" s="176"/>
      <c r="L309" s="176"/>
      <c r="M309" s="7"/>
      <c r="N309" s="372"/>
      <c r="O309" s="373"/>
      <c r="P309" s="374"/>
      <c r="Q309" s="375"/>
      <c r="R309" s="375"/>
      <c r="S309" s="376"/>
      <c r="T309" s="377"/>
      <c r="U309" s="377"/>
      <c r="V309" s="377"/>
      <c r="W309" s="377"/>
      <c r="X309" s="229"/>
      <c r="Y309" s="176"/>
      <c r="Z309" s="229"/>
      <c r="AA309" s="229"/>
      <c r="AB309" s="82"/>
      <c r="AC309" s="82"/>
      <c r="AD309" s="378"/>
      <c r="AE309" s="379"/>
      <c r="AF309" s="380"/>
      <c r="AG309" s="380"/>
      <c r="AH309" s="7"/>
      <c r="AI309" s="7"/>
      <c r="AJ309" s="381"/>
      <c r="AK309" s="7"/>
      <c r="AL309" s="7"/>
      <c r="AM309" s="7"/>
      <c r="AN309" s="7"/>
      <c r="AO309" s="176"/>
      <c r="AP309" s="176"/>
      <c r="AQ309" s="229"/>
      <c r="AR309" s="229"/>
      <c r="AS309" s="176"/>
      <c r="AT309" s="376"/>
      <c r="AU309" s="376"/>
      <c r="AV309" s="376"/>
      <c r="AW309" s="376"/>
      <c r="AX309" s="376"/>
      <c r="AY309" s="376"/>
      <c r="AZ309" s="382"/>
      <c r="BA309" s="176"/>
      <c r="BB309" s="91"/>
      <c r="BC309" s="91"/>
      <c r="BD309" s="380"/>
      <c r="BE309" s="380"/>
      <c r="BF309" s="383"/>
      <c r="BG309" s="384"/>
      <c r="BH309" s="383"/>
      <c r="BI309" s="385"/>
      <c r="BJ309" s="386"/>
      <c r="BK309" s="386"/>
      <c r="BL309" s="386"/>
      <c r="BM309" s="387"/>
      <c r="BN309" s="387"/>
      <c r="BO309" s="387"/>
      <c r="BP309" s="388"/>
      <c r="BQ309" s="389"/>
      <c r="BR309" s="117"/>
      <c r="BS309" s="324"/>
      <c r="BT309" s="324"/>
      <c r="BU309" s="117"/>
    </row>
    <row r="310">
      <c r="A310" s="7"/>
      <c r="B310" s="176"/>
      <c r="C310" s="230"/>
      <c r="D310" s="230"/>
      <c r="E310" s="371"/>
      <c r="F310" s="91"/>
      <c r="G310" s="230"/>
      <c r="H310" s="176"/>
      <c r="I310" s="7"/>
      <c r="J310" s="230"/>
      <c r="K310" s="176"/>
      <c r="L310" s="176"/>
      <c r="M310" s="7"/>
      <c r="N310" s="372"/>
      <c r="O310" s="373"/>
      <c r="P310" s="374"/>
      <c r="Q310" s="375"/>
      <c r="R310" s="375"/>
      <c r="S310" s="376"/>
      <c r="T310" s="377"/>
      <c r="U310" s="377"/>
      <c r="V310" s="377"/>
      <c r="W310" s="377"/>
      <c r="X310" s="229"/>
      <c r="Y310" s="176"/>
      <c r="Z310" s="229"/>
      <c r="AA310" s="229"/>
      <c r="AB310" s="82"/>
      <c r="AC310" s="82"/>
      <c r="AD310" s="378"/>
      <c r="AE310" s="379"/>
      <c r="AF310" s="380"/>
      <c r="AG310" s="380"/>
      <c r="AH310" s="7"/>
      <c r="AI310" s="7"/>
      <c r="AJ310" s="381"/>
      <c r="AK310" s="7"/>
      <c r="AL310" s="7"/>
      <c r="AM310" s="7"/>
      <c r="AN310" s="7"/>
      <c r="AO310" s="176"/>
      <c r="AP310" s="176"/>
      <c r="AQ310" s="229"/>
      <c r="AR310" s="229"/>
      <c r="AS310" s="176"/>
      <c r="AT310" s="376"/>
      <c r="AU310" s="376"/>
      <c r="AV310" s="376"/>
      <c r="AW310" s="376"/>
      <c r="AX310" s="376"/>
      <c r="AY310" s="376"/>
      <c r="AZ310" s="382"/>
      <c r="BA310" s="176"/>
      <c r="BB310" s="91"/>
      <c r="BC310" s="91"/>
      <c r="BD310" s="380"/>
      <c r="BE310" s="380"/>
      <c r="BF310" s="383"/>
      <c r="BG310" s="384"/>
      <c r="BH310" s="383"/>
      <c r="BI310" s="385"/>
      <c r="BJ310" s="386"/>
      <c r="BK310" s="386"/>
      <c r="BL310" s="386"/>
      <c r="BM310" s="387"/>
      <c r="BN310" s="387"/>
      <c r="BO310" s="387"/>
      <c r="BP310" s="388"/>
      <c r="BQ310" s="389"/>
      <c r="BR310" s="117"/>
      <c r="BS310" s="324"/>
      <c r="BT310" s="324"/>
      <c r="BU310" s="117"/>
    </row>
    <row r="311">
      <c r="A311" s="7"/>
      <c r="B311" s="176"/>
      <c r="C311" s="230"/>
      <c r="D311" s="230"/>
      <c r="E311" s="371"/>
      <c r="F311" s="91"/>
      <c r="G311" s="230"/>
      <c r="H311" s="176"/>
      <c r="I311" s="7"/>
      <c r="J311" s="230"/>
      <c r="K311" s="176"/>
      <c r="L311" s="176"/>
      <c r="M311" s="7"/>
      <c r="N311" s="372"/>
      <c r="O311" s="373"/>
      <c r="P311" s="374"/>
      <c r="Q311" s="375"/>
      <c r="R311" s="375"/>
      <c r="S311" s="376"/>
      <c r="T311" s="377"/>
      <c r="U311" s="377"/>
      <c r="V311" s="377"/>
      <c r="W311" s="377"/>
      <c r="X311" s="229"/>
      <c r="Y311" s="176"/>
      <c r="Z311" s="229"/>
      <c r="AA311" s="229"/>
      <c r="AB311" s="82"/>
      <c r="AC311" s="82"/>
      <c r="AD311" s="378"/>
      <c r="AE311" s="379"/>
      <c r="AF311" s="380"/>
      <c r="AG311" s="380"/>
      <c r="AH311" s="7"/>
      <c r="AI311" s="7"/>
      <c r="AJ311" s="381"/>
      <c r="AK311" s="7"/>
      <c r="AL311" s="7"/>
      <c r="AM311" s="7"/>
      <c r="AN311" s="7"/>
      <c r="AO311" s="176"/>
      <c r="AP311" s="176"/>
      <c r="AQ311" s="229"/>
      <c r="AR311" s="229"/>
      <c r="AS311" s="176"/>
      <c r="AT311" s="376"/>
      <c r="AU311" s="376"/>
      <c r="AV311" s="376"/>
      <c r="AW311" s="376"/>
      <c r="AX311" s="376"/>
      <c r="AY311" s="376"/>
      <c r="AZ311" s="382"/>
      <c r="BA311" s="176"/>
      <c r="BB311" s="91"/>
      <c r="BC311" s="91"/>
      <c r="BD311" s="380"/>
      <c r="BE311" s="380"/>
      <c r="BF311" s="383"/>
      <c r="BG311" s="384"/>
      <c r="BH311" s="383"/>
      <c r="BI311" s="385"/>
      <c r="BJ311" s="386"/>
      <c r="BK311" s="386"/>
      <c r="BL311" s="386"/>
      <c r="BM311" s="387"/>
      <c r="BN311" s="387"/>
      <c r="BO311" s="387"/>
      <c r="BP311" s="388"/>
      <c r="BQ311" s="389"/>
      <c r="BR311" s="117"/>
      <c r="BS311" s="324"/>
      <c r="BT311" s="324"/>
      <c r="BU311" s="117"/>
    </row>
    <row r="312">
      <c r="A312" s="7"/>
      <c r="B312" s="176"/>
      <c r="C312" s="230"/>
      <c r="D312" s="230"/>
      <c r="E312" s="371"/>
      <c r="F312" s="91"/>
      <c r="G312" s="230"/>
      <c r="H312" s="176"/>
      <c r="I312" s="7"/>
      <c r="J312" s="230"/>
      <c r="K312" s="176"/>
      <c r="L312" s="176"/>
      <c r="M312" s="7"/>
      <c r="N312" s="372"/>
      <c r="O312" s="373"/>
      <c r="P312" s="374"/>
      <c r="Q312" s="375"/>
      <c r="R312" s="375"/>
      <c r="S312" s="376"/>
      <c r="T312" s="377"/>
      <c r="U312" s="377"/>
      <c r="V312" s="377"/>
      <c r="W312" s="377"/>
      <c r="X312" s="229"/>
      <c r="Y312" s="176"/>
      <c r="Z312" s="229"/>
      <c r="AA312" s="229"/>
      <c r="AB312" s="82"/>
      <c r="AC312" s="82"/>
      <c r="AD312" s="378"/>
      <c r="AE312" s="379"/>
      <c r="AF312" s="380"/>
      <c r="AG312" s="380"/>
      <c r="AH312" s="7"/>
      <c r="AI312" s="7"/>
      <c r="AJ312" s="381"/>
      <c r="AK312" s="7"/>
      <c r="AL312" s="7"/>
      <c r="AM312" s="7"/>
      <c r="AN312" s="7"/>
      <c r="AO312" s="176"/>
      <c r="AP312" s="176"/>
      <c r="AQ312" s="229"/>
      <c r="AR312" s="229"/>
      <c r="AS312" s="176"/>
      <c r="AT312" s="376"/>
      <c r="AU312" s="376"/>
      <c r="AV312" s="376"/>
      <c r="AW312" s="376"/>
      <c r="AX312" s="376"/>
      <c r="AY312" s="376"/>
      <c r="AZ312" s="382"/>
      <c r="BA312" s="176"/>
      <c r="BB312" s="91"/>
      <c r="BC312" s="91"/>
      <c r="BD312" s="380"/>
      <c r="BE312" s="380"/>
      <c r="BF312" s="383"/>
      <c r="BG312" s="384"/>
      <c r="BH312" s="383"/>
      <c r="BI312" s="385"/>
      <c r="BJ312" s="386"/>
      <c r="BK312" s="386"/>
      <c r="BL312" s="386"/>
      <c r="BM312" s="387"/>
      <c r="BN312" s="387"/>
      <c r="BO312" s="387"/>
      <c r="BP312" s="388"/>
      <c r="BQ312" s="389"/>
      <c r="BR312" s="117"/>
      <c r="BS312" s="324"/>
      <c r="BT312" s="324"/>
      <c r="BU312" s="117"/>
    </row>
    <row r="313">
      <c r="A313" s="7"/>
      <c r="B313" s="176"/>
      <c r="C313" s="230"/>
      <c r="D313" s="230"/>
      <c r="E313" s="371"/>
      <c r="F313" s="91"/>
      <c r="G313" s="230"/>
      <c r="H313" s="176"/>
      <c r="I313" s="7"/>
      <c r="J313" s="230"/>
      <c r="K313" s="176"/>
      <c r="L313" s="176"/>
      <c r="M313" s="7"/>
      <c r="N313" s="372"/>
      <c r="O313" s="373"/>
      <c r="P313" s="374"/>
      <c r="Q313" s="375"/>
      <c r="R313" s="375"/>
      <c r="S313" s="376"/>
      <c r="T313" s="377"/>
      <c r="U313" s="377"/>
      <c r="V313" s="377"/>
      <c r="W313" s="377"/>
      <c r="X313" s="229"/>
      <c r="Y313" s="176"/>
      <c r="Z313" s="229"/>
      <c r="AA313" s="229"/>
      <c r="AB313" s="82"/>
      <c r="AC313" s="82"/>
      <c r="AD313" s="378"/>
      <c r="AE313" s="379"/>
      <c r="AF313" s="380"/>
      <c r="AG313" s="380"/>
      <c r="AH313" s="7"/>
      <c r="AI313" s="7"/>
      <c r="AJ313" s="381"/>
      <c r="AK313" s="7"/>
      <c r="AL313" s="7"/>
      <c r="AM313" s="7"/>
      <c r="AN313" s="7"/>
      <c r="AO313" s="176"/>
      <c r="AP313" s="176"/>
      <c r="AQ313" s="229"/>
      <c r="AR313" s="229"/>
      <c r="AS313" s="176"/>
      <c r="AT313" s="376"/>
      <c r="AU313" s="376"/>
      <c r="AV313" s="376"/>
      <c r="AW313" s="376"/>
      <c r="AX313" s="376"/>
      <c r="AY313" s="376"/>
      <c r="AZ313" s="382"/>
      <c r="BA313" s="176"/>
      <c r="BB313" s="91"/>
      <c r="BC313" s="91"/>
      <c r="BD313" s="380"/>
      <c r="BE313" s="380"/>
      <c r="BF313" s="383"/>
      <c r="BG313" s="384"/>
      <c r="BH313" s="383"/>
      <c r="BI313" s="385"/>
      <c r="BJ313" s="386"/>
      <c r="BK313" s="386"/>
      <c r="BL313" s="386"/>
      <c r="BM313" s="387"/>
      <c r="BN313" s="387"/>
      <c r="BO313" s="387"/>
      <c r="BP313" s="388"/>
      <c r="BQ313" s="389"/>
      <c r="BR313" s="117"/>
      <c r="BS313" s="324"/>
      <c r="BT313" s="324"/>
      <c r="BU313" s="117"/>
    </row>
    <row r="314">
      <c r="A314" s="7"/>
      <c r="B314" s="176"/>
      <c r="C314" s="230"/>
      <c r="D314" s="230"/>
      <c r="E314" s="371"/>
      <c r="F314" s="91"/>
      <c r="G314" s="230"/>
      <c r="H314" s="176"/>
      <c r="I314" s="7"/>
      <c r="J314" s="230"/>
      <c r="K314" s="176"/>
      <c r="L314" s="176"/>
      <c r="M314" s="7"/>
      <c r="N314" s="372"/>
      <c r="O314" s="373"/>
      <c r="P314" s="374"/>
      <c r="Q314" s="375"/>
      <c r="R314" s="375"/>
      <c r="S314" s="376"/>
      <c r="T314" s="377"/>
      <c r="U314" s="377"/>
      <c r="V314" s="377"/>
      <c r="W314" s="377"/>
      <c r="X314" s="229"/>
      <c r="Y314" s="176"/>
      <c r="Z314" s="229"/>
      <c r="AA314" s="229"/>
      <c r="AB314" s="82"/>
      <c r="AC314" s="82"/>
      <c r="AD314" s="378"/>
      <c r="AE314" s="379"/>
      <c r="AF314" s="380"/>
      <c r="AG314" s="380"/>
      <c r="AH314" s="7"/>
      <c r="AI314" s="7"/>
      <c r="AJ314" s="381"/>
      <c r="AK314" s="7"/>
      <c r="AL314" s="7"/>
      <c r="AM314" s="7"/>
      <c r="AN314" s="7"/>
      <c r="AO314" s="176"/>
      <c r="AP314" s="176"/>
      <c r="AQ314" s="229"/>
      <c r="AR314" s="229"/>
      <c r="AS314" s="176"/>
      <c r="AT314" s="376"/>
      <c r="AU314" s="376"/>
      <c r="AV314" s="376"/>
      <c r="AW314" s="376"/>
      <c r="AX314" s="376"/>
      <c r="AY314" s="376"/>
      <c r="AZ314" s="382"/>
      <c r="BA314" s="176"/>
      <c r="BB314" s="91"/>
      <c r="BC314" s="91"/>
      <c r="BD314" s="380"/>
      <c r="BE314" s="380"/>
      <c r="BF314" s="383"/>
      <c r="BG314" s="384"/>
      <c r="BH314" s="383"/>
      <c r="BI314" s="385"/>
      <c r="BJ314" s="386"/>
      <c r="BK314" s="386"/>
      <c r="BL314" s="386"/>
      <c r="BM314" s="387"/>
      <c r="BN314" s="387"/>
      <c r="BO314" s="387"/>
      <c r="BP314" s="388"/>
      <c r="BQ314" s="389"/>
      <c r="BR314" s="117"/>
      <c r="BS314" s="324"/>
      <c r="BT314" s="324"/>
      <c r="BU314" s="117"/>
    </row>
    <row r="315">
      <c r="A315" s="7"/>
      <c r="B315" s="176"/>
      <c r="C315" s="230"/>
      <c r="D315" s="230"/>
      <c r="E315" s="371"/>
      <c r="F315" s="91"/>
      <c r="G315" s="230"/>
      <c r="H315" s="176"/>
      <c r="I315" s="7"/>
      <c r="J315" s="230"/>
      <c r="K315" s="176"/>
      <c r="L315" s="176"/>
      <c r="M315" s="7"/>
      <c r="N315" s="372"/>
      <c r="O315" s="373"/>
      <c r="P315" s="374"/>
      <c r="Q315" s="375"/>
      <c r="R315" s="375"/>
      <c r="S315" s="376"/>
      <c r="T315" s="377"/>
      <c r="U315" s="377"/>
      <c r="V315" s="377"/>
      <c r="W315" s="377"/>
      <c r="X315" s="229"/>
      <c r="Y315" s="176"/>
      <c r="Z315" s="229"/>
      <c r="AA315" s="229"/>
      <c r="AB315" s="82"/>
      <c r="AC315" s="82"/>
      <c r="AD315" s="378"/>
      <c r="AE315" s="379"/>
      <c r="AF315" s="380"/>
      <c r="AG315" s="380"/>
      <c r="AH315" s="7"/>
      <c r="AI315" s="7"/>
      <c r="AJ315" s="381"/>
      <c r="AK315" s="7"/>
      <c r="AL315" s="7"/>
      <c r="AM315" s="7"/>
      <c r="AN315" s="7"/>
      <c r="AO315" s="176"/>
      <c r="AP315" s="176"/>
      <c r="AQ315" s="229"/>
      <c r="AR315" s="229"/>
      <c r="AS315" s="176"/>
      <c r="AT315" s="376"/>
      <c r="AU315" s="376"/>
      <c r="AV315" s="376"/>
      <c r="AW315" s="376"/>
      <c r="AX315" s="376"/>
      <c r="AY315" s="376"/>
      <c r="AZ315" s="382"/>
      <c r="BA315" s="176"/>
      <c r="BB315" s="91"/>
      <c r="BC315" s="91"/>
      <c r="BD315" s="380"/>
      <c r="BE315" s="380"/>
      <c r="BF315" s="383"/>
      <c r="BG315" s="384"/>
      <c r="BH315" s="383"/>
      <c r="BI315" s="385"/>
      <c r="BJ315" s="386"/>
      <c r="BK315" s="386"/>
      <c r="BL315" s="386"/>
      <c r="BM315" s="387"/>
      <c r="BN315" s="387"/>
      <c r="BO315" s="387"/>
      <c r="BP315" s="388"/>
      <c r="BQ315" s="389"/>
      <c r="BR315" s="117"/>
      <c r="BS315" s="324"/>
      <c r="BT315" s="324"/>
      <c r="BU315" s="117"/>
    </row>
    <row r="316">
      <c r="A316" s="7"/>
      <c r="B316" s="176"/>
      <c r="C316" s="230"/>
      <c r="D316" s="230"/>
      <c r="E316" s="371"/>
      <c r="F316" s="91"/>
      <c r="G316" s="230"/>
      <c r="H316" s="176"/>
      <c r="I316" s="7"/>
      <c r="J316" s="230"/>
      <c r="K316" s="176"/>
      <c r="L316" s="176"/>
      <c r="M316" s="7"/>
      <c r="N316" s="372"/>
      <c r="O316" s="373"/>
      <c r="P316" s="374"/>
      <c r="Q316" s="375"/>
      <c r="R316" s="375"/>
      <c r="S316" s="376"/>
      <c r="T316" s="377"/>
      <c r="U316" s="377"/>
      <c r="V316" s="377"/>
      <c r="W316" s="377"/>
      <c r="X316" s="229"/>
      <c r="Y316" s="176"/>
      <c r="Z316" s="229"/>
      <c r="AA316" s="229"/>
      <c r="AB316" s="82"/>
      <c r="AC316" s="82"/>
      <c r="AD316" s="378"/>
      <c r="AE316" s="379"/>
      <c r="AF316" s="380"/>
      <c r="AG316" s="380"/>
      <c r="AH316" s="7"/>
      <c r="AI316" s="7"/>
      <c r="AJ316" s="381"/>
      <c r="AK316" s="7"/>
      <c r="AL316" s="7"/>
      <c r="AM316" s="7"/>
      <c r="AN316" s="7"/>
      <c r="AO316" s="176"/>
      <c r="AP316" s="176"/>
      <c r="AQ316" s="229"/>
      <c r="AR316" s="229"/>
      <c r="AS316" s="176"/>
      <c r="AT316" s="376"/>
      <c r="AU316" s="376"/>
      <c r="AV316" s="376"/>
      <c r="AW316" s="376"/>
      <c r="AX316" s="376"/>
      <c r="AY316" s="376"/>
      <c r="AZ316" s="382"/>
      <c r="BA316" s="176"/>
      <c r="BB316" s="91"/>
      <c r="BC316" s="91"/>
      <c r="BD316" s="380"/>
      <c r="BE316" s="380"/>
      <c r="BF316" s="383"/>
      <c r="BG316" s="384"/>
      <c r="BH316" s="383"/>
      <c r="BI316" s="385"/>
      <c r="BJ316" s="386"/>
      <c r="BK316" s="386"/>
      <c r="BL316" s="386"/>
      <c r="BM316" s="387"/>
      <c r="BN316" s="387"/>
      <c r="BO316" s="387"/>
      <c r="BP316" s="388"/>
      <c r="BQ316" s="389"/>
      <c r="BR316" s="117"/>
      <c r="BS316" s="324"/>
      <c r="BT316" s="324"/>
      <c r="BU316" s="117"/>
    </row>
    <row r="317">
      <c r="A317" s="7"/>
      <c r="B317" s="176"/>
      <c r="C317" s="230"/>
      <c r="D317" s="230"/>
      <c r="E317" s="371"/>
      <c r="F317" s="91"/>
      <c r="G317" s="230"/>
      <c r="H317" s="176"/>
      <c r="I317" s="7"/>
      <c r="J317" s="230"/>
      <c r="K317" s="176"/>
      <c r="L317" s="176"/>
      <c r="M317" s="7"/>
      <c r="N317" s="372"/>
      <c r="O317" s="373"/>
      <c r="P317" s="374"/>
      <c r="Q317" s="375"/>
      <c r="R317" s="375"/>
      <c r="S317" s="376"/>
      <c r="T317" s="377"/>
      <c r="U317" s="377"/>
      <c r="V317" s="377"/>
      <c r="W317" s="377"/>
      <c r="X317" s="229"/>
      <c r="Y317" s="176"/>
      <c r="Z317" s="229"/>
      <c r="AA317" s="229"/>
      <c r="AB317" s="82"/>
      <c r="AC317" s="82"/>
      <c r="AD317" s="378"/>
      <c r="AE317" s="379"/>
      <c r="AF317" s="380"/>
      <c r="AG317" s="380"/>
      <c r="AH317" s="7"/>
      <c r="AI317" s="7"/>
      <c r="AJ317" s="381"/>
      <c r="AK317" s="7"/>
      <c r="AL317" s="7"/>
      <c r="AM317" s="7"/>
      <c r="AN317" s="7"/>
      <c r="AO317" s="176"/>
      <c r="AP317" s="176"/>
      <c r="AQ317" s="229"/>
      <c r="AR317" s="229"/>
      <c r="AS317" s="176"/>
      <c r="AT317" s="376"/>
      <c r="AU317" s="376"/>
      <c r="AV317" s="376"/>
      <c r="AW317" s="376"/>
      <c r="AX317" s="376"/>
      <c r="AY317" s="376"/>
      <c r="AZ317" s="382"/>
      <c r="BA317" s="176"/>
      <c r="BB317" s="91"/>
      <c r="BC317" s="91"/>
      <c r="BD317" s="380"/>
      <c r="BE317" s="380"/>
      <c r="BF317" s="383"/>
      <c r="BG317" s="384"/>
      <c r="BH317" s="383"/>
      <c r="BI317" s="385"/>
      <c r="BJ317" s="386"/>
      <c r="BK317" s="386"/>
      <c r="BL317" s="386"/>
      <c r="BM317" s="387"/>
      <c r="BN317" s="387"/>
      <c r="BO317" s="387"/>
      <c r="BP317" s="388"/>
      <c r="BQ317" s="389"/>
      <c r="BR317" s="117"/>
      <c r="BS317" s="324"/>
      <c r="BT317" s="324"/>
      <c r="BU317" s="117"/>
    </row>
    <row r="318">
      <c r="A318" s="7"/>
      <c r="B318" s="176"/>
      <c r="C318" s="230"/>
      <c r="D318" s="230"/>
      <c r="E318" s="371"/>
      <c r="F318" s="91"/>
      <c r="G318" s="230"/>
      <c r="H318" s="176"/>
      <c r="I318" s="7"/>
      <c r="J318" s="230"/>
      <c r="K318" s="176"/>
      <c r="L318" s="176"/>
      <c r="M318" s="7"/>
      <c r="N318" s="372"/>
      <c r="O318" s="373"/>
      <c r="P318" s="374"/>
      <c r="Q318" s="375"/>
      <c r="R318" s="375"/>
      <c r="S318" s="376"/>
      <c r="T318" s="377"/>
      <c r="U318" s="377"/>
      <c r="V318" s="377"/>
      <c r="W318" s="377"/>
      <c r="X318" s="229"/>
      <c r="Y318" s="176"/>
      <c r="Z318" s="229"/>
      <c r="AA318" s="229"/>
      <c r="AB318" s="82"/>
      <c r="AC318" s="82"/>
      <c r="AD318" s="378"/>
      <c r="AE318" s="379"/>
      <c r="AF318" s="380"/>
      <c r="AG318" s="380"/>
      <c r="AH318" s="7"/>
      <c r="AI318" s="7"/>
      <c r="AJ318" s="381"/>
      <c r="AK318" s="7"/>
      <c r="AL318" s="7"/>
      <c r="AM318" s="7"/>
      <c r="AN318" s="7"/>
      <c r="AO318" s="176"/>
      <c r="AP318" s="176"/>
      <c r="AQ318" s="229"/>
      <c r="AR318" s="229"/>
      <c r="AS318" s="176"/>
      <c r="AT318" s="376"/>
      <c r="AU318" s="376"/>
      <c r="AV318" s="376"/>
      <c r="AW318" s="376"/>
      <c r="AX318" s="376"/>
      <c r="AY318" s="376"/>
      <c r="AZ318" s="382"/>
      <c r="BA318" s="176"/>
      <c r="BB318" s="91"/>
      <c r="BC318" s="91"/>
      <c r="BD318" s="380"/>
      <c r="BE318" s="380"/>
      <c r="BF318" s="383"/>
      <c r="BG318" s="384"/>
      <c r="BH318" s="383"/>
      <c r="BI318" s="385"/>
      <c r="BJ318" s="386"/>
      <c r="BK318" s="386"/>
      <c r="BL318" s="386"/>
      <c r="BM318" s="387"/>
      <c r="BN318" s="387"/>
      <c r="BO318" s="387"/>
      <c r="BP318" s="388"/>
      <c r="BQ318" s="389"/>
      <c r="BR318" s="117"/>
      <c r="BS318" s="324"/>
      <c r="BT318" s="324"/>
      <c r="BU318" s="117"/>
    </row>
    <row r="319">
      <c r="A319" s="7"/>
      <c r="B319" s="176"/>
      <c r="C319" s="230"/>
      <c r="D319" s="230"/>
      <c r="E319" s="371"/>
      <c r="F319" s="91"/>
      <c r="G319" s="230"/>
      <c r="H319" s="176"/>
      <c r="I319" s="7"/>
      <c r="J319" s="230"/>
      <c r="K319" s="176"/>
      <c r="L319" s="176"/>
      <c r="M319" s="7"/>
      <c r="N319" s="372"/>
      <c r="O319" s="373"/>
      <c r="P319" s="374"/>
      <c r="Q319" s="375"/>
      <c r="R319" s="375"/>
      <c r="S319" s="376"/>
      <c r="T319" s="377"/>
      <c r="U319" s="377"/>
      <c r="V319" s="377"/>
      <c r="W319" s="377"/>
      <c r="X319" s="229"/>
      <c r="Y319" s="176"/>
      <c r="Z319" s="229"/>
      <c r="AA319" s="229"/>
      <c r="AB319" s="82"/>
      <c r="AC319" s="82"/>
      <c r="AD319" s="378"/>
      <c r="AE319" s="379"/>
      <c r="AF319" s="380"/>
      <c r="AG319" s="380"/>
      <c r="AH319" s="7"/>
      <c r="AI319" s="7"/>
      <c r="AJ319" s="381"/>
      <c r="AK319" s="7"/>
      <c r="AL319" s="7"/>
      <c r="AM319" s="7"/>
      <c r="AN319" s="7"/>
      <c r="AO319" s="176"/>
      <c r="AP319" s="176"/>
      <c r="AQ319" s="229"/>
      <c r="AR319" s="229"/>
      <c r="AS319" s="176"/>
      <c r="AT319" s="376"/>
      <c r="AU319" s="376"/>
      <c r="AV319" s="376"/>
      <c r="AW319" s="376"/>
      <c r="AX319" s="376"/>
      <c r="AY319" s="376"/>
      <c r="AZ319" s="382"/>
      <c r="BA319" s="176"/>
      <c r="BB319" s="91"/>
      <c r="BC319" s="91"/>
      <c r="BD319" s="380"/>
      <c r="BE319" s="380"/>
      <c r="BF319" s="383"/>
      <c r="BG319" s="384"/>
      <c r="BH319" s="383"/>
      <c r="BI319" s="385"/>
      <c r="BJ319" s="386"/>
      <c r="BK319" s="386"/>
      <c r="BL319" s="386"/>
      <c r="BM319" s="387"/>
      <c r="BN319" s="387"/>
      <c r="BO319" s="387"/>
      <c r="BP319" s="388"/>
      <c r="BQ319" s="389"/>
      <c r="BR319" s="117"/>
      <c r="BS319" s="324"/>
      <c r="BT319" s="324"/>
      <c r="BU319" s="117"/>
    </row>
    <row r="320">
      <c r="A320" s="7"/>
      <c r="B320" s="176"/>
      <c r="C320" s="230"/>
      <c r="D320" s="230"/>
      <c r="E320" s="371"/>
      <c r="F320" s="91"/>
      <c r="G320" s="230"/>
      <c r="H320" s="176"/>
      <c r="I320" s="7"/>
      <c r="J320" s="230"/>
      <c r="K320" s="176"/>
      <c r="L320" s="176"/>
      <c r="M320" s="7"/>
      <c r="N320" s="372"/>
      <c r="O320" s="373"/>
      <c r="P320" s="374"/>
      <c r="Q320" s="375"/>
      <c r="R320" s="375"/>
      <c r="S320" s="376"/>
      <c r="T320" s="377"/>
      <c r="U320" s="377"/>
      <c r="V320" s="377"/>
      <c r="W320" s="377"/>
      <c r="X320" s="229"/>
      <c r="Y320" s="176"/>
      <c r="Z320" s="229"/>
      <c r="AA320" s="229"/>
      <c r="AB320" s="82"/>
      <c r="AC320" s="82"/>
      <c r="AD320" s="378"/>
      <c r="AE320" s="379"/>
      <c r="AF320" s="380"/>
      <c r="AG320" s="380"/>
      <c r="AH320" s="7"/>
      <c r="AI320" s="7"/>
      <c r="AJ320" s="381"/>
      <c r="AK320" s="7"/>
      <c r="AL320" s="7"/>
      <c r="AM320" s="7"/>
      <c r="AN320" s="7"/>
      <c r="AO320" s="176"/>
      <c r="AP320" s="176"/>
      <c r="AQ320" s="229"/>
      <c r="AR320" s="229"/>
      <c r="AS320" s="176"/>
      <c r="AT320" s="376"/>
      <c r="AU320" s="376"/>
      <c r="AV320" s="376"/>
      <c r="AW320" s="376"/>
      <c r="AX320" s="376"/>
      <c r="AY320" s="376"/>
      <c r="AZ320" s="382"/>
      <c r="BA320" s="176"/>
      <c r="BB320" s="91"/>
      <c r="BC320" s="91"/>
      <c r="BD320" s="380"/>
      <c r="BE320" s="380"/>
      <c r="BF320" s="383"/>
      <c r="BG320" s="384"/>
      <c r="BH320" s="383"/>
      <c r="BI320" s="385"/>
      <c r="BJ320" s="386"/>
      <c r="BK320" s="386"/>
      <c r="BL320" s="386"/>
      <c r="BM320" s="387"/>
      <c r="BN320" s="387"/>
      <c r="BO320" s="387"/>
      <c r="BP320" s="388"/>
      <c r="BQ320" s="389"/>
      <c r="BR320" s="117"/>
      <c r="BS320" s="324"/>
      <c r="BT320" s="324"/>
      <c r="BU320" s="117"/>
    </row>
    <row r="321">
      <c r="A321" s="7"/>
      <c r="B321" s="176"/>
      <c r="C321" s="230"/>
      <c r="D321" s="230"/>
      <c r="E321" s="371"/>
      <c r="F321" s="91"/>
      <c r="G321" s="230"/>
      <c r="H321" s="176"/>
      <c r="I321" s="7"/>
      <c r="J321" s="230"/>
      <c r="K321" s="176"/>
      <c r="L321" s="176"/>
      <c r="M321" s="7"/>
      <c r="N321" s="372"/>
      <c r="O321" s="373"/>
      <c r="P321" s="374"/>
      <c r="Q321" s="375"/>
      <c r="R321" s="375"/>
      <c r="S321" s="376"/>
      <c r="T321" s="377"/>
      <c r="U321" s="377"/>
      <c r="V321" s="377"/>
      <c r="W321" s="377"/>
      <c r="X321" s="229"/>
      <c r="Y321" s="176"/>
      <c r="Z321" s="229"/>
      <c r="AA321" s="229"/>
      <c r="AB321" s="82"/>
      <c r="AC321" s="82"/>
      <c r="AD321" s="378"/>
      <c r="AE321" s="379"/>
      <c r="AF321" s="380"/>
      <c r="AG321" s="380"/>
      <c r="AH321" s="7"/>
      <c r="AI321" s="7"/>
      <c r="AJ321" s="381"/>
      <c r="AK321" s="7"/>
      <c r="AL321" s="7"/>
      <c r="AM321" s="7"/>
      <c r="AN321" s="7"/>
      <c r="AO321" s="176"/>
      <c r="AP321" s="176"/>
      <c r="AQ321" s="229"/>
      <c r="AR321" s="229"/>
      <c r="AS321" s="176"/>
      <c r="AT321" s="376"/>
      <c r="AU321" s="376"/>
      <c r="AV321" s="376"/>
      <c r="AW321" s="376"/>
      <c r="AX321" s="376"/>
      <c r="AY321" s="376"/>
      <c r="AZ321" s="382"/>
      <c r="BA321" s="176"/>
      <c r="BB321" s="91"/>
      <c r="BC321" s="91"/>
      <c r="BD321" s="380"/>
      <c r="BE321" s="380"/>
      <c r="BF321" s="383"/>
      <c r="BG321" s="384"/>
      <c r="BH321" s="383"/>
      <c r="BI321" s="385"/>
      <c r="BJ321" s="386"/>
      <c r="BK321" s="386"/>
      <c r="BL321" s="386"/>
      <c r="BM321" s="387"/>
      <c r="BN321" s="387"/>
      <c r="BO321" s="387"/>
      <c r="BP321" s="388"/>
      <c r="BQ321" s="389"/>
      <c r="BR321" s="117"/>
      <c r="BS321" s="324"/>
      <c r="BT321" s="324"/>
      <c r="BU321" s="117"/>
    </row>
    <row r="322">
      <c r="A322" s="7"/>
      <c r="B322" s="176"/>
      <c r="C322" s="230"/>
      <c r="D322" s="230"/>
      <c r="E322" s="371"/>
      <c r="F322" s="91"/>
      <c r="G322" s="230"/>
      <c r="H322" s="176"/>
      <c r="I322" s="7"/>
      <c r="J322" s="230"/>
      <c r="K322" s="176"/>
      <c r="L322" s="176"/>
      <c r="M322" s="7"/>
      <c r="N322" s="372"/>
      <c r="O322" s="373"/>
      <c r="P322" s="374"/>
      <c r="Q322" s="375"/>
      <c r="R322" s="375"/>
      <c r="S322" s="376"/>
      <c r="T322" s="377"/>
      <c r="U322" s="377"/>
      <c r="V322" s="377"/>
      <c r="W322" s="377"/>
      <c r="X322" s="229"/>
      <c r="Y322" s="176"/>
      <c r="Z322" s="229"/>
      <c r="AA322" s="229"/>
      <c r="AB322" s="82"/>
      <c r="AC322" s="82"/>
      <c r="AD322" s="378"/>
      <c r="AE322" s="379"/>
      <c r="AF322" s="380"/>
      <c r="AG322" s="380"/>
      <c r="AH322" s="7"/>
      <c r="AI322" s="7"/>
      <c r="AJ322" s="381"/>
      <c r="AK322" s="7"/>
      <c r="AL322" s="7"/>
      <c r="AM322" s="7"/>
      <c r="AN322" s="7"/>
      <c r="AO322" s="176"/>
      <c r="AP322" s="176"/>
      <c r="AQ322" s="229"/>
      <c r="AR322" s="229"/>
      <c r="AS322" s="176"/>
      <c r="AT322" s="376"/>
      <c r="AU322" s="376"/>
      <c r="AV322" s="376"/>
      <c r="AW322" s="376"/>
      <c r="AX322" s="376"/>
      <c r="AY322" s="376"/>
      <c r="AZ322" s="382"/>
      <c r="BA322" s="176"/>
      <c r="BB322" s="91"/>
      <c r="BC322" s="91"/>
      <c r="BD322" s="380"/>
      <c r="BE322" s="380"/>
      <c r="BF322" s="383"/>
      <c r="BG322" s="384"/>
      <c r="BH322" s="383"/>
      <c r="BI322" s="385"/>
      <c r="BJ322" s="386"/>
      <c r="BK322" s="386"/>
      <c r="BL322" s="386"/>
      <c r="BM322" s="387"/>
      <c r="BN322" s="387"/>
      <c r="BO322" s="387"/>
      <c r="BP322" s="388"/>
      <c r="BQ322" s="389"/>
      <c r="BR322" s="117"/>
      <c r="BS322" s="324"/>
      <c r="BT322" s="324"/>
      <c r="BU322" s="117"/>
    </row>
    <row r="323">
      <c r="A323" s="7"/>
      <c r="B323" s="176"/>
      <c r="C323" s="230"/>
      <c r="D323" s="230"/>
      <c r="E323" s="371"/>
      <c r="F323" s="91"/>
      <c r="G323" s="230"/>
      <c r="H323" s="176"/>
      <c r="I323" s="7"/>
      <c r="J323" s="230"/>
      <c r="K323" s="176"/>
      <c r="L323" s="176"/>
      <c r="M323" s="7"/>
      <c r="N323" s="372"/>
      <c r="O323" s="373"/>
      <c r="P323" s="374"/>
      <c r="Q323" s="375"/>
      <c r="R323" s="375"/>
      <c r="S323" s="376"/>
      <c r="T323" s="377"/>
      <c r="U323" s="377"/>
      <c r="V323" s="377"/>
      <c r="W323" s="377"/>
      <c r="X323" s="229"/>
      <c r="Y323" s="176"/>
      <c r="Z323" s="229"/>
      <c r="AA323" s="229"/>
      <c r="AB323" s="82"/>
      <c r="AC323" s="82"/>
      <c r="AD323" s="378"/>
      <c r="AE323" s="379"/>
      <c r="AF323" s="380"/>
      <c r="AG323" s="380"/>
      <c r="AH323" s="7"/>
      <c r="AI323" s="7"/>
      <c r="AJ323" s="381"/>
      <c r="AK323" s="7"/>
      <c r="AL323" s="7"/>
      <c r="AM323" s="7"/>
      <c r="AN323" s="7"/>
      <c r="AO323" s="176"/>
      <c r="AP323" s="176"/>
      <c r="AQ323" s="229"/>
      <c r="AR323" s="229"/>
      <c r="AS323" s="176"/>
      <c r="AT323" s="376"/>
      <c r="AU323" s="376"/>
      <c r="AV323" s="376"/>
      <c r="AW323" s="376"/>
      <c r="AX323" s="376"/>
      <c r="AY323" s="376"/>
      <c r="AZ323" s="382"/>
      <c r="BA323" s="176"/>
      <c r="BB323" s="91"/>
      <c r="BC323" s="91"/>
      <c r="BD323" s="380"/>
      <c r="BE323" s="380"/>
      <c r="BF323" s="383"/>
      <c r="BG323" s="384"/>
      <c r="BH323" s="383"/>
      <c r="BI323" s="385"/>
      <c r="BJ323" s="386"/>
      <c r="BK323" s="386"/>
      <c r="BL323" s="386"/>
      <c r="BM323" s="387"/>
      <c r="BN323" s="387"/>
      <c r="BO323" s="387"/>
      <c r="BP323" s="388"/>
      <c r="BQ323" s="389"/>
      <c r="BR323" s="117"/>
      <c r="BS323" s="324"/>
      <c r="BT323" s="324"/>
      <c r="BU323" s="117"/>
    </row>
    <row r="324">
      <c r="A324" s="7"/>
      <c r="B324" s="176"/>
      <c r="C324" s="230"/>
      <c r="D324" s="230"/>
      <c r="E324" s="371"/>
      <c r="F324" s="91"/>
      <c r="G324" s="230"/>
      <c r="H324" s="176"/>
      <c r="I324" s="7"/>
      <c r="J324" s="230"/>
      <c r="K324" s="176"/>
      <c r="L324" s="176"/>
      <c r="M324" s="7"/>
      <c r="N324" s="372"/>
      <c r="O324" s="373"/>
      <c r="P324" s="374"/>
      <c r="Q324" s="375"/>
      <c r="R324" s="375"/>
      <c r="S324" s="376"/>
      <c r="T324" s="377"/>
      <c r="U324" s="377"/>
      <c r="V324" s="377"/>
      <c r="W324" s="377"/>
      <c r="X324" s="229"/>
      <c r="Y324" s="176"/>
      <c r="Z324" s="229"/>
      <c r="AA324" s="229"/>
      <c r="AB324" s="82"/>
      <c r="AC324" s="82"/>
      <c r="AD324" s="378"/>
      <c r="AE324" s="379"/>
      <c r="AF324" s="380"/>
      <c r="AG324" s="380"/>
      <c r="AH324" s="7"/>
      <c r="AI324" s="7"/>
      <c r="AJ324" s="381"/>
      <c r="AK324" s="7"/>
      <c r="AL324" s="7"/>
      <c r="AM324" s="7"/>
      <c r="AN324" s="7"/>
      <c r="AO324" s="176"/>
      <c r="AP324" s="176"/>
      <c r="AQ324" s="229"/>
      <c r="AR324" s="229"/>
      <c r="AS324" s="176"/>
      <c r="AT324" s="376"/>
      <c r="AU324" s="376"/>
      <c r="AV324" s="376"/>
      <c r="AW324" s="376"/>
      <c r="AX324" s="376"/>
      <c r="AY324" s="376"/>
      <c r="AZ324" s="382"/>
      <c r="BA324" s="176"/>
      <c r="BB324" s="91"/>
      <c r="BC324" s="91"/>
      <c r="BD324" s="380"/>
      <c r="BE324" s="380"/>
      <c r="BF324" s="383"/>
      <c r="BG324" s="384"/>
      <c r="BH324" s="383"/>
      <c r="BI324" s="385"/>
      <c r="BJ324" s="386"/>
      <c r="BK324" s="386"/>
      <c r="BL324" s="386"/>
      <c r="BM324" s="387"/>
      <c r="BN324" s="387"/>
      <c r="BO324" s="387"/>
      <c r="BP324" s="388"/>
      <c r="BQ324" s="389"/>
      <c r="BR324" s="117"/>
      <c r="BS324" s="324"/>
      <c r="BT324" s="324"/>
      <c r="BU324" s="117"/>
    </row>
    <row r="325">
      <c r="A325" s="7"/>
      <c r="B325" s="176"/>
      <c r="C325" s="230"/>
      <c r="D325" s="230"/>
      <c r="E325" s="371"/>
      <c r="F325" s="91"/>
      <c r="G325" s="230"/>
      <c r="H325" s="176"/>
      <c r="I325" s="7"/>
      <c r="J325" s="230"/>
      <c r="K325" s="176"/>
      <c r="L325" s="176"/>
      <c r="M325" s="7"/>
      <c r="N325" s="372"/>
      <c r="O325" s="373"/>
      <c r="P325" s="374"/>
      <c r="Q325" s="375"/>
      <c r="R325" s="375"/>
      <c r="S325" s="376"/>
      <c r="T325" s="377"/>
      <c r="U325" s="377"/>
      <c r="V325" s="377"/>
      <c r="W325" s="377"/>
      <c r="X325" s="229"/>
      <c r="Y325" s="176"/>
      <c r="Z325" s="229"/>
      <c r="AA325" s="229"/>
      <c r="AB325" s="82"/>
      <c r="AC325" s="82"/>
      <c r="AD325" s="378"/>
      <c r="AE325" s="379"/>
      <c r="AF325" s="380"/>
      <c r="AG325" s="380"/>
      <c r="AH325" s="7"/>
      <c r="AI325" s="7"/>
      <c r="AJ325" s="381"/>
      <c r="AK325" s="7"/>
      <c r="AL325" s="7"/>
      <c r="AM325" s="7"/>
      <c r="AN325" s="7"/>
      <c r="AO325" s="176"/>
      <c r="AP325" s="176"/>
      <c r="AQ325" s="229"/>
      <c r="AR325" s="229"/>
      <c r="AS325" s="176"/>
      <c r="AT325" s="376"/>
      <c r="AU325" s="376"/>
      <c r="AV325" s="376"/>
      <c r="AW325" s="376"/>
      <c r="AX325" s="376"/>
      <c r="AY325" s="376"/>
      <c r="AZ325" s="382"/>
      <c r="BA325" s="176"/>
      <c r="BB325" s="91"/>
      <c r="BC325" s="91"/>
      <c r="BD325" s="380"/>
      <c r="BE325" s="380"/>
      <c r="BF325" s="383"/>
      <c r="BG325" s="384"/>
      <c r="BH325" s="383"/>
      <c r="BI325" s="385"/>
      <c r="BJ325" s="386"/>
      <c r="BK325" s="386"/>
      <c r="BL325" s="386"/>
      <c r="BM325" s="387"/>
      <c r="BN325" s="387"/>
      <c r="BO325" s="387"/>
      <c r="BP325" s="388"/>
      <c r="BQ325" s="389"/>
      <c r="BR325" s="117"/>
      <c r="BS325" s="324"/>
      <c r="BT325" s="324"/>
      <c r="BU325" s="117"/>
    </row>
    <row r="326">
      <c r="A326" s="7"/>
      <c r="B326" s="176"/>
      <c r="C326" s="230"/>
      <c r="D326" s="230"/>
      <c r="E326" s="371"/>
      <c r="F326" s="91"/>
      <c r="G326" s="230"/>
      <c r="H326" s="176"/>
      <c r="I326" s="7"/>
      <c r="J326" s="230"/>
      <c r="K326" s="176"/>
      <c r="L326" s="176"/>
      <c r="M326" s="7"/>
      <c r="N326" s="372"/>
      <c r="O326" s="373"/>
      <c r="P326" s="374"/>
      <c r="Q326" s="375"/>
      <c r="R326" s="375"/>
      <c r="S326" s="376"/>
      <c r="T326" s="377"/>
      <c r="U326" s="377"/>
      <c r="V326" s="377"/>
      <c r="W326" s="377"/>
      <c r="X326" s="229"/>
      <c r="Y326" s="176"/>
      <c r="Z326" s="229"/>
      <c r="AA326" s="229"/>
      <c r="AB326" s="82"/>
      <c r="AC326" s="82"/>
      <c r="AD326" s="378"/>
      <c r="AE326" s="379"/>
      <c r="AF326" s="380"/>
      <c r="AG326" s="380"/>
      <c r="AH326" s="7"/>
      <c r="AI326" s="7"/>
      <c r="AJ326" s="381"/>
      <c r="AK326" s="7"/>
      <c r="AL326" s="7"/>
      <c r="AM326" s="7"/>
      <c r="AN326" s="7"/>
      <c r="AO326" s="176"/>
      <c r="AP326" s="176"/>
      <c r="AQ326" s="229"/>
      <c r="AR326" s="229"/>
      <c r="AS326" s="176"/>
      <c r="AT326" s="376"/>
      <c r="AU326" s="376"/>
      <c r="AV326" s="376"/>
      <c r="AW326" s="376"/>
      <c r="AX326" s="376"/>
      <c r="AY326" s="376"/>
      <c r="AZ326" s="382"/>
      <c r="BA326" s="176"/>
      <c r="BB326" s="91"/>
      <c r="BC326" s="91"/>
      <c r="BD326" s="380"/>
      <c r="BE326" s="380"/>
      <c r="BF326" s="383"/>
      <c r="BG326" s="384"/>
      <c r="BH326" s="383"/>
      <c r="BI326" s="385"/>
      <c r="BJ326" s="386"/>
      <c r="BK326" s="386"/>
      <c r="BL326" s="386"/>
      <c r="BM326" s="387"/>
      <c r="BN326" s="387"/>
      <c r="BO326" s="387"/>
      <c r="BP326" s="388"/>
      <c r="BQ326" s="389"/>
      <c r="BR326" s="117"/>
      <c r="BS326" s="324"/>
      <c r="BT326" s="324"/>
      <c r="BU326" s="117"/>
    </row>
    <row r="327">
      <c r="A327" s="7"/>
      <c r="B327" s="176"/>
      <c r="C327" s="230"/>
      <c r="D327" s="230"/>
      <c r="E327" s="371"/>
      <c r="F327" s="91"/>
      <c r="G327" s="230"/>
      <c r="H327" s="176"/>
      <c r="I327" s="7"/>
      <c r="J327" s="230"/>
      <c r="K327" s="176"/>
      <c r="L327" s="176"/>
      <c r="M327" s="7"/>
      <c r="N327" s="372"/>
      <c r="O327" s="373"/>
      <c r="P327" s="374"/>
      <c r="Q327" s="375"/>
      <c r="R327" s="375"/>
      <c r="S327" s="376"/>
      <c r="T327" s="377"/>
      <c r="U327" s="377"/>
      <c r="V327" s="377"/>
      <c r="W327" s="377"/>
      <c r="X327" s="229"/>
      <c r="Y327" s="176"/>
      <c r="Z327" s="229"/>
      <c r="AA327" s="229"/>
      <c r="AB327" s="82"/>
      <c r="AC327" s="82"/>
      <c r="AD327" s="378"/>
      <c r="AE327" s="379"/>
      <c r="AF327" s="380"/>
      <c r="AG327" s="380"/>
      <c r="AH327" s="7"/>
      <c r="AI327" s="7"/>
      <c r="AJ327" s="381"/>
      <c r="AK327" s="7"/>
      <c r="AL327" s="7"/>
      <c r="AM327" s="7"/>
      <c r="AN327" s="7"/>
      <c r="AO327" s="176"/>
      <c r="AP327" s="176"/>
      <c r="AQ327" s="229"/>
      <c r="AR327" s="229"/>
      <c r="AS327" s="176"/>
      <c r="AT327" s="376"/>
      <c r="AU327" s="376"/>
      <c r="AV327" s="376"/>
      <c r="AW327" s="376"/>
      <c r="AX327" s="376"/>
      <c r="AY327" s="376"/>
      <c r="AZ327" s="382"/>
      <c r="BA327" s="176"/>
      <c r="BB327" s="91"/>
      <c r="BC327" s="91"/>
      <c r="BD327" s="380"/>
      <c r="BE327" s="380"/>
      <c r="BF327" s="383"/>
      <c r="BG327" s="384"/>
      <c r="BH327" s="383"/>
      <c r="BI327" s="385"/>
      <c r="BJ327" s="386"/>
      <c r="BK327" s="386"/>
      <c r="BL327" s="386"/>
      <c r="BM327" s="387"/>
      <c r="BN327" s="387"/>
      <c r="BO327" s="387"/>
      <c r="BP327" s="388"/>
      <c r="BQ327" s="389"/>
      <c r="BR327" s="117"/>
      <c r="BS327" s="324"/>
      <c r="BT327" s="324"/>
      <c r="BU327" s="117"/>
    </row>
    <row r="328">
      <c r="A328" s="7"/>
      <c r="B328" s="176"/>
      <c r="C328" s="230"/>
      <c r="D328" s="230"/>
      <c r="E328" s="371"/>
      <c r="F328" s="91"/>
      <c r="G328" s="230"/>
      <c r="H328" s="176"/>
      <c r="I328" s="7"/>
      <c r="J328" s="230"/>
      <c r="K328" s="176"/>
      <c r="L328" s="176"/>
      <c r="M328" s="7"/>
      <c r="N328" s="372"/>
      <c r="O328" s="373"/>
      <c r="P328" s="374"/>
      <c r="Q328" s="375"/>
      <c r="R328" s="375"/>
      <c r="S328" s="376"/>
      <c r="T328" s="377"/>
      <c r="U328" s="377"/>
      <c r="V328" s="377"/>
      <c r="W328" s="377"/>
      <c r="X328" s="229"/>
      <c r="Y328" s="176"/>
      <c r="Z328" s="229"/>
      <c r="AA328" s="229"/>
      <c r="AB328" s="82"/>
      <c r="AC328" s="82"/>
      <c r="AD328" s="378"/>
      <c r="AE328" s="379"/>
      <c r="AF328" s="380"/>
      <c r="AG328" s="380"/>
      <c r="AH328" s="7"/>
      <c r="AI328" s="7"/>
      <c r="AJ328" s="381"/>
      <c r="AK328" s="7"/>
      <c r="AL328" s="7"/>
      <c r="AM328" s="7"/>
      <c r="AN328" s="7"/>
      <c r="AO328" s="176"/>
      <c r="AP328" s="176"/>
      <c r="AQ328" s="229"/>
      <c r="AR328" s="229"/>
      <c r="AS328" s="176"/>
      <c r="AT328" s="376"/>
      <c r="AU328" s="376"/>
      <c r="AV328" s="376"/>
      <c r="AW328" s="376"/>
      <c r="AX328" s="376"/>
      <c r="AY328" s="376"/>
      <c r="AZ328" s="382"/>
      <c r="BA328" s="176"/>
      <c r="BB328" s="91"/>
      <c r="BC328" s="91"/>
      <c r="BD328" s="380"/>
      <c r="BE328" s="380"/>
      <c r="BF328" s="383"/>
      <c r="BG328" s="384"/>
      <c r="BH328" s="383"/>
      <c r="BI328" s="385"/>
      <c r="BJ328" s="386"/>
      <c r="BK328" s="386"/>
      <c r="BL328" s="386"/>
      <c r="BM328" s="387"/>
      <c r="BN328" s="387"/>
      <c r="BO328" s="387"/>
      <c r="BP328" s="388"/>
      <c r="BQ328" s="389"/>
      <c r="BR328" s="117"/>
      <c r="BS328" s="324"/>
      <c r="BT328" s="324"/>
      <c r="BU328" s="117"/>
    </row>
    <row r="329">
      <c r="A329" s="7"/>
      <c r="B329" s="176"/>
      <c r="C329" s="230"/>
      <c r="D329" s="230"/>
      <c r="E329" s="371"/>
      <c r="F329" s="91"/>
      <c r="G329" s="230"/>
      <c r="H329" s="176"/>
      <c r="I329" s="7"/>
      <c r="J329" s="230"/>
      <c r="K329" s="176"/>
      <c r="L329" s="176"/>
      <c r="M329" s="7"/>
      <c r="N329" s="372"/>
      <c r="O329" s="373"/>
      <c r="P329" s="374"/>
      <c r="Q329" s="375"/>
      <c r="R329" s="375"/>
      <c r="S329" s="376"/>
      <c r="T329" s="377"/>
      <c r="U329" s="377"/>
      <c r="V329" s="377"/>
      <c r="W329" s="377"/>
      <c r="X329" s="229"/>
      <c r="Y329" s="176"/>
      <c r="Z329" s="229"/>
      <c r="AA329" s="229"/>
      <c r="AB329" s="82"/>
      <c r="AC329" s="82"/>
      <c r="AD329" s="378"/>
      <c r="AE329" s="379"/>
      <c r="AF329" s="380"/>
      <c r="AG329" s="380"/>
      <c r="AH329" s="7"/>
      <c r="AI329" s="7"/>
      <c r="AJ329" s="381"/>
      <c r="AK329" s="7"/>
      <c r="AL329" s="7"/>
      <c r="AM329" s="7"/>
      <c r="AN329" s="7"/>
      <c r="AO329" s="176"/>
      <c r="AP329" s="176"/>
      <c r="AQ329" s="229"/>
      <c r="AR329" s="229"/>
      <c r="AS329" s="176"/>
      <c r="AT329" s="376"/>
      <c r="AU329" s="376"/>
      <c r="AV329" s="376"/>
      <c r="AW329" s="376"/>
      <c r="AX329" s="376"/>
      <c r="AY329" s="376"/>
      <c r="AZ329" s="382"/>
      <c r="BA329" s="176"/>
      <c r="BB329" s="91"/>
      <c r="BC329" s="91"/>
      <c r="BD329" s="380"/>
      <c r="BE329" s="380"/>
      <c r="BF329" s="383"/>
      <c r="BG329" s="384"/>
      <c r="BH329" s="383"/>
      <c r="BI329" s="385"/>
      <c r="BJ329" s="386"/>
      <c r="BK329" s="386"/>
      <c r="BL329" s="386"/>
      <c r="BM329" s="387"/>
      <c r="BN329" s="387"/>
      <c r="BO329" s="387"/>
      <c r="BP329" s="388"/>
      <c r="BQ329" s="389"/>
      <c r="BR329" s="117"/>
      <c r="BS329" s="324"/>
      <c r="BT329" s="324"/>
      <c r="BU329" s="117"/>
    </row>
    <row r="330">
      <c r="A330" s="7"/>
      <c r="B330" s="176"/>
      <c r="C330" s="230"/>
      <c r="D330" s="230"/>
      <c r="E330" s="371"/>
      <c r="F330" s="91"/>
      <c r="G330" s="230"/>
      <c r="H330" s="176"/>
      <c r="I330" s="7"/>
      <c r="J330" s="230"/>
      <c r="K330" s="176"/>
      <c r="L330" s="176"/>
      <c r="M330" s="7"/>
      <c r="N330" s="372"/>
      <c r="O330" s="373"/>
      <c r="P330" s="374"/>
      <c r="Q330" s="375"/>
      <c r="R330" s="375"/>
      <c r="S330" s="376"/>
      <c r="T330" s="377"/>
      <c r="U330" s="377"/>
      <c r="V330" s="377"/>
      <c r="W330" s="377"/>
      <c r="X330" s="229"/>
      <c r="Y330" s="176"/>
      <c r="Z330" s="229"/>
      <c r="AA330" s="229"/>
      <c r="AB330" s="82"/>
      <c r="AC330" s="82"/>
      <c r="AD330" s="378"/>
      <c r="AE330" s="379"/>
      <c r="AF330" s="380"/>
      <c r="AG330" s="380"/>
      <c r="AH330" s="7"/>
      <c r="AI330" s="7"/>
      <c r="AJ330" s="381"/>
      <c r="AK330" s="7"/>
      <c r="AL330" s="7"/>
      <c r="AM330" s="7"/>
      <c r="AN330" s="7"/>
      <c r="AO330" s="176"/>
      <c r="AP330" s="176"/>
      <c r="AQ330" s="229"/>
      <c r="AR330" s="229"/>
      <c r="AS330" s="176"/>
      <c r="AT330" s="376"/>
      <c r="AU330" s="376"/>
      <c r="AV330" s="376"/>
      <c r="AW330" s="376"/>
      <c r="AX330" s="376"/>
      <c r="AY330" s="376"/>
      <c r="AZ330" s="382"/>
      <c r="BA330" s="176"/>
      <c r="BB330" s="91"/>
      <c r="BC330" s="91"/>
      <c r="BD330" s="380"/>
      <c r="BE330" s="380"/>
      <c r="BF330" s="383"/>
      <c r="BG330" s="384"/>
      <c r="BH330" s="383"/>
      <c r="BI330" s="385"/>
      <c r="BJ330" s="386"/>
      <c r="BK330" s="386"/>
      <c r="BL330" s="386"/>
      <c r="BM330" s="387"/>
      <c r="BN330" s="387"/>
      <c r="BO330" s="387"/>
      <c r="BP330" s="388"/>
      <c r="BQ330" s="389"/>
      <c r="BR330" s="117"/>
      <c r="BS330" s="324"/>
      <c r="BT330" s="324"/>
      <c r="BU330" s="117"/>
    </row>
    <row r="331">
      <c r="A331" s="7"/>
      <c r="B331" s="176"/>
      <c r="C331" s="230"/>
      <c r="D331" s="230"/>
      <c r="E331" s="371"/>
      <c r="F331" s="91"/>
      <c r="G331" s="230"/>
      <c r="H331" s="176"/>
      <c r="I331" s="7"/>
      <c r="J331" s="230"/>
      <c r="K331" s="176"/>
      <c r="L331" s="176"/>
      <c r="M331" s="7"/>
      <c r="N331" s="372"/>
      <c r="O331" s="373"/>
      <c r="P331" s="374"/>
      <c r="Q331" s="375"/>
      <c r="R331" s="375"/>
      <c r="S331" s="376"/>
      <c r="T331" s="377"/>
      <c r="U331" s="377"/>
      <c r="V331" s="377"/>
      <c r="W331" s="377"/>
      <c r="X331" s="229"/>
      <c r="Y331" s="176"/>
      <c r="Z331" s="229"/>
      <c r="AA331" s="229"/>
      <c r="AB331" s="82"/>
      <c r="AC331" s="82"/>
      <c r="AD331" s="378"/>
      <c r="AE331" s="379"/>
      <c r="AF331" s="380"/>
      <c r="AG331" s="380"/>
      <c r="AH331" s="7"/>
      <c r="AI331" s="7"/>
      <c r="AJ331" s="381"/>
      <c r="AK331" s="7"/>
      <c r="AL331" s="7"/>
      <c r="AM331" s="7"/>
      <c r="AN331" s="7"/>
      <c r="AO331" s="176"/>
      <c r="AP331" s="176"/>
      <c r="AQ331" s="229"/>
      <c r="AR331" s="229"/>
      <c r="AS331" s="176"/>
      <c r="AT331" s="376"/>
      <c r="AU331" s="376"/>
      <c r="AV331" s="376"/>
      <c r="AW331" s="376"/>
      <c r="AX331" s="376"/>
      <c r="AY331" s="376"/>
      <c r="AZ331" s="382"/>
      <c r="BA331" s="176"/>
      <c r="BB331" s="91"/>
      <c r="BC331" s="91"/>
      <c r="BD331" s="380"/>
      <c r="BE331" s="380"/>
      <c r="BF331" s="383"/>
      <c r="BG331" s="384"/>
      <c r="BH331" s="383"/>
      <c r="BI331" s="385"/>
      <c r="BJ331" s="386"/>
      <c r="BK331" s="386"/>
      <c r="BL331" s="386"/>
      <c r="BM331" s="387"/>
      <c r="BN331" s="387"/>
      <c r="BO331" s="387"/>
      <c r="BP331" s="388"/>
      <c r="BQ331" s="389"/>
      <c r="BR331" s="117"/>
      <c r="BS331" s="324"/>
      <c r="BT331" s="324"/>
      <c r="BU331" s="117"/>
    </row>
    <row r="332">
      <c r="A332" s="7"/>
      <c r="B332" s="176"/>
      <c r="C332" s="230"/>
      <c r="D332" s="230"/>
      <c r="E332" s="371"/>
      <c r="F332" s="91"/>
      <c r="G332" s="230"/>
      <c r="H332" s="176"/>
      <c r="I332" s="7"/>
      <c r="J332" s="230"/>
      <c r="K332" s="176"/>
      <c r="L332" s="176"/>
      <c r="M332" s="7"/>
      <c r="N332" s="372"/>
      <c r="O332" s="373"/>
      <c r="P332" s="374"/>
      <c r="Q332" s="375"/>
      <c r="R332" s="375"/>
      <c r="S332" s="376"/>
      <c r="T332" s="377"/>
      <c r="U332" s="377"/>
      <c r="V332" s="377"/>
      <c r="W332" s="377"/>
      <c r="X332" s="229"/>
      <c r="Y332" s="176"/>
      <c r="Z332" s="229"/>
      <c r="AA332" s="229"/>
      <c r="AB332" s="82"/>
      <c r="AC332" s="82"/>
      <c r="AD332" s="378"/>
      <c r="AE332" s="379"/>
      <c r="AF332" s="380"/>
      <c r="AG332" s="380"/>
      <c r="AH332" s="7"/>
      <c r="AI332" s="7"/>
      <c r="AJ332" s="381"/>
      <c r="AK332" s="7"/>
      <c r="AL332" s="7"/>
      <c r="AM332" s="7"/>
      <c r="AN332" s="7"/>
      <c r="AO332" s="176"/>
      <c r="AP332" s="176"/>
      <c r="AQ332" s="229"/>
      <c r="AR332" s="229"/>
      <c r="AS332" s="176"/>
      <c r="AT332" s="376"/>
      <c r="AU332" s="376"/>
      <c r="AV332" s="376"/>
      <c r="AW332" s="376"/>
      <c r="AX332" s="376"/>
      <c r="AY332" s="376"/>
      <c r="AZ332" s="382"/>
      <c r="BA332" s="176"/>
      <c r="BB332" s="91"/>
      <c r="BC332" s="91"/>
      <c r="BD332" s="380"/>
      <c r="BE332" s="380"/>
      <c r="BF332" s="383"/>
      <c r="BG332" s="384"/>
      <c r="BH332" s="383"/>
      <c r="BI332" s="385"/>
      <c r="BJ332" s="386"/>
      <c r="BK332" s="386"/>
      <c r="BL332" s="386"/>
      <c r="BM332" s="387"/>
      <c r="BN332" s="387"/>
      <c r="BO332" s="387"/>
      <c r="BP332" s="388"/>
      <c r="BQ332" s="389"/>
      <c r="BR332" s="117"/>
      <c r="BS332" s="324"/>
      <c r="BT332" s="324"/>
      <c r="BU332" s="117"/>
    </row>
    <row r="333">
      <c r="A333" s="7"/>
      <c r="B333" s="176"/>
      <c r="C333" s="230"/>
      <c r="D333" s="230"/>
      <c r="E333" s="371"/>
      <c r="F333" s="91"/>
      <c r="G333" s="230"/>
      <c r="H333" s="176"/>
      <c r="I333" s="7"/>
      <c r="J333" s="230"/>
      <c r="K333" s="176"/>
      <c r="L333" s="176"/>
      <c r="M333" s="7"/>
      <c r="N333" s="372"/>
      <c r="O333" s="373"/>
      <c r="P333" s="374"/>
      <c r="Q333" s="375"/>
      <c r="R333" s="375"/>
      <c r="S333" s="376"/>
      <c r="T333" s="377"/>
      <c r="U333" s="377"/>
      <c r="V333" s="377"/>
      <c r="W333" s="377"/>
      <c r="X333" s="229"/>
      <c r="Y333" s="176"/>
      <c r="Z333" s="229"/>
      <c r="AA333" s="229"/>
      <c r="AB333" s="82"/>
      <c r="AC333" s="82"/>
      <c r="AD333" s="378"/>
      <c r="AE333" s="379"/>
      <c r="AF333" s="380"/>
      <c r="AG333" s="380"/>
      <c r="AH333" s="7"/>
      <c r="AI333" s="7"/>
      <c r="AJ333" s="381"/>
      <c r="AK333" s="7"/>
      <c r="AL333" s="7"/>
      <c r="AM333" s="7"/>
      <c r="AN333" s="7"/>
      <c r="AO333" s="176"/>
      <c r="AP333" s="176"/>
      <c r="AQ333" s="229"/>
      <c r="AR333" s="229"/>
      <c r="AS333" s="176"/>
      <c r="AT333" s="376"/>
      <c r="AU333" s="376"/>
      <c r="AV333" s="376"/>
      <c r="AW333" s="376"/>
      <c r="AX333" s="376"/>
      <c r="AY333" s="376"/>
      <c r="AZ333" s="382"/>
      <c r="BA333" s="176"/>
      <c r="BB333" s="91"/>
      <c r="BC333" s="91"/>
      <c r="BD333" s="380"/>
      <c r="BE333" s="380"/>
      <c r="BF333" s="383"/>
      <c r="BG333" s="384"/>
      <c r="BH333" s="383"/>
      <c r="BI333" s="385"/>
      <c r="BJ333" s="386"/>
      <c r="BK333" s="386"/>
      <c r="BL333" s="386"/>
      <c r="BM333" s="387"/>
      <c r="BN333" s="387"/>
      <c r="BO333" s="387"/>
      <c r="BP333" s="388"/>
      <c r="BQ333" s="389"/>
      <c r="BR333" s="117"/>
      <c r="BS333" s="324"/>
      <c r="BT333" s="324"/>
      <c r="BU333" s="117"/>
    </row>
    <row r="334">
      <c r="A334" s="7"/>
      <c r="B334" s="176"/>
      <c r="C334" s="230"/>
      <c r="D334" s="230"/>
      <c r="E334" s="371"/>
      <c r="F334" s="91"/>
      <c r="G334" s="230"/>
      <c r="H334" s="176"/>
      <c r="I334" s="7"/>
      <c r="J334" s="230"/>
      <c r="K334" s="176"/>
      <c r="L334" s="176"/>
      <c r="M334" s="7"/>
      <c r="N334" s="372"/>
      <c r="O334" s="373"/>
      <c r="P334" s="374"/>
      <c r="Q334" s="375"/>
      <c r="R334" s="375"/>
      <c r="S334" s="376"/>
      <c r="T334" s="377"/>
      <c r="U334" s="377"/>
      <c r="V334" s="377"/>
      <c r="W334" s="377"/>
      <c r="X334" s="229"/>
      <c r="Y334" s="176"/>
      <c r="Z334" s="229"/>
      <c r="AA334" s="229"/>
      <c r="AB334" s="82"/>
      <c r="AC334" s="82"/>
      <c r="AD334" s="378"/>
      <c r="AE334" s="379"/>
      <c r="AF334" s="380"/>
      <c r="AG334" s="380"/>
      <c r="AH334" s="7"/>
      <c r="AI334" s="7"/>
      <c r="AJ334" s="381"/>
      <c r="AK334" s="7"/>
      <c r="AL334" s="7"/>
      <c r="AM334" s="7"/>
      <c r="AN334" s="7"/>
      <c r="AO334" s="176"/>
      <c r="AP334" s="176"/>
      <c r="AQ334" s="229"/>
      <c r="AR334" s="229"/>
      <c r="AS334" s="176"/>
      <c r="AT334" s="376"/>
      <c r="AU334" s="376"/>
      <c r="AV334" s="376"/>
      <c r="AW334" s="376"/>
      <c r="AX334" s="376"/>
      <c r="AY334" s="376"/>
      <c r="AZ334" s="382"/>
      <c r="BA334" s="176"/>
      <c r="BB334" s="91"/>
      <c r="BC334" s="91"/>
      <c r="BD334" s="380"/>
      <c r="BE334" s="380"/>
      <c r="BF334" s="383"/>
      <c r="BG334" s="384"/>
      <c r="BH334" s="383"/>
      <c r="BI334" s="385"/>
      <c r="BJ334" s="386"/>
      <c r="BK334" s="386"/>
      <c r="BL334" s="386"/>
      <c r="BM334" s="387"/>
      <c r="BN334" s="387"/>
      <c r="BO334" s="387"/>
      <c r="BP334" s="388"/>
      <c r="BQ334" s="389"/>
      <c r="BR334" s="117"/>
      <c r="BS334" s="324"/>
      <c r="BT334" s="324"/>
      <c r="BU334" s="117"/>
    </row>
  </sheetData>
  <autoFilter ref="$A$11:$BU$242">
    <filterColumn colId="42">
      <filters>
        <filter val="G990-08483-31-C"/>
        <filter val="G990-08483-32-C"/>
        <filter val="G990-08489-12-05&#10;G990-08489-12-B"/>
        <filter val="G990-08485-32-03&#10;G990-08485-32-B"/>
        <filter val="G990-08485-31-03&#10;G990-08485-31-B"/>
        <filter val="G990-08380-32-01 &#10;G990-08380-32-A"/>
        <filter val="G990-08489-11-05&#10;G990-08489-11-B"/>
        <filter val="G990-08380-42-01 &#10;G990-08380-42-A"/>
        <filter val="G990-08485-42-03&#10;G990-08485-42-B"/>
        <filter val="G990-08489-21-05&#10;G990-08489-21-B"/>
        <filter val="G990-08380-41-01 &#10;G990-08380-41-A"/>
        <filter val="G990-08485-41-03&#10;G990-08485-41-B"/>
        <filter val="G990-08489-22-05&#10;G990-08489-22-B"/>
        <filter val="G990-08485-11-03-&#10;G990-08485-11-B"/>
        <filter val="G990-08489-32-05&#10;G990-08489-32-B"/>
        <filter val="G990-08489-31-05&#10;G990-08489-31-B"/>
        <filter val="TBD"/>
        <filter val="G990-08489-42-05&#10;G990-08489-42-B"/>
        <filter val="G990-08380-11-01 &#10;G990-08380-11-A"/>
        <filter val="G990-08483-22-C"/>
        <filter val="G990-08380-31-02 &#10;G990-08380-31-A"/>
        <filter val="G990-08489-41-05&#10;G990-08489-41-B"/>
        <filter val="G990-08483-41-C"/>
        <filter val="G990-08483-42-C"/>
        <filter val="G990-08487-12-03&#10;G990-08487-12-B"/>
        <filter val="G990-08483-21-C"/>
        <filter val="G990-08380-21-01&#10;G990-08380-21-A"/>
        <filter val="G990-08380-21-01 &#10;G990-08380-21-A"/>
        <filter val="G990-08380-41-01&#10;G990-08380-41-A"/>
        <filter val="G990-08487-22-03&#10;G990-08487-22-B"/>
        <filter val="G990-08380-12-01 &#10;G990-08380-12-A"/>
        <filter val="G990-08487-32-03&#10;G990-08487-32-B"/>
        <filter val="G990-08485-12-03&#10;G990-08485-12-B"/>
        <filter val="G990-08485-21-03&#10;G990-08485-21-B"/>
        <filter val="G990-08380-22-01 &#10;G990-08380-22-A"/>
        <filter val="G990-08380-31-02&#10;G990-08380-31-A"/>
        <filter val="G990-08483-12-C"/>
        <filter val="G990-08483-11-C"/>
        <filter val="G990-08487-42-03&#10;G990-08487-42-B"/>
        <filter val="G990-08485-22-03&#10;G990-08485-22-B"/>
      </filters>
    </filterColumn>
  </autoFilter>
  <customSheetViews>
    <customSheetView guid="{E8F754BB-0312-464B-96EE-8574A5BDE135}" filter="1" showAutoFilter="1">
      <autoFilter ref="$B$11:$BR$148">
        <filterColumn colId="4">
          <filters>
            <filter val="ATT"/>
            <filter val="IN"/>
            <filter val="GSTORE, US"/>
            <filter val="CA/AU"/>
            <filter val="VZW, US"/>
            <filter val="VZW"/>
            <filter val="ATT, US"/>
            <filter val="TMO, US"/>
            <filter val="AT&amp;T, US"/>
            <filter val="TMO"/>
            <filter val="CA/TW/SG/MY/AU/MX"/>
            <filter val="UK/EU"/>
            <filter val="GB, DE, IT, ES, IE, FR, NL, BE, AT, CH, PT, PL, CZ, HU, RO, SI, LV, LT, EE, FI, NO, SE, DK, SK"/>
            <filter val="US"/>
          </filters>
        </filterColumn>
      </autoFilter>
    </customSheetView>
    <customSheetView guid="{701325E0-BC70-43C8-B992-31283CB185C6}" filter="1" showAutoFilter="1">
      <autoFilter ref="$A$11:$BT$242"/>
    </customSheetView>
    <customSheetView guid="{F5CE670D-61ED-47D3-B14D-55F109315ADF}" filter="1" showAutoFilter="1">
      <autoFilter ref="$B$1:$BR$242"/>
    </customSheetView>
    <customSheetView guid="{17A8AAE4-9723-4A58-AF2E-4CD8BFB7203B}" filter="1" showAutoFilter="1">
      <autoFilter ref="$B$11:$BR$146">
        <filterColumn colId="4">
          <filters>
            <filter val="ATT"/>
            <filter val="IN"/>
            <filter val="GSTORE, US"/>
            <filter val="CA/AU"/>
            <filter val="VZW, US"/>
            <filter val="VZW"/>
            <filter val="ATT, US"/>
            <filter val="TMO, US"/>
            <filter val="AT&amp;T, US"/>
            <filter val="TMO"/>
            <filter val="CA/TW/SG/MY/AU/MX"/>
            <filter val="UK/EU"/>
            <filter val="GB, DE, IT, ES, IE, FR, NL, BE, AT, CH, PT, PL, CZ, HU, RO, SI, LV, LT, EE, FI, NO, SE, DK, SK"/>
            <filter val="US"/>
          </filters>
        </filterColumn>
      </autoFilter>
    </customSheetView>
    <customSheetView guid="{0D869F75-C18D-4A7C-BB39-808646BFEC16}" filter="1" showAutoFilter="1">
      <autoFilter ref="$B$11:$BR$146"/>
    </customSheetView>
    <customSheetView guid="{09CACAC4-1811-4DC1-A91D-8DAA6C5E832D}" filter="1" showAutoFilter="1">
      <autoFilter ref="$B$6:$BR$146"/>
    </customSheetView>
    <customSheetView guid="{4DFE5BC2-15FE-4A25-8B7E-156B336BBD72}" filter="1" showAutoFilter="1">
      <autoFilter ref="$B$11:$BR$11">
        <filterColumn colId="1">
          <filters/>
        </filterColumn>
        <filterColumn colId="7">
          <filters/>
        </filterColumn>
      </autoFilter>
    </customSheetView>
    <customSheetView guid="{2D7825BD-4965-4CA0-AB77-53B034F151DD}" filter="1" showAutoFilter="1">
      <autoFilter ref="$B$11:$BR$11"/>
    </customSheetView>
    <customSheetView guid="{09B701C9-C463-4E5A-9AA6-EE9988CB52C8}" filter="1" showAutoFilter="1">
      <autoFilter ref="$B$2:$BG$11"/>
    </customSheetView>
    <customSheetView guid="{EADBE73C-6302-482F-A02F-D99879D18316}" filter="1" showAutoFilter="1">
      <autoFilter ref="$B$11:$BR$11"/>
    </customSheetView>
    <customSheetView guid="{9C921E1A-7070-4D26-A07E-7902B0B21AB7}" filter="1" showAutoFilter="1">
      <autoFilter ref="$B$11:$BR$146">
        <filterColumn colId="4">
          <filters>
            <filter val="ATT"/>
            <filter val="IN"/>
            <filter val="GSTORE, US"/>
            <filter val="CA/AU"/>
            <filter val="VZW, US"/>
            <filter val="VZW"/>
            <filter val="ATT, US"/>
            <filter val="TMO, US"/>
            <filter val="AT&amp;T, US"/>
            <filter val="TMO"/>
            <filter val="CA/TW/SG/MY/AU/MX"/>
            <filter val="UK/EU"/>
            <filter val="GB, DE, IT, ES, IE, FR, NL, BE, AT, CH, PT, PL, CZ, HU, RO, SI, LV, LT, EE, FI, NO, SE, DK, SK"/>
            <filter val="US"/>
          </filters>
        </filterColumn>
      </autoFilter>
    </customSheetView>
    <customSheetView guid="{F6C36D18-D790-4EF0-B05A-DFE52C3A8D9F}" filter="1" showAutoFilter="1">
      <autoFilter ref="$B$11:$BR$11"/>
    </customSheetView>
    <customSheetView guid="{235C060A-D560-4612-B16C-F7722E2C7604}" filter="1" showAutoFilter="1">
      <autoFilter ref="$B$11:$BR$125">
        <filterColumn colId="4">
          <filters>
            <filter val="ATT, US"/>
            <filter val="IN"/>
            <filter val="TMO, US"/>
            <filter val="AT&amp;T, US"/>
            <filter val="GSTORE, US"/>
            <filter val="CA/TW/SG/MY/AU/MX"/>
            <filter val="UK/EU"/>
            <filter val="GB, DE, IT, ES, IE, FR, NL, BE, AT, CH, PT, PL, CZ, HU, RO, SI, LV, LT, EE, FI, NO, SE, DK, SK"/>
            <filter val="CA/AU"/>
            <filter val="VZW, US"/>
          </filters>
        </filterColumn>
        <filterColumn colId="2">
          <filters>
            <filter val="Cancel"/>
            <filter val="Retail Pack"/>
            <filter val="Bulk Pack"/>
          </filters>
        </filterColumn>
      </autoFilter>
    </customSheetView>
    <customSheetView guid="{8E5164FB-CF53-4D3B-B6E3-2175E7D5406C}" filter="1" showAutoFilter="1">
      <autoFilter ref="$B$11:$BR$11">
        <filterColumn colId="1">
          <filters/>
        </filterColumn>
        <filterColumn colId="4">
          <filters/>
        </filterColumn>
      </autoFilter>
    </customSheetView>
    <customSheetView guid="{F28892C4-2CC3-4522-B0A3-45368FA41C32}" filter="1" showAutoFilter="1">
      <autoFilter ref="$B$11:$BR$11">
        <filterColumn colId="28">
          <filters/>
        </filterColumn>
      </autoFilter>
    </customSheetView>
    <customSheetView guid="{41E795DC-7956-4B8F-9EA6-5B2084EFD4F8}" filter="1" showAutoFilter="1">
      <autoFilter ref="$B$11:$BR$11"/>
    </customSheetView>
    <customSheetView guid="{127C7570-474D-4FA0-8DFD-5FCF265A9A83}" filter="1" showAutoFilter="1">
      <autoFilter ref="$B$11:$BR$11"/>
    </customSheetView>
    <customSheetView guid="{70C85E39-6D85-47D8-B6F7-71D9D671FA49}" filter="1" showAutoFilter="1">
      <autoFilter ref="$B$11:$BR$148"/>
    </customSheetView>
    <customSheetView guid="{27810A2C-037D-4AD2-BB0D-EA5D9AB4D19D}" filter="1" showAutoFilter="1">
      <autoFilter ref="$B$11:$BR$11">
        <filterColumn colId="1">
          <filters/>
        </filterColumn>
      </autoFilter>
    </customSheetView>
    <customSheetView guid="{A5C1B606-533E-4223-A9E1-00D18A5D53B7}" filter="1" showAutoFilter="1">
      <autoFilter ref="$B$11:$BR$146"/>
    </customSheetView>
    <customSheetView guid="{0378D225-30D7-4936-A251-E4FDC3156776}" filter="1" showAutoFilter="1">
      <autoFilter ref="$B$11:$BR$242">
        <filterColumn colId="33">
          <filters>
            <filter val="G710-07800-10"/>
            <filter val="G710-07800-01"/>
            <filter val="G710-07800-00"/>
            <filter val="TBD"/>
            <filter val="G710-07800-11"/>
          </filters>
        </filterColumn>
      </autoFilter>
    </customSheetView>
    <customSheetView guid="{5268F578-E9CF-47CE-8609-3B724149F194}" filter="1" showAutoFilter="1">
      <autoFilter ref="$B$11:$BR$148">
        <filterColumn colId="3">
          <filters>
            <filter val="CLNRGA09744"/>
            <filter val="CLNRGA10216"/>
            <filter val="CLNRGA10215"/>
            <filter val="GA09861-US"/>
            <filter val="CLNRGA10218"/>
            <filter val="CLNRGA09862"/>
            <filter val="CLNRGA10217"/>
            <filter val="CLNRGA10219"/>
            <filter val="GA10219-US"/>
            <filter val="GA10217-CA"/>
            <filter val="GA10776-CA"/>
            <filter val="GA10239-US"/>
            <filter val="GA10215-IN"/>
            <filter val="IQGA10239-US"/>
            <filter val="GA09425-US"/>
            <filter val="GA10240-US"/>
            <filter val="GA09744-CA"/>
            <filter val="CLNRGA10214"/>
            <filter val="GA10776-JP"/>
            <filter val="GA10218-GB"/>
            <filter val="IQGA09425-US"/>
            <filter val="GA10216-US"/>
            <filter val="GA09883-GB"/>
            <filter val="GA10214-CA"/>
            <filter val="GA10775-US"/>
            <filter val="IQGA10240-US"/>
            <filter val="GA10217-JP"/>
            <filter val="GA10243-US"/>
            <filter val="GA10216-JP-N"/>
            <filter val="CLNRGA09883"/>
            <filter val="GA10219-GB"/>
            <filter val="CLNRGA09882"/>
            <filter val="GA10216-CA-N"/>
            <filter val="GA10217-US"/>
            <filter val="GA10215-CA"/>
            <filter val="GA10772-US"/>
            <filter val="GA10218-JP"/>
            <filter val="GA09744-US"/>
            <filter val="IQGA09880-US"/>
            <filter val="GA10214-JP-N"/>
            <filter val="GA10216-GB"/>
            <filter val="GA09883-US"/>
            <filter val="GA10214-US"/>
            <filter val="GA10218-IN"/>
            <filter val="GA10775-CA"/>
            <filter val="GA10215-JP"/>
            <filter val="CLNRGOGA09880"/>
            <filter val="GA09744-GB-N"/>
            <filter val="GA09744-US-N"/>
            <filter val="GA10216-US-N"/>
            <filter val="GA10217-GB"/>
            <filter val="CLNRGOGA10239"/>
            <filter val="GA10775-JP"/>
            <filter val="GA09880-US"/>
            <filter val="CLNRGOGA10238"/>
            <filter val="GA10214-CA-N"/>
            <filter val="GA10216-GB-N"/>
            <filter val="GA10774-US"/>
            <filter val="GA10778-IN"/>
            <filter val="GA10215-US"/>
            <filter val="GA10219-IN"/>
            <filter val="GA10216-JP"/>
            <filter val="GA10776-GB"/>
            <filter val="CLNRGA10252"/>
            <filter val="GA09744-GB"/>
            <filter val="CLNRGOGA10243"/>
            <filter val="CLNRGOGA10240"/>
            <filter val="GA10771-US"/>
            <filter val="GA10218-CA"/>
            <filter val="GA10214-GB"/>
            <filter val="GA09883-CA"/>
            <filter val="GA10769"/>
            <filter val="GA11019-US"/>
            <filter val="GA10259"/>
            <filter val="GA10256"/>
            <filter val="GA10216-IN"/>
            <filter val="GA09883-JP"/>
            <filter val="IQGA10238-US"/>
            <filter val="GA10215-US-N"/>
            <filter val="GA10770"/>
            <filter val="GA10215-GB-N"/>
            <filter val="GA10252-US"/>
            <filter val="GA10215-JP-N"/>
            <filter val="CLNRGOGA09425"/>
            <filter val="GA10219-CA"/>
            <filter val="GA09882-US"/>
            <filter val="GA09744-CA-N"/>
            <filter val="GA10215-GB"/>
            <filter val="GA10214-GB-N"/>
            <filter val="GA10776-US"/>
            <filter val="GA10217-IN"/>
            <filter val="GA10269"/>
            <filter val="GA09883-IN"/>
            <filter val="GA10267"/>
            <filter val="IQGA10243-US"/>
            <filter val="GA09744-JP-N"/>
            <filter val="GA10268"/>
            <filter val="GA10214-JP"/>
            <filter val="GA09744-IN"/>
            <filter val="GA10263"/>
            <filter val="GA10264"/>
            <filter val="CLNRGA10551"/>
            <filter val="GA10261"/>
            <filter val="GA10246-US"/>
            <filter val="CLNRGA10550"/>
            <filter val="GA10262"/>
            <filter val="CLNRGA10553"/>
            <filter val="CLNRGA10552"/>
            <filter val="GA10260"/>
            <filter val="CLNRGA10555"/>
            <filter val="CLNRGA10554"/>
            <filter val="CLNRGA10546"/>
            <filter val="CLNRGA10545"/>
            <filter val="CLNRGA10548"/>
            <filter val="GA09862-US"/>
            <filter val="CLNRGA10547"/>
            <filter val="CLNRGA10549"/>
            <filter val="GA10218-US"/>
            <filter val="GA10777-IN"/>
            <filter val="GA10216-CA"/>
            <filter val="GA10773-US"/>
            <filter val="GA10219-JP"/>
            <filter val="GA10775-GB"/>
            <filter val="GA10238-US"/>
            <filter val="GA10214-US-N"/>
            <filter val="GA09744-JP"/>
            <filter val="GA10214-IN"/>
            <filter val="CLNRGA10540"/>
            <filter val="GA10272"/>
            <filter val="GA10273"/>
            <filter val="CLNRGA10542"/>
            <filter val="GA10270"/>
            <filter val="CLNRGA10541"/>
            <filter val="GA10271"/>
            <filter val="CLNRGA10544"/>
            <filter val="CLNRGA10543"/>
            <filter val="GA10215-CA-N"/>
          </filters>
        </filterColumn>
      </autoFilter>
    </customSheetView>
    <customSheetView guid="{13FB488A-AF63-487F-A7A0-946C6F48FBC4}" filter="1" showAutoFilter="1">
      <autoFilter ref="$B$11:$BR$11">
        <filterColumn colId="4">
          <filters/>
        </filterColumn>
        <filterColumn colId="7">
          <filters/>
        </filterColumn>
        <sortState ref="B11:BR11">
          <sortCondition descending="1" ref="F11"/>
        </sortState>
      </autoFilter>
    </customSheetView>
    <customSheetView guid="{6A96E052-F9D6-400B-AD77-4852A0C79F04}" filter="1" showAutoFilter="1">
      <autoFilter ref="$B$11:$BR$11"/>
    </customSheetView>
    <customSheetView guid="{05AB4814-4623-43F5-8081-47DDC317D005}" filter="1" showAutoFilter="1">
      <autoFilter ref="$B$11:$BR$11">
        <filterColumn colId="28">
          <filters/>
        </filterColumn>
      </autoFilter>
    </customSheetView>
    <customSheetView guid="{09CF0436-51F4-4862-9C00-9625A81D9B88}" filter="1" showAutoFilter="1">
      <autoFilter ref="$B$11:$BR$11"/>
    </customSheetView>
    <customSheetView guid="{2941CAD7-1D92-483C-AD8D-B6B4D99CB94D}" filter="1" showAutoFilter="1">
      <autoFilter ref="$B$11:$BR$11"/>
    </customSheetView>
    <customSheetView guid="{0B238461-323A-427F-B143-127AF578CD5C}" filter="1" showAutoFilter="1">
      <autoFilter ref="$B$11:$BR$148"/>
    </customSheetView>
    <customSheetView guid="{1FA21FA9-650F-4411-9528-A4787CD6A6E2}" filter="1" showAutoFilter="1">
      <autoFilter ref="$B$11:$BR$125"/>
    </customSheetView>
    <customSheetView guid="{33E13900-0C44-4EB3-9F50-EC0680AE24CA}" filter="1" showAutoFilter="1">
      <autoFilter ref="$B$11:$BR$125">
        <filterColumn colId="4">
          <filters>
            <filter val="ATT, US"/>
            <filter val="IN"/>
            <filter val="TMO, US"/>
            <filter val="AT&amp;T, US"/>
            <filter val="GSTORE, US"/>
            <filter val="CA/TW/SG/MY/AU/MX"/>
            <filter val="UK/EU"/>
            <filter val="GB, DE, IT, ES, IE, FR, NL, BE, AT, CH, PT, PL, CZ, HU, RO, SI, LV, LT, EE, FI, NO, SE, DK, SK"/>
            <filter val="CA/AU"/>
            <filter val="VZW, US"/>
          </filters>
        </filterColumn>
      </autoFilter>
    </customSheetView>
    <customSheetView guid="{0ECB9A19-820E-41D4-A7F9-D3524DC9541F}" filter="1" showAutoFilter="1">
      <autoFilter ref="$B$11:$BR$11"/>
    </customSheetView>
    <customSheetView guid="{ED7325CA-62B1-40AF-B9BD-D9D32A152499}" filter="1" showAutoFilter="1">
      <autoFilter ref="$B$11:$BR$148">
        <filterColumn colId="3">
          <filters>
            <filter val="CLNRGA09744"/>
            <filter val="CLNRGA10216"/>
            <filter val="CLNRGA10215"/>
            <filter val="GA09861-US"/>
            <filter val="CLNRGA10218"/>
            <filter val="CLNRGA09862"/>
            <filter val="CLNRGA10217"/>
            <filter val="CLNRGA10219"/>
            <filter val="GA10219-US"/>
            <filter val="GA10217-CA"/>
            <filter val="GA10776-CA"/>
            <filter val="GA10239-US"/>
            <filter val="GA10215-IN"/>
            <filter val="IQGA10239-US"/>
            <filter val="GA09425-US"/>
            <filter val="GA10240-US"/>
            <filter val="GA09744-CA"/>
            <filter val="CLNRGA10214"/>
            <filter val="GA10776-JP"/>
            <filter val="GA10218-GB"/>
            <filter val="IQGA09425-US"/>
            <filter val="GA10216-US"/>
            <filter val="GA09883-GB"/>
            <filter val="GA10214-CA"/>
            <filter val="GA10775-US"/>
            <filter val="IQGA10240-US"/>
            <filter val="GA10217-JP"/>
            <filter val="GA10243-US"/>
            <filter val="GA10216-JP-N"/>
            <filter val="CLNRGA09883"/>
            <filter val="GA10219-GB"/>
            <filter val="CLNRGA09882"/>
            <filter val="GA10216-CA-N"/>
            <filter val="GA10217-US"/>
            <filter val="GA10215-CA"/>
            <filter val="GA10772-US"/>
            <filter val="GA10218-JP"/>
            <filter val="GA09744-US"/>
            <filter val="IQGA09880-US"/>
            <filter val="GA10214-JP-N"/>
            <filter val="GA10216-GB"/>
            <filter val="GA09883-US"/>
            <filter val="GA10214-US"/>
            <filter val="GA10218-IN"/>
            <filter val="GA10775-CA"/>
            <filter val="GA10215-JP"/>
            <filter val="CLNRGOGA09880"/>
            <filter val="GA09744-GB-N"/>
            <filter val="GA09744-US-N"/>
            <filter val="GA10216-US-N"/>
            <filter val="GA10217-GB"/>
            <filter val="CLNRGOGA10239"/>
            <filter val="GA10775-JP"/>
            <filter val="GA09880-US"/>
            <filter val="CLNRGOGA10238"/>
            <filter val="GA10214-CA-N"/>
            <filter val="GA10216-GB-N"/>
            <filter val="GA10774-US"/>
            <filter val="GA10778-IN"/>
            <filter val="GA10215-US"/>
            <filter val="GA10219-IN"/>
            <filter val="GA10216-JP"/>
            <filter val="GA10776-GB"/>
            <filter val="CLNRGA10252"/>
            <filter val="GA09744-GB"/>
            <filter val="CLNRGOGA10243"/>
            <filter val="CLNRGOGA10240"/>
            <filter val="GA10771-US"/>
            <filter val="GA10218-CA"/>
            <filter val="GA10214-GB"/>
            <filter val="GA09883-CA"/>
            <filter val="GA10769"/>
            <filter val="GA11019-US"/>
            <filter val="GA10259"/>
            <filter val="GA10256"/>
            <filter val="GA10216-IN"/>
            <filter val="GA09883-JP"/>
            <filter val="IQGA10238-US"/>
            <filter val="GA10215-US-N"/>
            <filter val="GA10770"/>
            <filter val="GA10215-GB-N"/>
            <filter val="GA10252-US"/>
            <filter val="GA10215-JP-N"/>
            <filter val="CLNRGOGA09425"/>
            <filter val="GA10219-CA"/>
            <filter val="GA09882-US"/>
            <filter val="GA09744-CA-N"/>
            <filter val="GA10215-GB"/>
            <filter val="GA10214-GB-N"/>
            <filter val="GA10776-US"/>
            <filter val="GA10217-IN"/>
            <filter val="GA10269"/>
            <filter val="GA09883-IN"/>
            <filter val="GA10267"/>
            <filter val="IQGA10243-US"/>
            <filter val="GA09744-JP-N"/>
            <filter val="GA10268"/>
            <filter val="GA10214-JP"/>
            <filter val="GA09744-IN"/>
            <filter val="GA10263"/>
            <filter val="GA10264"/>
            <filter val="CLNRGA10551"/>
            <filter val="GA10261"/>
            <filter val="GA10246-US"/>
            <filter val="CLNRGA10550"/>
            <filter val="GA10262"/>
            <filter val="CLNRGA10553"/>
            <filter val="CLNRGA10552"/>
            <filter val="GA10260"/>
            <filter val="CLNRGA10555"/>
            <filter val="CLNRGA10554"/>
            <filter val="CLNRGA10546"/>
            <filter val="CLNRGA10545"/>
            <filter val="CLNRGA10548"/>
            <filter val="GA09862-US"/>
            <filter val="CLNRGA10547"/>
            <filter val="CLNRGA10549"/>
            <filter val="GA10218-US"/>
            <filter val="GA10777-IN"/>
            <filter val="GA10216-CA"/>
            <filter val="GA10773-US"/>
            <filter val="GA10219-JP"/>
            <filter val="GA10775-GB"/>
            <filter val="GA10238-US"/>
            <filter val="GA10214-US-N"/>
            <filter val="GA09744-JP"/>
            <filter val="GA10214-IN"/>
            <filter val="CLNRGA10540"/>
            <filter val="GA10272"/>
            <filter val="GA10273"/>
            <filter val="CLNRGA10542"/>
            <filter val="GA10270"/>
            <filter val="CLNRGA10541"/>
            <filter val="GA10271"/>
            <filter val="CLNRGA10544"/>
            <filter val="CLNRGA10543"/>
            <filter val="GA10215-CA-N"/>
          </filters>
        </filterColumn>
      </autoFilter>
    </customSheetView>
    <customSheetView guid="{1076E9E7-3C1F-43B9-BA95-E40373C8988F}" filter="1" showAutoFilter="1">
      <autoFilter ref="$B$11:$BR$146">
        <filterColumn colId="57">
          <filters blank="1">
            <filter val="FL5-MP-彩盒包"/>
            <filter val="FL5-MP-工业包ROW+鐳雕SIM"/>
            <filter val="FL5-MP-彩盒包+鐳雕SIM"/>
            <filter val="FL5-MP-工业包VZN"/>
            <filter val="FL5-MP-工业包ROW"/>
          </filters>
        </filterColumn>
      </autoFilter>
    </customSheetView>
  </customSheetViews>
  <mergeCells count="2">
    <mergeCell ref="B2:F2"/>
    <mergeCell ref="C3:C4"/>
  </mergeCells>
  <conditionalFormatting sqref="E1:E334">
    <cfRule type="expression" dxfId="0" priority="1">
      <formula>countif($E:$E,E1)&gt;1</formula>
    </cfRule>
  </conditionalFormatting>
  <conditionalFormatting sqref="E12:E334">
    <cfRule type="expression" dxfId="1" priority="2">
      <formula>$I12="CLR1"</formula>
    </cfRule>
  </conditionalFormatting>
  <conditionalFormatting sqref="J12:J334">
    <cfRule type="cellIs" dxfId="1" priority="3" operator="equal">
      <formula>"Obsidian"</formula>
    </cfRule>
  </conditionalFormatting>
  <conditionalFormatting sqref="J12:J334">
    <cfRule type="cellIs" dxfId="2" priority="4" operator="equal">
      <formula>"Frost"</formula>
    </cfRule>
  </conditionalFormatting>
  <conditionalFormatting sqref="E12:E334">
    <cfRule type="expression" dxfId="2" priority="5">
      <formula>$I12="CLR2"</formula>
    </cfRule>
  </conditionalFormatting>
  <conditionalFormatting sqref="E12:E334">
    <cfRule type="expression" dxfId="3" priority="6">
      <formula>$I12="CLR3"</formula>
    </cfRule>
  </conditionalFormatting>
  <conditionalFormatting sqref="J12:J334">
    <cfRule type="cellIs" dxfId="4" priority="7" operator="equal">
      <formula>"Lemongrass"</formula>
    </cfRule>
  </conditionalFormatting>
  <conditionalFormatting sqref="E12:E334">
    <cfRule type="expression" dxfId="5" priority="8">
      <formula>$I12="CLR4"</formula>
    </cfRule>
  </conditionalFormatting>
  <conditionalFormatting sqref="J12:J334">
    <cfRule type="cellIs" dxfId="5" priority="9" operator="equal">
      <formula>"Indigo"</formula>
    </cfRule>
  </conditionalFormatting>
  <conditionalFormatting sqref="G12:H334">
    <cfRule type="cellIs" dxfId="6" priority="10" operator="equal">
      <formula>"mmwave"</formula>
    </cfRule>
  </conditionalFormatting>
  <conditionalFormatting sqref="G12:H334">
    <cfRule type="cellIs" dxfId="7" priority="11" operator="equal">
      <formula>"sub6"</formula>
    </cfRule>
  </conditionalFormatting>
  <conditionalFormatting sqref="H12:H334">
    <cfRule type="containsText" dxfId="8" priority="12" operator="containsText" text="JP">
      <formula>NOT(ISERROR(SEARCH(("JP"),(H12))))</formula>
    </cfRule>
  </conditionalFormatting>
  <conditionalFormatting sqref="C7:I9 J7:K8 B12:H334 J12:BF334 BG12:BG23 BI12:BU334 I36:I39 BG36:BG46 BH36:BH39 I56:I334 BH70:BH102 BH119:BH123 BG177:BH180 BG188:BG198 BG200:BG202 BG204:BH334">
    <cfRule type="expression" dxfId="9" priority="13">
      <formula>$D7="Cancel"</formula>
    </cfRule>
  </conditionalFormatting>
  <conditionalFormatting sqref="M12:P334">
    <cfRule type="cellIs" dxfId="10" priority="14" operator="equal">
      <formula>"No"</formula>
    </cfRule>
  </conditionalFormatting>
  <conditionalFormatting sqref="AS12:AS334">
    <cfRule type="containsText" dxfId="3" priority="15" operator="containsText" text="128">
      <formula>NOT(ISERROR(SEARCH(("128"),(AS12))))</formula>
    </cfRule>
  </conditionalFormatting>
  <conditionalFormatting sqref="AS12:AS334">
    <cfRule type="containsText" dxfId="10" priority="16" operator="containsText" text="512">
      <formula>NOT(ISERROR(SEARCH(("512"),(AS12))))</formula>
    </cfRule>
  </conditionalFormatting>
  <conditionalFormatting sqref="BI12:BI334 BK12:BL334">
    <cfRule type="containsBlanks" dxfId="11" priority="17">
      <formula>LEN(TRIM(BI12))=0</formula>
    </cfRule>
  </conditionalFormatting>
  <conditionalFormatting sqref="J12:AY334 BF12:BF334 BH70:BH102 BH119:BH123 BG177:BH180 BG204:BG213 BH204:BH334">
    <cfRule type="containsText" dxfId="11" priority="18" operator="containsText" text="TBD">
      <formula>NOT(ISERROR(SEARCH(("TBD"),(J12))))</formula>
    </cfRule>
  </conditionalFormatting>
  <conditionalFormatting sqref="AW12:AW334">
    <cfRule type="containsText" dxfId="12" priority="19" operator="containsText" text="Need defined">
      <formula>NOT(ISERROR(SEARCH(("Need defined"),(AW12))))</formula>
    </cfRule>
  </conditionalFormatting>
  <conditionalFormatting sqref="BE12:BE334">
    <cfRule type="containsText" dxfId="11" priority="20" operator="containsText" text="TBD">
      <formula>NOT(ISERROR(SEARCH(("TBD"),(BE12))))</formula>
    </cfRule>
  </conditionalFormatting>
  <conditionalFormatting sqref="G9">
    <cfRule type="containsText" dxfId="9" priority="21" operator="containsText" text="Cancel">
      <formula>NOT(ISERROR(SEARCH(("Cancel"),(G9))))</formula>
    </cfRule>
  </conditionalFormatting>
  <conditionalFormatting sqref="BS1:BS334">
    <cfRule type="containsText" dxfId="13" priority="22" operator="containsText" text="Y">
      <formula>NOT(ISERROR(SEARCH(("Y"),(BS1))))</formula>
    </cfRule>
  </conditionalFormatting>
  <conditionalFormatting sqref="AT12:AV334">
    <cfRule type="containsText" dxfId="10" priority="23" operator="containsText" text="Yes">
      <formula>NOT(ISERROR(SEARCH(("Yes"),(AT12))))</formula>
    </cfRule>
  </conditionalFormatting>
  <conditionalFormatting sqref="AT12:AV334">
    <cfRule type="containsText" dxfId="11" priority="24" operator="containsText" text="No">
      <formula>NOT(ISERROR(SEARCH(("No"),(AT12))))</formula>
    </cfRule>
  </conditionalFormatting>
  <conditionalFormatting sqref="BM12:BO334">
    <cfRule type="containsText" dxfId="7" priority="25" operator="containsText" text="No demand">
      <formula>NOT(ISERROR(SEARCH(("No demand"),(BM12))))</formula>
    </cfRule>
  </conditionalFormatting>
  <conditionalFormatting sqref="BL12:BL334">
    <cfRule type="containsText" dxfId="11" priority="26" operator="containsText" text="open">
      <formula>NOT(ISERROR(SEARCH(("open"),(BL12))))</formula>
    </cfRule>
  </conditionalFormatting>
  <conditionalFormatting sqref="BL12:BL334">
    <cfRule type="containsText" dxfId="10" priority="27" operator="containsText" text="close">
      <formula>NOT(ISERROR(SEARCH(("close"),(BL12))))</formula>
    </cfRule>
  </conditionalFormatting>
  <dataValidations>
    <dataValidation type="list" allowBlank="1" sqref="G9 D12:D334">
      <formula1>"Bulk Pack,Retail Pack,Cancel"</formula1>
    </dataValidation>
    <dataValidation type="list" allowBlank="1" sqref="G7:G8 C7:C9 E7:E9 C12:C334">
      <formula1>z_Others!$S$5:$S$14</formula1>
    </dataValidation>
    <dataValidation type="list" allowBlank="1" sqref="AS12:AS334">
      <formula1>"128GB,256GB,512GB"</formula1>
    </dataValidation>
  </dataValidations>
  <hyperlinks>
    <hyperlink r:id="rId2" ref="AD10"/>
    <hyperlink r:id="rId3" ref="AE10"/>
    <hyperlink r:id="rId4" ref="AF10"/>
    <hyperlink r:id="rId5" ref="AG10"/>
    <hyperlink r:id="rId6" ref="BG10"/>
    <hyperlink r:id="rId7" ref="BH10"/>
    <hyperlink r:id="rId8" ref="BI10"/>
    <hyperlink r:id="rId9" ref="BK10"/>
  </hyperlinks>
  <drawing r:id="rId10"/>
  <legacy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390" t="s">
        <v>409</v>
      </c>
      <c r="B3" s="314" t="s">
        <v>447</v>
      </c>
    </row>
    <row r="4">
      <c r="A4" s="390" t="s">
        <v>491</v>
      </c>
      <c r="B4" s="314" t="s">
        <v>447</v>
      </c>
    </row>
    <row r="5">
      <c r="A5" s="390" t="s">
        <v>526</v>
      </c>
      <c r="B5" s="314" t="s">
        <v>447</v>
      </c>
    </row>
    <row r="6">
      <c r="A6" s="390" t="s">
        <v>553</v>
      </c>
      <c r="B6" s="314" t="s">
        <v>447</v>
      </c>
    </row>
    <row r="7">
      <c r="A7" s="390" t="s">
        <v>469</v>
      </c>
      <c r="B7" s="314" t="s">
        <v>447</v>
      </c>
    </row>
    <row r="8">
      <c r="A8" s="390" t="s">
        <v>442</v>
      </c>
      <c r="B8" s="314" t="s">
        <v>447</v>
      </c>
    </row>
    <row r="9">
      <c r="A9" s="390" t="s">
        <v>457</v>
      </c>
      <c r="B9" s="314" t="s">
        <v>447</v>
      </c>
    </row>
    <row r="10">
      <c r="A10" s="390" t="s">
        <v>593</v>
      </c>
      <c r="B10" s="314" t="s">
        <v>447</v>
      </c>
    </row>
    <row r="11">
      <c r="A11" s="390" t="s">
        <v>604</v>
      </c>
      <c r="B11" s="314" t="s">
        <v>447</v>
      </c>
    </row>
    <row r="12">
      <c r="A12" s="390" t="s">
        <v>629</v>
      </c>
      <c r="B12" s="314" t="s">
        <v>447</v>
      </c>
    </row>
    <row r="13">
      <c r="A13" s="390" t="s">
        <v>657</v>
      </c>
      <c r="B13" s="314" t="s">
        <v>447</v>
      </c>
    </row>
    <row r="14">
      <c r="A14" s="390" t="s">
        <v>681</v>
      </c>
      <c r="B14" s="314" t="s">
        <v>447</v>
      </c>
    </row>
    <row r="15">
      <c r="A15" s="390" t="s">
        <v>705</v>
      </c>
      <c r="B15" s="314" t="s">
        <v>447</v>
      </c>
    </row>
    <row r="16">
      <c r="A16" s="390" t="s">
        <v>609</v>
      </c>
      <c r="B16" s="314" t="s">
        <v>447</v>
      </c>
    </row>
    <row r="17">
      <c r="A17" s="390" t="s">
        <v>505</v>
      </c>
      <c r="B17" s="314" t="s">
        <v>447</v>
      </c>
    </row>
    <row r="18">
      <c r="A18" s="390" t="s">
        <v>535</v>
      </c>
      <c r="B18" s="314" t="s">
        <v>447</v>
      </c>
    </row>
    <row r="19">
      <c r="A19" s="390" t="s">
        <v>564</v>
      </c>
      <c r="B19" s="314" t="s">
        <v>447</v>
      </c>
    </row>
    <row r="20">
      <c r="A20" s="390" t="s">
        <v>476</v>
      </c>
      <c r="B20" s="314" t="s">
        <v>447</v>
      </c>
    </row>
    <row r="21">
      <c r="A21" s="390" t="s">
        <v>512</v>
      </c>
      <c r="B21" s="314" t="s">
        <v>447</v>
      </c>
    </row>
    <row r="22">
      <c r="A22" s="390" t="s">
        <v>541</v>
      </c>
      <c r="B22" s="314" t="s">
        <v>447</v>
      </c>
    </row>
    <row r="23">
      <c r="A23" s="390" t="s">
        <v>570</v>
      </c>
      <c r="B23" s="314" t="s">
        <v>447</v>
      </c>
    </row>
    <row r="24">
      <c r="A24" s="390" t="s">
        <v>481</v>
      </c>
      <c r="B24" s="314" t="s">
        <v>447</v>
      </c>
    </row>
    <row r="25">
      <c r="A25" s="390" t="s">
        <v>519</v>
      </c>
      <c r="B25" s="314" t="s">
        <v>447</v>
      </c>
    </row>
    <row r="26">
      <c r="A26" s="390" t="s">
        <v>547</v>
      </c>
      <c r="B26" s="314" t="s">
        <v>447</v>
      </c>
    </row>
    <row r="27">
      <c r="A27" s="390" t="s">
        <v>576</v>
      </c>
      <c r="B27" s="314" t="s">
        <v>447</v>
      </c>
    </row>
    <row r="28">
      <c r="A28" s="390" t="s">
        <v>486</v>
      </c>
      <c r="B28" s="314" t="s">
        <v>447</v>
      </c>
    </row>
    <row r="29">
      <c r="A29" s="390" t="s">
        <v>636</v>
      </c>
      <c r="B29" s="314" t="s">
        <v>447</v>
      </c>
    </row>
    <row r="30">
      <c r="A30" s="390" t="s">
        <v>663</v>
      </c>
      <c r="B30" s="314" t="s">
        <v>447</v>
      </c>
    </row>
    <row r="31">
      <c r="A31" s="390" t="s">
        <v>687</v>
      </c>
      <c r="B31" s="314" t="s">
        <v>447</v>
      </c>
    </row>
    <row r="32">
      <c r="A32" s="390" t="s">
        <v>711</v>
      </c>
      <c r="B32" s="314" t="s">
        <v>447</v>
      </c>
    </row>
    <row r="33">
      <c r="A33" s="390" t="s">
        <v>614</v>
      </c>
      <c r="B33" s="314" t="s">
        <v>447</v>
      </c>
    </row>
    <row r="34">
      <c r="A34" s="390" t="s">
        <v>643</v>
      </c>
      <c r="B34" s="314" t="s">
        <v>447</v>
      </c>
    </row>
    <row r="35">
      <c r="A35" s="390" t="s">
        <v>669</v>
      </c>
      <c r="B35" s="314" t="s">
        <v>447</v>
      </c>
    </row>
    <row r="36">
      <c r="A36" s="390" t="s">
        <v>693</v>
      </c>
      <c r="B36" s="314" t="s">
        <v>447</v>
      </c>
    </row>
    <row r="37">
      <c r="A37" s="390" t="s">
        <v>717</v>
      </c>
      <c r="B37" s="314" t="s">
        <v>447</v>
      </c>
    </row>
    <row r="38">
      <c r="A38" s="390" t="s">
        <v>619</v>
      </c>
      <c r="B38" s="314" t="s">
        <v>447</v>
      </c>
    </row>
    <row r="39">
      <c r="A39" s="390" t="s">
        <v>650</v>
      </c>
      <c r="B39" s="314" t="s">
        <v>447</v>
      </c>
    </row>
    <row r="40">
      <c r="A40" s="390" t="s">
        <v>675</v>
      </c>
      <c r="B40" s="314" t="s">
        <v>447</v>
      </c>
    </row>
    <row r="41">
      <c r="A41" s="390" t="s">
        <v>699</v>
      </c>
      <c r="B41" s="314" t="s">
        <v>447</v>
      </c>
    </row>
    <row r="42">
      <c r="A42" s="390" t="s">
        <v>723</v>
      </c>
      <c r="B42" s="314" t="s">
        <v>447</v>
      </c>
    </row>
    <row r="43">
      <c r="A43" s="390" t="s">
        <v>624</v>
      </c>
      <c r="B43" s="314" t="s">
        <v>447</v>
      </c>
    </row>
    <row r="44">
      <c r="A44" s="390" t="s">
        <v>424</v>
      </c>
      <c r="B44" s="314" t="s">
        <v>447</v>
      </c>
    </row>
    <row r="45">
      <c r="A45" s="390" t="s">
        <v>430</v>
      </c>
      <c r="B45" s="314" t="s">
        <v>447</v>
      </c>
    </row>
    <row r="46">
      <c r="A46" s="390" t="s">
        <v>436</v>
      </c>
      <c r="B46" s="314" t="s">
        <v>447</v>
      </c>
    </row>
    <row r="47">
      <c r="A47" s="390" t="s">
        <v>599</v>
      </c>
      <c r="B47" s="314" t="s">
        <v>447</v>
      </c>
    </row>
    <row r="48">
      <c r="A48" s="390" t="s">
        <v>451</v>
      </c>
      <c r="B48" s="314" t="s">
        <v>447</v>
      </c>
    </row>
    <row r="49">
      <c r="A49" s="390" t="s">
        <v>464</v>
      </c>
      <c r="B49" s="314" t="s">
        <v>447</v>
      </c>
    </row>
    <row r="50">
      <c r="A50" s="390" t="s">
        <v>1012</v>
      </c>
      <c r="B50" s="314" t="s">
        <v>447</v>
      </c>
    </row>
    <row r="51">
      <c r="A51" s="390" t="s">
        <v>1017</v>
      </c>
      <c r="B51" s="314" t="s">
        <v>447</v>
      </c>
    </row>
    <row r="52">
      <c r="A52" s="390" t="s">
        <v>1022</v>
      </c>
      <c r="B52" s="314" t="s">
        <v>447</v>
      </c>
    </row>
    <row r="53">
      <c r="A53" s="390" t="s">
        <v>1028</v>
      </c>
      <c r="B53" s="314" t="s">
        <v>447</v>
      </c>
    </row>
    <row r="54">
      <c r="A54" s="390" t="s">
        <v>1055</v>
      </c>
      <c r="B54" s="314" t="s">
        <v>447</v>
      </c>
    </row>
    <row r="55">
      <c r="A55" s="390" t="s">
        <v>1066</v>
      </c>
      <c r="B55" s="314" t="s">
        <v>447</v>
      </c>
    </row>
    <row r="56">
      <c r="A56" s="390" t="s">
        <v>1044</v>
      </c>
      <c r="B56" s="314" t="s">
        <v>447</v>
      </c>
    </row>
    <row r="57">
      <c r="A57" s="390" t="s">
        <v>1034</v>
      </c>
      <c r="B57" s="314" t="s">
        <v>447</v>
      </c>
    </row>
    <row r="58">
      <c r="A58" s="390" t="s">
        <v>1061</v>
      </c>
      <c r="B58" s="314" t="s">
        <v>447</v>
      </c>
    </row>
    <row r="59">
      <c r="A59" s="390" t="s">
        <v>1071</v>
      </c>
      <c r="B59" s="314" t="s">
        <v>447</v>
      </c>
    </row>
    <row r="60">
      <c r="A60" s="390" t="s">
        <v>1050</v>
      </c>
      <c r="B60" s="314" t="s">
        <v>447</v>
      </c>
    </row>
    <row r="61">
      <c r="A61" s="390" t="s">
        <v>1039</v>
      </c>
      <c r="B61" s="314" t="s">
        <v>447</v>
      </c>
    </row>
    <row r="62">
      <c r="A62" s="390" t="s">
        <v>1076</v>
      </c>
      <c r="B62" s="314" t="s">
        <v>447</v>
      </c>
    </row>
    <row r="63">
      <c r="A63" s="390" t="s">
        <v>1081</v>
      </c>
      <c r="B63" s="314" t="s">
        <v>447</v>
      </c>
    </row>
    <row r="64">
      <c r="A64" s="390" t="s">
        <v>749</v>
      </c>
      <c r="B64" s="314" t="s">
        <v>447</v>
      </c>
    </row>
    <row r="65">
      <c r="A65" s="390" t="s">
        <v>729</v>
      </c>
      <c r="B65" s="314" t="s">
        <v>447</v>
      </c>
    </row>
    <row r="66">
      <c r="A66" s="390" t="s">
        <v>754</v>
      </c>
      <c r="B66" s="314" t="s">
        <v>447</v>
      </c>
    </row>
    <row r="67">
      <c r="A67" s="390" t="s">
        <v>734</v>
      </c>
      <c r="B67" s="314" t="s">
        <v>447</v>
      </c>
    </row>
    <row r="68">
      <c r="A68" s="390" t="s">
        <v>739</v>
      </c>
      <c r="B68" s="314" t="s">
        <v>447</v>
      </c>
    </row>
    <row r="69">
      <c r="A69" s="390" t="s">
        <v>744</v>
      </c>
      <c r="B69" s="314" t="s">
        <v>447</v>
      </c>
    </row>
    <row r="70">
      <c r="A70" s="390" t="s">
        <v>759</v>
      </c>
      <c r="B70" s="314" t="s">
        <v>447</v>
      </c>
    </row>
    <row r="71">
      <c r="A71" s="390" t="s">
        <v>798</v>
      </c>
      <c r="B71" s="314" t="s">
        <v>447</v>
      </c>
    </row>
    <row r="72">
      <c r="A72" s="390" t="s">
        <v>787</v>
      </c>
      <c r="B72" s="314" t="s">
        <v>447</v>
      </c>
    </row>
    <row r="73">
      <c r="A73" s="390" t="s">
        <v>867</v>
      </c>
      <c r="B73" s="314" t="s">
        <v>447</v>
      </c>
    </row>
    <row r="74">
      <c r="A74" s="390" t="s">
        <v>872</v>
      </c>
      <c r="B74" s="314" t="s">
        <v>447</v>
      </c>
    </row>
    <row r="75">
      <c r="A75" s="390" t="s">
        <v>803</v>
      </c>
      <c r="B75" s="314" t="s">
        <v>447</v>
      </c>
    </row>
    <row r="76">
      <c r="A76" s="390" t="s">
        <v>807</v>
      </c>
      <c r="B76" s="314" t="s">
        <v>447</v>
      </c>
    </row>
    <row r="77">
      <c r="A77" s="390" t="s">
        <v>812</v>
      </c>
      <c r="B77" s="314" t="s">
        <v>447</v>
      </c>
    </row>
    <row r="78">
      <c r="A78" s="390" t="s">
        <v>877</v>
      </c>
      <c r="B78" s="314" t="s">
        <v>447</v>
      </c>
    </row>
    <row r="79">
      <c r="A79" s="390" t="s">
        <v>882</v>
      </c>
      <c r="B79" s="314" t="s">
        <v>447</v>
      </c>
    </row>
    <row r="80">
      <c r="A80" s="390" t="s">
        <v>887</v>
      </c>
      <c r="B80" s="314" t="s">
        <v>447</v>
      </c>
    </row>
    <row r="81">
      <c r="A81" s="390" t="s">
        <v>793</v>
      </c>
      <c r="B81" s="314" t="s">
        <v>447</v>
      </c>
    </row>
    <row r="82">
      <c r="A82" s="390" t="s">
        <v>816</v>
      </c>
      <c r="B82" s="314" t="s">
        <v>447</v>
      </c>
    </row>
    <row r="83">
      <c r="A83" s="390" t="s">
        <v>824</v>
      </c>
      <c r="B83" s="314" t="s">
        <v>447</v>
      </c>
    </row>
    <row r="84">
      <c r="A84" s="390" t="s">
        <v>828</v>
      </c>
      <c r="B84" s="314" t="s">
        <v>447</v>
      </c>
    </row>
    <row r="85">
      <c r="A85" s="390" t="s">
        <v>832</v>
      </c>
      <c r="B85" s="314" t="s">
        <v>447</v>
      </c>
    </row>
    <row r="86">
      <c r="A86" s="390" t="s">
        <v>891</v>
      </c>
      <c r="B86" s="314" t="s">
        <v>447</v>
      </c>
    </row>
    <row r="87">
      <c r="A87" s="390" t="s">
        <v>896</v>
      </c>
      <c r="B87" s="314" t="s">
        <v>447</v>
      </c>
    </row>
    <row r="88">
      <c r="A88" s="390" t="s">
        <v>901</v>
      </c>
      <c r="B88" s="314" t="s">
        <v>447</v>
      </c>
    </row>
    <row r="89">
      <c r="A89" s="390" t="s">
        <v>906</v>
      </c>
      <c r="B89" s="314" t="s">
        <v>447</v>
      </c>
    </row>
    <row r="90">
      <c r="A90" s="390" t="s">
        <v>837</v>
      </c>
      <c r="B90" s="314" t="s">
        <v>447</v>
      </c>
    </row>
    <row r="91">
      <c r="A91" s="390" t="s">
        <v>842</v>
      </c>
      <c r="B91" s="314" t="s">
        <v>447</v>
      </c>
    </row>
    <row r="92">
      <c r="A92" s="390" t="s">
        <v>847</v>
      </c>
      <c r="B92" s="314" t="s">
        <v>447</v>
      </c>
    </row>
    <row r="93">
      <c r="A93" s="390" t="s">
        <v>852</v>
      </c>
      <c r="B93" s="314" t="s">
        <v>447</v>
      </c>
    </row>
    <row r="94">
      <c r="A94" s="390" t="s">
        <v>911</v>
      </c>
      <c r="B94" s="314" t="s">
        <v>447</v>
      </c>
    </row>
    <row r="95">
      <c r="A95" s="390" t="s">
        <v>916</v>
      </c>
      <c r="B95" s="314" t="s">
        <v>447</v>
      </c>
    </row>
    <row r="96">
      <c r="A96" s="390" t="s">
        <v>921</v>
      </c>
      <c r="B96" s="314" t="s">
        <v>447</v>
      </c>
    </row>
    <row r="97">
      <c r="A97" s="390" t="s">
        <v>926</v>
      </c>
      <c r="B97" s="314" t="s">
        <v>447</v>
      </c>
    </row>
    <row r="98">
      <c r="A98" s="390" t="s">
        <v>765</v>
      </c>
      <c r="B98" s="314" t="s">
        <v>447</v>
      </c>
    </row>
    <row r="99">
      <c r="A99" s="390" t="s">
        <v>857</v>
      </c>
      <c r="B99" s="314" t="s">
        <v>447</v>
      </c>
    </row>
    <row r="100">
      <c r="A100" s="390" t="s">
        <v>772</v>
      </c>
      <c r="B100" s="314" t="s">
        <v>447</v>
      </c>
    </row>
    <row r="101">
      <c r="A101" s="390" t="s">
        <v>777</v>
      </c>
      <c r="B101" s="314" t="s">
        <v>447</v>
      </c>
    </row>
    <row r="102">
      <c r="A102" s="390" t="s">
        <v>782</v>
      </c>
      <c r="B102" s="314" t="s">
        <v>447</v>
      </c>
    </row>
    <row r="103">
      <c r="A103" s="390" t="s">
        <v>862</v>
      </c>
      <c r="B103" s="314" t="s">
        <v>447</v>
      </c>
    </row>
    <row r="104">
      <c r="A104" s="390" t="s">
        <v>971</v>
      </c>
      <c r="B104" s="314" t="s">
        <v>447</v>
      </c>
    </row>
    <row r="105">
      <c r="A105" s="390" t="s">
        <v>991</v>
      </c>
      <c r="B105" s="314" t="s">
        <v>447</v>
      </c>
    </row>
    <row r="106">
      <c r="A106" s="390" t="s">
        <v>951</v>
      </c>
      <c r="B106" s="314" t="s">
        <v>447</v>
      </c>
    </row>
    <row r="107">
      <c r="A107" s="390" t="s">
        <v>931</v>
      </c>
      <c r="B107" s="314" t="s">
        <v>447</v>
      </c>
    </row>
    <row r="108">
      <c r="A108" s="390" t="s">
        <v>976</v>
      </c>
      <c r="B108" s="314" t="s">
        <v>447</v>
      </c>
    </row>
    <row r="109">
      <c r="A109" s="390" t="s">
        <v>997</v>
      </c>
      <c r="B109" s="314" t="s">
        <v>447</v>
      </c>
    </row>
    <row r="110">
      <c r="A110" s="390" t="s">
        <v>956</v>
      </c>
      <c r="B110" s="314" t="s">
        <v>447</v>
      </c>
    </row>
    <row r="111">
      <c r="A111" s="390" t="s">
        <v>936</v>
      </c>
      <c r="B111" s="314" t="s">
        <v>447</v>
      </c>
    </row>
    <row r="112">
      <c r="A112" s="390" t="s">
        <v>981</v>
      </c>
      <c r="B112" s="314" t="s">
        <v>447</v>
      </c>
    </row>
    <row r="113">
      <c r="A113" s="390" t="s">
        <v>1002</v>
      </c>
      <c r="B113" s="314" t="s">
        <v>447</v>
      </c>
    </row>
    <row r="114">
      <c r="A114" s="390" t="s">
        <v>961</v>
      </c>
      <c r="B114" s="314" t="s">
        <v>447</v>
      </c>
    </row>
    <row r="115">
      <c r="A115" s="390" t="s">
        <v>941</v>
      </c>
      <c r="B115" s="314" t="s">
        <v>447</v>
      </c>
    </row>
    <row r="116">
      <c r="A116" s="390" t="s">
        <v>986</v>
      </c>
      <c r="B116" s="314" t="s">
        <v>447</v>
      </c>
    </row>
    <row r="117">
      <c r="A117" s="390" t="s">
        <v>1007</v>
      </c>
      <c r="B117" s="314" t="s">
        <v>447</v>
      </c>
    </row>
    <row r="118">
      <c r="A118" s="390" t="s">
        <v>966</v>
      </c>
      <c r="B118" s="314" t="s">
        <v>447</v>
      </c>
    </row>
    <row r="119">
      <c r="A119" s="390" t="s">
        <v>946</v>
      </c>
      <c r="B119" s="314" t="s">
        <v>447</v>
      </c>
    </row>
  </sheetData>
  <conditionalFormatting sqref="B3:B119">
    <cfRule type="expression" dxfId="9" priority="1">
      <formula>$D3="Cancel"</formula>
    </cfRule>
  </conditionalFormatting>
  <conditionalFormatting sqref="B3:B119">
    <cfRule type="containsText" dxfId="11" priority="2" operator="containsText" text="TBD">
      <formula>NOT(ISERROR(SEARCH(("TBD"),(B3))))</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
    <col customWidth="1" min="2" max="2" width="16.13"/>
    <col customWidth="1" min="3" max="3" width="15.5"/>
    <col customWidth="1" min="4" max="4" width="18.75"/>
    <col customWidth="1" min="5" max="5" width="20.75"/>
    <col customWidth="1" min="6" max="6" width="15.75"/>
    <col customWidth="1" min="7" max="7" width="47.0"/>
    <col customWidth="1" min="8" max="8" width="25.75"/>
    <col customWidth="1" min="9" max="9" width="23.13"/>
    <col customWidth="1" min="10" max="10" width="18.75"/>
    <col customWidth="1" min="11" max="11" width="25.75"/>
    <col customWidth="1" min="12" max="12" width="2.5"/>
    <col customWidth="1" min="13" max="13" width="29.63"/>
    <col customWidth="1" min="14" max="14" width="10.88"/>
    <col customWidth="1" min="15" max="15" width="14.75"/>
    <col customWidth="1" min="16" max="16" width="19.13"/>
    <col customWidth="1" min="17" max="17" width="32.5"/>
    <col customWidth="1" min="18" max="18" width="2.5"/>
    <col customWidth="1" min="19" max="19" width="13.63"/>
    <col customWidth="1" min="20" max="20" width="15.63"/>
    <col customWidth="1" min="21" max="21" width="71.13"/>
    <col customWidth="1" min="22" max="22" width="4.0"/>
    <col customWidth="1" min="24" max="24" width="16.25"/>
    <col customWidth="1" min="27" max="27" width="15.75"/>
    <col customWidth="1" min="28" max="28" width="18.63"/>
    <col customWidth="1" min="29" max="33" width="15.75"/>
    <col customWidth="1" min="34" max="34" width="20.13"/>
    <col customWidth="1" min="35" max="35" width="19.63"/>
    <col customWidth="1" min="37" max="37" width="18.63"/>
  </cols>
  <sheetData>
    <row r="1">
      <c r="I1" s="391"/>
      <c r="W1" s="1"/>
      <c r="X1" s="1"/>
      <c r="Y1" s="7"/>
      <c r="Z1" s="7"/>
      <c r="AA1" s="1"/>
      <c r="AB1" s="7"/>
      <c r="AC1" s="7"/>
      <c r="AD1" s="7"/>
      <c r="AE1" s="7"/>
      <c r="AF1" s="7"/>
      <c r="AG1" s="7"/>
      <c r="AH1" s="1"/>
    </row>
    <row r="2">
      <c r="I2" s="391"/>
      <c r="W2" s="1"/>
      <c r="X2" s="1"/>
      <c r="Y2" s="7"/>
      <c r="Z2" s="7"/>
      <c r="AA2" s="1"/>
      <c r="AB2" s="7"/>
      <c r="AC2" s="7"/>
      <c r="AD2" s="7"/>
      <c r="AE2" s="7"/>
      <c r="AF2" s="7"/>
      <c r="AG2" s="7"/>
      <c r="AH2" s="1"/>
    </row>
    <row r="3">
      <c r="A3" s="392"/>
      <c r="B3" s="392"/>
      <c r="C3" s="392"/>
      <c r="D3" s="392"/>
      <c r="E3" s="392"/>
      <c r="F3" s="392"/>
      <c r="G3" s="392"/>
      <c r="H3" s="392"/>
      <c r="I3" s="393"/>
      <c r="J3" s="392"/>
      <c r="K3" s="392"/>
      <c r="L3" s="392"/>
      <c r="M3" s="392"/>
      <c r="O3" s="392"/>
      <c r="P3" s="392"/>
      <c r="Q3" s="392"/>
      <c r="R3" s="392"/>
      <c r="S3" s="392"/>
      <c r="T3" s="392"/>
      <c r="U3" s="392"/>
      <c r="V3" s="392"/>
      <c r="W3" s="394" t="s">
        <v>1415</v>
      </c>
      <c r="X3" s="395" t="s">
        <v>1416</v>
      </c>
      <c r="Y3" s="396" t="s">
        <v>1417</v>
      </c>
      <c r="Z3" s="397" t="s">
        <v>1418</v>
      </c>
      <c r="AA3" s="394" t="s">
        <v>1419</v>
      </c>
      <c r="AB3" s="398" t="s">
        <v>1420</v>
      </c>
      <c r="AC3" s="399"/>
      <c r="AD3" s="400" t="s">
        <v>1421</v>
      </c>
      <c r="AE3" s="399"/>
      <c r="AF3" s="401" t="s">
        <v>1422</v>
      </c>
      <c r="AG3" s="399"/>
      <c r="AH3" s="402" t="s">
        <v>1423</v>
      </c>
      <c r="AI3" s="12"/>
      <c r="AJ3" s="403" t="s">
        <v>1424</v>
      </c>
      <c r="AK3" s="392"/>
      <c r="AL3" s="392"/>
      <c r="AM3" s="392"/>
      <c r="AN3" s="392"/>
      <c r="AO3" s="392"/>
      <c r="AP3" s="392"/>
    </row>
    <row r="4">
      <c r="B4" s="404" t="s">
        <v>52</v>
      </c>
      <c r="C4" s="404" t="s">
        <v>1425</v>
      </c>
      <c r="D4" s="404" t="s">
        <v>1426</v>
      </c>
      <c r="E4" s="405" t="s">
        <v>1427</v>
      </c>
      <c r="F4" s="405" t="s">
        <v>1428</v>
      </c>
      <c r="G4" s="405" t="s">
        <v>1429</v>
      </c>
      <c r="H4" s="405" t="s">
        <v>1430</v>
      </c>
      <c r="I4" s="406" t="s">
        <v>1431</v>
      </c>
      <c r="J4" s="407" t="s">
        <v>1432</v>
      </c>
      <c r="K4" s="408" t="s">
        <v>1433</v>
      </c>
      <c r="M4" s="409" t="s">
        <v>383</v>
      </c>
      <c r="N4" s="409" t="s">
        <v>280</v>
      </c>
      <c r="O4" s="409" t="s">
        <v>1434</v>
      </c>
      <c r="P4" s="409" t="s">
        <v>1435</v>
      </c>
      <c r="Q4" s="410" t="s">
        <v>1436</v>
      </c>
      <c r="S4" s="411" t="s">
        <v>280</v>
      </c>
      <c r="T4" s="412" t="s">
        <v>1437</v>
      </c>
      <c r="U4" s="413" t="s">
        <v>1434</v>
      </c>
      <c r="W4" s="414"/>
      <c r="X4" s="415"/>
      <c r="Y4" s="416"/>
      <c r="Z4" s="417"/>
      <c r="AA4" s="414"/>
      <c r="AB4" s="418" t="s">
        <v>1438</v>
      </c>
      <c r="AC4" s="419" t="s">
        <v>1439</v>
      </c>
      <c r="AD4" s="420" t="s">
        <v>1438</v>
      </c>
      <c r="AE4" s="421" t="s">
        <v>1439</v>
      </c>
      <c r="AF4" s="422" t="s">
        <v>1438</v>
      </c>
      <c r="AG4" s="423" t="s">
        <v>1439</v>
      </c>
      <c r="AH4" s="424" t="s">
        <v>1438</v>
      </c>
      <c r="AI4" s="425" t="s">
        <v>1439</v>
      </c>
      <c r="AJ4" s="416"/>
      <c r="AK4" s="426"/>
      <c r="AL4" s="426"/>
      <c r="AM4" s="426"/>
      <c r="AN4" s="426"/>
      <c r="AO4" s="426"/>
      <c r="AP4" s="426"/>
    </row>
    <row r="5" ht="22.5" customHeight="1">
      <c r="B5" s="427" t="s">
        <v>1440</v>
      </c>
      <c r="C5" s="428" t="s">
        <v>1441</v>
      </c>
      <c r="D5" s="428" t="s">
        <v>1442</v>
      </c>
      <c r="E5" s="429" t="s">
        <v>1443</v>
      </c>
      <c r="F5" s="427" t="s">
        <v>1444</v>
      </c>
      <c r="G5" s="427" t="s">
        <v>1445</v>
      </c>
      <c r="H5" s="427" t="s">
        <v>1446</v>
      </c>
      <c r="I5" s="430" t="s">
        <v>1447</v>
      </c>
      <c r="J5" s="431">
        <v>4.47E-5</v>
      </c>
      <c r="K5" s="432" t="s">
        <v>1448</v>
      </c>
      <c r="M5" s="433" t="s">
        <v>419</v>
      </c>
      <c r="N5" s="434" t="s">
        <v>1449</v>
      </c>
      <c r="O5" s="434" t="s">
        <v>1450</v>
      </c>
      <c r="P5" s="434" t="s">
        <v>1450</v>
      </c>
      <c r="Q5" s="430" t="s">
        <v>1451</v>
      </c>
      <c r="S5" s="435" t="s">
        <v>282</v>
      </c>
      <c r="T5" s="430" t="s">
        <v>1452</v>
      </c>
      <c r="U5" s="436" t="s">
        <v>1453</v>
      </c>
      <c r="W5" s="437" t="s">
        <v>1368</v>
      </c>
      <c r="X5" s="438" t="s">
        <v>292</v>
      </c>
      <c r="Y5" s="439" t="s">
        <v>1340</v>
      </c>
      <c r="Z5" s="439">
        <v>3.5124436E7</v>
      </c>
      <c r="AA5" s="438">
        <v>1.0</v>
      </c>
      <c r="AB5" s="440" t="s">
        <v>1454</v>
      </c>
      <c r="AC5" s="440" t="s">
        <v>1455</v>
      </c>
      <c r="AD5" s="440" t="s">
        <v>1454</v>
      </c>
      <c r="AE5" s="440" t="s">
        <v>1455</v>
      </c>
      <c r="AF5" s="440" t="s">
        <v>1456</v>
      </c>
      <c r="AG5" s="440" t="s">
        <v>1457</v>
      </c>
      <c r="AH5" s="441" t="s">
        <v>1458</v>
      </c>
      <c r="AI5" s="442" t="s">
        <v>1370</v>
      </c>
      <c r="AJ5" s="443" t="s">
        <v>1459</v>
      </c>
      <c r="AK5" s="444"/>
    </row>
    <row r="6" hidden="1">
      <c r="B6" s="427" t="s">
        <v>1460</v>
      </c>
      <c r="C6" s="428" t="s">
        <v>1441</v>
      </c>
      <c r="D6" s="428" t="s">
        <v>1442</v>
      </c>
      <c r="E6" s="429" t="s">
        <v>1443</v>
      </c>
      <c r="F6" s="427" t="s">
        <v>1444</v>
      </c>
      <c r="G6" s="427" t="s">
        <v>1445</v>
      </c>
      <c r="H6" s="427" t="s">
        <v>1461</v>
      </c>
      <c r="I6" s="430" t="s">
        <v>1462</v>
      </c>
      <c r="J6" s="431">
        <v>0.0023179</v>
      </c>
      <c r="K6" s="432" t="s">
        <v>1448</v>
      </c>
      <c r="M6" s="428" t="s">
        <v>1463</v>
      </c>
      <c r="N6" s="434" t="s">
        <v>1449</v>
      </c>
      <c r="O6" s="434" t="s">
        <v>1450</v>
      </c>
      <c r="P6" s="434" t="s">
        <v>1450</v>
      </c>
      <c r="Q6" s="430" t="s">
        <v>1451</v>
      </c>
      <c r="S6" s="445" t="s">
        <v>286</v>
      </c>
      <c r="T6" s="445" t="s">
        <v>1464</v>
      </c>
      <c r="U6" s="445" t="s">
        <v>1465</v>
      </c>
      <c r="W6" s="441" t="s">
        <v>1087</v>
      </c>
      <c r="X6" s="446" t="s">
        <v>292</v>
      </c>
      <c r="Y6" s="447" t="s">
        <v>1340</v>
      </c>
      <c r="Z6" s="447">
        <v>3.5163422E7</v>
      </c>
      <c r="AA6" s="446">
        <v>1.0</v>
      </c>
      <c r="AB6" s="440" t="s">
        <v>1466</v>
      </c>
      <c r="AC6" s="448"/>
      <c r="AD6" s="440" t="s">
        <v>1467</v>
      </c>
      <c r="AE6" s="440" t="s">
        <v>1468</v>
      </c>
      <c r="AF6" s="440" t="s">
        <v>1469</v>
      </c>
      <c r="AG6" s="440" t="s">
        <v>1470</v>
      </c>
      <c r="AH6" s="441" t="s">
        <v>1471</v>
      </c>
      <c r="AI6" s="442" t="s">
        <v>1472</v>
      </c>
      <c r="AJ6" s="449" t="s">
        <v>1473</v>
      </c>
      <c r="AK6" s="444"/>
    </row>
    <row r="7" hidden="1">
      <c r="B7" s="427" t="s">
        <v>373</v>
      </c>
      <c r="C7" s="428" t="s">
        <v>1474</v>
      </c>
      <c r="D7" s="428" t="s">
        <v>1442</v>
      </c>
      <c r="E7" s="429" t="s">
        <v>1475</v>
      </c>
      <c r="F7" s="427" t="s">
        <v>1474</v>
      </c>
      <c r="G7" s="427" t="s">
        <v>1445</v>
      </c>
      <c r="H7" s="427" t="s">
        <v>1476</v>
      </c>
      <c r="I7" s="430" t="s">
        <v>1477</v>
      </c>
      <c r="J7" s="431">
        <v>0.017018</v>
      </c>
      <c r="K7" s="432" t="s">
        <v>1448</v>
      </c>
      <c r="M7" s="433" t="s">
        <v>596</v>
      </c>
      <c r="N7" s="434" t="s">
        <v>1478</v>
      </c>
      <c r="O7" s="434" t="s">
        <v>1479</v>
      </c>
      <c r="P7" s="434" t="s">
        <v>1479</v>
      </c>
      <c r="Q7" s="430" t="s">
        <v>1480</v>
      </c>
      <c r="S7" s="435" t="s">
        <v>289</v>
      </c>
      <c r="T7" s="430" t="s">
        <v>1481</v>
      </c>
      <c r="U7" s="450" t="s">
        <v>1482</v>
      </c>
      <c r="W7" s="441" t="s">
        <v>305</v>
      </c>
      <c r="X7" s="446" t="s">
        <v>292</v>
      </c>
      <c r="Y7" s="447" t="s">
        <v>1340</v>
      </c>
      <c r="Z7" s="447">
        <v>3.5582324E7</v>
      </c>
      <c r="AA7" s="446">
        <v>1.0</v>
      </c>
      <c r="AB7" s="440" t="s">
        <v>1466</v>
      </c>
      <c r="AC7" s="448"/>
      <c r="AD7" s="440" t="s">
        <v>1483</v>
      </c>
      <c r="AE7" s="440" t="s">
        <v>1484</v>
      </c>
      <c r="AF7" s="440" t="s">
        <v>1485</v>
      </c>
      <c r="AG7" s="440" t="s">
        <v>1486</v>
      </c>
      <c r="AH7" s="441" t="s">
        <v>1487</v>
      </c>
      <c r="AI7" s="442" t="s">
        <v>1488</v>
      </c>
      <c r="AJ7" s="449" t="s">
        <v>1489</v>
      </c>
      <c r="AK7" s="444"/>
    </row>
    <row r="8" hidden="1">
      <c r="B8" s="427" t="s">
        <v>376</v>
      </c>
      <c r="C8" s="428" t="s">
        <v>1490</v>
      </c>
      <c r="D8" s="428" t="s">
        <v>1442</v>
      </c>
      <c r="E8" s="429" t="s">
        <v>1491</v>
      </c>
      <c r="F8" s="429" t="s">
        <v>1490</v>
      </c>
      <c r="G8" s="427" t="s">
        <v>1445</v>
      </c>
      <c r="H8" s="427" t="s">
        <v>1492</v>
      </c>
      <c r="I8" s="430" t="s">
        <v>1493</v>
      </c>
      <c r="J8" s="431">
        <v>0.029001</v>
      </c>
      <c r="K8" s="432" t="s">
        <v>1448</v>
      </c>
      <c r="M8" s="428" t="s">
        <v>1494</v>
      </c>
      <c r="N8" s="434" t="s">
        <v>1478</v>
      </c>
      <c r="O8" s="434" t="s">
        <v>1479</v>
      </c>
      <c r="P8" s="434" t="s">
        <v>1479</v>
      </c>
      <c r="Q8" s="430" t="s">
        <v>1480</v>
      </c>
      <c r="S8" s="435" t="s">
        <v>287</v>
      </c>
      <c r="T8" s="430" t="s">
        <v>1452</v>
      </c>
      <c r="U8" s="451" t="s">
        <v>1495</v>
      </c>
      <c r="W8" s="441" t="s">
        <v>1097</v>
      </c>
      <c r="X8" s="446" t="s">
        <v>292</v>
      </c>
      <c r="Y8" s="447" t="s">
        <v>1340</v>
      </c>
      <c r="Z8" s="447">
        <v>3.5560678E7</v>
      </c>
      <c r="AA8" s="446">
        <v>1.0</v>
      </c>
      <c r="AB8" s="440" t="s">
        <v>1466</v>
      </c>
      <c r="AC8" s="448"/>
      <c r="AD8" s="440" t="s">
        <v>1496</v>
      </c>
      <c r="AE8" s="440" t="s">
        <v>1497</v>
      </c>
      <c r="AF8" s="440" t="s">
        <v>1498</v>
      </c>
      <c r="AG8" s="440" t="s">
        <v>1499</v>
      </c>
      <c r="AH8" s="441" t="s">
        <v>1341</v>
      </c>
      <c r="AI8" s="442" t="s">
        <v>1342</v>
      </c>
      <c r="AJ8" s="449" t="s">
        <v>1500</v>
      </c>
      <c r="AK8" s="444"/>
    </row>
    <row r="9" hidden="1">
      <c r="B9" s="428" t="s">
        <v>377</v>
      </c>
      <c r="C9" s="428" t="s">
        <v>1501</v>
      </c>
      <c r="D9" s="428" t="s">
        <v>1442</v>
      </c>
      <c r="E9" s="452" t="s">
        <v>1502</v>
      </c>
      <c r="F9" s="428" t="s">
        <v>1501</v>
      </c>
      <c r="G9" s="428" t="s">
        <v>1445</v>
      </c>
      <c r="H9" s="428" t="s">
        <v>1503</v>
      </c>
      <c r="I9" s="430" t="s">
        <v>1504</v>
      </c>
      <c r="J9" s="431">
        <v>0.0254</v>
      </c>
      <c r="K9" s="432" t="s">
        <v>1448</v>
      </c>
      <c r="M9" s="433" t="s">
        <v>1505</v>
      </c>
      <c r="N9" s="434" t="s">
        <v>1478</v>
      </c>
      <c r="O9" s="434" t="s">
        <v>1479</v>
      </c>
      <c r="P9" s="434" t="s">
        <v>1479</v>
      </c>
      <c r="Q9" s="430" t="s">
        <v>1480</v>
      </c>
      <c r="S9" s="453" t="s">
        <v>284</v>
      </c>
      <c r="T9" s="454" t="s">
        <v>1506</v>
      </c>
      <c r="U9" s="455" t="s">
        <v>1507</v>
      </c>
      <c r="W9" s="441" t="s">
        <v>1399</v>
      </c>
      <c r="X9" s="446" t="s">
        <v>292</v>
      </c>
      <c r="Y9" s="447" t="s">
        <v>1398</v>
      </c>
      <c r="Z9" s="447">
        <v>3.5440766E7</v>
      </c>
      <c r="AA9" s="446">
        <v>1.0</v>
      </c>
      <c r="AB9" s="440" t="s">
        <v>1508</v>
      </c>
      <c r="AC9" s="440" t="s">
        <v>1509</v>
      </c>
      <c r="AD9" s="440" t="s">
        <v>1508</v>
      </c>
      <c r="AE9" s="440" t="s">
        <v>1509</v>
      </c>
      <c r="AF9" s="440" t="s">
        <v>1510</v>
      </c>
      <c r="AG9" s="440" t="s">
        <v>1511</v>
      </c>
      <c r="AH9" s="441" t="s">
        <v>1512</v>
      </c>
      <c r="AI9" s="442" t="s">
        <v>1513</v>
      </c>
      <c r="AJ9" s="449" t="s">
        <v>1514</v>
      </c>
      <c r="AK9" s="444"/>
    </row>
    <row r="10" hidden="1">
      <c r="B10" s="428" t="s">
        <v>52</v>
      </c>
      <c r="C10" s="428" t="s">
        <v>1361</v>
      </c>
      <c r="D10" s="428" t="s">
        <v>1442</v>
      </c>
      <c r="E10" s="429" t="s">
        <v>1361</v>
      </c>
      <c r="F10" s="427" t="s">
        <v>1361</v>
      </c>
      <c r="G10" s="427" t="s">
        <v>1515</v>
      </c>
      <c r="H10" s="427" t="s">
        <v>1516</v>
      </c>
      <c r="I10" s="430" t="s">
        <v>1517</v>
      </c>
      <c r="J10" s="431">
        <v>0.2029</v>
      </c>
      <c r="K10" s="432" t="s">
        <v>1448</v>
      </c>
      <c r="S10" s="435" t="s">
        <v>283</v>
      </c>
      <c r="T10" s="434" t="s">
        <v>1518</v>
      </c>
      <c r="U10" s="456" t="s">
        <v>1519</v>
      </c>
      <c r="W10" s="441" t="s">
        <v>1385</v>
      </c>
      <c r="X10" s="446" t="s">
        <v>292</v>
      </c>
      <c r="Y10" s="447" t="s">
        <v>1386</v>
      </c>
      <c r="Z10" s="447">
        <v>3.5416229E7</v>
      </c>
      <c r="AA10" s="446">
        <v>1.0</v>
      </c>
      <c r="AB10" s="440" t="s">
        <v>1520</v>
      </c>
      <c r="AC10" s="448"/>
      <c r="AD10" s="440" t="s">
        <v>1521</v>
      </c>
      <c r="AE10" s="440" t="s">
        <v>1522</v>
      </c>
      <c r="AF10" s="440" t="s">
        <v>1523</v>
      </c>
      <c r="AG10" s="440" t="s">
        <v>1524</v>
      </c>
      <c r="AH10" s="441" t="s">
        <v>1525</v>
      </c>
      <c r="AI10" s="442" t="s">
        <v>1526</v>
      </c>
      <c r="AJ10" s="457" t="s">
        <v>1527</v>
      </c>
    </row>
    <row r="11">
      <c r="B11" s="446" t="s">
        <v>764</v>
      </c>
      <c r="C11" s="428" t="s">
        <v>1361</v>
      </c>
      <c r="D11" s="428" t="s">
        <v>1442</v>
      </c>
      <c r="E11" s="429" t="s">
        <v>1361</v>
      </c>
      <c r="F11" s="427" t="s">
        <v>1361</v>
      </c>
      <c r="G11" s="427" t="s">
        <v>1515</v>
      </c>
      <c r="H11" s="427" t="s">
        <v>1516</v>
      </c>
      <c r="I11" s="430" t="s">
        <v>1517</v>
      </c>
      <c r="J11" s="431">
        <v>0.2029</v>
      </c>
      <c r="K11" s="432" t="s">
        <v>1448</v>
      </c>
      <c r="S11" s="458" t="s">
        <v>288</v>
      </c>
      <c r="T11" s="459" t="s">
        <v>1528</v>
      </c>
      <c r="U11" s="460" t="s">
        <v>1529</v>
      </c>
      <c r="W11" s="441" t="s">
        <v>1368</v>
      </c>
      <c r="X11" s="446" t="s">
        <v>295</v>
      </c>
      <c r="Y11" s="447" t="s">
        <v>1340</v>
      </c>
      <c r="Z11" s="447">
        <v>3.5676628E7</v>
      </c>
      <c r="AA11" s="446">
        <v>1.0</v>
      </c>
      <c r="AB11" s="440" t="s">
        <v>1381</v>
      </c>
      <c r="AC11" s="440" t="s">
        <v>1381</v>
      </c>
      <c r="AD11" s="440" t="s">
        <v>1530</v>
      </c>
      <c r="AE11" s="440" t="s">
        <v>1531</v>
      </c>
      <c r="AF11" s="440" t="s">
        <v>1532</v>
      </c>
      <c r="AG11" s="440" t="s">
        <v>1533</v>
      </c>
      <c r="AH11" s="441" t="s">
        <v>1534</v>
      </c>
      <c r="AI11" s="442" t="s">
        <v>1535</v>
      </c>
      <c r="AJ11" s="457" t="s">
        <v>1536</v>
      </c>
    </row>
    <row r="12" hidden="1">
      <c r="B12" s="446" t="s">
        <v>1537</v>
      </c>
      <c r="C12" s="428" t="s">
        <v>1361</v>
      </c>
      <c r="D12" s="428" t="s">
        <v>1538</v>
      </c>
      <c r="E12" s="429" t="s">
        <v>1361</v>
      </c>
      <c r="F12" s="427" t="s">
        <v>1361</v>
      </c>
      <c r="G12" s="427" t="s">
        <v>1539</v>
      </c>
      <c r="H12" s="427" t="s">
        <v>1516</v>
      </c>
      <c r="I12" s="430" t="s">
        <v>1517</v>
      </c>
      <c r="J12" s="461">
        <v>0.183</v>
      </c>
      <c r="K12" s="432" t="s">
        <v>1540</v>
      </c>
      <c r="S12" s="458" t="s">
        <v>1541</v>
      </c>
      <c r="T12" s="459" t="s">
        <v>1542</v>
      </c>
      <c r="U12" s="460" t="s">
        <v>1543</v>
      </c>
      <c r="W12" s="441" t="s">
        <v>1087</v>
      </c>
      <c r="X12" s="446" t="s">
        <v>295</v>
      </c>
      <c r="Y12" s="447" t="s">
        <v>1340</v>
      </c>
      <c r="Z12" s="447">
        <v>3.5676321E7</v>
      </c>
      <c r="AA12" s="446">
        <v>1.0</v>
      </c>
      <c r="AB12" s="440" t="s">
        <v>1381</v>
      </c>
      <c r="AC12" s="440" t="s">
        <v>1381</v>
      </c>
      <c r="AD12" s="440" t="s">
        <v>1544</v>
      </c>
      <c r="AE12" s="440" t="s">
        <v>1545</v>
      </c>
      <c r="AF12" s="440" t="s">
        <v>1546</v>
      </c>
      <c r="AG12" s="440" t="s">
        <v>1547</v>
      </c>
      <c r="AH12" s="441" t="s">
        <v>1548</v>
      </c>
      <c r="AI12" s="442" t="s">
        <v>1549</v>
      </c>
      <c r="AJ12" s="457" t="s">
        <v>1550</v>
      </c>
    </row>
    <row r="13" hidden="1">
      <c r="B13" s="428" t="s">
        <v>408</v>
      </c>
      <c r="C13" s="428" t="s">
        <v>1361</v>
      </c>
      <c r="D13" s="428" t="s">
        <v>1551</v>
      </c>
      <c r="E13" s="429" t="s">
        <v>1361</v>
      </c>
      <c r="F13" s="427" t="s">
        <v>1361</v>
      </c>
      <c r="G13" s="427" t="s">
        <v>1515</v>
      </c>
      <c r="H13" s="427" t="s">
        <v>1516</v>
      </c>
      <c r="I13" s="430" t="s">
        <v>1517</v>
      </c>
      <c r="J13" s="431">
        <v>0.2029</v>
      </c>
      <c r="K13" s="432" t="s">
        <v>1552</v>
      </c>
      <c r="S13" s="458" t="s">
        <v>1553</v>
      </c>
      <c r="T13" s="462" t="s">
        <v>1554</v>
      </c>
      <c r="U13" s="463" t="s">
        <v>1555</v>
      </c>
      <c r="W13" s="441" t="s">
        <v>305</v>
      </c>
      <c r="X13" s="446" t="s">
        <v>295</v>
      </c>
      <c r="Y13" s="447" t="s">
        <v>1340</v>
      </c>
      <c r="Z13" s="447">
        <v>3.548452E7</v>
      </c>
      <c r="AA13" s="446">
        <v>1.0</v>
      </c>
      <c r="AB13" s="440" t="s">
        <v>1381</v>
      </c>
      <c r="AC13" s="440" t="s">
        <v>1381</v>
      </c>
      <c r="AD13" s="440" t="s">
        <v>1556</v>
      </c>
      <c r="AE13" s="440" t="s">
        <v>1557</v>
      </c>
      <c r="AF13" s="440" t="s">
        <v>1558</v>
      </c>
      <c r="AG13" s="440" t="s">
        <v>1559</v>
      </c>
      <c r="AH13" s="441" t="s">
        <v>1560</v>
      </c>
      <c r="AI13" s="442" t="s">
        <v>1561</v>
      </c>
      <c r="AJ13" s="457" t="s">
        <v>1562</v>
      </c>
    </row>
    <row r="14" hidden="1">
      <c r="B14" s="464" t="s">
        <v>1563</v>
      </c>
      <c r="C14" s="428" t="s">
        <v>1361</v>
      </c>
      <c r="D14" s="428" t="s">
        <v>1564</v>
      </c>
      <c r="E14" s="429" t="s">
        <v>1361</v>
      </c>
      <c r="F14" s="427" t="s">
        <v>1361</v>
      </c>
      <c r="G14" s="427" t="s">
        <v>1539</v>
      </c>
      <c r="H14" s="427" t="s">
        <v>1516</v>
      </c>
      <c r="I14" s="429" t="s">
        <v>1517</v>
      </c>
      <c r="J14" s="461">
        <v>0.19648</v>
      </c>
      <c r="K14" s="432" t="s">
        <v>1448</v>
      </c>
      <c r="S14" s="458" t="s">
        <v>290</v>
      </c>
      <c r="T14" s="462" t="s">
        <v>1554</v>
      </c>
      <c r="U14" s="463" t="s">
        <v>1565</v>
      </c>
      <c r="W14" s="441" t="s">
        <v>1097</v>
      </c>
      <c r="X14" s="446" t="s">
        <v>295</v>
      </c>
      <c r="Y14" s="447" t="s">
        <v>1340</v>
      </c>
      <c r="Z14" s="447">
        <v>3.5931451E7</v>
      </c>
      <c r="AA14" s="446">
        <v>1.0</v>
      </c>
      <c r="AB14" s="440" t="s">
        <v>1381</v>
      </c>
      <c r="AC14" s="440" t="s">
        <v>1381</v>
      </c>
      <c r="AD14" s="440" t="s">
        <v>1566</v>
      </c>
      <c r="AE14" s="440" t="s">
        <v>1567</v>
      </c>
      <c r="AF14" s="440" t="s">
        <v>1568</v>
      </c>
      <c r="AG14" s="440" t="s">
        <v>1569</v>
      </c>
      <c r="AH14" s="441" t="s">
        <v>1343</v>
      </c>
      <c r="AI14" s="442" t="s">
        <v>1344</v>
      </c>
      <c r="AJ14" s="457" t="s">
        <v>1570</v>
      </c>
    </row>
    <row r="15" hidden="1">
      <c r="I15" s="391"/>
      <c r="W15" s="441" t="s">
        <v>1399</v>
      </c>
      <c r="X15" s="446" t="s">
        <v>295</v>
      </c>
      <c r="Y15" s="447" t="s">
        <v>1398</v>
      </c>
      <c r="Z15" s="447">
        <v>3.5795514E7</v>
      </c>
      <c r="AA15" s="446">
        <v>1.0</v>
      </c>
      <c r="AB15" s="440" t="s">
        <v>1381</v>
      </c>
      <c r="AC15" s="440" t="s">
        <v>1381</v>
      </c>
      <c r="AD15" s="440" t="s">
        <v>1571</v>
      </c>
      <c r="AE15" s="440" t="s">
        <v>1572</v>
      </c>
      <c r="AF15" s="440" t="s">
        <v>1573</v>
      </c>
      <c r="AG15" s="440" t="s">
        <v>1574</v>
      </c>
      <c r="AH15" s="441" t="s">
        <v>1400</v>
      </c>
      <c r="AI15" s="442" t="s">
        <v>1401</v>
      </c>
      <c r="AJ15" s="457" t="s">
        <v>1575</v>
      </c>
    </row>
    <row r="16" hidden="1">
      <c r="I16" s="391"/>
      <c r="M16" s="409" t="s">
        <v>1576</v>
      </c>
      <c r="N16" s="410" t="s">
        <v>1577</v>
      </c>
      <c r="O16" s="410" t="s">
        <v>348</v>
      </c>
      <c r="P16" s="410" t="s">
        <v>1578</v>
      </c>
      <c r="Q16" s="409" t="s">
        <v>1579</v>
      </c>
      <c r="W16" s="441" t="s">
        <v>1385</v>
      </c>
      <c r="X16" s="446" t="s">
        <v>295</v>
      </c>
      <c r="Y16" s="447" t="s">
        <v>1386</v>
      </c>
      <c r="Z16" s="447">
        <v>3.5444932E7</v>
      </c>
      <c r="AA16" s="446">
        <v>1.0</v>
      </c>
      <c r="AB16" s="440" t="s">
        <v>1381</v>
      </c>
      <c r="AC16" s="440" t="s">
        <v>1381</v>
      </c>
      <c r="AD16" s="440" t="s">
        <v>1580</v>
      </c>
      <c r="AE16" s="440" t="s">
        <v>1581</v>
      </c>
      <c r="AF16" s="440" t="s">
        <v>1582</v>
      </c>
      <c r="AG16" s="440" t="s">
        <v>1583</v>
      </c>
      <c r="AH16" s="441" t="s">
        <v>1387</v>
      </c>
      <c r="AI16" s="442" t="s">
        <v>1388</v>
      </c>
      <c r="AJ16" s="457" t="s">
        <v>1584</v>
      </c>
    </row>
    <row r="17">
      <c r="I17" s="391"/>
      <c r="M17" s="465" t="s">
        <v>412</v>
      </c>
      <c r="N17" s="434" t="s">
        <v>1367</v>
      </c>
      <c r="O17" s="466" t="s">
        <v>1366</v>
      </c>
      <c r="P17" s="434" t="s">
        <v>1585</v>
      </c>
      <c r="Q17" s="434" t="str">
        <f t="shared" ref="Q17:Q20" si="1">"請查照「附件1 ("&amp;P17&amp;")」"&amp;"-"&amp;N17</f>
        <v>請查照「附件1 (Midnight Haze)」-BLK</v>
      </c>
      <c r="W17" s="441" t="s">
        <v>1368</v>
      </c>
      <c r="X17" s="446" t="s">
        <v>1586</v>
      </c>
      <c r="Y17" s="447" t="s">
        <v>1340</v>
      </c>
      <c r="Z17" s="447">
        <v>3.5431599E7</v>
      </c>
      <c r="AA17" s="446">
        <v>1.0</v>
      </c>
      <c r="AB17" s="440" t="s">
        <v>1381</v>
      </c>
      <c r="AC17" s="440" t="s">
        <v>1381</v>
      </c>
      <c r="AD17" s="440" t="s">
        <v>1587</v>
      </c>
      <c r="AE17" s="440" t="s">
        <v>1588</v>
      </c>
      <c r="AF17" s="440" t="s">
        <v>1589</v>
      </c>
      <c r="AG17" s="440" t="s">
        <v>1590</v>
      </c>
      <c r="AH17" s="441" t="s">
        <v>1591</v>
      </c>
      <c r="AI17" s="442" t="s">
        <v>1592</v>
      </c>
      <c r="AJ17" s="449" t="s">
        <v>1593</v>
      </c>
      <c r="AK17" s="444"/>
    </row>
    <row r="18" hidden="1">
      <c r="I18" s="391"/>
      <c r="M18" s="465" t="s">
        <v>425</v>
      </c>
      <c r="N18" s="434" t="s">
        <v>1594</v>
      </c>
      <c r="O18" s="466" t="s">
        <v>1595</v>
      </c>
      <c r="P18" s="434" t="s">
        <v>1596</v>
      </c>
      <c r="Q18" s="434" t="str">
        <f t="shared" si="1"/>
        <v>請查照「附件1 (Iris)」-PPL</v>
      </c>
      <c r="T18" s="467"/>
      <c r="W18" s="441" t="s">
        <v>1399</v>
      </c>
      <c r="X18" s="446" t="s">
        <v>1586</v>
      </c>
      <c r="Y18" s="447" t="s">
        <v>1398</v>
      </c>
      <c r="Z18" s="447">
        <v>3.5390069E7</v>
      </c>
      <c r="AA18" s="446">
        <v>1.0</v>
      </c>
      <c r="AB18" s="440" t="s">
        <v>1381</v>
      </c>
      <c r="AC18" s="440" t="s">
        <v>1381</v>
      </c>
      <c r="AD18" s="440" t="s">
        <v>1597</v>
      </c>
      <c r="AE18" s="440" t="s">
        <v>1598</v>
      </c>
      <c r="AF18" s="440" t="s">
        <v>1599</v>
      </c>
      <c r="AG18" s="440" t="s">
        <v>1600</v>
      </c>
      <c r="AH18" s="441" t="s">
        <v>1601</v>
      </c>
      <c r="AI18" s="468" t="s">
        <v>1602</v>
      </c>
      <c r="AJ18" s="469" t="s">
        <v>1603</v>
      </c>
      <c r="AK18" s="444"/>
    </row>
    <row r="19">
      <c r="I19" s="391"/>
      <c r="M19" s="465" t="s">
        <v>431</v>
      </c>
      <c r="N19" s="434" t="s">
        <v>1604</v>
      </c>
      <c r="O19" s="466" t="s">
        <v>1605</v>
      </c>
      <c r="P19" s="434" t="s">
        <v>1606</v>
      </c>
      <c r="Q19" s="434" t="str">
        <f t="shared" si="1"/>
        <v>請查照「附件1 (Limoncello Midtone)」-YEL</v>
      </c>
      <c r="T19" s="470"/>
      <c r="W19" s="1"/>
      <c r="X19" s="1"/>
      <c r="Y19" s="7"/>
      <c r="Z19" s="7"/>
      <c r="AA19" s="1"/>
      <c r="AB19" s="7"/>
      <c r="AC19" s="7"/>
      <c r="AD19" s="7"/>
      <c r="AE19" s="7"/>
      <c r="AF19" s="7"/>
      <c r="AG19" s="7"/>
      <c r="AH19" s="1"/>
      <c r="AJ19" s="444"/>
      <c r="AK19" s="444"/>
    </row>
    <row r="20">
      <c r="B20" s="471" t="s">
        <v>1607</v>
      </c>
      <c r="C20" s="471" t="s">
        <v>1608</v>
      </c>
      <c r="D20" s="471" t="s">
        <v>1609</v>
      </c>
      <c r="E20" s="472" t="s">
        <v>1610</v>
      </c>
      <c r="F20" s="473" t="s">
        <v>1611</v>
      </c>
      <c r="G20" s="473" t="s">
        <v>391</v>
      </c>
      <c r="H20" s="473" t="s">
        <v>1612</v>
      </c>
      <c r="I20" s="474" t="s">
        <v>1613</v>
      </c>
      <c r="M20" s="475" t="s">
        <v>437</v>
      </c>
      <c r="N20" s="434" t="s">
        <v>1339</v>
      </c>
      <c r="O20" s="466" t="s">
        <v>1338</v>
      </c>
      <c r="P20" s="434" t="s">
        <v>1614</v>
      </c>
      <c r="Q20" s="434" t="str">
        <f t="shared" si="1"/>
        <v>請查照「附件1 (Ultra Blue)」-BUE</v>
      </c>
      <c r="W20" s="476"/>
      <c r="X20" s="476"/>
      <c r="Y20" s="176"/>
      <c r="Z20" s="176"/>
      <c r="AA20" s="476"/>
      <c r="AB20" s="176"/>
      <c r="AC20" s="176"/>
      <c r="AD20" s="176"/>
      <c r="AE20" s="176"/>
      <c r="AF20" s="176"/>
      <c r="AG20" s="176"/>
      <c r="AH20" s="476"/>
      <c r="AJ20" s="444"/>
      <c r="AK20" s="444"/>
    </row>
    <row r="21">
      <c r="B21" s="477" t="s">
        <v>305</v>
      </c>
      <c r="C21" s="446" t="s">
        <v>305</v>
      </c>
      <c r="D21" s="478" t="s">
        <v>1340</v>
      </c>
      <c r="E21" s="479" t="s">
        <v>1337</v>
      </c>
      <c r="F21" s="480" t="s">
        <v>1122</v>
      </c>
      <c r="G21" s="481" t="s">
        <v>1615</v>
      </c>
      <c r="H21" s="481" t="s">
        <v>1616</v>
      </c>
      <c r="I21" s="482" t="s">
        <v>1617</v>
      </c>
      <c r="W21" s="476"/>
      <c r="X21" s="476"/>
      <c r="Y21" s="176"/>
      <c r="Z21" s="176"/>
      <c r="AA21" s="476"/>
      <c r="AB21" s="176"/>
      <c r="AC21" s="7"/>
      <c r="AD21" s="176"/>
      <c r="AE21" s="176"/>
      <c r="AF21" s="176"/>
      <c r="AG21" s="176"/>
      <c r="AH21" s="476"/>
      <c r="AJ21" s="444"/>
      <c r="AK21" s="444"/>
    </row>
    <row r="22">
      <c r="B22" s="477" t="s">
        <v>817</v>
      </c>
      <c r="C22" s="446" t="s">
        <v>1399</v>
      </c>
      <c r="D22" s="479" t="s">
        <v>1398</v>
      </c>
      <c r="E22" s="479" t="s">
        <v>1397</v>
      </c>
      <c r="F22" s="480" t="s">
        <v>1373</v>
      </c>
      <c r="G22" s="481" t="s">
        <v>1379</v>
      </c>
      <c r="H22" s="481" t="s">
        <v>1380</v>
      </c>
      <c r="I22" s="482" t="s">
        <v>1618</v>
      </c>
      <c r="W22" s="476"/>
      <c r="X22" s="476"/>
      <c r="Y22" s="176"/>
      <c r="Z22" s="176"/>
      <c r="AA22" s="476"/>
      <c r="AB22" s="176"/>
      <c r="AC22" s="7"/>
      <c r="AD22" s="176"/>
      <c r="AE22" s="176"/>
      <c r="AF22" s="176"/>
      <c r="AG22" s="176"/>
      <c r="AH22" s="476"/>
      <c r="AJ22" s="444"/>
      <c r="AK22" s="444"/>
    </row>
    <row r="23" ht="41.25" customHeight="1">
      <c r="B23" s="483" t="s">
        <v>492</v>
      </c>
      <c r="C23" s="446" t="s">
        <v>1399</v>
      </c>
      <c r="D23" s="479" t="s">
        <v>1398</v>
      </c>
      <c r="E23" s="479" t="s">
        <v>1397</v>
      </c>
      <c r="F23" s="480" t="s">
        <v>1373</v>
      </c>
      <c r="G23" s="481" t="s">
        <v>1379</v>
      </c>
      <c r="H23" s="481" t="s">
        <v>1380</v>
      </c>
      <c r="I23" s="484" t="s">
        <v>1618</v>
      </c>
      <c r="W23" s="476"/>
      <c r="X23" s="476"/>
      <c r="Y23" s="176"/>
      <c r="Z23" s="176"/>
      <c r="AA23" s="476"/>
      <c r="AB23" s="176"/>
      <c r="AC23" s="7"/>
      <c r="AD23" s="176"/>
      <c r="AE23" s="176"/>
      <c r="AF23" s="176"/>
      <c r="AG23" s="176"/>
      <c r="AH23" s="476"/>
    </row>
    <row r="24" ht="29.25" customHeight="1">
      <c r="B24" s="483" t="s">
        <v>992</v>
      </c>
      <c r="C24" s="446" t="s">
        <v>1399</v>
      </c>
      <c r="D24" s="478" t="s">
        <v>1404</v>
      </c>
      <c r="E24" s="479" t="s">
        <v>1397</v>
      </c>
      <c r="F24" s="480" t="s">
        <v>1373</v>
      </c>
      <c r="G24" s="434" t="s">
        <v>1407</v>
      </c>
      <c r="H24" s="481" t="s">
        <v>1380</v>
      </c>
      <c r="I24" s="482" t="s">
        <v>1617</v>
      </c>
      <c r="W24" s="476"/>
      <c r="X24" s="476"/>
      <c r="Y24" s="176"/>
      <c r="Z24" s="176"/>
      <c r="AA24" s="476"/>
      <c r="AB24" s="176"/>
      <c r="AC24" s="176"/>
      <c r="AD24" s="176"/>
      <c r="AE24" s="176"/>
      <c r="AF24" s="176"/>
      <c r="AG24" s="176"/>
      <c r="AH24" s="476"/>
    </row>
    <row r="25">
      <c r="B25" s="477" t="s">
        <v>583</v>
      </c>
      <c r="C25" s="446" t="s">
        <v>1399</v>
      </c>
      <c r="D25" s="479" t="s">
        <v>1398</v>
      </c>
      <c r="E25" s="479" t="s">
        <v>1397</v>
      </c>
      <c r="F25" s="480" t="s">
        <v>1373</v>
      </c>
      <c r="G25" s="481" t="s">
        <v>1413</v>
      </c>
      <c r="H25" s="481" t="s">
        <v>1380</v>
      </c>
      <c r="I25" s="482" t="s">
        <v>1619</v>
      </c>
      <c r="W25" s="476"/>
      <c r="X25" s="476"/>
      <c r="Y25" s="176"/>
      <c r="Z25" s="176"/>
      <c r="AA25" s="476"/>
      <c r="AB25" s="176"/>
      <c r="AC25" s="7"/>
      <c r="AD25" s="176"/>
      <c r="AE25" s="176"/>
      <c r="AF25" s="176"/>
      <c r="AG25" s="176"/>
      <c r="AH25" s="476"/>
    </row>
    <row r="26">
      <c r="A26" s="485"/>
      <c r="B26" s="477" t="s">
        <v>554</v>
      </c>
      <c r="C26" s="446" t="s">
        <v>1385</v>
      </c>
      <c r="D26" s="479" t="s">
        <v>1386</v>
      </c>
      <c r="E26" s="479" t="s">
        <v>1385</v>
      </c>
      <c r="F26" s="480" t="s">
        <v>1373</v>
      </c>
      <c r="G26" s="481" t="s">
        <v>1379</v>
      </c>
      <c r="H26" s="481" t="s">
        <v>1380</v>
      </c>
      <c r="I26" s="482" t="s">
        <v>1620</v>
      </c>
      <c r="L26" s="485"/>
      <c r="M26" s="486" t="s">
        <v>1621</v>
      </c>
      <c r="N26" s="487" t="s">
        <v>1622</v>
      </c>
      <c r="O26" s="486" t="s">
        <v>228</v>
      </c>
      <c r="P26" s="487" t="s">
        <v>214</v>
      </c>
      <c r="Q26" s="487" t="s">
        <v>1623</v>
      </c>
      <c r="R26" s="485"/>
      <c r="S26" s="485"/>
      <c r="T26" s="485"/>
      <c r="U26" s="485"/>
      <c r="V26" s="485"/>
      <c r="W26" s="476"/>
      <c r="X26" s="476"/>
      <c r="Y26" s="176"/>
      <c r="Z26" s="176"/>
      <c r="AA26" s="476"/>
      <c r="AB26" s="176"/>
      <c r="AC26" s="176"/>
      <c r="AD26" s="176"/>
      <c r="AE26" s="176"/>
      <c r="AF26" s="176"/>
      <c r="AG26" s="176"/>
      <c r="AH26" s="476"/>
      <c r="AI26" s="488"/>
      <c r="AJ26" s="488"/>
      <c r="AK26" s="485"/>
      <c r="AL26" s="485"/>
      <c r="AM26" s="485"/>
      <c r="AN26" s="485"/>
      <c r="AO26" s="485"/>
      <c r="AP26" s="485"/>
    </row>
    <row r="27">
      <c r="B27" s="483" t="s">
        <v>1209</v>
      </c>
      <c r="C27" s="446" t="s">
        <v>1368</v>
      </c>
      <c r="D27" s="478" t="s">
        <v>1340</v>
      </c>
      <c r="E27" s="479" t="s">
        <v>1337</v>
      </c>
      <c r="F27" s="480" t="s">
        <v>1373</v>
      </c>
      <c r="G27" s="481" t="s">
        <v>1379</v>
      </c>
      <c r="H27" s="481" t="s">
        <v>1380</v>
      </c>
      <c r="I27" s="482" t="s">
        <v>1617</v>
      </c>
      <c r="M27" s="434" t="s">
        <v>45</v>
      </c>
      <c r="N27" s="465"/>
      <c r="O27" s="465"/>
      <c r="P27" s="465"/>
      <c r="Q27" s="465"/>
      <c r="W27" s="476"/>
      <c r="X27" s="476"/>
      <c r="Y27" s="176"/>
      <c r="Z27" s="176"/>
      <c r="AA27" s="476"/>
      <c r="AB27" s="176"/>
      <c r="AC27" s="176"/>
      <c r="AD27" s="176"/>
      <c r="AE27" s="176"/>
      <c r="AF27" s="176"/>
      <c r="AG27" s="176"/>
      <c r="AH27" s="476"/>
    </row>
    <row r="28">
      <c r="B28" s="477" t="s">
        <v>1087</v>
      </c>
      <c r="C28" s="479" t="s">
        <v>1087</v>
      </c>
      <c r="D28" s="479" t="s">
        <v>1340</v>
      </c>
      <c r="E28" s="479" t="s">
        <v>1337</v>
      </c>
      <c r="F28" s="480" t="s">
        <v>1122</v>
      </c>
      <c r="G28" s="481" t="s">
        <v>1624</v>
      </c>
      <c r="H28" s="481" t="s">
        <v>1625</v>
      </c>
      <c r="I28" s="482" t="s">
        <v>1617</v>
      </c>
      <c r="M28" s="434" t="s">
        <v>585</v>
      </c>
      <c r="N28" s="465"/>
      <c r="O28" s="465"/>
      <c r="P28" s="465"/>
      <c r="Q28" s="465"/>
      <c r="W28" s="476"/>
      <c r="X28" s="476"/>
      <c r="Y28" s="176"/>
      <c r="Z28" s="176"/>
      <c r="AA28" s="476"/>
      <c r="AB28" s="176"/>
      <c r="AC28" s="176"/>
      <c r="AD28" s="176"/>
      <c r="AE28" s="176"/>
      <c r="AF28" s="176"/>
      <c r="AG28" s="176"/>
      <c r="AH28" s="476"/>
    </row>
    <row r="29">
      <c r="B29" s="477" t="s">
        <v>443</v>
      </c>
      <c r="C29" s="446" t="s">
        <v>305</v>
      </c>
      <c r="D29" s="478" t="s">
        <v>1340</v>
      </c>
      <c r="E29" s="479" t="s">
        <v>1337</v>
      </c>
      <c r="F29" s="480" t="s">
        <v>1122</v>
      </c>
      <c r="G29" s="481" t="s">
        <v>1615</v>
      </c>
      <c r="H29" s="481" t="s">
        <v>1616</v>
      </c>
      <c r="I29" s="482" t="s">
        <v>1617</v>
      </c>
      <c r="M29" s="434" t="s">
        <v>1626</v>
      </c>
      <c r="N29" s="434" t="s">
        <v>1627</v>
      </c>
      <c r="O29" s="465"/>
      <c r="P29" s="465"/>
      <c r="Q29" s="434" t="s">
        <v>1628</v>
      </c>
      <c r="W29" s="476"/>
      <c r="X29" s="476"/>
      <c r="Y29" s="176"/>
      <c r="Z29" s="176"/>
      <c r="AA29" s="476"/>
      <c r="AB29" s="176"/>
      <c r="AC29" s="176"/>
      <c r="AD29" s="176"/>
      <c r="AE29" s="176"/>
      <c r="AF29" s="176"/>
      <c r="AG29" s="176"/>
      <c r="AH29" s="476"/>
    </row>
    <row r="30">
      <c r="B30" s="483" t="s">
        <v>470</v>
      </c>
      <c r="C30" s="446" t="s">
        <v>1368</v>
      </c>
      <c r="D30" s="479" t="s">
        <v>1340</v>
      </c>
      <c r="E30" s="479" t="s">
        <v>1337</v>
      </c>
      <c r="F30" s="480" t="s">
        <v>1373</v>
      </c>
      <c r="G30" s="481" t="s">
        <v>1379</v>
      </c>
      <c r="H30" s="481" t="s">
        <v>1380</v>
      </c>
      <c r="I30" s="482" t="s">
        <v>1617</v>
      </c>
      <c r="J30" s="485"/>
      <c r="K30" s="485"/>
      <c r="M30" s="434" t="s">
        <v>1629</v>
      </c>
      <c r="N30" s="434" t="s">
        <v>1627</v>
      </c>
      <c r="O30" s="465"/>
      <c r="P30" s="465"/>
      <c r="Q30" s="434" t="s">
        <v>305</v>
      </c>
      <c r="W30" s="476"/>
      <c r="X30" s="476"/>
      <c r="Y30" s="176"/>
      <c r="Z30" s="176"/>
      <c r="AA30" s="476"/>
      <c r="AB30" s="176"/>
      <c r="AC30" s="176"/>
      <c r="AD30" s="176"/>
      <c r="AE30" s="176"/>
      <c r="AF30" s="176"/>
      <c r="AG30" s="176"/>
      <c r="AH30" s="476"/>
    </row>
    <row r="31">
      <c r="B31" s="483" t="s">
        <v>458</v>
      </c>
      <c r="C31" s="479" t="s">
        <v>1087</v>
      </c>
      <c r="D31" s="479" t="s">
        <v>1340</v>
      </c>
      <c r="E31" s="479" t="s">
        <v>1337</v>
      </c>
      <c r="F31" s="480" t="s">
        <v>1122</v>
      </c>
      <c r="G31" s="481" t="s">
        <v>1624</v>
      </c>
      <c r="H31" s="481" t="s">
        <v>1625</v>
      </c>
      <c r="I31" s="482" t="s">
        <v>1617</v>
      </c>
      <c r="M31" s="434" t="s">
        <v>1630</v>
      </c>
      <c r="N31" s="434" t="s">
        <v>1627</v>
      </c>
      <c r="O31" s="465"/>
      <c r="P31" s="465"/>
      <c r="Q31" s="434" t="s">
        <v>1631</v>
      </c>
      <c r="W31" s="476"/>
      <c r="X31" s="476"/>
      <c r="Y31" s="176"/>
      <c r="Z31" s="176"/>
      <c r="AA31" s="476"/>
      <c r="AB31" s="176"/>
      <c r="AC31" s="176"/>
      <c r="AD31" s="176"/>
      <c r="AE31" s="176"/>
      <c r="AF31" s="176"/>
      <c r="AG31" s="176"/>
      <c r="AH31" s="476"/>
    </row>
    <row r="32">
      <c r="B32" s="477" t="s">
        <v>1173</v>
      </c>
      <c r="C32" s="489" t="s">
        <v>1097</v>
      </c>
      <c r="D32" s="478" t="s">
        <v>1340</v>
      </c>
      <c r="E32" s="479" t="s">
        <v>1337</v>
      </c>
      <c r="F32" s="480" t="s">
        <v>1122</v>
      </c>
      <c r="G32" s="481" t="s">
        <v>1357</v>
      </c>
      <c r="H32" s="481" t="s">
        <v>1358</v>
      </c>
      <c r="I32" s="482" t="s">
        <v>1617</v>
      </c>
      <c r="M32" s="434" t="s">
        <v>1632</v>
      </c>
      <c r="N32" s="434" t="s">
        <v>1627</v>
      </c>
      <c r="O32" s="465"/>
      <c r="P32" s="465"/>
      <c r="Q32" s="434" t="s">
        <v>1633</v>
      </c>
      <c r="W32" s="476"/>
      <c r="X32" s="476"/>
      <c r="Y32" s="176"/>
      <c r="Z32" s="176"/>
      <c r="AA32" s="476"/>
      <c r="AB32" s="176"/>
      <c r="AC32" s="176"/>
      <c r="AD32" s="176"/>
      <c r="AE32" s="176"/>
      <c r="AF32" s="176"/>
      <c r="AG32" s="176"/>
      <c r="AH32" s="476"/>
    </row>
    <row r="33" ht="51.75" customHeight="1">
      <c r="B33" s="483" t="s">
        <v>1156</v>
      </c>
      <c r="C33" s="490" t="s">
        <v>1399</v>
      </c>
      <c r="D33" s="479" t="s">
        <v>1398</v>
      </c>
      <c r="E33" s="479" t="s">
        <v>1397</v>
      </c>
      <c r="F33" s="480" t="s">
        <v>1373</v>
      </c>
      <c r="G33" s="481" t="s">
        <v>1379</v>
      </c>
      <c r="H33" s="481" t="s">
        <v>1380</v>
      </c>
      <c r="I33" s="484" t="s">
        <v>1618</v>
      </c>
      <c r="M33" s="434" t="s">
        <v>1634</v>
      </c>
      <c r="N33" s="434" t="s">
        <v>1627</v>
      </c>
      <c r="O33" s="465"/>
      <c r="P33" s="465"/>
      <c r="Q33" s="491" t="s">
        <v>1635</v>
      </c>
      <c r="W33" s="476"/>
      <c r="X33" s="476"/>
      <c r="Y33" s="176"/>
      <c r="Z33" s="176"/>
      <c r="AA33" s="476"/>
      <c r="AB33" s="176"/>
      <c r="AC33" s="176"/>
      <c r="AD33" s="176"/>
      <c r="AE33" s="176"/>
      <c r="AF33" s="176"/>
      <c r="AG33" s="176"/>
      <c r="AH33" s="476"/>
    </row>
    <row r="34">
      <c r="B34" s="483" t="s">
        <v>1023</v>
      </c>
      <c r="C34" s="446" t="s">
        <v>305</v>
      </c>
      <c r="D34" s="479" t="s">
        <v>1340</v>
      </c>
      <c r="E34" s="479" t="s">
        <v>1337</v>
      </c>
      <c r="F34" s="480" t="s">
        <v>1122</v>
      </c>
      <c r="G34" s="481" t="s">
        <v>1615</v>
      </c>
      <c r="H34" s="481" t="s">
        <v>1616</v>
      </c>
      <c r="I34" s="482" t="s">
        <v>1617</v>
      </c>
      <c r="M34" s="434" t="s">
        <v>1636</v>
      </c>
      <c r="N34" s="434" t="s">
        <v>1627</v>
      </c>
      <c r="O34" s="465"/>
      <c r="P34" s="465"/>
      <c r="Q34" s="434" t="s">
        <v>554</v>
      </c>
      <c r="W34" s="1"/>
      <c r="X34" s="1"/>
      <c r="Y34" s="7"/>
      <c r="Z34" s="7"/>
      <c r="AA34" s="1"/>
      <c r="AB34" s="7"/>
      <c r="AC34" s="7"/>
      <c r="AD34" s="7"/>
      <c r="AE34" s="7"/>
      <c r="AF34" s="7"/>
      <c r="AG34" s="7"/>
      <c r="AH34" s="1"/>
    </row>
    <row r="35">
      <c r="B35" s="483" t="s">
        <v>1122</v>
      </c>
      <c r="C35" s="479" t="s">
        <v>1368</v>
      </c>
      <c r="D35" s="478" t="s">
        <v>1340</v>
      </c>
      <c r="E35" s="479" t="s">
        <v>1337</v>
      </c>
      <c r="F35" s="480" t="s">
        <v>1373</v>
      </c>
      <c r="G35" s="481" t="s">
        <v>1379</v>
      </c>
      <c r="H35" s="481" t="s">
        <v>1380</v>
      </c>
      <c r="I35" s="482" t="s">
        <v>1617</v>
      </c>
      <c r="M35" s="434" t="s">
        <v>1637</v>
      </c>
      <c r="N35" s="434" t="s">
        <v>1627</v>
      </c>
      <c r="O35" s="465"/>
      <c r="P35" s="465"/>
      <c r="Q35" s="434" t="s">
        <v>1638</v>
      </c>
      <c r="W35" s="1"/>
      <c r="X35" s="1"/>
      <c r="Y35" s="7"/>
      <c r="Z35" s="7"/>
      <c r="AA35" s="1"/>
      <c r="AB35" s="7"/>
      <c r="AC35" s="7"/>
      <c r="AD35" s="7"/>
      <c r="AE35" s="7"/>
      <c r="AF35" s="7"/>
      <c r="AG35" s="7"/>
      <c r="AH35" s="1"/>
    </row>
    <row r="36">
      <c r="B36" s="477" t="s">
        <v>410</v>
      </c>
      <c r="C36" s="489" t="s">
        <v>1097</v>
      </c>
      <c r="D36" s="479" t="s">
        <v>1340</v>
      </c>
      <c r="E36" s="479" t="s">
        <v>1337</v>
      </c>
      <c r="F36" s="480" t="s">
        <v>1122</v>
      </c>
      <c r="G36" s="481" t="s">
        <v>1357</v>
      </c>
      <c r="H36" s="481" t="s">
        <v>1358</v>
      </c>
      <c r="I36" s="482" t="s">
        <v>1617</v>
      </c>
      <c r="M36" s="434" t="s">
        <v>1639</v>
      </c>
      <c r="N36" s="434" t="s">
        <v>1627</v>
      </c>
      <c r="O36" s="465"/>
      <c r="P36" s="465"/>
      <c r="Q36" s="434" t="s">
        <v>583</v>
      </c>
      <c r="W36" s="1"/>
      <c r="X36" s="1"/>
      <c r="Y36" s="7"/>
      <c r="Z36" s="7"/>
      <c r="AA36" s="1"/>
      <c r="AB36" s="7"/>
      <c r="AC36" s="7"/>
      <c r="AD36" s="7"/>
      <c r="AE36" s="7"/>
      <c r="AF36" s="7"/>
      <c r="AG36" s="7"/>
      <c r="AH36" s="1"/>
    </row>
    <row r="37">
      <c r="B37" s="477" t="s">
        <v>1097</v>
      </c>
      <c r="C37" s="489" t="s">
        <v>1097</v>
      </c>
      <c r="D37" s="479" t="s">
        <v>1340</v>
      </c>
      <c r="E37" s="479" t="s">
        <v>1337</v>
      </c>
      <c r="F37" s="480" t="s">
        <v>1122</v>
      </c>
      <c r="G37" s="481" t="s">
        <v>1357</v>
      </c>
      <c r="H37" s="481" t="s">
        <v>1358</v>
      </c>
      <c r="I37" s="482" t="s">
        <v>1617</v>
      </c>
      <c r="L37" s="476"/>
      <c r="M37" s="434" t="s">
        <v>1640</v>
      </c>
      <c r="N37" s="434" t="s">
        <v>1641</v>
      </c>
      <c r="O37" s="465"/>
      <c r="P37" s="465"/>
      <c r="Q37" s="434" t="s">
        <v>1642</v>
      </c>
      <c r="W37" s="1"/>
      <c r="X37" s="1"/>
      <c r="Y37" s="7"/>
      <c r="Z37" s="7"/>
      <c r="AA37" s="1"/>
      <c r="AB37" s="7"/>
      <c r="AC37" s="7"/>
      <c r="AD37" s="7"/>
      <c r="AE37" s="7"/>
      <c r="AF37" s="7"/>
      <c r="AG37" s="7"/>
      <c r="AH37" s="1"/>
    </row>
    <row r="38">
      <c r="B38" s="445" t="s">
        <v>527</v>
      </c>
      <c r="C38" s="490" t="s">
        <v>1399</v>
      </c>
      <c r="D38" s="476" t="s">
        <v>1643</v>
      </c>
      <c r="E38" s="479" t="s">
        <v>1397</v>
      </c>
      <c r="F38" s="480" t="s">
        <v>1373</v>
      </c>
      <c r="G38" s="434" t="s">
        <v>1407</v>
      </c>
      <c r="H38" s="481" t="s">
        <v>1380</v>
      </c>
      <c r="I38" s="482" t="s">
        <v>1644</v>
      </c>
      <c r="L38" s="476"/>
      <c r="M38" s="434" t="s">
        <v>1645</v>
      </c>
      <c r="N38" s="434" t="s">
        <v>1641</v>
      </c>
      <c r="O38" s="465"/>
      <c r="P38" s="465"/>
      <c r="Q38" s="434" t="s">
        <v>1646</v>
      </c>
      <c r="W38" s="1"/>
      <c r="X38" s="1"/>
      <c r="Y38" s="7"/>
      <c r="Z38" s="7"/>
      <c r="AA38" s="1"/>
      <c r="AB38" s="7"/>
      <c r="AC38" s="7"/>
      <c r="AD38" s="7"/>
      <c r="AE38" s="7"/>
      <c r="AF38" s="7"/>
      <c r="AG38" s="7"/>
      <c r="AH38" s="1"/>
    </row>
    <row r="39">
      <c r="B39" s="445" t="s">
        <v>1647</v>
      </c>
      <c r="C39" s="490" t="s">
        <v>1399</v>
      </c>
      <c r="D39" s="476" t="s">
        <v>1643</v>
      </c>
      <c r="E39" s="479" t="s">
        <v>1397</v>
      </c>
      <c r="F39" s="480" t="s">
        <v>1373</v>
      </c>
      <c r="G39" s="446" t="s">
        <v>1407</v>
      </c>
      <c r="H39" s="481" t="s">
        <v>1380</v>
      </c>
      <c r="I39" s="482" t="s">
        <v>1644</v>
      </c>
      <c r="J39" s="476"/>
      <c r="K39" s="476"/>
      <c r="L39" s="476"/>
      <c r="M39" s="434" t="s">
        <v>1648</v>
      </c>
      <c r="N39" s="434" t="s">
        <v>1627</v>
      </c>
      <c r="O39" s="465"/>
      <c r="P39" s="465"/>
      <c r="Q39" s="434" t="s">
        <v>1649</v>
      </c>
      <c r="W39" s="1"/>
      <c r="X39" s="1"/>
      <c r="Y39" s="7"/>
      <c r="Z39" s="7"/>
      <c r="AA39" s="1"/>
      <c r="AB39" s="7"/>
      <c r="AC39" s="7"/>
      <c r="AD39" s="7"/>
      <c r="AE39" s="7"/>
      <c r="AF39" s="7"/>
      <c r="AG39" s="7"/>
      <c r="AH39" s="1"/>
    </row>
    <row r="40">
      <c r="A40" s="134"/>
      <c r="B40" s="445" t="s">
        <v>1191</v>
      </c>
      <c r="C40" s="446" t="s">
        <v>305</v>
      </c>
      <c r="D40" s="479" t="s">
        <v>1340</v>
      </c>
      <c r="E40" s="479" t="s">
        <v>1337</v>
      </c>
      <c r="F40" s="480" t="s">
        <v>1122</v>
      </c>
      <c r="G40" s="481" t="s">
        <v>1615</v>
      </c>
      <c r="H40" s="481" t="s">
        <v>1616</v>
      </c>
      <c r="I40" s="482" t="s">
        <v>1617</v>
      </c>
      <c r="J40" s="476"/>
      <c r="K40" s="476"/>
      <c r="L40" s="476"/>
      <c r="R40" s="134"/>
      <c r="S40" s="134"/>
      <c r="T40" s="134"/>
      <c r="U40" s="134"/>
      <c r="V40" s="134"/>
      <c r="W40" s="1"/>
      <c r="X40" s="1"/>
      <c r="Y40" s="7"/>
      <c r="Z40" s="7"/>
      <c r="AA40" s="1"/>
      <c r="AB40" s="7"/>
      <c r="AC40" s="7"/>
      <c r="AD40" s="7"/>
      <c r="AE40" s="7"/>
      <c r="AF40" s="7"/>
      <c r="AG40" s="7"/>
      <c r="AH40" s="1"/>
      <c r="AI40" s="134"/>
      <c r="AJ40" s="134"/>
      <c r="AK40" s="134"/>
      <c r="AL40" s="134"/>
      <c r="AM40" s="134"/>
      <c r="AN40" s="134"/>
      <c r="AO40" s="134"/>
      <c r="AP40" s="134"/>
    </row>
    <row r="41">
      <c r="A41" s="134"/>
      <c r="B41" s="445" t="s">
        <v>1200</v>
      </c>
      <c r="C41" s="479" t="s">
        <v>1087</v>
      </c>
      <c r="D41" s="478" t="s">
        <v>1340</v>
      </c>
      <c r="E41" s="479" t="s">
        <v>1337</v>
      </c>
      <c r="F41" s="480" t="s">
        <v>1122</v>
      </c>
      <c r="G41" s="481" t="s">
        <v>1624</v>
      </c>
      <c r="H41" s="481" t="s">
        <v>1625</v>
      </c>
      <c r="I41" s="482" t="s">
        <v>1617</v>
      </c>
      <c r="J41" s="476"/>
      <c r="K41" s="476"/>
      <c r="L41" s="476"/>
      <c r="R41" s="134"/>
      <c r="S41" s="134"/>
      <c r="T41" s="134"/>
      <c r="U41" s="134"/>
      <c r="V41" s="134"/>
      <c r="W41" s="1"/>
      <c r="X41" s="1"/>
      <c r="Y41" s="7"/>
      <c r="Z41" s="7"/>
      <c r="AA41" s="1"/>
      <c r="AB41" s="7"/>
      <c r="AC41" s="7"/>
      <c r="AD41" s="7"/>
      <c r="AE41" s="7"/>
      <c r="AF41" s="7"/>
      <c r="AG41" s="7"/>
      <c r="AH41" s="1"/>
      <c r="AI41" s="134"/>
      <c r="AJ41" s="134"/>
      <c r="AK41" s="134"/>
      <c r="AL41" s="134"/>
      <c r="AM41" s="134"/>
      <c r="AN41" s="134"/>
      <c r="AO41" s="134"/>
      <c r="AP41" s="134"/>
    </row>
    <row r="42">
      <c r="A42" s="134"/>
      <c r="B42" s="445" t="s">
        <v>1242</v>
      </c>
      <c r="C42" s="490" t="s">
        <v>1399</v>
      </c>
      <c r="D42" s="479" t="s">
        <v>1398</v>
      </c>
      <c r="E42" s="479" t="s">
        <v>1397</v>
      </c>
      <c r="F42" s="480" t="s">
        <v>1373</v>
      </c>
      <c r="G42" s="446" t="s">
        <v>1407</v>
      </c>
      <c r="H42" s="481" t="s">
        <v>1380</v>
      </c>
      <c r="I42" s="492" t="s">
        <v>1650</v>
      </c>
      <c r="J42" s="476"/>
      <c r="K42" s="476"/>
      <c r="L42" s="476"/>
      <c r="R42" s="134"/>
      <c r="S42" s="134"/>
      <c r="T42" s="134"/>
      <c r="U42" s="134"/>
      <c r="V42" s="134"/>
      <c r="W42" s="1"/>
      <c r="X42" s="1"/>
      <c r="Y42" s="7"/>
      <c r="Z42" s="7"/>
      <c r="AA42" s="1"/>
      <c r="AB42" s="7"/>
      <c r="AC42" s="7"/>
      <c r="AD42" s="7"/>
      <c r="AE42" s="7"/>
      <c r="AF42" s="7"/>
      <c r="AG42" s="7"/>
      <c r="AH42" s="1"/>
      <c r="AI42" s="134"/>
      <c r="AJ42" s="134"/>
      <c r="AK42" s="134"/>
      <c r="AL42" s="134"/>
      <c r="AM42" s="134"/>
      <c r="AN42" s="134"/>
      <c r="AO42" s="134"/>
      <c r="AP42" s="134"/>
    </row>
    <row r="43" ht="18.75" customHeight="1">
      <c r="A43" s="134"/>
      <c r="I43" s="391"/>
      <c r="J43" s="476"/>
      <c r="K43" s="476"/>
      <c r="L43" s="476"/>
      <c r="R43" s="134"/>
      <c r="S43" s="134"/>
      <c r="T43" s="134"/>
      <c r="U43" s="134"/>
      <c r="V43" s="134"/>
      <c r="W43" s="1"/>
      <c r="X43" s="1"/>
      <c r="Y43" s="7"/>
      <c r="Z43" s="7"/>
      <c r="AA43" s="1"/>
      <c r="AB43" s="7"/>
      <c r="AC43" s="7"/>
      <c r="AD43" s="7"/>
      <c r="AE43" s="7"/>
      <c r="AF43" s="7"/>
      <c r="AG43" s="7"/>
      <c r="AH43" s="1"/>
      <c r="AI43" s="134"/>
      <c r="AJ43" s="134"/>
      <c r="AK43" s="134"/>
      <c r="AL43" s="134"/>
      <c r="AM43" s="134"/>
      <c r="AN43" s="134"/>
      <c r="AO43" s="134"/>
      <c r="AP43" s="134"/>
    </row>
    <row r="44" ht="18.75" customHeight="1">
      <c r="A44" s="134"/>
      <c r="D44" s="476"/>
      <c r="E44" s="476"/>
      <c r="F44" s="476"/>
      <c r="G44" s="476"/>
      <c r="H44" s="476"/>
      <c r="I44" s="82"/>
      <c r="J44" s="476"/>
      <c r="K44" s="476"/>
      <c r="L44" s="476"/>
      <c r="R44" s="134"/>
      <c r="S44" s="134"/>
      <c r="T44" s="134"/>
      <c r="U44" s="134"/>
      <c r="V44" s="134"/>
      <c r="W44" s="1"/>
      <c r="X44" s="1"/>
      <c r="Y44" s="7"/>
      <c r="Z44" s="7"/>
      <c r="AA44" s="1"/>
      <c r="AB44" s="7"/>
      <c r="AC44" s="7"/>
      <c r="AD44" s="7"/>
      <c r="AE44" s="7"/>
      <c r="AF44" s="7"/>
      <c r="AG44" s="7"/>
      <c r="AH44" s="1"/>
      <c r="AI44" s="134"/>
      <c r="AJ44" s="134"/>
      <c r="AK44" s="134"/>
      <c r="AL44" s="134"/>
      <c r="AM44" s="134"/>
      <c r="AN44" s="134"/>
      <c r="AO44" s="134"/>
      <c r="AP44" s="134"/>
    </row>
    <row r="45">
      <c r="A45" s="134"/>
      <c r="D45" s="476"/>
      <c r="E45" s="476"/>
      <c r="F45" s="476"/>
      <c r="G45" s="476"/>
      <c r="H45" s="476"/>
      <c r="I45" s="82"/>
      <c r="J45" s="476"/>
      <c r="K45" s="476"/>
      <c r="L45" s="476"/>
      <c r="M45" s="409" t="s">
        <v>1651</v>
      </c>
      <c r="N45" s="409" t="s">
        <v>1622</v>
      </c>
      <c r="O45" s="410" t="s">
        <v>228</v>
      </c>
      <c r="P45" s="409" t="s">
        <v>214</v>
      </c>
      <c r="Q45" s="409" t="s">
        <v>1623</v>
      </c>
      <c r="R45" s="134"/>
      <c r="S45" s="134"/>
      <c r="T45" s="134"/>
      <c r="U45" s="134"/>
      <c r="V45" s="134"/>
      <c r="W45" s="1"/>
      <c r="X45" s="1"/>
      <c r="Y45" s="7"/>
      <c r="Z45" s="7"/>
      <c r="AA45" s="1"/>
      <c r="AB45" s="7"/>
      <c r="AC45" s="7"/>
      <c r="AD45" s="7"/>
      <c r="AE45" s="7"/>
      <c r="AF45" s="7"/>
      <c r="AG45" s="7"/>
      <c r="AH45" s="1"/>
      <c r="AI45" s="134"/>
      <c r="AJ45" s="134"/>
      <c r="AK45" s="134"/>
      <c r="AL45" s="134"/>
      <c r="AM45" s="134"/>
      <c r="AN45" s="134"/>
      <c r="AO45" s="134"/>
      <c r="AP45" s="134"/>
    </row>
    <row r="46" ht="18.75" customHeight="1">
      <c r="A46" s="134"/>
      <c r="D46" s="476"/>
      <c r="E46" s="476"/>
      <c r="F46" s="476"/>
      <c r="G46" s="476"/>
      <c r="H46" s="476"/>
      <c r="I46" s="82"/>
      <c r="J46" s="476"/>
      <c r="K46" s="476"/>
      <c r="L46" s="476"/>
      <c r="M46" s="434" t="s">
        <v>45</v>
      </c>
      <c r="N46" s="434"/>
      <c r="O46" s="465"/>
      <c r="P46" s="465"/>
      <c r="Q46" s="434" t="s">
        <v>45</v>
      </c>
      <c r="R46" s="134"/>
      <c r="S46" s="134"/>
      <c r="T46" s="134"/>
      <c r="U46" s="134"/>
      <c r="V46" s="134"/>
      <c r="W46" s="1"/>
      <c r="X46" s="1"/>
      <c r="Y46" s="7"/>
      <c r="Z46" s="7"/>
      <c r="AA46" s="1"/>
      <c r="AB46" s="7"/>
      <c r="AC46" s="7"/>
      <c r="AD46" s="7"/>
      <c r="AE46" s="7"/>
      <c r="AF46" s="7"/>
      <c r="AG46" s="7"/>
      <c r="AH46" s="1"/>
      <c r="AI46" s="134"/>
      <c r="AJ46" s="134"/>
      <c r="AK46" s="134"/>
      <c r="AL46" s="134"/>
      <c r="AM46" s="134"/>
      <c r="AN46" s="134"/>
      <c r="AO46" s="134"/>
      <c r="AP46" s="134"/>
    </row>
    <row r="47" ht="18.75" customHeight="1">
      <c r="B47" s="493" t="s">
        <v>1652</v>
      </c>
      <c r="C47" s="493" t="s">
        <v>1653</v>
      </c>
      <c r="D47" s="476"/>
      <c r="E47" s="476"/>
      <c r="F47" s="476"/>
      <c r="G47" s="476"/>
      <c r="H47" s="476"/>
      <c r="I47" s="82"/>
      <c r="J47" s="476"/>
      <c r="K47" s="476"/>
      <c r="L47" s="476"/>
      <c r="M47" s="434" t="s">
        <v>585</v>
      </c>
      <c r="N47" s="434"/>
      <c r="O47" s="465"/>
      <c r="P47" s="465"/>
      <c r="Q47" s="434" t="s">
        <v>585</v>
      </c>
      <c r="W47" s="1"/>
      <c r="X47" s="1"/>
      <c r="Y47" s="7"/>
      <c r="Z47" s="7"/>
      <c r="AA47" s="1"/>
      <c r="AB47" s="7"/>
      <c r="AC47" s="7"/>
      <c r="AD47" s="7"/>
      <c r="AE47" s="7"/>
      <c r="AF47" s="7"/>
      <c r="AG47" s="7"/>
      <c r="AH47" s="1"/>
    </row>
    <row r="48" ht="18.75" customHeight="1">
      <c r="B48" s="494" t="s">
        <v>1654</v>
      </c>
      <c r="C48" s="495" t="s">
        <v>1655</v>
      </c>
      <c r="D48" s="496"/>
      <c r="I48" s="391"/>
      <c r="M48" s="434" t="s">
        <v>1656</v>
      </c>
      <c r="N48" s="465"/>
      <c r="O48" s="465"/>
      <c r="P48" s="465"/>
      <c r="Q48" s="434" t="s">
        <v>1657</v>
      </c>
      <c r="W48" s="1"/>
      <c r="X48" s="1"/>
      <c r="Y48" s="7"/>
      <c r="Z48" s="7"/>
      <c r="AA48" s="1"/>
      <c r="AB48" s="7"/>
      <c r="AC48" s="7"/>
      <c r="AD48" s="7"/>
      <c r="AE48" s="7"/>
      <c r="AF48" s="7"/>
      <c r="AG48" s="7"/>
      <c r="AH48" s="1"/>
    </row>
    <row r="49" ht="18.75" customHeight="1">
      <c r="B49" s="494" t="s">
        <v>1658</v>
      </c>
      <c r="C49" s="495" t="s">
        <v>1659</v>
      </c>
      <c r="I49" s="391"/>
      <c r="M49" s="434" t="s">
        <v>1660</v>
      </c>
      <c r="N49" s="465"/>
      <c r="O49" s="465"/>
      <c r="P49" s="465"/>
      <c r="Q49" s="434" t="s">
        <v>1087</v>
      </c>
      <c r="W49" s="1"/>
      <c r="X49" s="1"/>
      <c r="Y49" s="7"/>
      <c r="Z49" s="7"/>
      <c r="AA49" s="1"/>
      <c r="AB49" s="7"/>
      <c r="AC49" s="7"/>
      <c r="AD49" s="7"/>
      <c r="AE49" s="7"/>
      <c r="AF49" s="7"/>
      <c r="AG49" s="7"/>
      <c r="AH49" s="1"/>
    </row>
    <row r="50" ht="18.75" customHeight="1">
      <c r="B50" s="494" t="s">
        <v>1661</v>
      </c>
      <c r="C50" s="495" t="s">
        <v>1655</v>
      </c>
      <c r="I50" s="391"/>
      <c r="M50" s="434"/>
      <c r="N50" s="465"/>
      <c r="O50" s="465"/>
      <c r="P50" s="465"/>
      <c r="Q50" s="497"/>
      <c r="W50" s="1"/>
      <c r="X50" s="1"/>
      <c r="Y50" s="7"/>
      <c r="Z50" s="7"/>
      <c r="AA50" s="1"/>
      <c r="AB50" s="7"/>
      <c r="AC50" s="7"/>
      <c r="AD50" s="7"/>
      <c r="AE50" s="7"/>
      <c r="AF50" s="7"/>
      <c r="AG50" s="7"/>
      <c r="AH50" s="1"/>
    </row>
    <row r="51" ht="18.75" customHeight="1">
      <c r="F51" s="291"/>
      <c r="G51" s="291"/>
      <c r="H51" s="291"/>
      <c r="I51" s="291"/>
      <c r="J51" s="291"/>
      <c r="K51" s="291"/>
      <c r="W51" s="1"/>
      <c r="X51" s="1"/>
      <c r="Y51" s="7"/>
      <c r="Z51" s="7"/>
      <c r="AA51" s="1"/>
      <c r="AB51" s="7"/>
      <c r="AC51" s="7"/>
      <c r="AD51" s="7"/>
      <c r="AE51" s="7"/>
      <c r="AF51" s="7"/>
      <c r="AG51" s="7"/>
      <c r="AH51" s="1"/>
    </row>
    <row r="52" ht="18.75" customHeight="1">
      <c r="F52" s="498"/>
      <c r="G52" s="498"/>
      <c r="H52" s="498"/>
      <c r="I52" s="498"/>
      <c r="J52" s="498"/>
      <c r="K52" s="498"/>
      <c r="W52" s="1"/>
      <c r="X52" s="1"/>
      <c r="Y52" s="7"/>
      <c r="Z52" s="7"/>
      <c r="AA52" s="1"/>
      <c r="AB52" s="7"/>
      <c r="AC52" s="7"/>
      <c r="AD52" s="7"/>
      <c r="AE52" s="7"/>
      <c r="AF52" s="7"/>
      <c r="AG52" s="7"/>
      <c r="AH52" s="1"/>
    </row>
    <row r="53" ht="18.75" customHeight="1">
      <c r="F53" s="499"/>
      <c r="G53" s="499"/>
      <c r="H53" s="499"/>
      <c r="I53" s="499"/>
      <c r="J53" s="499"/>
      <c r="K53" s="499"/>
      <c r="W53" s="1"/>
      <c r="X53" s="1"/>
      <c r="Y53" s="7"/>
      <c r="Z53" s="7"/>
      <c r="AA53" s="1"/>
      <c r="AB53" s="7"/>
      <c r="AC53" s="7"/>
      <c r="AD53" s="7"/>
      <c r="AE53" s="7"/>
      <c r="AF53" s="7"/>
      <c r="AG53" s="7"/>
      <c r="AH53" s="1"/>
    </row>
    <row r="54" ht="18.75" customHeight="1">
      <c r="F54" s="499"/>
      <c r="G54" s="499"/>
      <c r="H54" s="499"/>
      <c r="I54" s="499"/>
      <c r="J54" s="499"/>
      <c r="K54" s="499"/>
      <c r="W54" s="1"/>
      <c r="X54" s="1"/>
      <c r="Y54" s="7"/>
      <c r="Z54" s="7"/>
      <c r="AA54" s="1"/>
      <c r="AB54" s="7"/>
      <c r="AC54" s="7"/>
      <c r="AD54" s="7"/>
      <c r="AE54" s="7"/>
      <c r="AF54" s="7"/>
      <c r="AG54" s="7"/>
      <c r="AH54" s="1"/>
    </row>
    <row r="55" ht="18.75" customHeight="1">
      <c r="I55" s="391"/>
      <c r="W55" s="1"/>
      <c r="X55" s="1"/>
      <c r="Y55" s="7"/>
      <c r="Z55" s="7"/>
      <c r="AA55" s="1"/>
      <c r="AB55" s="7"/>
      <c r="AC55" s="7"/>
      <c r="AD55" s="7"/>
      <c r="AE55" s="7"/>
      <c r="AF55" s="7"/>
      <c r="AG55" s="7"/>
      <c r="AH55" s="1"/>
    </row>
    <row r="56">
      <c r="F56" s="291"/>
      <c r="G56" s="291"/>
      <c r="H56" s="291"/>
      <c r="I56" s="291"/>
      <c r="J56" s="291"/>
      <c r="K56" s="291"/>
      <c r="M56" s="409" t="s">
        <v>391</v>
      </c>
      <c r="N56" s="409" t="s">
        <v>1622</v>
      </c>
      <c r="O56" s="410" t="s">
        <v>228</v>
      </c>
      <c r="P56" s="409" t="s">
        <v>214</v>
      </c>
      <c r="Q56" s="409" t="s">
        <v>1623</v>
      </c>
      <c r="W56" s="1"/>
      <c r="X56" s="1"/>
      <c r="Y56" s="7"/>
      <c r="Z56" s="7"/>
      <c r="AA56" s="1"/>
      <c r="AB56" s="7"/>
      <c r="AC56" s="7"/>
      <c r="AD56" s="7"/>
      <c r="AE56" s="7"/>
      <c r="AF56" s="7"/>
      <c r="AG56" s="7"/>
      <c r="AH56" s="1"/>
    </row>
    <row r="57">
      <c r="F57" s="445"/>
      <c r="G57" s="445"/>
      <c r="H57" s="445"/>
      <c r="I57" s="500"/>
      <c r="J57" s="445"/>
      <c r="K57" s="445"/>
      <c r="M57" s="501" t="s">
        <v>45</v>
      </c>
      <c r="N57" s="502"/>
      <c r="O57" s="465"/>
      <c r="P57" s="465"/>
      <c r="Q57" s="491" t="s">
        <v>45</v>
      </c>
      <c r="W57" s="1"/>
      <c r="X57" s="1"/>
      <c r="Y57" s="7"/>
      <c r="Z57" s="7"/>
      <c r="AA57" s="1"/>
      <c r="AB57" s="7"/>
      <c r="AC57" s="7"/>
      <c r="AD57" s="7"/>
      <c r="AE57" s="7"/>
      <c r="AF57" s="7"/>
      <c r="AG57" s="7"/>
      <c r="AH57" s="1"/>
    </row>
    <row r="58" ht="18.75" customHeight="1">
      <c r="F58" s="445"/>
      <c r="G58" s="445"/>
      <c r="H58" s="445"/>
      <c r="I58" s="500"/>
      <c r="J58" s="445"/>
      <c r="K58" s="445"/>
      <c r="M58" s="434" t="s">
        <v>585</v>
      </c>
      <c r="N58" s="502"/>
      <c r="O58" s="465"/>
      <c r="P58" s="465"/>
      <c r="Q58" s="434" t="s">
        <v>585</v>
      </c>
      <c r="W58" s="1"/>
      <c r="X58" s="1"/>
      <c r="Y58" s="7"/>
      <c r="Z58" s="7"/>
      <c r="AA58" s="1"/>
      <c r="AB58" s="7"/>
      <c r="AC58" s="7"/>
      <c r="AD58" s="7"/>
      <c r="AE58" s="7"/>
      <c r="AF58" s="7"/>
      <c r="AG58" s="7"/>
      <c r="AH58" s="1"/>
    </row>
    <row r="59" ht="18.75" customHeight="1">
      <c r="F59" s="445"/>
      <c r="G59" s="445"/>
      <c r="H59" s="445"/>
      <c r="I59" s="500"/>
      <c r="J59" s="445"/>
      <c r="K59" s="445"/>
      <c r="M59" s="503" t="s">
        <v>1379</v>
      </c>
      <c r="N59" s="504" t="s">
        <v>1662</v>
      </c>
      <c r="O59" s="434" t="s">
        <v>1663</v>
      </c>
      <c r="P59" s="465"/>
      <c r="Q59" s="491" t="s">
        <v>1664</v>
      </c>
      <c r="W59" s="1"/>
      <c r="X59" s="1"/>
      <c r="Y59" s="7"/>
      <c r="Z59" s="7"/>
      <c r="AA59" s="1"/>
      <c r="AB59" s="7"/>
      <c r="AC59" s="7"/>
      <c r="AD59" s="7"/>
      <c r="AE59" s="7"/>
      <c r="AF59" s="7"/>
      <c r="AG59" s="7"/>
      <c r="AH59" s="1"/>
    </row>
    <row r="60" ht="18.75" customHeight="1">
      <c r="I60" s="391"/>
      <c r="M60" s="503" t="s">
        <v>1407</v>
      </c>
      <c r="N60" s="504" t="s">
        <v>1662</v>
      </c>
      <c r="O60" s="434" t="s">
        <v>1663</v>
      </c>
      <c r="P60" s="465"/>
      <c r="Q60" s="491" t="s">
        <v>1665</v>
      </c>
      <c r="W60" s="1"/>
      <c r="X60" s="1"/>
      <c r="Y60" s="7"/>
      <c r="Z60" s="7"/>
      <c r="AA60" s="1"/>
      <c r="AB60" s="7"/>
      <c r="AC60" s="7"/>
      <c r="AD60" s="7"/>
      <c r="AE60" s="7"/>
      <c r="AF60" s="7"/>
      <c r="AG60" s="7"/>
      <c r="AH60" s="1"/>
    </row>
    <row r="61" ht="18.75" customHeight="1">
      <c r="I61" s="391"/>
      <c r="M61" s="505" t="s">
        <v>1357</v>
      </c>
      <c r="N61" s="504" t="s">
        <v>1666</v>
      </c>
      <c r="O61" s="434" t="s">
        <v>1663</v>
      </c>
      <c r="P61" s="434"/>
      <c r="Q61" s="491" t="s">
        <v>1097</v>
      </c>
      <c r="W61" s="1"/>
      <c r="X61" s="1"/>
      <c r="Y61" s="7"/>
      <c r="Z61" s="7"/>
      <c r="AA61" s="1"/>
      <c r="AB61" s="7"/>
      <c r="AC61" s="7"/>
      <c r="AD61" s="7"/>
      <c r="AE61" s="7"/>
      <c r="AF61" s="7"/>
      <c r="AG61" s="7"/>
      <c r="AH61" s="1"/>
    </row>
    <row r="62" ht="18.75" customHeight="1">
      <c r="I62" s="391"/>
      <c r="M62" s="506" t="s">
        <v>1667</v>
      </c>
      <c r="N62" s="504" t="s">
        <v>1662</v>
      </c>
      <c r="O62" s="434" t="s">
        <v>1668</v>
      </c>
      <c r="P62" s="434" t="s">
        <v>1669</v>
      </c>
      <c r="Q62" s="491" t="s">
        <v>305</v>
      </c>
      <c r="W62" s="1"/>
      <c r="X62" s="1"/>
      <c r="Y62" s="7"/>
      <c r="Z62" s="7"/>
      <c r="AA62" s="1"/>
      <c r="AB62" s="7"/>
      <c r="AC62" s="7"/>
      <c r="AD62" s="7"/>
      <c r="AE62" s="7"/>
      <c r="AF62" s="7"/>
      <c r="AG62" s="7"/>
      <c r="AH62" s="1"/>
    </row>
    <row r="63" ht="18.75" customHeight="1">
      <c r="B63" s="507" t="s">
        <v>1607</v>
      </c>
      <c r="C63" s="508" t="s">
        <v>1608</v>
      </c>
      <c r="D63" s="509" t="s">
        <v>1670</v>
      </c>
      <c r="E63" s="510" t="s">
        <v>1671</v>
      </c>
      <c r="I63" s="391"/>
      <c r="M63" s="505" t="s">
        <v>1624</v>
      </c>
      <c r="N63" s="504" t="s">
        <v>1672</v>
      </c>
      <c r="O63" s="434" t="s">
        <v>1673</v>
      </c>
      <c r="P63" s="465"/>
      <c r="Q63" s="491" t="s">
        <v>1087</v>
      </c>
      <c r="W63" s="1"/>
      <c r="X63" s="1"/>
      <c r="Y63" s="7"/>
      <c r="Z63" s="7"/>
      <c r="AA63" s="1"/>
      <c r="AB63" s="7"/>
      <c r="AC63" s="7"/>
      <c r="AD63" s="7"/>
      <c r="AE63" s="7"/>
      <c r="AF63" s="7"/>
      <c r="AG63" s="7"/>
      <c r="AH63" s="1"/>
    </row>
    <row r="64" ht="18.75" customHeight="1">
      <c r="A64" s="445">
        <v>1.0</v>
      </c>
      <c r="B64" s="465" t="s">
        <v>1674</v>
      </c>
      <c r="C64" s="446" t="s">
        <v>1674</v>
      </c>
      <c r="D64" s="434" t="s">
        <v>1675</v>
      </c>
      <c r="E64" s="481" t="s">
        <v>1676</v>
      </c>
      <c r="I64" s="391"/>
      <c r="M64" s="434" t="s">
        <v>1413</v>
      </c>
      <c r="N64" s="504" t="s">
        <v>1666</v>
      </c>
      <c r="O64" s="434" t="s">
        <v>1677</v>
      </c>
      <c r="P64" s="434" t="s">
        <v>1678</v>
      </c>
      <c r="Q64" s="465" t="s">
        <v>583</v>
      </c>
      <c r="W64" s="1"/>
      <c r="X64" s="1"/>
      <c r="Y64" s="7"/>
      <c r="Z64" s="7"/>
      <c r="AA64" s="1"/>
      <c r="AB64" s="7"/>
      <c r="AC64" s="7"/>
      <c r="AD64" s="7"/>
      <c r="AE64" s="7"/>
      <c r="AF64" s="7"/>
      <c r="AG64" s="7"/>
      <c r="AH64" s="1"/>
    </row>
    <row r="65" ht="18.75" customHeight="1">
      <c r="A65" s="445">
        <v>2.0</v>
      </c>
      <c r="B65" s="465" t="s">
        <v>1674</v>
      </c>
      <c r="C65" s="446" t="s">
        <v>1674</v>
      </c>
      <c r="D65" s="434" t="s">
        <v>1679</v>
      </c>
      <c r="E65" s="481" t="s">
        <v>1676</v>
      </c>
      <c r="I65" s="391"/>
      <c r="W65" s="1"/>
      <c r="X65" s="1"/>
      <c r="Y65" s="7"/>
      <c r="Z65" s="7"/>
      <c r="AA65" s="1"/>
      <c r="AB65" s="7"/>
      <c r="AC65" s="7"/>
      <c r="AD65" s="7"/>
      <c r="AE65" s="7"/>
      <c r="AF65" s="7"/>
      <c r="AG65" s="7"/>
      <c r="AH65" s="1"/>
    </row>
    <row r="66" ht="18.75" customHeight="1">
      <c r="A66" s="445">
        <v>3.0</v>
      </c>
      <c r="B66" s="465" t="s">
        <v>1674</v>
      </c>
      <c r="C66" s="446" t="s">
        <v>1674</v>
      </c>
      <c r="D66" s="434" t="s">
        <v>1680</v>
      </c>
      <c r="E66" s="481" t="s">
        <v>1676</v>
      </c>
      <c r="I66" s="391"/>
      <c r="W66" s="1"/>
      <c r="X66" s="1"/>
      <c r="Y66" s="7"/>
      <c r="Z66" s="7"/>
      <c r="AA66" s="1"/>
      <c r="AB66" s="7"/>
      <c r="AC66" s="7"/>
      <c r="AD66" s="7"/>
      <c r="AE66" s="7"/>
      <c r="AF66" s="7"/>
      <c r="AG66" s="7"/>
      <c r="AH66" s="1"/>
    </row>
    <row r="67" ht="18.75" customHeight="1">
      <c r="A67" s="445">
        <v>4.0</v>
      </c>
      <c r="B67" s="465" t="s">
        <v>1674</v>
      </c>
      <c r="C67" s="446" t="s">
        <v>1674</v>
      </c>
      <c r="D67" s="434" t="s">
        <v>1681</v>
      </c>
      <c r="E67" s="481" t="s">
        <v>1676</v>
      </c>
      <c r="I67" s="391"/>
      <c r="W67" s="1"/>
      <c r="X67" s="1"/>
      <c r="Y67" s="7"/>
      <c r="Z67" s="7"/>
      <c r="AA67" s="1"/>
      <c r="AB67" s="7"/>
      <c r="AC67" s="7"/>
      <c r="AD67" s="7"/>
      <c r="AE67" s="7"/>
      <c r="AF67" s="7"/>
      <c r="AG67" s="7"/>
      <c r="AH67" s="1"/>
    </row>
    <row r="68">
      <c r="A68" s="445">
        <v>5.0</v>
      </c>
      <c r="B68" s="465" t="s">
        <v>1674</v>
      </c>
      <c r="C68" s="446" t="s">
        <v>1674</v>
      </c>
      <c r="D68" s="434" t="s">
        <v>1682</v>
      </c>
      <c r="E68" s="481" t="s">
        <v>1676</v>
      </c>
      <c r="I68" s="391"/>
      <c r="W68" s="1"/>
      <c r="X68" s="1"/>
      <c r="Y68" s="7"/>
      <c r="Z68" s="7"/>
      <c r="AA68" s="1"/>
      <c r="AB68" s="7"/>
      <c r="AC68" s="7"/>
      <c r="AD68" s="7"/>
      <c r="AE68" s="7"/>
      <c r="AF68" s="7"/>
      <c r="AG68" s="7"/>
      <c r="AH68" s="1"/>
    </row>
    <row r="69">
      <c r="A69" s="445">
        <v>6.0</v>
      </c>
      <c r="B69" s="465" t="s">
        <v>1674</v>
      </c>
      <c r="C69" s="446" t="s">
        <v>1674</v>
      </c>
      <c r="D69" s="434" t="s">
        <v>1683</v>
      </c>
      <c r="E69" s="481" t="s">
        <v>1676</v>
      </c>
      <c r="I69" s="391"/>
      <c r="M69" s="409" t="s">
        <v>1612</v>
      </c>
      <c r="N69" s="409" t="s">
        <v>1622</v>
      </c>
      <c r="O69" s="410" t="s">
        <v>228</v>
      </c>
      <c r="P69" s="409" t="s">
        <v>214</v>
      </c>
      <c r="Q69" s="409" t="s">
        <v>1623</v>
      </c>
      <c r="W69" s="1"/>
      <c r="X69" s="1"/>
      <c r="Y69" s="7"/>
      <c r="Z69" s="7"/>
      <c r="AA69" s="1"/>
      <c r="AB69" s="7"/>
      <c r="AC69" s="7"/>
      <c r="AD69" s="7"/>
      <c r="AE69" s="7"/>
      <c r="AF69" s="7"/>
      <c r="AG69" s="7"/>
      <c r="AH69" s="1"/>
    </row>
    <row r="70">
      <c r="A70" s="445">
        <v>7.0</v>
      </c>
      <c r="B70" s="465" t="s">
        <v>1674</v>
      </c>
      <c r="C70" s="446" t="s">
        <v>1674</v>
      </c>
      <c r="D70" s="434" t="s">
        <v>1684</v>
      </c>
      <c r="E70" s="481" t="s">
        <v>1676</v>
      </c>
      <c r="I70" s="391"/>
      <c r="M70" s="511" t="s">
        <v>45</v>
      </c>
      <c r="N70" s="465"/>
      <c r="O70" s="465"/>
      <c r="P70" s="512"/>
      <c r="Q70" s="465"/>
      <c r="W70" s="1"/>
      <c r="X70" s="1"/>
      <c r="Y70" s="7"/>
      <c r="Z70" s="7"/>
      <c r="AA70" s="1"/>
      <c r="AB70" s="7"/>
      <c r="AC70" s="7"/>
      <c r="AD70" s="7"/>
      <c r="AE70" s="7"/>
      <c r="AF70" s="7"/>
      <c r="AG70" s="7"/>
      <c r="AH70" s="1"/>
    </row>
    <row r="71">
      <c r="A71" s="445">
        <v>8.0</v>
      </c>
      <c r="B71" s="465" t="s">
        <v>1674</v>
      </c>
      <c r="C71" s="446" t="s">
        <v>1674</v>
      </c>
      <c r="D71" s="434" t="s">
        <v>1685</v>
      </c>
      <c r="E71" s="481" t="s">
        <v>1676</v>
      </c>
      <c r="I71" s="391"/>
      <c r="M71" s="434" t="s">
        <v>585</v>
      </c>
      <c r="N71" s="465"/>
      <c r="O71" s="465"/>
      <c r="P71" s="434" t="s">
        <v>585</v>
      </c>
      <c r="Q71" s="465"/>
      <c r="W71" s="1"/>
      <c r="X71" s="1"/>
      <c r="Y71" s="7"/>
      <c r="Z71" s="7"/>
      <c r="AA71" s="1"/>
      <c r="AB71" s="7"/>
      <c r="AC71" s="7"/>
      <c r="AD71" s="7"/>
      <c r="AE71" s="7"/>
      <c r="AF71" s="7"/>
      <c r="AG71" s="7"/>
      <c r="AH71" s="1"/>
    </row>
    <row r="72">
      <c r="A72" s="445">
        <v>9.0</v>
      </c>
      <c r="B72" s="465" t="s">
        <v>1674</v>
      </c>
      <c r="C72" s="446" t="s">
        <v>1674</v>
      </c>
      <c r="D72" s="434" t="s">
        <v>1686</v>
      </c>
      <c r="E72" s="481" t="s">
        <v>1676</v>
      </c>
      <c r="I72" s="391"/>
      <c r="M72" s="481" t="s">
        <v>1380</v>
      </c>
      <c r="N72" s="479" t="s">
        <v>1627</v>
      </c>
      <c r="O72" s="479" t="s">
        <v>1668</v>
      </c>
      <c r="P72" s="512" t="s">
        <v>1687</v>
      </c>
      <c r="Q72" s="434"/>
      <c r="W72" s="1"/>
      <c r="X72" s="1"/>
      <c r="Y72" s="7"/>
      <c r="Z72" s="7"/>
      <c r="AA72" s="1"/>
      <c r="AB72" s="7"/>
      <c r="AC72" s="7"/>
      <c r="AD72" s="7"/>
      <c r="AE72" s="7"/>
      <c r="AF72" s="7"/>
      <c r="AG72" s="7"/>
      <c r="AH72" s="1"/>
    </row>
    <row r="73">
      <c r="A73" s="445">
        <v>10.0</v>
      </c>
      <c r="B73" s="465" t="s">
        <v>1688</v>
      </c>
      <c r="C73" s="446" t="s">
        <v>1399</v>
      </c>
      <c r="D73" s="434" t="s">
        <v>1689</v>
      </c>
      <c r="E73" s="481" t="s">
        <v>1676</v>
      </c>
      <c r="I73" s="391"/>
      <c r="M73" s="434" t="s">
        <v>1625</v>
      </c>
      <c r="N73" s="434" t="s">
        <v>1662</v>
      </c>
      <c r="O73" s="434" t="s">
        <v>1668</v>
      </c>
      <c r="P73" s="512"/>
      <c r="Q73" s="434" t="s">
        <v>1087</v>
      </c>
      <c r="W73" s="1"/>
      <c r="X73" s="1"/>
      <c r="Y73" s="7"/>
      <c r="Z73" s="7"/>
      <c r="AA73" s="1"/>
      <c r="AB73" s="7"/>
      <c r="AC73" s="7"/>
      <c r="AD73" s="7"/>
      <c r="AE73" s="7"/>
      <c r="AF73" s="7"/>
      <c r="AG73" s="7"/>
      <c r="AH73" s="1"/>
    </row>
    <row r="74">
      <c r="A74" s="445">
        <v>11.0</v>
      </c>
      <c r="B74" s="465" t="s">
        <v>1688</v>
      </c>
      <c r="C74" s="446" t="s">
        <v>1399</v>
      </c>
      <c r="D74" s="434" t="s">
        <v>1690</v>
      </c>
      <c r="E74" s="481" t="s">
        <v>1676</v>
      </c>
      <c r="I74" s="391"/>
      <c r="M74" s="481" t="s">
        <v>1616</v>
      </c>
      <c r="N74" s="434" t="s">
        <v>1666</v>
      </c>
      <c r="O74" s="434" t="s">
        <v>1691</v>
      </c>
      <c r="P74" s="479" t="s">
        <v>1692</v>
      </c>
      <c r="Q74" s="434" t="s">
        <v>305</v>
      </c>
      <c r="W74" s="1"/>
      <c r="X74" s="1"/>
      <c r="Y74" s="7"/>
      <c r="Z74" s="7"/>
      <c r="AA74" s="1"/>
      <c r="AB74" s="7"/>
      <c r="AC74" s="7"/>
      <c r="AD74" s="7"/>
      <c r="AE74" s="7"/>
      <c r="AF74" s="7"/>
      <c r="AG74" s="7"/>
      <c r="AH74" s="1"/>
    </row>
    <row r="75">
      <c r="A75" s="445">
        <v>12.0</v>
      </c>
      <c r="B75" s="465" t="s">
        <v>1688</v>
      </c>
      <c r="C75" s="446" t="s">
        <v>1399</v>
      </c>
      <c r="D75" s="434" t="s">
        <v>1693</v>
      </c>
      <c r="E75" s="481" t="s">
        <v>1676</v>
      </c>
      <c r="I75" s="391"/>
      <c r="M75" s="481" t="s">
        <v>1358</v>
      </c>
      <c r="N75" s="479" t="s">
        <v>1627</v>
      </c>
      <c r="O75" s="479" t="s">
        <v>1668</v>
      </c>
      <c r="P75" s="513" t="s">
        <v>1694</v>
      </c>
      <c r="Q75" s="434" t="s">
        <v>1097</v>
      </c>
      <c r="W75" s="1"/>
      <c r="X75" s="1"/>
      <c r="Y75" s="7"/>
      <c r="Z75" s="7"/>
      <c r="AA75" s="1"/>
      <c r="AB75" s="7"/>
      <c r="AC75" s="7"/>
      <c r="AD75" s="7"/>
      <c r="AE75" s="7"/>
      <c r="AF75" s="7"/>
      <c r="AG75" s="7"/>
      <c r="AH75" s="1"/>
    </row>
    <row r="76">
      <c r="A76" s="445">
        <v>13.0</v>
      </c>
      <c r="B76" s="465" t="s">
        <v>1688</v>
      </c>
      <c r="C76" s="446" t="s">
        <v>1399</v>
      </c>
      <c r="D76" s="434" t="s">
        <v>1695</v>
      </c>
      <c r="E76" s="481" t="s">
        <v>1676</v>
      </c>
      <c r="I76" s="391"/>
      <c r="W76" s="1"/>
      <c r="X76" s="1"/>
      <c r="Y76" s="7"/>
      <c r="Z76" s="7"/>
      <c r="AA76" s="1"/>
      <c r="AB76" s="7"/>
      <c r="AC76" s="7"/>
      <c r="AD76" s="7"/>
      <c r="AE76" s="7"/>
      <c r="AF76" s="7"/>
      <c r="AG76" s="7"/>
      <c r="AH76" s="1"/>
    </row>
    <row r="77">
      <c r="A77" s="445">
        <v>14.0</v>
      </c>
      <c r="B77" s="465" t="s">
        <v>1688</v>
      </c>
      <c r="C77" s="446" t="s">
        <v>1399</v>
      </c>
      <c r="D77" s="434" t="s">
        <v>1696</v>
      </c>
      <c r="E77" s="481" t="s">
        <v>1676</v>
      </c>
      <c r="I77" s="391"/>
      <c r="W77" s="1"/>
      <c r="X77" s="1"/>
      <c r="Y77" s="7"/>
      <c r="Z77" s="7"/>
      <c r="AA77" s="1"/>
      <c r="AB77" s="7"/>
      <c r="AC77" s="7"/>
      <c r="AD77" s="7"/>
      <c r="AE77" s="7"/>
      <c r="AF77" s="7"/>
      <c r="AG77" s="7"/>
      <c r="AH77" s="1"/>
    </row>
    <row r="78">
      <c r="A78" s="445">
        <v>15.0</v>
      </c>
      <c r="B78" s="465" t="s">
        <v>1688</v>
      </c>
      <c r="C78" s="446" t="s">
        <v>1399</v>
      </c>
      <c r="D78" s="434" t="s">
        <v>1697</v>
      </c>
      <c r="E78" s="481" t="s">
        <v>1676</v>
      </c>
      <c r="I78" s="391"/>
      <c r="W78" s="1"/>
      <c r="X78" s="1"/>
      <c r="Y78" s="7"/>
      <c r="Z78" s="7"/>
      <c r="AA78" s="1"/>
      <c r="AB78" s="7"/>
      <c r="AC78" s="7"/>
      <c r="AD78" s="7"/>
      <c r="AE78" s="7"/>
      <c r="AF78" s="7"/>
      <c r="AG78" s="7"/>
      <c r="AH78" s="1"/>
    </row>
    <row r="79">
      <c r="A79" s="445">
        <v>16.0</v>
      </c>
      <c r="B79" s="465" t="s">
        <v>1688</v>
      </c>
      <c r="C79" s="446" t="s">
        <v>1399</v>
      </c>
      <c r="D79" s="434" t="s">
        <v>1698</v>
      </c>
      <c r="E79" s="481" t="s">
        <v>1676</v>
      </c>
      <c r="I79" s="391"/>
      <c r="W79" s="1"/>
      <c r="X79" s="1"/>
      <c r="Y79" s="7"/>
      <c r="Z79" s="7"/>
      <c r="AA79" s="1"/>
      <c r="AB79" s="7"/>
      <c r="AC79" s="7"/>
      <c r="AD79" s="7"/>
      <c r="AE79" s="7"/>
      <c r="AF79" s="7"/>
      <c r="AG79" s="7"/>
      <c r="AH79" s="1"/>
    </row>
    <row r="80">
      <c r="A80" s="445">
        <v>17.0</v>
      </c>
      <c r="B80" s="465" t="s">
        <v>1688</v>
      </c>
      <c r="C80" s="446" t="s">
        <v>1399</v>
      </c>
      <c r="D80" s="434" t="s">
        <v>1699</v>
      </c>
      <c r="E80" s="481" t="s">
        <v>1676</v>
      </c>
      <c r="I80" s="391"/>
      <c r="W80" s="1"/>
      <c r="X80" s="1"/>
      <c r="Y80" s="7"/>
      <c r="Z80" s="7"/>
      <c r="AA80" s="1"/>
      <c r="AB80" s="7"/>
      <c r="AC80" s="7"/>
      <c r="AD80" s="7"/>
      <c r="AE80" s="7"/>
      <c r="AF80" s="7"/>
      <c r="AG80" s="7"/>
      <c r="AH80" s="1"/>
    </row>
    <row r="81">
      <c r="A81" s="445">
        <v>18.0</v>
      </c>
      <c r="B81" s="465" t="s">
        <v>1688</v>
      </c>
      <c r="C81" s="446" t="s">
        <v>1399</v>
      </c>
      <c r="D81" s="434" t="s">
        <v>1700</v>
      </c>
      <c r="E81" s="481" t="s">
        <v>1676</v>
      </c>
      <c r="I81" s="391"/>
      <c r="W81" s="1"/>
      <c r="X81" s="1"/>
      <c r="Y81" s="7"/>
      <c r="Z81" s="7"/>
      <c r="AA81" s="1"/>
      <c r="AB81" s="7"/>
      <c r="AC81" s="7"/>
      <c r="AD81" s="7"/>
      <c r="AE81" s="7"/>
      <c r="AF81" s="7"/>
      <c r="AG81" s="7"/>
      <c r="AH81" s="1"/>
    </row>
    <row r="82">
      <c r="A82" s="445">
        <v>19.0</v>
      </c>
      <c r="B82" s="465" t="s">
        <v>554</v>
      </c>
      <c r="C82" s="428" t="s">
        <v>1385</v>
      </c>
      <c r="D82" s="434" t="s">
        <v>1701</v>
      </c>
      <c r="E82" s="481" t="s">
        <v>1676</v>
      </c>
      <c r="I82" s="391"/>
      <c r="W82" s="1"/>
      <c r="X82" s="1"/>
      <c r="Y82" s="7"/>
      <c r="Z82" s="7"/>
      <c r="AA82" s="1"/>
      <c r="AB82" s="7"/>
      <c r="AC82" s="7"/>
      <c r="AD82" s="7"/>
      <c r="AE82" s="7"/>
      <c r="AF82" s="7"/>
      <c r="AG82" s="7"/>
      <c r="AH82" s="1"/>
    </row>
    <row r="83">
      <c r="A83" s="445">
        <v>20.0</v>
      </c>
      <c r="B83" s="465" t="s">
        <v>554</v>
      </c>
      <c r="C83" s="428" t="s">
        <v>1385</v>
      </c>
      <c r="D83" s="434" t="s">
        <v>1702</v>
      </c>
      <c r="E83" s="481" t="s">
        <v>1676</v>
      </c>
      <c r="I83" s="391"/>
      <c r="W83" s="1"/>
      <c r="X83" s="1"/>
      <c r="Y83" s="7"/>
      <c r="Z83" s="7"/>
      <c r="AA83" s="1"/>
      <c r="AB83" s="7"/>
      <c r="AC83" s="7"/>
      <c r="AD83" s="7"/>
      <c r="AE83" s="7"/>
      <c r="AF83" s="7"/>
      <c r="AG83" s="7"/>
      <c r="AH83" s="1"/>
    </row>
    <row r="84">
      <c r="A84" s="445">
        <v>21.0</v>
      </c>
      <c r="B84" s="465" t="s">
        <v>554</v>
      </c>
      <c r="C84" s="428" t="s">
        <v>1385</v>
      </c>
      <c r="D84" s="434" t="s">
        <v>1703</v>
      </c>
      <c r="E84" s="481" t="s">
        <v>1676</v>
      </c>
      <c r="I84" s="391"/>
      <c r="W84" s="1"/>
      <c r="X84" s="1"/>
      <c r="Y84" s="7"/>
      <c r="Z84" s="7"/>
      <c r="AA84" s="1"/>
      <c r="AB84" s="7"/>
      <c r="AC84" s="7"/>
      <c r="AD84" s="7"/>
      <c r="AE84" s="7"/>
      <c r="AF84" s="7"/>
      <c r="AG84" s="7"/>
      <c r="AH84" s="1"/>
    </row>
    <row r="85">
      <c r="A85" s="445">
        <v>22.0</v>
      </c>
      <c r="B85" s="465" t="s">
        <v>554</v>
      </c>
      <c r="C85" s="428" t="s">
        <v>1385</v>
      </c>
      <c r="D85" s="434" t="s">
        <v>1704</v>
      </c>
      <c r="E85" s="481" t="s">
        <v>1676</v>
      </c>
      <c r="I85" s="391"/>
      <c r="W85" s="1"/>
      <c r="X85" s="1"/>
      <c r="Y85" s="7"/>
      <c r="Z85" s="7"/>
      <c r="AA85" s="1"/>
      <c r="AB85" s="7"/>
      <c r="AC85" s="7"/>
      <c r="AD85" s="7"/>
      <c r="AE85" s="7"/>
      <c r="AF85" s="7"/>
      <c r="AG85" s="7"/>
      <c r="AH85" s="1"/>
    </row>
    <row r="86">
      <c r="A86" s="445">
        <v>23.0</v>
      </c>
      <c r="B86" s="465" t="s">
        <v>554</v>
      </c>
      <c r="C86" s="428" t="s">
        <v>1385</v>
      </c>
      <c r="D86" s="434" t="s">
        <v>1705</v>
      </c>
      <c r="E86" s="481" t="s">
        <v>1676</v>
      </c>
      <c r="I86" s="391"/>
      <c r="W86" s="1"/>
      <c r="X86" s="1"/>
      <c r="Y86" s="7"/>
      <c r="Z86" s="7"/>
      <c r="AA86" s="1"/>
      <c r="AB86" s="7"/>
      <c r="AC86" s="7"/>
      <c r="AD86" s="7"/>
      <c r="AE86" s="7"/>
      <c r="AF86" s="7"/>
      <c r="AG86" s="7"/>
      <c r="AH86" s="1"/>
    </row>
    <row r="87">
      <c r="A87" s="445">
        <v>24.0</v>
      </c>
      <c r="B87" s="465" t="s">
        <v>554</v>
      </c>
      <c r="C87" s="428" t="s">
        <v>1385</v>
      </c>
      <c r="D87" s="434" t="s">
        <v>1706</v>
      </c>
      <c r="E87" s="481" t="s">
        <v>1676</v>
      </c>
      <c r="I87" s="391"/>
      <c r="W87" s="1"/>
      <c r="X87" s="1"/>
      <c r="Y87" s="7"/>
      <c r="Z87" s="7"/>
      <c r="AA87" s="1"/>
      <c r="AB87" s="7"/>
      <c r="AC87" s="7"/>
      <c r="AD87" s="7"/>
      <c r="AE87" s="7"/>
      <c r="AF87" s="7"/>
      <c r="AG87" s="7"/>
      <c r="AH87" s="1"/>
    </row>
    <row r="88">
      <c r="A88" s="445">
        <v>25.0</v>
      </c>
      <c r="B88" s="465"/>
      <c r="C88" s="465"/>
      <c r="D88" s="434" t="s">
        <v>1707</v>
      </c>
      <c r="E88" s="481" t="s">
        <v>1676</v>
      </c>
      <c r="I88" s="391"/>
      <c r="W88" s="1"/>
      <c r="X88" s="1"/>
      <c r="Y88" s="7"/>
      <c r="Z88" s="7"/>
      <c r="AA88" s="1"/>
      <c r="AB88" s="7"/>
      <c r="AC88" s="7"/>
      <c r="AD88" s="7"/>
      <c r="AE88" s="7"/>
      <c r="AF88" s="7"/>
      <c r="AG88" s="7"/>
      <c r="AH88" s="1"/>
    </row>
    <row r="89">
      <c r="A89" s="445">
        <v>26.0</v>
      </c>
      <c r="B89" s="465"/>
      <c r="C89" s="465"/>
      <c r="D89" s="434" t="s">
        <v>1708</v>
      </c>
      <c r="E89" s="481" t="s">
        <v>1676</v>
      </c>
      <c r="I89" s="391"/>
      <c r="W89" s="1"/>
      <c r="X89" s="1"/>
      <c r="Y89" s="7"/>
      <c r="Z89" s="7"/>
      <c r="AA89" s="1"/>
      <c r="AB89" s="7"/>
      <c r="AC89" s="7"/>
      <c r="AD89" s="7"/>
      <c r="AE89" s="7"/>
      <c r="AF89" s="7"/>
      <c r="AG89" s="7"/>
      <c r="AH89" s="1"/>
    </row>
    <row r="90">
      <c r="A90" s="445">
        <v>27.0</v>
      </c>
      <c r="B90" s="465"/>
      <c r="C90" s="465"/>
      <c r="D90" s="434" t="s">
        <v>1709</v>
      </c>
      <c r="E90" s="481" t="s">
        <v>1676</v>
      </c>
      <c r="I90" s="391"/>
      <c r="W90" s="1"/>
      <c r="X90" s="1"/>
      <c r="Y90" s="7"/>
      <c r="Z90" s="7"/>
      <c r="AA90" s="1"/>
      <c r="AB90" s="7"/>
      <c r="AC90" s="7"/>
      <c r="AD90" s="7"/>
      <c r="AE90" s="7"/>
      <c r="AF90" s="7"/>
      <c r="AG90" s="7"/>
      <c r="AH90" s="1"/>
    </row>
    <row r="91">
      <c r="A91" s="445">
        <v>28.0</v>
      </c>
      <c r="B91" s="465"/>
      <c r="C91" s="465"/>
      <c r="D91" s="434" t="s">
        <v>1710</v>
      </c>
      <c r="E91" s="481" t="s">
        <v>1676</v>
      </c>
      <c r="I91" s="391"/>
      <c r="W91" s="1"/>
      <c r="X91" s="1"/>
      <c r="Y91" s="7"/>
      <c r="Z91" s="7"/>
      <c r="AA91" s="1"/>
      <c r="AB91" s="7"/>
      <c r="AC91" s="7"/>
      <c r="AD91" s="7"/>
      <c r="AE91" s="7"/>
      <c r="AF91" s="7"/>
      <c r="AG91" s="7"/>
      <c r="AH91" s="1"/>
    </row>
    <row r="92">
      <c r="A92" s="445">
        <v>29.0</v>
      </c>
      <c r="B92" s="465"/>
      <c r="C92" s="465"/>
      <c r="D92" s="434" t="s">
        <v>1711</v>
      </c>
      <c r="E92" s="481" t="s">
        <v>1676</v>
      </c>
      <c r="I92" s="391"/>
      <c r="W92" s="1"/>
      <c r="X92" s="1"/>
      <c r="Y92" s="7"/>
      <c r="Z92" s="7"/>
      <c r="AA92" s="1"/>
      <c r="AB92" s="7"/>
      <c r="AC92" s="7"/>
      <c r="AD92" s="7"/>
      <c r="AE92" s="7"/>
      <c r="AF92" s="7"/>
      <c r="AG92" s="7"/>
      <c r="AH92" s="1"/>
    </row>
    <row r="93">
      <c r="A93" s="445">
        <v>30.0</v>
      </c>
      <c r="B93" s="465"/>
      <c r="C93" s="465"/>
      <c r="D93" s="434" t="s">
        <v>1712</v>
      </c>
      <c r="E93" s="481" t="s">
        <v>1676</v>
      </c>
      <c r="I93" s="391"/>
      <c r="W93" s="1"/>
      <c r="X93" s="1"/>
      <c r="Y93" s="7"/>
      <c r="Z93" s="7"/>
      <c r="AA93" s="1"/>
      <c r="AB93" s="7"/>
      <c r="AC93" s="7"/>
      <c r="AD93" s="7"/>
      <c r="AE93" s="7"/>
      <c r="AF93" s="7"/>
      <c r="AG93" s="7"/>
      <c r="AH93" s="1"/>
    </row>
    <row r="94">
      <c r="A94" s="445">
        <v>31.0</v>
      </c>
      <c r="B94" s="465"/>
      <c r="C94" s="465"/>
      <c r="D94" s="434" t="s">
        <v>1713</v>
      </c>
      <c r="E94" s="481" t="s">
        <v>1676</v>
      </c>
      <c r="I94" s="391"/>
      <c r="W94" s="1"/>
      <c r="X94" s="1"/>
      <c r="Y94" s="7"/>
      <c r="Z94" s="7"/>
      <c r="AA94" s="1"/>
      <c r="AB94" s="7"/>
      <c r="AC94" s="7"/>
      <c r="AD94" s="7"/>
      <c r="AE94" s="7"/>
      <c r="AF94" s="7"/>
      <c r="AG94" s="7"/>
      <c r="AH94" s="1"/>
    </row>
    <row r="95">
      <c r="A95" s="445">
        <v>32.0</v>
      </c>
      <c r="B95" s="465"/>
      <c r="C95" s="465"/>
      <c r="D95" s="434" t="s">
        <v>1714</v>
      </c>
      <c r="E95" s="481" t="s">
        <v>1676</v>
      </c>
      <c r="I95" s="391"/>
      <c r="W95" s="1"/>
      <c r="X95" s="1"/>
      <c r="Y95" s="7"/>
      <c r="Z95" s="7"/>
      <c r="AA95" s="1"/>
      <c r="AB95" s="7"/>
      <c r="AC95" s="7"/>
      <c r="AD95" s="7"/>
      <c r="AE95" s="7"/>
      <c r="AF95" s="7"/>
      <c r="AG95" s="7"/>
      <c r="AH95" s="1"/>
    </row>
    <row r="96">
      <c r="A96" s="445">
        <v>33.0</v>
      </c>
      <c r="B96" s="465"/>
      <c r="C96" s="465"/>
      <c r="D96" s="434" t="s">
        <v>1715</v>
      </c>
      <c r="E96" s="481" t="s">
        <v>1676</v>
      </c>
      <c r="I96" s="391"/>
      <c r="W96" s="1"/>
      <c r="X96" s="1"/>
      <c r="Y96" s="7"/>
      <c r="Z96" s="7"/>
      <c r="AA96" s="1"/>
      <c r="AB96" s="7"/>
      <c r="AC96" s="7"/>
      <c r="AD96" s="7"/>
      <c r="AE96" s="7"/>
      <c r="AF96" s="7"/>
      <c r="AG96" s="7"/>
      <c r="AH96" s="1"/>
    </row>
    <row r="97">
      <c r="A97" s="445">
        <v>34.0</v>
      </c>
      <c r="B97" s="465"/>
      <c r="C97" s="465"/>
      <c r="D97" s="434" t="s">
        <v>1716</v>
      </c>
      <c r="E97" s="434" t="s">
        <v>1717</v>
      </c>
      <c r="I97" s="391"/>
      <c r="W97" s="1"/>
      <c r="X97" s="1"/>
      <c r="Y97" s="7"/>
      <c r="Z97" s="7"/>
      <c r="AA97" s="1"/>
      <c r="AB97" s="7"/>
      <c r="AC97" s="7"/>
      <c r="AD97" s="7"/>
      <c r="AE97" s="7"/>
      <c r="AF97" s="7"/>
      <c r="AG97" s="7"/>
      <c r="AH97" s="1"/>
    </row>
    <row r="98">
      <c r="A98" s="445">
        <v>35.0</v>
      </c>
      <c r="B98" s="465"/>
      <c r="C98" s="465"/>
      <c r="D98" s="434" t="s">
        <v>1718</v>
      </c>
      <c r="E98" s="434" t="s">
        <v>1717</v>
      </c>
      <c r="I98" s="391"/>
      <c r="W98" s="1"/>
      <c r="X98" s="1"/>
      <c r="Y98" s="7"/>
      <c r="Z98" s="7"/>
      <c r="AA98" s="1"/>
      <c r="AB98" s="7"/>
      <c r="AC98" s="7"/>
      <c r="AD98" s="7"/>
      <c r="AE98" s="7"/>
      <c r="AF98" s="7"/>
      <c r="AG98" s="7"/>
      <c r="AH98" s="1"/>
    </row>
    <row r="99">
      <c r="A99" s="445">
        <v>36.0</v>
      </c>
      <c r="B99" s="465"/>
      <c r="C99" s="465"/>
      <c r="D99" s="434" t="s">
        <v>1719</v>
      </c>
      <c r="E99" s="434" t="s">
        <v>1717</v>
      </c>
      <c r="I99" s="391"/>
      <c r="W99" s="1"/>
      <c r="X99" s="1"/>
      <c r="Y99" s="7"/>
      <c r="Z99" s="7"/>
      <c r="AA99" s="1"/>
      <c r="AB99" s="7"/>
      <c r="AC99" s="7"/>
      <c r="AD99" s="7"/>
      <c r="AE99" s="7"/>
      <c r="AF99" s="7"/>
      <c r="AG99" s="7"/>
      <c r="AH99" s="1"/>
    </row>
    <row r="100">
      <c r="A100" s="445">
        <v>37.0</v>
      </c>
      <c r="B100" s="465"/>
      <c r="C100" s="465"/>
      <c r="D100" s="434" t="s">
        <v>1720</v>
      </c>
      <c r="E100" s="434" t="s">
        <v>1717</v>
      </c>
      <c r="I100" s="391"/>
      <c r="W100" s="1"/>
      <c r="X100" s="1"/>
      <c r="Y100" s="7"/>
      <c r="Z100" s="7"/>
      <c r="AA100" s="1"/>
      <c r="AB100" s="7"/>
      <c r="AC100" s="7"/>
      <c r="AD100" s="7"/>
      <c r="AE100" s="7"/>
      <c r="AF100" s="7"/>
      <c r="AG100" s="7"/>
      <c r="AH100" s="1"/>
    </row>
    <row r="101">
      <c r="A101" s="445">
        <v>38.0</v>
      </c>
      <c r="B101" s="465"/>
      <c r="C101" s="465"/>
      <c r="D101" s="434" t="s">
        <v>1721</v>
      </c>
      <c r="E101" s="434" t="s">
        <v>1717</v>
      </c>
      <c r="I101" s="391"/>
      <c r="W101" s="1"/>
      <c r="X101" s="1"/>
      <c r="Y101" s="7"/>
      <c r="Z101" s="7"/>
      <c r="AA101" s="1"/>
      <c r="AB101" s="7"/>
      <c r="AC101" s="7"/>
      <c r="AD101" s="7"/>
      <c r="AE101" s="7"/>
      <c r="AF101" s="7"/>
      <c r="AG101" s="7"/>
      <c r="AH101" s="1"/>
    </row>
    <row r="102">
      <c r="A102" s="445">
        <v>39.0</v>
      </c>
      <c r="B102" s="465"/>
      <c r="C102" s="465"/>
      <c r="D102" s="434" t="s">
        <v>1722</v>
      </c>
      <c r="E102" s="434" t="s">
        <v>1723</v>
      </c>
      <c r="I102" s="391"/>
      <c r="W102" s="1"/>
      <c r="X102" s="1"/>
      <c r="Y102" s="7"/>
      <c r="Z102" s="7"/>
      <c r="AA102" s="1"/>
      <c r="AB102" s="7"/>
      <c r="AC102" s="7"/>
      <c r="AD102" s="7"/>
      <c r="AE102" s="7"/>
      <c r="AF102" s="7"/>
      <c r="AG102" s="7"/>
      <c r="AH102" s="1"/>
    </row>
    <row r="103">
      <c r="A103" s="445">
        <v>40.0</v>
      </c>
      <c r="B103" s="465"/>
      <c r="C103" s="465"/>
      <c r="D103" s="434" t="s">
        <v>1724</v>
      </c>
      <c r="E103" s="434" t="s">
        <v>1723</v>
      </c>
      <c r="I103" s="391"/>
      <c r="W103" s="1"/>
      <c r="X103" s="1"/>
      <c r="Y103" s="7"/>
      <c r="Z103" s="7"/>
      <c r="AA103" s="1"/>
      <c r="AB103" s="7"/>
      <c r="AC103" s="7"/>
      <c r="AD103" s="7"/>
      <c r="AE103" s="7"/>
      <c r="AF103" s="7"/>
      <c r="AG103" s="7"/>
      <c r="AH103" s="1"/>
    </row>
    <row r="104">
      <c r="A104" s="445">
        <v>41.0</v>
      </c>
      <c r="B104" s="465"/>
      <c r="C104" s="465"/>
      <c r="D104" s="434" t="s">
        <v>1725</v>
      </c>
      <c r="E104" s="434" t="s">
        <v>1723</v>
      </c>
      <c r="I104" s="391"/>
      <c r="W104" s="1"/>
      <c r="X104" s="1"/>
      <c r="Y104" s="7"/>
      <c r="Z104" s="7"/>
      <c r="AA104" s="1"/>
      <c r="AB104" s="7"/>
      <c r="AC104" s="7"/>
      <c r="AD104" s="7"/>
      <c r="AE104" s="7"/>
      <c r="AF104" s="7"/>
      <c r="AG104" s="7"/>
      <c r="AH104" s="1"/>
    </row>
    <row r="105">
      <c r="A105" s="445">
        <v>42.0</v>
      </c>
      <c r="B105" s="465"/>
      <c r="C105" s="465"/>
      <c r="D105" s="434" t="s">
        <v>1726</v>
      </c>
      <c r="E105" s="434" t="s">
        <v>1723</v>
      </c>
      <c r="I105" s="391"/>
      <c r="W105" s="1"/>
      <c r="X105" s="1"/>
      <c r="Y105" s="7"/>
      <c r="Z105" s="7"/>
      <c r="AA105" s="1"/>
      <c r="AB105" s="7"/>
      <c r="AC105" s="7"/>
      <c r="AD105" s="7"/>
      <c r="AE105" s="7"/>
      <c r="AF105" s="7"/>
      <c r="AG105" s="7"/>
      <c r="AH105" s="1"/>
    </row>
    <row r="106">
      <c r="A106" s="445">
        <v>43.0</v>
      </c>
      <c r="B106" s="465"/>
      <c r="C106" s="465"/>
      <c r="D106" s="434" t="s">
        <v>1727</v>
      </c>
      <c r="E106" s="434" t="s">
        <v>1723</v>
      </c>
      <c r="I106" s="391"/>
      <c r="W106" s="1"/>
      <c r="X106" s="1"/>
      <c r="Y106" s="7"/>
      <c r="Z106" s="7"/>
      <c r="AA106" s="1"/>
      <c r="AB106" s="7"/>
      <c r="AC106" s="7"/>
      <c r="AD106" s="7"/>
      <c r="AE106" s="7"/>
      <c r="AF106" s="7"/>
      <c r="AG106" s="7"/>
      <c r="AH106" s="1"/>
    </row>
    <row r="107">
      <c r="A107" s="445">
        <v>44.0</v>
      </c>
      <c r="B107" s="465"/>
      <c r="C107" s="465"/>
      <c r="D107" s="434" t="s">
        <v>1728</v>
      </c>
      <c r="E107" s="434" t="s">
        <v>1723</v>
      </c>
      <c r="I107" s="391"/>
      <c r="W107" s="1"/>
      <c r="X107" s="1"/>
      <c r="Y107" s="7"/>
      <c r="Z107" s="7"/>
      <c r="AA107" s="1"/>
      <c r="AB107" s="7"/>
      <c r="AC107" s="7"/>
      <c r="AD107" s="7"/>
      <c r="AE107" s="7"/>
      <c r="AF107" s="7"/>
      <c r="AG107" s="7"/>
      <c r="AH107" s="1"/>
    </row>
    <row r="108">
      <c r="A108" s="445">
        <v>45.0</v>
      </c>
      <c r="B108" s="465"/>
      <c r="C108" s="465"/>
      <c r="D108" s="434" t="s">
        <v>1729</v>
      </c>
      <c r="E108" s="434" t="s">
        <v>1723</v>
      </c>
      <c r="I108" s="391"/>
      <c r="W108" s="1"/>
      <c r="X108" s="1"/>
      <c r="Y108" s="7"/>
      <c r="Z108" s="7"/>
      <c r="AA108" s="1"/>
      <c r="AB108" s="7"/>
      <c r="AC108" s="7"/>
      <c r="AD108" s="7"/>
      <c r="AE108" s="7"/>
      <c r="AF108" s="7"/>
      <c r="AG108" s="7"/>
      <c r="AH108" s="1"/>
    </row>
    <row r="109">
      <c r="A109" s="445">
        <v>46.0</v>
      </c>
      <c r="B109" s="465"/>
      <c r="C109" s="465"/>
      <c r="D109" s="434" t="s">
        <v>1730</v>
      </c>
      <c r="E109" s="434" t="s">
        <v>1723</v>
      </c>
      <c r="I109" s="391"/>
      <c r="W109" s="1"/>
      <c r="X109" s="1"/>
      <c r="Y109" s="7"/>
      <c r="Z109" s="7"/>
      <c r="AA109" s="1"/>
      <c r="AB109" s="7"/>
      <c r="AC109" s="7"/>
      <c r="AD109" s="7"/>
      <c r="AE109" s="7"/>
      <c r="AF109" s="7"/>
      <c r="AG109" s="7"/>
      <c r="AH109" s="1"/>
    </row>
    <row r="110">
      <c r="A110" s="445">
        <v>47.0</v>
      </c>
      <c r="B110" s="465"/>
      <c r="C110" s="465"/>
      <c r="D110" s="434" t="s">
        <v>1731</v>
      </c>
      <c r="E110" s="434" t="s">
        <v>1723</v>
      </c>
      <c r="I110" s="391"/>
      <c r="W110" s="1"/>
      <c r="X110" s="1"/>
      <c r="Y110" s="7"/>
      <c r="Z110" s="7"/>
      <c r="AA110" s="1"/>
      <c r="AB110" s="7"/>
      <c r="AC110" s="7"/>
      <c r="AD110" s="7"/>
      <c r="AE110" s="7"/>
      <c r="AF110" s="7"/>
      <c r="AG110" s="7"/>
      <c r="AH110" s="1"/>
    </row>
    <row r="111">
      <c r="I111" s="391"/>
      <c r="W111" s="1"/>
      <c r="X111" s="1"/>
      <c r="Y111" s="7"/>
      <c r="Z111" s="7"/>
      <c r="AA111" s="1"/>
      <c r="AB111" s="7"/>
      <c r="AC111" s="7"/>
      <c r="AD111" s="7"/>
      <c r="AE111" s="7"/>
      <c r="AF111" s="7"/>
      <c r="AG111" s="7"/>
      <c r="AH111" s="1"/>
    </row>
    <row r="112">
      <c r="I112" s="391"/>
      <c r="W112" s="1"/>
      <c r="X112" s="1"/>
      <c r="Y112" s="7"/>
      <c r="Z112" s="7"/>
      <c r="AA112" s="1"/>
      <c r="AB112" s="7"/>
      <c r="AC112" s="7"/>
      <c r="AD112" s="7"/>
      <c r="AE112" s="7"/>
      <c r="AF112" s="7"/>
      <c r="AG112" s="7"/>
      <c r="AH112" s="1"/>
    </row>
    <row r="113">
      <c r="I113" s="391"/>
      <c r="W113" s="1"/>
      <c r="X113" s="1"/>
      <c r="Y113" s="7"/>
      <c r="Z113" s="7"/>
      <c r="AA113" s="1"/>
      <c r="AB113" s="7"/>
      <c r="AC113" s="7"/>
      <c r="AD113" s="7"/>
      <c r="AE113" s="7"/>
      <c r="AF113" s="7"/>
      <c r="AG113" s="7"/>
      <c r="AH113" s="1"/>
    </row>
    <row r="114">
      <c r="I114" s="391"/>
      <c r="W114" s="1"/>
      <c r="X114" s="1"/>
      <c r="Y114" s="7"/>
      <c r="Z114" s="7"/>
      <c r="AA114" s="1"/>
      <c r="AB114" s="7"/>
      <c r="AC114" s="7"/>
      <c r="AD114" s="7"/>
      <c r="AE114" s="7"/>
      <c r="AF114" s="7"/>
      <c r="AG114" s="7"/>
      <c r="AH114" s="1"/>
    </row>
    <row r="115">
      <c r="I115" s="391"/>
      <c r="W115" s="1"/>
      <c r="X115" s="1"/>
      <c r="Y115" s="7"/>
      <c r="Z115" s="7"/>
      <c r="AA115" s="1"/>
      <c r="AB115" s="7"/>
      <c r="AC115" s="7"/>
      <c r="AD115" s="7"/>
      <c r="AE115" s="7"/>
      <c r="AF115" s="7"/>
      <c r="AG115" s="7"/>
      <c r="AH115" s="1"/>
    </row>
    <row r="116">
      <c r="I116" s="391"/>
      <c r="W116" s="1"/>
      <c r="X116" s="1"/>
      <c r="Y116" s="7"/>
      <c r="Z116" s="7"/>
      <c r="AA116" s="1"/>
      <c r="AB116" s="7"/>
      <c r="AC116" s="7"/>
      <c r="AD116" s="7"/>
      <c r="AE116" s="7"/>
      <c r="AF116" s="7"/>
      <c r="AG116" s="7"/>
      <c r="AH116" s="1"/>
    </row>
    <row r="117">
      <c r="I117" s="391"/>
      <c r="W117" s="1"/>
      <c r="X117" s="1"/>
      <c r="Y117" s="7"/>
      <c r="Z117" s="7"/>
      <c r="AA117" s="1"/>
      <c r="AB117" s="7"/>
      <c r="AC117" s="7"/>
      <c r="AD117" s="7"/>
      <c r="AE117" s="7"/>
      <c r="AF117" s="7"/>
      <c r="AG117" s="7"/>
      <c r="AH117" s="1"/>
    </row>
    <row r="118">
      <c r="I118" s="391"/>
      <c r="W118" s="1"/>
      <c r="X118" s="1"/>
      <c r="Y118" s="7"/>
      <c r="Z118" s="7"/>
      <c r="AA118" s="1"/>
      <c r="AB118" s="7"/>
      <c r="AC118" s="7"/>
      <c r="AD118" s="7"/>
      <c r="AE118" s="7"/>
      <c r="AF118" s="7"/>
      <c r="AG118" s="7"/>
      <c r="AH118" s="1"/>
    </row>
    <row r="119">
      <c r="I119" s="391"/>
      <c r="W119" s="1"/>
      <c r="X119" s="1"/>
      <c r="Y119" s="7"/>
      <c r="Z119" s="7"/>
      <c r="AA119" s="1"/>
      <c r="AB119" s="7"/>
      <c r="AC119" s="7"/>
      <c r="AD119" s="7"/>
      <c r="AE119" s="7"/>
      <c r="AF119" s="7"/>
      <c r="AG119" s="7"/>
      <c r="AH119" s="1"/>
    </row>
    <row r="120">
      <c r="I120" s="391"/>
      <c r="W120" s="1"/>
      <c r="X120" s="1"/>
      <c r="Y120" s="7"/>
      <c r="Z120" s="7"/>
      <c r="AA120" s="1"/>
      <c r="AB120" s="7"/>
      <c r="AC120" s="7"/>
      <c r="AD120" s="7"/>
      <c r="AE120" s="7"/>
      <c r="AF120" s="7"/>
      <c r="AG120" s="7"/>
      <c r="AH120" s="1"/>
    </row>
    <row r="121">
      <c r="I121" s="391"/>
      <c r="W121" s="1"/>
      <c r="X121" s="1"/>
      <c r="Y121" s="7"/>
      <c r="Z121" s="7"/>
      <c r="AA121" s="1"/>
      <c r="AB121" s="7"/>
      <c r="AC121" s="7"/>
      <c r="AD121" s="7"/>
      <c r="AE121" s="7"/>
      <c r="AF121" s="7"/>
      <c r="AG121" s="7"/>
      <c r="AH121" s="1"/>
    </row>
    <row r="122">
      <c r="I122" s="391"/>
      <c r="W122" s="1"/>
      <c r="X122" s="1"/>
      <c r="Y122" s="7"/>
      <c r="Z122" s="7"/>
      <c r="AA122" s="1"/>
      <c r="AB122" s="7"/>
      <c r="AC122" s="7"/>
      <c r="AD122" s="7"/>
      <c r="AE122" s="7"/>
      <c r="AF122" s="7"/>
      <c r="AG122" s="7"/>
      <c r="AH122" s="1"/>
    </row>
    <row r="123">
      <c r="I123" s="391"/>
      <c r="W123" s="1"/>
      <c r="X123" s="1"/>
      <c r="Y123" s="7"/>
      <c r="Z123" s="7"/>
      <c r="AA123" s="1"/>
      <c r="AB123" s="7"/>
      <c r="AC123" s="7"/>
      <c r="AD123" s="7"/>
      <c r="AE123" s="7"/>
      <c r="AF123" s="7"/>
      <c r="AG123" s="7"/>
      <c r="AH123" s="1"/>
    </row>
    <row r="124">
      <c r="I124" s="391"/>
      <c r="W124" s="1"/>
      <c r="X124" s="1"/>
      <c r="Y124" s="7"/>
      <c r="Z124" s="7"/>
      <c r="AA124" s="1"/>
      <c r="AB124" s="7"/>
      <c r="AC124" s="7"/>
      <c r="AD124" s="7"/>
      <c r="AE124" s="7"/>
      <c r="AF124" s="7"/>
      <c r="AG124" s="7"/>
      <c r="AH124" s="1"/>
    </row>
    <row r="125">
      <c r="I125" s="391"/>
      <c r="W125" s="1"/>
      <c r="X125" s="1"/>
      <c r="Y125" s="7"/>
      <c r="Z125" s="7"/>
      <c r="AA125" s="1"/>
      <c r="AB125" s="7"/>
      <c r="AC125" s="7"/>
      <c r="AD125" s="7"/>
      <c r="AE125" s="7"/>
      <c r="AF125" s="7"/>
      <c r="AG125" s="7"/>
      <c r="AH125" s="1"/>
    </row>
    <row r="126">
      <c r="I126" s="391"/>
      <c r="W126" s="1"/>
      <c r="X126" s="1"/>
      <c r="Y126" s="7"/>
      <c r="Z126" s="7"/>
      <c r="AA126" s="1"/>
      <c r="AB126" s="7"/>
      <c r="AC126" s="7"/>
      <c r="AD126" s="7"/>
      <c r="AE126" s="7"/>
      <c r="AF126" s="7"/>
      <c r="AG126" s="7"/>
      <c r="AH126" s="1"/>
    </row>
    <row r="127">
      <c r="I127" s="391"/>
      <c r="W127" s="1"/>
      <c r="X127" s="1"/>
      <c r="Y127" s="7"/>
      <c r="Z127" s="7"/>
      <c r="AA127" s="1"/>
      <c r="AB127" s="7"/>
      <c r="AC127" s="7"/>
      <c r="AD127" s="7"/>
      <c r="AE127" s="7"/>
      <c r="AF127" s="7"/>
      <c r="AG127" s="7"/>
      <c r="AH127" s="1"/>
    </row>
    <row r="128">
      <c r="I128" s="391"/>
      <c r="W128" s="1"/>
      <c r="X128" s="1"/>
      <c r="Y128" s="7"/>
      <c r="Z128" s="7"/>
      <c r="AA128" s="1"/>
      <c r="AB128" s="7"/>
      <c r="AC128" s="7"/>
      <c r="AD128" s="7"/>
      <c r="AE128" s="7"/>
      <c r="AF128" s="7"/>
      <c r="AG128" s="7"/>
      <c r="AH128" s="1"/>
    </row>
    <row r="129">
      <c r="I129" s="391"/>
      <c r="W129" s="1"/>
      <c r="X129" s="1"/>
      <c r="Y129" s="7"/>
      <c r="Z129" s="7"/>
      <c r="AA129" s="1"/>
      <c r="AB129" s="7"/>
      <c r="AC129" s="7"/>
      <c r="AD129" s="7"/>
      <c r="AE129" s="7"/>
      <c r="AF129" s="7"/>
      <c r="AG129" s="7"/>
      <c r="AH129" s="1"/>
    </row>
    <row r="130">
      <c r="I130" s="391"/>
      <c r="W130" s="1"/>
      <c r="X130" s="1"/>
      <c r="Y130" s="7"/>
      <c r="Z130" s="7"/>
      <c r="AA130" s="1"/>
      <c r="AB130" s="7"/>
      <c r="AC130" s="7"/>
      <c r="AD130" s="7"/>
      <c r="AE130" s="7"/>
      <c r="AF130" s="7"/>
      <c r="AG130" s="7"/>
      <c r="AH130" s="1"/>
    </row>
    <row r="131">
      <c r="I131" s="391"/>
      <c r="W131" s="1"/>
      <c r="X131" s="1"/>
      <c r="Y131" s="7"/>
      <c r="Z131" s="7"/>
      <c r="AA131" s="1"/>
      <c r="AB131" s="7"/>
      <c r="AC131" s="7"/>
      <c r="AD131" s="7"/>
      <c r="AE131" s="7"/>
      <c r="AF131" s="7"/>
      <c r="AG131" s="7"/>
      <c r="AH131" s="1"/>
    </row>
    <row r="132">
      <c r="I132" s="391"/>
      <c r="W132" s="1"/>
      <c r="X132" s="1"/>
      <c r="Y132" s="7"/>
      <c r="Z132" s="7"/>
      <c r="AA132" s="1"/>
      <c r="AB132" s="7"/>
      <c r="AC132" s="7"/>
      <c r="AD132" s="7"/>
      <c r="AE132" s="7"/>
      <c r="AF132" s="7"/>
      <c r="AG132" s="7"/>
      <c r="AH132" s="1"/>
    </row>
    <row r="133">
      <c r="I133" s="391"/>
      <c r="W133" s="1"/>
      <c r="X133" s="1"/>
      <c r="Y133" s="7"/>
      <c r="Z133" s="7"/>
      <c r="AA133" s="1"/>
      <c r="AB133" s="7"/>
      <c r="AC133" s="7"/>
      <c r="AD133" s="7"/>
      <c r="AE133" s="7"/>
      <c r="AF133" s="7"/>
      <c r="AG133" s="7"/>
      <c r="AH133" s="1"/>
    </row>
    <row r="134">
      <c r="I134" s="391"/>
      <c r="W134" s="1"/>
      <c r="X134" s="1"/>
      <c r="Y134" s="7"/>
      <c r="Z134" s="7"/>
      <c r="AA134" s="1"/>
      <c r="AB134" s="7"/>
      <c r="AC134" s="7"/>
      <c r="AD134" s="7"/>
      <c r="AE134" s="7"/>
      <c r="AF134" s="7"/>
      <c r="AG134" s="7"/>
      <c r="AH134" s="1"/>
    </row>
    <row r="135">
      <c r="I135" s="391"/>
      <c r="W135" s="1"/>
      <c r="X135" s="1"/>
      <c r="Y135" s="7"/>
      <c r="Z135" s="7"/>
      <c r="AA135" s="1"/>
      <c r="AB135" s="7"/>
      <c r="AC135" s="7"/>
      <c r="AD135" s="7"/>
      <c r="AE135" s="7"/>
      <c r="AF135" s="7"/>
      <c r="AG135" s="7"/>
      <c r="AH135" s="1"/>
    </row>
    <row r="136">
      <c r="I136" s="391"/>
      <c r="W136" s="1"/>
      <c r="X136" s="1"/>
      <c r="Y136" s="7"/>
      <c r="Z136" s="7"/>
      <c r="AA136" s="1"/>
      <c r="AB136" s="7"/>
      <c r="AC136" s="7"/>
      <c r="AD136" s="7"/>
      <c r="AE136" s="7"/>
      <c r="AF136" s="7"/>
      <c r="AG136" s="7"/>
      <c r="AH136" s="1"/>
    </row>
    <row r="137">
      <c r="I137" s="391"/>
      <c r="W137" s="1"/>
      <c r="X137" s="1"/>
      <c r="Y137" s="7"/>
      <c r="Z137" s="7"/>
      <c r="AA137" s="1"/>
      <c r="AB137" s="7"/>
      <c r="AC137" s="7"/>
      <c r="AD137" s="7"/>
      <c r="AE137" s="7"/>
      <c r="AF137" s="7"/>
      <c r="AG137" s="7"/>
      <c r="AH137" s="1"/>
    </row>
    <row r="138">
      <c r="I138" s="391"/>
      <c r="W138" s="1"/>
      <c r="X138" s="1"/>
      <c r="Y138" s="7"/>
      <c r="Z138" s="7"/>
      <c r="AA138" s="1"/>
      <c r="AB138" s="7"/>
      <c r="AC138" s="7"/>
      <c r="AD138" s="7"/>
      <c r="AE138" s="7"/>
      <c r="AF138" s="7"/>
      <c r="AG138" s="7"/>
      <c r="AH138" s="1"/>
    </row>
    <row r="139">
      <c r="I139" s="391"/>
      <c r="W139" s="1"/>
      <c r="X139" s="1"/>
      <c r="Y139" s="7"/>
      <c r="Z139" s="7"/>
      <c r="AA139" s="1"/>
      <c r="AB139" s="7"/>
      <c r="AC139" s="7"/>
      <c r="AD139" s="7"/>
      <c r="AE139" s="7"/>
      <c r="AF139" s="7"/>
      <c r="AG139" s="7"/>
      <c r="AH139" s="1"/>
    </row>
    <row r="140">
      <c r="I140" s="391"/>
      <c r="W140" s="1"/>
      <c r="X140" s="1"/>
      <c r="Y140" s="7"/>
      <c r="Z140" s="7"/>
      <c r="AA140" s="1"/>
      <c r="AB140" s="7"/>
      <c r="AC140" s="7"/>
      <c r="AD140" s="7"/>
      <c r="AE140" s="7"/>
      <c r="AF140" s="7"/>
      <c r="AG140" s="7"/>
      <c r="AH140" s="1"/>
    </row>
    <row r="141">
      <c r="I141" s="391"/>
      <c r="W141" s="1"/>
      <c r="X141" s="1"/>
      <c r="Y141" s="7"/>
      <c r="Z141" s="7"/>
      <c r="AA141" s="1"/>
      <c r="AB141" s="7"/>
      <c r="AC141" s="7"/>
      <c r="AD141" s="7"/>
      <c r="AE141" s="7"/>
      <c r="AF141" s="7"/>
      <c r="AG141" s="7"/>
      <c r="AH141" s="1"/>
    </row>
    <row r="142">
      <c r="I142" s="391"/>
      <c r="W142" s="1"/>
      <c r="X142" s="1"/>
      <c r="Y142" s="7"/>
      <c r="Z142" s="7"/>
      <c r="AA142" s="1"/>
      <c r="AB142" s="7"/>
      <c r="AC142" s="7"/>
      <c r="AD142" s="7"/>
      <c r="AE142" s="7"/>
      <c r="AF142" s="7"/>
      <c r="AG142" s="7"/>
      <c r="AH142" s="1"/>
    </row>
    <row r="143">
      <c r="I143" s="391"/>
      <c r="W143" s="1"/>
      <c r="X143" s="1"/>
      <c r="Y143" s="7"/>
      <c r="Z143" s="7"/>
      <c r="AA143" s="1"/>
      <c r="AB143" s="7"/>
      <c r="AC143" s="7"/>
      <c r="AD143" s="7"/>
      <c r="AE143" s="7"/>
      <c r="AF143" s="7"/>
      <c r="AG143" s="7"/>
      <c r="AH143" s="1"/>
    </row>
    <row r="144">
      <c r="I144" s="391"/>
      <c r="W144" s="1"/>
      <c r="X144" s="1"/>
      <c r="Y144" s="7"/>
      <c r="Z144" s="7"/>
      <c r="AA144" s="1"/>
      <c r="AB144" s="7"/>
      <c r="AC144" s="7"/>
      <c r="AD144" s="7"/>
      <c r="AE144" s="7"/>
      <c r="AF144" s="7"/>
      <c r="AG144" s="7"/>
      <c r="AH144" s="1"/>
    </row>
    <row r="145">
      <c r="I145" s="391"/>
      <c r="W145" s="1"/>
      <c r="X145" s="1"/>
      <c r="Y145" s="7"/>
      <c r="Z145" s="7"/>
      <c r="AA145" s="1"/>
      <c r="AB145" s="7"/>
      <c r="AC145" s="7"/>
      <c r="AD145" s="7"/>
      <c r="AE145" s="7"/>
      <c r="AF145" s="7"/>
      <c r="AG145" s="7"/>
      <c r="AH145" s="1"/>
    </row>
    <row r="146">
      <c r="I146" s="391"/>
      <c r="W146" s="1"/>
      <c r="X146" s="1"/>
      <c r="Y146" s="7"/>
      <c r="Z146" s="7"/>
      <c r="AA146" s="1"/>
      <c r="AB146" s="7"/>
      <c r="AC146" s="7"/>
      <c r="AD146" s="7"/>
      <c r="AE146" s="7"/>
      <c r="AF146" s="7"/>
      <c r="AG146" s="7"/>
      <c r="AH146" s="1"/>
    </row>
    <row r="147">
      <c r="I147" s="391"/>
      <c r="W147" s="1"/>
      <c r="X147" s="1"/>
      <c r="Y147" s="7"/>
      <c r="Z147" s="7"/>
      <c r="AA147" s="1"/>
      <c r="AB147" s="7"/>
      <c r="AC147" s="7"/>
      <c r="AD147" s="7"/>
      <c r="AE147" s="7"/>
      <c r="AF147" s="7"/>
      <c r="AG147" s="7"/>
      <c r="AH147" s="1"/>
    </row>
    <row r="148">
      <c r="I148" s="391"/>
      <c r="W148" s="1"/>
      <c r="X148" s="1"/>
      <c r="Y148" s="7"/>
      <c r="Z148" s="7"/>
      <c r="AA148" s="1"/>
      <c r="AB148" s="7"/>
      <c r="AC148" s="7"/>
      <c r="AD148" s="7"/>
      <c r="AE148" s="7"/>
      <c r="AF148" s="7"/>
      <c r="AG148" s="7"/>
      <c r="AH148" s="1"/>
    </row>
    <row r="149">
      <c r="I149" s="391"/>
      <c r="W149" s="1"/>
      <c r="X149" s="1"/>
      <c r="Y149" s="7"/>
      <c r="Z149" s="7"/>
      <c r="AA149" s="1"/>
      <c r="AB149" s="7"/>
      <c r="AC149" s="7"/>
      <c r="AD149" s="7"/>
      <c r="AE149" s="7"/>
      <c r="AF149" s="7"/>
      <c r="AG149" s="7"/>
      <c r="AH149" s="1"/>
    </row>
    <row r="150">
      <c r="I150" s="391"/>
      <c r="W150" s="1"/>
      <c r="X150" s="1"/>
      <c r="Y150" s="7"/>
      <c r="Z150" s="7"/>
      <c r="AA150" s="1"/>
      <c r="AB150" s="7"/>
      <c r="AC150" s="7"/>
      <c r="AD150" s="7"/>
      <c r="AE150" s="7"/>
      <c r="AF150" s="7"/>
      <c r="AG150" s="7"/>
      <c r="AH150" s="1"/>
    </row>
    <row r="151">
      <c r="I151" s="391"/>
      <c r="W151" s="1"/>
      <c r="X151" s="1"/>
      <c r="Y151" s="7"/>
      <c r="Z151" s="7"/>
      <c r="AA151" s="1"/>
      <c r="AB151" s="7"/>
      <c r="AC151" s="7"/>
      <c r="AD151" s="7"/>
      <c r="AE151" s="7"/>
      <c r="AF151" s="7"/>
      <c r="AG151" s="7"/>
      <c r="AH151" s="1"/>
    </row>
    <row r="152">
      <c r="I152" s="391"/>
      <c r="W152" s="1"/>
      <c r="X152" s="1"/>
      <c r="Y152" s="7"/>
      <c r="Z152" s="7"/>
      <c r="AA152" s="1"/>
      <c r="AB152" s="7"/>
      <c r="AC152" s="7"/>
      <c r="AD152" s="7"/>
      <c r="AE152" s="7"/>
      <c r="AF152" s="7"/>
      <c r="AG152" s="7"/>
      <c r="AH152" s="1"/>
    </row>
    <row r="153">
      <c r="I153" s="391"/>
      <c r="W153" s="1"/>
      <c r="X153" s="1"/>
      <c r="Y153" s="7"/>
      <c r="Z153" s="7"/>
      <c r="AA153" s="1"/>
      <c r="AB153" s="7"/>
      <c r="AC153" s="7"/>
      <c r="AD153" s="7"/>
      <c r="AE153" s="7"/>
      <c r="AF153" s="7"/>
      <c r="AG153" s="7"/>
      <c r="AH153" s="1"/>
    </row>
    <row r="154">
      <c r="I154" s="391"/>
      <c r="W154" s="1"/>
      <c r="X154" s="1"/>
      <c r="Y154" s="7"/>
      <c r="Z154" s="7"/>
      <c r="AA154" s="1"/>
      <c r="AB154" s="7"/>
      <c r="AC154" s="7"/>
      <c r="AD154" s="7"/>
      <c r="AE154" s="7"/>
      <c r="AF154" s="7"/>
      <c r="AG154" s="7"/>
      <c r="AH154" s="1"/>
    </row>
    <row r="155">
      <c r="I155" s="391"/>
      <c r="W155" s="1"/>
      <c r="X155" s="1"/>
      <c r="Y155" s="7"/>
      <c r="Z155" s="7"/>
      <c r="AA155" s="1"/>
      <c r="AB155" s="7"/>
      <c r="AC155" s="7"/>
      <c r="AD155" s="7"/>
      <c r="AE155" s="7"/>
      <c r="AF155" s="7"/>
      <c r="AG155" s="7"/>
      <c r="AH155" s="1"/>
    </row>
    <row r="156">
      <c r="I156" s="391"/>
      <c r="W156" s="1"/>
      <c r="X156" s="1"/>
      <c r="Y156" s="7"/>
      <c r="Z156" s="7"/>
      <c r="AA156" s="1"/>
      <c r="AB156" s="7"/>
      <c r="AC156" s="7"/>
      <c r="AD156" s="7"/>
      <c r="AE156" s="7"/>
      <c r="AF156" s="7"/>
      <c r="AG156" s="7"/>
      <c r="AH156" s="1"/>
    </row>
    <row r="157">
      <c r="I157" s="391"/>
      <c r="W157" s="1"/>
      <c r="X157" s="1"/>
      <c r="Y157" s="7"/>
      <c r="Z157" s="7"/>
      <c r="AA157" s="1"/>
      <c r="AB157" s="7"/>
      <c r="AC157" s="7"/>
      <c r="AD157" s="7"/>
      <c r="AE157" s="7"/>
      <c r="AF157" s="7"/>
      <c r="AG157" s="7"/>
      <c r="AH157" s="1"/>
    </row>
    <row r="158">
      <c r="I158" s="391"/>
      <c r="W158" s="1"/>
      <c r="X158" s="1"/>
      <c r="Y158" s="7"/>
      <c r="Z158" s="7"/>
      <c r="AA158" s="1"/>
      <c r="AB158" s="7"/>
      <c r="AC158" s="7"/>
      <c r="AD158" s="7"/>
      <c r="AE158" s="7"/>
      <c r="AF158" s="7"/>
      <c r="AG158" s="7"/>
      <c r="AH158" s="1"/>
    </row>
    <row r="159">
      <c r="I159" s="391"/>
      <c r="W159" s="1"/>
      <c r="X159" s="1"/>
      <c r="Y159" s="7"/>
      <c r="Z159" s="7"/>
      <c r="AA159" s="1"/>
      <c r="AB159" s="7"/>
      <c r="AC159" s="7"/>
      <c r="AD159" s="7"/>
      <c r="AE159" s="7"/>
      <c r="AF159" s="7"/>
      <c r="AG159" s="7"/>
      <c r="AH159" s="1"/>
    </row>
    <row r="160">
      <c r="I160" s="391"/>
      <c r="W160" s="1"/>
      <c r="X160" s="1"/>
      <c r="Y160" s="7"/>
      <c r="Z160" s="7"/>
      <c r="AA160" s="1"/>
      <c r="AB160" s="7"/>
      <c r="AC160" s="7"/>
      <c r="AD160" s="7"/>
      <c r="AE160" s="7"/>
      <c r="AF160" s="7"/>
      <c r="AG160" s="7"/>
      <c r="AH160" s="1"/>
    </row>
    <row r="161">
      <c r="I161" s="391"/>
      <c r="W161" s="1"/>
      <c r="X161" s="1"/>
      <c r="Y161" s="7"/>
      <c r="Z161" s="7"/>
      <c r="AA161" s="1"/>
      <c r="AB161" s="7"/>
      <c r="AC161" s="7"/>
      <c r="AD161" s="7"/>
      <c r="AE161" s="7"/>
      <c r="AF161" s="7"/>
      <c r="AG161" s="7"/>
      <c r="AH161" s="1"/>
    </row>
    <row r="162">
      <c r="I162" s="391"/>
      <c r="W162" s="1"/>
      <c r="X162" s="1"/>
      <c r="Y162" s="7"/>
      <c r="Z162" s="7"/>
      <c r="AA162" s="1"/>
      <c r="AB162" s="7"/>
      <c r="AC162" s="7"/>
      <c r="AD162" s="7"/>
      <c r="AE162" s="7"/>
      <c r="AF162" s="7"/>
      <c r="AG162" s="7"/>
      <c r="AH162" s="1"/>
    </row>
    <row r="163">
      <c r="I163" s="391"/>
      <c r="W163" s="1"/>
      <c r="X163" s="1"/>
      <c r="Y163" s="7"/>
      <c r="Z163" s="7"/>
      <c r="AA163" s="1"/>
      <c r="AB163" s="7"/>
      <c r="AC163" s="7"/>
      <c r="AD163" s="7"/>
      <c r="AE163" s="7"/>
      <c r="AF163" s="7"/>
      <c r="AG163" s="7"/>
      <c r="AH163" s="1"/>
    </row>
    <row r="164">
      <c r="I164" s="391"/>
      <c r="W164" s="1"/>
      <c r="X164" s="1"/>
      <c r="Y164" s="7"/>
      <c r="Z164" s="7"/>
      <c r="AA164" s="1"/>
      <c r="AB164" s="7"/>
      <c r="AC164" s="7"/>
      <c r="AD164" s="7"/>
      <c r="AE164" s="7"/>
      <c r="AF164" s="7"/>
      <c r="AG164" s="7"/>
      <c r="AH164" s="1"/>
    </row>
    <row r="165">
      <c r="I165" s="391"/>
      <c r="W165" s="1"/>
      <c r="X165" s="1"/>
      <c r="Y165" s="7"/>
      <c r="Z165" s="7"/>
      <c r="AA165" s="1"/>
      <c r="AB165" s="7"/>
      <c r="AC165" s="7"/>
      <c r="AD165" s="7"/>
      <c r="AE165" s="7"/>
      <c r="AF165" s="7"/>
      <c r="AG165" s="7"/>
      <c r="AH165" s="1"/>
    </row>
    <row r="166">
      <c r="I166" s="391"/>
      <c r="W166" s="1"/>
      <c r="X166" s="1"/>
      <c r="Y166" s="7"/>
      <c r="Z166" s="7"/>
      <c r="AA166" s="1"/>
      <c r="AB166" s="7"/>
      <c r="AC166" s="7"/>
      <c r="AD166" s="7"/>
      <c r="AE166" s="7"/>
      <c r="AF166" s="7"/>
      <c r="AG166" s="7"/>
      <c r="AH166" s="1"/>
    </row>
    <row r="167">
      <c r="I167" s="391"/>
      <c r="W167" s="1"/>
      <c r="X167" s="1"/>
      <c r="Y167" s="7"/>
      <c r="Z167" s="7"/>
      <c r="AA167" s="1"/>
      <c r="AB167" s="7"/>
      <c r="AC167" s="7"/>
      <c r="AD167" s="7"/>
      <c r="AE167" s="7"/>
      <c r="AF167" s="7"/>
      <c r="AG167" s="7"/>
      <c r="AH167" s="1"/>
    </row>
    <row r="168">
      <c r="I168" s="391"/>
      <c r="W168" s="1"/>
      <c r="X168" s="1"/>
      <c r="Y168" s="7"/>
      <c r="Z168" s="7"/>
      <c r="AA168" s="1"/>
      <c r="AB168" s="7"/>
      <c r="AC168" s="7"/>
      <c r="AD168" s="7"/>
      <c r="AE168" s="7"/>
      <c r="AF168" s="7"/>
      <c r="AG168" s="7"/>
      <c r="AH168" s="1"/>
    </row>
    <row r="169">
      <c r="I169" s="391"/>
      <c r="W169" s="1"/>
      <c r="X169" s="1"/>
      <c r="Y169" s="7"/>
      <c r="Z169" s="7"/>
      <c r="AA169" s="1"/>
      <c r="AB169" s="7"/>
      <c r="AC169" s="7"/>
      <c r="AD169" s="7"/>
      <c r="AE169" s="7"/>
      <c r="AF169" s="7"/>
      <c r="AG169" s="7"/>
      <c r="AH169" s="1"/>
    </row>
    <row r="170">
      <c r="I170" s="391"/>
      <c r="W170" s="1"/>
      <c r="X170" s="1"/>
      <c r="Y170" s="7"/>
      <c r="Z170" s="7"/>
      <c r="AA170" s="1"/>
      <c r="AB170" s="7"/>
      <c r="AC170" s="7"/>
      <c r="AD170" s="7"/>
      <c r="AE170" s="7"/>
      <c r="AF170" s="7"/>
      <c r="AG170" s="7"/>
      <c r="AH170" s="1"/>
    </row>
    <row r="171">
      <c r="I171" s="391"/>
      <c r="W171" s="1"/>
      <c r="X171" s="1"/>
      <c r="Y171" s="7"/>
      <c r="Z171" s="7"/>
      <c r="AA171" s="1"/>
      <c r="AB171" s="7"/>
      <c r="AC171" s="7"/>
      <c r="AD171" s="7"/>
      <c r="AE171" s="7"/>
      <c r="AF171" s="7"/>
      <c r="AG171" s="7"/>
      <c r="AH171" s="1"/>
    </row>
    <row r="172">
      <c r="I172" s="391"/>
      <c r="W172" s="1"/>
      <c r="X172" s="1"/>
      <c r="Y172" s="7"/>
      <c r="Z172" s="7"/>
      <c r="AA172" s="1"/>
      <c r="AB172" s="7"/>
      <c r="AC172" s="7"/>
      <c r="AD172" s="7"/>
      <c r="AE172" s="7"/>
      <c r="AF172" s="7"/>
      <c r="AG172" s="7"/>
      <c r="AH172" s="1"/>
    </row>
    <row r="173">
      <c r="I173" s="391"/>
      <c r="W173" s="1"/>
      <c r="X173" s="1"/>
      <c r="Y173" s="7"/>
      <c r="Z173" s="7"/>
      <c r="AA173" s="1"/>
      <c r="AB173" s="7"/>
      <c r="AC173" s="7"/>
      <c r="AD173" s="7"/>
      <c r="AE173" s="7"/>
      <c r="AF173" s="7"/>
      <c r="AG173" s="7"/>
      <c r="AH173" s="1"/>
    </row>
    <row r="174">
      <c r="I174" s="391"/>
      <c r="W174" s="1"/>
      <c r="X174" s="1"/>
      <c r="Y174" s="7"/>
      <c r="Z174" s="7"/>
      <c r="AA174" s="1"/>
      <c r="AB174" s="7"/>
      <c r="AC174" s="7"/>
      <c r="AD174" s="7"/>
      <c r="AE174" s="7"/>
      <c r="AF174" s="7"/>
      <c r="AG174" s="7"/>
      <c r="AH174" s="1"/>
    </row>
    <row r="175">
      <c r="I175" s="391"/>
      <c r="W175" s="1"/>
      <c r="X175" s="1"/>
      <c r="Y175" s="7"/>
      <c r="Z175" s="7"/>
      <c r="AA175" s="1"/>
      <c r="AB175" s="7"/>
      <c r="AC175" s="7"/>
      <c r="AD175" s="7"/>
      <c r="AE175" s="7"/>
      <c r="AF175" s="7"/>
      <c r="AG175" s="7"/>
      <c r="AH175" s="1"/>
    </row>
    <row r="176">
      <c r="I176" s="391"/>
      <c r="W176" s="1"/>
      <c r="X176" s="1"/>
      <c r="Y176" s="7"/>
      <c r="Z176" s="7"/>
      <c r="AA176" s="1"/>
      <c r="AB176" s="7"/>
      <c r="AC176" s="7"/>
      <c r="AD176" s="7"/>
      <c r="AE176" s="7"/>
      <c r="AF176" s="7"/>
      <c r="AG176" s="7"/>
      <c r="AH176" s="1"/>
    </row>
    <row r="177">
      <c r="I177" s="391"/>
      <c r="W177" s="1"/>
      <c r="X177" s="1"/>
      <c r="Y177" s="7"/>
      <c r="Z177" s="7"/>
      <c r="AA177" s="1"/>
      <c r="AB177" s="7"/>
      <c r="AC177" s="7"/>
      <c r="AD177" s="7"/>
      <c r="AE177" s="7"/>
      <c r="AF177" s="7"/>
      <c r="AG177" s="7"/>
      <c r="AH177" s="1"/>
    </row>
    <row r="178">
      <c r="I178" s="391"/>
      <c r="W178" s="1"/>
      <c r="X178" s="1"/>
      <c r="Y178" s="7"/>
      <c r="Z178" s="7"/>
      <c r="AA178" s="1"/>
      <c r="AB178" s="7"/>
      <c r="AC178" s="7"/>
      <c r="AD178" s="7"/>
      <c r="AE178" s="7"/>
      <c r="AF178" s="7"/>
      <c r="AG178" s="7"/>
      <c r="AH178" s="1"/>
    </row>
    <row r="179">
      <c r="I179" s="391"/>
      <c r="W179" s="1"/>
      <c r="X179" s="1"/>
      <c r="Y179" s="7"/>
      <c r="Z179" s="7"/>
      <c r="AA179" s="1"/>
      <c r="AB179" s="7"/>
      <c r="AC179" s="7"/>
      <c r="AD179" s="7"/>
      <c r="AE179" s="7"/>
      <c r="AF179" s="7"/>
      <c r="AG179" s="7"/>
      <c r="AH179" s="1"/>
    </row>
    <row r="180">
      <c r="I180" s="391"/>
      <c r="W180" s="1"/>
      <c r="X180" s="1"/>
      <c r="Y180" s="7"/>
      <c r="Z180" s="7"/>
      <c r="AA180" s="1"/>
      <c r="AB180" s="7"/>
      <c r="AC180" s="7"/>
      <c r="AD180" s="7"/>
      <c r="AE180" s="7"/>
      <c r="AF180" s="7"/>
      <c r="AG180" s="7"/>
      <c r="AH180" s="1"/>
    </row>
    <row r="181">
      <c r="I181" s="391"/>
      <c r="W181" s="1"/>
      <c r="X181" s="1"/>
      <c r="Y181" s="7"/>
      <c r="Z181" s="7"/>
      <c r="AA181" s="1"/>
      <c r="AB181" s="7"/>
      <c r="AC181" s="7"/>
      <c r="AD181" s="7"/>
      <c r="AE181" s="7"/>
      <c r="AF181" s="7"/>
      <c r="AG181" s="7"/>
      <c r="AH181" s="1"/>
    </row>
    <row r="182">
      <c r="I182" s="391"/>
      <c r="W182" s="1"/>
      <c r="X182" s="1"/>
      <c r="Y182" s="7"/>
      <c r="Z182" s="7"/>
      <c r="AA182" s="1"/>
      <c r="AB182" s="7"/>
      <c r="AC182" s="7"/>
      <c r="AD182" s="7"/>
      <c r="AE182" s="7"/>
      <c r="AF182" s="7"/>
      <c r="AG182" s="7"/>
      <c r="AH182" s="1"/>
    </row>
    <row r="183">
      <c r="I183" s="391"/>
      <c r="W183" s="1"/>
      <c r="X183" s="1"/>
      <c r="Y183" s="7"/>
      <c r="Z183" s="7"/>
      <c r="AA183" s="1"/>
      <c r="AB183" s="7"/>
      <c r="AC183" s="7"/>
      <c r="AD183" s="7"/>
      <c r="AE183" s="7"/>
      <c r="AF183" s="7"/>
      <c r="AG183" s="7"/>
      <c r="AH183" s="1"/>
    </row>
    <row r="184">
      <c r="I184" s="391"/>
      <c r="W184" s="1"/>
      <c r="X184" s="1"/>
      <c r="Y184" s="7"/>
      <c r="Z184" s="7"/>
      <c r="AA184" s="1"/>
      <c r="AB184" s="7"/>
      <c r="AC184" s="7"/>
      <c r="AD184" s="7"/>
      <c r="AE184" s="7"/>
      <c r="AF184" s="7"/>
      <c r="AG184" s="7"/>
      <c r="AH184" s="1"/>
    </row>
    <row r="185">
      <c r="I185" s="391"/>
      <c r="W185" s="1"/>
      <c r="X185" s="1"/>
      <c r="Y185" s="7"/>
      <c r="Z185" s="7"/>
      <c r="AA185" s="1"/>
      <c r="AB185" s="7"/>
      <c r="AC185" s="7"/>
      <c r="AD185" s="7"/>
      <c r="AE185" s="7"/>
      <c r="AF185" s="7"/>
      <c r="AG185" s="7"/>
      <c r="AH185" s="1"/>
    </row>
    <row r="186">
      <c r="I186" s="391"/>
      <c r="W186" s="1"/>
      <c r="X186" s="1"/>
      <c r="Y186" s="7"/>
      <c r="Z186" s="7"/>
      <c r="AA186" s="1"/>
      <c r="AB186" s="7"/>
      <c r="AC186" s="7"/>
      <c r="AD186" s="7"/>
      <c r="AE186" s="7"/>
      <c r="AF186" s="7"/>
      <c r="AG186" s="7"/>
      <c r="AH186" s="1"/>
    </row>
    <row r="187">
      <c r="I187" s="391"/>
      <c r="W187" s="1"/>
      <c r="X187" s="1"/>
      <c r="Y187" s="7"/>
      <c r="Z187" s="7"/>
      <c r="AA187" s="1"/>
      <c r="AB187" s="7"/>
      <c r="AC187" s="7"/>
      <c r="AD187" s="7"/>
      <c r="AE187" s="7"/>
      <c r="AF187" s="7"/>
      <c r="AG187" s="7"/>
      <c r="AH187" s="1"/>
    </row>
    <row r="188">
      <c r="I188" s="391"/>
      <c r="W188" s="1"/>
      <c r="X188" s="1"/>
      <c r="Y188" s="7"/>
      <c r="Z188" s="7"/>
      <c r="AA188" s="1"/>
      <c r="AB188" s="7"/>
      <c r="AC188" s="7"/>
      <c r="AD188" s="7"/>
      <c r="AE188" s="7"/>
      <c r="AF188" s="7"/>
      <c r="AG188" s="7"/>
      <c r="AH188" s="1"/>
    </row>
    <row r="189">
      <c r="I189" s="391"/>
      <c r="W189" s="1"/>
      <c r="X189" s="1"/>
      <c r="Y189" s="7"/>
      <c r="Z189" s="7"/>
      <c r="AA189" s="1"/>
      <c r="AB189" s="7"/>
      <c r="AC189" s="7"/>
      <c r="AD189" s="7"/>
      <c r="AE189" s="7"/>
      <c r="AF189" s="7"/>
      <c r="AG189" s="7"/>
      <c r="AH189" s="1"/>
    </row>
    <row r="190">
      <c r="I190" s="391"/>
      <c r="W190" s="1"/>
      <c r="X190" s="1"/>
      <c r="Y190" s="7"/>
      <c r="Z190" s="7"/>
      <c r="AA190" s="1"/>
      <c r="AB190" s="7"/>
      <c r="AC190" s="7"/>
      <c r="AD190" s="7"/>
      <c r="AE190" s="7"/>
      <c r="AF190" s="7"/>
      <c r="AG190" s="7"/>
      <c r="AH190" s="1"/>
    </row>
    <row r="191">
      <c r="I191" s="391"/>
      <c r="W191" s="1"/>
      <c r="X191" s="1"/>
      <c r="Y191" s="7"/>
      <c r="Z191" s="7"/>
      <c r="AA191" s="1"/>
      <c r="AB191" s="7"/>
      <c r="AC191" s="7"/>
      <c r="AD191" s="7"/>
      <c r="AE191" s="7"/>
      <c r="AF191" s="7"/>
      <c r="AG191" s="7"/>
      <c r="AH191" s="1"/>
    </row>
    <row r="192">
      <c r="I192" s="391"/>
      <c r="W192" s="1"/>
      <c r="X192" s="1"/>
      <c r="Y192" s="7"/>
      <c r="Z192" s="7"/>
      <c r="AA192" s="1"/>
      <c r="AB192" s="7"/>
      <c r="AC192" s="7"/>
      <c r="AD192" s="7"/>
      <c r="AE192" s="7"/>
      <c r="AF192" s="7"/>
      <c r="AG192" s="7"/>
      <c r="AH192" s="1"/>
    </row>
    <row r="193">
      <c r="I193" s="391"/>
      <c r="W193" s="1"/>
      <c r="X193" s="1"/>
      <c r="Y193" s="7"/>
      <c r="Z193" s="7"/>
      <c r="AA193" s="1"/>
      <c r="AB193" s="7"/>
      <c r="AC193" s="7"/>
      <c r="AD193" s="7"/>
      <c r="AE193" s="7"/>
      <c r="AF193" s="7"/>
      <c r="AG193" s="7"/>
      <c r="AH193" s="1"/>
    </row>
    <row r="194">
      <c r="I194" s="391"/>
      <c r="W194" s="1"/>
      <c r="X194" s="1"/>
      <c r="Y194" s="7"/>
      <c r="Z194" s="7"/>
      <c r="AA194" s="1"/>
      <c r="AB194" s="7"/>
      <c r="AC194" s="7"/>
      <c r="AD194" s="7"/>
      <c r="AE194" s="7"/>
      <c r="AF194" s="7"/>
      <c r="AG194" s="7"/>
      <c r="AH194" s="1"/>
    </row>
    <row r="195">
      <c r="I195" s="391"/>
      <c r="W195" s="1"/>
      <c r="X195" s="1"/>
      <c r="Y195" s="7"/>
      <c r="Z195" s="7"/>
      <c r="AA195" s="1"/>
      <c r="AB195" s="7"/>
      <c r="AC195" s="7"/>
      <c r="AD195" s="7"/>
      <c r="AE195" s="7"/>
      <c r="AF195" s="7"/>
      <c r="AG195" s="7"/>
      <c r="AH195" s="1"/>
    </row>
    <row r="196">
      <c r="I196" s="391"/>
      <c r="W196" s="1"/>
      <c r="X196" s="1"/>
      <c r="Y196" s="7"/>
      <c r="Z196" s="7"/>
      <c r="AA196" s="1"/>
      <c r="AB196" s="7"/>
      <c r="AC196" s="7"/>
      <c r="AD196" s="7"/>
      <c r="AE196" s="7"/>
      <c r="AF196" s="7"/>
      <c r="AG196" s="7"/>
      <c r="AH196" s="1"/>
    </row>
    <row r="197">
      <c r="I197" s="391"/>
      <c r="W197" s="1"/>
      <c r="X197" s="1"/>
      <c r="Y197" s="7"/>
      <c r="Z197" s="7"/>
      <c r="AA197" s="1"/>
      <c r="AB197" s="7"/>
      <c r="AC197" s="7"/>
      <c r="AD197" s="7"/>
      <c r="AE197" s="7"/>
      <c r="AF197" s="7"/>
      <c r="AG197" s="7"/>
      <c r="AH197" s="1"/>
    </row>
    <row r="198">
      <c r="I198" s="391"/>
      <c r="W198" s="1"/>
      <c r="X198" s="1"/>
      <c r="Y198" s="7"/>
      <c r="Z198" s="7"/>
      <c r="AA198" s="1"/>
      <c r="AB198" s="7"/>
      <c r="AC198" s="7"/>
      <c r="AD198" s="7"/>
      <c r="AE198" s="7"/>
      <c r="AF198" s="7"/>
      <c r="AG198" s="7"/>
      <c r="AH198" s="1"/>
    </row>
    <row r="199">
      <c r="I199" s="391"/>
      <c r="W199" s="1"/>
      <c r="X199" s="1"/>
      <c r="Y199" s="7"/>
      <c r="Z199" s="7"/>
      <c r="AA199" s="1"/>
      <c r="AB199" s="7"/>
      <c r="AC199" s="7"/>
      <c r="AD199" s="7"/>
      <c r="AE199" s="7"/>
      <c r="AF199" s="7"/>
      <c r="AG199" s="7"/>
      <c r="AH199" s="1"/>
    </row>
    <row r="200">
      <c r="I200" s="391"/>
      <c r="W200" s="1"/>
      <c r="X200" s="1"/>
      <c r="Y200" s="7"/>
      <c r="Z200" s="7"/>
      <c r="AA200" s="1"/>
      <c r="AB200" s="7"/>
      <c r="AC200" s="7"/>
      <c r="AD200" s="7"/>
      <c r="AE200" s="7"/>
      <c r="AF200" s="7"/>
      <c r="AG200" s="7"/>
      <c r="AH200" s="1"/>
    </row>
    <row r="201">
      <c r="I201" s="391"/>
      <c r="W201" s="1"/>
      <c r="X201" s="1"/>
      <c r="Y201" s="7"/>
      <c r="Z201" s="7"/>
      <c r="AA201" s="1"/>
      <c r="AB201" s="7"/>
      <c r="AC201" s="7"/>
      <c r="AD201" s="7"/>
      <c r="AE201" s="7"/>
      <c r="AF201" s="7"/>
      <c r="AG201" s="7"/>
      <c r="AH201" s="1"/>
    </row>
    <row r="202">
      <c r="I202" s="391"/>
      <c r="W202" s="1"/>
      <c r="X202" s="1"/>
      <c r="Y202" s="7"/>
      <c r="Z202" s="7"/>
      <c r="AA202" s="1"/>
      <c r="AB202" s="7"/>
      <c r="AC202" s="7"/>
      <c r="AD202" s="7"/>
      <c r="AE202" s="7"/>
      <c r="AF202" s="7"/>
      <c r="AG202" s="7"/>
      <c r="AH202" s="1"/>
    </row>
    <row r="203">
      <c r="I203" s="391"/>
      <c r="W203" s="1"/>
      <c r="X203" s="1"/>
      <c r="Y203" s="7"/>
      <c r="Z203" s="7"/>
      <c r="AA203" s="1"/>
      <c r="AB203" s="7"/>
      <c r="AC203" s="7"/>
      <c r="AD203" s="7"/>
      <c r="AE203" s="7"/>
      <c r="AF203" s="7"/>
      <c r="AG203" s="7"/>
      <c r="AH203" s="1"/>
    </row>
    <row r="204">
      <c r="I204" s="391"/>
      <c r="W204" s="1"/>
      <c r="X204" s="1"/>
      <c r="Y204" s="7"/>
      <c r="Z204" s="7"/>
      <c r="AA204" s="1"/>
      <c r="AB204" s="7"/>
      <c r="AC204" s="7"/>
      <c r="AD204" s="7"/>
      <c r="AE204" s="7"/>
      <c r="AF204" s="7"/>
      <c r="AG204" s="7"/>
      <c r="AH204" s="1"/>
    </row>
    <row r="205">
      <c r="I205" s="391"/>
      <c r="W205" s="1"/>
      <c r="X205" s="1"/>
      <c r="Y205" s="7"/>
      <c r="Z205" s="7"/>
      <c r="AA205" s="1"/>
      <c r="AB205" s="7"/>
      <c r="AC205" s="7"/>
      <c r="AD205" s="7"/>
      <c r="AE205" s="7"/>
      <c r="AF205" s="7"/>
      <c r="AG205" s="7"/>
      <c r="AH205" s="1"/>
    </row>
    <row r="206">
      <c r="I206" s="391"/>
      <c r="W206" s="1"/>
      <c r="X206" s="1"/>
      <c r="Y206" s="7"/>
      <c r="Z206" s="7"/>
      <c r="AA206" s="1"/>
      <c r="AB206" s="7"/>
      <c r="AC206" s="7"/>
      <c r="AD206" s="7"/>
      <c r="AE206" s="7"/>
      <c r="AF206" s="7"/>
      <c r="AG206" s="7"/>
      <c r="AH206" s="1"/>
    </row>
    <row r="207">
      <c r="I207" s="391"/>
      <c r="W207" s="1"/>
      <c r="X207" s="1"/>
      <c r="Y207" s="7"/>
      <c r="Z207" s="7"/>
      <c r="AA207" s="1"/>
      <c r="AB207" s="7"/>
      <c r="AC207" s="7"/>
      <c r="AD207" s="7"/>
      <c r="AE207" s="7"/>
      <c r="AF207" s="7"/>
      <c r="AG207" s="7"/>
      <c r="AH207" s="1"/>
    </row>
    <row r="208">
      <c r="I208" s="391"/>
      <c r="W208" s="1"/>
      <c r="X208" s="1"/>
      <c r="Y208" s="7"/>
      <c r="Z208" s="7"/>
      <c r="AA208" s="1"/>
      <c r="AB208" s="7"/>
      <c r="AC208" s="7"/>
      <c r="AD208" s="7"/>
      <c r="AE208" s="7"/>
      <c r="AF208" s="7"/>
      <c r="AG208" s="7"/>
      <c r="AH208" s="1"/>
    </row>
    <row r="209">
      <c r="I209" s="391"/>
      <c r="W209" s="1"/>
      <c r="X209" s="1"/>
      <c r="Y209" s="7"/>
      <c r="Z209" s="7"/>
      <c r="AA209" s="1"/>
      <c r="AB209" s="7"/>
      <c r="AC209" s="7"/>
      <c r="AD209" s="7"/>
      <c r="AE209" s="7"/>
      <c r="AF209" s="7"/>
      <c r="AG209" s="7"/>
      <c r="AH209" s="1"/>
    </row>
    <row r="210">
      <c r="I210" s="391"/>
      <c r="W210" s="1"/>
      <c r="X210" s="1"/>
      <c r="Y210" s="7"/>
      <c r="Z210" s="7"/>
      <c r="AA210" s="1"/>
      <c r="AB210" s="7"/>
      <c r="AC210" s="7"/>
      <c r="AD210" s="7"/>
      <c r="AE210" s="7"/>
      <c r="AF210" s="7"/>
      <c r="AG210" s="7"/>
      <c r="AH210" s="1"/>
    </row>
    <row r="211">
      <c r="I211" s="391"/>
      <c r="W211" s="1"/>
      <c r="X211" s="1"/>
      <c r="Y211" s="7"/>
      <c r="Z211" s="7"/>
      <c r="AA211" s="1"/>
      <c r="AB211" s="7"/>
      <c r="AC211" s="7"/>
      <c r="AD211" s="7"/>
      <c r="AE211" s="7"/>
      <c r="AF211" s="7"/>
      <c r="AG211" s="7"/>
      <c r="AH211" s="1"/>
    </row>
    <row r="212">
      <c r="I212" s="391"/>
      <c r="W212" s="1"/>
      <c r="X212" s="1"/>
      <c r="Y212" s="7"/>
      <c r="Z212" s="7"/>
      <c r="AA212" s="1"/>
      <c r="AB212" s="7"/>
      <c r="AC212" s="7"/>
      <c r="AD212" s="7"/>
      <c r="AE212" s="7"/>
      <c r="AF212" s="7"/>
      <c r="AG212" s="7"/>
      <c r="AH212" s="1"/>
    </row>
    <row r="213">
      <c r="I213" s="391"/>
      <c r="W213" s="1"/>
      <c r="X213" s="1"/>
      <c r="Y213" s="7"/>
      <c r="Z213" s="7"/>
      <c r="AA213" s="1"/>
      <c r="AB213" s="7"/>
      <c r="AC213" s="7"/>
      <c r="AD213" s="7"/>
      <c r="AE213" s="7"/>
      <c r="AF213" s="7"/>
      <c r="AG213" s="7"/>
      <c r="AH213" s="1"/>
    </row>
    <row r="214">
      <c r="I214" s="391"/>
      <c r="W214" s="1"/>
      <c r="X214" s="1"/>
      <c r="Y214" s="7"/>
      <c r="Z214" s="7"/>
      <c r="AA214" s="1"/>
      <c r="AB214" s="7"/>
      <c r="AC214" s="7"/>
      <c r="AD214" s="7"/>
      <c r="AE214" s="7"/>
      <c r="AF214" s="7"/>
      <c r="AG214" s="7"/>
      <c r="AH214" s="1"/>
    </row>
    <row r="215">
      <c r="I215" s="391"/>
      <c r="W215" s="1"/>
      <c r="X215" s="1"/>
      <c r="Y215" s="7"/>
      <c r="Z215" s="7"/>
      <c r="AA215" s="1"/>
      <c r="AB215" s="7"/>
      <c r="AC215" s="7"/>
      <c r="AD215" s="7"/>
      <c r="AE215" s="7"/>
      <c r="AF215" s="7"/>
      <c r="AG215" s="7"/>
      <c r="AH215" s="1"/>
    </row>
    <row r="216">
      <c r="I216" s="391"/>
      <c r="W216" s="1"/>
      <c r="X216" s="1"/>
      <c r="Y216" s="7"/>
      <c r="Z216" s="7"/>
      <c r="AA216" s="1"/>
      <c r="AB216" s="7"/>
      <c r="AC216" s="7"/>
      <c r="AD216" s="7"/>
      <c r="AE216" s="7"/>
      <c r="AF216" s="7"/>
      <c r="AG216" s="7"/>
      <c r="AH216" s="1"/>
    </row>
    <row r="217">
      <c r="I217" s="391"/>
      <c r="W217" s="1"/>
      <c r="X217" s="1"/>
      <c r="Y217" s="7"/>
      <c r="Z217" s="7"/>
      <c r="AA217" s="1"/>
      <c r="AB217" s="7"/>
      <c r="AC217" s="7"/>
      <c r="AD217" s="7"/>
      <c r="AE217" s="7"/>
      <c r="AF217" s="7"/>
      <c r="AG217" s="7"/>
      <c r="AH217" s="1"/>
    </row>
    <row r="218">
      <c r="I218" s="391"/>
      <c r="W218" s="1"/>
      <c r="X218" s="1"/>
      <c r="Y218" s="7"/>
      <c r="Z218" s="7"/>
      <c r="AA218" s="1"/>
      <c r="AB218" s="7"/>
      <c r="AC218" s="7"/>
      <c r="AD218" s="7"/>
      <c r="AE218" s="7"/>
      <c r="AF218" s="7"/>
      <c r="AG218" s="7"/>
      <c r="AH218" s="1"/>
    </row>
    <row r="219">
      <c r="I219" s="391"/>
      <c r="W219" s="1"/>
      <c r="X219" s="1"/>
      <c r="Y219" s="7"/>
      <c r="Z219" s="7"/>
      <c r="AA219" s="1"/>
      <c r="AB219" s="7"/>
      <c r="AC219" s="7"/>
      <c r="AD219" s="7"/>
      <c r="AE219" s="7"/>
      <c r="AF219" s="7"/>
      <c r="AG219" s="7"/>
      <c r="AH219" s="1"/>
    </row>
    <row r="220">
      <c r="I220" s="391"/>
      <c r="W220" s="1"/>
      <c r="X220" s="1"/>
      <c r="Y220" s="7"/>
      <c r="Z220" s="7"/>
      <c r="AA220" s="1"/>
      <c r="AB220" s="7"/>
      <c r="AC220" s="7"/>
      <c r="AD220" s="7"/>
      <c r="AE220" s="7"/>
      <c r="AF220" s="7"/>
      <c r="AG220" s="7"/>
      <c r="AH220" s="1"/>
    </row>
    <row r="221">
      <c r="I221" s="391"/>
      <c r="W221" s="1"/>
      <c r="X221" s="1"/>
      <c r="Y221" s="7"/>
      <c r="Z221" s="7"/>
      <c r="AA221" s="1"/>
      <c r="AB221" s="7"/>
      <c r="AC221" s="7"/>
      <c r="AD221" s="7"/>
      <c r="AE221" s="7"/>
      <c r="AF221" s="7"/>
      <c r="AG221" s="7"/>
      <c r="AH221" s="1"/>
    </row>
    <row r="222">
      <c r="I222" s="391"/>
      <c r="W222" s="1"/>
      <c r="X222" s="1"/>
      <c r="Y222" s="7"/>
      <c r="Z222" s="7"/>
      <c r="AA222" s="1"/>
      <c r="AB222" s="7"/>
      <c r="AC222" s="7"/>
      <c r="AD222" s="7"/>
      <c r="AE222" s="7"/>
      <c r="AF222" s="7"/>
      <c r="AG222" s="7"/>
      <c r="AH222" s="1"/>
    </row>
    <row r="223">
      <c r="I223" s="391"/>
      <c r="W223" s="1"/>
      <c r="X223" s="1"/>
      <c r="Y223" s="7"/>
      <c r="Z223" s="7"/>
      <c r="AA223" s="1"/>
      <c r="AB223" s="7"/>
      <c r="AC223" s="7"/>
      <c r="AD223" s="7"/>
      <c r="AE223" s="7"/>
      <c r="AF223" s="7"/>
      <c r="AG223" s="7"/>
      <c r="AH223" s="1"/>
    </row>
    <row r="224">
      <c r="I224" s="391"/>
      <c r="W224" s="1"/>
      <c r="X224" s="1"/>
      <c r="Y224" s="7"/>
      <c r="Z224" s="7"/>
      <c r="AA224" s="1"/>
      <c r="AB224" s="7"/>
      <c r="AC224" s="7"/>
      <c r="AD224" s="7"/>
      <c r="AE224" s="7"/>
      <c r="AF224" s="7"/>
      <c r="AG224" s="7"/>
      <c r="AH224" s="1"/>
    </row>
    <row r="225">
      <c r="I225" s="391"/>
      <c r="W225" s="1"/>
      <c r="X225" s="1"/>
      <c r="Y225" s="7"/>
      <c r="Z225" s="7"/>
      <c r="AA225" s="1"/>
      <c r="AB225" s="7"/>
      <c r="AC225" s="7"/>
      <c r="AD225" s="7"/>
      <c r="AE225" s="7"/>
      <c r="AF225" s="7"/>
      <c r="AG225" s="7"/>
      <c r="AH225" s="1"/>
    </row>
    <row r="226">
      <c r="I226" s="391"/>
      <c r="W226" s="1"/>
      <c r="X226" s="1"/>
      <c r="Y226" s="7"/>
      <c r="Z226" s="7"/>
      <c r="AA226" s="1"/>
      <c r="AB226" s="7"/>
      <c r="AC226" s="7"/>
      <c r="AD226" s="7"/>
      <c r="AE226" s="7"/>
      <c r="AF226" s="7"/>
      <c r="AG226" s="7"/>
      <c r="AH226" s="1"/>
    </row>
    <row r="227">
      <c r="I227" s="391"/>
      <c r="W227" s="1"/>
      <c r="X227" s="1"/>
      <c r="Y227" s="7"/>
      <c r="Z227" s="7"/>
      <c r="AA227" s="1"/>
      <c r="AB227" s="7"/>
      <c r="AC227" s="7"/>
      <c r="AD227" s="7"/>
      <c r="AE227" s="7"/>
      <c r="AF227" s="7"/>
      <c r="AG227" s="7"/>
      <c r="AH227" s="1"/>
    </row>
    <row r="228">
      <c r="I228" s="391"/>
      <c r="W228" s="1"/>
      <c r="X228" s="1"/>
      <c r="Y228" s="7"/>
      <c r="Z228" s="7"/>
      <c r="AA228" s="1"/>
      <c r="AB228" s="7"/>
      <c r="AC228" s="7"/>
      <c r="AD228" s="7"/>
      <c r="AE228" s="7"/>
      <c r="AF228" s="7"/>
      <c r="AG228" s="7"/>
      <c r="AH228" s="1"/>
    </row>
    <row r="229">
      <c r="I229" s="391"/>
      <c r="W229" s="1"/>
      <c r="X229" s="1"/>
      <c r="Y229" s="7"/>
      <c r="Z229" s="7"/>
      <c r="AA229" s="1"/>
      <c r="AB229" s="7"/>
      <c r="AC229" s="7"/>
      <c r="AD229" s="7"/>
      <c r="AE229" s="7"/>
      <c r="AF229" s="7"/>
      <c r="AG229" s="7"/>
      <c r="AH229" s="1"/>
    </row>
    <row r="230">
      <c r="I230" s="391"/>
      <c r="W230" s="1"/>
      <c r="X230" s="1"/>
      <c r="Y230" s="7"/>
      <c r="Z230" s="7"/>
      <c r="AA230" s="1"/>
      <c r="AB230" s="7"/>
      <c r="AC230" s="7"/>
      <c r="AD230" s="7"/>
      <c r="AE230" s="7"/>
      <c r="AF230" s="7"/>
      <c r="AG230" s="7"/>
      <c r="AH230" s="1"/>
    </row>
    <row r="231">
      <c r="I231" s="391"/>
      <c r="W231" s="1"/>
      <c r="X231" s="1"/>
      <c r="Y231" s="7"/>
      <c r="Z231" s="7"/>
      <c r="AA231" s="1"/>
      <c r="AB231" s="7"/>
      <c r="AC231" s="7"/>
      <c r="AD231" s="7"/>
      <c r="AE231" s="7"/>
      <c r="AF231" s="7"/>
      <c r="AG231" s="7"/>
      <c r="AH231" s="1"/>
    </row>
    <row r="232">
      <c r="I232" s="391"/>
      <c r="W232" s="1"/>
      <c r="X232" s="1"/>
      <c r="Y232" s="7"/>
      <c r="Z232" s="7"/>
      <c r="AA232" s="1"/>
      <c r="AB232" s="7"/>
      <c r="AC232" s="7"/>
      <c r="AD232" s="7"/>
      <c r="AE232" s="7"/>
      <c r="AF232" s="7"/>
      <c r="AG232" s="7"/>
      <c r="AH232" s="1"/>
    </row>
    <row r="233">
      <c r="I233" s="391"/>
      <c r="W233" s="1"/>
      <c r="X233" s="1"/>
      <c r="Y233" s="7"/>
      <c r="Z233" s="7"/>
      <c r="AA233" s="1"/>
      <c r="AB233" s="7"/>
      <c r="AC233" s="7"/>
      <c r="AD233" s="7"/>
      <c r="AE233" s="7"/>
      <c r="AF233" s="7"/>
      <c r="AG233" s="7"/>
      <c r="AH233" s="1"/>
    </row>
    <row r="234">
      <c r="I234" s="391"/>
      <c r="W234" s="1"/>
      <c r="X234" s="1"/>
      <c r="Y234" s="7"/>
      <c r="Z234" s="7"/>
      <c r="AA234" s="1"/>
      <c r="AB234" s="7"/>
      <c r="AC234" s="7"/>
      <c r="AD234" s="7"/>
      <c r="AE234" s="7"/>
      <c r="AF234" s="7"/>
      <c r="AG234" s="7"/>
      <c r="AH234" s="1"/>
    </row>
    <row r="235">
      <c r="I235" s="391"/>
      <c r="W235" s="1"/>
      <c r="X235" s="1"/>
      <c r="Y235" s="7"/>
      <c r="Z235" s="7"/>
      <c r="AA235" s="1"/>
      <c r="AB235" s="7"/>
      <c r="AC235" s="7"/>
      <c r="AD235" s="7"/>
      <c r="AE235" s="7"/>
      <c r="AF235" s="7"/>
      <c r="AG235" s="7"/>
      <c r="AH235" s="1"/>
    </row>
    <row r="236">
      <c r="I236" s="391"/>
      <c r="W236" s="1"/>
      <c r="X236" s="1"/>
      <c r="Y236" s="7"/>
      <c r="Z236" s="7"/>
      <c r="AA236" s="1"/>
      <c r="AB236" s="7"/>
      <c r="AC236" s="7"/>
      <c r="AD236" s="7"/>
      <c r="AE236" s="7"/>
      <c r="AF236" s="7"/>
      <c r="AG236" s="7"/>
      <c r="AH236" s="1"/>
    </row>
    <row r="237">
      <c r="I237" s="391"/>
      <c r="W237" s="1"/>
      <c r="X237" s="1"/>
      <c r="Y237" s="7"/>
      <c r="Z237" s="7"/>
      <c r="AA237" s="1"/>
      <c r="AB237" s="7"/>
      <c r="AC237" s="7"/>
      <c r="AD237" s="7"/>
      <c r="AE237" s="7"/>
      <c r="AF237" s="7"/>
      <c r="AG237" s="7"/>
      <c r="AH237" s="1"/>
    </row>
    <row r="238">
      <c r="I238" s="391"/>
      <c r="W238" s="1"/>
      <c r="X238" s="1"/>
      <c r="Y238" s="7"/>
      <c r="Z238" s="7"/>
      <c r="AA238" s="1"/>
      <c r="AB238" s="7"/>
      <c r="AC238" s="7"/>
      <c r="AD238" s="7"/>
      <c r="AE238" s="7"/>
      <c r="AF238" s="7"/>
      <c r="AG238" s="7"/>
      <c r="AH238" s="1"/>
    </row>
    <row r="239">
      <c r="I239" s="391"/>
      <c r="W239" s="1"/>
      <c r="X239" s="1"/>
      <c r="Y239" s="7"/>
      <c r="Z239" s="7"/>
      <c r="AA239" s="1"/>
      <c r="AB239" s="7"/>
      <c r="AC239" s="7"/>
      <c r="AD239" s="7"/>
      <c r="AE239" s="7"/>
      <c r="AF239" s="7"/>
      <c r="AG239" s="7"/>
      <c r="AH239" s="1"/>
    </row>
    <row r="240">
      <c r="I240" s="391"/>
      <c r="W240" s="1"/>
      <c r="X240" s="1"/>
      <c r="Y240" s="7"/>
      <c r="Z240" s="7"/>
      <c r="AA240" s="1"/>
      <c r="AB240" s="7"/>
      <c r="AC240" s="7"/>
      <c r="AD240" s="7"/>
      <c r="AE240" s="7"/>
      <c r="AF240" s="7"/>
      <c r="AG240" s="7"/>
      <c r="AH240" s="1"/>
    </row>
    <row r="241">
      <c r="I241" s="391"/>
      <c r="W241" s="1"/>
      <c r="X241" s="1"/>
      <c r="Y241" s="7"/>
      <c r="Z241" s="7"/>
      <c r="AA241" s="1"/>
      <c r="AB241" s="7"/>
      <c r="AC241" s="7"/>
      <c r="AD241" s="7"/>
      <c r="AE241" s="7"/>
      <c r="AF241" s="7"/>
      <c r="AG241" s="7"/>
      <c r="AH241" s="1"/>
    </row>
    <row r="242">
      <c r="I242" s="391"/>
      <c r="W242" s="1"/>
      <c r="X242" s="1"/>
      <c r="Y242" s="7"/>
      <c r="Z242" s="7"/>
      <c r="AA242" s="1"/>
      <c r="AB242" s="7"/>
      <c r="AC242" s="7"/>
      <c r="AD242" s="7"/>
      <c r="AE242" s="7"/>
      <c r="AF242" s="7"/>
      <c r="AG242" s="7"/>
      <c r="AH242" s="1"/>
    </row>
    <row r="243">
      <c r="I243" s="391"/>
      <c r="W243" s="1"/>
      <c r="X243" s="1"/>
      <c r="Y243" s="7"/>
      <c r="Z243" s="7"/>
      <c r="AA243" s="1"/>
      <c r="AB243" s="7"/>
      <c r="AC243" s="7"/>
      <c r="AD243" s="7"/>
      <c r="AE243" s="7"/>
      <c r="AF243" s="7"/>
      <c r="AG243" s="7"/>
      <c r="AH243" s="1"/>
    </row>
    <row r="244">
      <c r="I244" s="391"/>
      <c r="W244" s="1"/>
      <c r="X244" s="1"/>
      <c r="Y244" s="7"/>
      <c r="Z244" s="7"/>
      <c r="AA244" s="1"/>
      <c r="AB244" s="7"/>
      <c r="AC244" s="7"/>
      <c r="AD244" s="7"/>
      <c r="AE244" s="7"/>
      <c r="AF244" s="7"/>
      <c r="AG244" s="7"/>
      <c r="AH244" s="1"/>
    </row>
    <row r="245">
      <c r="I245" s="391"/>
      <c r="W245" s="1"/>
      <c r="X245" s="1"/>
      <c r="Y245" s="7"/>
      <c r="Z245" s="7"/>
      <c r="AA245" s="1"/>
      <c r="AB245" s="7"/>
      <c r="AC245" s="7"/>
      <c r="AD245" s="7"/>
      <c r="AE245" s="7"/>
      <c r="AF245" s="7"/>
      <c r="AG245" s="7"/>
      <c r="AH245" s="1"/>
    </row>
    <row r="246">
      <c r="I246" s="391"/>
      <c r="W246" s="1"/>
      <c r="X246" s="1"/>
      <c r="Y246" s="7"/>
      <c r="Z246" s="7"/>
      <c r="AA246" s="1"/>
      <c r="AB246" s="7"/>
      <c r="AC246" s="7"/>
      <c r="AD246" s="7"/>
      <c r="AE246" s="7"/>
      <c r="AF246" s="7"/>
      <c r="AG246" s="7"/>
      <c r="AH246" s="1"/>
    </row>
    <row r="247">
      <c r="I247" s="391"/>
      <c r="W247" s="1"/>
      <c r="X247" s="1"/>
      <c r="Y247" s="7"/>
      <c r="Z247" s="7"/>
      <c r="AA247" s="1"/>
      <c r="AB247" s="7"/>
      <c r="AC247" s="7"/>
      <c r="AD247" s="7"/>
      <c r="AE247" s="7"/>
      <c r="AF247" s="7"/>
      <c r="AG247" s="7"/>
      <c r="AH247" s="1"/>
    </row>
    <row r="248">
      <c r="I248" s="391"/>
      <c r="W248" s="1"/>
      <c r="X248" s="1"/>
      <c r="Y248" s="7"/>
      <c r="Z248" s="7"/>
      <c r="AA248" s="1"/>
      <c r="AB248" s="7"/>
      <c r="AC248" s="7"/>
      <c r="AD248" s="7"/>
      <c r="AE248" s="7"/>
      <c r="AF248" s="7"/>
      <c r="AG248" s="7"/>
      <c r="AH248" s="1"/>
    </row>
    <row r="249">
      <c r="I249" s="391"/>
      <c r="W249" s="1"/>
      <c r="X249" s="1"/>
      <c r="Y249" s="7"/>
      <c r="Z249" s="7"/>
      <c r="AA249" s="1"/>
      <c r="AB249" s="7"/>
      <c r="AC249" s="7"/>
      <c r="AD249" s="7"/>
      <c r="AE249" s="7"/>
      <c r="AF249" s="7"/>
      <c r="AG249" s="7"/>
      <c r="AH249" s="1"/>
    </row>
    <row r="250">
      <c r="I250" s="391"/>
      <c r="W250" s="1"/>
      <c r="X250" s="1"/>
      <c r="Y250" s="7"/>
      <c r="Z250" s="7"/>
      <c r="AA250" s="1"/>
      <c r="AB250" s="7"/>
      <c r="AC250" s="7"/>
      <c r="AD250" s="7"/>
      <c r="AE250" s="7"/>
      <c r="AF250" s="7"/>
      <c r="AG250" s="7"/>
      <c r="AH250" s="1"/>
    </row>
    <row r="251">
      <c r="I251" s="391"/>
      <c r="W251" s="1"/>
      <c r="X251" s="1"/>
      <c r="Y251" s="7"/>
      <c r="Z251" s="7"/>
      <c r="AA251" s="1"/>
      <c r="AB251" s="7"/>
      <c r="AC251" s="7"/>
      <c r="AD251" s="7"/>
      <c r="AE251" s="7"/>
      <c r="AF251" s="7"/>
      <c r="AG251" s="7"/>
      <c r="AH251" s="1"/>
    </row>
    <row r="252">
      <c r="I252" s="391"/>
      <c r="W252" s="1"/>
      <c r="X252" s="1"/>
      <c r="Y252" s="7"/>
      <c r="Z252" s="7"/>
      <c r="AA252" s="1"/>
      <c r="AB252" s="7"/>
      <c r="AC252" s="7"/>
      <c r="AD252" s="7"/>
      <c r="AE252" s="7"/>
      <c r="AF252" s="7"/>
      <c r="AG252" s="7"/>
      <c r="AH252" s="1"/>
    </row>
    <row r="253">
      <c r="I253" s="391"/>
      <c r="W253" s="1"/>
      <c r="X253" s="1"/>
      <c r="Y253" s="7"/>
      <c r="Z253" s="7"/>
      <c r="AA253" s="1"/>
      <c r="AB253" s="7"/>
      <c r="AC253" s="7"/>
      <c r="AD253" s="7"/>
      <c r="AE253" s="7"/>
      <c r="AF253" s="7"/>
      <c r="AG253" s="7"/>
      <c r="AH253" s="1"/>
    </row>
    <row r="254">
      <c r="I254" s="391"/>
      <c r="W254" s="1"/>
      <c r="X254" s="1"/>
      <c r="Y254" s="7"/>
      <c r="Z254" s="7"/>
      <c r="AA254" s="1"/>
      <c r="AB254" s="7"/>
      <c r="AC254" s="7"/>
      <c r="AD254" s="7"/>
      <c r="AE254" s="7"/>
      <c r="AF254" s="7"/>
      <c r="AG254" s="7"/>
      <c r="AH254" s="1"/>
    </row>
    <row r="255">
      <c r="I255" s="391"/>
      <c r="W255" s="1"/>
      <c r="X255" s="1"/>
      <c r="Y255" s="7"/>
      <c r="Z255" s="7"/>
      <c r="AA255" s="1"/>
      <c r="AB255" s="7"/>
      <c r="AC255" s="7"/>
      <c r="AD255" s="7"/>
      <c r="AE255" s="7"/>
      <c r="AF255" s="7"/>
      <c r="AG255" s="7"/>
      <c r="AH255" s="1"/>
    </row>
    <row r="256">
      <c r="I256" s="391"/>
      <c r="W256" s="1"/>
      <c r="X256" s="1"/>
      <c r="Y256" s="7"/>
      <c r="Z256" s="7"/>
      <c r="AA256" s="1"/>
      <c r="AB256" s="7"/>
      <c r="AC256" s="7"/>
      <c r="AD256" s="7"/>
      <c r="AE256" s="7"/>
      <c r="AF256" s="7"/>
      <c r="AG256" s="7"/>
      <c r="AH256" s="1"/>
    </row>
    <row r="257">
      <c r="I257" s="391"/>
      <c r="W257" s="1"/>
      <c r="X257" s="1"/>
      <c r="Y257" s="7"/>
      <c r="Z257" s="7"/>
      <c r="AA257" s="1"/>
      <c r="AB257" s="7"/>
      <c r="AC257" s="7"/>
      <c r="AD257" s="7"/>
      <c r="AE257" s="7"/>
      <c r="AF257" s="7"/>
      <c r="AG257" s="7"/>
      <c r="AH257" s="1"/>
    </row>
    <row r="258">
      <c r="I258" s="391"/>
      <c r="W258" s="1"/>
      <c r="X258" s="1"/>
      <c r="Y258" s="7"/>
      <c r="Z258" s="7"/>
      <c r="AA258" s="1"/>
      <c r="AB258" s="7"/>
      <c r="AC258" s="7"/>
      <c r="AD258" s="7"/>
      <c r="AE258" s="7"/>
      <c r="AF258" s="7"/>
      <c r="AG258" s="7"/>
      <c r="AH258" s="1"/>
    </row>
    <row r="259">
      <c r="I259" s="391"/>
      <c r="W259" s="1"/>
      <c r="X259" s="1"/>
      <c r="Y259" s="7"/>
      <c r="Z259" s="7"/>
      <c r="AA259" s="1"/>
      <c r="AB259" s="7"/>
      <c r="AC259" s="7"/>
      <c r="AD259" s="7"/>
      <c r="AE259" s="7"/>
      <c r="AF259" s="7"/>
      <c r="AG259" s="7"/>
      <c r="AH259" s="1"/>
    </row>
    <row r="260">
      <c r="I260" s="391"/>
      <c r="W260" s="1"/>
      <c r="X260" s="1"/>
      <c r="Y260" s="7"/>
      <c r="Z260" s="7"/>
      <c r="AA260" s="1"/>
      <c r="AB260" s="7"/>
      <c r="AC260" s="7"/>
      <c r="AD260" s="7"/>
      <c r="AE260" s="7"/>
      <c r="AF260" s="7"/>
      <c r="AG260" s="7"/>
      <c r="AH260" s="1"/>
    </row>
    <row r="261">
      <c r="I261" s="391"/>
      <c r="W261" s="1"/>
      <c r="X261" s="1"/>
      <c r="Y261" s="7"/>
      <c r="Z261" s="7"/>
      <c r="AA261" s="1"/>
      <c r="AB261" s="7"/>
      <c r="AC261" s="7"/>
      <c r="AD261" s="7"/>
      <c r="AE261" s="7"/>
      <c r="AF261" s="7"/>
      <c r="AG261" s="7"/>
      <c r="AH261" s="1"/>
    </row>
    <row r="262">
      <c r="I262" s="391"/>
      <c r="W262" s="1"/>
      <c r="X262" s="1"/>
      <c r="Y262" s="7"/>
      <c r="Z262" s="7"/>
      <c r="AA262" s="1"/>
      <c r="AB262" s="7"/>
      <c r="AC262" s="7"/>
      <c r="AD262" s="7"/>
      <c r="AE262" s="7"/>
      <c r="AF262" s="7"/>
      <c r="AG262" s="7"/>
      <c r="AH262" s="1"/>
    </row>
    <row r="263">
      <c r="I263" s="391"/>
      <c r="W263" s="1"/>
      <c r="X263" s="1"/>
      <c r="Y263" s="7"/>
      <c r="Z263" s="7"/>
      <c r="AA263" s="1"/>
      <c r="AB263" s="7"/>
      <c r="AC263" s="7"/>
      <c r="AD263" s="7"/>
      <c r="AE263" s="7"/>
      <c r="AF263" s="7"/>
      <c r="AG263" s="7"/>
      <c r="AH263" s="1"/>
    </row>
    <row r="264">
      <c r="I264" s="391"/>
      <c r="W264" s="1"/>
      <c r="X264" s="1"/>
      <c r="Y264" s="7"/>
      <c r="Z264" s="7"/>
      <c r="AA264" s="1"/>
      <c r="AB264" s="7"/>
      <c r="AC264" s="7"/>
      <c r="AD264" s="7"/>
      <c r="AE264" s="7"/>
      <c r="AF264" s="7"/>
      <c r="AG264" s="7"/>
      <c r="AH264" s="1"/>
    </row>
    <row r="265">
      <c r="I265" s="391"/>
      <c r="W265" s="1"/>
      <c r="X265" s="1"/>
      <c r="Y265" s="7"/>
      <c r="Z265" s="7"/>
      <c r="AA265" s="1"/>
      <c r="AB265" s="7"/>
      <c r="AC265" s="7"/>
      <c r="AD265" s="7"/>
      <c r="AE265" s="7"/>
      <c r="AF265" s="7"/>
      <c r="AG265" s="7"/>
      <c r="AH265" s="1"/>
    </row>
    <row r="266">
      <c r="I266" s="391"/>
      <c r="W266" s="1"/>
      <c r="X266" s="1"/>
      <c r="Y266" s="7"/>
      <c r="Z266" s="7"/>
      <c r="AA266" s="1"/>
      <c r="AB266" s="7"/>
      <c r="AC266" s="7"/>
      <c r="AD266" s="7"/>
      <c r="AE266" s="7"/>
      <c r="AF266" s="7"/>
      <c r="AG266" s="7"/>
      <c r="AH266" s="1"/>
    </row>
    <row r="267">
      <c r="I267" s="391"/>
      <c r="W267" s="1"/>
      <c r="X267" s="1"/>
      <c r="Y267" s="7"/>
      <c r="Z267" s="7"/>
      <c r="AA267" s="1"/>
      <c r="AB267" s="7"/>
      <c r="AC267" s="7"/>
      <c r="AD267" s="7"/>
      <c r="AE267" s="7"/>
      <c r="AF267" s="7"/>
      <c r="AG267" s="7"/>
      <c r="AH267" s="1"/>
    </row>
    <row r="268">
      <c r="I268" s="391"/>
      <c r="W268" s="1"/>
      <c r="X268" s="1"/>
      <c r="Y268" s="7"/>
      <c r="Z268" s="7"/>
      <c r="AA268" s="1"/>
      <c r="AB268" s="7"/>
      <c r="AC268" s="7"/>
      <c r="AD268" s="7"/>
      <c r="AE268" s="7"/>
      <c r="AF268" s="7"/>
      <c r="AG268" s="7"/>
      <c r="AH268" s="1"/>
    </row>
    <row r="269">
      <c r="I269" s="391"/>
      <c r="W269" s="1"/>
      <c r="X269" s="1"/>
      <c r="Y269" s="7"/>
      <c r="Z269" s="7"/>
      <c r="AA269" s="1"/>
      <c r="AB269" s="7"/>
      <c r="AC269" s="7"/>
      <c r="AD269" s="7"/>
      <c r="AE269" s="7"/>
      <c r="AF269" s="7"/>
      <c r="AG269" s="7"/>
      <c r="AH269" s="1"/>
    </row>
    <row r="270">
      <c r="I270" s="391"/>
      <c r="W270" s="1"/>
      <c r="X270" s="1"/>
      <c r="Y270" s="7"/>
      <c r="Z270" s="7"/>
      <c r="AA270" s="1"/>
      <c r="AB270" s="7"/>
      <c r="AC270" s="7"/>
      <c r="AD270" s="7"/>
      <c r="AE270" s="7"/>
      <c r="AF270" s="7"/>
      <c r="AG270" s="7"/>
      <c r="AH270" s="1"/>
    </row>
    <row r="271">
      <c r="I271" s="391"/>
      <c r="W271" s="1"/>
      <c r="X271" s="1"/>
      <c r="Y271" s="7"/>
      <c r="Z271" s="7"/>
      <c r="AA271" s="1"/>
      <c r="AB271" s="7"/>
      <c r="AC271" s="7"/>
      <c r="AD271" s="7"/>
      <c r="AE271" s="7"/>
      <c r="AF271" s="7"/>
      <c r="AG271" s="7"/>
      <c r="AH271" s="1"/>
    </row>
    <row r="272">
      <c r="I272" s="391"/>
      <c r="W272" s="1"/>
      <c r="X272" s="1"/>
      <c r="Y272" s="7"/>
      <c r="Z272" s="7"/>
      <c r="AA272" s="1"/>
      <c r="AB272" s="7"/>
      <c r="AC272" s="7"/>
      <c r="AD272" s="7"/>
      <c r="AE272" s="7"/>
      <c r="AF272" s="7"/>
      <c r="AG272" s="7"/>
      <c r="AH272" s="1"/>
    </row>
    <row r="273">
      <c r="I273" s="391"/>
      <c r="W273" s="1"/>
      <c r="X273" s="1"/>
      <c r="Y273" s="7"/>
      <c r="Z273" s="7"/>
      <c r="AA273" s="1"/>
      <c r="AB273" s="7"/>
      <c r="AC273" s="7"/>
      <c r="AD273" s="7"/>
      <c r="AE273" s="7"/>
      <c r="AF273" s="7"/>
      <c r="AG273" s="7"/>
      <c r="AH273" s="1"/>
    </row>
    <row r="274">
      <c r="I274" s="391"/>
      <c r="W274" s="1"/>
      <c r="X274" s="1"/>
      <c r="Y274" s="7"/>
      <c r="Z274" s="7"/>
      <c r="AA274" s="1"/>
      <c r="AB274" s="7"/>
      <c r="AC274" s="7"/>
      <c r="AD274" s="7"/>
      <c r="AE274" s="7"/>
      <c r="AF274" s="7"/>
      <c r="AG274" s="7"/>
      <c r="AH274" s="1"/>
    </row>
    <row r="275">
      <c r="I275" s="391"/>
      <c r="W275" s="1"/>
      <c r="X275" s="1"/>
      <c r="Y275" s="7"/>
      <c r="Z275" s="7"/>
      <c r="AA275" s="1"/>
      <c r="AB275" s="7"/>
      <c r="AC275" s="7"/>
      <c r="AD275" s="7"/>
      <c r="AE275" s="7"/>
      <c r="AF275" s="7"/>
      <c r="AG275" s="7"/>
      <c r="AH275" s="1"/>
    </row>
    <row r="276">
      <c r="I276" s="391"/>
      <c r="W276" s="1"/>
      <c r="X276" s="1"/>
      <c r="Y276" s="7"/>
      <c r="Z276" s="7"/>
      <c r="AA276" s="1"/>
      <c r="AB276" s="7"/>
      <c r="AC276" s="7"/>
      <c r="AD276" s="7"/>
      <c r="AE276" s="7"/>
      <c r="AF276" s="7"/>
      <c r="AG276" s="7"/>
      <c r="AH276" s="1"/>
    </row>
    <row r="277">
      <c r="I277" s="391"/>
      <c r="W277" s="1"/>
      <c r="X277" s="1"/>
      <c r="Y277" s="7"/>
      <c r="Z277" s="7"/>
      <c r="AA277" s="1"/>
      <c r="AB277" s="7"/>
      <c r="AC277" s="7"/>
      <c r="AD277" s="7"/>
      <c r="AE277" s="7"/>
      <c r="AF277" s="7"/>
      <c r="AG277" s="7"/>
      <c r="AH277" s="1"/>
    </row>
    <row r="278">
      <c r="I278" s="391"/>
      <c r="W278" s="1"/>
      <c r="X278" s="1"/>
      <c r="Y278" s="7"/>
      <c r="Z278" s="7"/>
      <c r="AA278" s="1"/>
      <c r="AB278" s="7"/>
      <c r="AC278" s="7"/>
      <c r="AD278" s="7"/>
      <c r="AE278" s="7"/>
      <c r="AF278" s="7"/>
      <c r="AG278" s="7"/>
      <c r="AH278" s="1"/>
    </row>
    <row r="279">
      <c r="I279" s="391"/>
      <c r="W279" s="1"/>
      <c r="X279" s="1"/>
      <c r="Y279" s="7"/>
      <c r="Z279" s="7"/>
      <c r="AA279" s="1"/>
      <c r="AB279" s="7"/>
      <c r="AC279" s="7"/>
      <c r="AD279" s="7"/>
      <c r="AE279" s="7"/>
      <c r="AF279" s="7"/>
      <c r="AG279" s="7"/>
      <c r="AH279" s="1"/>
    </row>
    <row r="280">
      <c r="I280" s="391"/>
      <c r="W280" s="1"/>
      <c r="X280" s="1"/>
      <c r="Y280" s="7"/>
      <c r="Z280" s="7"/>
      <c r="AA280" s="1"/>
      <c r="AB280" s="7"/>
      <c r="AC280" s="7"/>
      <c r="AD280" s="7"/>
      <c r="AE280" s="7"/>
      <c r="AF280" s="7"/>
      <c r="AG280" s="7"/>
      <c r="AH280" s="1"/>
    </row>
    <row r="281">
      <c r="I281" s="391"/>
      <c r="W281" s="1"/>
      <c r="X281" s="1"/>
      <c r="Y281" s="7"/>
      <c r="Z281" s="7"/>
      <c r="AA281" s="1"/>
      <c r="AB281" s="7"/>
      <c r="AC281" s="7"/>
      <c r="AD281" s="7"/>
      <c r="AE281" s="7"/>
      <c r="AF281" s="7"/>
      <c r="AG281" s="7"/>
      <c r="AH281" s="1"/>
    </row>
    <row r="282">
      <c r="I282" s="391"/>
      <c r="W282" s="1"/>
      <c r="X282" s="1"/>
      <c r="Y282" s="7"/>
      <c r="Z282" s="7"/>
      <c r="AA282" s="1"/>
      <c r="AB282" s="7"/>
      <c r="AC282" s="7"/>
      <c r="AD282" s="7"/>
      <c r="AE282" s="7"/>
      <c r="AF282" s="7"/>
      <c r="AG282" s="7"/>
      <c r="AH282" s="1"/>
    </row>
    <row r="283">
      <c r="I283" s="391"/>
      <c r="W283" s="1"/>
      <c r="X283" s="1"/>
      <c r="Y283" s="7"/>
      <c r="Z283" s="7"/>
      <c r="AA283" s="1"/>
      <c r="AB283" s="7"/>
      <c r="AC283" s="7"/>
      <c r="AD283" s="7"/>
      <c r="AE283" s="7"/>
      <c r="AF283" s="7"/>
      <c r="AG283" s="7"/>
      <c r="AH283" s="1"/>
    </row>
    <row r="284">
      <c r="I284" s="391"/>
      <c r="W284" s="1"/>
      <c r="X284" s="1"/>
      <c r="Y284" s="7"/>
      <c r="Z284" s="7"/>
      <c r="AA284" s="1"/>
      <c r="AB284" s="7"/>
      <c r="AC284" s="7"/>
      <c r="AD284" s="7"/>
      <c r="AE284" s="7"/>
      <c r="AF284" s="7"/>
      <c r="AG284" s="7"/>
      <c r="AH284" s="1"/>
    </row>
    <row r="285">
      <c r="I285" s="391"/>
      <c r="W285" s="1"/>
      <c r="X285" s="1"/>
      <c r="Y285" s="7"/>
      <c r="Z285" s="7"/>
      <c r="AA285" s="1"/>
      <c r="AB285" s="7"/>
      <c r="AC285" s="7"/>
      <c r="AD285" s="7"/>
      <c r="AE285" s="7"/>
      <c r="AF285" s="7"/>
      <c r="AG285" s="7"/>
      <c r="AH285" s="1"/>
    </row>
    <row r="286">
      <c r="I286" s="391"/>
      <c r="W286" s="1"/>
      <c r="X286" s="1"/>
      <c r="Y286" s="7"/>
      <c r="Z286" s="7"/>
      <c r="AA286" s="1"/>
      <c r="AB286" s="7"/>
      <c r="AC286" s="7"/>
      <c r="AD286" s="7"/>
      <c r="AE286" s="7"/>
      <c r="AF286" s="7"/>
      <c r="AG286" s="7"/>
      <c r="AH286" s="1"/>
    </row>
    <row r="287">
      <c r="I287" s="391"/>
      <c r="W287" s="1"/>
      <c r="X287" s="1"/>
      <c r="Y287" s="7"/>
      <c r="Z287" s="7"/>
      <c r="AA287" s="1"/>
      <c r="AB287" s="7"/>
      <c r="AC287" s="7"/>
      <c r="AD287" s="7"/>
      <c r="AE287" s="7"/>
      <c r="AF287" s="7"/>
      <c r="AG287" s="7"/>
      <c r="AH287" s="1"/>
    </row>
    <row r="288">
      <c r="I288" s="391"/>
      <c r="W288" s="1"/>
      <c r="X288" s="1"/>
      <c r="Y288" s="7"/>
      <c r="Z288" s="7"/>
      <c r="AA288" s="1"/>
      <c r="AB288" s="7"/>
      <c r="AC288" s="7"/>
      <c r="AD288" s="7"/>
      <c r="AE288" s="7"/>
      <c r="AF288" s="7"/>
      <c r="AG288" s="7"/>
      <c r="AH288" s="1"/>
    </row>
    <row r="289">
      <c r="I289" s="391"/>
      <c r="W289" s="1"/>
      <c r="X289" s="1"/>
      <c r="Y289" s="7"/>
      <c r="Z289" s="7"/>
      <c r="AA289" s="1"/>
      <c r="AB289" s="7"/>
      <c r="AC289" s="7"/>
      <c r="AD289" s="7"/>
      <c r="AE289" s="7"/>
      <c r="AF289" s="7"/>
      <c r="AG289" s="7"/>
      <c r="AH289" s="1"/>
    </row>
    <row r="290">
      <c r="I290" s="391"/>
      <c r="W290" s="1"/>
      <c r="X290" s="1"/>
      <c r="Y290" s="7"/>
      <c r="Z290" s="7"/>
      <c r="AA290" s="1"/>
      <c r="AB290" s="7"/>
      <c r="AC290" s="7"/>
      <c r="AD290" s="7"/>
      <c r="AE290" s="7"/>
      <c r="AF290" s="7"/>
      <c r="AG290" s="7"/>
      <c r="AH290" s="1"/>
    </row>
    <row r="291">
      <c r="I291" s="391"/>
      <c r="W291" s="1"/>
      <c r="X291" s="1"/>
      <c r="Y291" s="7"/>
      <c r="Z291" s="7"/>
      <c r="AA291" s="1"/>
      <c r="AB291" s="7"/>
      <c r="AC291" s="7"/>
      <c r="AD291" s="7"/>
      <c r="AE291" s="7"/>
      <c r="AF291" s="7"/>
      <c r="AG291" s="7"/>
      <c r="AH291" s="1"/>
    </row>
    <row r="292">
      <c r="I292" s="391"/>
      <c r="W292" s="1"/>
      <c r="X292" s="1"/>
      <c r="Y292" s="7"/>
      <c r="Z292" s="7"/>
      <c r="AA292" s="1"/>
      <c r="AB292" s="7"/>
      <c r="AC292" s="7"/>
      <c r="AD292" s="7"/>
      <c r="AE292" s="7"/>
      <c r="AF292" s="7"/>
      <c r="AG292" s="7"/>
      <c r="AH292" s="1"/>
    </row>
    <row r="293">
      <c r="I293" s="391"/>
      <c r="W293" s="1"/>
      <c r="X293" s="1"/>
      <c r="Y293" s="7"/>
      <c r="Z293" s="7"/>
      <c r="AA293" s="1"/>
      <c r="AB293" s="7"/>
      <c r="AC293" s="7"/>
      <c r="AD293" s="7"/>
      <c r="AE293" s="7"/>
      <c r="AF293" s="7"/>
      <c r="AG293" s="7"/>
      <c r="AH293" s="1"/>
    </row>
    <row r="294">
      <c r="I294" s="391"/>
      <c r="W294" s="1"/>
      <c r="X294" s="1"/>
      <c r="Y294" s="7"/>
      <c r="Z294" s="7"/>
      <c r="AA294" s="1"/>
      <c r="AB294" s="7"/>
      <c r="AC294" s="7"/>
      <c r="AD294" s="7"/>
      <c r="AE294" s="7"/>
      <c r="AF294" s="7"/>
      <c r="AG294" s="7"/>
      <c r="AH294" s="1"/>
    </row>
    <row r="295">
      <c r="I295" s="391"/>
      <c r="W295" s="1"/>
      <c r="X295" s="1"/>
      <c r="Y295" s="7"/>
      <c r="Z295" s="7"/>
      <c r="AA295" s="1"/>
      <c r="AB295" s="7"/>
      <c r="AC295" s="7"/>
      <c r="AD295" s="7"/>
      <c r="AE295" s="7"/>
      <c r="AF295" s="7"/>
      <c r="AG295" s="7"/>
      <c r="AH295" s="1"/>
    </row>
    <row r="296">
      <c r="I296" s="391"/>
      <c r="W296" s="1"/>
      <c r="X296" s="1"/>
      <c r="Y296" s="7"/>
      <c r="Z296" s="7"/>
      <c r="AA296" s="1"/>
      <c r="AB296" s="7"/>
      <c r="AC296" s="7"/>
      <c r="AD296" s="7"/>
      <c r="AE296" s="7"/>
      <c r="AF296" s="7"/>
      <c r="AG296" s="7"/>
      <c r="AH296" s="1"/>
    </row>
    <row r="297">
      <c r="I297" s="391"/>
      <c r="W297" s="1"/>
      <c r="X297" s="1"/>
      <c r="Y297" s="7"/>
      <c r="Z297" s="7"/>
      <c r="AA297" s="1"/>
      <c r="AB297" s="7"/>
      <c r="AC297" s="7"/>
      <c r="AD297" s="7"/>
      <c r="AE297" s="7"/>
      <c r="AF297" s="7"/>
      <c r="AG297" s="7"/>
      <c r="AH297" s="1"/>
    </row>
    <row r="298">
      <c r="I298" s="391"/>
      <c r="W298" s="1"/>
      <c r="X298" s="1"/>
      <c r="Y298" s="7"/>
      <c r="Z298" s="7"/>
      <c r="AA298" s="1"/>
      <c r="AB298" s="7"/>
      <c r="AC298" s="7"/>
      <c r="AD298" s="7"/>
      <c r="AE298" s="7"/>
      <c r="AF298" s="7"/>
      <c r="AG298" s="7"/>
      <c r="AH298" s="1"/>
    </row>
    <row r="299">
      <c r="I299" s="391"/>
      <c r="W299" s="1"/>
      <c r="X299" s="1"/>
      <c r="Y299" s="7"/>
      <c r="Z299" s="7"/>
      <c r="AA299" s="1"/>
      <c r="AB299" s="7"/>
      <c r="AC299" s="7"/>
      <c r="AD299" s="7"/>
      <c r="AE299" s="7"/>
      <c r="AF299" s="7"/>
      <c r="AG299" s="7"/>
      <c r="AH299" s="1"/>
    </row>
    <row r="300">
      <c r="I300" s="391"/>
      <c r="W300" s="1"/>
      <c r="X300" s="1"/>
      <c r="Y300" s="7"/>
      <c r="Z300" s="7"/>
      <c r="AA300" s="1"/>
      <c r="AB300" s="7"/>
      <c r="AC300" s="7"/>
      <c r="AD300" s="7"/>
      <c r="AE300" s="7"/>
      <c r="AF300" s="7"/>
      <c r="AG300" s="7"/>
      <c r="AH300" s="1"/>
    </row>
    <row r="301">
      <c r="I301" s="391"/>
      <c r="W301" s="1"/>
      <c r="X301" s="1"/>
      <c r="Y301" s="7"/>
      <c r="Z301" s="7"/>
      <c r="AA301" s="1"/>
      <c r="AB301" s="7"/>
      <c r="AC301" s="7"/>
      <c r="AD301" s="7"/>
      <c r="AE301" s="7"/>
      <c r="AF301" s="7"/>
      <c r="AG301" s="7"/>
      <c r="AH301" s="1"/>
    </row>
    <row r="302">
      <c r="I302" s="391"/>
      <c r="W302" s="1"/>
      <c r="X302" s="1"/>
      <c r="Y302" s="7"/>
      <c r="Z302" s="7"/>
      <c r="AA302" s="1"/>
      <c r="AB302" s="7"/>
      <c r="AC302" s="7"/>
      <c r="AD302" s="7"/>
      <c r="AE302" s="7"/>
      <c r="AF302" s="7"/>
      <c r="AG302" s="7"/>
      <c r="AH302" s="1"/>
    </row>
    <row r="303">
      <c r="I303" s="391"/>
      <c r="W303" s="1"/>
      <c r="X303" s="1"/>
      <c r="Y303" s="7"/>
      <c r="Z303" s="7"/>
      <c r="AA303" s="1"/>
      <c r="AB303" s="7"/>
      <c r="AC303" s="7"/>
      <c r="AD303" s="7"/>
      <c r="AE303" s="7"/>
      <c r="AF303" s="7"/>
      <c r="AG303" s="7"/>
      <c r="AH303" s="1"/>
    </row>
    <row r="304">
      <c r="I304" s="391"/>
      <c r="W304" s="1"/>
      <c r="X304" s="1"/>
      <c r="Y304" s="7"/>
      <c r="Z304" s="7"/>
      <c r="AA304" s="1"/>
      <c r="AB304" s="7"/>
      <c r="AC304" s="7"/>
      <c r="AD304" s="7"/>
      <c r="AE304" s="7"/>
      <c r="AF304" s="7"/>
      <c r="AG304" s="7"/>
      <c r="AH304" s="1"/>
    </row>
    <row r="305">
      <c r="I305" s="391"/>
      <c r="W305" s="1"/>
      <c r="X305" s="1"/>
      <c r="Y305" s="7"/>
      <c r="Z305" s="7"/>
      <c r="AA305" s="1"/>
      <c r="AB305" s="7"/>
      <c r="AC305" s="7"/>
      <c r="AD305" s="7"/>
      <c r="AE305" s="7"/>
      <c r="AF305" s="7"/>
      <c r="AG305" s="7"/>
      <c r="AH305" s="1"/>
    </row>
    <row r="306">
      <c r="I306" s="391"/>
      <c r="W306" s="1"/>
      <c r="X306" s="1"/>
      <c r="Y306" s="7"/>
      <c r="Z306" s="7"/>
      <c r="AA306" s="1"/>
      <c r="AB306" s="7"/>
      <c r="AC306" s="7"/>
      <c r="AD306" s="7"/>
      <c r="AE306" s="7"/>
      <c r="AF306" s="7"/>
      <c r="AG306" s="7"/>
      <c r="AH306" s="1"/>
    </row>
    <row r="307">
      <c r="I307" s="391"/>
      <c r="W307" s="1"/>
      <c r="X307" s="1"/>
      <c r="Y307" s="7"/>
      <c r="Z307" s="7"/>
      <c r="AA307" s="1"/>
      <c r="AB307" s="7"/>
      <c r="AC307" s="7"/>
      <c r="AD307" s="7"/>
      <c r="AE307" s="7"/>
      <c r="AF307" s="7"/>
      <c r="AG307" s="7"/>
      <c r="AH307" s="1"/>
    </row>
    <row r="308">
      <c r="I308" s="391"/>
      <c r="W308" s="1"/>
      <c r="X308" s="1"/>
      <c r="Y308" s="7"/>
      <c r="Z308" s="7"/>
      <c r="AA308" s="1"/>
      <c r="AB308" s="7"/>
      <c r="AC308" s="7"/>
      <c r="AD308" s="7"/>
      <c r="AE308" s="7"/>
      <c r="AF308" s="7"/>
      <c r="AG308" s="7"/>
      <c r="AH308" s="1"/>
    </row>
    <row r="309">
      <c r="I309" s="391"/>
      <c r="W309" s="1"/>
      <c r="X309" s="1"/>
      <c r="Y309" s="7"/>
      <c r="Z309" s="7"/>
      <c r="AA309" s="1"/>
      <c r="AB309" s="7"/>
      <c r="AC309" s="7"/>
      <c r="AD309" s="7"/>
      <c r="AE309" s="7"/>
      <c r="AF309" s="7"/>
      <c r="AG309" s="7"/>
      <c r="AH309" s="1"/>
    </row>
    <row r="310">
      <c r="I310" s="391"/>
      <c r="W310" s="1"/>
      <c r="X310" s="1"/>
      <c r="Y310" s="7"/>
      <c r="Z310" s="7"/>
      <c r="AA310" s="1"/>
      <c r="AB310" s="7"/>
      <c r="AC310" s="7"/>
      <c r="AD310" s="7"/>
      <c r="AE310" s="7"/>
      <c r="AF310" s="7"/>
      <c r="AG310" s="7"/>
      <c r="AH310" s="1"/>
    </row>
    <row r="311">
      <c r="I311" s="391"/>
      <c r="W311" s="1"/>
      <c r="X311" s="1"/>
      <c r="Y311" s="7"/>
      <c r="Z311" s="7"/>
      <c r="AA311" s="1"/>
      <c r="AB311" s="7"/>
      <c r="AC311" s="7"/>
      <c r="AD311" s="7"/>
      <c r="AE311" s="7"/>
      <c r="AF311" s="7"/>
      <c r="AG311" s="7"/>
      <c r="AH311" s="1"/>
    </row>
    <row r="312">
      <c r="I312" s="391"/>
      <c r="W312" s="1"/>
      <c r="X312" s="1"/>
      <c r="Y312" s="7"/>
      <c r="Z312" s="7"/>
      <c r="AA312" s="1"/>
      <c r="AB312" s="7"/>
      <c r="AC312" s="7"/>
      <c r="AD312" s="7"/>
      <c r="AE312" s="7"/>
      <c r="AF312" s="7"/>
      <c r="AG312" s="7"/>
      <c r="AH312" s="1"/>
    </row>
    <row r="313">
      <c r="I313" s="391"/>
      <c r="W313" s="1"/>
      <c r="X313" s="1"/>
      <c r="Y313" s="7"/>
      <c r="Z313" s="7"/>
      <c r="AA313" s="1"/>
      <c r="AB313" s="7"/>
      <c r="AC313" s="7"/>
      <c r="AD313" s="7"/>
      <c r="AE313" s="7"/>
      <c r="AF313" s="7"/>
      <c r="AG313" s="7"/>
      <c r="AH313" s="1"/>
    </row>
    <row r="314">
      <c r="I314" s="391"/>
      <c r="W314" s="1"/>
      <c r="X314" s="1"/>
      <c r="Y314" s="7"/>
      <c r="Z314" s="7"/>
      <c r="AA314" s="1"/>
      <c r="AB314" s="7"/>
      <c r="AC314" s="7"/>
      <c r="AD314" s="7"/>
      <c r="AE314" s="7"/>
      <c r="AF314" s="7"/>
      <c r="AG314" s="7"/>
      <c r="AH314" s="1"/>
    </row>
    <row r="315">
      <c r="I315" s="391"/>
      <c r="W315" s="1"/>
      <c r="X315" s="1"/>
      <c r="Y315" s="7"/>
      <c r="Z315" s="7"/>
      <c r="AA315" s="1"/>
      <c r="AB315" s="7"/>
      <c r="AC315" s="7"/>
      <c r="AD315" s="7"/>
      <c r="AE315" s="7"/>
      <c r="AF315" s="7"/>
      <c r="AG315" s="7"/>
      <c r="AH315" s="1"/>
    </row>
    <row r="316">
      <c r="I316" s="391"/>
      <c r="W316" s="1"/>
      <c r="X316" s="1"/>
      <c r="Y316" s="7"/>
      <c r="Z316" s="7"/>
      <c r="AA316" s="1"/>
      <c r="AB316" s="7"/>
      <c r="AC316" s="7"/>
      <c r="AD316" s="7"/>
      <c r="AE316" s="7"/>
      <c r="AF316" s="7"/>
      <c r="AG316" s="7"/>
      <c r="AH316" s="1"/>
    </row>
    <row r="317">
      <c r="I317" s="391"/>
      <c r="W317" s="1"/>
      <c r="X317" s="1"/>
      <c r="Y317" s="7"/>
      <c r="Z317" s="7"/>
      <c r="AA317" s="1"/>
      <c r="AB317" s="7"/>
      <c r="AC317" s="7"/>
      <c r="AD317" s="7"/>
      <c r="AE317" s="7"/>
      <c r="AF317" s="7"/>
      <c r="AG317" s="7"/>
      <c r="AH317" s="1"/>
    </row>
    <row r="318">
      <c r="I318" s="391"/>
      <c r="W318" s="1"/>
      <c r="X318" s="1"/>
      <c r="Y318" s="7"/>
      <c r="Z318" s="7"/>
      <c r="AA318" s="1"/>
      <c r="AB318" s="7"/>
      <c r="AC318" s="7"/>
      <c r="AD318" s="7"/>
      <c r="AE318" s="7"/>
      <c r="AF318" s="7"/>
      <c r="AG318" s="7"/>
      <c r="AH318" s="1"/>
    </row>
    <row r="319">
      <c r="I319" s="391"/>
      <c r="W319" s="1"/>
      <c r="X319" s="1"/>
      <c r="Y319" s="7"/>
      <c r="Z319" s="7"/>
      <c r="AA319" s="1"/>
      <c r="AB319" s="7"/>
      <c r="AC319" s="7"/>
      <c r="AD319" s="7"/>
      <c r="AE319" s="7"/>
      <c r="AF319" s="7"/>
      <c r="AG319" s="7"/>
      <c r="AH319" s="1"/>
    </row>
    <row r="320">
      <c r="I320" s="391"/>
      <c r="W320" s="1"/>
      <c r="X320" s="1"/>
      <c r="Y320" s="7"/>
      <c r="Z320" s="7"/>
      <c r="AA320" s="1"/>
      <c r="AB320" s="7"/>
      <c r="AC320" s="7"/>
      <c r="AD320" s="7"/>
      <c r="AE320" s="7"/>
      <c r="AF320" s="7"/>
      <c r="AG320" s="7"/>
      <c r="AH320" s="1"/>
    </row>
    <row r="321">
      <c r="I321" s="391"/>
      <c r="W321" s="1"/>
      <c r="X321" s="1"/>
      <c r="Y321" s="7"/>
      <c r="Z321" s="7"/>
      <c r="AA321" s="1"/>
      <c r="AB321" s="7"/>
      <c r="AC321" s="7"/>
      <c r="AD321" s="7"/>
      <c r="AE321" s="7"/>
      <c r="AF321" s="7"/>
      <c r="AG321" s="7"/>
      <c r="AH321" s="1"/>
    </row>
    <row r="322">
      <c r="I322" s="391"/>
      <c r="W322" s="1"/>
      <c r="X322" s="1"/>
      <c r="Y322" s="7"/>
      <c r="Z322" s="7"/>
      <c r="AA322" s="1"/>
      <c r="AB322" s="7"/>
      <c r="AC322" s="7"/>
      <c r="AD322" s="7"/>
      <c r="AE322" s="7"/>
      <c r="AF322" s="7"/>
      <c r="AG322" s="7"/>
      <c r="AH322" s="1"/>
    </row>
    <row r="323">
      <c r="I323" s="391"/>
      <c r="W323" s="1"/>
      <c r="X323" s="1"/>
      <c r="Y323" s="7"/>
      <c r="Z323" s="7"/>
      <c r="AA323" s="1"/>
      <c r="AB323" s="7"/>
      <c r="AC323" s="7"/>
      <c r="AD323" s="7"/>
      <c r="AE323" s="7"/>
      <c r="AF323" s="7"/>
      <c r="AG323" s="7"/>
      <c r="AH323" s="1"/>
    </row>
    <row r="324">
      <c r="I324" s="391"/>
      <c r="W324" s="1"/>
      <c r="X324" s="1"/>
      <c r="Y324" s="7"/>
      <c r="Z324" s="7"/>
      <c r="AA324" s="1"/>
      <c r="AB324" s="7"/>
      <c r="AC324" s="7"/>
      <c r="AD324" s="7"/>
      <c r="AE324" s="7"/>
      <c r="AF324" s="7"/>
      <c r="AG324" s="7"/>
      <c r="AH324" s="1"/>
    </row>
    <row r="325">
      <c r="I325" s="391"/>
      <c r="W325" s="1"/>
      <c r="X325" s="1"/>
      <c r="Y325" s="7"/>
      <c r="Z325" s="7"/>
      <c r="AA325" s="1"/>
      <c r="AB325" s="7"/>
      <c r="AC325" s="7"/>
      <c r="AD325" s="7"/>
      <c r="AE325" s="7"/>
      <c r="AF325" s="7"/>
      <c r="AG325" s="7"/>
      <c r="AH325" s="1"/>
    </row>
    <row r="326">
      <c r="I326" s="391"/>
      <c r="W326" s="1"/>
      <c r="X326" s="1"/>
      <c r="Y326" s="7"/>
      <c r="Z326" s="7"/>
      <c r="AA326" s="1"/>
      <c r="AB326" s="7"/>
      <c r="AC326" s="7"/>
      <c r="AD326" s="7"/>
      <c r="AE326" s="7"/>
      <c r="AF326" s="7"/>
      <c r="AG326" s="7"/>
      <c r="AH326" s="1"/>
    </row>
    <row r="327">
      <c r="I327" s="391"/>
      <c r="W327" s="1"/>
      <c r="X327" s="1"/>
      <c r="Y327" s="7"/>
      <c r="Z327" s="7"/>
      <c r="AA327" s="1"/>
      <c r="AB327" s="7"/>
      <c r="AC327" s="7"/>
      <c r="AD327" s="7"/>
      <c r="AE327" s="7"/>
      <c r="AF327" s="7"/>
      <c r="AG327" s="7"/>
      <c r="AH327" s="1"/>
    </row>
    <row r="328">
      <c r="I328" s="391"/>
      <c r="W328" s="1"/>
      <c r="X328" s="1"/>
      <c r="Y328" s="7"/>
      <c r="Z328" s="7"/>
      <c r="AA328" s="1"/>
      <c r="AB328" s="7"/>
      <c r="AC328" s="7"/>
      <c r="AD328" s="7"/>
      <c r="AE328" s="7"/>
      <c r="AF328" s="7"/>
      <c r="AG328" s="7"/>
      <c r="AH328" s="1"/>
    </row>
    <row r="329">
      <c r="I329" s="391"/>
      <c r="W329" s="1"/>
      <c r="X329" s="1"/>
      <c r="Y329" s="7"/>
      <c r="Z329" s="7"/>
      <c r="AA329" s="1"/>
      <c r="AB329" s="7"/>
      <c r="AC329" s="7"/>
      <c r="AD329" s="7"/>
      <c r="AE329" s="7"/>
      <c r="AF329" s="7"/>
      <c r="AG329" s="7"/>
      <c r="AH329" s="1"/>
    </row>
    <row r="330">
      <c r="I330" s="391"/>
      <c r="W330" s="1"/>
      <c r="X330" s="1"/>
      <c r="Y330" s="7"/>
      <c r="Z330" s="7"/>
      <c r="AA330" s="1"/>
      <c r="AB330" s="7"/>
      <c r="AC330" s="7"/>
      <c r="AD330" s="7"/>
      <c r="AE330" s="7"/>
      <c r="AF330" s="7"/>
      <c r="AG330" s="7"/>
      <c r="AH330" s="1"/>
    </row>
    <row r="331">
      <c r="I331" s="391"/>
      <c r="W331" s="1"/>
      <c r="X331" s="1"/>
      <c r="Y331" s="7"/>
      <c r="Z331" s="7"/>
      <c r="AA331" s="1"/>
      <c r="AB331" s="7"/>
      <c r="AC331" s="7"/>
      <c r="AD331" s="7"/>
      <c r="AE331" s="7"/>
      <c r="AF331" s="7"/>
      <c r="AG331" s="7"/>
      <c r="AH331" s="1"/>
    </row>
    <row r="332">
      <c r="I332" s="391"/>
      <c r="W332" s="1"/>
      <c r="X332" s="1"/>
      <c r="Y332" s="7"/>
      <c r="Z332" s="7"/>
      <c r="AA332" s="1"/>
      <c r="AB332" s="7"/>
      <c r="AC332" s="7"/>
      <c r="AD332" s="7"/>
      <c r="AE332" s="7"/>
      <c r="AF332" s="7"/>
      <c r="AG332" s="7"/>
      <c r="AH332" s="1"/>
    </row>
    <row r="333">
      <c r="I333" s="391"/>
      <c r="W333" s="1"/>
      <c r="X333" s="1"/>
      <c r="Y333" s="7"/>
      <c r="Z333" s="7"/>
      <c r="AA333" s="1"/>
      <c r="AB333" s="7"/>
      <c r="AC333" s="7"/>
      <c r="AD333" s="7"/>
      <c r="AE333" s="7"/>
      <c r="AF333" s="7"/>
      <c r="AG333" s="7"/>
      <c r="AH333" s="1"/>
    </row>
    <row r="334">
      <c r="I334" s="391"/>
      <c r="W334" s="1"/>
      <c r="X334" s="1"/>
      <c r="Y334" s="7"/>
      <c r="Z334" s="7"/>
      <c r="AA334" s="1"/>
      <c r="AB334" s="7"/>
      <c r="AC334" s="7"/>
      <c r="AD334" s="7"/>
      <c r="AE334" s="7"/>
      <c r="AF334" s="7"/>
      <c r="AG334" s="7"/>
      <c r="AH334" s="1"/>
    </row>
    <row r="335">
      <c r="I335" s="391"/>
      <c r="W335" s="1"/>
      <c r="X335" s="1"/>
      <c r="Y335" s="7"/>
      <c r="Z335" s="7"/>
      <c r="AA335" s="1"/>
      <c r="AB335" s="7"/>
      <c r="AC335" s="7"/>
      <c r="AD335" s="7"/>
      <c r="AE335" s="7"/>
      <c r="AF335" s="7"/>
      <c r="AG335" s="7"/>
      <c r="AH335" s="1"/>
    </row>
    <row r="336">
      <c r="I336" s="391"/>
      <c r="W336" s="1"/>
      <c r="X336" s="1"/>
      <c r="Y336" s="7"/>
      <c r="Z336" s="7"/>
      <c r="AA336" s="1"/>
      <c r="AB336" s="7"/>
      <c r="AC336" s="7"/>
      <c r="AD336" s="7"/>
      <c r="AE336" s="7"/>
      <c r="AF336" s="7"/>
      <c r="AG336" s="7"/>
      <c r="AH336" s="1"/>
    </row>
    <row r="337">
      <c r="I337" s="391"/>
      <c r="W337" s="1"/>
      <c r="X337" s="1"/>
      <c r="Y337" s="7"/>
      <c r="Z337" s="7"/>
      <c r="AA337" s="1"/>
      <c r="AB337" s="7"/>
      <c r="AC337" s="7"/>
      <c r="AD337" s="7"/>
      <c r="AE337" s="7"/>
      <c r="AF337" s="7"/>
      <c r="AG337" s="7"/>
      <c r="AH337" s="1"/>
    </row>
    <row r="338">
      <c r="I338" s="391"/>
      <c r="W338" s="1"/>
      <c r="X338" s="1"/>
      <c r="Y338" s="7"/>
      <c r="Z338" s="7"/>
      <c r="AA338" s="1"/>
      <c r="AB338" s="7"/>
      <c r="AC338" s="7"/>
      <c r="AD338" s="7"/>
      <c r="AE338" s="7"/>
      <c r="AF338" s="7"/>
      <c r="AG338" s="7"/>
      <c r="AH338" s="1"/>
    </row>
    <row r="339">
      <c r="I339" s="391"/>
      <c r="W339" s="1"/>
      <c r="X339" s="1"/>
      <c r="Y339" s="7"/>
      <c r="Z339" s="7"/>
      <c r="AA339" s="1"/>
      <c r="AB339" s="7"/>
      <c r="AC339" s="7"/>
      <c r="AD339" s="7"/>
      <c r="AE339" s="7"/>
      <c r="AF339" s="7"/>
      <c r="AG339" s="7"/>
      <c r="AH339" s="1"/>
    </row>
    <row r="340">
      <c r="I340" s="391"/>
      <c r="W340" s="1"/>
      <c r="X340" s="1"/>
      <c r="Y340" s="7"/>
      <c r="Z340" s="7"/>
      <c r="AA340" s="1"/>
      <c r="AB340" s="7"/>
      <c r="AC340" s="7"/>
      <c r="AD340" s="7"/>
      <c r="AE340" s="7"/>
      <c r="AF340" s="7"/>
      <c r="AG340" s="7"/>
      <c r="AH340" s="1"/>
    </row>
    <row r="341">
      <c r="I341" s="391"/>
      <c r="W341" s="1"/>
      <c r="X341" s="1"/>
      <c r="Y341" s="7"/>
      <c r="Z341" s="7"/>
      <c r="AA341" s="1"/>
      <c r="AB341" s="7"/>
      <c r="AC341" s="7"/>
      <c r="AD341" s="7"/>
      <c r="AE341" s="7"/>
      <c r="AF341" s="7"/>
      <c r="AG341" s="7"/>
      <c r="AH341" s="1"/>
    </row>
    <row r="342">
      <c r="I342" s="391"/>
      <c r="W342" s="1"/>
      <c r="X342" s="1"/>
      <c r="Y342" s="7"/>
      <c r="Z342" s="7"/>
      <c r="AA342" s="1"/>
      <c r="AB342" s="7"/>
      <c r="AC342" s="7"/>
      <c r="AD342" s="7"/>
      <c r="AE342" s="7"/>
      <c r="AF342" s="7"/>
      <c r="AG342" s="7"/>
      <c r="AH342" s="1"/>
    </row>
    <row r="343">
      <c r="I343" s="391"/>
      <c r="W343" s="1"/>
      <c r="X343" s="1"/>
      <c r="Y343" s="7"/>
      <c r="Z343" s="7"/>
      <c r="AA343" s="1"/>
      <c r="AB343" s="7"/>
      <c r="AC343" s="7"/>
      <c r="AD343" s="7"/>
      <c r="AE343" s="7"/>
      <c r="AF343" s="7"/>
      <c r="AG343" s="7"/>
      <c r="AH343" s="1"/>
    </row>
    <row r="344">
      <c r="I344" s="391"/>
      <c r="W344" s="1"/>
      <c r="X344" s="1"/>
      <c r="Y344" s="7"/>
      <c r="Z344" s="7"/>
      <c r="AA344" s="1"/>
      <c r="AB344" s="7"/>
      <c r="AC344" s="7"/>
      <c r="AD344" s="7"/>
      <c r="AE344" s="7"/>
      <c r="AF344" s="7"/>
      <c r="AG344" s="7"/>
      <c r="AH344" s="1"/>
    </row>
    <row r="345">
      <c r="I345" s="391"/>
      <c r="W345" s="1"/>
      <c r="X345" s="1"/>
      <c r="Y345" s="7"/>
      <c r="Z345" s="7"/>
      <c r="AA345" s="1"/>
      <c r="AB345" s="7"/>
      <c r="AC345" s="7"/>
      <c r="AD345" s="7"/>
      <c r="AE345" s="7"/>
      <c r="AF345" s="7"/>
      <c r="AG345" s="7"/>
      <c r="AH345" s="1"/>
    </row>
    <row r="346">
      <c r="I346" s="391"/>
      <c r="W346" s="1"/>
      <c r="X346" s="1"/>
      <c r="Y346" s="7"/>
      <c r="Z346" s="7"/>
      <c r="AA346" s="1"/>
      <c r="AB346" s="7"/>
      <c r="AC346" s="7"/>
      <c r="AD346" s="7"/>
      <c r="AE346" s="7"/>
      <c r="AF346" s="7"/>
      <c r="AG346" s="7"/>
      <c r="AH346" s="1"/>
    </row>
    <row r="347">
      <c r="I347" s="391"/>
      <c r="W347" s="1"/>
      <c r="X347" s="1"/>
      <c r="Y347" s="7"/>
      <c r="Z347" s="7"/>
      <c r="AA347" s="1"/>
      <c r="AB347" s="7"/>
      <c r="AC347" s="7"/>
      <c r="AD347" s="7"/>
      <c r="AE347" s="7"/>
      <c r="AF347" s="7"/>
      <c r="AG347" s="7"/>
      <c r="AH347" s="1"/>
    </row>
    <row r="348">
      <c r="I348" s="391"/>
      <c r="W348" s="1"/>
      <c r="X348" s="1"/>
      <c r="Y348" s="7"/>
      <c r="Z348" s="7"/>
      <c r="AA348" s="1"/>
      <c r="AB348" s="7"/>
      <c r="AC348" s="7"/>
      <c r="AD348" s="7"/>
      <c r="AE348" s="7"/>
      <c r="AF348" s="7"/>
      <c r="AG348" s="7"/>
      <c r="AH348" s="1"/>
    </row>
    <row r="349">
      <c r="I349" s="391"/>
      <c r="W349" s="1"/>
      <c r="X349" s="1"/>
      <c r="Y349" s="7"/>
      <c r="Z349" s="7"/>
      <c r="AA349" s="1"/>
      <c r="AB349" s="7"/>
      <c r="AC349" s="7"/>
      <c r="AD349" s="7"/>
      <c r="AE349" s="7"/>
      <c r="AF349" s="7"/>
      <c r="AG349" s="7"/>
      <c r="AH349" s="1"/>
    </row>
    <row r="350">
      <c r="I350" s="391"/>
      <c r="W350" s="1"/>
      <c r="X350" s="1"/>
      <c r="Y350" s="7"/>
      <c r="Z350" s="7"/>
      <c r="AA350" s="1"/>
      <c r="AB350" s="7"/>
      <c r="AC350" s="7"/>
      <c r="AD350" s="7"/>
      <c r="AE350" s="7"/>
      <c r="AF350" s="7"/>
      <c r="AG350" s="7"/>
      <c r="AH350" s="1"/>
    </row>
    <row r="351">
      <c r="I351" s="391"/>
      <c r="W351" s="1"/>
      <c r="X351" s="1"/>
      <c r="Y351" s="7"/>
      <c r="Z351" s="7"/>
      <c r="AA351" s="1"/>
      <c r="AB351" s="7"/>
      <c r="AC351" s="7"/>
      <c r="AD351" s="7"/>
      <c r="AE351" s="7"/>
      <c r="AF351" s="7"/>
      <c r="AG351" s="7"/>
      <c r="AH351" s="1"/>
    </row>
    <row r="352">
      <c r="I352" s="391"/>
      <c r="W352" s="1"/>
      <c r="X352" s="1"/>
      <c r="Y352" s="7"/>
      <c r="Z352" s="7"/>
      <c r="AA352" s="1"/>
      <c r="AB352" s="7"/>
      <c r="AC352" s="7"/>
      <c r="AD352" s="7"/>
      <c r="AE352" s="7"/>
      <c r="AF352" s="7"/>
      <c r="AG352" s="7"/>
      <c r="AH352" s="1"/>
    </row>
    <row r="353">
      <c r="I353" s="391"/>
      <c r="W353" s="1"/>
      <c r="X353" s="1"/>
      <c r="Y353" s="7"/>
      <c r="Z353" s="7"/>
      <c r="AA353" s="1"/>
      <c r="AB353" s="7"/>
      <c r="AC353" s="7"/>
      <c r="AD353" s="7"/>
      <c r="AE353" s="7"/>
      <c r="AF353" s="7"/>
      <c r="AG353" s="7"/>
      <c r="AH353" s="1"/>
    </row>
    <row r="354">
      <c r="I354" s="391"/>
      <c r="W354" s="1"/>
      <c r="X354" s="1"/>
      <c r="Y354" s="7"/>
      <c r="Z354" s="7"/>
      <c r="AA354" s="1"/>
      <c r="AB354" s="7"/>
      <c r="AC354" s="7"/>
      <c r="AD354" s="7"/>
      <c r="AE354" s="7"/>
      <c r="AF354" s="7"/>
      <c r="AG354" s="7"/>
      <c r="AH354" s="1"/>
    </row>
    <row r="355">
      <c r="I355" s="391"/>
      <c r="W355" s="1"/>
      <c r="X355" s="1"/>
      <c r="Y355" s="7"/>
      <c r="Z355" s="7"/>
      <c r="AA355" s="1"/>
      <c r="AB355" s="7"/>
      <c r="AC355" s="7"/>
      <c r="AD355" s="7"/>
      <c r="AE355" s="7"/>
      <c r="AF355" s="7"/>
      <c r="AG355" s="7"/>
      <c r="AH355" s="1"/>
    </row>
    <row r="356">
      <c r="I356" s="391"/>
      <c r="W356" s="1"/>
      <c r="X356" s="1"/>
      <c r="Y356" s="7"/>
      <c r="Z356" s="7"/>
      <c r="AA356" s="1"/>
      <c r="AB356" s="7"/>
      <c r="AC356" s="7"/>
      <c r="AD356" s="7"/>
      <c r="AE356" s="7"/>
      <c r="AF356" s="7"/>
      <c r="AG356" s="7"/>
      <c r="AH356" s="1"/>
    </row>
    <row r="357">
      <c r="I357" s="391"/>
      <c r="W357" s="1"/>
      <c r="X357" s="1"/>
      <c r="Y357" s="7"/>
      <c r="Z357" s="7"/>
      <c r="AA357" s="1"/>
      <c r="AB357" s="7"/>
      <c r="AC357" s="7"/>
      <c r="AD357" s="7"/>
      <c r="AE357" s="7"/>
      <c r="AF357" s="7"/>
      <c r="AG357" s="7"/>
      <c r="AH357" s="1"/>
    </row>
    <row r="358">
      <c r="I358" s="391"/>
      <c r="W358" s="1"/>
      <c r="X358" s="1"/>
      <c r="Y358" s="7"/>
      <c r="Z358" s="7"/>
      <c r="AA358" s="1"/>
      <c r="AB358" s="7"/>
      <c r="AC358" s="7"/>
      <c r="AD358" s="7"/>
      <c r="AE358" s="7"/>
      <c r="AF358" s="7"/>
      <c r="AG358" s="7"/>
      <c r="AH358" s="1"/>
    </row>
    <row r="359">
      <c r="I359" s="391"/>
      <c r="W359" s="1"/>
      <c r="X359" s="1"/>
      <c r="Y359" s="7"/>
      <c r="Z359" s="7"/>
      <c r="AA359" s="1"/>
      <c r="AB359" s="7"/>
      <c r="AC359" s="7"/>
      <c r="AD359" s="7"/>
      <c r="AE359" s="7"/>
      <c r="AF359" s="7"/>
      <c r="AG359" s="7"/>
      <c r="AH359" s="1"/>
    </row>
    <row r="360">
      <c r="I360" s="391"/>
      <c r="W360" s="1"/>
      <c r="X360" s="1"/>
      <c r="Y360" s="7"/>
      <c r="Z360" s="7"/>
      <c r="AA360" s="1"/>
      <c r="AB360" s="7"/>
      <c r="AC360" s="7"/>
      <c r="AD360" s="7"/>
      <c r="AE360" s="7"/>
      <c r="AF360" s="7"/>
      <c r="AG360" s="7"/>
      <c r="AH360" s="1"/>
    </row>
    <row r="361">
      <c r="I361" s="391"/>
      <c r="W361" s="1"/>
      <c r="X361" s="1"/>
      <c r="Y361" s="7"/>
      <c r="Z361" s="7"/>
      <c r="AA361" s="1"/>
      <c r="AB361" s="7"/>
      <c r="AC361" s="7"/>
      <c r="AD361" s="7"/>
      <c r="AE361" s="7"/>
      <c r="AF361" s="7"/>
      <c r="AG361" s="7"/>
      <c r="AH361" s="1"/>
    </row>
    <row r="362">
      <c r="I362" s="391"/>
      <c r="W362" s="1"/>
      <c r="X362" s="1"/>
      <c r="Y362" s="7"/>
      <c r="Z362" s="7"/>
      <c r="AA362" s="1"/>
      <c r="AB362" s="7"/>
      <c r="AC362" s="7"/>
      <c r="AD362" s="7"/>
      <c r="AE362" s="7"/>
      <c r="AF362" s="7"/>
      <c r="AG362" s="7"/>
      <c r="AH362" s="1"/>
    </row>
    <row r="363">
      <c r="I363" s="391"/>
      <c r="W363" s="1"/>
      <c r="X363" s="1"/>
      <c r="Y363" s="7"/>
      <c r="Z363" s="7"/>
      <c r="AA363" s="1"/>
      <c r="AB363" s="7"/>
      <c r="AC363" s="7"/>
      <c r="AD363" s="7"/>
      <c r="AE363" s="7"/>
      <c r="AF363" s="7"/>
      <c r="AG363" s="7"/>
      <c r="AH363" s="1"/>
    </row>
    <row r="364">
      <c r="I364" s="391"/>
      <c r="W364" s="1"/>
      <c r="X364" s="1"/>
      <c r="Y364" s="7"/>
      <c r="Z364" s="7"/>
      <c r="AA364" s="1"/>
      <c r="AB364" s="7"/>
      <c r="AC364" s="7"/>
      <c r="AD364" s="7"/>
      <c r="AE364" s="7"/>
      <c r="AF364" s="7"/>
      <c r="AG364" s="7"/>
      <c r="AH364" s="1"/>
    </row>
    <row r="365">
      <c r="I365" s="391"/>
      <c r="W365" s="1"/>
      <c r="X365" s="1"/>
      <c r="Y365" s="7"/>
      <c r="Z365" s="7"/>
      <c r="AA365" s="1"/>
      <c r="AB365" s="7"/>
      <c r="AC365" s="7"/>
      <c r="AD365" s="7"/>
      <c r="AE365" s="7"/>
      <c r="AF365" s="7"/>
      <c r="AG365" s="7"/>
      <c r="AH365" s="1"/>
    </row>
    <row r="366">
      <c r="I366" s="391"/>
      <c r="W366" s="1"/>
      <c r="X366" s="1"/>
      <c r="Y366" s="7"/>
      <c r="Z366" s="7"/>
      <c r="AA366" s="1"/>
      <c r="AB366" s="7"/>
      <c r="AC366" s="7"/>
      <c r="AD366" s="7"/>
      <c r="AE366" s="7"/>
      <c r="AF366" s="7"/>
      <c r="AG366" s="7"/>
      <c r="AH366" s="1"/>
    </row>
    <row r="367">
      <c r="I367" s="391"/>
      <c r="W367" s="1"/>
      <c r="X367" s="1"/>
      <c r="Y367" s="7"/>
      <c r="Z367" s="7"/>
      <c r="AA367" s="1"/>
      <c r="AB367" s="7"/>
      <c r="AC367" s="7"/>
      <c r="AD367" s="7"/>
      <c r="AE367" s="7"/>
      <c r="AF367" s="7"/>
      <c r="AG367" s="7"/>
      <c r="AH367" s="1"/>
    </row>
    <row r="368">
      <c r="I368" s="391"/>
      <c r="W368" s="1"/>
      <c r="X368" s="1"/>
      <c r="Y368" s="7"/>
      <c r="Z368" s="7"/>
      <c r="AA368" s="1"/>
      <c r="AB368" s="7"/>
      <c r="AC368" s="7"/>
      <c r="AD368" s="7"/>
      <c r="AE368" s="7"/>
      <c r="AF368" s="7"/>
      <c r="AG368" s="7"/>
      <c r="AH368" s="1"/>
    </row>
    <row r="369">
      <c r="I369" s="391"/>
      <c r="W369" s="1"/>
      <c r="X369" s="1"/>
      <c r="Y369" s="7"/>
      <c r="Z369" s="7"/>
      <c r="AA369" s="1"/>
      <c r="AB369" s="7"/>
      <c r="AC369" s="7"/>
      <c r="AD369" s="7"/>
      <c r="AE369" s="7"/>
      <c r="AF369" s="7"/>
      <c r="AG369" s="7"/>
      <c r="AH369" s="1"/>
    </row>
    <row r="370">
      <c r="I370" s="391"/>
      <c r="W370" s="1"/>
      <c r="X370" s="1"/>
      <c r="Y370" s="7"/>
      <c r="Z370" s="7"/>
      <c r="AA370" s="1"/>
      <c r="AB370" s="7"/>
      <c r="AC370" s="7"/>
      <c r="AD370" s="7"/>
      <c r="AE370" s="7"/>
      <c r="AF370" s="7"/>
      <c r="AG370" s="7"/>
      <c r="AH370" s="1"/>
    </row>
    <row r="371">
      <c r="I371" s="391"/>
      <c r="W371" s="1"/>
      <c r="X371" s="1"/>
      <c r="Y371" s="7"/>
      <c r="Z371" s="7"/>
      <c r="AA371" s="1"/>
      <c r="AB371" s="7"/>
      <c r="AC371" s="7"/>
      <c r="AD371" s="7"/>
      <c r="AE371" s="7"/>
      <c r="AF371" s="7"/>
      <c r="AG371" s="7"/>
      <c r="AH371" s="1"/>
    </row>
    <row r="372">
      <c r="I372" s="391"/>
      <c r="W372" s="1"/>
      <c r="X372" s="1"/>
      <c r="Y372" s="7"/>
      <c r="Z372" s="7"/>
      <c r="AA372" s="1"/>
      <c r="AB372" s="7"/>
      <c r="AC372" s="7"/>
      <c r="AD372" s="7"/>
      <c r="AE372" s="7"/>
      <c r="AF372" s="7"/>
      <c r="AG372" s="7"/>
      <c r="AH372" s="1"/>
    </row>
    <row r="373">
      <c r="I373" s="391"/>
      <c r="W373" s="1"/>
      <c r="X373" s="1"/>
      <c r="Y373" s="7"/>
      <c r="Z373" s="7"/>
      <c r="AA373" s="1"/>
      <c r="AB373" s="7"/>
      <c r="AC373" s="7"/>
      <c r="AD373" s="7"/>
      <c r="AE373" s="7"/>
      <c r="AF373" s="7"/>
      <c r="AG373" s="7"/>
      <c r="AH373" s="1"/>
    </row>
    <row r="374">
      <c r="I374" s="391"/>
      <c r="W374" s="1"/>
      <c r="X374" s="1"/>
      <c r="Y374" s="7"/>
      <c r="Z374" s="7"/>
      <c r="AA374" s="1"/>
      <c r="AB374" s="7"/>
      <c r="AC374" s="7"/>
      <c r="AD374" s="7"/>
      <c r="AE374" s="7"/>
      <c r="AF374" s="7"/>
      <c r="AG374" s="7"/>
      <c r="AH374" s="1"/>
    </row>
    <row r="375">
      <c r="I375" s="391"/>
      <c r="W375" s="1"/>
      <c r="X375" s="1"/>
      <c r="Y375" s="7"/>
      <c r="Z375" s="7"/>
      <c r="AA375" s="1"/>
      <c r="AB375" s="7"/>
      <c r="AC375" s="7"/>
      <c r="AD375" s="7"/>
      <c r="AE375" s="7"/>
      <c r="AF375" s="7"/>
      <c r="AG375" s="7"/>
      <c r="AH375" s="1"/>
    </row>
    <row r="376">
      <c r="I376" s="391"/>
      <c r="W376" s="1"/>
      <c r="X376" s="1"/>
      <c r="Y376" s="7"/>
      <c r="Z376" s="7"/>
      <c r="AA376" s="1"/>
      <c r="AB376" s="7"/>
      <c r="AC376" s="7"/>
      <c r="AD376" s="7"/>
      <c r="AE376" s="7"/>
      <c r="AF376" s="7"/>
      <c r="AG376" s="7"/>
      <c r="AH376" s="1"/>
    </row>
    <row r="377">
      <c r="I377" s="391"/>
      <c r="W377" s="1"/>
      <c r="X377" s="1"/>
      <c r="Y377" s="7"/>
      <c r="Z377" s="7"/>
      <c r="AA377" s="1"/>
      <c r="AB377" s="7"/>
      <c r="AC377" s="7"/>
      <c r="AD377" s="7"/>
      <c r="AE377" s="7"/>
      <c r="AF377" s="7"/>
      <c r="AG377" s="7"/>
      <c r="AH377" s="1"/>
    </row>
    <row r="378">
      <c r="I378" s="391"/>
      <c r="W378" s="1"/>
      <c r="X378" s="1"/>
      <c r="Y378" s="7"/>
      <c r="Z378" s="7"/>
      <c r="AA378" s="1"/>
      <c r="AB378" s="7"/>
      <c r="AC378" s="7"/>
      <c r="AD378" s="7"/>
      <c r="AE378" s="7"/>
      <c r="AF378" s="7"/>
      <c r="AG378" s="7"/>
      <c r="AH378" s="1"/>
    </row>
    <row r="379">
      <c r="I379" s="391"/>
      <c r="W379" s="1"/>
      <c r="X379" s="1"/>
      <c r="Y379" s="7"/>
      <c r="Z379" s="7"/>
      <c r="AA379" s="1"/>
      <c r="AB379" s="7"/>
      <c r="AC379" s="7"/>
      <c r="AD379" s="7"/>
      <c r="AE379" s="7"/>
      <c r="AF379" s="7"/>
      <c r="AG379" s="7"/>
      <c r="AH379" s="1"/>
    </row>
    <row r="380">
      <c r="I380" s="391"/>
      <c r="W380" s="1"/>
      <c r="X380" s="1"/>
      <c r="Y380" s="7"/>
      <c r="Z380" s="7"/>
      <c r="AA380" s="1"/>
      <c r="AB380" s="7"/>
      <c r="AC380" s="7"/>
      <c r="AD380" s="7"/>
      <c r="AE380" s="7"/>
      <c r="AF380" s="7"/>
      <c r="AG380" s="7"/>
      <c r="AH380" s="1"/>
    </row>
    <row r="381">
      <c r="I381" s="391"/>
      <c r="W381" s="1"/>
      <c r="X381" s="1"/>
      <c r="Y381" s="7"/>
      <c r="Z381" s="7"/>
      <c r="AA381" s="1"/>
      <c r="AB381" s="7"/>
      <c r="AC381" s="7"/>
      <c r="AD381" s="7"/>
      <c r="AE381" s="7"/>
      <c r="AF381" s="7"/>
      <c r="AG381" s="7"/>
      <c r="AH381" s="1"/>
    </row>
    <row r="382">
      <c r="I382" s="391"/>
      <c r="W382" s="1"/>
      <c r="X382" s="1"/>
      <c r="Y382" s="7"/>
      <c r="Z382" s="7"/>
      <c r="AA382" s="1"/>
      <c r="AB382" s="7"/>
      <c r="AC382" s="7"/>
      <c r="AD382" s="7"/>
      <c r="AE382" s="7"/>
      <c r="AF382" s="7"/>
      <c r="AG382" s="7"/>
      <c r="AH382" s="1"/>
    </row>
    <row r="383">
      <c r="I383" s="391"/>
      <c r="W383" s="1"/>
      <c r="X383" s="1"/>
      <c r="Y383" s="7"/>
      <c r="Z383" s="7"/>
      <c r="AA383" s="1"/>
      <c r="AB383" s="7"/>
      <c r="AC383" s="7"/>
      <c r="AD383" s="7"/>
      <c r="AE383" s="7"/>
      <c r="AF383" s="7"/>
      <c r="AG383" s="7"/>
      <c r="AH383" s="1"/>
    </row>
    <row r="384">
      <c r="I384" s="391"/>
      <c r="W384" s="1"/>
      <c r="X384" s="1"/>
      <c r="Y384" s="7"/>
      <c r="Z384" s="7"/>
      <c r="AA384" s="1"/>
      <c r="AB384" s="7"/>
      <c r="AC384" s="7"/>
      <c r="AD384" s="7"/>
      <c r="AE384" s="7"/>
      <c r="AF384" s="7"/>
      <c r="AG384" s="7"/>
      <c r="AH384" s="1"/>
    </row>
    <row r="385">
      <c r="I385" s="391"/>
      <c r="W385" s="1"/>
      <c r="X385" s="1"/>
      <c r="Y385" s="7"/>
      <c r="Z385" s="7"/>
      <c r="AA385" s="1"/>
      <c r="AB385" s="7"/>
      <c r="AC385" s="7"/>
      <c r="AD385" s="7"/>
      <c r="AE385" s="7"/>
      <c r="AF385" s="7"/>
      <c r="AG385" s="7"/>
      <c r="AH385" s="1"/>
    </row>
    <row r="386">
      <c r="I386" s="391"/>
      <c r="W386" s="1"/>
      <c r="X386" s="1"/>
      <c r="Y386" s="7"/>
      <c r="Z386" s="7"/>
      <c r="AA386" s="1"/>
      <c r="AB386" s="7"/>
      <c r="AC386" s="7"/>
      <c r="AD386" s="7"/>
      <c r="AE386" s="7"/>
      <c r="AF386" s="7"/>
      <c r="AG386" s="7"/>
      <c r="AH386" s="1"/>
    </row>
    <row r="387">
      <c r="I387" s="391"/>
      <c r="W387" s="1"/>
      <c r="X387" s="1"/>
      <c r="Y387" s="7"/>
      <c r="Z387" s="7"/>
      <c r="AA387" s="1"/>
      <c r="AB387" s="7"/>
      <c r="AC387" s="7"/>
      <c r="AD387" s="7"/>
      <c r="AE387" s="7"/>
      <c r="AF387" s="7"/>
      <c r="AG387" s="7"/>
      <c r="AH387" s="1"/>
    </row>
    <row r="388">
      <c r="I388" s="391"/>
      <c r="W388" s="1"/>
      <c r="X388" s="1"/>
      <c r="Y388" s="7"/>
      <c r="Z388" s="7"/>
      <c r="AA388" s="1"/>
      <c r="AB388" s="7"/>
      <c r="AC388" s="7"/>
      <c r="AD388" s="7"/>
      <c r="AE388" s="7"/>
      <c r="AF388" s="7"/>
      <c r="AG388" s="7"/>
      <c r="AH388" s="1"/>
    </row>
    <row r="389">
      <c r="I389" s="391"/>
      <c r="W389" s="1"/>
      <c r="X389" s="1"/>
      <c r="Y389" s="7"/>
      <c r="Z389" s="7"/>
      <c r="AA389" s="1"/>
      <c r="AB389" s="7"/>
      <c r="AC389" s="7"/>
      <c r="AD389" s="7"/>
      <c r="AE389" s="7"/>
      <c r="AF389" s="7"/>
      <c r="AG389" s="7"/>
      <c r="AH389" s="1"/>
    </row>
    <row r="390">
      <c r="I390" s="391"/>
      <c r="W390" s="1"/>
      <c r="X390" s="1"/>
      <c r="Y390" s="7"/>
      <c r="Z390" s="7"/>
      <c r="AA390" s="1"/>
      <c r="AB390" s="7"/>
      <c r="AC390" s="7"/>
      <c r="AD390" s="7"/>
      <c r="AE390" s="7"/>
      <c r="AF390" s="7"/>
      <c r="AG390" s="7"/>
      <c r="AH390" s="1"/>
    </row>
    <row r="391">
      <c r="I391" s="391"/>
      <c r="W391" s="1"/>
      <c r="X391" s="1"/>
      <c r="Y391" s="7"/>
      <c r="Z391" s="7"/>
      <c r="AA391" s="1"/>
      <c r="AB391" s="7"/>
      <c r="AC391" s="7"/>
      <c r="AD391" s="7"/>
      <c r="AE391" s="7"/>
      <c r="AF391" s="7"/>
      <c r="AG391" s="7"/>
      <c r="AH391" s="1"/>
    </row>
    <row r="392">
      <c r="I392" s="391"/>
      <c r="W392" s="1"/>
      <c r="X392" s="1"/>
      <c r="Y392" s="7"/>
      <c r="Z392" s="7"/>
      <c r="AA392" s="1"/>
      <c r="AB392" s="7"/>
      <c r="AC392" s="7"/>
      <c r="AD392" s="7"/>
      <c r="AE392" s="7"/>
      <c r="AF392" s="7"/>
      <c r="AG392" s="7"/>
      <c r="AH392" s="1"/>
    </row>
    <row r="393">
      <c r="I393" s="391"/>
      <c r="W393" s="1"/>
      <c r="X393" s="1"/>
      <c r="Y393" s="7"/>
      <c r="Z393" s="7"/>
      <c r="AA393" s="1"/>
      <c r="AB393" s="7"/>
      <c r="AC393" s="7"/>
      <c r="AD393" s="7"/>
      <c r="AE393" s="7"/>
      <c r="AF393" s="7"/>
      <c r="AG393" s="7"/>
      <c r="AH393" s="1"/>
    </row>
    <row r="394">
      <c r="I394" s="391"/>
      <c r="W394" s="1"/>
      <c r="X394" s="1"/>
      <c r="Y394" s="7"/>
      <c r="Z394" s="7"/>
      <c r="AA394" s="1"/>
      <c r="AB394" s="7"/>
      <c r="AC394" s="7"/>
      <c r="AD394" s="7"/>
      <c r="AE394" s="7"/>
      <c r="AF394" s="7"/>
      <c r="AG394" s="7"/>
      <c r="AH394" s="1"/>
    </row>
    <row r="395">
      <c r="I395" s="391"/>
      <c r="W395" s="1"/>
      <c r="X395" s="1"/>
      <c r="Y395" s="7"/>
      <c r="Z395" s="7"/>
      <c r="AA395" s="1"/>
      <c r="AB395" s="7"/>
      <c r="AC395" s="7"/>
      <c r="AD395" s="7"/>
      <c r="AE395" s="7"/>
      <c r="AF395" s="7"/>
      <c r="AG395" s="7"/>
      <c r="AH395" s="1"/>
    </row>
    <row r="396">
      <c r="I396" s="391"/>
      <c r="W396" s="1"/>
      <c r="X396" s="1"/>
      <c r="Y396" s="7"/>
      <c r="Z396" s="7"/>
      <c r="AA396" s="1"/>
      <c r="AB396" s="7"/>
      <c r="AC396" s="7"/>
      <c r="AD396" s="7"/>
      <c r="AE396" s="7"/>
      <c r="AF396" s="7"/>
      <c r="AG396" s="7"/>
      <c r="AH396" s="1"/>
    </row>
    <row r="397">
      <c r="I397" s="391"/>
      <c r="W397" s="1"/>
      <c r="X397" s="1"/>
      <c r="Y397" s="7"/>
      <c r="Z397" s="7"/>
      <c r="AA397" s="1"/>
      <c r="AB397" s="7"/>
      <c r="AC397" s="7"/>
      <c r="AD397" s="7"/>
      <c r="AE397" s="7"/>
      <c r="AF397" s="7"/>
      <c r="AG397" s="7"/>
      <c r="AH397" s="1"/>
    </row>
    <row r="398">
      <c r="I398" s="391"/>
      <c r="W398" s="1"/>
      <c r="X398" s="1"/>
      <c r="Y398" s="7"/>
      <c r="Z398" s="7"/>
      <c r="AA398" s="1"/>
      <c r="AB398" s="7"/>
      <c r="AC398" s="7"/>
      <c r="AD398" s="7"/>
      <c r="AE398" s="7"/>
      <c r="AF398" s="7"/>
      <c r="AG398" s="7"/>
      <c r="AH398" s="1"/>
    </row>
    <row r="399">
      <c r="I399" s="391"/>
      <c r="W399" s="1"/>
      <c r="X399" s="1"/>
      <c r="Y399" s="7"/>
      <c r="Z399" s="7"/>
      <c r="AA399" s="1"/>
      <c r="AB399" s="7"/>
      <c r="AC399" s="7"/>
      <c r="AD399" s="7"/>
      <c r="AE399" s="7"/>
      <c r="AF399" s="7"/>
      <c r="AG399" s="7"/>
      <c r="AH399" s="1"/>
    </row>
    <row r="400">
      <c r="I400" s="391"/>
      <c r="W400" s="1"/>
      <c r="X400" s="1"/>
      <c r="Y400" s="7"/>
      <c r="Z400" s="7"/>
      <c r="AA400" s="1"/>
      <c r="AB400" s="7"/>
      <c r="AC400" s="7"/>
      <c r="AD400" s="7"/>
      <c r="AE400" s="7"/>
      <c r="AF400" s="7"/>
      <c r="AG400" s="7"/>
      <c r="AH400" s="1"/>
    </row>
    <row r="401">
      <c r="I401" s="391"/>
      <c r="W401" s="1"/>
      <c r="X401" s="1"/>
      <c r="Y401" s="7"/>
      <c r="Z401" s="7"/>
      <c r="AA401" s="1"/>
      <c r="AB401" s="7"/>
      <c r="AC401" s="7"/>
      <c r="AD401" s="7"/>
      <c r="AE401" s="7"/>
      <c r="AF401" s="7"/>
      <c r="AG401" s="7"/>
      <c r="AH401" s="1"/>
    </row>
    <row r="402">
      <c r="I402" s="391"/>
      <c r="W402" s="1"/>
      <c r="X402" s="1"/>
      <c r="Y402" s="7"/>
      <c r="Z402" s="7"/>
      <c r="AA402" s="1"/>
      <c r="AB402" s="7"/>
      <c r="AC402" s="7"/>
      <c r="AD402" s="7"/>
      <c r="AE402" s="7"/>
      <c r="AF402" s="7"/>
      <c r="AG402" s="7"/>
      <c r="AH402" s="1"/>
    </row>
    <row r="403">
      <c r="I403" s="391"/>
      <c r="W403" s="1"/>
      <c r="X403" s="1"/>
      <c r="Y403" s="7"/>
      <c r="Z403" s="7"/>
      <c r="AA403" s="1"/>
      <c r="AB403" s="7"/>
      <c r="AC403" s="7"/>
      <c r="AD403" s="7"/>
      <c r="AE403" s="7"/>
      <c r="AF403" s="7"/>
      <c r="AG403" s="7"/>
      <c r="AH403" s="1"/>
    </row>
    <row r="404">
      <c r="I404" s="391"/>
      <c r="W404" s="1"/>
      <c r="X404" s="1"/>
      <c r="Y404" s="7"/>
      <c r="Z404" s="7"/>
      <c r="AA404" s="1"/>
      <c r="AB404" s="7"/>
      <c r="AC404" s="7"/>
      <c r="AD404" s="7"/>
      <c r="AE404" s="7"/>
      <c r="AF404" s="7"/>
      <c r="AG404" s="7"/>
      <c r="AH404" s="1"/>
    </row>
    <row r="405">
      <c r="I405" s="391"/>
      <c r="W405" s="1"/>
      <c r="X405" s="1"/>
      <c r="Y405" s="7"/>
      <c r="Z405" s="7"/>
      <c r="AA405" s="1"/>
      <c r="AB405" s="7"/>
      <c r="AC405" s="7"/>
      <c r="AD405" s="7"/>
      <c r="AE405" s="7"/>
      <c r="AF405" s="7"/>
      <c r="AG405" s="7"/>
      <c r="AH405" s="1"/>
    </row>
    <row r="406">
      <c r="I406" s="391"/>
      <c r="W406" s="1"/>
      <c r="X406" s="1"/>
      <c r="Y406" s="7"/>
      <c r="Z406" s="7"/>
      <c r="AA406" s="1"/>
      <c r="AB406" s="7"/>
      <c r="AC406" s="7"/>
      <c r="AD406" s="7"/>
      <c r="AE406" s="7"/>
      <c r="AF406" s="7"/>
      <c r="AG406" s="7"/>
      <c r="AH406" s="1"/>
    </row>
    <row r="407">
      <c r="I407" s="391"/>
      <c r="W407" s="1"/>
      <c r="X407" s="1"/>
      <c r="Y407" s="7"/>
      <c r="Z407" s="7"/>
      <c r="AA407" s="1"/>
      <c r="AB407" s="7"/>
      <c r="AC407" s="7"/>
      <c r="AD407" s="7"/>
      <c r="AE407" s="7"/>
      <c r="AF407" s="7"/>
      <c r="AG407" s="7"/>
      <c r="AH407" s="1"/>
    </row>
    <row r="408">
      <c r="I408" s="391"/>
      <c r="W408" s="1"/>
      <c r="X408" s="1"/>
      <c r="Y408" s="7"/>
      <c r="Z408" s="7"/>
      <c r="AA408" s="1"/>
      <c r="AB408" s="7"/>
      <c r="AC408" s="7"/>
      <c r="AD408" s="7"/>
      <c r="AE408" s="7"/>
      <c r="AF408" s="7"/>
      <c r="AG408" s="7"/>
      <c r="AH408" s="1"/>
    </row>
    <row r="409">
      <c r="I409" s="391"/>
      <c r="W409" s="1"/>
      <c r="X409" s="1"/>
      <c r="Y409" s="7"/>
      <c r="Z409" s="7"/>
      <c r="AA409" s="1"/>
      <c r="AB409" s="7"/>
      <c r="AC409" s="7"/>
      <c r="AD409" s="7"/>
      <c r="AE409" s="7"/>
      <c r="AF409" s="7"/>
      <c r="AG409" s="7"/>
      <c r="AH409" s="1"/>
    </row>
    <row r="410">
      <c r="I410" s="391"/>
      <c r="W410" s="1"/>
      <c r="X410" s="1"/>
      <c r="Y410" s="7"/>
      <c r="Z410" s="7"/>
      <c r="AA410" s="1"/>
      <c r="AB410" s="7"/>
      <c r="AC410" s="7"/>
      <c r="AD410" s="7"/>
      <c r="AE410" s="7"/>
      <c r="AF410" s="7"/>
      <c r="AG410" s="7"/>
      <c r="AH410" s="1"/>
    </row>
    <row r="411">
      <c r="I411" s="391"/>
      <c r="W411" s="1"/>
      <c r="X411" s="1"/>
      <c r="Y411" s="7"/>
      <c r="Z411" s="7"/>
      <c r="AA411" s="1"/>
      <c r="AB411" s="7"/>
      <c r="AC411" s="7"/>
      <c r="AD411" s="7"/>
      <c r="AE411" s="7"/>
      <c r="AF411" s="7"/>
      <c r="AG411" s="7"/>
      <c r="AH411" s="1"/>
    </row>
    <row r="412">
      <c r="I412" s="391"/>
      <c r="W412" s="1"/>
      <c r="X412" s="1"/>
      <c r="Y412" s="7"/>
      <c r="Z412" s="7"/>
      <c r="AA412" s="1"/>
      <c r="AB412" s="7"/>
      <c r="AC412" s="7"/>
      <c r="AD412" s="7"/>
      <c r="AE412" s="7"/>
      <c r="AF412" s="7"/>
      <c r="AG412" s="7"/>
      <c r="AH412" s="1"/>
    </row>
    <row r="413">
      <c r="I413" s="391"/>
      <c r="W413" s="1"/>
      <c r="X413" s="1"/>
      <c r="Y413" s="7"/>
      <c r="Z413" s="7"/>
      <c r="AA413" s="1"/>
      <c r="AB413" s="7"/>
      <c r="AC413" s="7"/>
      <c r="AD413" s="7"/>
      <c r="AE413" s="7"/>
      <c r="AF413" s="7"/>
      <c r="AG413" s="7"/>
      <c r="AH413" s="1"/>
    </row>
    <row r="414">
      <c r="I414" s="391"/>
      <c r="W414" s="1"/>
      <c r="X414" s="1"/>
      <c r="Y414" s="7"/>
      <c r="Z414" s="7"/>
      <c r="AA414" s="1"/>
      <c r="AB414" s="7"/>
      <c r="AC414" s="7"/>
      <c r="AD414" s="7"/>
      <c r="AE414" s="7"/>
      <c r="AF414" s="7"/>
      <c r="AG414" s="7"/>
      <c r="AH414" s="1"/>
    </row>
    <row r="415">
      <c r="I415" s="391"/>
      <c r="W415" s="1"/>
      <c r="X415" s="1"/>
      <c r="Y415" s="7"/>
      <c r="Z415" s="7"/>
      <c r="AA415" s="1"/>
      <c r="AB415" s="7"/>
      <c r="AC415" s="7"/>
      <c r="AD415" s="7"/>
      <c r="AE415" s="7"/>
      <c r="AF415" s="7"/>
      <c r="AG415" s="7"/>
      <c r="AH415" s="1"/>
    </row>
    <row r="416">
      <c r="I416" s="391"/>
      <c r="W416" s="1"/>
      <c r="X416" s="1"/>
      <c r="Y416" s="7"/>
      <c r="Z416" s="7"/>
      <c r="AA416" s="1"/>
      <c r="AB416" s="7"/>
      <c r="AC416" s="7"/>
      <c r="AD416" s="7"/>
      <c r="AE416" s="7"/>
      <c r="AF416" s="7"/>
      <c r="AG416" s="7"/>
      <c r="AH416" s="1"/>
    </row>
    <row r="417">
      <c r="I417" s="391"/>
      <c r="W417" s="1"/>
      <c r="X417" s="1"/>
      <c r="Y417" s="7"/>
      <c r="Z417" s="7"/>
      <c r="AA417" s="1"/>
      <c r="AB417" s="7"/>
      <c r="AC417" s="7"/>
      <c r="AD417" s="7"/>
      <c r="AE417" s="7"/>
      <c r="AF417" s="7"/>
      <c r="AG417" s="7"/>
      <c r="AH417" s="1"/>
    </row>
    <row r="418">
      <c r="I418" s="391"/>
      <c r="W418" s="1"/>
      <c r="X418" s="1"/>
      <c r="Y418" s="7"/>
      <c r="Z418" s="7"/>
      <c r="AA418" s="1"/>
      <c r="AB418" s="7"/>
      <c r="AC418" s="7"/>
      <c r="AD418" s="7"/>
      <c r="AE418" s="7"/>
      <c r="AF418" s="7"/>
      <c r="AG418" s="7"/>
      <c r="AH418" s="1"/>
    </row>
    <row r="419">
      <c r="I419" s="391"/>
      <c r="W419" s="1"/>
      <c r="X419" s="1"/>
      <c r="Y419" s="7"/>
      <c r="Z419" s="7"/>
      <c r="AA419" s="1"/>
      <c r="AB419" s="7"/>
      <c r="AC419" s="7"/>
      <c r="AD419" s="7"/>
      <c r="AE419" s="7"/>
      <c r="AF419" s="7"/>
      <c r="AG419" s="7"/>
      <c r="AH419" s="1"/>
    </row>
    <row r="420">
      <c r="I420" s="391"/>
      <c r="W420" s="1"/>
      <c r="X420" s="1"/>
      <c r="Y420" s="7"/>
      <c r="Z420" s="7"/>
      <c r="AA420" s="1"/>
      <c r="AB420" s="7"/>
      <c r="AC420" s="7"/>
      <c r="AD420" s="7"/>
      <c r="AE420" s="7"/>
      <c r="AF420" s="7"/>
      <c r="AG420" s="7"/>
      <c r="AH420" s="1"/>
    </row>
    <row r="421">
      <c r="I421" s="391"/>
      <c r="W421" s="1"/>
      <c r="X421" s="1"/>
      <c r="Y421" s="7"/>
      <c r="Z421" s="7"/>
      <c r="AA421" s="1"/>
      <c r="AB421" s="7"/>
      <c r="AC421" s="7"/>
      <c r="AD421" s="7"/>
      <c r="AE421" s="7"/>
      <c r="AF421" s="7"/>
      <c r="AG421" s="7"/>
      <c r="AH421" s="1"/>
    </row>
    <row r="422">
      <c r="I422" s="391"/>
      <c r="W422" s="1"/>
      <c r="X422" s="1"/>
      <c r="Y422" s="7"/>
      <c r="Z422" s="7"/>
      <c r="AA422" s="1"/>
      <c r="AB422" s="7"/>
      <c r="AC422" s="7"/>
      <c r="AD422" s="7"/>
      <c r="AE422" s="7"/>
      <c r="AF422" s="7"/>
      <c r="AG422" s="7"/>
      <c r="AH422" s="1"/>
    </row>
    <row r="423">
      <c r="I423" s="391"/>
      <c r="W423" s="1"/>
      <c r="X423" s="1"/>
      <c r="Y423" s="7"/>
      <c r="Z423" s="7"/>
      <c r="AA423" s="1"/>
      <c r="AB423" s="7"/>
      <c r="AC423" s="7"/>
      <c r="AD423" s="7"/>
      <c r="AE423" s="7"/>
      <c r="AF423" s="7"/>
      <c r="AG423" s="7"/>
      <c r="AH423" s="1"/>
    </row>
    <row r="424">
      <c r="I424" s="391"/>
      <c r="W424" s="1"/>
      <c r="X424" s="1"/>
      <c r="Y424" s="7"/>
      <c r="Z424" s="7"/>
      <c r="AA424" s="1"/>
      <c r="AB424" s="7"/>
      <c r="AC424" s="7"/>
      <c r="AD424" s="7"/>
      <c r="AE424" s="7"/>
      <c r="AF424" s="7"/>
      <c r="AG424" s="7"/>
      <c r="AH424" s="1"/>
    </row>
    <row r="425">
      <c r="I425" s="391"/>
      <c r="W425" s="1"/>
      <c r="X425" s="1"/>
      <c r="Y425" s="7"/>
      <c r="Z425" s="7"/>
      <c r="AA425" s="1"/>
      <c r="AB425" s="7"/>
      <c r="AC425" s="7"/>
      <c r="AD425" s="7"/>
      <c r="AE425" s="7"/>
      <c r="AF425" s="7"/>
      <c r="AG425" s="7"/>
      <c r="AH425" s="1"/>
    </row>
    <row r="426">
      <c r="I426" s="391"/>
      <c r="W426" s="1"/>
      <c r="X426" s="1"/>
      <c r="Y426" s="7"/>
      <c r="Z426" s="7"/>
      <c r="AA426" s="1"/>
      <c r="AB426" s="7"/>
      <c r="AC426" s="7"/>
      <c r="AD426" s="7"/>
      <c r="AE426" s="7"/>
      <c r="AF426" s="7"/>
      <c r="AG426" s="7"/>
      <c r="AH426" s="1"/>
    </row>
    <row r="427">
      <c r="I427" s="391"/>
      <c r="W427" s="1"/>
      <c r="X427" s="1"/>
      <c r="Y427" s="7"/>
      <c r="Z427" s="7"/>
      <c r="AA427" s="1"/>
      <c r="AB427" s="7"/>
      <c r="AC427" s="7"/>
      <c r="AD427" s="7"/>
      <c r="AE427" s="7"/>
      <c r="AF427" s="7"/>
      <c r="AG427" s="7"/>
      <c r="AH427" s="1"/>
    </row>
    <row r="428">
      <c r="I428" s="391"/>
      <c r="W428" s="1"/>
      <c r="X428" s="1"/>
      <c r="Y428" s="7"/>
      <c r="Z428" s="7"/>
      <c r="AA428" s="1"/>
      <c r="AB428" s="7"/>
      <c r="AC428" s="7"/>
      <c r="AD428" s="7"/>
      <c r="AE428" s="7"/>
      <c r="AF428" s="7"/>
      <c r="AG428" s="7"/>
      <c r="AH428" s="1"/>
    </row>
    <row r="429">
      <c r="I429" s="391"/>
      <c r="W429" s="1"/>
      <c r="X429" s="1"/>
      <c r="Y429" s="7"/>
      <c r="Z429" s="7"/>
      <c r="AA429" s="1"/>
      <c r="AB429" s="7"/>
      <c r="AC429" s="7"/>
      <c r="AD429" s="7"/>
      <c r="AE429" s="7"/>
      <c r="AF429" s="7"/>
      <c r="AG429" s="7"/>
      <c r="AH429" s="1"/>
    </row>
    <row r="430">
      <c r="I430" s="391"/>
      <c r="W430" s="1"/>
      <c r="X430" s="1"/>
      <c r="Y430" s="7"/>
      <c r="Z430" s="7"/>
      <c r="AA430" s="1"/>
      <c r="AB430" s="7"/>
      <c r="AC430" s="7"/>
      <c r="AD430" s="7"/>
      <c r="AE430" s="7"/>
      <c r="AF430" s="7"/>
      <c r="AG430" s="7"/>
      <c r="AH430" s="1"/>
    </row>
    <row r="431">
      <c r="I431" s="391"/>
      <c r="W431" s="1"/>
      <c r="X431" s="1"/>
      <c r="Y431" s="7"/>
      <c r="Z431" s="7"/>
      <c r="AA431" s="1"/>
      <c r="AB431" s="7"/>
      <c r="AC431" s="7"/>
      <c r="AD431" s="7"/>
      <c r="AE431" s="7"/>
      <c r="AF431" s="7"/>
      <c r="AG431" s="7"/>
      <c r="AH431" s="1"/>
    </row>
    <row r="432">
      <c r="I432" s="391"/>
      <c r="W432" s="1"/>
      <c r="X432" s="1"/>
      <c r="Y432" s="7"/>
      <c r="Z432" s="7"/>
      <c r="AA432" s="1"/>
      <c r="AB432" s="7"/>
      <c r="AC432" s="7"/>
      <c r="AD432" s="7"/>
      <c r="AE432" s="7"/>
      <c r="AF432" s="7"/>
      <c r="AG432" s="7"/>
      <c r="AH432" s="1"/>
    </row>
    <row r="433">
      <c r="I433" s="391"/>
      <c r="W433" s="1"/>
      <c r="X433" s="1"/>
      <c r="Y433" s="7"/>
      <c r="Z433" s="7"/>
      <c r="AA433" s="1"/>
      <c r="AB433" s="7"/>
      <c r="AC433" s="7"/>
      <c r="AD433" s="7"/>
      <c r="AE433" s="7"/>
      <c r="AF433" s="7"/>
      <c r="AG433" s="7"/>
      <c r="AH433" s="1"/>
    </row>
    <row r="434">
      <c r="I434" s="391"/>
      <c r="W434" s="1"/>
      <c r="X434" s="1"/>
      <c r="Y434" s="7"/>
      <c r="Z434" s="7"/>
      <c r="AA434" s="1"/>
      <c r="AB434" s="7"/>
      <c r="AC434" s="7"/>
      <c r="AD434" s="7"/>
      <c r="AE434" s="7"/>
      <c r="AF434" s="7"/>
      <c r="AG434" s="7"/>
      <c r="AH434" s="1"/>
    </row>
    <row r="435">
      <c r="I435" s="391"/>
      <c r="W435" s="1"/>
      <c r="X435" s="1"/>
      <c r="Y435" s="7"/>
      <c r="Z435" s="7"/>
      <c r="AA435" s="1"/>
      <c r="AB435" s="7"/>
      <c r="AC435" s="7"/>
      <c r="AD435" s="7"/>
      <c r="AE435" s="7"/>
      <c r="AF435" s="7"/>
      <c r="AG435" s="7"/>
      <c r="AH435" s="1"/>
    </row>
    <row r="436">
      <c r="I436" s="391"/>
      <c r="W436" s="1"/>
      <c r="X436" s="1"/>
      <c r="Y436" s="7"/>
      <c r="Z436" s="7"/>
      <c r="AA436" s="1"/>
      <c r="AB436" s="7"/>
      <c r="AC436" s="7"/>
      <c r="AD436" s="7"/>
      <c r="AE436" s="7"/>
      <c r="AF436" s="7"/>
      <c r="AG436" s="7"/>
      <c r="AH436" s="1"/>
    </row>
    <row r="437">
      <c r="I437" s="391"/>
      <c r="W437" s="1"/>
      <c r="X437" s="1"/>
      <c r="Y437" s="7"/>
      <c r="Z437" s="7"/>
      <c r="AA437" s="1"/>
      <c r="AB437" s="7"/>
      <c r="AC437" s="7"/>
      <c r="AD437" s="7"/>
      <c r="AE437" s="7"/>
      <c r="AF437" s="7"/>
      <c r="AG437" s="7"/>
      <c r="AH437" s="1"/>
    </row>
    <row r="438">
      <c r="I438" s="391"/>
      <c r="W438" s="1"/>
      <c r="X438" s="1"/>
      <c r="Y438" s="7"/>
      <c r="Z438" s="7"/>
      <c r="AA438" s="1"/>
      <c r="AB438" s="7"/>
      <c r="AC438" s="7"/>
      <c r="AD438" s="7"/>
      <c r="AE438" s="7"/>
      <c r="AF438" s="7"/>
      <c r="AG438" s="7"/>
      <c r="AH438" s="1"/>
    </row>
    <row r="439">
      <c r="I439" s="391"/>
      <c r="W439" s="1"/>
      <c r="X439" s="1"/>
      <c r="Y439" s="7"/>
      <c r="Z439" s="7"/>
      <c r="AA439" s="1"/>
      <c r="AB439" s="7"/>
      <c r="AC439" s="7"/>
      <c r="AD439" s="7"/>
      <c r="AE439" s="7"/>
      <c r="AF439" s="7"/>
      <c r="AG439" s="7"/>
      <c r="AH439" s="1"/>
    </row>
    <row r="440">
      <c r="I440" s="391"/>
      <c r="W440" s="1"/>
      <c r="X440" s="1"/>
      <c r="Y440" s="7"/>
      <c r="Z440" s="7"/>
      <c r="AA440" s="1"/>
      <c r="AB440" s="7"/>
      <c r="AC440" s="7"/>
      <c r="AD440" s="7"/>
      <c r="AE440" s="7"/>
      <c r="AF440" s="7"/>
      <c r="AG440" s="7"/>
      <c r="AH440" s="1"/>
    </row>
    <row r="441">
      <c r="I441" s="391"/>
      <c r="W441" s="1"/>
      <c r="X441" s="1"/>
      <c r="Y441" s="7"/>
      <c r="Z441" s="7"/>
      <c r="AA441" s="1"/>
      <c r="AB441" s="7"/>
      <c r="AC441" s="7"/>
      <c r="AD441" s="7"/>
      <c r="AE441" s="7"/>
      <c r="AF441" s="7"/>
      <c r="AG441" s="7"/>
      <c r="AH441" s="1"/>
    </row>
    <row r="442">
      <c r="I442" s="391"/>
      <c r="W442" s="1"/>
      <c r="X442" s="1"/>
      <c r="Y442" s="7"/>
      <c r="Z442" s="7"/>
      <c r="AA442" s="1"/>
      <c r="AB442" s="7"/>
      <c r="AC442" s="7"/>
      <c r="AD442" s="7"/>
      <c r="AE442" s="7"/>
      <c r="AF442" s="7"/>
      <c r="AG442" s="7"/>
      <c r="AH442" s="1"/>
    </row>
    <row r="443">
      <c r="I443" s="391"/>
      <c r="W443" s="1"/>
      <c r="X443" s="1"/>
      <c r="Y443" s="7"/>
      <c r="Z443" s="7"/>
      <c r="AA443" s="1"/>
      <c r="AB443" s="7"/>
      <c r="AC443" s="7"/>
      <c r="AD443" s="7"/>
      <c r="AE443" s="7"/>
      <c r="AF443" s="7"/>
      <c r="AG443" s="7"/>
      <c r="AH443" s="1"/>
    </row>
    <row r="444">
      <c r="I444" s="391"/>
      <c r="W444" s="1"/>
      <c r="X444" s="1"/>
      <c r="Y444" s="7"/>
      <c r="Z444" s="7"/>
      <c r="AA444" s="1"/>
      <c r="AB444" s="7"/>
      <c r="AC444" s="7"/>
      <c r="AD444" s="7"/>
      <c r="AE444" s="7"/>
      <c r="AF444" s="7"/>
      <c r="AG444" s="7"/>
      <c r="AH444" s="1"/>
    </row>
    <row r="445">
      <c r="I445" s="391"/>
      <c r="W445" s="1"/>
      <c r="X445" s="1"/>
      <c r="Y445" s="7"/>
      <c r="Z445" s="7"/>
      <c r="AA445" s="1"/>
      <c r="AB445" s="7"/>
      <c r="AC445" s="7"/>
      <c r="AD445" s="7"/>
      <c r="AE445" s="7"/>
      <c r="AF445" s="7"/>
      <c r="AG445" s="7"/>
      <c r="AH445" s="1"/>
    </row>
    <row r="446">
      <c r="I446" s="391"/>
      <c r="W446" s="1"/>
      <c r="X446" s="1"/>
      <c r="Y446" s="7"/>
      <c r="Z446" s="7"/>
      <c r="AA446" s="1"/>
      <c r="AB446" s="7"/>
      <c r="AC446" s="7"/>
      <c r="AD446" s="7"/>
      <c r="AE446" s="7"/>
      <c r="AF446" s="7"/>
      <c r="AG446" s="7"/>
      <c r="AH446" s="1"/>
    </row>
    <row r="447">
      <c r="I447" s="391"/>
      <c r="W447" s="1"/>
      <c r="X447" s="1"/>
      <c r="Y447" s="7"/>
      <c r="Z447" s="7"/>
      <c r="AA447" s="1"/>
      <c r="AB447" s="7"/>
      <c r="AC447" s="7"/>
      <c r="AD447" s="7"/>
      <c r="AE447" s="7"/>
      <c r="AF447" s="7"/>
      <c r="AG447" s="7"/>
      <c r="AH447" s="1"/>
    </row>
    <row r="448">
      <c r="I448" s="391"/>
      <c r="W448" s="1"/>
      <c r="X448" s="1"/>
      <c r="Y448" s="7"/>
      <c r="Z448" s="7"/>
      <c r="AA448" s="1"/>
      <c r="AB448" s="7"/>
      <c r="AC448" s="7"/>
      <c r="AD448" s="7"/>
      <c r="AE448" s="7"/>
      <c r="AF448" s="7"/>
      <c r="AG448" s="7"/>
      <c r="AH448" s="1"/>
    </row>
    <row r="449">
      <c r="I449" s="391"/>
      <c r="W449" s="1"/>
      <c r="X449" s="1"/>
      <c r="Y449" s="7"/>
      <c r="Z449" s="7"/>
      <c r="AA449" s="1"/>
      <c r="AB449" s="7"/>
      <c r="AC449" s="7"/>
      <c r="AD449" s="7"/>
      <c r="AE449" s="7"/>
      <c r="AF449" s="7"/>
      <c r="AG449" s="7"/>
      <c r="AH449" s="1"/>
    </row>
    <row r="450">
      <c r="I450" s="391"/>
      <c r="W450" s="1"/>
      <c r="X450" s="1"/>
      <c r="Y450" s="7"/>
      <c r="Z450" s="7"/>
      <c r="AA450" s="1"/>
      <c r="AB450" s="7"/>
      <c r="AC450" s="7"/>
      <c r="AD450" s="7"/>
      <c r="AE450" s="7"/>
      <c r="AF450" s="7"/>
      <c r="AG450" s="7"/>
      <c r="AH450" s="1"/>
    </row>
    <row r="451">
      <c r="I451" s="391"/>
      <c r="W451" s="1"/>
      <c r="X451" s="1"/>
      <c r="Y451" s="7"/>
      <c r="Z451" s="7"/>
      <c r="AA451" s="1"/>
      <c r="AB451" s="7"/>
      <c r="AC451" s="7"/>
      <c r="AD451" s="7"/>
      <c r="AE451" s="7"/>
      <c r="AF451" s="7"/>
      <c r="AG451" s="7"/>
      <c r="AH451" s="1"/>
    </row>
    <row r="452">
      <c r="I452" s="391"/>
      <c r="W452" s="1"/>
      <c r="X452" s="1"/>
      <c r="Y452" s="7"/>
      <c r="Z452" s="7"/>
      <c r="AA452" s="1"/>
      <c r="AB452" s="7"/>
      <c r="AC452" s="7"/>
      <c r="AD452" s="7"/>
      <c r="AE452" s="7"/>
      <c r="AF452" s="7"/>
      <c r="AG452" s="7"/>
      <c r="AH452" s="1"/>
    </row>
    <row r="453">
      <c r="I453" s="391"/>
      <c r="W453" s="1"/>
      <c r="X453" s="1"/>
      <c r="Y453" s="7"/>
      <c r="Z453" s="7"/>
      <c r="AA453" s="1"/>
      <c r="AB453" s="7"/>
      <c r="AC453" s="7"/>
      <c r="AD453" s="7"/>
      <c r="AE453" s="7"/>
      <c r="AF453" s="7"/>
      <c r="AG453" s="7"/>
      <c r="AH453" s="1"/>
    </row>
    <row r="454">
      <c r="I454" s="391"/>
      <c r="W454" s="1"/>
      <c r="X454" s="1"/>
      <c r="Y454" s="7"/>
      <c r="Z454" s="7"/>
      <c r="AA454" s="1"/>
      <c r="AB454" s="7"/>
      <c r="AC454" s="7"/>
      <c r="AD454" s="7"/>
      <c r="AE454" s="7"/>
      <c r="AF454" s="7"/>
      <c r="AG454" s="7"/>
      <c r="AH454" s="1"/>
    </row>
    <row r="455">
      <c r="I455" s="391"/>
      <c r="W455" s="1"/>
      <c r="X455" s="1"/>
      <c r="Y455" s="7"/>
      <c r="Z455" s="7"/>
      <c r="AA455" s="1"/>
      <c r="AB455" s="7"/>
      <c r="AC455" s="7"/>
      <c r="AD455" s="7"/>
      <c r="AE455" s="7"/>
      <c r="AF455" s="7"/>
      <c r="AG455" s="7"/>
      <c r="AH455" s="1"/>
    </row>
    <row r="456">
      <c r="I456" s="391"/>
      <c r="W456" s="1"/>
      <c r="X456" s="1"/>
      <c r="Y456" s="7"/>
      <c r="Z456" s="7"/>
      <c r="AA456" s="1"/>
      <c r="AB456" s="7"/>
      <c r="AC456" s="7"/>
      <c r="AD456" s="7"/>
      <c r="AE456" s="7"/>
      <c r="AF456" s="7"/>
      <c r="AG456" s="7"/>
      <c r="AH456" s="1"/>
    </row>
    <row r="457">
      <c r="I457" s="391"/>
      <c r="W457" s="1"/>
      <c r="X457" s="1"/>
      <c r="Y457" s="7"/>
      <c r="Z457" s="7"/>
      <c r="AA457" s="1"/>
      <c r="AB457" s="7"/>
      <c r="AC457" s="7"/>
      <c r="AD457" s="7"/>
      <c r="AE457" s="7"/>
      <c r="AF457" s="7"/>
      <c r="AG457" s="7"/>
      <c r="AH457" s="1"/>
    </row>
    <row r="458">
      <c r="I458" s="391"/>
      <c r="W458" s="1"/>
      <c r="X458" s="1"/>
      <c r="Y458" s="7"/>
      <c r="Z458" s="7"/>
      <c r="AA458" s="1"/>
      <c r="AB458" s="7"/>
      <c r="AC458" s="7"/>
      <c r="AD458" s="7"/>
      <c r="AE458" s="7"/>
      <c r="AF458" s="7"/>
      <c r="AG458" s="7"/>
      <c r="AH458" s="1"/>
    </row>
    <row r="459">
      <c r="I459" s="391"/>
      <c r="W459" s="1"/>
      <c r="X459" s="1"/>
      <c r="Y459" s="7"/>
      <c r="Z459" s="7"/>
      <c r="AA459" s="1"/>
      <c r="AB459" s="7"/>
      <c r="AC459" s="7"/>
      <c r="AD459" s="7"/>
      <c r="AE459" s="7"/>
      <c r="AF459" s="7"/>
      <c r="AG459" s="7"/>
      <c r="AH459" s="1"/>
    </row>
    <row r="460">
      <c r="I460" s="391"/>
      <c r="W460" s="1"/>
      <c r="X460" s="1"/>
      <c r="Y460" s="7"/>
      <c r="Z460" s="7"/>
      <c r="AA460" s="1"/>
      <c r="AB460" s="7"/>
      <c r="AC460" s="7"/>
      <c r="AD460" s="7"/>
      <c r="AE460" s="7"/>
      <c r="AF460" s="7"/>
      <c r="AG460" s="7"/>
      <c r="AH460" s="1"/>
    </row>
    <row r="461">
      <c r="I461" s="391"/>
      <c r="W461" s="1"/>
      <c r="X461" s="1"/>
      <c r="Y461" s="7"/>
      <c r="Z461" s="7"/>
      <c r="AA461" s="1"/>
      <c r="AB461" s="7"/>
      <c r="AC461" s="7"/>
      <c r="AD461" s="7"/>
      <c r="AE461" s="7"/>
      <c r="AF461" s="7"/>
      <c r="AG461" s="7"/>
      <c r="AH461" s="1"/>
    </row>
    <row r="462">
      <c r="I462" s="391"/>
      <c r="W462" s="1"/>
      <c r="X462" s="1"/>
      <c r="Y462" s="7"/>
      <c r="Z462" s="7"/>
      <c r="AA462" s="1"/>
      <c r="AB462" s="7"/>
      <c r="AC462" s="7"/>
      <c r="AD462" s="7"/>
      <c r="AE462" s="7"/>
      <c r="AF462" s="7"/>
      <c r="AG462" s="7"/>
      <c r="AH462" s="1"/>
    </row>
    <row r="463">
      <c r="I463" s="391"/>
      <c r="W463" s="1"/>
      <c r="X463" s="1"/>
      <c r="Y463" s="7"/>
      <c r="Z463" s="7"/>
      <c r="AA463" s="1"/>
      <c r="AB463" s="7"/>
      <c r="AC463" s="7"/>
      <c r="AD463" s="7"/>
      <c r="AE463" s="7"/>
      <c r="AF463" s="7"/>
      <c r="AG463" s="7"/>
      <c r="AH463" s="1"/>
    </row>
    <row r="464">
      <c r="I464" s="391"/>
      <c r="W464" s="1"/>
      <c r="X464" s="1"/>
      <c r="Y464" s="7"/>
      <c r="Z464" s="7"/>
      <c r="AA464" s="1"/>
      <c r="AB464" s="7"/>
      <c r="AC464" s="7"/>
      <c r="AD464" s="7"/>
      <c r="AE464" s="7"/>
      <c r="AF464" s="7"/>
      <c r="AG464" s="7"/>
      <c r="AH464" s="1"/>
    </row>
    <row r="465">
      <c r="I465" s="391"/>
      <c r="W465" s="1"/>
      <c r="X465" s="1"/>
      <c r="Y465" s="7"/>
      <c r="Z465" s="7"/>
      <c r="AA465" s="1"/>
      <c r="AB465" s="7"/>
      <c r="AC465" s="7"/>
      <c r="AD465" s="7"/>
      <c r="AE465" s="7"/>
      <c r="AF465" s="7"/>
      <c r="AG465" s="7"/>
      <c r="AH465" s="1"/>
    </row>
    <row r="466">
      <c r="I466" s="391"/>
      <c r="W466" s="1"/>
      <c r="X466" s="1"/>
      <c r="Y466" s="7"/>
      <c r="Z466" s="7"/>
      <c r="AA466" s="1"/>
      <c r="AB466" s="7"/>
      <c r="AC466" s="7"/>
      <c r="AD466" s="7"/>
      <c r="AE466" s="7"/>
      <c r="AF466" s="7"/>
      <c r="AG466" s="7"/>
      <c r="AH466" s="1"/>
    </row>
    <row r="467">
      <c r="I467" s="391"/>
      <c r="W467" s="1"/>
      <c r="X467" s="1"/>
      <c r="Y467" s="7"/>
      <c r="Z467" s="7"/>
      <c r="AA467" s="1"/>
      <c r="AB467" s="7"/>
      <c r="AC467" s="7"/>
      <c r="AD467" s="7"/>
      <c r="AE467" s="7"/>
      <c r="AF467" s="7"/>
      <c r="AG467" s="7"/>
      <c r="AH467" s="1"/>
    </row>
    <row r="468">
      <c r="I468" s="391"/>
      <c r="W468" s="1"/>
      <c r="X468" s="1"/>
      <c r="Y468" s="7"/>
      <c r="Z468" s="7"/>
      <c r="AA468" s="1"/>
      <c r="AB468" s="7"/>
      <c r="AC468" s="7"/>
      <c r="AD468" s="7"/>
      <c r="AE468" s="7"/>
      <c r="AF468" s="7"/>
      <c r="AG468" s="7"/>
      <c r="AH468" s="1"/>
    </row>
    <row r="469">
      <c r="I469" s="391"/>
      <c r="W469" s="1"/>
      <c r="X469" s="1"/>
      <c r="Y469" s="7"/>
      <c r="Z469" s="7"/>
      <c r="AA469" s="1"/>
      <c r="AB469" s="7"/>
      <c r="AC469" s="7"/>
      <c r="AD469" s="7"/>
      <c r="AE469" s="7"/>
      <c r="AF469" s="7"/>
      <c r="AG469" s="7"/>
      <c r="AH469" s="1"/>
    </row>
    <row r="470">
      <c r="I470" s="391"/>
      <c r="W470" s="1"/>
      <c r="X470" s="1"/>
      <c r="Y470" s="7"/>
      <c r="Z470" s="7"/>
      <c r="AA470" s="1"/>
      <c r="AB470" s="7"/>
      <c r="AC470" s="7"/>
      <c r="AD470" s="7"/>
      <c r="AE470" s="7"/>
      <c r="AF470" s="7"/>
      <c r="AG470" s="7"/>
      <c r="AH470" s="1"/>
    </row>
    <row r="471">
      <c r="I471" s="391"/>
      <c r="W471" s="1"/>
      <c r="X471" s="1"/>
      <c r="Y471" s="7"/>
      <c r="Z471" s="7"/>
      <c r="AA471" s="1"/>
      <c r="AB471" s="7"/>
      <c r="AC471" s="7"/>
      <c r="AD471" s="7"/>
      <c r="AE471" s="7"/>
      <c r="AF471" s="7"/>
      <c r="AG471" s="7"/>
      <c r="AH471" s="1"/>
    </row>
    <row r="472">
      <c r="I472" s="391"/>
      <c r="W472" s="1"/>
      <c r="X472" s="1"/>
      <c r="Y472" s="7"/>
      <c r="Z472" s="7"/>
      <c r="AA472" s="1"/>
      <c r="AB472" s="7"/>
      <c r="AC472" s="7"/>
      <c r="AD472" s="7"/>
      <c r="AE472" s="7"/>
      <c r="AF472" s="7"/>
      <c r="AG472" s="7"/>
      <c r="AH472" s="1"/>
    </row>
    <row r="473">
      <c r="I473" s="391"/>
      <c r="W473" s="1"/>
      <c r="X473" s="1"/>
      <c r="Y473" s="7"/>
      <c r="Z473" s="7"/>
      <c r="AA473" s="1"/>
      <c r="AB473" s="7"/>
      <c r="AC473" s="7"/>
      <c r="AD473" s="7"/>
      <c r="AE473" s="7"/>
      <c r="AF473" s="7"/>
      <c r="AG473" s="7"/>
      <c r="AH473" s="1"/>
    </row>
    <row r="474">
      <c r="I474" s="391"/>
      <c r="W474" s="1"/>
      <c r="X474" s="1"/>
      <c r="Y474" s="7"/>
      <c r="Z474" s="7"/>
      <c r="AA474" s="1"/>
      <c r="AB474" s="7"/>
      <c r="AC474" s="7"/>
      <c r="AD474" s="7"/>
      <c r="AE474" s="7"/>
      <c r="AF474" s="7"/>
      <c r="AG474" s="7"/>
      <c r="AH474" s="1"/>
    </row>
    <row r="475">
      <c r="I475" s="391"/>
      <c r="W475" s="1"/>
      <c r="X475" s="1"/>
      <c r="Y475" s="7"/>
      <c r="Z475" s="7"/>
      <c r="AA475" s="1"/>
      <c r="AB475" s="7"/>
      <c r="AC475" s="7"/>
      <c r="AD475" s="7"/>
      <c r="AE475" s="7"/>
      <c r="AF475" s="7"/>
      <c r="AG475" s="7"/>
      <c r="AH475" s="1"/>
    </row>
    <row r="476">
      <c r="I476" s="391"/>
      <c r="W476" s="1"/>
      <c r="X476" s="1"/>
      <c r="Y476" s="7"/>
      <c r="Z476" s="7"/>
      <c r="AA476" s="1"/>
      <c r="AB476" s="7"/>
      <c r="AC476" s="7"/>
      <c r="AD476" s="7"/>
      <c r="AE476" s="7"/>
      <c r="AF476" s="7"/>
      <c r="AG476" s="7"/>
      <c r="AH476" s="1"/>
    </row>
    <row r="477">
      <c r="I477" s="391"/>
      <c r="W477" s="1"/>
      <c r="X477" s="1"/>
      <c r="Y477" s="7"/>
      <c r="Z477" s="7"/>
      <c r="AA477" s="1"/>
      <c r="AB477" s="7"/>
      <c r="AC477" s="7"/>
      <c r="AD477" s="7"/>
      <c r="AE477" s="7"/>
      <c r="AF477" s="7"/>
      <c r="AG477" s="7"/>
      <c r="AH477" s="1"/>
    </row>
    <row r="478">
      <c r="I478" s="391"/>
      <c r="W478" s="1"/>
      <c r="X478" s="1"/>
      <c r="Y478" s="7"/>
      <c r="Z478" s="7"/>
      <c r="AA478" s="1"/>
      <c r="AB478" s="7"/>
      <c r="AC478" s="7"/>
      <c r="AD478" s="7"/>
      <c r="AE478" s="7"/>
      <c r="AF478" s="7"/>
      <c r="AG478" s="7"/>
      <c r="AH478" s="1"/>
    </row>
    <row r="479">
      <c r="I479" s="391"/>
      <c r="W479" s="1"/>
      <c r="X479" s="1"/>
      <c r="Y479" s="7"/>
      <c r="Z479" s="7"/>
      <c r="AA479" s="1"/>
      <c r="AB479" s="7"/>
      <c r="AC479" s="7"/>
      <c r="AD479" s="7"/>
      <c r="AE479" s="7"/>
      <c r="AF479" s="7"/>
      <c r="AG479" s="7"/>
      <c r="AH479" s="1"/>
    </row>
    <row r="480">
      <c r="I480" s="391"/>
      <c r="W480" s="1"/>
      <c r="X480" s="1"/>
      <c r="Y480" s="7"/>
      <c r="Z480" s="7"/>
      <c r="AA480" s="1"/>
      <c r="AB480" s="7"/>
      <c r="AC480" s="7"/>
      <c r="AD480" s="7"/>
      <c r="AE480" s="7"/>
      <c r="AF480" s="7"/>
      <c r="AG480" s="7"/>
      <c r="AH480" s="1"/>
    </row>
    <row r="481">
      <c r="I481" s="391"/>
      <c r="W481" s="1"/>
      <c r="X481" s="1"/>
      <c r="Y481" s="7"/>
      <c r="Z481" s="7"/>
      <c r="AA481" s="1"/>
      <c r="AB481" s="7"/>
      <c r="AC481" s="7"/>
      <c r="AD481" s="7"/>
      <c r="AE481" s="7"/>
      <c r="AF481" s="7"/>
      <c r="AG481" s="7"/>
      <c r="AH481" s="1"/>
    </row>
    <row r="482">
      <c r="I482" s="391"/>
      <c r="W482" s="1"/>
      <c r="X482" s="1"/>
      <c r="Y482" s="7"/>
      <c r="Z482" s="7"/>
      <c r="AA482" s="1"/>
      <c r="AB482" s="7"/>
      <c r="AC482" s="7"/>
      <c r="AD482" s="7"/>
      <c r="AE482" s="7"/>
      <c r="AF482" s="7"/>
      <c r="AG482" s="7"/>
      <c r="AH482" s="1"/>
    </row>
    <row r="483">
      <c r="I483" s="391"/>
      <c r="W483" s="1"/>
      <c r="X483" s="1"/>
      <c r="Y483" s="7"/>
      <c r="Z483" s="7"/>
      <c r="AA483" s="1"/>
      <c r="AB483" s="7"/>
      <c r="AC483" s="7"/>
      <c r="AD483" s="7"/>
      <c r="AE483" s="7"/>
      <c r="AF483" s="7"/>
      <c r="AG483" s="7"/>
      <c r="AH483" s="1"/>
    </row>
    <row r="484">
      <c r="I484" s="391"/>
      <c r="W484" s="1"/>
      <c r="X484" s="1"/>
      <c r="Y484" s="7"/>
      <c r="Z484" s="7"/>
      <c r="AA484" s="1"/>
      <c r="AB484" s="7"/>
      <c r="AC484" s="7"/>
      <c r="AD484" s="7"/>
      <c r="AE484" s="7"/>
      <c r="AF484" s="7"/>
      <c r="AG484" s="7"/>
      <c r="AH484" s="1"/>
    </row>
    <row r="485">
      <c r="I485" s="391"/>
      <c r="W485" s="1"/>
      <c r="X485" s="1"/>
      <c r="Y485" s="7"/>
      <c r="Z485" s="7"/>
      <c r="AA485" s="1"/>
      <c r="AB485" s="7"/>
      <c r="AC485" s="7"/>
      <c r="AD485" s="7"/>
      <c r="AE485" s="7"/>
      <c r="AF485" s="7"/>
      <c r="AG485" s="7"/>
      <c r="AH485" s="1"/>
    </row>
    <row r="486">
      <c r="I486" s="391"/>
      <c r="W486" s="1"/>
      <c r="X486" s="1"/>
      <c r="Y486" s="7"/>
      <c r="Z486" s="7"/>
      <c r="AA486" s="1"/>
      <c r="AB486" s="7"/>
      <c r="AC486" s="7"/>
      <c r="AD486" s="7"/>
      <c r="AE486" s="7"/>
      <c r="AF486" s="7"/>
      <c r="AG486" s="7"/>
      <c r="AH486" s="1"/>
    </row>
    <row r="487">
      <c r="I487" s="391"/>
      <c r="W487" s="1"/>
      <c r="X487" s="1"/>
      <c r="Y487" s="7"/>
      <c r="Z487" s="7"/>
      <c r="AA487" s="1"/>
      <c r="AB487" s="7"/>
      <c r="AC487" s="7"/>
      <c r="AD487" s="7"/>
      <c r="AE487" s="7"/>
      <c r="AF487" s="7"/>
      <c r="AG487" s="7"/>
      <c r="AH487" s="1"/>
    </row>
    <row r="488">
      <c r="I488" s="391"/>
      <c r="W488" s="1"/>
      <c r="X488" s="1"/>
      <c r="Y488" s="7"/>
      <c r="Z488" s="7"/>
      <c r="AA488" s="1"/>
      <c r="AB488" s="7"/>
      <c r="AC488" s="7"/>
      <c r="AD488" s="7"/>
      <c r="AE488" s="7"/>
      <c r="AF488" s="7"/>
      <c r="AG488" s="7"/>
      <c r="AH488" s="1"/>
    </row>
    <row r="489">
      <c r="I489" s="391"/>
      <c r="W489" s="1"/>
      <c r="X489" s="1"/>
      <c r="Y489" s="7"/>
      <c r="Z489" s="7"/>
      <c r="AA489" s="1"/>
      <c r="AB489" s="7"/>
      <c r="AC489" s="7"/>
      <c r="AD489" s="7"/>
      <c r="AE489" s="7"/>
      <c r="AF489" s="7"/>
      <c r="AG489" s="7"/>
      <c r="AH489" s="1"/>
    </row>
    <row r="490">
      <c r="I490" s="391"/>
      <c r="W490" s="1"/>
      <c r="X490" s="1"/>
      <c r="Y490" s="7"/>
      <c r="Z490" s="7"/>
      <c r="AA490" s="1"/>
      <c r="AB490" s="7"/>
      <c r="AC490" s="7"/>
      <c r="AD490" s="7"/>
      <c r="AE490" s="7"/>
      <c r="AF490" s="7"/>
      <c r="AG490" s="7"/>
      <c r="AH490" s="1"/>
    </row>
    <row r="491">
      <c r="I491" s="391"/>
      <c r="W491" s="1"/>
      <c r="X491" s="1"/>
      <c r="Y491" s="7"/>
      <c r="Z491" s="7"/>
      <c r="AA491" s="1"/>
      <c r="AB491" s="7"/>
      <c r="AC491" s="7"/>
      <c r="AD491" s="7"/>
      <c r="AE491" s="7"/>
      <c r="AF491" s="7"/>
      <c r="AG491" s="7"/>
      <c r="AH491" s="1"/>
    </row>
    <row r="492">
      <c r="I492" s="391"/>
      <c r="W492" s="1"/>
      <c r="X492" s="1"/>
      <c r="Y492" s="7"/>
      <c r="Z492" s="7"/>
      <c r="AA492" s="1"/>
      <c r="AB492" s="7"/>
      <c r="AC492" s="7"/>
      <c r="AD492" s="7"/>
      <c r="AE492" s="7"/>
      <c r="AF492" s="7"/>
      <c r="AG492" s="7"/>
      <c r="AH492" s="1"/>
    </row>
    <row r="493">
      <c r="I493" s="391"/>
      <c r="W493" s="1"/>
      <c r="X493" s="1"/>
      <c r="Y493" s="7"/>
      <c r="Z493" s="7"/>
      <c r="AA493" s="1"/>
      <c r="AB493" s="7"/>
      <c r="AC493" s="7"/>
      <c r="AD493" s="7"/>
      <c r="AE493" s="7"/>
      <c r="AF493" s="7"/>
      <c r="AG493" s="7"/>
      <c r="AH493" s="1"/>
    </row>
    <row r="494">
      <c r="I494" s="391"/>
      <c r="W494" s="1"/>
      <c r="X494" s="1"/>
      <c r="Y494" s="7"/>
      <c r="Z494" s="7"/>
      <c r="AA494" s="1"/>
      <c r="AB494" s="7"/>
      <c r="AC494" s="7"/>
      <c r="AD494" s="7"/>
      <c r="AE494" s="7"/>
      <c r="AF494" s="7"/>
      <c r="AG494" s="7"/>
      <c r="AH494" s="1"/>
    </row>
    <row r="495">
      <c r="I495" s="391"/>
      <c r="W495" s="1"/>
      <c r="X495" s="1"/>
      <c r="Y495" s="7"/>
      <c r="Z495" s="7"/>
      <c r="AA495" s="1"/>
      <c r="AB495" s="7"/>
      <c r="AC495" s="7"/>
      <c r="AD495" s="7"/>
      <c r="AE495" s="7"/>
      <c r="AF495" s="7"/>
      <c r="AG495" s="7"/>
      <c r="AH495" s="1"/>
    </row>
    <row r="496">
      <c r="I496" s="391"/>
      <c r="W496" s="1"/>
      <c r="X496" s="1"/>
      <c r="Y496" s="7"/>
      <c r="Z496" s="7"/>
      <c r="AA496" s="1"/>
      <c r="AB496" s="7"/>
      <c r="AC496" s="7"/>
      <c r="AD496" s="7"/>
      <c r="AE496" s="7"/>
      <c r="AF496" s="7"/>
      <c r="AG496" s="7"/>
      <c r="AH496" s="1"/>
    </row>
    <row r="497">
      <c r="I497" s="391"/>
      <c r="W497" s="1"/>
      <c r="X497" s="1"/>
      <c r="Y497" s="7"/>
      <c r="Z497" s="7"/>
      <c r="AA497" s="1"/>
      <c r="AB497" s="7"/>
      <c r="AC497" s="7"/>
      <c r="AD497" s="7"/>
      <c r="AE497" s="7"/>
      <c r="AF497" s="7"/>
      <c r="AG497" s="7"/>
      <c r="AH497" s="1"/>
    </row>
    <row r="498">
      <c r="I498" s="391"/>
      <c r="W498" s="1"/>
      <c r="X498" s="1"/>
      <c r="Y498" s="7"/>
      <c r="Z498" s="7"/>
      <c r="AA498" s="1"/>
      <c r="AB498" s="7"/>
      <c r="AC498" s="7"/>
      <c r="AD498" s="7"/>
      <c r="AE498" s="7"/>
      <c r="AF498" s="7"/>
      <c r="AG498" s="7"/>
      <c r="AH498" s="1"/>
    </row>
    <row r="499">
      <c r="I499" s="391"/>
      <c r="W499" s="1"/>
      <c r="X499" s="1"/>
      <c r="Y499" s="7"/>
      <c r="Z499" s="7"/>
      <c r="AA499" s="1"/>
      <c r="AB499" s="7"/>
      <c r="AC499" s="7"/>
      <c r="AD499" s="7"/>
      <c r="AE499" s="7"/>
      <c r="AF499" s="7"/>
      <c r="AG499" s="7"/>
      <c r="AH499" s="1"/>
    </row>
    <row r="500">
      <c r="I500" s="391"/>
      <c r="W500" s="1"/>
      <c r="X500" s="1"/>
      <c r="Y500" s="7"/>
      <c r="Z500" s="7"/>
      <c r="AA500" s="1"/>
      <c r="AB500" s="7"/>
      <c r="AC500" s="7"/>
      <c r="AD500" s="7"/>
      <c r="AE500" s="7"/>
      <c r="AF500" s="7"/>
      <c r="AG500" s="7"/>
      <c r="AH500" s="1"/>
    </row>
    <row r="501">
      <c r="I501" s="391"/>
      <c r="W501" s="1"/>
      <c r="X501" s="1"/>
      <c r="Y501" s="7"/>
      <c r="Z501" s="7"/>
      <c r="AA501" s="1"/>
      <c r="AB501" s="7"/>
      <c r="AC501" s="7"/>
      <c r="AD501" s="7"/>
      <c r="AE501" s="7"/>
      <c r="AF501" s="7"/>
      <c r="AG501" s="7"/>
      <c r="AH501" s="1"/>
    </row>
    <row r="502">
      <c r="I502" s="391"/>
      <c r="W502" s="1"/>
      <c r="X502" s="1"/>
      <c r="Y502" s="7"/>
      <c r="Z502" s="7"/>
      <c r="AA502" s="1"/>
      <c r="AB502" s="7"/>
      <c r="AC502" s="7"/>
      <c r="AD502" s="7"/>
      <c r="AE502" s="7"/>
      <c r="AF502" s="7"/>
      <c r="AG502" s="7"/>
      <c r="AH502" s="1"/>
    </row>
    <row r="503">
      <c r="I503" s="391"/>
      <c r="W503" s="1"/>
      <c r="X503" s="1"/>
      <c r="Y503" s="7"/>
      <c r="Z503" s="7"/>
      <c r="AA503" s="1"/>
      <c r="AB503" s="7"/>
      <c r="AC503" s="7"/>
      <c r="AD503" s="7"/>
      <c r="AE503" s="7"/>
      <c r="AF503" s="7"/>
      <c r="AG503" s="7"/>
      <c r="AH503" s="1"/>
    </row>
    <row r="504">
      <c r="I504" s="391"/>
      <c r="W504" s="1"/>
      <c r="X504" s="1"/>
      <c r="Y504" s="7"/>
      <c r="Z504" s="7"/>
      <c r="AA504" s="1"/>
      <c r="AB504" s="7"/>
      <c r="AC504" s="7"/>
      <c r="AD504" s="7"/>
      <c r="AE504" s="7"/>
      <c r="AF504" s="7"/>
      <c r="AG504" s="7"/>
      <c r="AH504" s="1"/>
    </row>
    <row r="505">
      <c r="I505" s="391"/>
      <c r="W505" s="1"/>
      <c r="X505" s="1"/>
      <c r="Y505" s="7"/>
      <c r="Z505" s="7"/>
      <c r="AA505" s="1"/>
      <c r="AB505" s="7"/>
      <c r="AC505" s="7"/>
      <c r="AD505" s="7"/>
      <c r="AE505" s="7"/>
      <c r="AF505" s="7"/>
      <c r="AG505" s="7"/>
      <c r="AH505" s="1"/>
    </row>
    <row r="506">
      <c r="I506" s="391"/>
      <c r="W506" s="1"/>
      <c r="X506" s="1"/>
      <c r="Y506" s="7"/>
      <c r="Z506" s="7"/>
      <c r="AA506" s="1"/>
      <c r="AB506" s="7"/>
      <c r="AC506" s="7"/>
      <c r="AD506" s="7"/>
      <c r="AE506" s="7"/>
      <c r="AF506" s="7"/>
      <c r="AG506" s="7"/>
      <c r="AH506" s="1"/>
    </row>
    <row r="507">
      <c r="I507" s="391"/>
      <c r="W507" s="1"/>
      <c r="X507" s="1"/>
      <c r="Y507" s="7"/>
      <c r="Z507" s="7"/>
      <c r="AA507" s="1"/>
      <c r="AB507" s="7"/>
      <c r="AC507" s="7"/>
      <c r="AD507" s="7"/>
      <c r="AE507" s="7"/>
      <c r="AF507" s="7"/>
      <c r="AG507" s="7"/>
      <c r="AH507" s="1"/>
    </row>
    <row r="508">
      <c r="I508" s="391"/>
      <c r="W508" s="1"/>
      <c r="X508" s="1"/>
      <c r="Y508" s="7"/>
      <c r="Z508" s="7"/>
      <c r="AA508" s="1"/>
      <c r="AB508" s="7"/>
      <c r="AC508" s="7"/>
      <c r="AD508" s="7"/>
      <c r="AE508" s="7"/>
      <c r="AF508" s="7"/>
      <c r="AG508" s="7"/>
      <c r="AH508" s="1"/>
    </row>
    <row r="509">
      <c r="I509" s="391"/>
      <c r="W509" s="1"/>
      <c r="X509" s="1"/>
      <c r="Y509" s="7"/>
      <c r="Z509" s="7"/>
      <c r="AA509" s="1"/>
      <c r="AB509" s="7"/>
      <c r="AC509" s="7"/>
      <c r="AD509" s="7"/>
      <c r="AE509" s="7"/>
      <c r="AF509" s="7"/>
      <c r="AG509" s="7"/>
      <c r="AH509" s="1"/>
    </row>
    <row r="510">
      <c r="I510" s="391"/>
      <c r="W510" s="1"/>
      <c r="X510" s="1"/>
      <c r="Y510" s="7"/>
      <c r="Z510" s="7"/>
      <c r="AA510" s="1"/>
      <c r="AB510" s="7"/>
      <c r="AC510" s="7"/>
      <c r="AD510" s="7"/>
      <c r="AE510" s="7"/>
      <c r="AF510" s="7"/>
      <c r="AG510" s="7"/>
      <c r="AH510" s="1"/>
    </row>
    <row r="511">
      <c r="I511" s="391"/>
      <c r="W511" s="1"/>
      <c r="X511" s="1"/>
      <c r="Y511" s="7"/>
      <c r="Z511" s="7"/>
      <c r="AA511" s="1"/>
      <c r="AB511" s="7"/>
      <c r="AC511" s="7"/>
      <c r="AD511" s="7"/>
      <c r="AE511" s="7"/>
      <c r="AF511" s="7"/>
      <c r="AG511" s="7"/>
      <c r="AH511" s="1"/>
    </row>
    <row r="512">
      <c r="I512" s="391"/>
      <c r="W512" s="1"/>
      <c r="X512" s="1"/>
      <c r="Y512" s="7"/>
      <c r="Z512" s="7"/>
      <c r="AA512" s="1"/>
      <c r="AB512" s="7"/>
      <c r="AC512" s="7"/>
      <c r="AD512" s="7"/>
      <c r="AE512" s="7"/>
      <c r="AF512" s="7"/>
      <c r="AG512" s="7"/>
      <c r="AH512" s="1"/>
    </row>
    <row r="513">
      <c r="I513" s="391"/>
      <c r="W513" s="1"/>
      <c r="X513" s="1"/>
      <c r="Y513" s="7"/>
      <c r="Z513" s="7"/>
      <c r="AA513" s="1"/>
      <c r="AB513" s="7"/>
      <c r="AC513" s="7"/>
      <c r="AD513" s="7"/>
      <c r="AE513" s="7"/>
      <c r="AF513" s="7"/>
      <c r="AG513" s="7"/>
      <c r="AH513" s="1"/>
    </row>
    <row r="514">
      <c r="I514" s="391"/>
      <c r="W514" s="1"/>
      <c r="X514" s="1"/>
      <c r="Y514" s="7"/>
      <c r="Z514" s="7"/>
      <c r="AA514" s="1"/>
      <c r="AB514" s="7"/>
      <c r="AC514" s="7"/>
      <c r="AD514" s="7"/>
      <c r="AE514" s="7"/>
      <c r="AF514" s="7"/>
      <c r="AG514" s="7"/>
      <c r="AH514" s="1"/>
    </row>
    <row r="515">
      <c r="I515" s="391"/>
      <c r="W515" s="1"/>
      <c r="X515" s="1"/>
      <c r="Y515" s="7"/>
      <c r="Z515" s="7"/>
      <c r="AA515" s="1"/>
      <c r="AB515" s="7"/>
      <c r="AC515" s="7"/>
      <c r="AD515" s="7"/>
      <c r="AE515" s="7"/>
      <c r="AF515" s="7"/>
      <c r="AG515" s="7"/>
      <c r="AH515" s="1"/>
    </row>
    <row r="516">
      <c r="I516" s="391"/>
      <c r="W516" s="1"/>
      <c r="X516" s="1"/>
      <c r="Y516" s="7"/>
      <c r="Z516" s="7"/>
      <c r="AA516" s="1"/>
      <c r="AB516" s="7"/>
      <c r="AC516" s="7"/>
      <c r="AD516" s="7"/>
      <c r="AE516" s="7"/>
      <c r="AF516" s="7"/>
      <c r="AG516" s="7"/>
      <c r="AH516" s="1"/>
    </row>
    <row r="517">
      <c r="I517" s="391"/>
      <c r="W517" s="1"/>
      <c r="X517" s="1"/>
      <c r="Y517" s="7"/>
      <c r="Z517" s="7"/>
      <c r="AA517" s="1"/>
      <c r="AB517" s="7"/>
      <c r="AC517" s="7"/>
      <c r="AD517" s="7"/>
      <c r="AE517" s="7"/>
      <c r="AF517" s="7"/>
      <c r="AG517" s="7"/>
      <c r="AH517" s="1"/>
    </row>
    <row r="518">
      <c r="I518" s="391"/>
      <c r="W518" s="1"/>
      <c r="X518" s="1"/>
      <c r="Y518" s="7"/>
      <c r="Z518" s="7"/>
      <c r="AA518" s="1"/>
      <c r="AB518" s="7"/>
      <c r="AC518" s="7"/>
      <c r="AD518" s="7"/>
      <c r="AE518" s="7"/>
      <c r="AF518" s="7"/>
      <c r="AG518" s="7"/>
      <c r="AH518" s="1"/>
    </row>
    <row r="519">
      <c r="I519" s="391"/>
      <c r="W519" s="1"/>
      <c r="X519" s="1"/>
      <c r="Y519" s="7"/>
      <c r="Z519" s="7"/>
      <c r="AA519" s="1"/>
      <c r="AB519" s="7"/>
      <c r="AC519" s="7"/>
      <c r="AD519" s="7"/>
      <c r="AE519" s="7"/>
      <c r="AF519" s="7"/>
      <c r="AG519" s="7"/>
      <c r="AH519" s="1"/>
    </row>
    <row r="520">
      <c r="I520" s="391"/>
      <c r="W520" s="1"/>
      <c r="X520" s="1"/>
      <c r="Y520" s="7"/>
      <c r="Z520" s="7"/>
      <c r="AA520" s="1"/>
      <c r="AB520" s="7"/>
      <c r="AC520" s="7"/>
      <c r="AD520" s="7"/>
      <c r="AE520" s="7"/>
      <c r="AF520" s="7"/>
      <c r="AG520" s="7"/>
      <c r="AH520" s="1"/>
    </row>
    <row r="521">
      <c r="I521" s="391"/>
      <c r="W521" s="1"/>
      <c r="X521" s="1"/>
      <c r="Y521" s="7"/>
      <c r="Z521" s="7"/>
      <c r="AA521" s="1"/>
      <c r="AB521" s="7"/>
      <c r="AC521" s="7"/>
      <c r="AD521" s="7"/>
      <c r="AE521" s="7"/>
      <c r="AF521" s="7"/>
      <c r="AG521" s="7"/>
      <c r="AH521" s="1"/>
    </row>
    <row r="522">
      <c r="I522" s="391"/>
      <c r="W522" s="1"/>
      <c r="X522" s="1"/>
      <c r="Y522" s="7"/>
      <c r="Z522" s="7"/>
      <c r="AA522" s="1"/>
      <c r="AB522" s="7"/>
      <c r="AC522" s="7"/>
      <c r="AD522" s="7"/>
      <c r="AE522" s="7"/>
      <c r="AF522" s="7"/>
      <c r="AG522" s="7"/>
      <c r="AH522" s="1"/>
    </row>
    <row r="523">
      <c r="I523" s="391"/>
      <c r="W523" s="1"/>
      <c r="X523" s="1"/>
      <c r="Y523" s="7"/>
      <c r="Z523" s="7"/>
      <c r="AA523" s="1"/>
      <c r="AB523" s="7"/>
      <c r="AC523" s="7"/>
      <c r="AD523" s="7"/>
      <c r="AE523" s="7"/>
      <c r="AF523" s="7"/>
      <c r="AG523" s="7"/>
      <c r="AH523" s="1"/>
    </row>
    <row r="524">
      <c r="I524" s="391"/>
      <c r="W524" s="1"/>
      <c r="X524" s="1"/>
      <c r="Y524" s="7"/>
      <c r="Z524" s="7"/>
      <c r="AA524" s="1"/>
      <c r="AB524" s="7"/>
      <c r="AC524" s="7"/>
      <c r="AD524" s="7"/>
      <c r="AE524" s="7"/>
      <c r="AF524" s="7"/>
      <c r="AG524" s="7"/>
      <c r="AH524" s="1"/>
    </row>
    <row r="525">
      <c r="I525" s="391"/>
      <c r="W525" s="1"/>
      <c r="X525" s="1"/>
      <c r="Y525" s="7"/>
      <c r="Z525" s="7"/>
      <c r="AA525" s="1"/>
      <c r="AB525" s="7"/>
      <c r="AC525" s="7"/>
      <c r="AD525" s="7"/>
      <c r="AE525" s="7"/>
      <c r="AF525" s="7"/>
      <c r="AG525" s="7"/>
      <c r="AH525" s="1"/>
    </row>
    <row r="526">
      <c r="I526" s="391"/>
      <c r="W526" s="1"/>
      <c r="X526" s="1"/>
      <c r="Y526" s="7"/>
      <c r="Z526" s="7"/>
      <c r="AA526" s="1"/>
      <c r="AB526" s="7"/>
      <c r="AC526" s="7"/>
      <c r="AD526" s="7"/>
      <c r="AE526" s="7"/>
      <c r="AF526" s="7"/>
      <c r="AG526" s="7"/>
      <c r="AH526" s="1"/>
    </row>
    <row r="527">
      <c r="I527" s="391"/>
      <c r="W527" s="1"/>
      <c r="X527" s="1"/>
      <c r="Y527" s="7"/>
      <c r="Z527" s="7"/>
      <c r="AA527" s="1"/>
      <c r="AB527" s="7"/>
      <c r="AC527" s="7"/>
      <c r="AD527" s="7"/>
      <c r="AE527" s="7"/>
      <c r="AF527" s="7"/>
      <c r="AG527" s="7"/>
      <c r="AH527" s="1"/>
    </row>
    <row r="528">
      <c r="I528" s="391"/>
      <c r="W528" s="1"/>
      <c r="X528" s="1"/>
      <c r="Y528" s="7"/>
      <c r="Z528" s="7"/>
      <c r="AA528" s="1"/>
      <c r="AB528" s="7"/>
      <c r="AC528" s="7"/>
      <c r="AD528" s="7"/>
      <c r="AE528" s="7"/>
      <c r="AF528" s="7"/>
      <c r="AG528" s="7"/>
      <c r="AH528" s="1"/>
    </row>
    <row r="529">
      <c r="I529" s="391"/>
      <c r="W529" s="1"/>
      <c r="X529" s="1"/>
      <c r="Y529" s="7"/>
      <c r="Z529" s="7"/>
      <c r="AA529" s="1"/>
      <c r="AB529" s="7"/>
      <c r="AC529" s="7"/>
      <c r="AD529" s="7"/>
      <c r="AE529" s="7"/>
      <c r="AF529" s="7"/>
      <c r="AG529" s="7"/>
      <c r="AH529" s="1"/>
    </row>
    <row r="530">
      <c r="I530" s="391"/>
      <c r="W530" s="1"/>
      <c r="X530" s="1"/>
      <c r="Y530" s="7"/>
      <c r="Z530" s="7"/>
      <c r="AA530" s="1"/>
      <c r="AB530" s="7"/>
      <c r="AC530" s="7"/>
      <c r="AD530" s="7"/>
      <c r="AE530" s="7"/>
      <c r="AF530" s="7"/>
      <c r="AG530" s="7"/>
      <c r="AH530" s="1"/>
    </row>
    <row r="531">
      <c r="I531" s="391"/>
      <c r="W531" s="1"/>
      <c r="X531" s="1"/>
      <c r="Y531" s="7"/>
      <c r="Z531" s="7"/>
      <c r="AA531" s="1"/>
      <c r="AB531" s="7"/>
      <c r="AC531" s="7"/>
      <c r="AD531" s="7"/>
      <c r="AE531" s="7"/>
      <c r="AF531" s="7"/>
      <c r="AG531" s="7"/>
      <c r="AH531" s="1"/>
    </row>
    <row r="532">
      <c r="I532" s="391"/>
      <c r="W532" s="1"/>
      <c r="X532" s="1"/>
      <c r="Y532" s="7"/>
      <c r="Z532" s="7"/>
      <c r="AA532" s="1"/>
      <c r="AB532" s="7"/>
      <c r="AC532" s="7"/>
      <c r="AD532" s="7"/>
      <c r="AE532" s="7"/>
      <c r="AF532" s="7"/>
      <c r="AG532" s="7"/>
      <c r="AH532" s="1"/>
    </row>
    <row r="533">
      <c r="I533" s="391"/>
      <c r="W533" s="1"/>
      <c r="X533" s="1"/>
      <c r="Y533" s="7"/>
      <c r="Z533" s="7"/>
      <c r="AA533" s="1"/>
      <c r="AB533" s="7"/>
      <c r="AC533" s="7"/>
      <c r="AD533" s="7"/>
      <c r="AE533" s="7"/>
      <c r="AF533" s="7"/>
      <c r="AG533" s="7"/>
      <c r="AH533" s="1"/>
    </row>
    <row r="534">
      <c r="I534" s="391"/>
      <c r="W534" s="1"/>
      <c r="X534" s="1"/>
      <c r="Y534" s="7"/>
      <c r="Z534" s="7"/>
      <c r="AA534" s="1"/>
      <c r="AB534" s="7"/>
      <c r="AC534" s="7"/>
      <c r="AD534" s="7"/>
      <c r="AE534" s="7"/>
      <c r="AF534" s="7"/>
      <c r="AG534" s="7"/>
      <c r="AH534" s="1"/>
    </row>
    <row r="535">
      <c r="I535" s="391"/>
      <c r="W535" s="1"/>
      <c r="X535" s="1"/>
      <c r="Y535" s="7"/>
      <c r="Z535" s="7"/>
      <c r="AA535" s="1"/>
      <c r="AB535" s="7"/>
      <c r="AC535" s="7"/>
      <c r="AD535" s="7"/>
      <c r="AE535" s="7"/>
      <c r="AF535" s="7"/>
      <c r="AG535" s="7"/>
      <c r="AH535" s="1"/>
    </row>
    <row r="536">
      <c r="I536" s="391"/>
      <c r="W536" s="1"/>
      <c r="X536" s="1"/>
      <c r="Y536" s="7"/>
      <c r="Z536" s="7"/>
      <c r="AA536" s="1"/>
      <c r="AB536" s="7"/>
      <c r="AC536" s="7"/>
      <c r="AD536" s="7"/>
      <c r="AE536" s="7"/>
      <c r="AF536" s="7"/>
      <c r="AG536" s="7"/>
      <c r="AH536" s="1"/>
    </row>
    <row r="537">
      <c r="I537" s="391"/>
      <c r="W537" s="1"/>
      <c r="X537" s="1"/>
      <c r="Y537" s="7"/>
      <c r="Z537" s="7"/>
      <c r="AA537" s="1"/>
      <c r="AB537" s="7"/>
      <c r="AC537" s="7"/>
      <c r="AD537" s="7"/>
      <c r="AE537" s="7"/>
      <c r="AF537" s="7"/>
      <c r="AG537" s="7"/>
      <c r="AH537" s="1"/>
    </row>
    <row r="538">
      <c r="I538" s="391"/>
      <c r="W538" s="1"/>
      <c r="X538" s="1"/>
      <c r="Y538" s="7"/>
      <c r="Z538" s="7"/>
      <c r="AA538" s="1"/>
      <c r="AB538" s="7"/>
      <c r="AC538" s="7"/>
      <c r="AD538" s="7"/>
      <c r="AE538" s="7"/>
      <c r="AF538" s="7"/>
      <c r="AG538" s="7"/>
      <c r="AH538" s="1"/>
    </row>
    <row r="539">
      <c r="I539" s="391"/>
      <c r="W539" s="1"/>
      <c r="X539" s="1"/>
      <c r="Y539" s="7"/>
      <c r="Z539" s="7"/>
      <c r="AA539" s="1"/>
      <c r="AB539" s="7"/>
      <c r="AC539" s="7"/>
      <c r="AD539" s="7"/>
      <c r="AE539" s="7"/>
      <c r="AF539" s="7"/>
      <c r="AG539" s="7"/>
      <c r="AH539" s="1"/>
    </row>
    <row r="540">
      <c r="I540" s="391"/>
      <c r="W540" s="1"/>
      <c r="X540" s="1"/>
      <c r="Y540" s="7"/>
      <c r="Z540" s="7"/>
      <c r="AA540" s="1"/>
      <c r="AB540" s="7"/>
      <c r="AC540" s="7"/>
      <c r="AD540" s="7"/>
      <c r="AE540" s="7"/>
      <c r="AF540" s="7"/>
      <c r="AG540" s="7"/>
      <c r="AH540" s="1"/>
    </row>
    <row r="541">
      <c r="I541" s="391"/>
      <c r="W541" s="1"/>
      <c r="X541" s="1"/>
      <c r="Y541" s="7"/>
      <c r="Z541" s="7"/>
      <c r="AA541" s="1"/>
      <c r="AB541" s="7"/>
      <c r="AC541" s="7"/>
      <c r="AD541" s="7"/>
      <c r="AE541" s="7"/>
      <c r="AF541" s="7"/>
      <c r="AG541" s="7"/>
      <c r="AH541" s="1"/>
    </row>
    <row r="542">
      <c r="I542" s="391"/>
      <c r="W542" s="1"/>
      <c r="X542" s="1"/>
      <c r="Y542" s="7"/>
      <c r="Z542" s="7"/>
      <c r="AA542" s="1"/>
      <c r="AB542" s="7"/>
      <c r="AC542" s="7"/>
      <c r="AD542" s="7"/>
      <c r="AE542" s="7"/>
      <c r="AF542" s="7"/>
      <c r="AG542" s="7"/>
      <c r="AH542" s="1"/>
    </row>
    <row r="543">
      <c r="I543" s="391"/>
      <c r="W543" s="1"/>
      <c r="X543" s="1"/>
      <c r="Y543" s="7"/>
      <c r="Z543" s="7"/>
      <c r="AA543" s="1"/>
      <c r="AB543" s="7"/>
      <c r="AC543" s="7"/>
      <c r="AD543" s="7"/>
      <c r="AE543" s="7"/>
      <c r="AF543" s="7"/>
      <c r="AG543" s="7"/>
      <c r="AH543" s="1"/>
    </row>
    <row r="544">
      <c r="I544" s="391"/>
      <c r="W544" s="1"/>
      <c r="X544" s="1"/>
      <c r="Y544" s="7"/>
      <c r="Z544" s="7"/>
      <c r="AA544" s="1"/>
      <c r="AB544" s="7"/>
      <c r="AC544" s="7"/>
      <c r="AD544" s="7"/>
      <c r="AE544" s="7"/>
      <c r="AF544" s="7"/>
      <c r="AG544" s="7"/>
      <c r="AH544" s="1"/>
    </row>
    <row r="545">
      <c r="I545" s="391"/>
      <c r="W545" s="1"/>
      <c r="X545" s="1"/>
      <c r="Y545" s="7"/>
      <c r="Z545" s="7"/>
      <c r="AA545" s="1"/>
      <c r="AB545" s="7"/>
      <c r="AC545" s="7"/>
      <c r="AD545" s="7"/>
      <c r="AE545" s="7"/>
      <c r="AF545" s="7"/>
      <c r="AG545" s="7"/>
      <c r="AH545" s="1"/>
    </row>
    <row r="546">
      <c r="I546" s="391"/>
      <c r="W546" s="1"/>
      <c r="X546" s="1"/>
      <c r="Y546" s="7"/>
      <c r="Z546" s="7"/>
      <c r="AA546" s="1"/>
      <c r="AB546" s="7"/>
      <c r="AC546" s="7"/>
      <c r="AD546" s="7"/>
      <c r="AE546" s="7"/>
      <c r="AF546" s="7"/>
      <c r="AG546" s="7"/>
      <c r="AH546" s="1"/>
    </row>
    <row r="547">
      <c r="I547" s="391"/>
      <c r="W547" s="1"/>
      <c r="X547" s="1"/>
      <c r="Y547" s="7"/>
      <c r="Z547" s="7"/>
      <c r="AA547" s="1"/>
      <c r="AB547" s="7"/>
      <c r="AC547" s="7"/>
      <c r="AD547" s="7"/>
      <c r="AE547" s="7"/>
      <c r="AF547" s="7"/>
      <c r="AG547" s="7"/>
      <c r="AH547" s="1"/>
    </row>
    <row r="548">
      <c r="I548" s="391"/>
      <c r="W548" s="1"/>
      <c r="X548" s="1"/>
      <c r="Y548" s="7"/>
      <c r="Z548" s="7"/>
      <c r="AA548" s="1"/>
      <c r="AB548" s="7"/>
      <c r="AC548" s="7"/>
      <c r="AD548" s="7"/>
      <c r="AE548" s="7"/>
      <c r="AF548" s="7"/>
      <c r="AG548" s="7"/>
      <c r="AH548" s="1"/>
    </row>
    <row r="549">
      <c r="I549" s="391"/>
      <c r="W549" s="1"/>
      <c r="X549" s="1"/>
      <c r="Y549" s="7"/>
      <c r="Z549" s="7"/>
      <c r="AA549" s="1"/>
      <c r="AB549" s="7"/>
      <c r="AC549" s="7"/>
      <c r="AD549" s="7"/>
      <c r="AE549" s="7"/>
      <c r="AF549" s="7"/>
      <c r="AG549" s="7"/>
      <c r="AH549" s="1"/>
    </row>
    <row r="550">
      <c r="I550" s="391"/>
      <c r="W550" s="1"/>
      <c r="X550" s="1"/>
      <c r="Y550" s="7"/>
      <c r="Z550" s="7"/>
      <c r="AA550" s="1"/>
      <c r="AB550" s="7"/>
      <c r="AC550" s="7"/>
      <c r="AD550" s="7"/>
      <c r="AE550" s="7"/>
      <c r="AF550" s="7"/>
      <c r="AG550" s="7"/>
      <c r="AH550" s="1"/>
    </row>
    <row r="551">
      <c r="I551" s="391"/>
      <c r="W551" s="1"/>
      <c r="X551" s="1"/>
      <c r="Y551" s="7"/>
      <c r="Z551" s="7"/>
      <c r="AA551" s="1"/>
      <c r="AB551" s="7"/>
      <c r="AC551" s="7"/>
      <c r="AD551" s="7"/>
      <c r="AE551" s="7"/>
      <c r="AF551" s="7"/>
      <c r="AG551" s="7"/>
      <c r="AH551" s="1"/>
    </row>
    <row r="552">
      <c r="I552" s="391"/>
      <c r="W552" s="1"/>
      <c r="X552" s="1"/>
      <c r="Y552" s="7"/>
      <c r="Z552" s="7"/>
      <c r="AA552" s="1"/>
      <c r="AB552" s="7"/>
      <c r="AC552" s="7"/>
      <c r="AD552" s="7"/>
      <c r="AE552" s="7"/>
      <c r="AF552" s="7"/>
      <c r="AG552" s="7"/>
      <c r="AH552" s="1"/>
    </row>
    <row r="553">
      <c r="I553" s="391"/>
      <c r="W553" s="1"/>
      <c r="X553" s="1"/>
      <c r="Y553" s="7"/>
      <c r="Z553" s="7"/>
      <c r="AA553" s="1"/>
      <c r="AB553" s="7"/>
      <c r="AC553" s="7"/>
      <c r="AD553" s="7"/>
      <c r="AE553" s="7"/>
      <c r="AF553" s="7"/>
      <c r="AG553" s="7"/>
      <c r="AH553" s="1"/>
    </row>
    <row r="554">
      <c r="I554" s="391"/>
      <c r="W554" s="1"/>
      <c r="X554" s="1"/>
      <c r="Y554" s="7"/>
      <c r="Z554" s="7"/>
      <c r="AA554" s="1"/>
      <c r="AB554" s="7"/>
      <c r="AC554" s="7"/>
      <c r="AD554" s="7"/>
      <c r="AE554" s="7"/>
      <c r="AF554" s="7"/>
      <c r="AG554" s="7"/>
      <c r="AH554" s="1"/>
    </row>
    <row r="555">
      <c r="I555" s="391"/>
      <c r="W555" s="1"/>
      <c r="X555" s="1"/>
      <c r="Y555" s="7"/>
      <c r="Z555" s="7"/>
      <c r="AA555" s="1"/>
      <c r="AB555" s="7"/>
      <c r="AC555" s="7"/>
      <c r="AD555" s="7"/>
      <c r="AE555" s="7"/>
      <c r="AF555" s="7"/>
      <c r="AG555" s="7"/>
      <c r="AH555" s="1"/>
    </row>
    <row r="556">
      <c r="I556" s="391"/>
      <c r="W556" s="1"/>
      <c r="X556" s="1"/>
      <c r="Y556" s="7"/>
      <c r="Z556" s="7"/>
      <c r="AA556" s="1"/>
      <c r="AB556" s="7"/>
      <c r="AC556" s="7"/>
      <c r="AD556" s="7"/>
      <c r="AE556" s="7"/>
      <c r="AF556" s="7"/>
      <c r="AG556" s="7"/>
      <c r="AH556" s="1"/>
    </row>
    <row r="557">
      <c r="I557" s="391"/>
      <c r="W557" s="1"/>
      <c r="X557" s="1"/>
      <c r="Y557" s="7"/>
      <c r="Z557" s="7"/>
      <c r="AA557" s="1"/>
      <c r="AB557" s="7"/>
      <c r="AC557" s="7"/>
      <c r="AD557" s="7"/>
      <c r="AE557" s="7"/>
      <c r="AF557" s="7"/>
      <c r="AG557" s="7"/>
      <c r="AH557" s="1"/>
    </row>
    <row r="558">
      <c r="I558" s="391"/>
      <c r="W558" s="1"/>
      <c r="X558" s="1"/>
      <c r="Y558" s="7"/>
      <c r="Z558" s="7"/>
      <c r="AA558" s="1"/>
      <c r="AB558" s="7"/>
      <c r="AC558" s="7"/>
      <c r="AD558" s="7"/>
      <c r="AE558" s="7"/>
      <c r="AF558" s="7"/>
      <c r="AG558" s="7"/>
      <c r="AH558" s="1"/>
    </row>
    <row r="559">
      <c r="I559" s="391"/>
      <c r="W559" s="1"/>
      <c r="X559" s="1"/>
      <c r="Y559" s="7"/>
      <c r="Z559" s="7"/>
      <c r="AA559" s="1"/>
      <c r="AB559" s="7"/>
      <c r="AC559" s="7"/>
      <c r="AD559" s="7"/>
      <c r="AE559" s="7"/>
      <c r="AF559" s="7"/>
      <c r="AG559" s="7"/>
      <c r="AH559" s="1"/>
    </row>
    <row r="560">
      <c r="I560" s="391"/>
      <c r="W560" s="1"/>
      <c r="X560" s="1"/>
      <c r="Y560" s="7"/>
      <c r="Z560" s="7"/>
      <c r="AA560" s="1"/>
      <c r="AB560" s="7"/>
      <c r="AC560" s="7"/>
      <c r="AD560" s="7"/>
      <c r="AE560" s="7"/>
      <c r="AF560" s="7"/>
      <c r="AG560" s="7"/>
      <c r="AH560" s="1"/>
    </row>
    <row r="561">
      <c r="I561" s="391"/>
      <c r="W561" s="1"/>
      <c r="X561" s="1"/>
      <c r="Y561" s="7"/>
      <c r="Z561" s="7"/>
      <c r="AA561" s="1"/>
      <c r="AB561" s="7"/>
      <c r="AC561" s="7"/>
      <c r="AD561" s="7"/>
      <c r="AE561" s="7"/>
      <c r="AF561" s="7"/>
      <c r="AG561" s="7"/>
      <c r="AH561" s="1"/>
    </row>
    <row r="562">
      <c r="I562" s="391"/>
      <c r="W562" s="1"/>
      <c r="X562" s="1"/>
      <c r="Y562" s="7"/>
      <c r="Z562" s="7"/>
      <c r="AA562" s="1"/>
      <c r="AB562" s="7"/>
      <c r="AC562" s="7"/>
      <c r="AD562" s="7"/>
      <c r="AE562" s="7"/>
      <c r="AF562" s="7"/>
      <c r="AG562" s="7"/>
      <c r="AH562" s="1"/>
    </row>
    <row r="563">
      <c r="I563" s="391"/>
      <c r="W563" s="1"/>
      <c r="X563" s="1"/>
      <c r="Y563" s="7"/>
      <c r="Z563" s="7"/>
      <c r="AA563" s="1"/>
      <c r="AB563" s="7"/>
      <c r="AC563" s="7"/>
      <c r="AD563" s="7"/>
      <c r="AE563" s="7"/>
      <c r="AF563" s="7"/>
      <c r="AG563" s="7"/>
      <c r="AH563" s="1"/>
    </row>
    <row r="564">
      <c r="I564" s="391"/>
      <c r="W564" s="1"/>
      <c r="X564" s="1"/>
      <c r="Y564" s="7"/>
      <c r="Z564" s="7"/>
      <c r="AA564" s="1"/>
      <c r="AB564" s="7"/>
      <c r="AC564" s="7"/>
      <c r="AD564" s="7"/>
      <c r="AE564" s="7"/>
      <c r="AF564" s="7"/>
      <c r="AG564" s="7"/>
      <c r="AH564" s="1"/>
    </row>
    <row r="565">
      <c r="I565" s="391"/>
      <c r="W565" s="1"/>
      <c r="X565" s="1"/>
      <c r="Y565" s="7"/>
      <c r="Z565" s="7"/>
      <c r="AA565" s="1"/>
      <c r="AB565" s="7"/>
      <c r="AC565" s="7"/>
      <c r="AD565" s="7"/>
      <c r="AE565" s="7"/>
      <c r="AF565" s="7"/>
      <c r="AG565" s="7"/>
      <c r="AH565" s="1"/>
    </row>
    <row r="566">
      <c r="I566" s="391"/>
      <c r="W566" s="1"/>
      <c r="X566" s="1"/>
      <c r="Y566" s="7"/>
      <c r="Z566" s="7"/>
      <c r="AA566" s="1"/>
      <c r="AB566" s="7"/>
      <c r="AC566" s="7"/>
      <c r="AD566" s="7"/>
      <c r="AE566" s="7"/>
      <c r="AF566" s="7"/>
      <c r="AG566" s="7"/>
      <c r="AH566" s="1"/>
    </row>
    <row r="567">
      <c r="I567" s="391"/>
      <c r="W567" s="1"/>
      <c r="X567" s="1"/>
      <c r="Y567" s="7"/>
      <c r="Z567" s="7"/>
      <c r="AA567" s="1"/>
      <c r="AB567" s="7"/>
      <c r="AC567" s="7"/>
      <c r="AD567" s="7"/>
      <c r="AE567" s="7"/>
      <c r="AF567" s="7"/>
      <c r="AG567" s="7"/>
      <c r="AH567" s="1"/>
    </row>
    <row r="568">
      <c r="I568" s="391"/>
      <c r="W568" s="1"/>
      <c r="X568" s="1"/>
      <c r="Y568" s="7"/>
      <c r="Z568" s="7"/>
      <c r="AA568" s="1"/>
      <c r="AB568" s="7"/>
      <c r="AC568" s="7"/>
      <c r="AD568" s="7"/>
      <c r="AE568" s="7"/>
      <c r="AF568" s="7"/>
      <c r="AG568" s="7"/>
      <c r="AH568" s="1"/>
    </row>
    <row r="569">
      <c r="I569" s="391"/>
      <c r="W569" s="1"/>
      <c r="X569" s="1"/>
      <c r="Y569" s="7"/>
      <c r="Z569" s="7"/>
      <c r="AA569" s="1"/>
      <c r="AB569" s="7"/>
      <c r="AC569" s="7"/>
      <c r="AD569" s="7"/>
      <c r="AE569" s="7"/>
      <c r="AF569" s="7"/>
      <c r="AG569" s="7"/>
      <c r="AH569" s="1"/>
    </row>
    <row r="570">
      <c r="I570" s="391"/>
      <c r="W570" s="1"/>
      <c r="X570" s="1"/>
      <c r="Y570" s="7"/>
      <c r="Z570" s="7"/>
      <c r="AA570" s="1"/>
      <c r="AB570" s="7"/>
      <c r="AC570" s="7"/>
      <c r="AD570" s="7"/>
      <c r="AE570" s="7"/>
      <c r="AF570" s="7"/>
      <c r="AG570" s="7"/>
      <c r="AH570" s="1"/>
    </row>
    <row r="571">
      <c r="I571" s="391"/>
      <c r="W571" s="1"/>
      <c r="X571" s="1"/>
      <c r="Y571" s="7"/>
      <c r="Z571" s="7"/>
      <c r="AA571" s="1"/>
      <c r="AB571" s="7"/>
      <c r="AC571" s="7"/>
      <c r="AD571" s="7"/>
      <c r="AE571" s="7"/>
      <c r="AF571" s="7"/>
      <c r="AG571" s="7"/>
      <c r="AH571" s="1"/>
    </row>
    <row r="572">
      <c r="I572" s="391"/>
      <c r="W572" s="1"/>
      <c r="X572" s="1"/>
      <c r="Y572" s="7"/>
      <c r="Z572" s="7"/>
      <c r="AA572" s="1"/>
      <c r="AB572" s="7"/>
      <c r="AC572" s="7"/>
      <c r="AD572" s="7"/>
      <c r="AE572" s="7"/>
      <c r="AF572" s="7"/>
      <c r="AG572" s="7"/>
      <c r="AH572" s="1"/>
    </row>
    <row r="573">
      <c r="I573" s="391"/>
      <c r="W573" s="1"/>
      <c r="X573" s="1"/>
      <c r="Y573" s="7"/>
      <c r="Z573" s="7"/>
      <c r="AA573" s="1"/>
      <c r="AB573" s="7"/>
      <c r="AC573" s="7"/>
      <c r="AD573" s="7"/>
      <c r="AE573" s="7"/>
      <c r="AF573" s="7"/>
      <c r="AG573" s="7"/>
      <c r="AH573" s="1"/>
    </row>
    <row r="574">
      <c r="I574" s="391"/>
      <c r="W574" s="1"/>
      <c r="X574" s="1"/>
      <c r="Y574" s="7"/>
      <c r="Z574" s="7"/>
      <c r="AA574" s="1"/>
      <c r="AB574" s="7"/>
      <c r="AC574" s="7"/>
      <c r="AD574" s="7"/>
      <c r="AE574" s="7"/>
      <c r="AF574" s="7"/>
      <c r="AG574" s="7"/>
      <c r="AH574" s="1"/>
    </row>
    <row r="575">
      <c r="I575" s="391"/>
      <c r="W575" s="1"/>
      <c r="X575" s="1"/>
      <c r="Y575" s="7"/>
      <c r="Z575" s="7"/>
      <c r="AA575" s="1"/>
      <c r="AB575" s="7"/>
      <c r="AC575" s="7"/>
      <c r="AD575" s="7"/>
      <c r="AE575" s="7"/>
      <c r="AF575" s="7"/>
      <c r="AG575" s="7"/>
      <c r="AH575" s="1"/>
    </row>
    <row r="576">
      <c r="I576" s="391"/>
      <c r="W576" s="1"/>
      <c r="X576" s="1"/>
      <c r="Y576" s="7"/>
      <c r="Z576" s="7"/>
      <c r="AA576" s="1"/>
      <c r="AB576" s="7"/>
      <c r="AC576" s="7"/>
      <c r="AD576" s="7"/>
      <c r="AE576" s="7"/>
      <c r="AF576" s="7"/>
      <c r="AG576" s="7"/>
      <c r="AH576" s="1"/>
    </row>
    <row r="577">
      <c r="I577" s="391"/>
      <c r="W577" s="1"/>
      <c r="X577" s="1"/>
      <c r="Y577" s="7"/>
      <c r="Z577" s="7"/>
      <c r="AA577" s="1"/>
      <c r="AB577" s="7"/>
      <c r="AC577" s="7"/>
      <c r="AD577" s="7"/>
      <c r="AE577" s="7"/>
      <c r="AF577" s="7"/>
      <c r="AG577" s="7"/>
      <c r="AH577" s="1"/>
    </row>
    <row r="578">
      <c r="I578" s="391"/>
      <c r="W578" s="1"/>
      <c r="X578" s="1"/>
      <c r="Y578" s="7"/>
      <c r="Z578" s="7"/>
      <c r="AA578" s="1"/>
      <c r="AB578" s="7"/>
      <c r="AC578" s="7"/>
      <c r="AD578" s="7"/>
      <c r="AE578" s="7"/>
      <c r="AF578" s="7"/>
      <c r="AG578" s="7"/>
      <c r="AH578" s="1"/>
    </row>
    <row r="579">
      <c r="I579" s="391"/>
      <c r="W579" s="1"/>
      <c r="X579" s="1"/>
      <c r="Y579" s="7"/>
      <c r="Z579" s="7"/>
      <c r="AA579" s="1"/>
      <c r="AB579" s="7"/>
      <c r="AC579" s="7"/>
      <c r="AD579" s="7"/>
      <c r="AE579" s="7"/>
      <c r="AF579" s="7"/>
      <c r="AG579" s="7"/>
      <c r="AH579" s="1"/>
    </row>
    <row r="580">
      <c r="I580" s="391"/>
      <c r="W580" s="1"/>
      <c r="X580" s="1"/>
      <c r="Y580" s="7"/>
      <c r="Z580" s="7"/>
      <c r="AA580" s="1"/>
      <c r="AB580" s="7"/>
      <c r="AC580" s="7"/>
      <c r="AD580" s="7"/>
      <c r="AE580" s="7"/>
      <c r="AF580" s="7"/>
      <c r="AG580" s="7"/>
      <c r="AH580" s="1"/>
    </row>
    <row r="581">
      <c r="I581" s="391"/>
      <c r="W581" s="1"/>
      <c r="X581" s="1"/>
      <c r="Y581" s="7"/>
      <c r="Z581" s="7"/>
      <c r="AA581" s="1"/>
      <c r="AB581" s="7"/>
      <c r="AC581" s="7"/>
      <c r="AD581" s="7"/>
      <c r="AE581" s="7"/>
      <c r="AF581" s="7"/>
      <c r="AG581" s="7"/>
      <c r="AH581" s="1"/>
    </row>
    <row r="582">
      <c r="I582" s="391"/>
      <c r="W582" s="1"/>
      <c r="X582" s="1"/>
      <c r="Y582" s="7"/>
      <c r="Z582" s="7"/>
      <c r="AA582" s="1"/>
      <c r="AB582" s="7"/>
      <c r="AC582" s="7"/>
      <c r="AD582" s="7"/>
      <c r="AE582" s="7"/>
      <c r="AF582" s="7"/>
      <c r="AG582" s="7"/>
      <c r="AH582" s="1"/>
    </row>
    <row r="583">
      <c r="I583" s="391"/>
      <c r="W583" s="1"/>
      <c r="X583" s="1"/>
      <c r="Y583" s="7"/>
      <c r="Z583" s="7"/>
      <c r="AA583" s="1"/>
      <c r="AB583" s="7"/>
      <c r="AC583" s="7"/>
      <c r="AD583" s="7"/>
      <c r="AE583" s="7"/>
      <c r="AF583" s="7"/>
      <c r="AG583" s="7"/>
      <c r="AH583" s="1"/>
    </row>
    <row r="584">
      <c r="I584" s="391"/>
      <c r="W584" s="1"/>
      <c r="X584" s="1"/>
      <c r="Y584" s="7"/>
      <c r="Z584" s="7"/>
      <c r="AA584" s="1"/>
      <c r="AB584" s="7"/>
      <c r="AC584" s="7"/>
      <c r="AD584" s="7"/>
      <c r="AE584" s="7"/>
      <c r="AF584" s="7"/>
      <c r="AG584" s="7"/>
      <c r="AH584" s="1"/>
    </row>
    <row r="585">
      <c r="I585" s="391"/>
      <c r="W585" s="1"/>
      <c r="X585" s="1"/>
      <c r="Y585" s="7"/>
      <c r="Z585" s="7"/>
      <c r="AA585" s="1"/>
      <c r="AB585" s="7"/>
      <c r="AC585" s="7"/>
      <c r="AD585" s="7"/>
      <c r="AE585" s="7"/>
      <c r="AF585" s="7"/>
      <c r="AG585" s="7"/>
      <c r="AH585" s="1"/>
    </row>
    <row r="586">
      <c r="I586" s="391"/>
      <c r="W586" s="1"/>
      <c r="X586" s="1"/>
      <c r="Y586" s="7"/>
      <c r="Z586" s="7"/>
      <c r="AA586" s="1"/>
      <c r="AB586" s="7"/>
      <c r="AC586" s="7"/>
      <c r="AD586" s="7"/>
      <c r="AE586" s="7"/>
      <c r="AF586" s="7"/>
      <c r="AG586" s="7"/>
      <c r="AH586" s="1"/>
    </row>
    <row r="587">
      <c r="I587" s="391"/>
      <c r="W587" s="1"/>
      <c r="X587" s="1"/>
      <c r="Y587" s="7"/>
      <c r="Z587" s="7"/>
      <c r="AA587" s="1"/>
      <c r="AB587" s="7"/>
      <c r="AC587" s="7"/>
      <c r="AD587" s="7"/>
      <c r="AE587" s="7"/>
      <c r="AF587" s="7"/>
      <c r="AG587" s="7"/>
      <c r="AH587" s="1"/>
    </row>
    <row r="588">
      <c r="I588" s="391"/>
      <c r="W588" s="1"/>
      <c r="X588" s="1"/>
      <c r="Y588" s="7"/>
      <c r="Z588" s="7"/>
      <c r="AA588" s="1"/>
      <c r="AB588" s="7"/>
      <c r="AC588" s="7"/>
      <c r="AD588" s="7"/>
      <c r="AE588" s="7"/>
      <c r="AF588" s="7"/>
      <c r="AG588" s="7"/>
      <c r="AH588" s="1"/>
    </row>
    <row r="589">
      <c r="I589" s="391"/>
      <c r="W589" s="1"/>
      <c r="X589" s="1"/>
      <c r="Y589" s="7"/>
      <c r="Z589" s="7"/>
      <c r="AA589" s="1"/>
      <c r="AB589" s="7"/>
      <c r="AC589" s="7"/>
      <c r="AD589" s="7"/>
      <c r="AE589" s="7"/>
      <c r="AF589" s="7"/>
      <c r="AG589" s="7"/>
      <c r="AH589" s="1"/>
    </row>
    <row r="590">
      <c r="I590" s="391"/>
      <c r="W590" s="1"/>
      <c r="X590" s="1"/>
      <c r="Y590" s="7"/>
      <c r="Z590" s="7"/>
      <c r="AA590" s="1"/>
      <c r="AB590" s="7"/>
      <c r="AC590" s="7"/>
      <c r="AD590" s="7"/>
      <c r="AE590" s="7"/>
      <c r="AF590" s="7"/>
      <c r="AG590" s="7"/>
      <c r="AH590" s="1"/>
    </row>
    <row r="591">
      <c r="I591" s="391"/>
      <c r="W591" s="1"/>
      <c r="X591" s="1"/>
      <c r="Y591" s="7"/>
      <c r="Z591" s="7"/>
      <c r="AA591" s="1"/>
      <c r="AB591" s="7"/>
      <c r="AC591" s="7"/>
      <c r="AD591" s="7"/>
      <c r="AE591" s="7"/>
      <c r="AF591" s="7"/>
      <c r="AG591" s="7"/>
      <c r="AH591" s="1"/>
    </row>
    <row r="592">
      <c r="I592" s="391"/>
      <c r="W592" s="1"/>
      <c r="X592" s="1"/>
      <c r="Y592" s="7"/>
      <c r="Z592" s="7"/>
      <c r="AA592" s="1"/>
      <c r="AB592" s="7"/>
      <c r="AC592" s="7"/>
      <c r="AD592" s="7"/>
      <c r="AE592" s="7"/>
      <c r="AF592" s="7"/>
      <c r="AG592" s="7"/>
      <c r="AH592" s="1"/>
    </row>
    <row r="593">
      <c r="I593" s="391"/>
      <c r="W593" s="1"/>
      <c r="X593" s="1"/>
      <c r="Y593" s="7"/>
      <c r="Z593" s="7"/>
      <c r="AA593" s="1"/>
      <c r="AB593" s="7"/>
      <c r="AC593" s="7"/>
      <c r="AD593" s="7"/>
      <c r="AE593" s="7"/>
      <c r="AF593" s="7"/>
      <c r="AG593" s="7"/>
      <c r="AH593" s="1"/>
    </row>
    <row r="594">
      <c r="I594" s="391"/>
      <c r="W594" s="1"/>
      <c r="X594" s="1"/>
      <c r="Y594" s="7"/>
      <c r="Z594" s="7"/>
      <c r="AA594" s="1"/>
      <c r="AB594" s="7"/>
      <c r="AC594" s="7"/>
      <c r="AD594" s="7"/>
      <c r="AE594" s="7"/>
      <c r="AF594" s="7"/>
      <c r="AG594" s="7"/>
      <c r="AH594" s="1"/>
    </row>
    <row r="595">
      <c r="I595" s="391"/>
      <c r="W595" s="1"/>
      <c r="X595" s="1"/>
      <c r="Y595" s="7"/>
      <c r="Z595" s="7"/>
      <c r="AA595" s="1"/>
      <c r="AB595" s="7"/>
      <c r="AC595" s="7"/>
      <c r="AD595" s="7"/>
      <c r="AE595" s="7"/>
      <c r="AF595" s="7"/>
      <c r="AG595" s="7"/>
      <c r="AH595" s="1"/>
    </row>
    <row r="596">
      <c r="I596" s="391"/>
      <c r="W596" s="1"/>
      <c r="X596" s="1"/>
      <c r="Y596" s="7"/>
      <c r="Z596" s="7"/>
      <c r="AA596" s="1"/>
      <c r="AB596" s="7"/>
      <c r="AC596" s="7"/>
      <c r="AD596" s="7"/>
      <c r="AE596" s="7"/>
      <c r="AF596" s="7"/>
      <c r="AG596" s="7"/>
      <c r="AH596" s="1"/>
    </row>
    <row r="597">
      <c r="I597" s="391"/>
      <c r="W597" s="1"/>
      <c r="X597" s="1"/>
      <c r="Y597" s="7"/>
      <c r="Z597" s="7"/>
      <c r="AA597" s="1"/>
      <c r="AB597" s="7"/>
      <c r="AC597" s="7"/>
      <c r="AD597" s="7"/>
      <c r="AE597" s="7"/>
      <c r="AF597" s="7"/>
      <c r="AG597" s="7"/>
      <c r="AH597" s="1"/>
    </row>
    <row r="598">
      <c r="I598" s="391"/>
      <c r="W598" s="1"/>
      <c r="X598" s="1"/>
      <c r="Y598" s="7"/>
      <c r="Z598" s="7"/>
      <c r="AA598" s="1"/>
      <c r="AB598" s="7"/>
      <c r="AC598" s="7"/>
      <c r="AD598" s="7"/>
      <c r="AE598" s="7"/>
      <c r="AF598" s="7"/>
      <c r="AG598" s="7"/>
      <c r="AH598" s="1"/>
    </row>
    <row r="599">
      <c r="I599" s="391"/>
      <c r="W599" s="1"/>
      <c r="X599" s="1"/>
      <c r="Y599" s="7"/>
      <c r="Z599" s="7"/>
      <c r="AA599" s="1"/>
      <c r="AB599" s="7"/>
      <c r="AC599" s="7"/>
      <c r="AD599" s="7"/>
      <c r="AE599" s="7"/>
      <c r="AF599" s="7"/>
      <c r="AG599" s="7"/>
      <c r="AH599" s="1"/>
    </row>
    <row r="600">
      <c r="I600" s="391"/>
      <c r="W600" s="1"/>
      <c r="X600" s="1"/>
      <c r="Y600" s="7"/>
      <c r="Z600" s="7"/>
      <c r="AA600" s="1"/>
      <c r="AB600" s="7"/>
      <c r="AC600" s="7"/>
      <c r="AD600" s="7"/>
      <c r="AE600" s="7"/>
      <c r="AF600" s="7"/>
      <c r="AG600" s="7"/>
      <c r="AH600" s="1"/>
    </row>
    <row r="601">
      <c r="I601" s="391"/>
      <c r="W601" s="1"/>
      <c r="X601" s="1"/>
      <c r="Y601" s="7"/>
      <c r="Z601" s="7"/>
      <c r="AA601" s="1"/>
      <c r="AB601" s="7"/>
      <c r="AC601" s="7"/>
      <c r="AD601" s="7"/>
      <c r="AE601" s="7"/>
      <c r="AF601" s="7"/>
      <c r="AG601" s="7"/>
      <c r="AH601" s="1"/>
    </row>
    <row r="602">
      <c r="I602" s="391"/>
      <c r="W602" s="1"/>
      <c r="X602" s="1"/>
      <c r="Y602" s="7"/>
      <c r="Z602" s="7"/>
      <c r="AA602" s="1"/>
      <c r="AB602" s="7"/>
      <c r="AC602" s="7"/>
      <c r="AD602" s="7"/>
      <c r="AE602" s="7"/>
      <c r="AF602" s="7"/>
      <c r="AG602" s="7"/>
      <c r="AH602" s="1"/>
    </row>
    <row r="603">
      <c r="I603" s="391"/>
      <c r="W603" s="1"/>
      <c r="X603" s="1"/>
      <c r="Y603" s="7"/>
      <c r="Z603" s="7"/>
      <c r="AA603" s="1"/>
      <c r="AB603" s="7"/>
      <c r="AC603" s="7"/>
      <c r="AD603" s="7"/>
      <c r="AE603" s="7"/>
      <c r="AF603" s="7"/>
      <c r="AG603" s="7"/>
      <c r="AH603" s="1"/>
    </row>
    <row r="604">
      <c r="I604" s="391"/>
      <c r="W604" s="1"/>
      <c r="X604" s="1"/>
      <c r="Y604" s="7"/>
      <c r="Z604" s="7"/>
      <c r="AA604" s="1"/>
      <c r="AB604" s="7"/>
      <c r="AC604" s="7"/>
      <c r="AD604" s="7"/>
      <c r="AE604" s="7"/>
      <c r="AF604" s="7"/>
      <c r="AG604" s="7"/>
      <c r="AH604" s="1"/>
    </row>
    <row r="605">
      <c r="I605" s="391"/>
      <c r="W605" s="1"/>
      <c r="X605" s="1"/>
      <c r="Y605" s="7"/>
      <c r="Z605" s="7"/>
      <c r="AA605" s="1"/>
      <c r="AB605" s="7"/>
      <c r="AC605" s="7"/>
      <c r="AD605" s="7"/>
      <c r="AE605" s="7"/>
      <c r="AF605" s="7"/>
      <c r="AG605" s="7"/>
      <c r="AH605" s="1"/>
    </row>
    <row r="606">
      <c r="I606" s="391"/>
      <c r="W606" s="1"/>
      <c r="X606" s="1"/>
      <c r="Y606" s="7"/>
      <c r="Z606" s="7"/>
      <c r="AA606" s="1"/>
      <c r="AB606" s="7"/>
      <c r="AC606" s="7"/>
      <c r="AD606" s="7"/>
      <c r="AE606" s="7"/>
      <c r="AF606" s="7"/>
      <c r="AG606" s="7"/>
      <c r="AH606" s="1"/>
    </row>
    <row r="607">
      <c r="I607" s="391"/>
      <c r="W607" s="1"/>
      <c r="X607" s="1"/>
      <c r="Y607" s="7"/>
      <c r="Z607" s="7"/>
      <c r="AA607" s="1"/>
      <c r="AB607" s="7"/>
      <c r="AC607" s="7"/>
      <c r="AD607" s="7"/>
      <c r="AE607" s="7"/>
      <c r="AF607" s="7"/>
      <c r="AG607" s="7"/>
      <c r="AH607" s="1"/>
    </row>
    <row r="608">
      <c r="I608" s="391"/>
      <c r="W608" s="1"/>
      <c r="X608" s="1"/>
      <c r="Y608" s="7"/>
      <c r="Z608" s="7"/>
      <c r="AA608" s="1"/>
      <c r="AB608" s="7"/>
      <c r="AC608" s="7"/>
      <c r="AD608" s="7"/>
      <c r="AE608" s="7"/>
      <c r="AF608" s="7"/>
      <c r="AG608" s="7"/>
      <c r="AH608" s="1"/>
    </row>
    <row r="609">
      <c r="I609" s="391"/>
      <c r="W609" s="1"/>
      <c r="X609" s="1"/>
      <c r="Y609" s="7"/>
      <c r="Z609" s="7"/>
      <c r="AA609" s="1"/>
      <c r="AB609" s="7"/>
      <c r="AC609" s="7"/>
      <c r="AD609" s="7"/>
      <c r="AE609" s="7"/>
      <c r="AF609" s="7"/>
      <c r="AG609" s="7"/>
      <c r="AH609" s="1"/>
    </row>
    <row r="610">
      <c r="I610" s="391"/>
      <c r="W610" s="1"/>
      <c r="X610" s="1"/>
      <c r="Y610" s="7"/>
      <c r="Z610" s="7"/>
      <c r="AA610" s="1"/>
      <c r="AB610" s="7"/>
      <c r="AC610" s="7"/>
      <c r="AD610" s="7"/>
      <c r="AE610" s="7"/>
      <c r="AF610" s="7"/>
      <c r="AG610" s="7"/>
      <c r="AH610" s="1"/>
    </row>
    <row r="611">
      <c r="I611" s="391"/>
      <c r="W611" s="1"/>
      <c r="X611" s="1"/>
      <c r="Y611" s="7"/>
      <c r="Z611" s="7"/>
      <c r="AA611" s="1"/>
      <c r="AB611" s="7"/>
      <c r="AC611" s="7"/>
      <c r="AD611" s="7"/>
      <c r="AE611" s="7"/>
      <c r="AF611" s="7"/>
      <c r="AG611" s="7"/>
      <c r="AH611" s="1"/>
    </row>
    <row r="612">
      <c r="I612" s="391"/>
      <c r="W612" s="1"/>
      <c r="X612" s="1"/>
      <c r="Y612" s="7"/>
      <c r="Z612" s="7"/>
      <c r="AA612" s="1"/>
      <c r="AB612" s="7"/>
      <c r="AC612" s="7"/>
      <c r="AD612" s="7"/>
      <c r="AE612" s="7"/>
      <c r="AF612" s="7"/>
      <c r="AG612" s="7"/>
      <c r="AH612" s="1"/>
    </row>
    <row r="613">
      <c r="I613" s="391"/>
      <c r="W613" s="1"/>
      <c r="X613" s="1"/>
      <c r="Y613" s="7"/>
      <c r="Z613" s="7"/>
      <c r="AA613" s="1"/>
      <c r="AB613" s="7"/>
      <c r="AC613" s="7"/>
      <c r="AD613" s="7"/>
      <c r="AE613" s="7"/>
      <c r="AF613" s="7"/>
      <c r="AG613" s="7"/>
      <c r="AH613" s="1"/>
    </row>
    <row r="614">
      <c r="I614" s="391"/>
      <c r="W614" s="1"/>
      <c r="X614" s="1"/>
      <c r="Y614" s="7"/>
      <c r="Z614" s="7"/>
      <c r="AA614" s="1"/>
      <c r="AB614" s="7"/>
      <c r="AC614" s="7"/>
      <c r="AD614" s="7"/>
      <c r="AE614" s="7"/>
      <c r="AF614" s="7"/>
      <c r="AG614" s="7"/>
      <c r="AH614" s="1"/>
    </row>
    <row r="615">
      <c r="I615" s="391"/>
      <c r="W615" s="1"/>
      <c r="X615" s="1"/>
      <c r="Y615" s="7"/>
      <c r="Z615" s="7"/>
      <c r="AA615" s="1"/>
      <c r="AB615" s="7"/>
      <c r="AC615" s="7"/>
      <c r="AD615" s="7"/>
      <c r="AE615" s="7"/>
      <c r="AF615" s="7"/>
      <c r="AG615" s="7"/>
      <c r="AH615" s="1"/>
    </row>
    <row r="616">
      <c r="I616" s="391"/>
      <c r="W616" s="1"/>
      <c r="X616" s="1"/>
      <c r="Y616" s="7"/>
      <c r="Z616" s="7"/>
      <c r="AA616" s="1"/>
      <c r="AB616" s="7"/>
      <c r="AC616" s="7"/>
      <c r="AD616" s="7"/>
      <c r="AE616" s="7"/>
      <c r="AF616" s="7"/>
      <c r="AG616" s="7"/>
      <c r="AH616" s="1"/>
    </row>
    <row r="617">
      <c r="I617" s="391"/>
      <c r="W617" s="1"/>
      <c r="X617" s="1"/>
      <c r="Y617" s="7"/>
      <c r="Z617" s="7"/>
      <c r="AA617" s="1"/>
      <c r="AB617" s="7"/>
      <c r="AC617" s="7"/>
      <c r="AD617" s="7"/>
      <c r="AE617" s="7"/>
      <c r="AF617" s="7"/>
      <c r="AG617" s="7"/>
      <c r="AH617" s="1"/>
    </row>
    <row r="618">
      <c r="I618" s="391"/>
      <c r="W618" s="1"/>
      <c r="X618" s="1"/>
      <c r="Y618" s="7"/>
      <c r="Z618" s="7"/>
      <c r="AA618" s="1"/>
      <c r="AB618" s="7"/>
      <c r="AC618" s="7"/>
      <c r="AD618" s="7"/>
      <c r="AE618" s="7"/>
      <c r="AF618" s="7"/>
      <c r="AG618" s="7"/>
      <c r="AH618" s="1"/>
    </row>
    <row r="619">
      <c r="I619" s="391"/>
      <c r="W619" s="1"/>
      <c r="X619" s="1"/>
      <c r="Y619" s="7"/>
      <c r="Z619" s="7"/>
      <c r="AA619" s="1"/>
      <c r="AB619" s="7"/>
      <c r="AC619" s="7"/>
      <c r="AD619" s="7"/>
      <c r="AE619" s="7"/>
      <c r="AF619" s="7"/>
      <c r="AG619" s="7"/>
      <c r="AH619" s="1"/>
    </row>
    <row r="620">
      <c r="I620" s="391"/>
      <c r="W620" s="1"/>
      <c r="X620" s="1"/>
      <c r="Y620" s="7"/>
      <c r="Z620" s="7"/>
      <c r="AA620" s="1"/>
      <c r="AB620" s="7"/>
      <c r="AC620" s="7"/>
      <c r="AD620" s="7"/>
      <c r="AE620" s="7"/>
      <c r="AF620" s="7"/>
      <c r="AG620" s="7"/>
      <c r="AH620" s="1"/>
    </row>
    <row r="621">
      <c r="I621" s="391"/>
      <c r="W621" s="1"/>
      <c r="X621" s="1"/>
      <c r="Y621" s="7"/>
      <c r="Z621" s="7"/>
      <c r="AA621" s="1"/>
      <c r="AB621" s="7"/>
      <c r="AC621" s="7"/>
      <c r="AD621" s="7"/>
      <c r="AE621" s="7"/>
      <c r="AF621" s="7"/>
      <c r="AG621" s="7"/>
      <c r="AH621" s="1"/>
    </row>
    <row r="622">
      <c r="I622" s="391"/>
      <c r="W622" s="1"/>
      <c r="X622" s="1"/>
      <c r="Y622" s="7"/>
      <c r="Z622" s="7"/>
      <c r="AA622" s="1"/>
      <c r="AB622" s="7"/>
      <c r="AC622" s="7"/>
      <c r="AD622" s="7"/>
      <c r="AE622" s="7"/>
      <c r="AF622" s="7"/>
      <c r="AG622" s="7"/>
      <c r="AH622" s="1"/>
    </row>
    <row r="623">
      <c r="I623" s="391"/>
      <c r="W623" s="1"/>
      <c r="X623" s="1"/>
      <c r="Y623" s="7"/>
      <c r="Z623" s="7"/>
      <c r="AA623" s="1"/>
      <c r="AB623" s="7"/>
      <c r="AC623" s="7"/>
      <c r="AD623" s="7"/>
      <c r="AE623" s="7"/>
      <c r="AF623" s="7"/>
      <c r="AG623" s="7"/>
      <c r="AH623" s="1"/>
    </row>
    <row r="624">
      <c r="I624" s="391"/>
      <c r="W624" s="1"/>
      <c r="X624" s="1"/>
      <c r="Y624" s="7"/>
      <c r="Z624" s="7"/>
      <c r="AA624" s="1"/>
      <c r="AB624" s="7"/>
      <c r="AC624" s="7"/>
      <c r="AD624" s="7"/>
      <c r="AE624" s="7"/>
      <c r="AF624" s="7"/>
      <c r="AG624" s="7"/>
      <c r="AH624" s="1"/>
    </row>
    <row r="625">
      <c r="I625" s="391"/>
      <c r="W625" s="1"/>
      <c r="X625" s="1"/>
      <c r="Y625" s="7"/>
      <c r="Z625" s="7"/>
      <c r="AA625" s="1"/>
      <c r="AB625" s="7"/>
      <c r="AC625" s="7"/>
      <c r="AD625" s="7"/>
      <c r="AE625" s="7"/>
      <c r="AF625" s="7"/>
      <c r="AG625" s="7"/>
      <c r="AH625" s="1"/>
    </row>
    <row r="626">
      <c r="I626" s="391"/>
      <c r="W626" s="1"/>
      <c r="X626" s="1"/>
      <c r="Y626" s="7"/>
      <c r="Z626" s="7"/>
      <c r="AA626" s="1"/>
      <c r="AB626" s="7"/>
      <c r="AC626" s="7"/>
      <c r="AD626" s="7"/>
      <c r="AE626" s="7"/>
      <c r="AF626" s="7"/>
      <c r="AG626" s="7"/>
      <c r="AH626" s="1"/>
    </row>
    <row r="627">
      <c r="I627" s="391"/>
      <c r="W627" s="1"/>
      <c r="X627" s="1"/>
      <c r="Y627" s="7"/>
      <c r="Z627" s="7"/>
      <c r="AA627" s="1"/>
      <c r="AB627" s="7"/>
      <c r="AC627" s="7"/>
      <c r="AD627" s="7"/>
      <c r="AE627" s="7"/>
      <c r="AF627" s="7"/>
      <c r="AG627" s="7"/>
      <c r="AH627" s="1"/>
    </row>
    <row r="628">
      <c r="I628" s="391"/>
      <c r="W628" s="1"/>
      <c r="X628" s="1"/>
      <c r="Y628" s="7"/>
      <c r="Z628" s="7"/>
      <c r="AA628" s="1"/>
      <c r="AB628" s="7"/>
      <c r="AC628" s="7"/>
      <c r="AD628" s="7"/>
      <c r="AE628" s="7"/>
      <c r="AF628" s="7"/>
      <c r="AG628" s="7"/>
      <c r="AH628" s="1"/>
    </row>
    <row r="629">
      <c r="I629" s="391"/>
      <c r="W629" s="1"/>
      <c r="X629" s="1"/>
      <c r="Y629" s="7"/>
      <c r="Z629" s="7"/>
      <c r="AA629" s="1"/>
      <c r="AB629" s="7"/>
      <c r="AC629" s="7"/>
      <c r="AD629" s="7"/>
      <c r="AE629" s="7"/>
      <c r="AF629" s="7"/>
      <c r="AG629" s="7"/>
      <c r="AH629" s="1"/>
    </row>
    <row r="630">
      <c r="I630" s="391"/>
      <c r="W630" s="1"/>
      <c r="X630" s="1"/>
      <c r="Y630" s="7"/>
      <c r="Z630" s="7"/>
      <c r="AA630" s="1"/>
      <c r="AB630" s="7"/>
      <c r="AC630" s="7"/>
      <c r="AD630" s="7"/>
      <c r="AE630" s="7"/>
      <c r="AF630" s="7"/>
      <c r="AG630" s="7"/>
      <c r="AH630" s="1"/>
    </row>
    <row r="631">
      <c r="I631" s="391"/>
      <c r="W631" s="1"/>
      <c r="X631" s="1"/>
      <c r="Y631" s="7"/>
      <c r="Z631" s="7"/>
      <c r="AA631" s="1"/>
      <c r="AB631" s="7"/>
      <c r="AC631" s="7"/>
      <c r="AD631" s="7"/>
      <c r="AE631" s="7"/>
      <c r="AF631" s="7"/>
      <c r="AG631" s="7"/>
      <c r="AH631" s="1"/>
    </row>
    <row r="632">
      <c r="I632" s="391"/>
      <c r="W632" s="1"/>
      <c r="X632" s="1"/>
      <c r="Y632" s="7"/>
      <c r="Z632" s="7"/>
      <c r="AA632" s="1"/>
      <c r="AB632" s="7"/>
      <c r="AC632" s="7"/>
      <c r="AD632" s="7"/>
      <c r="AE632" s="7"/>
      <c r="AF632" s="7"/>
      <c r="AG632" s="7"/>
      <c r="AH632" s="1"/>
    </row>
    <row r="633">
      <c r="I633" s="391"/>
      <c r="W633" s="1"/>
      <c r="X633" s="1"/>
      <c r="Y633" s="7"/>
      <c r="Z633" s="7"/>
      <c r="AA633" s="1"/>
      <c r="AB633" s="7"/>
      <c r="AC633" s="7"/>
      <c r="AD633" s="7"/>
      <c r="AE633" s="7"/>
      <c r="AF633" s="7"/>
      <c r="AG633" s="7"/>
      <c r="AH633" s="1"/>
    </row>
    <row r="634">
      <c r="I634" s="391"/>
      <c r="W634" s="1"/>
      <c r="X634" s="1"/>
      <c r="Y634" s="7"/>
      <c r="Z634" s="7"/>
      <c r="AA634" s="1"/>
      <c r="AB634" s="7"/>
      <c r="AC634" s="7"/>
      <c r="AD634" s="7"/>
      <c r="AE634" s="7"/>
      <c r="AF634" s="7"/>
      <c r="AG634" s="7"/>
      <c r="AH634" s="1"/>
    </row>
    <row r="635">
      <c r="I635" s="391"/>
      <c r="W635" s="1"/>
      <c r="X635" s="1"/>
      <c r="Y635" s="7"/>
      <c r="Z635" s="7"/>
      <c r="AA635" s="1"/>
      <c r="AB635" s="7"/>
      <c r="AC635" s="7"/>
      <c r="AD635" s="7"/>
      <c r="AE635" s="7"/>
      <c r="AF635" s="7"/>
      <c r="AG635" s="7"/>
      <c r="AH635" s="1"/>
    </row>
    <row r="636">
      <c r="I636" s="391"/>
      <c r="W636" s="1"/>
      <c r="X636" s="1"/>
      <c r="Y636" s="7"/>
      <c r="Z636" s="7"/>
      <c r="AA636" s="1"/>
      <c r="AB636" s="7"/>
      <c r="AC636" s="7"/>
      <c r="AD636" s="7"/>
      <c r="AE636" s="7"/>
      <c r="AF636" s="7"/>
      <c r="AG636" s="7"/>
      <c r="AH636" s="1"/>
    </row>
    <row r="637">
      <c r="I637" s="391"/>
      <c r="W637" s="1"/>
      <c r="X637" s="1"/>
      <c r="Y637" s="7"/>
      <c r="Z637" s="7"/>
      <c r="AA637" s="1"/>
      <c r="AB637" s="7"/>
      <c r="AC637" s="7"/>
      <c r="AD637" s="7"/>
      <c r="AE637" s="7"/>
      <c r="AF637" s="7"/>
      <c r="AG637" s="7"/>
      <c r="AH637" s="1"/>
    </row>
    <row r="638">
      <c r="I638" s="391"/>
      <c r="W638" s="1"/>
      <c r="X638" s="1"/>
      <c r="Y638" s="7"/>
      <c r="Z638" s="7"/>
      <c r="AA638" s="1"/>
      <c r="AB638" s="7"/>
      <c r="AC638" s="7"/>
      <c r="AD638" s="7"/>
      <c r="AE638" s="7"/>
      <c r="AF638" s="7"/>
      <c r="AG638" s="7"/>
      <c r="AH638" s="1"/>
    </row>
    <row r="639">
      <c r="I639" s="391"/>
      <c r="W639" s="1"/>
      <c r="X639" s="1"/>
      <c r="Y639" s="7"/>
      <c r="Z639" s="7"/>
      <c r="AA639" s="1"/>
      <c r="AB639" s="7"/>
      <c r="AC639" s="7"/>
      <c r="AD639" s="7"/>
      <c r="AE639" s="7"/>
      <c r="AF639" s="7"/>
      <c r="AG639" s="7"/>
      <c r="AH639" s="1"/>
    </row>
    <row r="640">
      <c r="I640" s="391"/>
      <c r="W640" s="1"/>
      <c r="X640" s="1"/>
      <c r="Y640" s="7"/>
      <c r="Z640" s="7"/>
      <c r="AA640" s="1"/>
      <c r="AB640" s="7"/>
      <c r="AC640" s="7"/>
      <c r="AD640" s="7"/>
      <c r="AE640" s="7"/>
      <c r="AF640" s="7"/>
      <c r="AG640" s="7"/>
      <c r="AH640" s="1"/>
    </row>
    <row r="641">
      <c r="I641" s="391"/>
      <c r="W641" s="1"/>
      <c r="X641" s="1"/>
      <c r="Y641" s="7"/>
      <c r="Z641" s="7"/>
      <c r="AA641" s="1"/>
      <c r="AB641" s="7"/>
      <c r="AC641" s="7"/>
      <c r="AD641" s="7"/>
      <c r="AE641" s="7"/>
      <c r="AF641" s="7"/>
      <c r="AG641" s="7"/>
      <c r="AH641" s="1"/>
    </row>
    <row r="642">
      <c r="I642" s="391"/>
      <c r="W642" s="1"/>
      <c r="X642" s="1"/>
      <c r="Y642" s="7"/>
      <c r="Z642" s="7"/>
      <c r="AA642" s="1"/>
      <c r="AB642" s="7"/>
      <c r="AC642" s="7"/>
      <c r="AD642" s="7"/>
      <c r="AE642" s="7"/>
      <c r="AF642" s="7"/>
      <c r="AG642" s="7"/>
      <c r="AH642" s="1"/>
    </row>
    <row r="643">
      <c r="I643" s="391"/>
      <c r="W643" s="1"/>
      <c r="X643" s="1"/>
      <c r="Y643" s="7"/>
      <c r="Z643" s="7"/>
      <c r="AA643" s="1"/>
      <c r="AB643" s="7"/>
      <c r="AC643" s="7"/>
      <c r="AD643" s="7"/>
      <c r="AE643" s="7"/>
      <c r="AF643" s="7"/>
      <c r="AG643" s="7"/>
      <c r="AH643" s="1"/>
    </row>
    <row r="644">
      <c r="I644" s="391"/>
      <c r="W644" s="1"/>
      <c r="X644" s="1"/>
      <c r="Y644" s="7"/>
      <c r="Z644" s="7"/>
      <c r="AA644" s="1"/>
      <c r="AB644" s="7"/>
      <c r="AC644" s="7"/>
      <c r="AD644" s="7"/>
      <c r="AE644" s="7"/>
      <c r="AF644" s="7"/>
      <c r="AG644" s="7"/>
      <c r="AH644" s="1"/>
    </row>
    <row r="645">
      <c r="I645" s="391"/>
      <c r="W645" s="1"/>
      <c r="X645" s="1"/>
      <c r="Y645" s="7"/>
      <c r="Z645" s="7"/>
      <c r="AA645" s="1"/>
      <c r="AB645" s="7"/>
      <c r="AC645" s="7"/>
      <c r="AD645" s="7"/>
      <c r="AE645" s="7"/>
      <c r="AF645" s="7"/>
      <c r="AG645" s="7"/>
      <c r="AH645" s="1"/>
    </row>
    <row r="646">
      <c r="I646" s="391"/>
      <c r="W646" s="1"/>
      <c r="X646" s="1"/>
      <c r="Y646" s="7"/>
      <c r="Z646" s="7"/>
      <c r="AA646" s="1"/>
      <c r="AB646" s="7"/>
      <c r="AC646" s="7"/>
      <c r="AD646" s="7"/>
      <c r="AE646" s="7"/>
      <c r="AF646" s="7"/>
      <c r="AG646" s="7"/>
      <c r="AH646" s="1"/>
    </row>
    <row r="647">
      <c r="I647" s="391"/>
      <c r="W647" s="1"/>
      <c r="X647" s="1"/>
      <c r="Y647" s="7"/>
      <c r="Z647" s="7"/>
      <c r="AA647" s="1"/>
      <c r="AB647" s="7"/>
      <c r="AC647" s="7"/>
      <c r="AD647" s="7"/>
      <c r="AE647" s="7"/>
      <c r="AF647" s="7"/>
      <c r="AG647" s="7"/>
      <c r="AH647" s="1"/>
    </row>
    <row r="648">
      <c r="I648" s="391"/>
      <c r="W648" s="1"/>
      <c r="X648" s="1"/>
      <c r="Y648" s="7"/>
      <c r="Z648" s="7"/>
      <c r="AA648" s="1"/>
      <c r="AB648" s="7"/>
      <c r="AC648" s="7"/>
      <c r="AD648" s="7"/>
      <c r="AE648" s="7"/>
      <c r="AF648" s="7"/>
      <c r="AG648" s="7"/>
      <c r="AH648" s="1"/>
    </row>
    <row r="649">
      <c r="I649" s="391"/>
      <c r="W649" s="1"/>
      <c r="X649" s="1"/>
      <c r="Y649" s="7"/>
      <c r="Z649" s="7"/>
      <c r="AA649" s="1"/>
      <c r="AB649" s="7"/>
      <c r="AC649" s="7"/>
      <c r="AD649" s="7"/>
      <c r="AE649" s="7"/>
      <c r="AF649" s="7"/>
      <c r="AG649" s="7"/>
      <c r="AH649" s="1"/>
    </row>
    <row r="650">
      <c r="I650" s="391"/>
      <c r="W650" s="1"/>
      <c r="X650" s="1"/>
      <c r="Y650" s="7"/>
      <c r="Z650" s="7"/>
      <c r="AA650" s="1"/>
      <c r="AB650" s="7"/>
      <c r="AC650" s="7"/>
      <c r="AD650" s="7"/>
      <c r="AE650" s="7"/>
      <c r="AF650" s="7"/>
      <c r="AG650" s="7"/>
      <c r="AH650" s="1"/>
    </row>
    <row r="651">
      <c r="I651" s="391"/>
      <c r="W651" s="1"/>
      <c r="X651" s="1"/>
      <c r="Y651" s="7"/>
      <c r="Z651" s="7"/>
      <c r="AA651" s="1"/>
      <c r="AB651" s="7"/>
      <c r="AC651" s="7"/>
      <c r="AD651" s="7"/>
      <c r="AE651" s="7"/>
      <c r="AF651" s="7"/>
      <c r="AG651" s="7"/>
      <c r="AH651" s="1"/>
    </row>
    <row r="652">
      <c r="I652" s="391"/>
      <c r="W652" s="1"/>
      <c r="X652" s="1"/>
      <c r="Y652" s="7"/>
      <c r="Z652" s="7"/>
      <c r="AA652" s="1"/>
      <c r="AB652" s="7"/>
      <c r="AC652" s="7"/>
      <c r="AD652" s="7"/>
      <c r="AE652" s="7"/>
      <c r="AF652" s="7"/>
      <c r="AG652" s="7"/>
      <c r="AH652" s="1"/>
    </row>
    <row r="653">
      <c r="I653" s="391"/>
      <c r="W653" s="1"/>
      <c r="X653" s="1"/>
      <c r="Y653" s="7"/>
      <c r="Z653" s="7"/>
      <c r="AA653" s="1"/>
      <c r="AB653" s="7"/>
      <c r="AC653" s="7"/>
      <c r="AD653" s="7"/>
      <c r="AE653" s="7"/>
      <c r="AF653" s="7"/>
      <c r="AG653" s="7"/>
      <c r="AH653" s="1"/>
    </row>
    <row r="654">
      <c r="I654" s="391"/>
      <c r="W654" s="1"/>
      <c r="X654" s="1"/>
      <c r="Y654" s="7"/>
      <c r="Z654" s="7"/>
      <c r="AA654" s="1"/>
      <c r="AB654" s="7"/>
      <c r="AC654" s="7"/>
      <c r="AD654" s="7"/>
      <c r="AE654" s="7"/>
      <c r="AF654" s="7"/>
      <c r="AG654" s="7"/>
      <c r="AH654" s="1"/>
    </row>
    <row r="655">
      <c r="I655" s="391"/>
      <c r="W655" s="1"/>
      <c r="X655" s="1"/>
      <c r="Y655" s="7"/>
      <c r="Z655" s="7"/>
      <c r="AA655" s="1"/>
      <c r="AB655" s="7"/>
      <c r="AC655" s="7"/>
      <c r="AD655" s="7"/>
      <c r="AE655" s="7"/>
      <c r="AF655" s="7"/>
      <c r="AG655" s="7"/>
      <c r="AH655" s="1"/>
    </row>
    <row r="656">
      <c r="I656" s="391"/>
      <c r="W656" s="1"/>
      <c r="X656" s="1"/>
      <c r="Y656" s="7"/>
      <c r="Z656" s="7"/>
      <c r="AA656" s="1"/>
      <c r="AB656" s="7"/>
      <c r="AC656" s="7"/>
      <c r="AD656" s="7"/>
      <c r="AE656" s="7"/>
      <c r="AF656" s="7"/>
      <c r="AG656" s="7"/>
      <c r="AH656" s="1"/>
    </row>
    <row r="657">
      <c r="I657" s="391"/>
      <c r="W657" s="1"/>
      <c r="X657" s="1"/>
      <c r="Y657" s="7"/>
      <c r="Z657" s="7"/>
      <c r="AA657" s="1"/>
      <c r="AB657" s="7"/>
      <c r="AC657" s="7"/>
      <c r="AD657" s="7"/>
      <c r="AE657" s="7"/>
      <c r="AF657" s="7"/>
      <c r="AG657" s="7"/>
      <c r="AH657" s="1"/>
    </row>
    <row r="658">
      <c r="I658" s="391"/>
      <c r="W658" s="1"/>
      <c r="X658" s="1"/>
      <c r="Y658" s="7"/>
      <c r="Z658" s="7"/>
      <c r="AA658" s="1"/>
      <c r="AB658" s="7"/>
      <c r="AC658" s="7"/>
      <c r="AD658" s="7"/>
      <c r="AE658" s="7"/>
      <c r="AF658" s="7"/>
      <c r="AG658" s="7"/>
      <c r="AH658" s="1"/>
    </row>
    <row r="659">
      <c r="I659" s="391"/>
      <c r="W659" s="1"/>
      <c r="X659" s="1"/>
      <c r="Y659" s="7"/>
      <c r="Z659" s="7"/>
      <c r="AA659" s="1"/>
      <c r="AB659" s="7"/>
      <c r="AC659" s="7"/>
      <c r="AD659" s="7"/>
      <c r="AE659" s="7"/>
      <c r="AF659" s="7"/>
      <c r="AG659" s="7"/>
      <c r="AH659" s="1"/>
    </row>
    <row r="660">
      <c r="I660" s="391"/>
      <c r="W660" s="1"/>
      <c r="X660" s="1"/>
      <c r="Y660" s="7"/>
      <c r="Z660" s="7"/>
      <c r="AA660" s="1"/>
      <c r="AB660" s="7"/>
      <c r="AC660" s="7"/>
      <c r="AD660" s="7"/>
      <c r="AE660" s="7"/>
      <c r="AF660" s="7"/>
      <c r="AG660" s="7"/>
      <c r="AH660" s="1"/>
    </row>
    <row r="661">
      <c r="I661" s="391"/>
      <c r="W661" s="1"/>
      <c r="X661" s="1"/>
      <c r="Y661" s="7"/>
      <c r="Z661" s="7"/>
      <c r="AA661" s="1"/>
      <c r="AB661" s="7"/>
      <c r="AC661" s="7"/>
      <c r="AD661" s="7"/>
      <c r="AE661" s="7"/>
      <c r="AF661" s="7"/>
      <c r="AG661" s="7"/>
      <c r="AH661" s="1"/>
    </row>
    <row r="662">
      <c r="I662" s="391"/>
      <c r="W662" s="1"/>
      <c r="X662" s="1"/>
      <c r="Y662" s="7"/>
      <c r="Z662" s="7"/>
      <c r="AA662" s="1"/>
      <c r="AB662" s="7"/>
      <c r="AC662" s="7"/>
      <c r="AD662" s="7"/>
      <c r="AE662" s="7"/>
      <c r="AF662" s="7"/>
      <c r="AG662" s="7"/>
      <c r="AH662" s="1"/>
    </row>
    <row r="663">
      <c r="I663" s="391"/>
      <c r="W663" s="1"/>
      <c r="X663" s="1"/>
      <c r="Y663" s="7"/>
      <c r="Z663" s="7"/>
      <c r="AA663" s="1"/>
      <c r="AB663" s="7"/>
      <c r="AC663" s="7"/>
      <c r="AD663" s="7"/>
      <c r="AE663" s="7"/>
      <c r="AF663" s="7"/>
      <c r="AG663" s="7"/>
      <c r="AH663" s="1"/>
    </row>
    <row r="664">
      <c r="I664" s="391"/>
      <c r="W664" s="1"/>
      <c r="X664" s="1"/>
      <c r="Y664" s="7"/>
      <c r="Z664" s="7"/>
      <c r="AA664" s="1"/>
      <c r="AB664" s="7"/>
      <c r="AC664" s="7"/>
      <c r="AD664" s="7"/>
      <c r="AE664" s="7"/>
      <c r="AF664" s="7"/>
      <c r="AG664" s="7"/>
      <c r="AH664" s="1"/>
    </row>
    <row r="665">
      <c r="I665" s="391"/>
      <c r="W665" s="1"/>
      <c r="X665" s="1"/>
      <c r="Y665" s="7"/>
      <c r="Z665" s="7"/>
      <c r="AA665" s="1"/>
      <c r="AB665" s="7"/>
      <c r="AC665" s="7"/>
      <c r="AD665" s="7"/>
      <c r="AE665" s="7"/>
      <c r="AF665" s="7"/>
      <c r="AG665" s="7"/>
      <c r="AH665" s="1"/>
    </row>
    <row r="666">
      <c r="I666" s="391"/>
      <c r="W666" s="1"/>
      <c r="X666" s="1"/>
      <c r="Y666" s="7"/>
      <c r="Z666" s="7"/>
      <c r="AA666" s="1"/>
      <c r="AB666" s="7"/>
      <c r="AC666" s="7"/>
      <c r="AD666" s="7"/>
      <c r="AE666" s="7"/>
      <c r="AF666" s="7"/>
      <c r="AG666" s="7"/>
      <c r="AH666" s="1"/>
    </row>
    <row r="667">
      <c r="I667" s="391"/>
      <c r="W667" s="1"/>
      <c r="X667" s="1"/>
      <c r="Y667" s="7"/>
      <c r="Z667" s="7"/>
      <c r="AA667" s="1"/>
      <c r="AB667" s="7"/>
      <c r="AC667" s="7"/>
      <c r="AD667" s="7"/>
      <c r="AE667" s="7"/>
      <c r="AF667" s="7"/>
      <c r="AG667" s="7"/>
      <c r="AH667" s="1"/>
    </row>
    <row r="668">
      <c r="I668" s="391"/>
      <c r="W668" s="1"/>
      <c r="X668" s="1"/>
      <c r="Y668" s="7"/>
      <c r="Z668" s="7"/>
      <c r="AA668" s="1"/>
      <c r="AB668" s="7"/>
      <c r="AC668" s="7"/>
      <c r="AD668" s="7"/>
      <c r="AE668" s="7"/>
      <c r="AF668" s="7"/>
      <c r="AG668" s="7"/>
      <c r="AH668" s="1"/>
    </row>
    <row r="669">
      <c r="I669" s="391"/>
      <c r="W669" s="1"/>
      <c r="X669" s="1"/>
      <c r="Y669" s="7"/>
      <c r="Z669" s="7"/>
      <c r="AA669" s="1"/>
      <c r="AB669" s="7"/>
      <c r="AC669" s="7"/>
      <c r="AD669" s="7"/>
      <c r="AE669" s="7"/>
      <c r="AF669" s="7"/>
      <c r="AG669" s="7"/>
      <c r="AH669" s="1"/>
    </row>
    <row r="670">
      <c r="I670" s="391"/>
      <c r="W670" s="1"/>
      <c r="X670" s="1"/>
      <c r="Y670" s="7"/>
      <c r="Z670" s="7"/>
      <c r="AA670" s="1"/>
      <c r="AB670" s="7"/>
      <c r="AC670" s="7"/>
      <c r="AD670" s="7"/>
      <c r="AE670" s="7"/>
      <c r="AF670" s="7"/>
      <c r="AG670" s="7"/>
      <c r="AH670" s="1"/>
    </row>
    <row r="671">
      <c r="I671" s="391"/>
      <c r="W671" s="1"/>
      <c r="X671" s="1"/>
      <c r="Y671" s="7"/>
      <c r="Z671" s="7"/>
      <c r="AA671" s="1"/>
      <c r="AB671" s="7"/>
      <c r="AC671" s="7"/>
      <c r="AD671" s="7"/>
      <c r="AE671" s="7"/>
      <c r="AF671" s="7"/>
      <c r="AG671" s="7"/>
      <c r="AH671" s="1"/>
    </row>
    <row r="672">
      <c r="I672" s="391"/>
      <c r="W672" s="1"/>
      <c r="X672" s="1"/>
      <c r="Y672" s="7"/>
      <c r="Z672" s="7"/>
      <c r="AA672" s="1"/>
      <c r="AB672" s="7"/>
      <c r="AC672" s="7"/>
      <c r="AD672" s="7"/>
      <c r="AE672" s="7"/>
      <c r="AF672" s="7"/>
      <c r="AG672" s="7"/>
      <c r="AH672" s="1"/>
    </row>
    <row r="673">
      <c r="I673" s="391"/>
      <c r="W673" s="1"/>
      <c r="X673" s="1"/>
      <c r="Y673" s="7"/>
      <c r="Z673" s="7"/>
      <c r="AA673" s="1"/>
      <c r="AB673" s="7"/>
      <c r="AC673" s="7"/>
      <c r="AD673" s="7"/>
      <c r="AE673" s="7"/>
      <c r="AF673" s="7"/>
      <c r="AG673" s="7"/>
      <c r="AH673" s="1"/>
    </row>
    <row r="674">
      <c r="I674" s="391"/>
      <c r="W674" s="1"/>
      <c r="X674" s="1"/>
      <c r="Y674" s="7"/>
      <c r="Z674" s="7"/>
      <c r="AA674" s="1"/>
      <c r="AB674" s="7"/>
      <c r="AC674" s="7"/>
      <c r="AD674" s="7"/>
      <c r="AE674" s="7"/>
      <c r="AF674" s="7"/>
      <c r="AG674" s="7"/>
      <c r="AH674" s="1"/>
    </row>
    <row r="675">
      <c r="I675" s="391"/>
      <c r="W675" s="1"/>
      <c r="X675" s="1"/>
      <c r="Y675" s="7"/>
      <c r="Z675" s="7"/>
      <c r="AA675" s="1"/>
      <c r="AB675" s="7"/>
      <c r="AC675" s="7"/>
      <c r="AD675" s="7"/>
      <c r="AE675" s="7"/>
      <c r="AF675" s="7"/>
      <c r="AG675" s="7"/>
      <c r="AH675" s="1"/>
    </row>
    <row r="676">
      <c r="I676" s="391"/>
      <c r="W676" s="1"/>
      <c r="X676" s="1"/>
      <c r="Y676" s="7"/>
      <c r="Z676" s="7"/>
      <c r="AA676" s="1"/>
      <c r="AB676" s="7"/>
      <c r="AC676" s="7"/>
      <c r="AD676" s="7"/>
      <c r="AE676" s="7"/>
      <c r="AF676" s="7"/>
      <c r="AG676" s="7"/>
      <c r="AH676" s="1"/>
    </row>
    <row r="677">
      <c r="I677" s="391"/>
      <c r="W677" s="1"/>
      <c r="X677" s="1"/>
      <c r="Y677" s="7"/>
      <c r="Z677" s="7"/>
      <c r="AA677" s="1"/>
      <c r="AB677" s="7"/>
      <c r="AC677" s="7"/>
      <c r="AD677" s="7"/>
      <c r="AE677" s="7"/>
      <c r="AF677" s="7"/>
      <c r="AG677" s="7"/>
      <c r="AH677" s="1"/>
    </row>
    <row r="678">
      <c r="I678" s="391"/>
      <c r="W678" s="1"/>
      <c r="X678" s="1"/>
      <c r="Y678" s="7"/>
      <c r="Z678" s="7"/>
      <c r="AA678" s="1"/>
      <c r="AB678" s="7"/>
      <c r="AC678" s="7"/>
      <c r="AD678" s="7"/>
      <c r="AE678" s="7"/>
      <c r="AF678" s="7"/>
      <c r="AG678" s="7"/>
      <c r="AH678" s="1"/>
    </row>
    <row r="679">
      <c r="I679" s="391"/>
      <c r="W679" s="1"/>
      <c r="X679" s="1"/>
      <c r="Y679" s="7"/>
      <c r="Z679" s="7"/>
      <c r="AA679" s="1"/>
      <c r="AB679" s="7"/>
      <c r="AC679" s="7"/>
      <c r="AD679" s="7"/>
      <c r="AE679" s="7"/>
      <c r="AF679" s="7"/>
      <c r="AG679" s="7"/>
      <c r="AH679" s="1"/>
    </row>
    <row r="680">
      <c r="I680" s="391"/>
      <c r="W680" s="1"/>
      <c r="X680" s="1"/>
      <c r="Y680" s="7"/>
      <c r="Z680" s="7"/>
      <c r="AA680" s="1"/>
      <c r="AB680" s="7"/>
      <c r="AC680" s="7"/>
      <c r="AD680" s="7"/>
      <c r="AE680" s="7"/>
      <c r="AF680" s="7"/>
      <c r="AG680" s="7"/>
      <c r="AH680" s="1"/>
    </row>
    <row r="681">
      <c r="I681" s="391"/>
      <c r="W681" s="1"/>
      <c r="X681" s="1"/>
      <c r="Y681" s="7"/>
      <c r="Z681" s="7"/>
      <c r="AA681" s="1"/>
      <c r="AB681" s="7"/>
      <c r="AC681" s="7"/>
      <c r="AD681" s="7"/>
      <c r="AE681" s="7"/>
      <c r="AF681" s="7"/>
      <c r="AG681" s="7"/>
      <c r="AH681" s="1"/>
    </row>
    <row r="682">
      <c r="I682" s="391"/>
      <c r="W682" s="1"/>
      <c r="X682" s="1"/>
      <c r="Y682" s="7"/>
      <c r="Z682" s="7"/>
      <c r="AA682" s="1"/>
      <c r="AB682" s="7"/>
      <c r="AC682" s="7"/>
      <c r="AD682" s="7"/>
      <c r="AE682" s="7"/>
      <c r="AF682" s="7"/>
      <c r="AG682" s="7"/>
      <c r="AH682" s="1"/>
    </row>
    <row r="683">
      <c r="I683" s="391"/>
      <c r="W683" s="1"/>
      <c r="X683" s="1"/>
      <c r="Y683" s="7"/>
      <c r="Z683" s="7"/>
      <c r="AA683" s="1"/>
      <c r="AB683" s="7"/>
      <c r="AC683" s="7"/>
      <c r="AD683" s="7"/>
      <c r="AE683" s="7"/>
      <c r="AF683" s="7"/>
      <c r="AG683" s="7"/>
      <c r="AH683" s="1"/>
    </row>
    <row r="684">
      <c r="I684" s="391"/>
      <c r="W684" s="1"/>
      <c r="X684" s="1"/>
      <c r="Y684" s="7"/>
      <c r="Z684" s="7"/>
      <c r="AA684" s="1"/>
      <c r="AB684" s="7"/>
      <c r="AC684" s="7"/>
      <c r="AD684" s="7"/>
      <c r="AE684" s="7"/>
      <c r="AF684" s="7"/>
      <c r="AG684" s="7"/>
      <c r="AH684" s="1"/>
    </row>
    <row r="685">
      <c r="I685" s="391"/>
      <c r="W685" s="1"/>
      <c r="X685" s="1"/>
      <c r="Y685" s="7"/>
      <c r="Z685" s="7"/>
      <c r="AA685" s="1"/>
      <c r="AB685" s="7"/>
      <c r="AC685" s="7"/>
      <c r="AD685" s="7"/>
      <c r="AE685" s="7"/>
      <c r="AF685" s="7"/>
      <c r="AG685" s="7"/>
      <c r="AH685" s="1"/>
    </row>
    <row r="686">
      <c r="I686" s="391"/>
      <c r="W686" s="1"/>
      <c r="X686" s="1"/>
      <c r="Y686" s="7"/>
      <c r="Z686" s="7"/>
      <c r="AA686" s="1"/>
      <c r="AB686" s="7"/>
      <c r="AC686" s="7"/>
      <c r="AD686" s="7"/>
      <c r="AE686" s="7"/>
      <c r="AF686" s="7"/>
      <c r="AG686" s="7"/>
      <c r="AH686" s="1"/>
    </row>
    <row r="687">
      <c r="I687" s="391"/>
      <c r="W687" s="1"/>
      <c r="X687" s="1"/>
      <c r="Y687" s="7"/>
      <c r="Z687" s="7"/>
      <c r="AA687" s="1"/>
      <c r="AB687" s="7"/>
      <c r="AC687" s="7"/>
      <c r="AD687" s="7"/>
      <c r="AE687" s="7"/>
      <c r="AF687" s="7"/>
      <c r="AG687" s="7"/>
      <c r="AH687" s="1"/>
    </row>
    <row r="688">
      <c r="I688" s="391"/>
      <c r="W688" s="1"/>
      <c r="X688" s="1"/>
      <c r="Y688" s="7"/>
      <c r="Z688" s="7"/>
      <c r="AA688" s="1"/>
      <c r="AB688" s="7"/>
      <c r="AC688" s="7"/>
      <c r="AD688" s="7"/>
      <c r="AE688" s="7"/>
      <c r="AF688" s="7"/>
      <c r="AG688" s="7"/>
      <c r="AH688" s="1"/>
    </row>
    <row r="689">
      <c r="I689" s="391"/>
      <c r="W689" s="1"/>
      <c r="X689" s="1"/>
      <c r="Y689" s="7"/>
      <c r="Z689" s="7"/>
      <c r="AA689" s="1"/>
      <c r="AB689" s="7"/>
      <c r="AC689" s="7"/>
      <c r="AD689" s="7"/>
      <c r="AE689" s="7"/>
      <c r="AF689" s="7"/>
      <c r="AG689" s="7"/>
      <c r="AH689" s="1"/>
    </row>
    <row r="690">
      <c r="I690" s="391"/>
      <c r="W690" s="1"/>
      <c r="X690" s="1"/>
      <c r="Y690" s="7"/>
      <c r="Z690" s="7"/>
      <c r="AA690" s="1"/>
      <c r="AB690" s="7"/>
      <c r="AC690" s="7"/>
      <c r="AD690" s="7"/>
      <c r="AE690" s="7"/>
      <c r="AF690" s="7"/>
      <c r="AG690" s="7"/>
      <c r="AH690" s="1"/>
    </row>
    <row r="691">
      <c r="I691" s="391"/>
      <c r="W691" s="1"/>
      <c r="X691" s="1"/>
      <c r="Y691" s="7"/>
      <c r="Z691" s="7"/>
      <c r="AA691" s="1"/>
      <c r="AB691" s="7"/>
      <c r="AC691" s="7"/>
      <c r="AD691" s="7"/>
      <c r="AE691" s="7"/>
      <c r="AF691" s="7"/>
      <c r="AG691" s="7"/>
      <c r="AH691" s="1"/>
    </row>
    <row r="692">
      <c r="I692" s="391"/>
      <c r="W692" s="1"/>
      <c r="X692" s="1"/>
      <c r="Y692" s="7"/>
      <c r="Z692" s="7"/>
      <c r="AA692" s="1"/>
      <c r="AB692" s="7"/>
      <c r="AC692" s="7"/>
      <c r="AD692" s="7"/>
      <c r="AE692" s="7"/>
      <c r="AF692" s="7"/>
      <c r="AG692" s="7"/>
      <c r="AH692" s="1"/>
    </row>
    <row r="693">
      <c r="I693" s="391"/>
      <c r="W693" s="1"/>
      <c r="X693" s="1"/>
      <c r="Y693" s="7"/>
      <c r="Z693" s="7"/>
      <c r="AA693" s="1"/>
      <c r="AB693" s="7"/>
      <c r="AC693" s="7"/>
      <c r="AD693" s="7"/>
      <c r="AE693" s="7"/>
      <c r="AF693" s="7"/>
      <c r="AG693" s="7"/>
      <c r="AH693" s="1"/>
    </row>
    <row r="694">
      <c r="I694" s="391"/>
      <c r="W694" s="1"/>
      <c r="X694" s="1"/>
      <c r="Y694" s="7"/>
      <c r="Z694" s="7"/>
      <c r="AA694" s="1"/>
      <c r="AB694" s="7"/>
      <c r="AC694" s="7"/>
      <c r="AD694" s="7"/>
      <c r="AE694" s="7"/>
      <c r="AF694" s="7"/>
      <c r="AG694" s="7"/>
      <c r="AH694" s="1"/>
    </row>
    <row r="695">
      <c r="I695" s="391"/>
      <c r="W695" s="1"/>
      <c r="X695" s="1"/>
      <c r="Y695" s="7"/>
      <c r="Z695" s="7"/>
      <c r="AA695" s="1"/>
      <c r="AB695" s="7"/>
      <c r="AC695" s="7"/>
      <c r="AD695" s="7"/>
      <c r="AE695" s="7"/>
      <c r="AF695" s="7"/>
      <c r="AG695" s="7"/>
      <c r="AH695" s="1"/>
    </row>
    <row r="696">
      <c r="I696" s="391"/>
      <c r="W696" s="1"/>
      <c r="X696" s="1"/>
      <c r="Y696" s="7"/>
      <c r="Z696" s="7"/>
      <c r="AA696" s="1"/>
      <c r="AB696" s="7"/>
      <c r="AC696" s="7"/>
      <c r="AD696" s="7"/>
      <c r="AE696" s="7"/>
      <c r="AF696" s="7"/>
      <c r="AG696" s="7"/>
      <c r="AH696" s="1"/>
    </row>
    <row r="697">
      <c r="I697" s="391"/>
      <c r="W697" s="1"/>
      <c r="X697" s="1"/>
      <c r="Y697" s="7"/>
      <c r="Z697" s="7"/>
      <c r="AA697" s="1"/>
      <c r="AB697" s="7"/>
      <c r="AC697" s="7"/>
      <c r="AD697" s="7"/>
      <c r="AE697" s="7"/>
      <c r="AF697" s="7"/>
      <c r="AG697" s="7"/>
      <c r="AH697" s="1"/>
    </row>
    <row r="698">
      <c r="I698" s="391"/>
      <c r="W698" s="1"/>
      <c r="X698" s="1"/>
      <c r="Y698" s="7"/>
      <c r="Z698" s="7"/>
      <c r="AA698" s="1"/>
      <c r="AB698" s="7"/>
      <c r="AC698" s="7"/>
      <c r="AD698" s="7"/>
      <c r="AE698" s="7"/>
      <c r="AF698" s="7"/>
      <c r="AG698" s="7"/>
      <c r="AH698" s="1"/>
    </row>
    <row r="699">
      <c r="I699" s="391"/>
      <c r="W699" s="1"/>
      <c r="X699" s="1"/>
      <c r="Y699" s="7"/>
      <c r="Z699" s="7"/>
      <c r="AA699" s="1"/>
      <c r="AB699" s="7"/>
      <c r="AC699" s="7"/>
      <c r="AD699" s="7"/>
      <c r="AE699" s="7"/>
      <c r="AF699" s="7"/>
      <c r="AG699" s="7"/>
      <c r="AH699" s="1"/>
    </row>
    <row r="700">
      <c r="I700" s="391"/>
      <c r="W700" s="1"/>
      <c r="X700" s="1"/>
      <c r="Y700" s="7"/>
      <c r="Z700" s="7"/>
      <c r="AA700" s="1"/>
      <c r="AB700" s="7"/>
      <c r="AC700" s="7"/>
      <c r="AD700" s="7"/>
      <c r="AE700" s="7"/>
      <c r="AF700" s="7"/>
      <c r="AG700" s="7"/>
      <c r="AH700" s="1"/>
    </row>
    <row r="701">
      <c r="I701" s="391"/>
      <c r="W701" s="1"/>
      <c r="X701" s="1"/>
      <c r="Y701" s="7"/>
      <c r="Z701" s="7"/>
      <c r="AA701" s="1"/>
      <c r="AB701" s="7"/>
      <c r="AC701" s="7"/>
      <c r="AD701" s="7"/>
      <c r="AE701" s="7"/>
      <c r="AF701" s="7"/>
      <c r="AG701" s="7"/>
      <c r="AH701" s="1"/>
    </row>
    <row r="702">
      <c r="I702" s="391"/>
      <c r="W702" s="1"/>
      <c r="X702" s="1"/>
      <c r="Y702" s="7"/>
      <c r="Z702" s="7"/>
      <c r="AA702" s="1"/>
      <c r="AB702" s="7"/>
      <c r="AC702" s="7"/>
      <c r="AD702" s="7"/>
      <c r="AE702" s="7"/>
      <c r="AF702" s="7"/>
      <c r="AG702" s="7"/>
      <c r="AH702" s="1"/>
    </row>
    <row r="703">
      <c r="I703" s="391"/>
      <c r="W703" s="1"/>
      <c r="X703" s="1"/>
      <c r="Y703" s="7"/>
      <c r="Z703" s="7"/>
      <c r="AA703" s="1"/>
      <c r="AB703" s="7"/>
      <c r="AC703" s="7"/>
      <c r="AD703" s="7"/>
      <c r="AE703" s="7"/>
      <c r="AF703" s="7"/>
      <c r="AG703" s="7"/>
      <c r="AH703" s="1"/>
    </row>
    <row r="704">
      <c r="I704" s="391"/>
      <c r="W704" s="1"/>
      <c r="X704" s="1"/>
      <c r="Y704" s="7"/>
      <c r="Z704" s="7"/>
      <c r="AA704" s="1"/>
      <c r="AB704" s="7"/>
      <c r="AC704" s="7"/>
      <c r="AD704" s="7"/>
      <c r="AE704" s="7"/>
      <c r="AF704" s="7"/>
      <c r="AG704" s="7"/>
      <c r="AH704" s="1"/>
    </row>
    <row r="705">
      <c r="I705" s="391"/>
      <c r="W705" s="1"/>
      <c r="X705" s="1"/>
      <c r="Y705" s="7"/>
      <c r="Z705" s="7"/>
      <c r="AA705" s="1"/>
      <c r="AB705" s="7"/>
      <c r="AC705" s="7"/>
      <c r="AD705" s="7"/>
      <c r="AE705" s="7"/>
      <c r="AF705" s="7"/>
      <c r="AG705" s="7"/>
      <c r="AH705" s="1"/>
    </row>
    <row r="706">
      <c r="I706" s="391"/>
      <c r="W706" s="1"/>
      <c r="X706" s="1"/>
      <c r="Y706" s="7"/>
      <c r="Z706" s="7"/>
      <c r="AA706" s="1"/>
      <c r="AB706" s="7"/>
      <c r="AC706" s="7"/>
      <c r="AD706" s="7"/>
      <c r="AE706" s="7"/>
      <c r="AF706" s="7"/>
      <c r="AG706" s="7"/>
      <c r="AH706" s="1"/>
    </row>
    <row r="707">
      <c r="I707" s="391"/>
      <c r="W707" s="1"/>
      <c r="X707" s="1"/>
      <c r="Y707" s="7"/>
      <c r="Z707" s="7"/>
      <c r="AA707" s="1"/>
      <c r="AB707" s="7"/>
      <c r="AC707" s="7"/>
      <c r="AD707" s="7"/>
      <c r="AE707" s="7"/>
      <c r="AF707" s="7"/>
      <c r="AG707" s="7"/>
      <c r="AH707" s="1"/>
    </row>
    <row r="708">
      <c r="I708" s="391"/>
      <c r="W708" s="1"/>
      <c r="X708" s="1"/>
      <c r="Y708" s="7"/>
      <c r="Z708" s="7"/>
      <c r="AA708" s="1"/>
      <c r="AB708" s="7"/>
      <c r="AC708" s="7"/>
      <c r="AD708" s="7"/>
      <c r="AE708" s="7"/>
      <c r="AF708" s="7"/>
      <c r="AG708" s="7"/>
      <c r="AH708" s="1"/>
    </row>
    <row r="709">
      <c r="I709" s="391"/>
      <c r="W709" s="1"/>
      <c r="X709" s="1"/>
      <c r="Y709" s="7"/>
      <c r="Z709" s="7"/>
      <c r="AA709" s="1"/>
      <c r="AB709" s="7"/>
      <c r="AC709" s="7"/>
      <c r="AD709" s="7"/>
      <c r="AE709" s="7"/>
      <c r="AF709" s="7"/>
      <c r="AG709" s="7"/>
      <c r="AH709" s="1"/>
    </row>
    <row r="710">
      <c r="I710" s="391"/>
      <c r="W710" s="1"/>
      <c r="X710" s="1"/>
      <c r="Y710" s="7"/>
      <c r="Z710" s="7"/>
      <c r="AA710" s="1"/>
      <c r="AB710" s="7"/>
      <c r="AC710" s="7"/>
      <c r="AD710" s="7"/>
      <c r="AE710" s="7"/>
      <c r="AF710" s="7"/>
      <c r="AG710" s="7"/>
      <c r="AH710" s="1"/>
    </row>
    <row r="711">
      <c r="I711" s="391"/>
      <c r="W711" s="1"/>
      <c r="X711" s="1"/>
      <c r="Y711" s="7"/>
      <c r="Z711" s="7"/>
      <c r="AA711" s="1"/>
      <c r="AB711" s="7"/>
      <c r="AC711" s="7"/>
      <c r="AD711" s="7"/>
      <c r="AE711" s="7"/>
      <c r="AF711" s="7"/>
      <c r="AG711" s="7"/>
      <c r="AH711" s="1"/>
    </row>
    <row r="712">
      <c r="I712" s="391"/>
      <c r="W712" s="1"/>
      <c r="X712" s="1"/>
      <c r="Y712" s="7"/>
      <c r="Z712" s="7"/>
      <c r="AA712" s="1"/>
      <c r="AB712" s="7"/>
      <c r="AC712" s="7"/>
      <c r="AD712" s="7"/>
      <c r="AE712" s="7"/>
      <c r="AF712" s="7"/>
      <c r="AG712" s="7"/>
      <c r="AH712" s="1"/>
    </row>
    <row r="713">
      <c r="I713" s="391"/>
      <c r="W713" s="1"/>
      <c r="X713" s="1"/>
      <c r="Y713" s="7"/>
      <c r="Z713" s="7"/>
      <c r="AA713" s="1"/>
      <c r="AB713" s="7"/>
      <c r="AC713" s="7"/>
      <c r="AD713" s="7"/>
      <c r="AE713" s="7"/>
      <c r="AF713" s="7"/>
      <c r="AG713" s="7"/>
      <c r="AH713" s="1"/>
    </row>
    <row r="714">
      <c r="I714" s="391"/>
      <c r="W714" s="1"/>
      <c r="X714" s="1"/>
      <c r="Y714" s="7"/>
      <c r="Z714" s="7"/>
      <c r="AA714" s="1"/>
      <c r="AB714" s="7"/>
      <c r="AC714" s="7"/>
      <c r="AD714" s="7"/>
      <c r="AE714" s="7"/>
      <c r="AF714" s="7"/>
      <c r="AG714" s="7"/>
      <c r="AH714" s="1"/>
    </row>
    <row r="715">
      <c r="I715" s="391"/>
      <c r="W715" s="1"/>
      <c r="X715" s="1"/>
      <c r="Y715" s="7"/>
      <c r="Z715" s="7"/>
      <c r="AA715" s="1"/>
      <c r="AB715" s="7"/>
      <c r="AC715" s="7"/>
      <c r="AD715" s="7"/>
      <c r="AE715" s="7"/>
      <c r="AF715" s="7"/>
      <c r="AG715" s="7"/>
      <c r="AH715" s="1"/>
    </row>
    <row r="716">
      <c r="I716" s="391"/>
      <c r="W716" s="1"/>
      <c r="X716" s="1"/>
      <c r="Y716" s="7"/>
      <c r="Z716" s="7"/>
      <c r="AA716" s="1"/>
      <c r="AB716" s="7"/>
      <c r="AC716" s="7"/>
      <c r="AD716" s="7"/>
      <c r="AE716" s="7"/>
      <c r="AF716" s="7"/>
      <c r="AG716" s="7"/>
      <c r="AH716" s="1"/>
    </row>
    <row r="717">
      <c r="I717" s="391"/>
      <c r="W717" s="1"/>
      <c r="X717" s="1"/>
      <c r="Y717" s="7"/>
      <c r="Z717" s="7"/>
      <c r="AA717" s="1"/>
      <c r="AB717" s="7"/>
      <c r="AC717" s="7"/>
      <c r="AD717" s="7"/>
      <c r="AE717" s="7"/>
      <c r="AF717" s="7"/>
      <c r="AG717" s="7"/>
      <c r="AH717" s="1"/>
    </row>
    <row r="718">
      <c r="I718" s="391"/>
      <c r="W718" s="1"/>
      <c r="X718" s="1"/>
      <c r="Y718" s="7"/>
      <c r="Z718" s="7"/>
      <c r="AA718" s="1"/>
      <c r="AB718" s="7"/>
      <c r="AC718" s="7"/>
      <c r="AD718" s="7"/>
      <c r="AE718" s="7"/>
      <c r="AF718" s="7"/>
      <c r="AG718" s="7"/>
      <c r="AH718" s="1"/>
    </row>
    <row r="719">
      <c r="I719" s="391"/>
      <c r="W719" s="1"/>
      <c r="X719" s="1"/>
      <c r="Y719" s="7"/>
      <c r="Z719" s="7"/>
      <c r="AA719" s="1"/>
      <c r="AB719" s="7"/>
      <c r="AC719" s="7"/>
      <c r="AD719" s="7"/>
      <c r="AE719" s="7"/>
      <c r="AF719" s="7"/>
      <c r="AG719" s="7"/>
      <c r="AH719" s="1"/>
    </row>
    <row r="720">
      <c r="I720" s="391"/>
      <c r="W720" s="1"/>
      <c r="X720" s="1"/>
      <c r="Y720" s="7"/>
      <c r="Z720" s="7"/>
      <c r="AA720" s="1"/>
      <c r="AB720" s="7"/>
      <c r="AC720" s="7"/>
      <c r="AD720" s="7"/>
      <c r="AE720" s="7"/>
      <c r="AF720" s="7"/>
      <c r="AG720" s="7"/>
      <c r="AH720" s="1"/>
    </row>
    <row r="721">
      <c r="I721" s="391"/>
      <c r="W721" s="1"/>
      <c r="X721" s="1"/>
      <c r="Y721" s="7"/>
      <c r="Z721" s="7"/>
      <c r="AA721" s="1"/>
      <c r="AB721" s="7"/>
      <c r="AC721" s="7"/>
      <c r="AD721" s="7"/>
      <c r="AE721" s="7"/>
      <c r="AF721" s="7"/>
      <c r="AG721" s="7"/>
      <c r="AH721" s="1"/>
    </row>
    <row r="722">
      <c r="I722" s="391"/>
      <c r="W722" s="1"/>
      <c r="X722" s="1"/>
      <c r="Y722" s="7"/>
      <c r="Z722" s="7"/>
      <c r="AA722" s="1"/>
      <c r="AB722" s="7"/>
      <c r="AC722" s="7"/>
      <c r="AD722" s="7"/>
      <c r="AE722" s="7"/>
      <c r="AF722" s="7"/>
      <c r="AG722" s="7"/>
      <c r="AH722" s="1"/>
    </row>
    <row r="723">
      <c r="I723" s="391"/>
      <c r="W723" s="1"/>
      <c r="X723" s="1"/>
      <c r="Y723" s="7"/>
      <c r="Z723" s="7"/>
      <c r="AA723" s="1"/>
      <c r="AB723" s="7"/>
      <c r="AC723" s="7"/>
      <c r="AD723" s="7"/>
      <c r="AE723" s="7"/>
      <c r="AF723" s="7"/>
      <c r="AG723" s="7"/>
      <c r="AH723" s="1"/>
    </row>
    <row r="724">
      <c r="I724" s="391"/>
      <c r="W724" s="1"/>
      <c r="X724" s="1"/>
      <c r="Y724" s="7"/>
      <c r="Z724" s="7"/>
      <c r="AA724" s="1"/>
      <c r="AB724" s="7"/>
      <c r="AC724" s="7"/>
      <c r="AD724" s="7"/>
      <c r="AE724" s="7"/>
      <c r="AF724" s="7"/>
      <c r="AG724" s="7"/>
      <c r="AH724" s="1"/>
    </row>
    <row r="725">
      <c r="I725" s="391"/>
      <c r="W725" s="1"/>
      <c r="X725" s="1"/>
      <c r="Y725" s="7"/>
      <c r="Z725" s="7"/>
      <c r="AA725" s="1"/>
      <c r="AB725" s="7"/>
      <c r="AC725" s="7"/>
      <c r="AD725" s="7"/>
      <c r="AE725" s="7"/>
      <c r="AF725" s="7"/>
      <c r="AG725" s="7"/>
      <c r="AH725" s="1"/>
    </row>
    <row r="726">
      <c r="I726" s="391"/>
      <c r="W726" s="1"/>
      <c r="X726" s="1"/>
      <c r="Y726" s="7"/>
      <c r="Z726" s="7"/>
      <c r="AA726" s="1"/>
      <c r="AB726" s="7"/>
      <c r="AC726" s="7"/>
      <c r="AD726" s="7"/>
      <c r="AE726" s="7"/>
      <c r="AF726" s="7"/>
      <c r="AG726" s="7"/>
      <c r="AH726" s="1"/>
    </row>
    <row r="727">
      <c r="I727" s="391"/>
      <c r="W727" s="1"/>
      <c r="X727" s="1"/>
      <c r="Y727" s="7"/>
      <c r="Z727" s="7"/>
      <c r="AA727" s="1"/>
      <c r="AB727" s="7"/>
      <c r="AC727" s="7"/>
      <c r="AD727" s="7"/>
      <c r="AE727" s="7"/>
      <c r="AF727" s="7"/>
      <c r="AG727" s="7"/>
      <c r="AH727" s="1"/>
    </row>
    <row r="728">
      <c r="I728" s="391"/>
      <c r="W728" s="1"/>
      <c r="X728" s="1"/>
      <c r="Y728" s="7"/>
      <c r="Z728" s="7"/>
      <c r="AA728" s="1"/>
      <c r="AB728" s="7"/>
      <c r="AC728" s="7"/>
      <c r="AD728" s="7"/>
      <c r="AE728" s="7"/>
      <c r="AF728" s="7"/>
      <c r="AG728" s="7"/>
      <c r="AH728" s="1"/>
    </row>
    <row r="729">
      <c r="I729" s="391"/>
      <c r="W729" s="1"/>
      <c r="X729" s="1"/>
      <c r="Y729" s="7"/>
      <c r="Z729" s="7"/>
      <c r="AA729" s="1"/>
      <c r="AB729" s="7"/>
      <c r="AC729" s="7"/>
      <c r="AD729" s="7"/>
      <c r="AE729" s="7"/>
      <c r="AF729" s="7"/>
      <c r="AG729" s="7"/>
      <c r="AH729" s="1"/>
    </row>
    <row r="730">
      <c r="I730" s="391"/>
      <c r="W730" s="1"/>
      <c r="X730" s="1"/>
      <c r="Y730" s="7"/>
      <c r="Z730" s="7"/>
      <c r="AA730" s="1"/>
      <c r="AB730" s="7"/>
      <c r="AC730" s="7"/>
      <c r="AD730" s="7"/>
      <c r="AE730" s="7"/>
      <c r="AF730" s="7"/>
      <c r="AG730" s="7"/>
      <c r="AH730" s="1"/>
    </row>
    <row r="731">
      <c r="I731" s="391"/>
      <c r="W731" s="1"/>
      <c r="X731" s="1"/>
      <c r="Y731" s="7"/>
      <c r="Z731" s="7"/>
      <c r="AA731" s="1"/>
      <c r="AB731" s="7"/>
      <c r="AC731" s="7"/>
      <c r="AD731" s="7"/>
      <c r="AE731" s="7"/>
      <c r="AF731" s="7"/>
      <c r="AG731" s="7"/>
      <c r="AH731" s="1"/>
    </row>
    <row r="732">
      <c r="I732" s="391"/>
      <c r="W732" s="1"/>
      <c r="X732" s="1"/>
      <c r="Y732" s="7"/>
      <c r="Z732" s="7"/>
      <c r="AA732" s="1"/>
      <c r="AB732" s="7"/>
      <c r="AC732" s="7"/>
      <c r="AD732" s="7"/>
      <c r="AE732" s="7"/>
      <c r="AF732" s="7"/>
      <c r="AG732" s="7"/>
      <c r="AH732" s="1"/>
    </row>
    <row r="733">
      <c r="I733" s="391"/>
      <c r="W733" s="1"/>
      <c r="X733" s="1"/>
      <c r="Y733" s="7"/>
      <c r="Z733" s="7"/>
      <c r="AA733" s="1"/>
      <c r="AB733" s="7"/>
      <c r="AC733" s="7"/>
      <c r="AD733" s="7"/>
      <c r="AE733" s="7"/>
      <c r="AF733" s="7"/>
      <c r="AG733" s="7"/>
      <c r="AH733" s="1"/>
    </row>
    <row r="734">
      <c r="I734" s="391"/>
      <c r="W734" s="1"/>
      <c r="X734" s="1"/>
      <c r="Y734" s="7"/>
      <c r="Z734" s="7"/>
      <c r="AA734" s="1"/>
      <c r="AB734" s="7"/>
      <c r="AC734" s="7"/>
      <c r="AD734" s="7"/>
      <c r="AE734" s="7"/>
      <c r="AF734" s="7"/>
      <c r="AG734" s="7"/>
      <c r="AH734" s="1"/>
    </row>
    <row r="735">
      <c r="I735" s="391"/>
      <c r="W735" s="1"/>
      <c r="X735" s="1"/>
      <c r="Y735" s="7"/>
      <c r="Z735" s="7"/>
      <c r="AA735" s="1"/>
      <c r="AB735" s="7"/>
      <c r="AC735" s="7"/>
      <c r="AD735" s="7"/>
      <c r="AE735" s="7"/>
      <c r="AF735" s="7"/>
      <c r="AG735" s="7"/>
      <c r="AH735" s="1"/>
    </row>
    <row r="736">
      <c r="I736" s="391"/>
      <c r="W736" s="1"/>
      <c r="X736" s="1"/>
      <c r="Y736" s="7"/>
      <c r="Z736" s="7"/>
      <c r="AA736" s="1"/>
      <c r="AB736" s="7"/>
      <c r="AC736" s="7"/>
      <c r="AD736" s="7"/>
      <c r="AE736" s="7"/>
      <c r="AF736" s="7"/>
      <c r="AG736" s="7"/>
      <c r="AH736" s="1"/>
    </row>
    <row r="737">
      <c r="I737" s="391"/>
      <c r="W737" s="1"/>
      <c r="X737" s="1"/>
      <c r="Y737" s="7"/>
      <c r="Z737" s="7"/>
      <c r="AA737" s="1"/>
      <c r="AB737" s="7"/>
      <c r="AC737" s="7"/>
      <c r="AD737" s="7"/>
      <c r="AE737" s="7"/>
      <c r="AF737" s="7"/>
      <c r="AG737" s="7"/>
      <c r="AH737" s="1"/>
    </row>
    <row r="738">
      <c r="I738" s="391"/>
      <c r="W738" s="1"/>
      <c r="X738" s="1"/>
      <c r="Y738" s="7"/>
      <c r="Z738" s="7"/>
      <c r="AA738" s="1"/>
      <c r="AB738" s="7"/>
      <c r="AC738" s="7"/>
      <c r="AD738" s="7"/>
      <c r="AE738" s="7"/>
      <c r="AF738" s="7"/>
      <c r="AG738" s="7"/>
      <c r="AH738" s="1"/>
    </row>
    <row r="739">
      <c r="I739" s="391"/>
      <c r="W739" s="1"/>
      <c r="X739" s="1"/>
      <c r="Y739" s="7"/>
      <c r="Z739" s="7"/>
      <c r="AA739" s="1"/>
      <c r="AB739" s="7"/>
      <c r="AC739" s="7"/>
      <c r="AD739" s="7"/>
      <c r="AE739" s="7"/>
      <c r="AF739" s="7"/>
      <c r="AG739" s="7"/>
      <c r="AH739" s="1"/>
    </row>
    <row r="740">
      <c r="I740" s="391"/>
      <c r="W740" s="1"/>
      <c r="X740" s="1"/>
      <c r="Y740" s="7"/>
      <c r="Z740" s="7"/>
      <c r="AA740" s="1"/>
      <c r="AB740" s="7"/>
      <c r="AC740" s="7"/>
      <c r="AD740" s="7"/>
      <c r="AE740" s="7"/>
      <c r="AF740" s="7"/>
      <c r="AG740" s="7"/>
      <c r="AH740" s="1"/>
    </row>
    <row r="741">
      <c r="I741" s="391"/>
      <c r="W741" s="1"/>
      <c r="X741" s="1"/>
      <c r="Y741" s="7"/>
      <c r="Z741" s="7"/>
      <c r="AA741" s="1"/>
      <c r="AB741" s="7"/>
      <c r="AC741" s="7"/>
      <c r="AD741" s="7"/>
      <c r="AE741" s="7"/>
      <c r="AF741" s="7"/>
      <c r="AG741" s="7"/>
      <c r="AH741" s="1"/>
    </row>
    <row r="742">
      <c r="I742" s="391"/>
      <c r="W742" s="1"/>
      <c r="X742" s="1"/>
      <c r="Y742" s="7"/>
      <c r="Z742" s="7"/>
      <c r="AA742" s="1"/>
      <c r="AB742" s="7"/>
      <c r="AC742" s="7"/>
      <c r="AD742" s="7"/>
      <c r="AE742" s="7"/>
      <c r="AF742" s="7"/>
      <c r="AG742" s="7"/>
      <c r="AH742" s="1"/>
    </row>
    <row r="743">
      <c r="I743" s="391"/>
      <c r="W743" s="1"/>
      <c r="X743" s="1"/>
      <c r="Y743" s="7"/>
      <c r="Z743" s="7"/>
      <c r="AA743" s="1"/>
      <c r="AB743" s="7"/>
      <c r="AC743" s="7"/>
      <c r="AD743" s="7"/>
      <c r="AE743" s="7"/>
      <c r="AF743" s="7"/>
      <c r="AG743" s="7"/>
      <c r="AH743" s="1"/>
    </row>
    <row r="744">
      <c r="I744" s="391"/>
      <c r="W744" s="1"/>
      <c r="X744" s="1"/>
      <c r="Y744" s="7"/>
      <c r="Z744" s="7"/>
      <c r="AA744" s="1"/>
      <c r="AB744" s="7"/>
      <c r="AC744" s="7"/>
      <c r="AD744" s="7"/>
      <c r="AE744" s="7"/>
      <c r="AF744" s="7"/>
      <c r="AG744" s="7"/>
      <c r="AH744" s="1"/>
    </row>
    <row r="745">
      <c r="I745" s="391"/>
      <c r="W745" s="1"/>
      <c r="X745" s="1"/>
      <c r="Y745" s="7"/>
      <c r="Z745" s="7"/>
      <c r="AA745" s="1"/>
      <c r="AB745" s="7"/>
      <c r="AC745" s="7"/>
      <c r="AD745" s="7"/>
      <c r="AE745" s="7"/>
      <c r="AF745" s="7"/>
      <c r="AG745" s="7"/>
      <c r="AH745" s="1"/>
    </row>
    <row r="746">
      <c r="I746" s="391"/>
      <c r="W746" s="1"/>
      <c r="X746" s="1"/>
      <c r="Y746" s="7"/>
      <c r="Z746" s="7"/>
      <c r="AA746" s="1"/>
      <c r="AB746" s="7"/>
      <c r="AC746" s="7"/>
      <c r="AD746" s="7"/>
      <c r="AE746" s="7"/>
      <c r="AF746" s="7"/>
      <c r="AG746" s="7"/>
      <c r="AH746" s="1"/>
    </row>
    <row r="747">
      <c r="I747" s="391"/>
      <c r="W747" s="1"/>
      <c r="X747" s="1"/>
      <c r="Y747" s="7"/>
      <c r="Z747" s="7"/>
      <c r="AA747" s="1"/>
      <c r="AB747" s="7"/>
      <c r="AC747" s="7"/>
      <c r="AD747" s="7"/>
      <c r="AE747" s="7"/>
      <c r="AF747" s="7"/>
      <c r="AG747" s="7"/>
      <c r="AH747" s="1"/>
    </row>
    <row r="748">
      <c r="I748" s="391"/>
      <c r="W748" s="1"/>
      <c r="X748" s="1"/>
      <c r="Y748" s="7"/>
      <c r="Z748" s="7"/>
      <c r="AA748" s="1"/>
      <c r="AB748" s="7"/>
      <c r="AC748" s="7"/>
      <c r="AD748" s="7"/>
      <c r="AE748" s="7"/>
      <c r="AF748" s="7"/>
      <c r="AG748" s="7"/>
      <c r="AH748" s="1"/>
    </row>
    <row r="749">
      <c r="I749" s="391"/>
      <c r="W749" s="1"/>
      <c r="X749" s="1"/>
      <c r="Y749" s="7"/>
      <c r="Z749" s="7"/>
      <c r="AA749" s="1"/>
      <c r="AB749" s="7"/>
      <c r="AC749" s="7"/>
      <c r="AD749" s="7"/>
      <c r="AE749" s="7"/>
      <c r="AF749" s="7"/>
      <c r="AG749" s="7"/>
      <c r="AH749" s="1"/>
    </row>
    <row r="750">
      <c r="I750" s="391"/>
      <c r="W750" s="1"/>
      <c r="X750" s="1"/>
      <c r="Y750" s="7"/>
      <c r="Z750" s="7"/>
      <c r="AA750" s="1"/>
      <c r="AB750" s="7"/>
      <c r="AC750" s="7"/>
      <c r="AD750" s="7"/>
      <c r="AE750" s="7"/>
      <c r="AF750" s="7"/>
      <c r="AG750" s="7"/>
      <c r="AH750" s="1"/>
    </row>
    <row r="751">
      <c r="I751" s="391"/>
      <c r="W751" s="1"/>
      <c r="X751" s="1"/>
      <c r="Y751" s="7"/>
      <c r="Z751" s="7"/>
      <c r="AA751" s="1"/>
      <c r="AB751" s="7"/>
      <c r="AC751" s="7"/>
      <c r="AD751" s="7"/>
      <c r="AE751" s="7"/>
      <c r="AF751" s="7"/>
      <c r="AG751" s="7"/>
      <c r="AH751" s="1"/>
    </row>
    <row r="752">
      <c r="I752" s="391"/>
      <c r="W752" s="1"/>
      <c r="X752" s="1"/>
      <c r="Y752" s="7"/>
      <c r="Z752" s="7"/>
      <c r="AA752" s="1"/>
      <c r="AB752" s="7"/>
      <c r="AC752" s="7"/>
      <c r="AD752" s="7"/>
      <c r="AE752" s="7"/>
      <c r="AF752" s="7"/>
      <c r="AG752" s="7"/>
      <c r="AH752" s="1"/>
    </row>
    <row r="753">
      <c r="I753" s="391"/>
      <c r="W753" s="1"/>
      <c r="X753" s="1"/>
      <c r="Y753" s="7"/>
      <c r="Z753" s="7"/>
      <c r="AA753" s="1"/>
      <c r="AB753" s="7"/>
      <c r="AC753" s="7"/>
      <c r="AD753" s="7"/>
      <c r="AE753" s="7"/>
      <c r="AF753" s="7"/>
      <c r="AG753" s="7"/>
      <c r="AH753" s="1"/>
    </row>
    <row r="754">
      <c r="I754" s="391"/>
      <c r="W754" s="1"/>
      <c r="X754" s="1"/>
      <c r="Y754" s="7"/>
      <c r="Z754" s="7"/>
      <c r="AA754" s="1"/>
      <c r="AB754" s="7"/>
      <c r="AC754" s="7"/>
      <c r="AD754" s="7"/>
      <c r="AE754" s="7"/>
      <c r="AF754" s="7"/>
      <c r="AG754" s="7"/>
      <c r="AH754" s="1"/>
    </row>
    <row r="755">
      <c r="I755" s="391"/>
      <c r="W755" s="1"/>
      <c r="X755" s="1"/>
      <c r="Y755" s="7"/>
      <c r="Z755" s="7"/>
      <c r="AA755" s="1"/>
      <c r="AB755" s="7"/>
      <c r="AC755" s="7"/>
      <c r="AD755" s="7"/>
      <c r="AE755" s="7"/>
      <c r="AF755" s="7"/>
      <c r="AG755" s="7"/>
      <c r="AH755" s="1"/>
    </row>
    <row r="756">
      <c r="I756" s="391"/>
      <c r="W756" s="1"/>
      <c r="X756" s="1"/>
      <c r="Y756" s="7"/>
      <c r="Z756" s="7"/>
      <c r="AA756" s="1"/>
      <c r="AB756" s="7"/>
      <c r="AC756" s="7"/>
      <c r="AD756" s="7"/>
      <c r="AE756" s="7"/>
      <c r="AF756" s="7"/>
      <c r="AG756" s="7"/>
      <c r="AH756" s="1"/>
    </row>
    <row r="757">
      <c r="I757" s="391"/>
      <c r="W757" s="1"/>
      <c r="X757" s="1"/>
      <c r="Y757" s="7"/>
      <c r="Z757" s="7"/>
      <c r="AA757" s="1"/>
      <c r="AB757" s="7"/>
      <c r="AC757" s="7"/>
      <c r="AD757" s="7"/>
      <c r="AE757" s="7"/>
      <c r="AF757" s="7"/>
      <c r="AG757" s="7"/>
      <c r="AH757" s="1"/>
    </row>
    <row r="758">
      <c r="I758" s="391"/>
      <c r="W758" s="1"/>
      <c r="X758" s="1"/>
      <c r="Y758" s="7"/>
      <c r="Z758" s="7"/>
      <c r="AA758" s="1"/>
      <c r="AB758" s="7"/>
      <c r="AC758" s="7"/>
      <c r="AD758" s="7"/>
      <c r="AE758" s="7"/>
      <c r="AF758" s="7"/>
      <c r="AG758" s="7"/>
      <c r="AH758" s="1"/>
    </row>
    <row r="759">
      <c r="I759" s="391"/>
      <c r="W759" s="1"/>
      <c r="X759" s="1"/>
      <c r="Y759" s="7"/>
      <c r="Z759" s="7"/>
      <c r="AA759" s="1"/>
      <c r="AB759" s="7"/>
      <c r="AC759" s="7"/>
      <c r="AD759" s="7"/>
      <c r="AE759" s="7"/>
      <c r="AF759" s="7"/>
      <c r="AG759" s="7"/>
      <c r="AH759" s="1"/>
    </row>
    <row r="760">
      <c r="I760" s="391"/>
      <c r="W760" s="1"/>
      <c r="X760" s="1"/>
      <c r="Y760" s="7"/>
      <c r="Z760" s="7"/>
      <c r="AA760" s="1"/>
      <c r="AB760" s="7"/>
      <c r="AC760" s="7"/>
      <c r="AD760" s="7"/>
      <c r="AE760" s="7"/>
      <c r="AF760" s="7"/>
      <c r="AG760" s="7"/>
      <c r="AH760" s="1"/>
    </row>
    <row r="761">
      <c r="I761" s="391"/>
      <c r="W761" s="1"/>
      <c r="X761" s="1"/>
      <c r="Y761" s="7"/>
      <c r="Z761" s="7"/>
      <c r="AA761" s="1"/>
      <c r="AB761" s="7"/>
      <c r="AC761" s="7"/>
      <c r="AD761" s="7"/>
      <c r="AE761" s="7"/>
      <c r="AF761" s="7"/>
      <c r="AG761" s="7"/>
      <c r="AH761" s="1"/>
    </row>
    <row r="762">
      <c r="I762" s="391"/>
      <c r="W762" s="1"/>
      <c r="X762" s="1"/>
      <c r="Y762" s="7"/>
      <c r="Z762" s="7"/>
      <c r="AA762" s="1"/>
      <c r="AB762" s="7"/>
      <c r="AC762" s="7"/>
      <c r="AD762" s="7"/>
      <c r="AE762" s="7"/>
      <c r="AF762" s="7"/>
      <c r="AG762" s="7"/>
      <c r="AH762" s="1"/>
    </row>
    <row r="763">
      <c r="I763" s="391"/>
      <c r="W763" s="1"/>
      <c r="X763" s="1"/>
      <c r="Y763" s="7"/>
      <c r="Z763" s="7"/>
      <c r="AA763" s="1"/>
      <c r="AB763" s="7"/>
      <c r="AC763" s="7"/>
      <c r="AD763" s="7"/>
      <c r="AE763" s="7"/>
      <c r="AF763" s="7"/>
      <c r="AG763" s="7"/>
      <c r="AH763" s="1"/>
    </row>
    <row r="764">
      <c r="I764" s="391"/>
      <c r="W764" s="1"/>
      <c r="X764" s="1"/>
      <c r="Y764" s="7"/>
      <c r="Z764" s="7"/>
      <c r="AA764" s="1"/>
      <c r="AB764" s="7"/>
      <c r="AC764" s="7"/>
      <c r="AD764" s="7"/>
      <c r="AE764" s="7"/>
      <c r="AF764" s="7"/>
      <c r="AG764" s="7"/>
      <c r="AH764" s="1"/>
    </row>
    <row r="765">
      <c r="I765" s="391"/>
      <c r="W765" s="1"/>
      <c r="X765" s="1"/>
      <c r="Y765" s="7"/>
      <c r="Z765" s="7"/>
      <c r="AA765" s="1"/>
      <c r="AB765" s="7"/>
      <c r="AC765" s="7"/>
      <c r="AD765" s="7"/>
      <c r="AE765" s="7"/>
      <c r="AF765" s="7"/>
      <c r="AG765" s="7"/>
      <c r="AH765" s="1"/>
    </row>
    <row r="766">
      <c r="I766" s="391"/>
      <c r="W766" s="1"/>
      <c r="X766" s="1"/>
      <c r="Y766" s="7"/>
      <c r="Z766" s="7"/>
      <c r="AA766" s="1"/>
      <c r="AB766" s="7"/>
      <c r="AC766" s="7"/>
      <c r="AD766" s="7"/>
      <c r="AE766" s="7"/>
      <c r="AF766" s="7"/>
      <c r="AG766" s="7"/>
      <c r="AH766" s="1"/>
    </row>
    <row r="767">
      <c r="I767" s="391"/>
      <c r="W767" s="1"/>
      <c r="X767" s="1"/>
      <c r="Y767" s="7"/>
      <c r="Z767" s="7"/>
      <c r="AA767" s="1"/>
      <c r="AB767" s="7"/>
      <c r="AC767" s="7"/>
      <c r="AD767" s="7"/>
      <c r="AE767" s="7"/>
      <c r="AF767" s="7"/>
      <c r="AG767" s="7"/>
      <c r="AH767" s="1"/>
    </row>
    <row r="768">
      <c r="I768" s="391"/>
      <c r="W768" s="1"/>
      <c r="X768" s="1"/>
      <c r="Y768" s="7"/>
      <c r="Z768" s="7"/>
      <c r="AA768" s="1"/>
      <c r="AB768" s="7"/>
      <c r="AC768" s="7"/>
      <c r="AD768" s="7"/>
      <c r="AE768" s="7"/>
      <c r="AF768" s="7"/>
      <c r="AG768" s="7"/>
      <c r="AH768" s="1"/>
    </row>
    <row r="769">
      <c r="I769" s="391"/>
      <c r="W769" s="1"/>
      <c r="X769" s="1"/>
      <c r="Y769" s="7"/>
      <c r="Z769" s="7"/>
      <c r="AA769" s="1"/>
      <c r="AB769" s="7"/>
      <c r="AC769" s="7"/>
      <c r="AD769" s="7"/>
      <c r="AE769" s="7"/>
      <c r="AF769" s="7"/>
      <c r="AG769" s="7"/>
      <c r="AH769" s="1"/>
    </row>
    <row r="770">
      <c r="I770" s="391"/>
      <c r="W770" s="1"/>
      <c r="X770" s="1"/>
      <c r="Y770" s="7"/>
      <c r="Z770" s="7"/>
      <c r="AA770" s="1"/>
      <c r="AB770" s="7"/>
      <c r="AC770" s="7"/>
      <c r="AD770" s="7"/>
      <c r="AE770" s="7"/>
      <c r="AF770" s="7"/>
      <c r="AG770" s="7"/>
      <c r="AH770" s="1"/>
    </row>
    <row r="771">
      <c r="I771" s="391"/>
      <c r="W771" s="1"/>
      <c r="X771" s="1"/>
      <c r="Y771" s="7"/>
      <c r="Z771" s="7"/>
      <c r="AA771" s="1"/>
      <c r="AB771" s="7"/>
      <c r="AC771" s="7"/>
      <c r="AD771" s="7"/>
      <c r="AE771" s="7"/>
      <c r="AF771" s="7"/>
      <c r="AG771" s="7"/>
      <c r="AH771" s="1"/>
    </row>
    <row r="772">
      <c r="I772" s="391"/>
      <c r="W772" s="1"/>
      <c r="X772" s="1"/>
      <c r="Y772" s="7"/>
      <c r="Z772" s="7"/>
      <c r="AA772" s="1"/>
      <c r="AB772" s="7"/>
      <c r="AC772" s="7"/>
      <c r="AD772" s="7"/>
      <c r="AE772" s="7"/>
      <c r="AF772" s="7"/>
      <c r="AG772" s="7"/>
      <c r="AH772" s="1"/>
    </row>
    <row r="773">
      <c r="I773" s="391"/>
      <c r="W773" s="1"/>
      <c r="X773" s="1"/>
      <c r="Y773" s="7"/>
      <c r="Z773" s="7"/>
      <c r="AA773" s="1"/>
      <c r="AB773" s="7"/>
      <c r="AC773" s="7"/>
      <c r="AD773" s="7"/>
      <c r="AE773" s="7"/>
      <c r="AF773" s="7"/>
      <c r="AG773" s="7"/>
      <c r="AH773" s="1"/>
    </row>
    <row r="774">
      <c r="I774" s="391"/>
      <c r="W774" s="1"/>
      <c r="X774" s="1"/>
      <c r="Y774" s="7"/>
      <c r="Z774" s="7"/>
      <c r="AA774" s="1"/>
      <c r="AB774" s="7"/>
      <c r="AC774" s="7"/>
      <c r="AD774" s="7"/>
      <c r="AE774" s="7"/>
      <c r="AF774" s="7"/>
      <c r="AG774" s="7"/>
      <c r="AH774" s="1"/>
    </row>
    <row r="775">
      <c r="I775" s="391"/>
      <c r="W775" s="1"/>
      <c r="X775" s="1"/>
      <c r="Y775" s="7"/>
      <c r="Z775" s="7"/>
      <c r="AA775" s="1"/>
      <c r="AB775" s="7"/>
      <c r="AC775" s="7"/>
      <c r="AD775" s="7"/>
      <c r="AE775" s="7"/>
      <c r="AF775" s="7"/>
      <c r="AG775" s="7"/>
      <c r="AH775" s="1"/>
    </row>
    <row r="776">
      <c r="I776" s="391"/>
      <c r="W776" s="1"/>
      <c r="X776" s="1"/>
      <c r="Y776" s="7"/>
      <c r="Z776" s="7"/>
      <c r="AA776" s="1"/>
      <c r="AB776" s="7"/>
      <c r="AC776" s="7"/>
      <c r="AD776" s="7"/>
      <c r="AE776" s="7"/>
      <c r="AF776" s="7"/>
      <c r="AG776" s="7"/>
      <c r="AH776" s="1"/>
    </row>
    <row r="777">
      <c r="I777" s="391"/>
      <c r="W777" s="1"/>
      <c r="X777" s="1"/>
      <c r="Y777" s="7"/>
      <c r="Z777" s="7"/>
      <c r="AA777" s="1"/>
      <c r="AB777" s="7"/>
      <c r="AC777" s="7"/>
      <c r="AD777" s="7"/>
      <c r="AE777" s="7"/>
      <c r="AF777" s="7"/>
      <c r="AG777" s="7"/>
      <c r="AH777" s="1"/>
    </row>
    <row r="778">
      <c r="I778" s="391"/>
      <c r="W778" s="1"/>
      <c r="X778" s="1"/>
      <c r="Y778" s="7"/>
      <c r="Z778" s="7"/>
      <c r="AA778" s="1"/>
      <c r="AB778" s="7"/>
      <c r="AC778" s="7"/>
      <c r="AD778" s="7"/>
      <c r="AE778" s="7"/>
      <c r="AF778" s="7"/>
      <c r="AG778" s="7"/>
      <c r="AH778" s="1"/>
    </row>
    <row r="779">
      <c r="I779" s="391"/>
      <c r="W779" s="1"/>
      <c r="X779" s="1"/>
      <c r="Y779" s="7"/>
      <c r="Z779" s="7"/>
      <c r="AA779" s="1"/>
      <c r="AB779" s="7"/>
      <c r="AC779" s="7"/>
      <c r="AD779" s="7"/>
      <c r="AE779" s="7"/>
      <c r="AF779" s="7"/>
      <c r="AG779" s="7"/>
      <c r="AH779" s="1"/>
    </row>
    <row r="780">
      <c r="I780" s="391"/>
      <c r="W780" s="1"/>
      <c r="X780" s="1"/>
      <c r="Y780" s="7"/>
      <c r="Z780" s="7"/>
      <c r="AA780" s="1"/>
      <c r="AB780" s="7"/>
      <c r="AC780" s="7"/>
      <c r="AD780" s="7"/>
      <c r="AE780" s="7"/>
      <c r="AF780" s="7"/>
      <c r="AG780" s="7"/>
      <c r="AH780" s="1"/>
    </row>
    <row r="781">
      <c r="I781" s="391"/>
      <c r="W781" s="1"/>
      <c r="X781" s="1"/>
      <c r="Y781" s="7"/>
      <c r="Z781" s="7"/>
      <c r="AA781" s="1"/>
      <c r="AB781" s="7"/>
      <c r="AC781" s="7"/>
      <c r="AD781" s="7"/>
      <c r="AE781" s="7"/>
      <c r="AF781" s="7"/>
      <c r="AG781" s="7"/>
      <c r="AH781" s="1"/>
    </row>
    <row r="782">
      <c r="I782" s="391"/>
      <c r="W782" s="1"/>
      <c r="X782" s="1"/>
      <c r="Y782" s="7"/>
      <c r="Z782" s="7"/>
      <c r="AA782" s="1"/>
      <c r="AB782" s="7"/>
      <c r="AC782" s="7"/>
      <c r="AD782" s="7"/>
      <c r="AE782" s="7"/>
      <c r="AF782" s="7"/>
      <c r="AG782" s="7"/>
      <c r="AH782" s="1"/>
    </row>
    <row r="783">
      <c r="I783" s="391"/>
      <c r="W783" s="1"/>
      <c r="X783" s="1"/>
      <c r="Y783" s="7"/>
      <c r="Z783" s="7"/>
      <c r="AA783" s="1"/>
      <c r="AB783" s="7"/>
      <c r="AC783" s="7"/>
      <c r="AD783" s="7"/>
      <c r="AE783" s="7"/>
      <c r="AF783" s="7"/>
      <c r="AG783" s="7"/>
      <c r="AH783" s="1"/>
    </row>
    <row r="784">
      <c r="I784" s="391"/>
      <c r="W784" s="1"/>
      <c r="X784" s="1"/>
      <c r="Y784" s="7"/>
      <c r="Z784" s="7"/>
      <c r="AA784" s="1"/>
      <c r="AB784" s="7"/>
      <c r="AC784" s="7"/>
      <c r="AD784" s="7"/>
      <c r="AE784" s="7"/>
      <c r="AF784" s="7"/>
      <c r="AG784" s="7"/>
      <c r="AH784" s="1"/>
    </row>
    <row r="785">
      <c r="I785" s="391"/>
      <c r="W785" s="1"/>
      <c r="X785" s="1"/>
      <c r="Y785" s="7"/>
      <c r="Z785" s="7"/>
      <c r="AA785" s="1"/>
      <c r="AB785" s="7"/>
      <c r="AC785" s="7"/>
      <c r="AD785" s="7"/>
      <c r="AE785" s="7"/>
      <c r="AF785" s="7"/>
      <c r="AG785" s="7"/>
      <c r="AH785" s="1"/>
    </row>
    <row r="786">
      <c r="I786" s="391"/>
      <c r="W786" s="1"/>
      <c r="X786" s="1"/>
      <c r="Y786" s="7"/>
      <c r="Z786" s="7"/>
      <c r="AA786" s="1"/>
      <c r="AB786" s="7"/>
      <c r="AC786" s="7"/>
      <c r="AD786" s="7"/>
      <c r="AE786" s="7"/>
      <c r="AF786" s="7"/>
      <c r="AG786" s="7"/>
      <c r="AH786" s="1"/>
    </row>
    <row r="787">
      <c r="I787" s="391"/>
      <c r="W787" s="1"/>
      <c r="X787" s="1"/>
      <c r="Y787" s="7"/>
      <c r="Z787" s="7"/>
      <c r="AA787" s="1"/>
      <c r="AB787" s="7"/>
      <c r="AC787" s="7"/>
      <c r="AD787" s="7"/>
      <c r="AE787" s="7"/>
      <c r="AF787" s="7"/>
      <c r="AG787" s="7"/>
      <c r="AH787" s="1"/>
    </row>
    <row r="788">
      <c r="I788" s="391"/>
      <c r="W788" s="1"/>
      <c r="X788" s="1"/>
      <c r="Y788" s="7"/>
      <c r="Z788" s="7"/>
      <c r="AA788" s="1"/>
      <c r="AB788" s="7"/>
      <c r="AC788" s="7"/>
      <c r="AD788" s="7"/>
      <c r="AE788" s="7"/>
      <c r="AF788" s="7"/>
      <c r="AG788" s="7"/>
      <c r="AH788" s="1"/>
    </row>
    <row r="789">
      <c r="I789" s="391"/>
      <c r="W789" s="1"/>
      <c r="X789" s="1"/>
      <c r="Y789" s="7"/>
      <c r="Z789" s="7"/>
      <c r="AA789" s="1"/>
      <c r="AB789" s="7"/>
      <c r="AC789" s="7"/>
      <c r="AD789" s="7"/>
      <c r="AE789" s="7"/>
      <c r="AF789" s="7"/>
      <c r="AG789" s="7"/>
      <c r="AH789" s="1"/>
    </row>
    <row r="790">
      <c r="I790" s="391"/>
      <c r="W790" s="1"/>
      <c r="X790" s="1"/>
      <c r="Y790" s="7"/>
      <c r="Z790" s="7"/>
      <c r="AA790" s="1"/>
      <c r="AB790" s="7"/>
      <c r="AC790" s="7"/>
      <c r="AD790" s="7"/>
      <c r="AE790" s="7"/>
      <c r="AF790" s="7"/>
      <c r="AG790" s="7"/>
      <c r="AH790" s="1"/>
    </row>
    <row r="791">
      <c r="I791" s="391"/>
      <c r="W791" s="1"/>
      <c r="X791" s="1"/>
      <c r="Y791" s="7"/>
      <c r="Z791" s="7"/>
      <c r="AA791" s="1"/>
      <c r="AB791" s="7"/>
      <c r="AC791" s="7"/>
      <c r="AD791" s="7"/>
      <c r="AE791" s="7"/>
      <c r="AF791" s="7"/>
      <c r="AG791" s="7"/>
      <c r="AH791" s="1"/>
    </row>
    <row r="792">
      <c r="I792" s="391"/>
      <c r="W792" s="1"/>
      <c r="X792" s="1"/>
      <c r="Y792" s="7"/>
      <c r="Z792" s="7"/>
      <c r="AA792" s="1"/>
      <c r="AB792" s="7"/>
      <c r="AC792" s="7"/>
      <c r="AD792" s="7"/>
      <c r="AE792" s="7"/>
      <c r="AF792" s="7"/>
      <c r="AG792" s="7"/>
      <c r="AH792" s="1"/>
    </row>
    <row r="793">
      <c r="I793" s="391"/>
      <c r="W793" s="1"/>
      <c r="X793" s="1"/>
      <c r="Y793" s="7"/>
      <c r="Z793" s="7"/>
      <c r="AA793" s="1"/>
      <c r="AB793" s="7"/>
      <c r="AC793" s="7"/>
      <c r="AD793" s="7"/>
      <c r="AE793" s="7"/>
      <c r="AF793" s="7"/>
      <c r="AG793" s="7"/>
      <c r="AH793" s="1"/>
    </row>
    <row r="794">
      <c r="I794" s="391"/>
      <c r="W794" s="1"/>
      <c r="X794" s="1"/>
      <c r="Y794" s="7"/>
      <c r="Z794" s="7"/>
      <c r="AA794" s="1"/>
      <c r="AB794" s="7"/>
      <c r="AC794" s="7"/>
      <c r="AD794" s="7"/>
      <c r="AE794" s="7"/>
      <c r="AF794" s="7"/>
      <c r="AG794" s="7"/>
      <c r="AH794" s="1"/>
    </row>
    <row r="795">
      <c r="I795" s="391"/>
      <c r="W795" s="1"/>
      <c r="X795" s="1"/>
      <c r="Y795" s="7"/>
      <c r="Z795" s="7"/>
      <c r="AA795" s="1"/>
      <c r="AB795" s="7"/>
      <c r="AC795" s="7"/>
      <c r="AD795" s="7"/>
      <c r="AE795" s="7"/>
      <c r="AF795" s="7"/>
      <c r="AG795" s="7"/>
      <c r="AH795" s="1"/>
    </row>
    <row r="796">
      <c r="I796" s="391"/>
      <c r="W796" s="1"/>
      <c r="X796" s="1"/>
      <c r="Y796" s="7"/>
      <c r="Z796" s="7"/>
      <c r="AA796" s="1"/>
      <c r="AB796" s="7"/>
      <c r="AC796" s="7"/>
      <c r="AD796" s="7"/>
      <c r="AE796" s="7"/>
      <c r="AF796" s="7"/>
      <c r="AG796" s="7"/>
      <c r="AH796" s="1"/>
    </row>
    <row r="797">
      <c r="I797" s="391"/>
      <c r="W797" s="1"/>
      <c r="X797" s="1"/>
      <c r="Y797" s="7"/>
      <c r="Z797" s="7"/>
      <c r="AA797" s="1"/>
      <c r="AB797" s="7"/>
      <c r="AC797" s="7"/>
      <c r="AD797" s="7"/>
      <c r="AE797" s="7"/>
      <c r="AF797" s="7"/>
      <c r="AG797" s="7"/>
      <c r="AH797" s="1"/>
    </row>
    <row r="798">
      <c r="I798" s="391"/>
      <c r="W798" s="1"/>
      <c r="X798" s="1"/>
      <c r="Y798" s="7"/>
      <c r="Z798" s="7"/>
      <c r="AA798" s="1"/>
      <c r="AB798" s="7"/>
      <c r="AC798" s="7"/>
      <c r="AD798" s="7"/>
      <c r="AE798" s="7"/>
      <c r="AF798" s="7"/>
      <c r="AG798" s="7"/>
      <c r="AH798" s="1"/>
    </row>
    <row r="799">
      <c r="I799" s="391"/>
      <c r="W799" s="1"/>
      <c r="X799" s="1"/>
      <c r="Y799" s="7"/>
      <c r="Z799" s="7"/>
      <c r="AA799" s="1"/>
      <c r="AB799" s="7"/>
      <c r="AC799" s="7"/>
      <c r="AD799" s="7"/>
      <c r="AE799" s="7"/>
      <c r="AF799" s="7"/>
      <c r="AG799" s="7"/>
      <c r="AH799" s="1"/>
    </row>
    <row r="800">
      <c r="I800" s="391"/>
      <c r="W800" s="1"/>
      <c r="X800" s="1"/>
      <c r="Y800" s="7"/>
      <c r="Z800" s="7"/>
      <c r="AA800" s="1"/>
      <c r="AB800" s="7"/>
      <c r="AC800" s="7"/>
      <c r="AD800" s="7"/>
      <c r="AE800" s="7"/>
      <c r="AF800" s="7"/>
      <c r="AG800" s="7"/>
      <c r="AH800" s="1"/>
    </row>
    <row r="801">
      <c r="I801" s="391"/>
      <c r="W801" s="1"/>
      <c r="X801" s="1"/>
      <c r="Y801" s="7"/>
      <c r="Z801" s="7"/>
      <c r="AA801" s="1"/>
      <c r="AB801" s="7"/>
      <c r="AC801" s="7"/>
      <c r="AD801" s="7"/>
      <c r="AE801" s="7"/>
      <c r="AF801" s="7"/>
      <c r="AG801" s="7"/>
      <c r="AH801" s="1"/>
    </row>
    <row r="802">
      <c r="I802" s="391"/>
      <c r="W802" s="1"/>
      <c r="X802" s="1"/>
      <c r="Y802" s="7"/>
      <c r="Z802" s="7"/>
      <c r="AA802" s="1"/>
      <c r="AB802" s="7"/>
      <c r="AC802" s="7"/>
      <c r="AD802" s="7"/>
      <c r="AE802" s="7"/>
      <c r="AF802" s="7"/>
      <c r="AG802" s="7"/>
      <c r="AH802" s="1"/>
    </row>
    <row r="803">
      <c r="I803" s="391"/>
      <c r="W803" s="1"/>
      <c r="X803" s="1"/>
      <c r="Y803" s="7"/>
      <c r="Z803" s="7"/>
      <c r="AA803" s="1"/>
      <c r="AB803" s="7"/>
      <c r="AC803" s="7"/>
      <c r="AD803" s="7"/>
      <c r="AE803" s="7"/>
      <c r="AF803" s="7"/>
      <c r="AG803" s="7"/>
      <c r="AH803" s="1"/>
    </row>
    <row r="804">
      <c r="I804" s="391"/>
      <c r="W804" s="1"/>
      <c r="X804" s="1"/>
      <c r="Y804" s="7"/>
      <c r="Z804" s="7"/>
      <c r="AA804" s="1"/>
      <c r="AB804" s="7"/>
      <c r="AC804" s="7"/>
      <c r="AD804" s="7"/>
      <c r="AE804" s="7"/>
      <c r="AF804" s="7"/>
      <c r="AG804" s="7"/>
      <c r="AH804" s="1"/>
    </row>
    <row r="805">
      <c r="I805" s="391"/>
      <c r="W805" s="1"/>
      <c r="X805" s="1"/>
      <c r="Y805" s="7"/>
      <c r="Z805" s="7"/>
      <c r="AA805" s="1"/>
      <c r="AB805" s="7"/>
      <c r="AC805" s="7"/>
      <c r="AD805" s="7"/>
      <c r="AE805" s="7"/>
      <c r="AF805" s="7"/>
      <c r="AG805" s="7"/>
      <c r="AH805" s="1"/>
    </row>
    <row r="806">
      <c r="I806" s="391"/>
      <c r="W806" s="1"/>
      <c r="X806" s="1"/>
      <c r="Y806" s="7"/>
      <c r="Z806" s="7"/>
      <c r="AA806" s="1"/>
      <c r="AB806" s="7"/>
      <c r="AC806" s="7"/>
      <c r="AD806" s="7"/>
      <c r="AE806" s="7"/>
      <c r="AF806" s="7"/>
      <c r="AG806" s="7"/>
      <c r="AH806" s="1"/>
    </row>
    <row r="807">
      <c r="I807" s="391"/>
      <c r="W807" s="1"/>
      <c r="X807" s="1"/>
      <c r="Y807" s="7"/>
      <c r="Z807" s="7"/>
      <c r="AA807" s="1"/>
      <c r="AB807" s="7"/>
      <c r="AC807" s="7"/>
      <c r="AD807" s="7"/>
      <c r="AE807" s="7"/>
      <c r="AF807" s="7"/>
      <c r="AG807" s="7"/>
      <c r="AH807" s="1"/>
    </row>
    <row r="808">
      <c r="I808" s="391"/>
      <c r="W808" s="1"/>
      <c r="X808" s="1"/>
      <c r="Y808" s="7"/>
      <c r="Z808" s="7"/>
      <c r="AA808" s="1"/>
      <c r="AB808" s="7"/>
      <c r="AC808" s="7"/>
      <c r="AD808" s="7"/>
      <c r="AE808" s="7"/>
      <c r="AF808" s="7"/>
      <c r="AG808" s="7"/>
      <c r="AH808" s="1"/>
    </row>
    <row r="809">
      <c r="I809" s="391"/>
      <c r="W809" s="1"/>
      <c r="X809" s="1"/>
      <c r="Y809" s="7"/>
      <c r="Z809" s="7"/>
      <c r="AA809" s="1"/>
      <c r="AB809" s="7"/>
      <c r="AC809" s="7"/>
      <c r="AD809" s="7"/>
      <c r="AE809" s="7"/>
      <c r="AF809" s="7"/>
      <c r="AG809" s="7"/>
      <c r="AH809" s="1"/>
    </row>
    <row r="810">
      <c r="I810" s="391"/>
      <c r="W810" s="1"/>
      <c r="X810" s="1"/>
      <c r="Y810" s="7"/>
      <c r="Z810" s="7"/>
      <c r="AA810" s="1"/>
      <c r="AB810" s="7"/>
      <c r="AC810" s="7"/>
      <c r="AD810" s="7"/>
      <c r="AE810" s="7"/>
      <c r="AF810" s="7"/>
      <c r="AG810" s="7"/>
      <c r="AH810" s="1"/>
    </row>
    <row r="811">
      <c r="I811" s="391"/>
      <c r="W811" s="1"/>
      <c r="X811" s="1"/>
      <c r="Y811" s="7"/>
      <c r="Z811" s="7"/>
      <c r="AA811" s="1"/>
      <c r="AB811" s="7"/>
      <c r="AC811" s="7"/>
      <c r="AD811" s="7"/>
      <c r="AE811" s="7"/>
      <c r="AF811" s="7"/>
      <c r="AG811" s="7"/>
      <c r="AH811" s="1"/>
    </row>
    <row r="812">
      <c r="I812" s="391"/>
      <c r="W812" s="1"/>
      <c r="X812" s="1"/>
      <c r="Y812" s="7"/>
      <c r="Z812" s="7"/>
      <c r="AA812" s="1"/>
      <c r="AB812" s="7"/>
      <c r="AC812" s="7"/>
      <c r="AD812" s="7"/>
      <c r="AE812" s="7"/>
      <c r="AF812" s="7"/>
      <c r="AG812" s="7"/>
      <c r="AH812" s="1"/>
    </row>
    <row r="813">
      <c r="I813" s="391"/>
      <c r="W813" s="1"/>
      <c r="X813" s="1"/>
      <c r="Y813" s="7"/>
      <c r="Z813" s="7"/>
      <c r="AA813" s="1"/>
      <c r="AB813" s="7"/>
      <c r="AC813" s="7"/>
      <c r="AD813" s="7"/>
      <c r="AE813" s="7"/>
      <c r="AF813" s="7"/>
      <c r="AG813" s="7"/>
      <c r="AH813" s="1"/>
    </row>
    <row r="814">
      <c r="I814" s="391"/>
      <c r="W814" s="1"/>
      <c r="X814" s="1"/>
      <c r="Y814" s="7"/>
      <c r="Z814" s="7"/>
      <c r="AA814" s="1"/>
      <c r="AB814" s="7"/>
      <c r="AC814" s="7"/>
      <c r="AD814" s="7"/>
      <c r="AE814" s="7"/>
      <c r="AF814" s="7"/>
      <c r="AG814" s="7"/>
      <c r="AH814" s="1"/>
    </row>
    <row r="815">
      <c r="I815" s="391"/>
      <c r="W815" s="1"/>
      <c r="X815" s="1"/>
      <c r="Y815" s="7"/>
      <c r="Z815" s="7"/>
      <c r="AA815" s="1"/>
      <c r="AB815" s="7"/>
      <c r="AC815" s="7"/>
      <c r="AD815" s="7"/>
      <c r="AE815" s="7"/>
      <c r="AF815" s="7"/>
      <c r="AG815" s="7"/>
      <c r="AH815" s="1"/>
    </row>
    <row r="816">
      <c r="I816" s="391"/>
      <c r="W816" s="1"/>
      <c r="X816" s="1"/>
      <c r="Y816" s="7"/>
      <c r="Z816" s="7"/>
      <c r="AA816" s="1"/>
      <c r="AB816" s="7"/>
      <c r="AC816" s="7"/>
      <c r="AD816" s="7"/>
      <c r="AE816" s="7"/>
      <c r="AF816" s="7"/>
      <c r="AG816" s="7"/>
      <c r="AH816" s="1"/>
    </row>
    <row r="817">
      <c r="I817" s="391"/>
      <c r="W817" s="1"/>
      <c r="X817" s="1"/>
      <c r="Y817" s="7"/>
      <c r="Z817" s="7"/>
      <c r="AA817" s="1"/>
      <c r="AB817" s="7"/>
      <c r="AC817" s="7"/>
      <c r="AD817" s="7"/>
      <c r="AE817" s="7"/>
      <c r="AF817" s="7"/>
      <c r="AG817" s="7"/>
      <c r="AH817" s="1"/>
    </row>
    <row r="818">
      <c r="I818" s="391"/>
      <c r="W818" s="1"/>
      <c r="X818" s="1"/>
      <c r="Y818" s="7"/>
      <c r="Z818" s="7"/>
      <c r="AA818" s="1"/>
      <c r="AB818" s="7"/>
      <c r="AC818" s="7"/>
      <c r="AD818" s="7"/>
      <c r="AE818" s="7"/>
      <c r="AF818" s="7"/>
      <c r="AG818" s="7"/>
      <c r="AH818" s="1"/>
    </row>
    <row r="819">
      <c r="I819" s="391"/>
      <c r="W819" s="1"/>
      <c r="X819" s="1"/>
      <c r="Y819" s="7"/>
      <c r="Z819" s="7"/>
      <c r="AA819" s="1"/>
      <c r="AB819" s="7"/>
      <c r="AC819" s="7"/>
      <c r="AD819" s="7"/>
      <c r="AE819" s="7"/>
      <c r="AF819" s="7"/>
      <c r="AG819" s="7"/>
      <c r="AH819" s="1"/>
    </row>
    <row r="820">
      <c r="I820" s="391"/>
      <c r="W820" s="1"/>
      <c r="X820" s="1"/>
      <c r="Y820" s="7"/>
      <c r="Z820" s="7"/>
      <c r="AA820" s="1"/>
      <c r="AB820" s="7"/>
      <c r="AC820" s="7"/>
      <c r="AD820" s="7"/>
      <c r="AE820" s="7"/>
      <c r="AF820" s="7"/>
      <c r="AG820" s="7"/>
      <c r="AH820" s="1"/>
    </row>
    <row r="821">
      <c r="I821" s="391"/>
      <c r="W821" s="1"/>
      <c r="X821" s="1"/>
      <c r="Y821" s="7"/>
      <c r="Z821" s="7"/>
      <c r="AA821" s="1"/>
      <c r="AB821" s="7"/>
      <c r="AC821" s="7"/>
      <c r="AD821" s="7"/>
      <c r="AE821" s="7"/>
      <c r="AF821" s="7"/>
      <c r="AG821" s="7"/>
      <c r="AH821" s="1"/>
    </row>
    <row r="822">
      <c r="I822" s="391"/>
      <c r="W822" s="1"/>
      <c r="X822" s="1"/>
      <c r="Y822" s="7"/>
      <c r="Z822" s="7"/>
      <c r="AA822" s="1"/>
      <c r="AB822" s="7"/>
      <c r="AC822" s="7"/>
      <c r="AD822" s="7"/>
      <c r="AE822" s="7"/>
      <c r="AF822" s="7"/>
      <c r="AG822" s="7"/>
      <c r="AH822" s="1"/>
    </row>
    <row r="823">
      <c r="I823" s="391"/>
      <c r="W823" s="1"/>
      <c r="X823" s="1"/>
      <c r="Y823" s="7"/>
      <c r="Z823" s="7"/>
      <c r="AA823" s="1"/>
      <c r="AB823" s="7"/>
      <c r="AC823" s="7"/>
      <c r="AD823" s="7"/>
      <c r="AE823" s="7"/>
      <c r="AF823" s="7"/>
      <c r="AG823" s="7"/>
      <c r="AH823" s="1"/>
    </row>
    <row r="824">
      <c r="I824" s="391"/>
      <c r="W824" s="1"/>
      <c r="X824" s="1"/>
      <c r="Y824" s="7"/>
      <c r="Z824" s="7"/>
      <c r="AA824" s="1"/>
      <c r="AB824" s="7"/>
      <c r="AC824" s="7"/>
      <c r="AD824" s="7"/>
      <c r="AE824" s="7"/>
      <c r="AF824" s="7"/>
      <c r="AG824" s="7"/>
      <c r="AH824" s="1"/>
    </row>
    <row r="825">
      <c r="I825" s="391"/>
      <c r="W825" s="1"/>
      <c r="X825" s="1"/>
      <c r="Y825" s="7"/>
      <c r="Z825" s="7"/>
      <c r="AA825" s="1"/>
      <c r="AB825" s="7"/>
      <c r="AC825" s="7"/>
      <c r="AD825" s="7"/>
      <c r="AE825" s="7"/>
      <c r="AF825" s="7"/>
      <c r="AG825" s="7"/>
      <c r="AH825" s="1"/>
    </row>
    <row r="826">
      <c r="I826" s="391"/>
      <c r="W826" s="1"/>
      <c r="X826" s="1"/>
      <c r="Y826" s="7"/>
      <c r="Z826" s="7"/>
      <c r="AA826" s="1"/>
      <c r="AB826" s="7"/>
      <c r="AC826" s="7"/>
      <c r="AD826" s="7"/>
      <c r="AE826" s="7"/>
      <c r="AF826" s="7"/>
      <c r="AG826" s="7"/>
      <c r="AH826" s="1"/>
    </row>
    <row r="827">
      <c r="I827" s="391"/>
      <c r="W827" s="1"/>
      <c r="X827" s="1"/>
      <c r="Y827" s="7"/>
      <c r="Z827" s="7"/>
      <c r="AA827" s="1"/>
      <c r="AB827" s="7"/>
      <c r="AC827" s="7"/>
      <c r="AD827" s="7"/>
      <c r="AE827" s="7"/>
      <c r="AF827" s="7"/>
      <c r="AG827" s="7"/>
      <c r="AH827" s="1"/>
    </row>
    <row r="828">
      <c r="I828" s="391"/>
      <c r="W828" s="1"/>
      <c r="X828" s="1"/>
      <c r="Y828" s="7"/>
      <c r="Z828" s="7"/>
      <c r="AA828" s="1"/>
      <c r="AB828" s="7"/>
      <c r="AC828" s="7"/>
      <c r="AD828" s="7"/>
      <c r="AE828" s="7"/>
      <c r="AF828" s="7"/>
      <c r="AG828" s="7"/>
      <c r="AH828" s="1"/>
    </row>
    <row r="829">
      <c r="I829" s="391"/>
      <c r="W829" s="1"/>
      <c r="X829" s="1"/>
      <c r="Y829" s="7"/>
      <c r="Z829" s="7"/>
      <c r="AA829" s="1"/>
      <c r="AB829" s="7"/>
      <c r="AC829" s="7"/>
      <c r="AD829" s="7"/>
      <c r="AE829" s="7"/>
      <c r="AF829" s="7"/>
      <c r="AG829" s="7"/>
      <c r="AH829" s="1"/>
    </row>
    <row r="830">
      <c r="I830" s="391"/>
      <c r="W830" s="1"/>
      <c r="X830" s="1"/>
      <c r="Y830" s="7"/>
      <c r="Z830" s="7"/>
      <c r="AA830" s="1"/>
      <c r="AB830" s="7"/>
      <c r="AC830" s="7"/>
      <c r="AD830" s="7"/>
      <c r="AE830" s="7"/>
      <c r="AF830" s="7"/>
      <c r="AG830" s="7"/>
      <c r="AH830" s="1"/>
    </row>
    <row r="831">
      <c r="I831" s="391"/>
      <c r="W831" s="1"/>
      <c r="X831" s="1"/>
      <c r="Y831" s="7"/>
      <c r="Z831" s="7"/>
      <c r="AA831" s="1"/>
      <c r="AB831" s="7"/>
      <c r="AC831" s="7"/>
      <c r="AD831" s="7"/>
      <c r="AE831" s="7"/>
      <c r="AF831" s="7"/>
      <c r="AG831" s="7"/>
      <c r="AH831" s="1"/>
    </row>
    <row r="832">
      <c r="I832" s="391"/>
      <c r="W832" s="1"/>
      <c r="X832" s="1"/>
      <c r="Y832" s="7"/>
      <c r="Z832" s="7"/>
      <c r="AA832" s="1"/>
      <c r="AB832" s="7"/>
      <c r="AC832" s="7"/>
      <c r="AD832" s="7"/>
      <c r="AE832" s="7"/>
      <c r="AF832" s="7"/>
      <c r="AG832" s="7"/>
      <c r="AH832" s="1"/>
    </row>
    <row r="833">
      <c r="I833" s="391"/>
      <c r="W833" s="1"/>
      <c r="X833" s="1"/>
      <c r="Y833" s="7"/>
      <c r="Z833" s="7"/>
      <c r="AA833" s="1"/>
      <c r="AB833" s="7"/>
      <c r="AC833" s="7"/>
      <c r="AD833" s="7"/>
      <c r="AE833" s="7"/>
      <c r="AF833" s="7"/>
      <c r="AG833" s="7"/>
      <c r="AH833" s="1"/>
    </row>
    <row r="834">
      <c r="I834" s="391"/>
      <c r="W834" s="1"/>
      <c r="X834" s="1"/>
      <c r="Y834" s="7"/>
      <c r="Z834" s="7"/>
      <c r="AA834" s="1"/>
      <c r="AB834" s="7"/>
      <c r="AC834" s="7"/>
      <c r="AD834" s="7"/>
      <c r="AE834" s="7"/>
      <c r="AF834" s="7"/>
      <c r="AG834" s="7"/>
      <c r="AH834" s="1"/>
    </row>
    <row r="835">
      <c r="I835" s="391"/>
      <c r="W835" s="1"/>
      <c r="X835" s="1"/>
      <c r="Y835" s="7"/>
      <c r="Z835" s="7"/>
      <c r="AA835" s="1"/>
      <c r="AB835" s="7"/>
      <c r="AC835" s="7"/>
      <c r="AD835" s="7"/>
      <c r="AE835" s="7"/>
      <c r="AF835" s="7"/>
      <c r="AG835" s="7"/>
      <c r="AH835" s="1"/>
    </row>
    <row r="836">
      <c r="I836" s="391"/>
      <c r="W836" s="1"/>
      <c r="X836" s="1"/>
      <c r="Y836" s="7"/>
      <c r="Z836" s="7"/>
      <c r="AA836" s="1"/>
      <c r="AB836" s="7"/>
      <c r="AC836" s="7"/>
      <c r="AD836" s="7"/>
      <c r="AE836" s="7"/>
      <c r="AF836" s="7"/>
      <c r="AG836" s="7"/>
      <c r="AH836" s="1"/>
    </row>
    <row r="837">
      <c r="I837" s="391"/>
      <c r="W837" s="1"/>
      <c r="X837" s="1"/>
      <c r="Y837" s="7"/>
      <c r="Z837" s="7"/>
      <c r="AA837" s="1"/>
      <c r="AB837" s="7"/>
      <c r="AC837" s="7"/>
      <c r="AD837" s="7"/>
      <c r="AE837" s="7"/>
      <c r="AF837" s="7"/>
      <c r="AG837" s="7"/>
      <c r="AH837" s="1"/>
    </row>
    <row r="838">
      <c r="I838" s="391"/>
      <c r="W838" s="1"/>
      <c r="X838" s="1"/>
      <c r="Y838" s="7"/>
      <c r="Z838" s="7"/>
      <c r="AA838" s="1"/>
      <c r="AB838" s="7"/>
      <c r="AC838" s="7"/>
      <c r="AD838" s="7"/>
      <c r="AE838" s="7"/>
      <c r="AF838" s="7"/>
      <c r="AG838" s="7"/>
      <c r="AH838" s="1"/>
    </row>
    <row r="839">
      <c r="I839" s="391"/>
      <c r="W839" s="1"/>
      <c r="X839" s="1"/>
      <c r="Y839" s="7"/>
      <c r="Z839" s="7"/>
      <c r="AA839" s="1"/>
      <c r="AB839" s="7"/>
      <c r="AC839" s="7"/>
      <c r="AD839" s="7"/>
      <c r="AE839" s="7"/>
      <c r="AF839" s="7"/>
      <c r="AG839" s="7"/>
      <c r="AH839" s="1"/>
    </row>
    <row r="840">
      <c r="I840" s="391"/>
      <c r="W840" s="1"/>
      <c r="X840" s="1"/>
      <c r="Y840" s="7"/>
      <c r="Z840" s="7"/>
      <c r="AA840" s="1"/>
      <c r="AB840" s="7"/>
      <c r="AC840" s="7"/>
      <c r="AD840" s="7"/>
      <c r="AE840" s="7"/>
      <c r="AF840" s="7"/>
      <c r="AG840" s="7"/>
      <c r="AH840" s="1"/>
    </row>
    <row r="841">
      <c r="I841" s="391"/>
      <c r="W841" s="1"/>
      <c r="X841" s="1"/>
      <c r="Y841" s="7"/>
      <c r="Z841" s="7"/>
      <c r="AA841" s="1"/>
      <c r="AB841" s="7"/>
      <c r="AC841" s="7"/>
      <c r="AD841" s="7"/>
      <c r="AE841" s="7"/>
      <c r="AF841" s="7"/>
      <c r="AG841" s="7"/>
      <c r="AH841" s="1"/>
    </row>
    <row r="842">
      <c r="I842" s="391"/>
      <c r="W842" s="1"/>
      <c r="X842" s="1"/>
      <c r="Y842" s="7"/>
      <c r="Z842" s="7"/>
      <c r="AA842" s="1"/>
      <c r="AB842" s="7"/>
      <c r="AC842" s="7"/>
      <c r="AD842" s="7"/>
      <c r="AE842" s="7"/>
      <c r="AF842" s="7"/>
      <c r="AG842" s="7"/>
      <c r="AH842" s="1"/>
    </row>
    <row r="843">
      <c r="I843" s="391"/>
      <c r="W843" s="1"/>
      <c r="X843" s="1"/>
      <c r="Y843" s="7"/>
      <c r="Z843" s="7"/>
      <c r="AA843" s="1"/>
      <c r="AB843" s="7"/>
      <c r="AC843" s="7"/>
      <c r="AD843" s="7"/>
      <c r="AE843" s="7"/>
      <c r="AF843" s="7"/>
      <c r="AG843" s="7"/>
      <c r="AH843" s="1"/>
    </row>
    <row r="844">
      <c r="I844" s="391"/>
      <c r="W844" s="1"/>
      <c r="X844" s="1"/>
      <c r="Y844" s="7"/>
      <c r="Z844" s="7"/>
      <c r="AA844" s="1"/>
      <c r="AB844" s="7"/>
      <c r="AC844" s="7"/>
      <c r="AD844" s="7"/>
      <c r="AE844" s="7"/>
      <c r="AF844" s="7"/>
      <c r="AG844" s="7"/>
      <c r="AH844" s="1"/>
    </row>
    <row r="845">
      <c r="I845" s="391"/>
      <c r="W845" s="1"/>
      <c r="X845" s="1"/>
      <c r="Y845" s="7"/>
      <c r="Z845" s="7"/>
      <c r="AA845" s="1"/>
      <c r="AB845" s="7"/>
      <c r="AC845" s="7"/>
      <c r="AD845" s="7"/>
      <c r="AE845" s="7"/>
      <c r="AF845" s="7"/>
      <c r="AG845" s="7"/>
      <c r="AH845" s="1"/>
    </row>
    <row r="846">
      <c r="I846" s="391"/>
      <c r="W846" s="1"/>
      <c r="X846" s="1"/>
      <c r="Y846" s="7"/>
      <c r="Z846" s="7"/>
      <c r="AA846" s="1"/>
      <c r="AB846" s="7"/>
      <c r="AC846" s="7"/>
      <c r="AD846" s="7"/>
      <c r="AE846" s="7"/>
      <c r="AF846" s="7"/>
      <c r="AG846" s="7"/>
      <c r="AH846" s="1"/>
    </row>
    <row r="847">
      <c r="I847" s="391"/>
      <c r="W847" s="1"/>
      <c r="X847" s="1"/>
      <c r="Y847" s="7"/>
      <c r="Z847" s="7"/>
      <c r="AA847" s="1"/>
      <c r="AB847" s="7"/>
      <c r="AC847" s="7"/>
      <c r="AD847" s="7"/>
      <c r="AE847" s="7"/>
      <c r="AF847" s="7"/>
      <c r="AG847" s="7"/>
      <c r="AH847" s="1"/>
    </row>
    <row r="848">
      <c r="I848" s="391"/>
      <c r="W848" s="1"/>
      <c r="X848" s="1"/>
      <c r="Y848" s="7"/>
      <c r="Z848" s="7"/>
      <c r="AA848" s="1"/>
      <c r="AB848" s="7"/>
      <c r="AC848" s="7"/>
      <c r="AD848" s="7"/>
      <c r="AE848" s="7"/>
      <c r="AF848" s="7"/>
      <c r="AG848" s="7"/>
      <c r="AH848" s="1"/>
    </row>
    <row r="849">
      <c r="I849" s="391"/>
      <c r="W849" s="1"/>
      <c r="X849" s="1"/>
      <c r="Y849" s="7"/>
      <c r="Z849" s="7"/>
      <c r="AA849" s="1"/>
      <c r="AB849" s="7"/>
      <c r="AC849" s="7"/>
      <c r="AD849" s="7"/>
      <c r="AE849" s="7"/>
      <c r="AF849" s="7"/>
      <c r="AG849" s="7"/>
      <c r="AH849" s="1"/>
    </row>
    <row r="850">
      <c r="I850" s="391"/>
      <c r="W850" s="1"/>
      <c r="X850" s="1"/>
      <c r="Y850" s="7"/>
      <c r="Z850" s="7"/>
      <c r="AA850" s="1"/>
      <c r="AB850" s="7"/>
      <c r="AC850" s="7"/>
      <c r="AD850" s="7"/>
      <c r="AE850" s="7"/>
      <c r="AF850" s="7"/>
      <c r="AG850" s="7"/>
      <c r="AH850" s="1"/>
    </row>
    <row r="851">
      <c r="I851" s="391"/>
      <c r="W851" s="1"/>
      <c r="X851" s="1"/>
      <c r="Y851" s="7"/>
      <c r="Z851" s="7"/>
      <c r="AA851" s="1"/>
      <c r="AB851" s="7"/>
      <c r="AC851" s="7"/>
      <c r="AD851" s="7"/>
      <c r="AE851" s="7"/>
      <c r="AF851" s="7"/>
      <c r="AG851" s="7"/>
      <c r="AH851" s="1"/>
    </row>
    <row r="852">
      <c r="I852" s="391"/>
      <c r="W852" s="1"/>
      <c r="X852" s="1"/>
      <c r="Y852" s="7"/>
      <c r="Z852" s="7"/>
      <c r="AA852" s="1"/>
      <c r="AB852" s="7"/>
      <c r="AC852" s="7"/>
      <c r="AD852" s="7"/>
      <c r="AE852" s="7"/>
      <c r="AF852" s="7"/>
      <c r="AG852" s="7"/>
      <c r="AH852" s="1"/>
    </row>
    <row r="853">
      <c r="I853" s="391"/>
      <c r="W853" s="1"/>
      <c r="X853" s="1"/>
      <c r="Y853" s="7"/>
      <c r="Z853" s="7"/>
      <c r="AA853" s="1"/>
      <c r="AB853" s="7"/>
      <c r="AC853" s="7"/>
      <c r="AD853" s="7"/>
      <c r="AE853" s="7"/>
      <c r="AF853" s="7"/>
      <c r="AG853" s="7"/>
      <c r="AH853" s="1"/>
    </row>
    <row r="854">
      <c r="I854" s="391"/>
      <c r="W854" s="1"/>
      <c r="X854" s="1"/>
      <c r="Y854" s="7"/>
      <c r="Z854" s="7"/>
      <c r="AA854" s="1"/>
      <c r="AB854" s="7"/>
      <c r="AC854" s="7"/>
      <c r="AD854" s="7"/>
      <c r="AE854" s="7"/>
      <c r="AF854" s="7"/>
      <c r="AG854" s="7"/>
      <c r="AH854" s="1"/>
    </row>
    <row r="855">
      <c r="I855" s="391"/>
      <c r="W855" s="1"/>
      <c r="X855" s="1"/>
      <c r="Y855" s="7"/>
      <c r="Z855" s="7"/>
      <c r="AA855" s="1"/>
      <c r="AB855" s="7"/>
      <c r="AC855" s="7"/>
      <c r="AD855" s="7"/>
      <c r="AE855" s="7"/>
      <c r="AF855" s="7"/>
      <c r="AG855" s="7"/>
      <c r="AH855" s="1"/>
    </row>
    <row r="856">
      <c r="I856" s="391"/>
      <c r="W856" s="1"/>
      <c r="X856" s="1"/>
      <c r="Y856" s="7"/>
      <c r="Z856" s="7"/>
      <c r="AA856" s="1"/>
      <c r="AB856" s="7"/>
      <c r="AC856" s="7"/>
      <c r="AD856" s="7"/>
      <c r="AE856" s="7"/>
      <c r="AF856" s="7"/>
      <c r="AG856" s="7"/>
      <c r="AH856" s="1"/>
    </row>
    <row r="857">
      <c r="I857" s="391"/>
      <c r="W857" s="1"/>
      <c r="X857" s="1"/>
      <c r="Y857" s="7"/>
      <c r="Z857" s="7"/>
      <c r="AA857" s="1"/>
      <c r="AB857" s="7"/>
      <c r="AC857" s="7"/>
      <c r="AD857" s="7"/>
      <c r="AE857" s="7"/>
      <c r="AF857" s="7"/>
      <c r="AG857" s="7"/>
      <c r="AH857" s="1"/>
    </row>
    <row r="858">
      <c r="I858" s="391"/>
      <c r="W858" s="1"/>
      <c r="X858" s="1"/>
      <c r="Y858" s="7"/>
      <c r="Z858" s="7"/>
      <c r="AA858" s="1"/>
      <c r="AB858" s="7"/>
      <c r="AC858" s="7"/>
      <c r="AD858" s="7"/>
      <c r="AE858" s="7"/>
      <c r="AF858" s="7"/>
      <c r="AG858" s="7"/>
      <c r="AH858" s="1"/>
    </row>
    <row r="859">
      <c r="I859" s="391"/>
      <c r="W859" s="1"/>
      <c r="X859" s="1"/>
      <c r="Y859" s="7"/>
      <c r="Z859" s="7"/>
      <c r="AA859" s="1"/>
      <c r="AB859" s="7"/>
      <c r="AC859" s="7"/>
      <c r="AD859" s="7"/>
      <c r="AE859" s="7"/>
      <c r="AF859" s="7"/>
      <c r="AG859" s="7"/>
      <c r="AH859" s="1"/>
    </row>
    <row r="860">
      <c r="I860" s="391"/>
      <c r="W860" s="1"/>
      <c r="X860" s="1"/>
      <c r="Y860" s="7"/>
      <c r="Z860" s="7"/>
      <c r="AA860" s="1"/>
      <c r="AB860" s="7"/>
      <c r="AC860" s="7"/>
      <c r="AD860" s="7"/>
      <c r="AE860" s="7"/>
      <c r="AF860" s="7"/>
      <c r="AG860" s="7"/>
      <c r="AH860" s="1"/>
    </row>
    <row r="861">
      <c r="I861" s="391"/>
      <c r="W861" s="1"/>
      <c r="X861" s="1"/>
      <c r="Y861" s="7"/>
      <c r="Z861" s="7"/>
      <c r="AA861" s="1"/>
      <c r="AB861" s="7"/>
      <c r="AC861" s="7"/>
      <c r="AD861" s="7"/>
      <c r="AE861" s="7"/>
      <c r="AF861" s="7"/>
      <c r="AG861" s="7"/>
      <c r="AH861" s="1"/>
    </row>
    <row r="862">
      <c r="I862" s="391"/>
      <c r="W862" s="1"/>
      <c r="X862" s="1"/>
      <c r="Y862" s="7"/>
      <c r="Z862" s="7"/>
      <c r="AA862" s="1"/>
      <c r="AB862" s="7"/>
      <c r="AC862" s="7"/>
      <c r="AD862" s="7"/>
      <c r="AE862" s="7"/>
      <c r="AF862" s="7"/>
      <c r="AG862" s="7"/>
      <c r="AH862" s="1"/>
    </row>
    <row r="863">
      <c r="I863" s="391"/>
      <c r="W863" s="1"/>
      <c r="X863" s="1"/>
      <c r="Y863" s="7"/>
      <c r="Z863" s="7"/>
      <c r="AA863" s="1"/>
      <c r="AB863" s="7"/>
      <c r="AC863" s="7"/>
      <c r="AD863" s="7"/>
      <c r="AE863" s="7"/>
      <c r="AF863" s="7"/>
      <c r="AG863" s="7"/>
      <c r="AH863" s="1"/>
    </row>
    <row r="864">
      <c r="I864" s="391"/>
      <c r="W864" s="1"/>
      <c r="X864" s="1"/>
      <c r="Y864" s="7"/>
      <c r="Z864" s="7"/>
      <c r="AA864" s="1"/>
      <c r="AB864" s="7"/>
      <c r="AC864" s="7"/>
      <c r="AD864" s="7"/>
      <c r="AE864" s="7"/>
      <c r="AF864" s="7"/>
      <c r="AG864" s="7"/>
      <c r="AH864" s="1"/>
    </row>
    <row r="865">
      <c r="I865" s="391"/>
      <c r="W865" s="1"/>
      <c r="X865" s="1"/>
      <c r="Y865" s="7"/>
      <c r="Z865" s="7"/>
      <c r="AA865" s="1"/>
      <c r="AB865" s="7"/>
      <c r="AC865" s="7"/>
      <c r="AD865" s="7"/>
      <c r="AE865" s="7"/>
      <c r="AF865" s="7"/>
      <c r="AG865" s="7"/>
      <c r="AH865" s="1"/>
    </row>
    <row r="866">
      <c r="I866" s="391"/>
      <c r="W866" s="1"/>
      <c r="X866" s="1"/>
      <c r="Y866" s="7"/>
      <c r="Z866" s="7"/>
      <c r="AA866" s="1"/>
      <c r="AB866" s="7"/>
      <c r="AC866" s="7"/>
      <c r="AD866" s="7"/>
      <c r="AE866" s="7"/>
      <c r="AF866" s="7"/>
      <c r="AG866" s="7"/>
      <c r="AH866" s="1"/>
    </row>
    <row r="867">
      <c r="I867" s="391"/>
      <c r="W867" s="1"/>
      <c r="X867" s="1"/>
      <c r="Y867" s="7"/>
      <c r="Z867" s="7"/>
      <c r="AA867" s="1"/>
      <c r="AB867" s="7"/>
      <c r="AC867" s="7"/>
      <c r="AD867" s="7"/>
      <c r="AE867" s="7"/>
      <c r="AF867" s="7"/>
      <c r="AG867" s="7"/>
      <c r="AH867" s="1"/>
    </row>
    <row r="868">
      <c r="I868" s="391"/>
      <c r="W868" s="1"/>
      <c r="X868" s="1"/>
      <c r="Y868" s="7"/>
      <c r="Z868" s="7"/>
      <c r="AA868" s="1"/>
      <c r="AB868" s="7"/>
      <c r="AC868" s="7"/>
      <c r="AD868" s="7"/>
      <c r="AE868" s="7"/>
      <c r="AF868" s="7"/>
      <c r="AG868" s="7"/>
      <c r="AH868" s="1"/>
    </row>
    <row r="869">
      <c r="I869" s="391"/>
      <c r="W869" s="1"/>
      <c r="X869" s="1"/>
      <c r="Y869" s="7"/>
      <c r="Z869" s="7"/>
      <c r="AA869" s="1"/>
      <c r="AB869" s="7"/>
      <c r="AC869" s="7"/>
      <c r="AD869" s="7"/>
      <c r="AE869" s="7"/>
      <c r="AF869" s="7"/>
      <c r="AG869" s="7"/>
      <c r="AH869" s="1"/>
    </row>
    <row r="870">
      <c r="I870" s="391"/>
      <c r="W870" s="1"/>
      <c r="X870" s="1"/>
      <c r="Y870" s="7"/>
      <c r="Z870" s="7"/>
      <c r="AA870" s="1"/>
      <c r="AB870" s="7"/>
      <c r="AC870" s="7"/>
      <c r="AD870" s="7"/>
      <c r="AE870" s="7"/>
      <c r="AF870" s="7"/>
      <c r="AG870" s="7"/>
      <c r="AH870" s="1"/>
    </row>
    <row r="871">
      <c r="I871" s="391"/>
      <c r="W871" s="1"/>
      <c r="X871" s="1"/>
      <c r="Y871" s="7"/>
      <c r="Z871" s="7"/>
      <c r="AA871" s="1"/>
      <c r="AB871" s="7"/>
      <c r="AC871" s="7"/>
      <c r="AD871" s="7"/>
      <c r="AE871" s="7"/>
      <c r="AF871" s="7"/>
      <c r="AG871" s="7"/>
      <c r="AH871" s="1"/>
    </row>
    <row r="872">
      <c r="I872" s="391"/>
      <c r="W872" s="1"/>
      <c r="X872" s="1"/>
      <c r="Y872" s="7"/>
      <c r="Z872" s="7"/>
      <c r="AA872" s="1"/>
      <c r="AB872" s="7"/>
      <c r="AC872" s="7"/>
      <c r="AD872" s="7"/>
      <c r="AE872" s="7"/>
      <c r="AF872" s="7"/>
      <c r="AG872" s="7"/>
      <c r="AH872" s="1"/>
    </row>
    <row r="873">
      <c r="I873" s="391"/>
      <c r="W873" s="1"/>
      <c r="X873" s="1"/>
      <c r="Y873" s="7"/>
      <c r="Z873" s="7"/>
      <c r="AA873" s="1"/>
      <c r="AB873" s="7"/>
      <c r="AC873" s="7"/>
      <c r="AD873" s="7"/>
      <c r="AE873" s="7"/>
      <c r="AF873" s="7"/>
      <c r="AG873" s="7"/>
      <c r="AH873" s="1"/>
    </row>
    <row r="874">
      <c r="I874" s="391"/>
      <c r="W874" s="1"/>
      <c r="X874" s="1"/>
      <c r="Y874" s="7"/>
      <c r="Z874" s="7"/>
      <c r="AA874" s="1"/>
      <c r="AB874" s="7"/>
      <c r="AC874" s="7"/>
      <c r="AD874" s="7"/>
      <c r="AE874" s="7"/>
      <c r="AF874" s="7"/>
      <c r="AG874" s="7"/>
      <c r="AH874" s="1"/>
    </row>
    <row r="875">
      <c r="I875" s="391"/>
      <c r="W875" s="1"/>
      <c r="X875" s="1"/>
      <c r="Y875" s="7"/>
      <c r="Z875" s="7"/>
      <c r="AA875" s="1"/>
      <c r="AB875" s="7"/>
      <c r="AC875" s="7"/>
      <c r="AD875" s="7"/>
      <c r="AE875" s="7"/>
      <c r="AF875" s="7"/>
      <c r="AG875" s="7"/>
      <c r="AH875" s="1"/>
    </row>
    <row r="876">
      <c r="I876" s="391"/>
      <c r="W876" s="1"/>
      <c r="X876" s="1"/>
      <c r="Y876" s="7"/>
      <c r="Z876" s="7"/>
      <c r="AA876" s="1"/>
      <c r="AB876" s="7"/>
      <c r="AC876" s="7"/>
      <c r="AD876" s="7"/>
      <c r="AE876" s="7"/>
      <c r="AF876" s="7"/>
      <c r="AG876" s="7"/>
      <c r="AH876" s="1"/>
    </row>
    <row r="877">
      <c r="I877" s="391"/>
      <c r="W877" s="1"/>
      <c r="X877" s="1"/>
      <c r="Y877" s="7"/>
      <c r="Z877" s="7"/>
      <c r="AA877" s="1"/>
      <c r="AB877" s="7"/>
      <c r="AC877" s="7"/>
      <c r="AD877" s="7"/>
      <c r="AE877" s="7"/>
      <c r="AF877" s="7"/>
      <c r="AG877" s="7"/>
      <c r="AH877" s="1"/>
    </row>
    <row r="878">
      <c r="I878" s="391"/>
      <c r="W878" s="1"/>
      <c r="X878" s="1"/>
      <c r="Y878" s="7"/>
      <c r="Z878" s="7"/>
      <c r="AA878" s="1"/>
      <c r="AB878" s="7"/>
      <c r="AC878" s="7"/>
      <c r="AD878" s="7"/>
      <c r="AE878" s="7"/>
      <c r="AF878" s="7"/>
      <c r="AG878" s="7"/>
      <c r="AH878" s="1"/>
    </row>
    <row r="879">
      <c r="I879" s="391"/>
      <c r="W879" s="1"/>
      <c r="X879" s="1"/>
      <c r="Y879" s="7"/>
      <c r="Z879" s="7"/>
      <c r="AA879" s="1"/>
      <c r="AB879" s="7"/>
      <c r="AC879" s="7"/>
      <c r="AD879" s="7"/>
      <c r="AE879" s="7"/>
      <c r="AF879" s="7"/>
      <c r="AG879" s="7"/>
      <c r="AH879" s="1"/>
    </row>
    <row r="880">
      <c r="I880" s="391"/>
      <c r="W880" s="1"/>
      <c r="X880" s="1"/>
      <c r="Y880" s="7"/>
      <c r="Z880" s="7"/>
      <c r="AA880" s="1"/>
      <c r="AB880" s="7"/>
      <c r="AC880" s="7"/>
      <c r="AD880" s="7"/>
      <c r="AE880" s="7"/>
      <c r="AF880" s="7"/>
      <c r="AG880" s="7"/>
      <c r="AH880" s="1"/>
    </row>
    <row r="881">
      <c r="I881" s="391"/>
      <c r="W881" s="1"/>
      <c r="X881" s="1"/>
      <c r="Y881" s="7"/>
      <c r="Z881" s="7"/>
      <c r="AA881" s="1"/>
      <c r="AB881" s="7"/>
      <c r="AC881" s="7"/>
      <c r="AD881" s="7"/>
      <c r="AE881" s="7"/>
      <c r="AF881" s="7"/>
      <c r="AG881" s="7"/>
      <c r="AH881" s="1"/>
    </row>
    <row r="882">
      <c r="I882" s="391"/>
      <c r="W882" s="1"/>
      <c r="X882" s="1"/>
      <c r="Y882" s="7"/>
      <c r="Z882" s="7"/>
      <c r="AA882" s="1"/>
      <c r="AB882" s="7"/>
      <c r="AC882" s="7"/>
      <c r="AD882" s="7"/>
      <c r="AE882" s="7"/>
      <c r="AF882" s="7"/>
      <c r="AG882" s="7"/>
      <c r="AH882" s="1"/>
    </row>
    <row r="883">
      <c r="I883" s="391"/>
      <c r="W883" s="1"/>
      <c r="X883" s="1"/>
      <c r="Y883" s="7"/>
      <c r="Z883" s="7"/>
      <c r="AA883" s="1"/>
      <c r="AB883" s="7"/>
      <c r="AC883" s="7"/>
      <c r="AD883" s="7"/>
      <c r="AE883" s="7"/>
      <c r="AF883" s="7"/>
      <c r="AG883" s="7"/>
      <c r="AH883" s="1"/>
    </row>
    <row r="884">
      <c r="I884" s="391"/>
      <c r="W884" s="1"/>
      <c r="X884" s="1"/>
      <c r="Y884" s="7"/>
      <c r="Z884" s="7"/>
      <c r="AA884" s="1"/>
      <c r="AB884" s="7"/>
      <c r="AC884" s="7"/>
      <c r="AD884" s="7"/>
      <c r="AE884" s="7"/>
      <c r="AF884" s="7"/>
      <c r="AG884" s="7"/>
      <c r="AH884" s="1"/>
    </row>
    <row r="885">
      <c r="I885" s="391"/>
      <c r="W885" s="1"/>
      <c r="X885" s="1"/>
      <c r="Y885" s="7"/>
      <c r="Z885" s="7"/>
      <c r="AA885" s="1"/>
      <c r="AB885" s="7"/>
      <c r="AC885" s="7"/>
      <c r="AD885" s="7"/>
      <c r="AE885" s="7"/>
      <c r="AF885" s="7"/>
      <c r="AG885" s="7"/>
      <c r="AH885" s="1"/>
    </row>
    <row r="886">
      <c r="I886" s="391"/>
      <c r="W886" s="1"/>
      <c r="X886" s="1"/>
      <c r="Y886" s="7"/>
      <c r="Z886" s="7"/>
      <c r="AA886" s="1"/>
      <c r="AB886" s="7"/>
      <c r="AC886" s="7"/>
      <c r="AD886" s="7"/>
      <c r="AE886" s="7"/>
      <c r="AF886" s="7"/>
      <c r="AG886" s="7"/>
      <c r="AH886" s="1"/>
    </row>
    <row r="887">
      <c r="I887" s="391"/>
      <c r="W887" s="1"/>
      <c r="X887" s="1"/>
      <c r="Y887" s="7"/>
      <c r="Z887" s="7"/>
      <c r="AA887" s="1"/>
      <c r="AB887" s="7"/>
      <c r="AC887" s="7"/>
      <c r="AD887" s="7"/>
      <c r="AE887" s="7"/>
      <c r="AF887" s="7"/>
      <c r="AG887" s="7"/>
      <c r="AH887" s="1"/>
    </row>
    <row r="888">
      <c r="I888" s="391"/>
      <c r="W888" s="1"/>
      <c r="X888" s="1"/>
      <c r="Y888" s="7"/>
      <c r="Z888" s="7"/>
      <c r="AA888" s="1"/>
      <c r="AB888" s="7"/>
      <c r="AC888" s="7"/>
      <c r="AD888" s="7"/>
      <c r="AE888" s="7"/>
      <c r="AF888" s="7"/>
      <c r="AG888" s="7"/>
      <c r="AH888" s="1"/>
    </row>
    <row r="889">
      <c r="I889" s="391"/>
      <c r="W889" s="1"/>
      <c r="X889" s="1"/>
      <c r="Y889" s="7"/>
      <c r="Z889" s="7"/>
      <c r="AA889" s="1"/>
      <c r="AB889" s="7"/>
      <c r="AC889" s="7"/>
      <c r="AD889" s="7"/>
      <c r="AE889" s="7"/>
      <c r="AF889" s="7"/>
      <c r="AG889" s="7"/>
      <c r="AH889" s="1"/>
    </row>
    <row r="890">
      <c r="I890" s="391"/>
      <c r="W890" s="1"/>
      <c r="X890" s="1"/>
      <c r="Y890" s="7"/>
      <c r="Z890" s="7"/>
      <c r="AA890" s="1"/>
      <c r="AB890" s="7"/>
      <c r="AC890" s="7"/>
      <c r="AD890" s="7"/>
      <c r="AE890" s="7"/>
      <c r="AF890" s="7"/>
      <c r="AG890" s="7"/>
      <c r="AH890" s="1"/>
    </row>
    <row r="891">
      <c r="I891" s="391"/>
      <c r="W891" s="1"/>
      <c r="X891" s="1"/>
      <c r="Y891" s="7"/>
      <c r="Z891" s="7"/>
      <c r="AA891" s="1"/>
      <c r="AB891" s="7"/>
      <c r="AC891" s="7"/>
      <c r="AD891" s="7"/>
      <c r="AE891" s="7"/>
      <c r="AF891" s="7"/>
      <c r="AG891" s="7"/>
      <c r="AH891" s="1"/>
    </row>
    <row r="892">
      <c r="I892" s="391"/>
      <c r="W892" s="1"/>
      <c r="X892" s="1"/>
      <c r="Y892" s="7"/>
      <c r="Z892" s="7"/>
      <c r="AA892" s="1"/>
      <c r="AB892" s="7"/>
      <c r="AC892" s="7"/>
      <c r="AD892" s="7"/>
      <c r="AE892" s="7"/>
      <c r="AF892" s="7"/>
      <c r="AG892" s="7"/>
      <c r="AH892" s="1"/>
    </row>
    <row r="893">
      <c r="I893" s="391"/>
      <c r="W893" s="1"/>
      <c r="X893" s="1"/>
      <c r="Y893" s="7"/>
      <c r="Z893" s="7"/>
      <c r="AA893" s="1"/>
      <c r="AB893" s="7"/>
      <c r="AC893" s="7"/>
      <c r="AD893" s="7"/>
      <c r="AE893" s="7"/>
      <c r="AF893" s="7"/>
      <c r="AG893" s="7"/>
      <c r="AH893" s="1"/>
    </row>
    <row r="894">
      <c r="I894" s="391"/>
      <c r="W894" s="1"/>
      <c r="X894" s="1"/>
      <c r="Y894" s="7"/>
      <c r="Z894" s="7"/>
      <c r="AA894" s="1"/>
      <c r="AB894" s="7"/>
      <c r="AC894" s="7"/>
      <c r="AD894" s="7"/>
      <c r="AE894" s="7"/>
      <c r="AF894" s="7"/>
      <c r="AG894" s="7"/>
      <c r="AH894" s="1"/>
    </row>
    <row r="895">
      <c r="I895" s="391"/>
      <c r="W895" s="1"/>
      <c r="X895" s="1"/>
      <c r="Y895" s="7"/>
      <c r="Z895" s="7"/>
      <c r="AA895" s="1"/>
      <c r="AB895" s="7"/>
      <c r="AC895" s="7"/>
      <c r="AD895" s="7"/>
      <c r="AE895" s="7"/>
      <c r="AF895" s="7"/>
      <c r="AG895" s="7"/>
      <c r="AH895" s="1"/>
    </row>
    <row r="896">
      <c r="I896" s="391"/>
      <c r="W896" s="1"/>
      <c r="X896" s="1"/>
      <c r="Y896" s="7"/>
      <c r="Z896" s="7"/>
      <c r="AA896" s="1"/>
      <c r="AB896" s="7"/>
      <c r="AC896" s="7"/>
      <c r="AD896" s="7"/>
      <c r="AE896" s="7"/>
      <c r="AF896" s="7"/>
      <c r="AG896" s="7"/>
      <c r="AH896" s="1"/>
    </row>
    <row r="897">
      <c r="I897" s="391"/>
      <c r="W897" s="1"/>
      <c r="X897" s="1"/>
      <c r="Y897" s="7"/>
      <c r="Z897" s="7"/>
      <c r="AA897" s="1"/>
      <c r="AB897" s="7"/>
      <c r="AC897" s="7"/>
      <c r="AD897" s="7"/>
      <c r="AE897" s="7"/>
      <c r="AF897" s="7"/>
      <c r="AG897" s="7"/>
      <c r="AH897" s="1"/>
    </row>
    <row r="898">
      <c r="I898" s="391"/>
      <c r="W898" s="1"/>
      <c r="X898" s="1"/>
      <c r="Y898" s="7"/>
      <c r="Z898" s="7"/>
      <c r="AA898" s="1"/>
      <c r="AB898" s="7"/>
      <c r="AC898" s="7"/>
      <c r="AD898" s="7"/>
      <c r="AE898" s="7"/>
      <c r="AF898" s="7"/>
      <c r="AG898" s="7"/>
      <c r="AH898" s="1"/>
    </row>
    <row r="899">
      <c r="I899" s="391"/>
      <c r="W899" s="1"/>
      <c r="X899" s="1"/>
      <c r="Y899" s="7"/>
      <c r="Z899" s="7"/>
      <c r="AA899" s="1"/>
      <c r="AB899" s="7"/>
      <c r="AC899" s="7"/>
      <c r="AD899" s="7"/>
      <c r="AE899" s="7"/>
      <c r="AF899" s="7"/>
      <c r="AG899" s="7"/>
      <c r="AH899" s="1"/>
    </row>
    <row r="900">
      <c r="I900" s="391"/>
      <c r="W900" s="1"/>
      <c r="X900" s="1"/>
      <c r="Y900" s="7"/>
      <c r="Z900" s="7"/>
      <c r="AA900" s="1"/>
      <c r="AB900" s="7"/>
      <c r="AC900" s="7"/>
      <c r="AD900" s="7"/>
      <c r="AE900" s="7"/>
      <c r="AF900" s="7"/>
      <c r="AG900" s="7"/>
      <c r="AH900" s="1"/>
    </row>
    <row r="901">
      <c r="I901" s="391"/>
      <c r="W901" s="1"/>
      <c r="X901" s="1"/>
      <c r="Y901" s="7"/>
      <c r="Z901" s="7"/>
      <c r="AA901" s="1"/>
      <c r="AB901" s="7"/>
      <c r="AC901" s="7"/>
      <c r="AD901" s="7"/>
      <c r="AE901" s="7"/>
      <c r="AF901" s="7"/>
      <c r="AG901" s="7"/>
      <c r="AH901" s="1"/>
    </row>
    <row r="902">
      <c r="I902" s="391"/>
      <c r="W902" s="1"/>
      <c r="X902" s="1"/>
      <c r="Y902" s="7"/>
      <c r="Z902" s="7"/>
      <c r="AA902" s="1"/>
      <c r="AB902" s="7"/>
      <c r="AC902" s="7"/>
      <c r="AD902" s="7"/>
      <c r="AE902" s="7"/>
      <c r="AF902" s="7"/>
      <c r="AG902" s="7"/>
      <c r="AH902" s="1"/>
    </row>
    <row r="903">
      <c r="I903" s="391"/>
      <c r="W903" s="1"/>
      <c r="X903" s="1"/>
      <c r="Y903" s="7"/>
      <c r="Z903" s="7"/>
      <c r="AA903" s="1"/>
      <c r="AB903" s="7"/>
      <c r="AC903" s="7"/>
      <c r="AD903" s="7"/>
      <c r="AE903" s="7"/>
      <c r="AF903" s="7"/>
      <c r="AG903" s="7"/>
      <c r="AH903" s="1"/>
    </row>
    <row r="904">
      <c r="I904" s="391"/>
      <c r="W904" s="1"/>
      <c r="X904" s="1"/>
      <c r="Y904" s="7"/>
      <c r="Z904" s="7"/>
      <c r="AA904" s="1"/>
      <c r="AB904" s="7"/>
      <c r="AC904" s="7"/>
      <c r="AD904" s="7"/>
      <c r="AE904" s="7"/>
      <c r="AF904" s="7"/>
      <c r="AG904" s="7"/>
      <c r="AH904" s="1"/>
    </row>
    <row r="905">
      <c r="I905" s="391"/>
      <c r="W905" s="1"/>
      <c r="X905" s="1"/>
      <c r="Y905" s="7"/>
      <c r="Z905" s="7"/>
      <c r="AA905" s="1"/>
      <c r="AB905" s="7"/>
      <c r="AC905" s="7"/>
      <c r="AD905" s="7"/>
      <c r="AE905" s="7"/>
      <c r="AF905" s="7"/>
      <c r="AG905" s="7"/>
      <c r="AH905" s="1"/>
    </row>
    <row r="906">
      <c r="I906" s="391"/>
      <c r="W906" s="1"/>
      <c r="X906" s="1"/>
      <c r="Y906" s="7"/>
      <c r="Z906" s="7"/>
      <c r="AA906" s="1"/>
      <c r="AB906" s="7"/>
      <c r="AC906" s="7"/>
      <c r="AD906" s="7"/>
      <c r="AE906" s="7"/>
      <c r="AF906" s="7"/>
      <c r="AG906" s="7"/>
      <c r="AH906" s="1"/>
    </row>
    <row r="907">
      <c r="I907" s="391"/>
      <c r="W907" s="1"/>
      <c r="X907" s="1"/>
      <c r="Y907" s="7"/>
      <c r="Z907" s="7"/>
      <c r="AA907" s="1"/>
      <c r="AB907" s="7"/>
      <c r="AC907" s="7"/>
      <c r="AD907" s="7"/>
      <c r="AE907" s="7"/>
      <c r="AF907" s="7"/>
      <c r="AG907" s="7"/>
      <c r="AH907" s="1"/>
    </row>
    <row r="908">
      <c r="I908" s="391"/>
      <c r="W908" s="1"/>
      <c r="X908" s="1"/>
      <c r="Y908" s="7"/>
      <c r="Z908" s="7"/>
      <c r="AA908" s="1"/>
      <c r="AB908" s="7"/>
      <c r="AC908" s="7"/>
      <c r="AD908" s="7"/>
      <c r="AE908" s="7"/>
      <c r="AF908" s="7"/>
      <c r="AG908" s="7"/>
      <c r="AH908" s="1"/>
    </row>
    <row r="909">
      <c r="I909" s="391"/>
      <c r="W909" s="1"/>
      <c r="X909" s="1"/>
      <c r="Y909" s="7"/>
      <c r="Z909" s="7"/>
      <c r="AA909" s="1"/>
      <c r="AB909" s="7"/>
      <c r="AC909" s="7"/>
      <c r="AD909" s="7"/>
      <c r="AE909" s="7"/>
      <c r="AF909" s="7"/>
      <c r="AG909" s="7"/>
      <c r="AH909" s="1"/>
    </row>
    <row r="910">
      <c r="I910" s="391"/>
      <c r="W910" s="1"/>
      <c r="X910" s="1"/>
      <c r="Y910" s="7"/>
      <c r="Z910" s="7"/>
      <c r="AA910" s="1"/>
      <c r="AB910" s="7"/>
      <c r="AC910" s="7"/>
      <c r="AD910" s="7"/>
      <c r="AE910" s="7"/>
      <c r="AF910" s="7"/>
      <c r="AG910" s="7"/>
      <c r="AH910" s="1"/>
    </row>
    <row r="911">
      <c r="I911" s="391"/>
      <c r="W911" s="1"/>
      <c r="X911" s="1"/>
      <c r="Y911" s="7"/>
      <c r="Z911" s="7"/>
      <c r="AA911" s="1"/>
      <c r="AB911" s="7"/>
      <c r="AC911" s="7"/>
      <c r="AD911" s="7"/>
      <c r="AE911" s="7"/>
      <c r="AF911" s="7"/>
      <c r="AG911" s="7"/>
      <c r="AH911" s="1"/>
    </row>
    <row r="912">
      <c r="I912" s="391"/>
      <c r="W912" s="1"/>
      <c r="X912" s="1"/>
      <c r="Y912" s="7"/>
      <c r="Z912" s="7"/>
      <c r="AA912" s="1"/>
      <c r="AB912" s="7"/>
      <c r="AC912" s="7"/>
      <c r="AD912" s="7"/>
      <c r="AE912" s="7"/>
      <c r="AF912" s="7"/>
      <c r="AG912" s="7"/>
      <c r="AH912" s="1"/>
    </row>
    <row r="913">
      <c r="I913" s="391"/>
      <c r="W913" s="1"/>
      <c r="X913" s="1"/>
      <c r="Y913" s="7"/>
      <c r="Z913" s="7"/>
      <c r="AA913" s="1"/>
      <c r="AB913" s="7"/>
      <c r="AC913" s="7"/>
      <c r="AD913" s="7"/>
      <c r="AE913" s="7"/>
      <c r="AF913" s="7"/>
      <c r="AG913" s="7"/>
      <c r="AH913" s="1"/>
    </row>
    <row r="914">
      <c r="I914" s="391"/>
      <c r="W914" s="1"/>
      <c r="X914" s="1"/>
      <c r="Y914" s="7"/>
      <c r="Z914" s="7"/>
      <c r="AA914" s="1"/>
      <c r="AB914" s="7"/>
      <c r="AC914" s="7"/>
      <c r="AD914" s="7"/>
      <c r="AE914" s="7"/>
      <c r="AF914" s="7"/>
      <c r="AG914" s="7"/>
      <c r="AH914" s="1"/>
    </row>
    <row r="915">
      <c r="I915" s="391"/>
      <c r="W915" s="1"/>
      <c r="X915" s="1"/>
      <c r="Y915" s="7"/>
      <c r="Z915" s="7"/>
      <c r="AA915" s="1"/>
      <c r="AB915" s="7"/>
      <c r="AC915" s="7"/>
      <c r="AD915" s="7"/>
      <c r="AE915" s="7"/>
      <c r="AF915" s="7"/>
      <c r="AG915" s="7"/>
      <c r="AH915" s="1"/>
    </row>
    <row r="916">
      <c r="I916" s="391"/>
      <c r="W916" s="1"/>
      <c r="X916" s="1"/>
      <c r="Y916" s="7"/>
      <c r="Z916" s="7"/>
      <c r="AA916" s="1"/>
      <c r="AB916" s="7"/>
      <c r="AC916" s="7"/>
      <c r="AD916" s="7"/>
      <c r="AE916" s="7"/>
      <c r="AF916" s="7"/>
      <c r="AG916" s="7"/>
      <c r="AH916" s="1"/>
    </row>
    <row r="917">
      <c r="I917" s="391"/>
      <c r="W917" s="1"/>
      <c r="X917" s="1"/>
      <c r="Y917" s="7"/>
      <c r="Z917" s="7"/>
      <c r="AA917" s="1"/>
      <c r="AB917" s="7"/>
      <c r="AC917" s="7"/>
      <c r="AD917" s="7"/>
      <c r="AE917" s="7"/>
      <c r="AF917" s="7"/>
      <c r="AG917" s="7"/>
      <c r="AH917" s="1"/>
    </row>
    <row r="918">
      <c r="I918" s="391"/>
      <c r="W918" s="1"/>
      <c r="X918" s="1"/>
      <c r="Y918" s="7"/>
      <c r="Z918" s="7"/>
      <c r="AA918" s="1"/>
      <c r="AB918" s="7"/>
      <c r="AC918" s="7"/>
      <c r="AD918" s="7"/>
      <c r="AE918" s="7"/>
      <c r="AF918" s="7"/>
      <c r="AG918" s="7"/>
      <c r="AH918" s="1"/>
    </row>
    <row r="919">
      <c r="I919" s="391"/>
      <c r="W919" s="1"/>
      <c r="X919" s="1"/>
      <c r="Y919" s="7"/>
      <c r="Z919" s="7"/>
      <c r="AA919" s="1"/>
      <c r="AB919" s="7"/>
      <c r="AC919" s="7"/>
      <c r="AD919" s="7"/>
      <c r="AE919" s="7"/>
      <c r="AF919" s="7"/>
      <c r="AG919" s="7"/>
      <c r="AH919" s="1"/>
    </row>
    <row r="920">
      <c r="I920" s="391"/>
      <c r="W920" s="1"/>
      <c r="X920" s="1"/>
      <c r="Y920" s="7"/>
      <c r="Z920" s="7"/>
      <c r="AA920" s="1"/>
      <c r="AB920" s="7"/>
      <c r="AC920" s="7"/>
      <c r="AD920" s="7"/>
      <c r="AE920" s="7"/>
      <c r="AF920" s="7"/>
      <c r="AG920" s="7"/>
      <c r="AH920" s="1"/>
    </row>
    <row r="921">
      <c r="I921" s="391"/>
      <c r="W921" s="1"/>
      <c r="X921" s="1"/>
      <c r="Y921" s="7"/>
      <c r="Z921" s="7"/>
      <c r="AA921" s="1"/>
      <c r="AB921" s="7"/>
      <c r="AC921" s="7"/>
      <c r="AD921" s="7"/>
      <c r="AE921" s="7"/>
      <c r="AF921" s="7"/>
      <c r="AG921" s="7"/>
      <c r="AH921" s="1"/>
    </row>
    <row r="922">
      <c r="I922" s="391"/>
      <c r="W922" s="1"/>
      <c r="X922" s="1"/>
      <c r="Y922" s="7"/>
      <c r="Z922" s="7"/>
      <c r="AA922" s="1"/>
      <c r="AB922" s="7"/>
      <c r="AC922" s="7"/>
      <c r="AD922" s="7"/>
      <c r="AE922" s="7"/>
      <c r="AF922" s="7"/>
      <c r="AG922" s="7"/>
      <c r="AH922" s="1"/>
    </row>
    <row r="923">
      <c r="I923" s="391"/>
      <c r="W923" s="1"/>
      <c r="X923" s="1"/>
      <c r="Y923" s="7"/>
      <c r="Z923" s="7"/>
      <c r="AA923" s="1"/>
      <c r="AB923" s="7"/>
      <c r="AC923" s="7"/>
      <c r="AD923" s="7"/>
      <c r="AE923" s="7"/>
      <c r="AF923" s="7"/>
      <c r="AG923" s="7"/>
      <c r="AH923" s="1"/>
    </row>
    <row r="924">
      <c r="I924" s="391"/>
      <c r="W924" s="1"/>
      <c r="X924" s="1"/>
      <c r="Y924" s="7"/>
      <c r="Z924" s="7"/>
      <c r="AA924" s="1"/>
      <c r="AB924" s="7"/>
      <c r="AC924" s="7"/>
      <c r="AD924" s="7"/>
      <c r="AE924" s="7"/>
      <c r="AF924" s="7"/>
      <c r="AG924" s="7"/>
      <c r="AH924" s="1"/>
    </row>
    <row r="925">
      <c r="I925" s="391"/>
      <c r="W925" s="1"/>
      <c r="X925" s="1"/>
      <c r="Y925" s="7"/>
      <c r="Z925" s="7"/>
      <c r="AA925" s="1"/>
      <c r="AB925" s="7"/>
      <c r="AC925" s="7"/>
      <c r="AD925" s="7"/>
      <c r="AE925" s="7"/>
      <c r="AF925" s="7"/>
      <c r="AG925" s="7"/>
      <c r="AH925" s="1"/>
    </row>
    <row r="926">
      <c r="I926" s="391"/>
      <c r="W926" s="1"/>
      <c r="X926" s="1"/>
      <c r="Y926" s="7"/>
      <c r="Z926" s="7"/>
      <c r="AA926" s="1"/>
      <c r="AB926" s="7"/>
      <c r="AC926" s="7"/>
      <c r="AD926" s="7"/>
      <c r="AE926" s="7"/>
      <c r="AF926" s="7"/>
      <c r="AG926" s="7"/>
      <c r="AH926" s="1"/>
    </row>
    <row r="927">
      <c r="I927" s="391"/>
      <c r="W927" s="1"/>
      <c r="X927" s="1"/>
      <c r="Y927" s="7"/>
      <c r="Z927" s="7"/>
      <c r="AA927" s="1"/>
      <c r="AB927" s="7"/>
      <c r="AC927" s="7"/>
      <c r="AD927" s="7"/>
      <c r="AE927" s="7"/>
      <c r="AF927" s="7"/>
      <c r="AG927" s="7"/>
      <c r="AH927" s="1"/>
    </row>
    <row r="928">
      <c r="I928" s="391"/>
      <c r="W928" s="1"/>
      <c r="X928" s="1"/>
      <c r="Y928" s="7"/>
      <c r="Z928" s="7"/>
      <c r="AA928" s="1"/>
      <c r="AB928" s="7"/>
      <c r="AC928" s="7"/>
      <c r="AD928" s="7"/>
      <c r="AE928" s="7"/>
      <c r="AF928" s="7"/>
      <c r="AG928" s="7"/>
      <c r="AH928" s="1"/>
    </row>
    <row r="929">
      <c r="I929" s="391"/>
      <c r="W929" s="1"/>
      <c r="X929" s="1"/>
      <c r="Y929" s="7"/>
      <c r="Z929" s="7"/>
      <c r="AA929" s="1"/>
      <c r="AB929" s="7"/>
      <c r="AC929" s="7"/>
      <c r="AD929" s="7"/>
      <c r="AE929" s="7"/>
      <c r="AF929" s="7"/>
      <c r="AG929" s="7"/>
      <c r="AH929" s="1"/>
    </row>
    <row r="930">
      <c r="I930" s="391"/>
      <c r="W930" s="1"/>
      <c r="X930" s="1"/>
      <c r="Y930" s="7"/>
      <c r="Z930" s="7"/>
      <c r="AA930" s="1"/>
      <c r="AB930" s="7"/>
      <c r="AC930" s="7"/>
      <c r="AD930" s="7"/>
      <c r="AE930" s="7"/>
      <c r="AF930" s="7"/>
      <c r="AG930" s="7"/>
      <c r="AH930" s="1"/>
    </row>
    <row r="931">
      <c r="I931" s="391"/>
      <c r="W931" s="1"/>
      <c r="X931" s="1"/>
      <c r="Y931" s="7"/>
      <c r="Z931" s="7"/>
      <c r="AA931" s="1"/>
      <c r="AB931" s="7"/>
      <c r="AC931" s="7"/>
      <c r="AD931" s="7"/>
      <c r="AE931" s="7"/>
      <c r="AF931" s="7"/>
      <c r="AG931" s="7"/>
      <c r="AH931" s="1"/>
    </row>
    <row r="932">
      <c r="I932" s="391"/>
      <c r="W932" s="1"/>
      <c r="X932" s="1"/>
      <c r="Y932" s="7"/>
      <c r="Z932" s="7"/>
      <c r="AA932" s="1"/>
      <c r="AB932" s="7"/>
      <c r="AC932" s="7"/>
      <c r="AD932" s="7"/>
      <c r="AE932" s="7"/>
      <c r="AF932" s="7"/>
      <c r="AG932" s="7"/>
      <c r="AH932" s="1"/>
    </row>
    <row r="933">
      <c r="I933" s="391"/>
      <c r="W933" s="1"/>
      <c r="X933" s="1"/>
      <c r="Y933" s="7"/>
      <c r="Z933" s="7"/>
      <c r="AA933" s="1"/>
      <c r="AB933" s="7"/>
      <c r="AC933" s="7"/>
      <c r="AD933" s="7"/>
      <c r="AE933" s="7"/>
      <c r="AF933" s="7"/>
      <c r="AG933" s="7"/>
      <c r="AH933" s="1"/>
    </row>
    <row r="934">
      <c r="I934" s="391"/>
      <c r="W934" s="1"/>
      <c r="X934" s="1"/>
      <c r="Y934" s="7"/>
      <c r="Z934" s="7"/>
      <c r="AA934" s="1"/>
      <c r="AB934" s="7"/>
      <c r="AC934" s="7"/>
      <c r="AD934" s="7"/>
      <c r="AE934" s="7"/>
      <c r="AF934" s="7"/>
      <c r="AG934" s="7"/>
      <c r="AH934" s="1"/>
    </row>
    <row r="935">
      <c r="I935" s="391"/>
      <c r="W935" s="1"/>
      <c r="X935" s="1"/>
      <c r="Y935" s="7"/>
      <c r="Z935" s="7"/>
      <c r="AA935" s="1"/>
      <c r="AB935" s="7"/>
      <c r="AC935" s="7"/>
      <c r="AD935" s="7"/>
      <c r="AE935" s="7"/>
      <c r="AF935" s="7"/>
      <c r="AG935" s="7"/>
      <c r="AH935" s="1"/>
    </row>
    <row r="936">
      <c r="I936" s="391"/>
      <c r="W936" s="1"/>
      <c r="X936" s="1"/>
      <c r="Y936" s="7"/>
      <c r="Z936" s="7"/>
      <c r="AA936" s="1"/>
      <c r="AB936" s="7"/>
      <c r="AC936" s="7"/>
      <c r="AD936" s="7"/>
      <c r="AE936" s="7"/>
      <c r="AF936" s="7"/>
      <c r="AG936" s="7"/>
      <c r="AH936" s="1"/>
    </row>
    <row r="937">
      <c r="I937" s="391"/>
      <c r="W937" s="1"/>
      <c r="X937" s="1"/>
      <c r="Y937" s="7"/>
      <c r="Z937" s="7"/>
      <c r="AA937" s="1"/>
      <c r="AB937" s="7"/>
      <c r="AC937" s="7"/>
      <c r="AD937" s="7"/>
      <c r="AE937" s="7"/>
      <c r="AF937" s="7"/>
      <c r="AG937" s="7"/>
      <c r="AH937" s="1"/>
    </row>
    <row r="938">
      <c r="I938" s="391"/>
      <c r="W938" s="1"/>
      <c r="X938" s="1"/>
      <c r="Y938" s="7"/>
      <c r="Z938" s="7"/>
      <c r="AA938" s="1"/>
      <c r="AB938" s="7"/>
      <c r="AC938" s="7"/>
      <c r="AD938" s="7"/>
      <c r="AE938" s="7"/>
      <c r="AF938" s="7"/>
      <c r="AG938" s="7"/>
      <c r="AH938" s="1"/>
    </row>
    <row r="939">
      <c r="I939" s="391"/>
      <c r="W939" s="1"/>
      <c r="X939" s="1"/>
      <c r="Y939" s="7"/>
      <c r="Z939" s="7"/>
      <c r="AA939" s="1"/>
      <c r="AB939" s="7"/>
      <c r="AC939" s="7"/>
      <c r="AD939" s="7"/>
      <c r="AE939" s="7"/>
      <c r="AF939" s="7"/>
      <c r="AG939" s="7"/>
      <c r="AH939" s="1"/>
    </row>
    <row r="940">
      <c r="I940" s="391"/>
      <c r="W940" s="1"/>
      <c r="X940" s="1"/>
      <c r="Y940" s="7"/>
      <c r="Z940" s="7"/>
      <c r="AA940" s="1"/>
      <c r="AB940" s="7"/>
      <c r="AC940" s="7"/>
      <c r="AD940" s="7"/>
      <c r="AE940" s="7"/>
      <c r="AF940" s="7"/>
      <c r="AG940" s="7"/>
      <c r="AH940" s="1"/>
    </row>
    <row r="941">
      <c r="I941" s="391"/>
      <c r="W941" s="1"/>
      <c r="X941" s="1"/>
      <c r="Y941" s="7"/>
      <c r="Z941" s="7"/>
      <c r="AA941" s="1"/>
      <c r="AB941" s="7"/>
      <c r="AC941" s="7"/>
      <c r="AD941" s="7"/>
      <c r="AE941" s="7"/>
      <c r="AF941" s="7"/>
      <c r="AG941" s="7"/>
      <c r="AH941" s="1"/>
    </row>
    <row r="942">
      <c r="I942" s="391"/>
      <c r="W942" s="1"/>
      <c r="X942" s="1"/>
      <c r="Y942" s="7"/>
      <c r="Z942" s="7"/>
      <c r="AA942" s="1"/>
      <c r="AB942" s="7"/>
      <c r="AC942" s="7"/>
      <c r="AD942" s="7"/>
      <c r="AE942" s="7"/>
      <c r="AF942" s="7"/>
      <c r="AG942" s="7"/>
      <c r="AH942" s="1"/>
    </row>
    <row r="943">
      <c r="I943" s="391"/>
      <c r="W943" s="1"/>
      <c r="X943" s="1"/>
      <c r="Y943" s="7"/>
      <c r="Z943" s="7"/>
      <c r="AA943" s="1"/>
      <c r="AB943" s="7"/>
      <c r="AC943" s="7"/>
      <c r="AD943" s="7"/>
      <c r="AE943" s="7"/>
      <c r="AF943" s="7"/>
      <c r="AG943" s="7"/>
      <c r="AH943" s="1"/>
    </row>
    <row r="944">
      <c r="I944" s="391"/>
      <c r="W944" s="1"/>
      <c r="X944" s="1"/>
      <c r="Y944" s="7"/>
      <c r="Z944" s="7"/>
      <c r="AA944" s="1"/>
      <c r="AB944" s="7"/>
      <c r="AC944" s="7"/>
      <c r="AD944" s="7"/>
      <c r="AE944" s="7"/>
      <c r="AF944" s="7"/>
      <c r="AG944" s="7"/>
      <c r="AH944" s="1"/>
    </row>
    <row r="945">
      <c r="I945" s="391"/>
      <c r="W945" s="1"/>
      <c r="X945" s="1"/>
      <c r="Y945" s="7"/>
      <c r="Z945" s="7"/>
      <c r="AA945" s="1"/>
      <c r="AB945" s="7"/>
      <c r="AC945" s="7"/>
      <c r="AD945" s="7"/>
      <c r="AE945" s="7"/>
      <c r="AF945" s="7"/>
      <c r="AG945" s="7"/>
      <c r="AH945" s="1"/>
    </row>
    <row r="946">
      <c r="I946" s="391"/>
      <c r="W946" s="1"/>
      <c r="X946" s="1"/>
      <c r="Y946" s="7"/>
      <c r="Z946" s="7"/>
      <c r="AA946" s="1"/>
      <c r="AB946" s="7"/>
      <c r="AC946" s="7"/>
      <c r="AD946" s="7"/>
      <c r="AE946" s="7"/>
      <c r="AF946" s="7"/>
      <c r="AG946" s="7"/>
      <c r="AH946" s="1"/>
    </row>
    <row r="947">
      <c r="I947" s="391"/>
      <c r="W947" s="1"/>
      <c r="X947" s="1"/>
      <c r="Y947" s="7"/>
      <c r="Z947" s="7"/>
      <c r="AA947" s="1"/>
      <c r="AB947" s="7"/>
      <c r="AC947" s="7"/>
      <c r="AD947" s="7"/>
      <c r="AE947" s="7"/>
      <c r="AF947" s="7"/>
      <c r="AG947" s="7"/>
      <c r="AH947" s="1"/>
    </row>
    <row r="948">
      <c r="I948" s="391"/>
      <c r="W948" s="1"/>
      <c r="X948" s="1"/>
      <c r="Y948" s="7"/>
      <c r="Z948" s="7"/>
      <c r="AA948" s="1"/>
      <c r="AB948" s="7"/>
      <c r="AC948" s="7"/>
      <c r="AD948" s="7"/>
      <c r="AE948" s="7"/>
      <c r="AF948" s="7"/>
      <c r="AG948" s="7"/>
      <c r="AH948" s="1"/>
    </row>
    <row r="949">
      <c r="I949" s="391"/>
      <c r="W949" s="1"/>
      <c r="X949" s="1"/>
      <c r="Y949" s="7"/>
      <c r="Z949" s="7"/>
      <c r="AA949" s="1"/>
      <c r="AB949" s="7"/>
      <c r="AC949" s="7"/>
      <c r="AD949" s="7"/>
      <c r="AE949" s="7"/>
      <c r="AF949" s="7"/>
      <c r="AG949" s="7"/>
      <c r="AH949" s="1"/>
    </row>
    <row r="950">
      <c r="I950" s="391"/>
      <c r="W950" s="1"/>
      <c r="X950" s="1"/>
      <c r="Y950" s="7"/>
      <c r="Z950" s="7"/>
      <c r="AA950" s="1"/>
      <c r="AB950" s="7"/>
      <c r="AC950" s="7"/>
      <c r="AD950" s="7"/>
      <c r="AE950" s="7"/>
      <c r="AF950" s="7"/>
      <c r="AG950" s="7"/>
      <c r="AH950" s="1"/>
    </row>
    <row r="951">
      <c r="I951" s="391"/>
      <c r="W951" s="1"/>
      <c r="X951" s="1"/>
      <c r="Y951" s="7"/>
      <c r="Z951" s="7"/>
      <c r="AA951" s="1"/>
      <c r="AB951" s="7"/>
      <c r="AC951" s="7"/>
      <c r="AD951" s="7"/>
      <c r="AE951" s="7"/>
      <c r="AF951" s="7"/>
      <c r="AG951" s="7"/>
      <c r="AH951" s="1"/>
    </row>
    <row r="952">
      <c r="I952" s="391"/>
      <c r="W952" s="1"/>
      <c r="X952" s="1"/>
      <c r="Y952" s="7"/>
      <c r="Z952" s="7"/>
      <c r="AA952" s="1"/>
      <c r="AB952" s="7"/>
      <c r="AC952" s="7"/>
      <c r="AD952" s="7"/>
      <c r="AE952" s="7"/>
      <c r="AF952" s="7"/>
      <c r="AG952" s="7"/>
      <c r="AH952" s="1"/>
    </row>
    <row r="953">
      <c r="I953" s="391"/>
      <c r="W953" s="1"/>
      <c r="X953" s="1"/>
      <c r="Y953" s="7"/>
      <c r="Z953" s="7"/>
      <c r="AA953" s="1"/>
      <c r="AB953" s="7"/>
      <c r="AC953" s="7"/>
      <c r="AD953" s="7"/>
      <c r="AE953" s="7"/>
      <c r="AF953" s="7"/>
      <c r="AG953" s="7"/>
      <c r="AH953" s="1"/>
    </row>
    <row r="954">
      <c r="I954" s="391"/>
      <c r="W954" s="1"/>
      <c r="X954" s="1"/>
      <c r="Y954" s="7"/>
      <c r="Z954" s="7"/>
      <c r="AA954" s="1"/>
      <c r="AB954" s="7"/>
      <c r="AC954" s="7"/>
      <c r="AD954" s="7"/>
      <c r="AE954" s="7"/>
      <c r="AF954" s="7"/>
      <c r="AG954" s="7"/>
      <c r="AH954" s="1"/>
    </row>
    <row r="955">
      <c r="I955" s="391"/>
      <c r="W955" s="1"/>
      <c r="X955" s="1"/>
      <c r="Y955" s="7"/>
      <c r="Z955" s="7"/>
      <c r="AA955" s="1"/>
      <c r="AB955" s="7"/>
      <c r="AC955" s="7"/>
      <c r="AD955" s="7"/>
      <c r="AE955" s="7"/>
      <c r="AF955" s="7"/>
      <c r="AG955" s="7"/>
      <c r="AH955" s="1"/>
    </row>
    <row r="956">
      <c r="I956" s="391"/>
      <c r="W956" s="1"/>
      <c r="X956" s="1"/>
      <c r="Y956" s="7"/>
      <c r="Z956" s="7"/>
      <c r="AA956" s="1"/>
      <c r="AB956" s="7"/>
      <c r="AC956" s="7"/>
      <c r="AD956" s="7"/>
      <c r="AE956" s="7"/>
      <c r="AF956" s="7"/>
      <c r="AG956" s="7"/>
      <c r="AH956" s="1"/>
    </row>
    <row r="957">
      <c r="I957" s="391"/>
      <c r="W957" s="1"/>
      <c r="X957" s="1"/>
      <c r="Y957" s="7"/>
      <c r="Z957" s="7"/>
      <c r="AA957" s="1"/>
      <c r="AB957" s="7"/>
      <c r="AC957" s="7"/>
      <c r="AD957" s="7"/>
      <c r="AE957" s="7"/>
      <c r="AF957" s="7"/>
      <c r="AG957" s="7"/>
      <c r="AH957" s="1"/>
    </row>
    <row r="958">
      <c r="I958" s="391"/>
      <c r="W958" s="1"/>
      <c r="X958" s="1"/>
      <c r="Y958" s="7"/>
      <c r="Z958" s="7"/>
      <c r="AA958" s="1"/>
      <c r="AB958" s="7"/>
      <c r="AC958" s="7"/>
      <c r="AD958" s="7"/>
      <c r="AE958" s="7"/>
      <c r="AF958" s="7"/>
      <c r="AG958" s="7"/>
      <c r="AH958" s="1"/>
    </row>
    <row r="959">
      <c r="I959" s="391"/>
      <c r="W959" s="1"/>
      <c r="X959" s="1"/>
      <c r="Y959" s="7"/>
      <c r="Z959" s="7"/>
      <c r="AA959" s="1"/>
      <c r="AB959" s="7"/>
      <c r="AC959" s="7"/>
      <c r="AD959" s="7"/>
      <c r="AE959" s="7"/>
      <c r="AF959" s="7"/>
      <c r="AG959" s="7"/>
      <c r="AH959" s="1"/>
    </row>
    <row r="960">
      <c r="I960" s="391"/>
      <c r="W960" s="514"/>
      <c r="X960" s="514"/>
      <c r="Y960" s="515"/>
      <c r="Z960" s="515"/>
      <c r="AA960" s="514"/>
      <c r="AB960" s="515"/>
      <c r="AC960" s="515"/>
      <c r="AD960" s="515"/>
      <c r="AE960" s="515"/>
      <c r="AF960" s="515"/>
      <c r="AG960" s="515"/>
      <c r="AH960" s="514"/>
    </row>
    <row r="961">
      <c r="I961" s="391"/>
      <c r="W961" s="514"/>
      <c r="X961" s="514"/>
      <c r="Y961" s="515"/>
      <c r="Z961" s="515"/>
      <c r="AA961" s="514"/>
      <c r="AB961" s="515"/>
      <c r="AC961" s="515"/>
      <c r="AD961" s="515"/>
      <c r="AE961" s="515"/>
      <c r="AF961" s="515"/>
      <c r="AG961" s="515"/>
      <c r="AH961" s="514"/>
    </row>
    <row r="962">
      <c r="I962" s="391"/>
      <c r="W962" s="514"/>
      <c r="X962" s="514"/>
      <c r="Y962" s="515"/>
      <c r="Z962" s="515"/>
      <c r="AA962" s="514"/>
      <c r="AB962" s="515"/>
      <c r="AC962" s="515"/>
      <c r="AD962" s="515"/>
      <c r="AE962" s="515"/>
      <c r="AF962" s="515"/>
      <c r="AG962" s="515"/>
      <c r="AH962" s="514"/>
    </row>
    <row r="963">
      <c r="I963" s="391"/>
      <c r="W963" s="514"/>
      <c r="X963" s="514"/>
      <c r="Y963" s="515"/>
      <c r="Z963" s="515"/>
      <c r="AA963" s="514"/>
      <c r="AB963" s="515"/>
      <c r="AC963" s="515"/>
      <c r="AD963" s="515"/>
      <c r="AE963" s="515"/>
      <c r="AF963" s="515"/>
      <c r="AG963" s="515"/>
      <c r="AH963" s="514"/>
    </row>
    <row r="964">
      <c r="I964" s="391"/>
      <c r="W964" s="514"/>
      <c r="X964" s="514"/>
      <c r="Y964" s="515"/>
      <c r="Z964" s="515"/>
      <c r="AA964" s="514"/>
      <c r="AB964" s="515"/>
      <c r="AC964" s="515"/>
      <c r="AD964" s="515"/>
      <c r="AE964" s="515"/>
      <c r="AF964" s="515"/>
      <c r="AG964" s="515"/>
      <c r="AH964" s="514"/>
    </row>
    <row r="965">
      <c r="I965" s="391"/>
      <c r="W965" s="514"/>
      <c r="X965" s="514"/>
      <c r="Y965" s="515"/>
      <c r="Z965" s="515"/>
      <c r="AA965" s="514"/>
      <c r="AB965" s="515"/>
      <c r="AC965" s="515"/>
      <c r="AD965" s="515"/>
      <c r="AE965" s="515"/>
      <c r="AF965" s="515"/>
      <c r="AG965" s="515"/>
      <c r="AH965" s="514"/>
    </row>
    <row r="966">
      <c r="I966" s="391"/>
      <c r="W966" s="514"/>
      <c r="X966" s="514"/>
      <c r="Y966" s="515"/>
      <c r="Z966" s="515"/>
      <c r="AA966" s="514"/>
      <c r="AB966" s="515"/>
      <c r="AC966" s="515"/>
      <c r="AD966" s="515"/>
      <c r="AE966" s="515"/>
      <c r="AF966" s="515"/>
      <c r="AG966" s="515"/>
      <c r="AH966" s="514"/>
    </row>
    <row r="967">
      <c r="I967" s="391"/>
      <c r="W967" s="514"/>
      <c r="X967" s="514"/>
      <c r="Y967" s="515"/>
      <c r="Z967" s="515"/>
      <c r="AA967" s="514"/>
      <c r="AB967" s="515"/>
      <c r="AC967" s="515"/>
      <c r="AD967" s="515"/>
      <c r="AE967" s="515"/>
      <c r="AF967" s="515"/>
      <c r="AG967" s="515"/>
      <c r="AH967" s="514"/>
    </row>
    <row r="968">
      <c r="I968" s="391"/>
      <c r="W968" s="514"/>
      <c r="X968" s="514"/>
      <c r="Y968" s="515"/>
      <c r="Z968" s="515"/>
      <c r="AA968" s="514"/>
      <c r="AB968" s="515"/>
      <c r="AC968" s="515"/>
      <c r="AD968" s="515"/>
      <c r="AE968" s="515"/>
      <c r="AF968" s="515"/>
      <c r="AG968" s="515"/>
      <c r="AH968" s="514"/>
    </row>
    <row r="969">
      <c r="I969" s="391"/>
      <c r="W969" s="514"/>
      <c r="X969" s="514"/>
      <c r="Y969" s="515"/>
      <c r="Z969" s="515"/>
      <c r="AA969" s="514"/>
      <c r="AB969" s="515"/>
      <c r="AC969" s="515"/>
      <c r="AD969" s="515"/>
      <c r="AE969" s="515"/>
      <c r="AF969" s="515"/>
      <c r="AG969" s="515"/>
      <c r="AH969" s="514"/>
    </row>
    <row r="970">
      <c r="I970" s="391"/>
      <c r="W970" s="514"/>
      <c r="X970" s="514"/>
      <c r="Y970" s="515"/>
      <c r="Z970" s="515"/>
      <c r="AA970" s="514"/>
      <c r="AB970" s="515"/>
      <c r="AC970" s="515"/>
      <c r="AD970" s="515"/>
      <c r="AE970" s="515"/>
      <c r="AF970" s="515"/>
      <c r="AG970" s="515"/>
      <c r="AH970" s="514"/>
    </row>
    <row r="971">
      <c r="I971" s="391"/>
      <c r="W971" s="514"/>
      <c r="X971" s="514"/>
      <c r="Y971" s="515"/>
      <c r="Z971" s="515"/>
      <c r="AA971" s="514"/>
      <c r="AB971" s="515"/>
      <c r="AC971" s="515"/>
      <c r="AD971" s="515"/>
      <c r="AE971" s="515"/>
      <c r="AF971" s="515"/>
      <c r="AG971" s="515"/>
      <c r="AH971" s="514"/>
    </row>
    <row r="972">
      <c r="I972" s="391"/>
      <c r="W972" s="514"/>
      <c r="X972" s="514"/>
      <c r="Y972" s="515"/>
      <c r="Z972" s="515"/>
      <c r="AA972" s="514"/>
      <c r="AB972" s="515"/>
      <c r="AC972" s="515"/>
      <c r="AD972" s="515"/>
      <c r="AE972" s="515"/>
      <c r="AF972" s="515"/>
      <c r="AG972" s="515"/>
      <c r="AH972" s="514"/>
    </row>
    <row r="973">
      <c r="I973" s="391"/>
      <c r="W973" s="514"/>
      <c r="X973" s="514"/>
      <c r="Y973" s="515"/>
      <c r="Z973" s="515"/>
      <c r="AA973" s="514"/>
      <c r="AB973" s="515"/>
      <c r="AC973" s="515"/>
      <c r="AD973" s="515"/>
      <c r="AE973" s="515"/>
      <c r="AF973" s="515"/>
      <c r="AG973" s="515"/>
      <c r="AH973" s="514"/>
    </row>
    <row r="974">
      <c r="I974" s="391"/>
      <c r="W974" s="514"/>
      <c r="X974" s="514"/>
      <c r="Y974" s="515"/>
      <c r="Z974" s="515"/>
      <c r="AA974" s="514"/>
      <c r="AB974" s="515"/>
      <c r="AC974" s="515"/>
      <c r="AD974" s="515"/>
      <c r="AE974" s="515"/>
      <c r="AF974" s="515"/>
      <c r="AG974" s="515"/>
      <c r="AH974" s="514"/>
    </row>
    <row r="975">
      <c r="I975" s="391"/>
      <c r="W975" s="514"/>
      <c r="X975" s="514"/>
      <c r="Y975" s="515"/>
      <c r="Z975" s="515"/>
      <c r="AA975" s="514"/>
      <c r="AB975" s="515"/>
      <c r="AC975" s="515"/>
      <c r="AD975" s="515"/>
      <c r="AE975" s="515"/>
      <c r="AF975" s="515"/>
      <c r="AG975" s="515"/>
      <c r="AH975" s="514"/>
    </row>
    <row r="976">
      <c r="I976" s="391"/>
      <c r="W976" s="514"/>
      <c r="X976" s="514"/>
      <c r="Y976" s="515"/>
      <c r="Z976" s="515"/>
      <c r="AA976" s="514"/>
      <c r="AB976" s="515"/>
      <c r="AC976" s="515"/>
      <c r="AD976" s="515"/>
      <c r="AE976" s="515"/>
      <c r="AF976" s="515"/>
      <c r="AG976" s="515"/>
      <c r="AH976" s="514"/>
    </row>
    <row r="977">
      <c r="I977" s="391"/>
      <c r="W977" s="514"/>
      <c r="X977" s="514"/>
      <c r="Y977" s="515"/>
      <c r="Z977" s="515"/>
      <c r="AA977" s="514"/>
      <c r="AB977" s="515"/>
      <c r="AC977" s="515"/>
      <c r="AD977" s="515"/>
      <c r="AE977" s="515"/>
      <c r="AF977" s="515"/>
      <c r="AG977" s="515"/>
      <c r="AH977" s="514"/>
    </row>
    <row r="978">
      <c r="I978" s="391"/>
      <c r="W978" s="514"/>
      <c r="X978" s="514"/>
      <c r="Y978" s="515"/>
      <c r="Z978" s="515"/>
      <c r="AA978" s="514"/>
      <c r="AB978" s="515"/>
      <c r="AC978" s="515"/>
      <c r="AD978" s="515"/>
      <c r="AE978" s="515"/>
      <c r="AF978" s="515"/>
      <c r="AG978" s="515"/>
      <c r="AH978" s="514"/>
    </row>
    <row r="979">
      <c r="I979" s="391"/>
      <c r="W979" s="514"/>
      <c r="X979" s="514"/>
      <c r="Y979" s="515"/>
      <c r="Z979" s="515"/>
      <c r="AA979" s="514"/>
      <c r="AB979" s="515"/>
      <c r="AC979" s="515"/>
      <c r="AD979" s="515"/>
      <c r="AE979" s="515"/>
      <c r="AF979" s="515"/>
      <c r="AG979" s="515"/>
      <c r="AH979" s="514"/>
    </row>
    <row r="980">
      <c r="I980" s="391"/>
      <c r="W980" s="514"/>
      <c r="X980" s="514"/>
      <c r="Y980" s="515"/>
      <c r="Z980" s="515"/>
      <c r="AA980" s="514"/>
      <c r="AB980" s="515"/>
      <c r="AC980" s="515"/>
      <c r="AD980" s="515"/>
      <c r="AE980" s="515"/>
      <c r="AF980" s="515"/>
      <c r="AG980" s="515"/>
      <c r="AH980" s="514"/>
    </row>
    <row r="981">
      <c r="I981" s="391"/>
      <c r="W981" s="514"/>
      <c r="X981" s="514"/>
      <c r="Y981" s="515"/>
      <c r="Z981" s="515"/>
      <c r="AA981" s="514"/>
      <c r="AB981" s="515"/>
      <c r="AC981" s="515"/>
      <c r="AD981" s="515"/>
      <c r="AE981" s="515"/>
      <c r="AF981" s="515"/>
      <c r="AG981" s="515"/>
      <c r="AH981" s="514"/>
    </row>
    <row r="982">
      <c r="I982" s="391"/>
      <c r="W982" s="514"/>
      <c r="X982" s="514"/>
      <c r="Y982" s="515"/>
      <c r="Z982" s="515"/>
      <c r="AA982" s="514"/>
      <c r="AB982" s="515"/>
      <c r="AC982" s="515"/>
      <c r="AD982" s="515"/>
      <c r="AE982" s="515"/>
      <c r="AF982" s="515"/>
      <c r="AG982" s="515"/>
      <c r="AH982" s="514"/>
    </row>
    <row r="983">
      <c r="I983" s="391"/>
      <c r="W983" s="514"/>
      <c r="X983" s="514"/>
      <c r="Y983" s="515"/>
      <c r="Z983" s="515"/>
      <c r="AA983" s="514"/>
      <c r="AB983" s="515"/>
      <c r="AC983" s="515"/>
      <c r="AD983" s="515"/>
      <c r="AE983" s="515"/>
      <c r="AF983" s="515"/>
      <c r="AG983" s="515"/>
      <c r="AH983" s="514"/>
    </row>
  </sheetData>
  <autoFilter ref="$W$4:$AJ$18">
    <filterColumn colId="0">
      <filters>
        <filter val="NA"/>
      </filters>
    </filterColumn>
  </autoFilter>
  <mergeCells count="4">
    <mergeCell ref="AB3:AC3"/>
    <mergeCell ref="AD3:AE3"/>
    <mergeCell ref="AF3:AG3"/>
    <mergeCell ref="AH3:AI3"/>
  </mergeCells>
  <conditionalFormatting sqref="B63">
    <cfRule type="containsText" dxfId="8" priority="1" operator="containsText" text="JPN">
      <formula>NOT(ISERROR(SEARCH(("JPN"),(B63))))</formula>
    </cfRule>
  </conditionalFormatting>
  <conditionalFormatting sqref="M5:M14">
    <cfRule type="expression" dxfId="9" priority="2">
      <formula>#REF!="Close"</formula>
    </cfRule>
  </conditionalFormatting>
  <conditionalFormatting sqref="Q5:Q14">
    <cfRule type="containsText" dxfId="14" priority="3" operator="containsText" text="Cancelled">
      <formula>NOT(ISERROR(SEARCH(("Cancelled"),(Q5))))</formula>
    </cfRule>
  </conditionalFormatting>
  <hyperlinks>
    <hyperlink r:id="rId1" location="slide=id.g2259c476806_0_118" ref="I4"/>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cols>
    <col customWidth="1" min="12" max="12" width="17.38"/>
    <col customWidth="1" min="15" max="15" width="19.25"/>
  </cols>
  <sheetData>
    <row r="4">
      <c r="B4" s="516" t="str">
        <f>IFERROR(__xludf.DUMMYFUNCTION("importrange(""https://docs.google.com/spreadsheets/d/1a4dHbPa1EGFMkSv4lOA3TrIDJnv8ZWdkdVqVCMMvKKc/edit?resourcekey=0-fD-rzZUhOm65zw7ZsR03IA&amp;gid=1763328259#gid=1763328259"",""P-68 Master Approval(for All SKU not include ATT/VZNTMO)!A4:O71"")"),"Item")</f>
        <v>Item</v>
      </c>
      <c r="C4" s="517" t="str">
        <f>IFERROR(__xludf.DUMMYFUNCTION("""COMPUTED_VALUE"""),"Stage")</f>
        <v>Stage</v>
      </c>
      <c r="D4" s="517" t="str">
        <f>IFERROR(__xludf.DUMMYFUNCTION("""COMPUTED_VALUE"""),"Purpose")</f>
        <v>Purpose</v>
      </c>
      <c r="E4" s="517" t="str">
        <f>IFERROR(__xludf.DUMMYFUNCTION("""COMPUTED_VALUE"""),"Sale SKU")</f>
        <v>Sale SKU</v>
      </c>
      <c r="F4" s="517" t="str">
        <f>IFERROR(__xludf.DUMMYFUNCTION("""COMPUTED_VALUE"""),"Model#
產品型號#")</f>
        <v>Model#
產品型號#</v>
      </c>
      <c r="G4" s="517" t="str">
        <f>IFERROR(__xludf.DUMMYFUNCTION("""COMPUTED_VALUE"""),"UPC CODE-12")</f>
        <v>UPC CODE-12</v>
      </c>
      <c r="H4" s="518" t="str">
        <f>IFERROR(__xludf.DUMMYFUNCTION("""COMPUTED_VALUE"""),"EAN CODE-13")</f>
        <v>EAN CODE-13</v>
      </c>
      <c r="I4" s="517" t="str">
        <f>IFERROR(__xludf.DUMMYFUNCTION("""COMPUTED_VALUE"""),"SAP/SKU ID for Retail label")</f>
        <v>SAP/SKU ID for Retail label</v>
      </c>
      <c r="J4" s="517" t="str">
        <f>IFERROR(__xludf.DUMMYFUNCTION("""COMPUTED_VALUE"""),"Master Carton Label GPN &amp; Rev")</f>
        <v>Master Carton Label GPN &amp; Rev</v>
      </c>
      <c r="K4" s="517" t="str">
        <f>IFERROR(__xludf.DUMMYFUNCTION("""COMPUTED_VALUE"""),"Pallet Label GPN &amp; Rev")</f>
        <v>Pallet Label GPN &amp; Rev</v>
      </c>
      <c r="L4" s="517" t="str">
        <f>IFERROR(__xludf.DUMMYFUNCTION("""COMPUTED_VALUE"""),"BOB
Artwork GPN &amp; Rev")</f>
        <v>BOB
Artwork GPN &amp; Rev</v>
      </c>
      <c r="M4" s="517" t="str">
        <f>IFERROR(__xludf.DUMMYFUNCTION("""COMPUTED_VALUE"""),"IN MRP Label")</f>
        <v>IN MRP Label</v>
      </c>
      <c r="N4" s="517" t="str">
        <f>IFERROR(__xludf.DUMMYFUNCTION("""COMPUTED_VALUE"""),"Retail and BOB
Artwork GPN &amp; Rev")</f>
        <v>Retail and BOB
Artwork GPN &amp; Rev</v>
      </c>
      <c r="O4" s="517" t="str">
        <f>IFERROR(__xludf.DUMMYFUNCTION("""COMPUTED_VALUE"""),"Revison")</f>
        <v>Revison</v>
      </c>
      <c r="P4" s="517" t="str">
        <f>IFERROR(__xludf.DUMMYFUNCTION("""COMPUTED_VALUE"""),"Memory
")</f>
        <v>Memory
</v>
      </c>
    </row>
    <row r="5">
      <c r="B5" s="517" t="str">
        <f>IFERROR(__xludf.DUMMYFUNCTION("""COMPUTED_VALUE"""),"Example")</f>
        <v>Example</v>
      </c>
      <c r="C5" s="517" t="str">
        <f>IFERROR(__xludf.DUMMYFUNCTION("""COMPUTED_VALUE"""),"MP")</f>
        <v>MP</v>
      </c>
      <c r="D5" s="517" t="str">
        <f>IFERROR(__xludf.DUMMYFUNCTION("""COMPUTED_VALUE"""),"Pristine")</f>
        <v>Pristine</v>
      </c>
      <c r="E5" s="517" t="str">
        <f>IFERROR(__xludf.DUMMYFUNCTION("""COMPUTED_VALUE"""),"GA03523-US")</f>
        <v>GA03523-US</v>
      </c>
      <c r="F5" s="517"/>
      <c r="G5" s="517">
        <f>IFERROR(__xludf.DUMMYFUNCTION("""COMPUTED_VALUE"""),8.10029936316E11)</f>
        <v>810029936316</v>
      </c>
      <c r="H5" s="517"/>
      <c r="I5" s="517" t="str">
        <f>IFERROR(__xludf.DUMMYFUNCTION("""COMPUTED_VALUE"""),"no")</f>
        <v>no</v>
      </c>
      <c r="J5" s="517" t="str">
        <f>IFERROR(__xludf.DUMMYFUNCTION("""COMPUTED_VALUE"""),"VZN Master Carton Label")</f>
        <v>VZN Master Carton Label</v>
      </c>
      <c r="K5" s="517"/>
      <c r="L5" s="517" t="str">
        <f>IFERROR(__xludf.DUMMYFUNCTION("""COMPUTED_VALUE"""),"VZN Pallet Label -&gt; BTO(EDI)
VZN Pallet Label -&gt; BTS(Normal case)
")</f>
        <v>VZN Pallet Label -&gt; BTO(EDI)
VZN Pallet Label -&gt; BTS(Normal case)
</v>
      </c>
      <c r="M5" s="517"/>
      <c r="N5" s="517" t="str">
        <f>IFERROR(__xludf.DUMMYFUNCTION("""COMPUTED_VALUE"""),"G952-03249-00")</f>
        <v>G952-03249-00</v>
      </c>
      <c r="O5" s="517" t="str">
        <f>IFERROR(__xludf.DUMMYFUNCTION("""COMPUTED_VALUE"""),"A")</f>
        <v>A</v>
      </c>
      <c r="P5" s="517" t="str">
        <f>IFERROR(__xludf.DUMMYFUNCTION("""COMPUTED_VALUE"""),"128GB")</f>
        <v>128GB</v>
      </c>
    </row>
    <row r="6">
      <c r="B6" s="517" t="str">
        <f>IFERROR(__xludf.DUMMYFUNCTION("""COMPUTED_VALUE"""),"Example")</f>
        <v>Example</v>
      </c>
      <c r="C6" s="517" t="str">
        <f>IFERROR(__xludf.DUMMYFUNCTION("""COMPUTED_VALUE"""),"MP")</f>
        <v>MP</v>
      </c>
      <c r="D6" s="517" t="str">
        <f>IFERROR(__xludf.DUMMYFUNCTION("""COMPUTED_VALUE"""),"Pristine")</f>
        <v>Pristine</v>
      </c>
      <c r="E6" s="517" t="str">
        <f>IFERROR(__xludf.DUMMYFUNCTION("""COMPUTED_VALUE"""),"GA03523-US")</f>
        <v>GA03523-US</v>
      </c>
      <c r="F6" s="517"/>
      <c r="G6" s="517">
        <f>IFERROR(__xludf.DUMMYFUNCTION("""COMPUTED_VALUE"""),8.10029936316E11)</f>
        <v>810029936316</v>
      </c>
      <c r="H6" s="517"/>
      <c r="I6" s="517" t="str">
        <f>IFERROR(__xludf.DUMMYFUNCTION("""COMPUTED_VALUE"""),"no")</f>
        <v>no</v>
      </c>
      <c r="J6" s="517"/>
      <c r="K6" s="517"/>
      <c r="L6" s="517"/>
      <c r="M6" s="517"/>
      <c r="N6" s="517" t="str">
        <f>IFERROR(__xludf.DUMMYFUNCTION("""COMPUTED_VALUE"""),"G952-03249-00")</f>
        <v>G952-03249-00</v>
      </c>
      <c r="O6" s="517" t="str">
        <f>IFERROR(__xludf.DUMMYFUNCTION("""COMPUTED_VALUE"""),"A")</f>
        <v>A</v>
      </c>
      <c r="P6" s="517" t="str">
        <f>IFERROR(__xludf.DUMMYFUNCTION("""COMPUTED_VALUE"""),"128GB")</f>
        <v>128GB</v>
      </c>
    </row>
    <row r="7">
      <c r="B7" s="517"/>
      <c r="C7" s="517"/>
      <c r="D7" s="517"/>
      <c r="E7" s="517"/>
      <c r="F7" s="517"/>
      <c r="G7" s="517"/>
      <c r="H7" s="517"/>
      <c r="I7" s="517"/>
      <c r="J7" s="517"/>
      <c r="K7" s="517"/>
      <c r="L7" s="517"/>
      <c r="M7" s="517"/>
      <c r="N7" s="517"/>
      <c r="O7" s="517"/>
      <c r="P7" s="517"/>
    </row>
    <row r="8">
      <c r="B8" s="517" t="str">
        <f>IFERROR(__xludf.DUMMYFUNCTION("""COMPUTED_VALUE"""),"GSTORE")</f>
        <v>GSTORE</v>
      </c>
      <c r="C8" s="518" t="str">
        <f>IFERROR(__xludf.DUMMYFUNCTION("""COMPUTED_VALUE"""),"0840353926769")</f>
        <v>0840353926769</v>
      </c>
      <c r="D8" s="517" t="str">
        <f>IFERROR(__xludf.DUMMYFUNCTION("""COMPUTED_VALUE"""),"Pristine")</f>
        <v>Pristine</v>
      </c>
      <c r="E8" s="517" t="str">
        <f>IFERROR(__xludf.DUMMYFUNCTION("""COMPUTED_VALUE"""),"GA09744-US")</f>
        <v>GA09744-US</v>
      </c>
      <c r="F8" s="517" t="str">
        <f>IFERROR(__xludf.DUMMYFUNCTION("""COMPUTED_VALUE"""),"GLBW0")</f>
        <v>GLBW0</v>
      </c>
      <c r="G8" s="517"/>
      <c r="H8" s="518" t="str">
        <f>IFERROR(__xludf.DUMMYFUNCTION("""COMPUTED_VALUE"""),"840353926769")</f>
        <v>840353926769</v>
      </c>
      <c r="I8" s="518" t="str">
        <f>IFERROR(__xludf.DUMMYFUNCTION("""COMPUTED_VALUE"""),"No")</f>
        <v>No</v>
      </c>
      <c r="J8" s="517" t="str">
        <f>IFERROR(__xludf.DUMMYFUNCTION("""COMPUTED_VALUE"""),"Retail_10ct")</f>
        <v>Retail_10ct</v>
      </c>
      <c r="K8" s="517" t="str">
        <f>IFERROR(__xludf.DUMMYFUNCTION("""COMPUTED_VALUE"""),"ROW Master Carton Label (UPC)")</f>
        <v>ROW Master Carton Label (UPC)</v>
      </c>
      <c r="L8" s="517" t="str">
        <f>IFERROR(__xludf.DUMMYFUNCTION("""COMPUTED_VALUE"""),"G990-08482-11-01
G990-08482-11-A")</f>
        <v>G990-08482-11-01
G990-08482-11-A</v>
      </c>
      <c r="M8" s="517" t="str">
        <f>IFERROR(__xludf.DUMMYFUNCTION("""COMPUTED_VALUE"""),"N/A")</f>
        <v>N/A</v>
      </c>
      <c r="N8" s="519" t="str">
        <f>IFERROR(__xludf.DUMMYFUNCTION("""COMPUTED_VALUE"""),"G990-09560-00-A")</f>
        <v>G990-09560-00-A</v>
      </c>
      <c r="O8" s="517" t="str">
        <f>IFERROR(__xludf.DUMMYFUNCTION("""COMPUTED_VALUE"""),"BOB→A
Retail→A")</f>
        <v>BOB→A
Retail→A</v>
      </c>
      <c r="P8" s="517" t="str">
        <f>IFERROR(__xludf.DUMMYFUNCTION("""COMPUTED_VALUE"""),"G990-09560-00-A")</f>
        <v>G990-09560-00-A</v>
      </c>
    </row>
    <row r="9">
      <c r="B9" s="517" t="str">
        <f>IFERROR(__xludf.DUMMYFUNCTION("""COMPUTED_VALUE"""),"GSTORE")</f>
        <v>GSTORE</v>
      </c>
      <c r="C9" s="518" t="str">
        <f>IFERROR(__xludf.DUMMYFUNCTION("""COMPUTED_VALUE"""),"0840353926776")</f>
        <v>0840353926776</v>
      </c>
      <c r="D9" s="517" t="str">
        <f>IFERROR(__xludf.DUMMYFUNCTION("""COMPUTED_VALUE"""),"Pristine")</f>
        <v>Pristine</v>
      </c>
      <c r="E9" s="517" t="str">
        <f>IFERROR(__xludf.DUMMYFUNCTION("""COMPUTED_VALUE"""),"GA10214-US")</f>
        <v>GA10214-US</v>
      </c>
      <c r="F9" s="517" t="str">
        <f>IFERROR(__xludf.DUMMYFUNCTION("""COMPUTED_VALUE"""),"GLBW0")</f>
        <v>GLBW0</v>
      </c>
      <c r="G9" s="517"/>
      <c r="H9" s="518" t="str">
        <f>IFERROR(__xludf.DUMMYFUNCTION("""COMPUTED_VALUE"""),"840353926776")</f>
        <v>840353926776</v>
      </c>
      <c r="I9" s="518" t="str">
        <f>IFERROR(__xludf.DUMMYFUNCTION("""COMPUTED_VALUE"""),"No")</f>
        <v>No</v>
      </c>
      <c r="J9" s="517" t="str">
        <f>IFERROR(__xludf.DUMMYFUNCTION("""COMPUTED_VALUE"""),"Retail_10ct")</f>
        <v>Retail_10ct</v>
      </c>
      <c r="K9" s="517" t="str">
        <f>IFERROR(__xludf.DUMMYFUNCTION("""COMPUTED_VALUE"""),"ROW Master Carton Label (UPC)")</f>
        <v>ROW Master Carton Label (UPC)</v>
      </c>
      <c r="L9" s="517" t="str">
        <f>IFERROR(__xludf.DUMMYFUNCTION("""COMPUTED_VALUE"""),"G990-08482-21-01
G990-08482-21-A")</f>
        <v>G990-08482-21-01
G990-08482-21-A</v>
      </c>
      <c r="M9" s="517" t="str">
        <f>IFERROR(__xludf.DUMMYFUNCTION("""COMPUTED_VALUE"""),"N/A")</f>
        <v>N/A</v>
      </c>
      <c r="N9" s="519" t="str">
        <f>IFERROR(__xludf.DUMMYFUNCTION("""COMPUTED_VALUE"""),"G990-09560-00-A")</f>
        <v>G990-09560-00-A</v>
      </c>
      <c r="O9" s="517" t="str">
        <f>IFERROR(__xludf.DUMMYFUNCTION("""COMPUTED_VALUE"""),"BOB→A
Retail→A")</f>
        <v>BOB→A
Retail→A</v>
      </c>
      <c r="P9" s="517" t="str">
        <f>IFERROR(__xludf.DUMMYFUNCTION("""COMPUTED_VALUE"""),"G990-09560-00-A")</f>
        <v>G990-09560-00-A</v>
      </c>
    </row>
    <row r="10">
      <c r="B10" s="517" t="str">
        <f>IFERROR(__xludf.DUMMYFUNCTION("""COMPUTED_VALUE"""),"GSTORE")</f>
        <v>GSTORE</v>
      </c>
      <c r="C10" s="518" t="str">
        <f>IFERROR(__xludf.DUMMYFUNCTION("""COMPUTED_VALUE"""),"0840353926790")</f>
        <v>0840353926790</v>
      </c>
      <c r="D10" s="517" t="str">
        <f>IFERROR(__xludf.DUMMYFUNCTION("""COMPUTED_VALUE"""),"Pristine")</f>
        <v>Pristine</v>
      </c>
      <c r="E10" s="517" t="str">
        <f>IFERROR(__xludf.DUMMYFUNCTION("""COMPUTED_VALUE"""),"GA10215-US")</f>
        <v>GA10215-US</v>
      </c>
      <c r="F10" s="517" t="str">
        <f>IFERROR(__xludf.DUMMYFUNCTION("""COMPUTED_VALUE"""),"GLBW0")</f>
        <v>GLBW0</v>
      </c>
      <c r="G10" s="517">
        <f>IFERROR(__xludf.DUMMYFUNCTION("""COMPUTED_VALUE"""),8.4035392679E11)</f>
        <v>840353926790</v>
      </c>
      <c r="H10" s="518" t="str">
        <f>IFERROR(__xludf.DUMMYFUNCTION("""COMPUTED_VALUE"""),"840353926790")</f>
        <v>840353926790</v>
      </c>
      <c r="I10" s="518" t="str">
        <f>IFERROR(__xludf.DUMMYFUNCTION("""COMPUTED_VALUE"""),"No")</f>
        <v>No</v>
      </c>
      <c r="J10" s="517" t="str">
        <f>IFERROR(__xludf.DUMMYFUNCTION("""COMPUTED_VALUE"""),"Retail_10ct")</f>
        <v>Retail_10ct</v>
      </c>
      <c r="K10" s="517" t="str">
        <f>IFERROR(__xludf.DUMMYFUNCTION("""COMPUTED_VALUE"""),"ROW Master Carton Label (UPC)")</f>
        <v>ROW Master Carton Label (UPC)</v>
      </c>
      <c r="L10" s="517" t="str">
        <f>IFERROR(__xludf.DUMMYFUNCTION("""COMPUTED_VALUE"""),"G990-08482-31-01
G990-08482-31-A")</f>
        <v>G990-08482-31-01
G990-08482-31-A</v>
      </c>
      <c r="M10" s="517" t="str">
        <f>IFERROR(__xludf.DUMMYFUNCTION("""COMPUTED_VALUE"""),"N/A")</f>
        <v>N/A</v>
      </c>
      <c r="N10" s="519" t="str">
        <f>IFERROR(__xludf.DUMMYFUNCTION("""COMPUTED_VALUE"""),"G990-09560-00-A")</f>
        <v>G990-09560-00-A</v>
      </c>
      <c r="O10" s="517" t="str">
        <f>IFERROR(__xludf.DUMMYFUNCTION("""COMPUTED_VALUE"""),"BOB→A
Retail→A")</f>
        <v>BOB→A
Retail→A</v>
      </c>
      <c r="P10" s="517" t="str">
        <f>IFERROR(__xludf.DUMMYFUNCTION("""COMPUTED_VALUE"""),"G990-09560-00-A")</f>
        <v>G990-09560-00-A</v>
      </c>
    </row>
    <row r="11">
      <c r="B11" s="517" t="str">
        <f>IFERROR(__xludf.DUMMYFUNCTION("""COMPUTED_VALUE"""),"GSTORE")</f>
        <v>GSTORE</v>
      </c>
      <c r="C11" s="518" t="str">
        <f>IFERROR(__xludf.DUMMYFUNCTION("""COMPUTED_VALUE"""),"0840353926783")</f>
        <v>0840353926783</v>
      </c>
      <c r="D11" s="517" t="str">
        <f>IFERROR(__xludf.DUMMYFUNCTION("""COMPUTED_VALUE"""),"Pristine")</f>
        <v>Pristine</v>
      </c>
      <c r="E11" s="517" t="str">
        <f>IFERROR(__xludf.DUMMYFUNCTION("""COMPUTED_VALUE"""),"GA10216-US")</f>
        <v>GA10216-US</v>
      </c>
      <c r="F11" s="517" t="str">
        <f>IFERROR(__xludf.DUMMYFUNCTION("""COMPUTED_VALUE"""),"GLBW0")</f>
        <v>GLBW0</v>
      </c>
      <c r="G11" s="517"/>
      <c r="H11" s="518" t="str">
        <f>IFERROR(__xludf.DUMMYFUNCTION("""COMPUTED_VALUE"""),"840353926783")</f>
        <v>840353926783</v>
      </c>
      <c r="I11" s="518" t="str">
        <f>IFERROR(__xludf.DUMMYFUNCTION("""COMPUTED_VALUE"""),"No")</f>
        <v>No</v>
      </c>
      <c r="J11" s="517" t="str">
        <f>IFERROR(__xludf.DUMMYFUNCTION("""COMPUTED_VALUE"""),"Retail_10ct")</f>
        <v>Retail_10ct</v>
      </c>
      <c r="K11" s="517" t="str">
        <f>IFERROR(__xludf.DUMMYFUNCTION("""COMPUTED_VALUE"""),"ROW Master Carton Label (UPC)")</f>
        <v>ROW Master Carton Label (UPC)</v>
      </c>
      <c r="L11" s="517" t="str">
        <f>IFERROR(__xludf.DUMMYFUNCTION("""COMPUTED_VALUE"""),"G990-08482-41-01
G990-08482-41-A")</f>
        <v>G990-08482-41-01
G990-08482-41-A</v>
      </c>
      <c r="M11" s="517" t="str">
        <f>IFERROR(__xludf.DUMMYFUNCTION("""COMPUTED_VALUE"""),"N/A")</f>
        <v>N/A</v>
      </c>
      <c r="N11" s="519" t="str">
        <f>IFERROR(__xludf.DUMMYFUNCTION("""COMPUTED_VALUE"""),"G990-09560-00-A")</f>
        <v>G990-09560-00-A</v>
      </c>
      <c r="O11" s="517" t="str">
        <f>IFERROR(__xludf.DUMMYFUNCTION("""COMPUTED_VALUE"""),"BOB→A
Retail→A")</f>
        <v>BOB→A
Retail→A</v>
      </c>
      <c r="P11" s="517" t="str">
        <f>IFERROR(__xludf.DUMMYFUNCTION("""COMPUTED_VALUE"""),"G990-09560-00-A")</f>
        <v>G990-09560-00-A</v>
      </c>
    </row>
    <row r="12">
      <c r="B12" s="517" t="str">
        <f>IFERROR(__xludf.DUMMYFUNCTION("""COMPUTED_VALUE"""),"GSTORE")</f>
        <v>GSTORE</v>
      </c>
      <c r="C12" s="518" t="str">
        <f>IFERROR(__xludf.DUMMYFUNCTION("""COMPUTED_VALUE"""),"0840353926806")</f>
        <v>0840353926806</v>
      </c>
      <c r="D12" s="517" t="str">
        <f>IFERROR(__xludf.DUMMYFUNCTION("""COMPUTED_VALUE"""),"Pristine")</f>
        <v>Pristine</v>
      </c>
      <c r="E12" s="517" t="str">
        <f>IFERROR(__xludf.DUMMYFUNCTION("""COMPUTED_VALUE"""),"GA09883-US")</f>
        <v>GA09883-US</v>
      </c>
      <c r="F12" s="517" t="str">
        <f>IFERROR(__xludf.DUMMYFUNCTION("""COMPUTED_VALUE"""),"GLBW0")</f>
        <v>GLBW0</v>
      </c>
      <c r="G12" s="517"/>
      <c r="H12" s="518" t="str">
        <f>IFERROR(__xludf.DUMMYFUNCTION("""COMPUTED_VALUE"""),"840353926806")</f>
        <v>840353926806</v>
      </c>
      <c r="I12" s="518" t="str">
        <f>IFERROR(__xludf.DUMMYFUNCTION("""COMPUTED_VALUE"""),"No")</f>
        <v>No</v>
      </c>
      <c r="J12" s="517" t="str">
        <f>IFERROR(__xludf.DUMMYFUNCTION("""COMPUTED_VALUE"""),"Retail_10ct")</f>
        <v>Retail_10ct</v>
      </c>
      <c r="K12" s="517" t="str">
        <f>IFERROR(__xludf.DUMMYFUNCTION("""COMPUTED_VALUE"""),"ROW Master Carton Label (UPC)")</f>
        <v>ROW Master Carton Label (UPC)</v>
      </c>
      <c r="L12" s="517" t="str">
        <f>IFERROR(__xludf.DUMMYFUNCTION("""COMPUTED_VALUE"""),"G990-08482-12-01
G990-08482-12-A")</f>
        <v>G990-08482-12-01
G990-08482-12-A</v>
      </c>
      <c r="M12" s="517" t="str">
        <f>IFERROR(__xludf.DUMMYFUNCTION("""COMPUTED_VALUE"""),"N/A")</f>
        <v>N/A</v>
      </c>
      <c r="N12" s="519" t="str">
        <f>IFERROR(__xludf.DUMMYFUNCTION("""COMPUTED_VALUE"""),"G990-09560-00-A")</f>
        <v>G990-09560-00-A</v>
      </c>
      <c r="O12" s="517" t="str">
        <f>IFERROR(__xludf.DUMMYFUNCTION("""COMPUTED_VALUE"""),"BOB→A
Retail→A")</f>
        <v>BOB→A
Retail→A</v>
      </c>
      <c r="P12" s="517" t="str">
        <f>IFERROR(__xludf.DUMMYFUNCTION("""COMPUTED_VALUE"""),"G990-09560-00-A")</f>
        <v>G990-09560-00-A</v>
      </c>
    </row>
    <row r="13">
      <c r="B13" s="517" t="str">
        <f>IFERROR(__xludf.DUMMYFUNCTION("""COMPUTED_VALUE"""),"GSTORE")</f>
        <v>GSTORE</v>
      </c>
      <c r="C13" s="518" t="str">
        <f>IFERROR(__xludf.DUMMYFUNCTION("""COMPUTED_VALUE"""),"0840353926813")</f>
        <v>0840353926813</v>
      </c>
      <c r="D13" s="517" t="str">
        <f>IFERROR(__xludf.DUMMYFUNCTION("""COMPUTED_VALUE"""),"Pristine")</f>
        <v>Pristine</v>
      </c>
      <c r="E13" s="517" t="str">
        <f>IFERROR(__xludf.DUMMYFUNCTION("""COMPUTED_VALUE"""),"GA10217-US")</f>
        <v>GA10217-US</v>
      </c>
      <c r="F13" s="517" t="str">
        <f>IFERROR(__xludf.DUMMYFUNCTION("""COMPUTED_VALUE"""),"GLBW0")</f>
        <v>GLBW0</v>
      </c>
      <c r="G13" s="517"/>
      <c r="H13" s="518" t="str">
        <f>IFERROR(__xludf.DUMMYFUNCTION("""COMPUTED_VALUE"""),"840353926813")</f>
        <v>840353926813</v>
      </c>
      <c r="I13" s="518" t="str">
        <f>IFERROR(__xludf.DUMMYFUNCTION("""COMPUTED_VALUE"""),"No")</f>
        <v>No</v>
      </c>
      <c r="J13" s="517" t="str">
        <f>IFERROR(__xludf.DUMMYFUNCTION("""COMPUTED_VALUE"""),"Retail_10ct")</f>
        <v>Retail_10ct</v>
      </c>
      <c r="K13" s="517" t="str">
        <f>IFERROR(__xludf.DUMMYFUNCTION("""COMPUTED_VALUE"""),"ROW Master Carton Label (UPC)")</f>
        <v>ROW Master Carton Label (UPC)</v>
      </c>
      <c r="L13" s="517" t="str">
        <f>IFERROR(__xludf.DUMMYFUNCTION("""COMPUTED_VALUE"""),"G990-08482-22-01
G990-08482-22-A")</f>
        <v>G990-08482-22-01
G990-08482-22-A</v>
      </c>
      <c r="M13" s="517" t="str">
        <f>IFERROR(__xludf.DUMMYFUNCTION("""COMPUTED_VALUE"""),"N/A")</f>
        <v>N/A</v>
      </c>
      <c r="N13" s="519" t="str">
        <f>IFERROR(__xludf.DUMMYFUNCTION("""COMPUTED_VALUE"""),"G990-09560-00-A")</f>
        <v>G990-09560-00-A</v>
      </c>
      <c r="O13" s="517" t="str">
        <f>IFERROR(__xludf.DUMMYFUNCTION("""COMPUTED_VALUE"""),"BOB→A
Retail→A")</f>
        <v>BOB→A
Retail→A</v>
      </c>
      <c r="P13" s="517" t="str">
        <f>IFERROR(__xludf.DUMMYFUNCTION("""COMPUTED_VALUE"""),"G990-09560-00-A")</f>
        <v>G990-09560-00-A</v>
      </c>
    </row>
    <row r="14">
      <c r="B14" s="517" t="str">
        <f>IFERROR(__xludf.DUMMYFUNCTION("""COMPUTED_VALUE"""),"GSTORE")</f>
        <v>GSTORE</v>
      </c>
      <c r="C14" s="518" t="str">
        <f>IFERROR(__xludf.DUMMYFUNCTION("""COMPUTED_VALUE"""),"0840353926837")</f>
        <v>0840353926837</v>
      </c>
      <c r="D14" s="517" t="str">
        <f>IFERROR(__xludf.DUMMYFUNCTION("""COMPUTED_VALUE"""),"Pristine")</f>
        <v>Pristine</v>
      </c>
      <c r="E14" s="517" t="str">
        <f>IFERROR(__xludf.DUMMYFUNCTION("""COMPUTED_VALUE"""),"GA10218-US")</f>
        <v>GA10218-US</v>
      </c>
      <c r="F14" s="517" t="str">
        <f>IFERROR(__xludf.DUMMYFUNCTION("""COMPUTED_VALUE"""),"GLBW0")</f>
        <v>GLBW0</v>
      </c>
      <c r="G14" s="517"/>
      <c r="H14" s="518" t="str">
        <f>IFERROR(__xludf.DUMMYFUNCTION("""COMPUTED_VALUE"""),"840353926837")</f>
        <v>840353926837</v>
      </c>
      <c r="I14" s="518" t="str">
        <f>IFERROR(__xludf.DUMMYFUNCTION("""COMPUTED_VALUE"""),"No")</f>
        <v>No</v>
      </c>
      <c r="J14" s="517" t="str">
        <f>IFERROR(__xludf.DUMMYFUNCTION("""COMPUTED_VALUE"""),"Retail_10ct")</f>
        <v>Retail_10ct</v>
      </c>
      <c r="K14" s="517" t="str">
        <f>IFERROR(__xludf.DUMMYFUNCTION("""COMPUTED_VALUE"""),"ROW Master Carton Label (UPC)")</f>
        <v>ROW Master Carton Label (UPC)</v>
      </c>
      <c r="L14" s="517" t="str">
        <f>IFERROR(__xludf.DUMMYFUNCTION("""COMPUTED_VALUE"""),"G990-08482-32-01
G990-08482-32-A")</f>
        <v>G990-08482-32-01
G990-08482-32-A</v>
      </c>
      <c r="M14" s="517" t="str">
        <f>IFERROR(__xludf.DUMMYFUNCTION("""COMPUTED_VALUE"""),"N/A")</f>
        <v>N/A</v>
      </c>
      <c r="N14" s="519" t="str">
        <f>IFERROR(__xludf.DUMMYFUNCTION("""COMPUTED_VALUE"""),"G990-09560-00-A")</f>
        <v>G990-09560-00-A</v>
      </c>
      <c r="O14" s="517" t="str">
        <f>IFERROR(__xludf.DUMMYFUNCTION("""COMPUTED_VALUE"""),"BOB→A
Retail→A")</f>
        <v>BOB→A
Retail→A</v>
      </c>
      <c r="P14" s="517" t="str">
        <f>IFERROR(__xludf.DUMMYFUNCTION("""COMPUTED_VALUE"""),"G990-09560-00-A")</f>
        <v>G990-09560-00-A</v>
      </c>
    </row>
    <row r="15">
      <c r="B15" s="517" t="str">
        <f>IFERROR(__xludf.DUMMYFUNCTION("""COMPUTED_VALUE"""),"GSTORE")</f>
        <v>GSTORE</v>
      </c>
      <c r="C15" s="518" t="str">
        <f>IFERROR(__xludf.DUMMYFUNCTION("""COMPUTED_VALUE"""),"0840353926820")</f>
        <v>0840353926820</v>
      </c>
      <c r="D15" s="517" t="str">
        <f>IFERROR(__xludf.DUMMYFUNCTION("""COMPUTED_VALUE"""),"Pristine")</f>
        <v>Pristine</v>
      </c>
      <c r="E15" s="517" t="str">
        <f>IFERROR(__xludf.DUMMYFUNCTION("""COMPUTED_VALUE"""),"GA10219-US")</f>
        <v>GA10219-US</v>
      </c>
      <c r="F15" s="517" t="str">
        <f>IFERROR(__xludf.DUMMYFUNCTION("""COMPUTED_VALUE"""),"GLBW0")</f>
        <v>GLBW0</v>
      </c>
      <c r="G15" s="517"/>
      <c r="H15" s="518" t="str">
        <f>IFERROR(__xludf.DUMMYFUNCTION("""COMPUTED_VALUE"""),"840353926820")</f>
        <v>840353926820</v>
      </c>
      <c r="I15" s="518" t="str">
        <f>IFERROR(__xludf.DUMMYFUNCTION("""COMPUTED_VALUE"""),"No")</f>
        <v>No</v>
      </c>
      <c r="J15" s="517" t="str">
        <f>IFERROR(__xludf.DUMMYFUNCTION("""COMPUTED_VALUE"""),"Retail_10ct")</f>
        <v>Retail_10ct</v>
      </c>
      <c r="K15" s="517" t="str">
        <f>IFERROR(__xludf.DUMMYFUNCTION("""COMPUTED_VALUE"""),"ROW Master Carton Label (UPC)")</f>
        <v>ROW Master Carton Label (UPC)</v>
      </c>
      <c r="L15" s="517" t="str">
        <f>IFERROR(__xludf.DUMMYFUNCTION("""COMPUTED_VALUE"""),"G990-08482-42-01
G990-08482-42-A")</f>
        <v>G990-08482-42-01
G990-08482-42-A</v>
      </c>
      <c r="M15" s="517" t="str">
        <f>IFERROR(__xludf.DUMMYFUNCTION("""COMPUTED_VALUE"""),"N/A")</f>
        <v>N/A</v>
      </c>
      <c r="N15" s="519" t="str">
        <f>IFERROR(__xludf.DUMMYFUNCTION("""COMPUTED_VALUE"""),"G990-09560-00-A")</f>
        <v>G990-09560-00-A</v>
      </c>
      <c r="O15" s="517" t="str">
        <f>IFERROR(__xludf.DUMMYFUNCTION("""COMPUTED_VALUE"""),"BOB→A
Retail→A")</f>
        <v>BOB→A
Retail→A</v>
      </c>
      <c r="P15" s="517" t="str">
        <f>IFERROR(__xludf.DUMMYFUNCTION("""COMPUTED_VALUE"""),"G990-09560-00-A")</f>
        <v>G990-09560-00-A</v>
      </c>
    </row>
    <row r="16">
      <c r="B16" s="517" t="str">
        <f>IFERROR(__xludf.DUMMYFUNCTION("""COMPUTED_VALUE"""),"CA/TW/SG/MY/AU/MX")</f>
        <v>CA/TW/SG/MY/AU/MX</v>
      </c>
      <c r="C16" s="518" t="str">
        <f>IFERROR(__xludf.DUMMYFUNCTION("""COMPUTED_VALUE"""),"0840353926882")</f>
        <v>0840353926882</v>
      </c>
      <c r="D16" s="517" t="str">
        <f>IFERROR(__xludf.DUMMYFUNCTION("""COMPUTED_VALUE"""),"Pristine")</f>
        <v>Pristine</v>
      </c>
      <c r="E16" s="517" t="str">
        <f>IFERROR(__xludf.DUMMYFUNCTION("""COMPUTED_VALUE"""),"GA09744-CA")</f>
        <v>GA09744-CA</v>
      </c>
      <c r="F16" s="517" t="str">
        <f>IFERROR(__xludf.DUMMYFUNCTION("""COMPUTED_VALUE"""),"GK2MP")</f>
        <v>GK2MP</v>
      </c>
      <c r="G16" s="517"/>
      <c r="H16" s="518" t="str">
        <f>IFERROR(__xludf.DUMMYFUNCTION("""COMPUTED_VALUE"""),"840353926882")</f>
        <v>840353926882</v>
      </c>
      <c r="I16" s="518" t="str">
        <f>IFERROR(__xludf.DUMMYFUNCTION("""COMPUTED_VALUE"""),"No")</f>
        <v>No</v>
      </c>
      <c r="J16" s="517" t="str">
        <f>IFERROR(__xludf.DUMMYFUNCTION("""COMPUTED_VALUE"""),"Retail_10ct")</f>
        <v>Retail_10ct</v>
      </c>
      <c r="K16" s="517" t="str">
        <f>IFERROR(__xludf.DUMMYFUNCTION("""COMPUTED_VALUE"""),"ROW Master Carton Label (UPC)")</f>
        <v>ROW Master Carton Label (UPC)</v>
      </c>
      <c r="L16" s="517" t="str">
        <f>IFERROR(__xludf.DUMMYFUNCTION("""COMPUTED_VALUE"""),"G990-08484-11-04
G990-08484-11-B")</f>
        <v>G990-08484-11-04
G990-08484-11-B</v>
      </c>
      <c r="M16" s="517" t="str">
        <f>IFERROR(__xludf.DUMMYFUNCTION("""COMPUTED_VALUE"""),"N/A")</f>
        <v>N/A</v>
      </c>
      <c r="N16" s="517" t="str">
        <f>IFERROR(__xludf.DUMMYFUNCTION("""COMPUTED_VALUE"""),"G990-09561-00-01
G990-09561-00-A")</f>
        <v>G990-09561-00-01
G990-09561-00-A</v>
      </c>
      <c r="O16" s="517" t="str">
        <f>IFERROR(__xludf.DUMMYFUNCTION("""COMPUTED_VALUE"""),"BOB→B
Retail→A")</f>
        <v>BOB→B
Retail→A</v>
      </c>
      <c r="P16" s="517" t="str">
        <f>IFERROR(__xludf.DUMMYFUNCTION("""COMPUTED_VALUE"""),"G990-09561-00-01
G990-09561-00-A")</f>
        <v>G990-09561-00-01
G990-09561-00-A</v>
      </c>
    </row>
    <row r="17">
      <c r="B17" s="517" t="str">
        <f>IFERROR(__xludf.DUMMYFUNCTION("""COMPUTED_VALUE"""),"CA/TW/SG/MY/AU/MX")</f>
        <v>CA/TW/SG/MY/AU/MX</v>
      </c>
      <c r="C17" s="518" t="str">
        <f>IFERROR(__xludf.DUMMYFUNCTION("""COMPUTED_VALUE"""),"0840353926998")</f>
        <v>0840353926998</v>
      </c>
      <c r="D17" s="517" t="str">
        <f>IFERROR(__xludf.DUMMYFUNCTION("""COMPUTED_VALUE"""),"Pristine")</f>
        <v>Pristine</v>
      </c>
      <c r="E17" s="517" t="str">
        <f>IFERROR(__xludf.DUMMYFUNCTION("""COMPUTED_VALUE"""),"GA10214-CA")</f>
        <v>GA10214-CA</v>
      </c>
      <c r="F17" s="517" t="str">
        <f>IFERROR(__xludf.DUMMYFUNCTION("""COMPUTED_VALUE"""),"GK2MP")</f>
        <v>GK2MP</v>
      </c>
      <c r="G17" s="517"/>
      <c r="H17" s="518" t="str">
        <f>IFERROR(__xludf.DUMMYFUNCTION("""COMPUTED_VALUE"""),"840353926998")</f>
        <v>840353926998</v>
      </c>
      <c r="I17" s="517"/>
      <c r="J17" s="517" t="str">
        <f>IFERROR(__xludf.DUMMYFUNCTION("""COMPUTED_VALUE""")," ")</f>
        <v> </v>
      </c>
      <c r="K17" s="517" t="str">
        <f>IFERROR(__xludf.DUMMYFUNCTION("""COMPUTED_VALUE"""),"ROW Master Carton Label (UPC)")</f>
        <v>ROW Master Carton Label (UPC)</v>
      </c>
      <c r="L17" s="517" t="str">
        <f>IFERROR(__xludf.DUMMYFUNCTION("""COMPUTED_VALUE"""),"G990-08484-21-04
G990-08484-21-B")</f>
        <v>G990-08484-21-04
G990-08484-21-B</v>
      </c>
      <c r="M17" s="517" t="str">
        <f>IFERROR(__xludf.DUMMYFUNCTION("""COMPUTED_VALUE"""),"N/A")</f>
        <v>N/A</v>
      </c>
      <c r="N17" s="517" t="str">
        <f>IFERROR(__xludf.DUMMYFUNCTION("""COMPUTED_VALUE"""),"G990-09561-00-01
G990-09561-00-A")</f>
        <v>G990-09561-00-01
G990-09561-00-A</v>
      </c>
      <c r="O17" s="517" t="str">
        <f>IFERROR(__xludf.DUMMYFUNCTION("""COMPUTED_VALUE"""),"BOB→B
Retail→A")</f>
        <v>BOB→B
Retail→A</v>
      </c>
      <c r="P17" s="517" t="str">
        <f>IFERROR(__xludf.DUMMYFUNCTION("""COMPUTED_VALUE"""),"G990-09561-00-01
G990-09561-00-A")</f>
        <v>G990-09561-00-01
G990-09561-00-A</v>
      </c>
    </row>
    <row r="18">
      <c r="B18" s="517" t="str">
        <f>IFERROR(__xludf.DUMMYFUNCTION("""COMPUTED_VALUE"""),"CA/TW/SG/MY/AU/MX")</f>
        <v>CA/TW/SG/MY/AU/MX</v>
      </c>
      <c r="C18" s="518" t="str">
        <f>IFERROR(__xludf.DUMMYFUNCTION("""COMPUTED_VALUE"""),"0840353926950")</f>
        <v>0840353926950</v>
      </c>
      <c r="D18" s="517" t="str">
        <f>IFERROR(__xludf.DUMMYFUNCTION("""COMPUTED_VALUE"""),"Pristine")</f>
        <v>Pristine</v>
      </c>
      <c r="E18" s="517" t="str">
        <f>IFERROR(__xludf.DUMMYFUNCTION("""COMPUTED_VALUE"""),"GA10215-CA")</f>
        <v>GA10215-CA</v>
      </c>
      <c r="F18" s="517" t="str">
        <f>IFERROR(__xludf.DUMMYFUNCTION("""COMPUTED_VALUE"""),"GK2MP")</f>
        <v>GK2MP</v>
      </c>
      <c r="G18" s="517"/>
      <c r="H18" s="518" t="str">
        <f>IFERROR(__xludf.DUMMYFUNCTION("""COMPUTED_VALUE"""),"840353926950")</f>
        <v>840353926950</v>
      </c>
      <c r="I18" s="518" t="str">
        <f>IFERROR(__xludf.DUMMYFUNCTION("""COMPUTED_VALUE"""),"No")</f>
        <v>No</v>
      </c>
      <c r="J18" s="517" t="str">
        <f>IFERROR(__xludf.DUMMYFUNCTION("""COMPUTED_VALUE"""),"Retail_10ct")</f>
        <v>Retail_10ct</v>
      </c>
      <c r="K18" s="517" t="str">
        <f>IFERROR(__xludf.DUMMYFUNCTION("""COMPUTED_VALUE"""),"ROW Master Carton Label (UPC)")</f>
        <v>ROW Master Carton Label (UPC)</v>
      </c>
      <c r="L18" s="517" t="str">
        <f>IFERROR(__xludf.DUMMYFUNCTION("""COMPUTED_VALUE"""),"G990-08484-31-04
G990-08484-31-B")</f>
        <v>G990-08484-31-04
G990-08484-31-B</v>
      </c>
      <c r="M18" s="517" t="str">
        <f>IFERROR(__xludf.DUMMYFUNCTION("""COMPUTED_VALUE"""),"N/A")</f>
        <v>N/A</v>
      </c>
      <c r="N18" s="517" t="str">
        <f>IFERROR(__xludf.DUMMYFUNCTION("""COMPUTED_VALUE"""),"G990-09561-00-01
G990-09561-00-A")</f>
        <v>G990-09561-00-01
G990-09561-00-A</v>
      </c>
      <c r="O18" s="517" t="str">
        <f>IFERROR(__xludf.DUMMYFUNCTION("""COMPUTED_VALUE"""),"BOB→B
Retail→A")</f>
        <v>BOB→B
Retail→A</v>
      </c>
      <c r="P18" s="517" t="str">
        <f>IFERROR(__xludf.DUMMYFUNCTION("""COMPUTED_VALUE"""),"G990-09561-00-01
G990-09561-00-A")</f>
        <v>G990-09561-00-01
G990-09561-00-A</v>
      </c>
    </row>
    <row r="19">
      <c r="B19" s="517" t="str">
        <f>IFERROR(__xludf.DUMMYFUNCTION("""COMPUTED_VALUE"""),"CA/TW/SG/MY/AU/MX")</f>
        <v>CA/TW/SG/MY/AU/MX</v>
      </c>
      <c r="C19" s="518" t="str">
        <f>IFERROR(__xludf.DUMMYFUNCTION("""COMPUTED_VALUE"""),"0840353926967")</f>
        <v>0840353926967</v>
      </c>
      <c r="D19" s="517" t="str">
        <f>IFERROR(__xludf.DUMMYFUNCTION("""COMPUTED_VALUE"""),"Pristine")</f>
        <v>Pristine</v>
      </c>
      <c r="E19" s="517" t="str">
        <f>IFERROR(__xludf.DUMMYFUNCTION("""COMPUTED_VALUE"""),"GA10216-CA")</f>
        <v>GA10216-CA</v>
      </c>
      <c r="F19" s="517" t="str">
        <f>IFERROR(__xludf.DUMMYFUNCTION("""COMPUTED_VALUE"""),"GK2MP")</f>
        <v>GK2MP</v>
      </c>
      <c r="G19" s="517"/>
      <c r="H19" s="518" t="str">
        <f>IFERROR(__xludf.DUMMYFUNCTION("""COMPUTED_VALUE"""),"840353926967")</f>
        <v>840353926967</v>
      </c>
      <c r="I19" s="518" t="str">
        <f>IFERROR(__xludf.DUMMYFUNCTION("""COMPUTED_VALUE"""),"No")</f>
        <v>No</v>
      </c>
      <c r="J19" s="517" t="str">
        <f>IFERROR(__xludf.DUMMYFUNCTION("""COMPUTED_VALUE"""),"Retail_10ct")</f>
        <v>Retail_10ct</v>
      </c>
      <c r="K19" s="517" t="str">
        <f>IFERROR(__xludf.DUMMYFUNCTION("""COMPUTED_VALUE"""),"ROW Master Carton Label (UPC)")</f>
        <v>ROW Master Carton Label (UPC)</v>
      </c>
      <c r="L19" s="517" t="str">
        <f>IFERROR(__xludf.DUMMYFUNCTION("""COMPUTED_VALUE"""),"G990-08484-41-04
G990-08484-41-B")</f>
        <v>G990-08484-41-04
G990-08484-41-B</v>
      </c>
      <c r="M19" s="517" t="str">
        <f>IFERROR(__xludf.DUMMYFUNCTION("""COMPUTED_VALUE"""),"N/A")</f>
        <v>N/A</v>
      </c>
      <c r="N19" s="517" t="str">
        <f>IFERROR(__xludf.DUMMYFUNCTION("""COMPUTED_VALUE"""),"G990-09561-00-01
G990-09561-00-A")</f>
        <v>G990-09561-00-01
G990-09561-00-A</v>
      </c>
      <c r="O19" s="517" t="str">
        <f>IFERROR(__xludf.DUMMYFUNCTION("""COMPUTED_VALUE"""),"BOB→B
Retail→A")</f>
        <v>BOB→B
Retail→A</v>
      </c>
      <c r="P19" s="517" t="str">
        <f>IFERROR(__xludf.DUMMYFUNCTION("""COMPUTED_VALUE"""),"G990-09561-00-01
G990-09561-00-A")</f>
        <v>G990-09561-00-01
G990-09561-00-A</v>
      </c>
    </row>
    <row r="20">
      <c r="B20" s="517" t="str">
        <f>IFERROR(__xludf.DUMMYFUNCTION("""COMPUTED_VALUE"""),"CA/TW/SG/MY/AU/MX")</f>
        <v>CA/TW/SG/MY/AU/MX</v>
      </c>
      <c r="C20" s="518" t="str">
        <f>IFERROR(__xludf.DUMMYFUNCTION("""COMPUTED_VALUE"""),"0840353926530")</f>
        <v>0840353926530</v>
      </c>
      <c r="D20" s="517" t="str">
        <f>IFERROR(__xludf.DUMMYFUNCTION("""COMPUTED_VALUE"""),"Pristine")</f>
        <v>Pristine</v>
      </c>
      <c r="E20" s="517" t="str">
        <f>IFERROR(__xludf.DUMMYFUNCTION("""COMPUTED_VALUE"""),"GA09883-CA")</f>
        <v>GA09883-CA</v>
      </c>
      <c r="F20" s="517" t="str">
        <f>IFERROR(__xludf.DUMMYFUNCTION("""COMPUTED_VALUE"""),"GK2MP")</f>
        <v>GK2MP</v>
      </c>
      <c r="G20" s="517"/>
      <c r="H20" s="518" t="str">
        <f>IFERROR(__xludf.DUMMYFUNCTION("""COMPUTED_VALUE"""),"840353926530")</f>
        <v>840353926530</v>
      </c>
      <c r="I20" s="518" t="str">
        <f>IFERROR(__xludf.DUMMYFUNCTION("""COMPUTED_VALUE"""),"No")</f>
        <v>No</v>
      </c>
      <c r="J20" s="517" t="str">
        <f>IFERROR(__xludf.DUMMYFUNCTION("""COMPUTED_VALUE"""),"Retail_10ct")</f>
        <v>Retail_10ct</v>
      </c>
      <c r="K20" s="517" t="str">
        <f>IFERROR(__xludf.DUMMYFUNCTION("""COMPUTED_VALUE"""),"ROW Master Carton Label (UPC)")</f>
        <v>ROW Master Carton Label (UPC)</v>
      </c>
      <c r="L20" s="517" t="str">
        <f>IFERROR(__xludf.DUMMYFUNCTION("""COMPUTED_VALUE"""),"G990-08484-12-04
G990-08484-12-B")</f>
        <v>G990-08484-12-04
G990-08484-12-B</v>
      </c>
      <c r="M20" s="517" t="str">
        <f>IFERROR(__xludf.DUMMYFUNCTION("""COMPUTED_VALUE"""),"N/A")</f>
        <v>N/A</v>
      </c>
      <c r="N20" s="517" t="str">
        <f>IFERROR(__xludf.DUMMYFUNCTION("""COMPUTED_VALUE"""),"G990-09561-00-01
G990-09561-00-A")</f>
        <v>G990-09561-00-01
G990-09561-00-A</v>
      </c>
      <c r="O20" s="517" t="str">
        <f>IFERROR(__xludf.DUMMYFUNCTION("""COMPUTED_VALUE"""),"BOB→B
Retail→A")</f>
        <v>BOB→B
Retail→A</v>
      </c>
      <c r="P20" s="517" t="str">
        <f>IFERROR(__xludf.DUMMYFUNCTION("""COMPUTED_VALUE"""),"G990-09561-00-01
G990-09561-00-A")</f>
        <v>G990-09561-00-01
G990-09561-00-A</v>
      </c>
    </row>
    <row r="21">
      <c r="B21" s="517" t="str">
        <f>IFERROR(__xludf.DUMMYFUNCTION("""COMPUTED_VALUE"""),"CA/TW/SG/MY/AU/MX")</f>
        <v>CA/TW/SG/MY/AU/MX</v>
      </c>
      <c r="C21" s="518" t="str">
        <f>IFERROR(__xludf.DUMMYFUNCTION("""COMPUTED_VALUE"""),"0840353926615")</f>
        <v>0840353926615</v>
      </c>
      <c r="D21" s="517" t="str">
        <f>IFERROR(__xludf.DUMMYFUNCTION("""COMPUTED_VALUE"""),"Pristine")</f>
        <v>Pristine</v>
      </c>
      <c r="E21" s="517" t="str">
        <f>IFERROR(__xludf.DUMMYFUNCTION("""COMPUTED_VALUE"""),"GA10217-CA")</f>
        <v>GA10217-CA</v>
      </c>
      <c r="F21" s="517" t="str">
        <f>IFERROR(__xludf.DUMMYFUNCTION("""COMPUTED_VALUE"""),"GK2MP")</f>
        <v>GK2MP</v>
      </c>
      <c r="G21" s="517"/>
      <c r="H21" s="518" t="str">
        <f>IFERROR(__xludf.DUMMYFUNCTION("""COMPUTED_VALUE"""),"840353926615")</f>
        <v>840353926615</v>
      </c>
      <c r="I21" s="518" t="str">
        <f>IFERROR(__xludf.DUMMYFUNCTION("""COMPUTED_VALUE"""),"No")</f>
        <v>No</v>
      </c>
      <c r="J21" s="517" t="str">
        <f>IFERROR(__xludf.DUMMYFUNCTION("""COMPUTED_VALUE"""),"Retail_10ct")</f>
        <v>Retail_10ct</v>
      </c>
      <c r="K21" s="517" t="str">
        <f>IFERROR(__xludf.DUMMYFUNCTION("""COMPUTED_VALUE"""),"ROW Master Carton Label (UPC)")</f>
        <v>ROW Master Carton Label (UPC)</v>
      </c>
      <c r="L21" s="517" t="str">
        <f>IFERROR(__xludf.DUMMYFUNCTION("""COMPUTED_VALUE"""),"G990-08484-22-04
G990-08484-22-B")</f>
        <v>G990-08484-22-04
G990-08484-22-B</v>
      </c>
      <c r="M21" s="517" t="str">
        <f>IFERROR(__xludf.DUMMYFUNCTION("""COMPUTED_VALUE"""),"N/A")</f>
        <v>N/A</v>
      </c>
      <c r="N21" s="517" t="str">
        <f>IFERROR(__xludf.DUMMYFUNCTION("""COMPUTED_VALUE"""),"G990-09561-00-01
G990-09561-00-A")</f>
        <v>G990-09561-00-01
G990-09561-00-A</v>
      </c>
      <c r="O21" s="517" t="str">
        <f>IFERROR(__xludf.DUMMYFUNCTION("""COMPUTED_VALUE"""),"BOB→B
Retail→A")</f>
        <v>BOB→B
Retail→A</v>
      </c>
      <c r="P21" s="517" t="str">
        <f>IFERROR(__xludf.DUMMYFUNCTION("""COMPUTED_VALUE"""),"G990-09561-00-01
G990-09561-00-A")</f>
        <v>G990-09561-00-01
G990-09561-00-A</v>
      </c>
    </row>
    <row r="22">
      <c r="B22" s="517" t="str">
        <f>IFERROR(__xludf.DUMMYFUNCTION("""COMPUTED_VALUE"""),"CA/TW/SG/MY/AU/MX")</f>
        <v>CA/TW/SG/MY/AU/MX</v>
      </c>
      <c r="C22" s="518" t="str">
        <f>IFERROR(__xludf.DUMMYFUNCTION("""COMPUTED_VALUE"""),"0840353926653")</f>
        <v>0840353926653</v>
      </c>
      <c r="D22" s="517" t="str">
        <f>IFERROR(__xludf.DUMMYFUNCTION("""COMPUTED_VALUE"""),"Pristine")</f>
        <v>Pristine</v>
      </c>
      <c r="E22" s="517" t="str">
        <f>IFERROR(__xludf.DUMMYFUNCTION("""COMPUTED_VALUE"""),"GA10218-CA")</f>
        <v>GA10218-CA</v>
      </c>
      <c r="F22" s="517" t="str">
        <f>IFERROR(__xludf.DUMMYFUNCTION("""COMPUTED_VALUE"""),"GK2MP")</f>
        <v>GK2MP</v>
      </c>
      <c r="G22" s="517"/>
      <c r="H22" s="518" t="str">
        <f>IFERROR(__xludf.DUMMYFUNCTION("""COMPUTED_VALUE"""),"840353926653")</f>
        <v>840353926653</v>
      </c>
      <c r="I22" s="518" t="str">
        <f>IFERROR(__xludf.DUMMYFUNCTION("""COMPUTED_VALUE"""),"No")</f>
        <v>No</v>
      </c>
      <c r="J22" s="517" t="str">
        <f>IFERROR(__xludf.DUMMYFUNCTION("""COMPUTED_VALUE"""),"Retail_10ct")</f>
        <v>Retail_10ct</v>
      </c>
      <c r="K22" s="517" t="str">
        <f>IFERROR(__xludf.DUMMYFUNCTION("""COMPUTED_VALUE"""),"ROW Master Carton Label (UPC)")</f>
        <v>ROW Master Carton Label (UPC)</v>
      </c>
      <c r="L22" s="517" t="str">
        <f>IFERROR(__xludf.DUMMYFUNCTION("""COMPUTED_VALUE"""),"G990-08484-32-04
G990-08484-32-B")</f>
        <v>G990-08484-32-04
G990-08484-32-B</v>
      </c>
      <c r="M22" s="517" t="str">
        <f>IFERROR(__xludf.DUMMYFUNCTION("""COMPUTED_VALUE"""),"N/A")</f>
        <v>N/A</v>
      </c>
      <c r="N22" s="517" t="str">
        <f>IFERROR(__xludf.DUMMYFUNCTION("""COMPUTED_VALUE"""),"G990-09561-00-01
G990-09561-00-A")</f>
        <v>G990-09561-00-01
G990-09561-00-A</v>
      </c>
      <c r="O22" s="517" t="str">
        <f>IFERROR(__xludf.DUMMYFUNCTION("""COMPUTED_VALUE"""),"BOB→B
Retail→A")</f>
        <v>BOB→B
Retail→A</v>
      </c>
      <c r="P22" s="517" t="str">
        <f>IFERROR(__xludf.DUMMYFUNCTION("""COMPUTED_VALUE"""),"G990-09561-00-01
G990-09561-00-A")</f>
        <v>G990-09561-00-01
G990-09561-00-A</v>
      </c>
    </row>
    <row r="23">
      <c r="B23" s="517" t="str">
        <f>IFERROR(__xludf.DUMMYFUNCTION("""COMPUTED_VALUE"""),"CA/TW/SG/MY/AU/MX")</f>
        <v>CA/TW/SG/MY/AU/MX</v>
      </c>
      <c r="C23" s="518" t="str">
        <f>IFERROR(__xludf.DUMMYFUNCTION("""COMPUTED_VALUE"""),"0840353926622")</f>
        <v>0840353926622</v>
      </c>
      <c r="D23" s="517" t="str">
        <f>IFERROR(__xludf.DUMMYFUNCTION("""COMPUTED_VALUE"""),"Pristine")</f>
        <v>Pristine</v>
      </c>
      <c r="E23" s="517" t="str">
        <f>IFERROR(__xludf.DUMMYFUNCTION("""COMPUTED_VALUE"""),"GA10219-CA")</f>
        <v>GA10219-CA</v>
      </c>
      <c r="F23" s="517" t="str">
        <f>IFERROR(__xludf.DUMMYFUNCTION("""COMPUTED_VALUE"""),"GK2MP")</f>
        <v>GK2MP</v>
      </c>
      <c r="G23" s="517"/>
      <c r="H23" s="518" t="str">
        <f>IFERROR(__xludf.DUMMYFUNCTION("""COMPUTED_VALUE"""),"840353926622")</f>
        <v>840353926622</v>
      </c>
      <c r="I23" s="518" t="str">
        <f>IFERROR(__xludf.DUMMYFUNCTION("""COMPUTED_VALUE"""),"No")</f>
        <v>No</v>
      </c>
      <c r="J23" s="517" t="str">
        <f>IFERROR(__xludf.DUMMYFUNCTION("""COMPUTED_VALUE"""),"Retail_10ct")</f>
        <v>Retail_10ct</v>
      </c>
      <c r="K23" s="517" t="str">
        <f>IFERROR(__xludf.DUMMYFUNCTION("""COMPUTED_VALUE"""),"ROW Master Carton Label (UPC)")</f>
        <v>ROW Master Carton Label (UPC)</v>
      </c>
      <c r="L23" s="517" t="str">
        <f>IFERROR(__xludf.DUMMYFUNCTION("""COMPUTED_VALUE"""),"G990-08484-42-04
G990-08484-42-B")</f>
        <v>G990-08484-42-04
G990-08484-42-B</v>
      </c>
      <c r="M23" s="517" t="str">
        <f>IFERROR(__xludf.DUMMYFUNCTION("""COMPUTED_VALUE"""),"N/A")</f>
        <v>N/A</v>
      </c>
      <c r="N23" s="517" t="str">
        <f>IFERROR(__xludf.DUMMYFUNCTION("""COMPUTED_VALUE"""),"G990-09561-00-01
G990-09561-00-A")</f>
        <v>G990-09561-00-01
G990-09561-00-A</v>
      </c>
      <c r="O23" s="517" t="str">
        <f>IFERROR(__xludf.DUMMYFUNCTION("""COMPUTED_VALUE"""),"BOB→B
Retail→A")</f>
        <v>BOB→B
Retail→A</v>
      </c>
      <c r="P23" s="517" t="str">
        <f>IFERROR(__xludf.DUMMYFUNCTION("""COMPUTED_VALUE"""),"G990-09561-00-01
G990-09561-00-A")</f>
        <v>G990-09561-00-01
G990-09561-00-A</v>
      </c>
    </row>
    <row r="24">
      <c r="B24" s="517" t="str">
        <f>IFERROR(__xludf.DUMMYFUNCTION("""COMPUTED_VALUE"""),"UK,DE, IT, ES, IE,FR, NO,SE,DK,NL, BE, AT, CH, PT, PL, SK,")</f>
        <v>UK,DE, IT, ES, IE,FR, NO,SE,DK,NL, BE, AT, CH, PT, PL, SK,</v>
      </c>
      <c r="C24" s="518" t="str">
        <f>IFERROR(__xludf.DUMMYFUNCTION("""COMPUTED_VALUE"""),"0840353926905")</f>
        <v>0840353926905</v>
      </c>
      <c r="D24" s="517" t="str">
        <f>IFERROR(__xludf.DUMMYFUNCTION("""COMPUTED_VALUE"""),"Pristine")</f>
        <v>Pristine</v>
      </c>
      <c r="E24" s="517" t="str">
        <f>IFERROR(__xludf.DUMMYFUNCTION("""COMPUTED_VALUE"""),"GA09744-GB")</f>
        <v>GA09744-GB</v>
      </c>
      <c r="F24" s="517" t="str">
        <f>IFERROR(__xludf.DUMMYFUNCTION("""COMPUTED_VALUE"""),"GK2MP
")</f>
        <v>GK2MP
</v>
      </c>
      <c r="G24" s="517"/>
      <c r="H24" s="518" t="str">
        <f>IFERROR(__xludf.DUMMYFUNCTION("""COMPUTED_VALUE"""),"840353926905")</f>
        <v>840353926905</v>
      </c>
      <c r="I24" s="518" t="str">
        <f>IFERROR(__xludf.DUMMYFUNCTION("""COMPUTED_VALUE"""),"No")</f>
        <v>No</v>
      </c>
      <c r="J24" s="517" t="str">
        <f>IFERROR(__xludf.DUMMYFUNCTION("""COMPUTED_VALUE"""),"Retail_10ct")</f>
        <v>Retail_10ct</v>
      </c>
      <c r="K24" s="517" t="str">
        <f>IFERROR(__xludf.DUMMYFUNCTION("""COMPUTED_VALUE"""),"ROW Master Carton Label (EAN)")</f>
        <v>ROW Master Carton Label (EAN)</v>
      </c>
      <c r="L24" s="517" t="str">
        <f>IFERROR(__xludf.DUMMYFUNCTION("""COMPUTED_VALUE"""),"G990-08490-11-05
G990-08490-11-B")</f>
        <v>G990-08490-11-05
G990-08490-11-B</v>
      </c>
      <c r="M24" s="517" t="str">
        <f>IFERROR(__xludf.DUMMYFUNCTION("""COMPUTED_VALUE"""),"N/A")</f>
        <v>N/A</v>
      </c>
      <c r="N24" s="517" t="str">
        <f>IFERROR(__xludf.DUMMYFUNCTION("""COMPUTED_VALUE"""),"G990-09563-00-A
G990-09563-00-B")</f>
        <v>G990-09563-00-A
G990-09563-00-B</v>
      </c>
      <c r="O24" s="517" t="str">
        <f>IFERROR(__xludf.DUMMYFUNCTION("""COMPUTED_VALUE"""),"BOB→B
Retail→B")</f>
        <v>BOB→B
Retail→B</v>
      </c>
      <c r="P24" s="517" t="str">
        <f>IFERROR(__xludf.DUMMYFUNCTION("""COMPUTED_VALUE"""),"G990-09563-00-A
G990-09563-00-B")</f>
        <v>G990-09563-00-A
G990-09563-00-B</v>
      </c>
    </row>
    <row r="25">
      <c r="B25" s="517" t="str">
        <f>IFERROR(__xludf.DUMMYFUNCTION("""COMPUTED_VALUE"""),"UK,DE, IT, ES, IE,FR, NO,SE,DK,NL, BE, AT, CH, PT, PL, SK,")</f>
        <v>UK,DE, IT, ES, IE,FR, NO,SE,DK,NL, BE, AT, CH, PT, PL, SK,</v>
      </c>
      <c r="C25" s="518" t="str">
        <f>IFERROR(__xludf.DUMMYFUNCTION("""COMPUTED_VALUE"""),"0840353926943")</f>
        <v>0840353926943</v>
      </c>
      <c r="D25" s="517" t="str">
        <f>IFERROR(__xludf.DUMMYFUNCTION("""COMPUTED_VALUE"""),"Pristine")</f>
        <v>Pristine</v>
      </c>
      <c r="E25" s="517" t="str">
        <f>IFERROR(__xludf.DUMMYFUNCTION("""COMPUTED_VALUE"""),"GA10214-GB")</f>
        <v>GA10214-GB</v>
      </c>
      <c r="F25" s="517" t="str">
        <f>IFERROR(__xludf.DUMMYFUNCTION("""COMPUTED_VALUE"""),"GK2MP
")</f>
        <v>GK2MP
</v>
      </c>
      <c r="G25" s="517"/>
      <c r="H25" s="518" t="str">
        <f>IFERROR(__xludf.DUMMYFUNCTION("""COMPUTED_VALUE"""),"840353926943")</f>
        <v>840353926943</v>
      </c>
      <c r="I25" s="518" t="str">
        <f>IFERROR(__xludf.DUMMYFUNCTION("""COMPUTED_VALUE"""),"No")</f>
        <v>No</v>
      </c>
      <c r="J25" s="517" t="str">
        <f>IFERROR(__xludf.DUMMYFUNCTION("""COMPUTED_VALUE"""),"Retail_10ct")</f>
        <v>Retail_10ct</v>
      </c>
      <c r="K25" s="517" t="str">
        <f>IFERROR(__xludf.DUMMYFUNCTION("""COMPUTED_VALUE"""),"ROW Master Carton Label (EAN)")</f>
        <v>ROW Master Carton Label (EAN)</v>
      </c>
      <c r="L25" s="517" t="str">
        <f>IFERROR(__xludf.DUMMYFUNCTION("""COMPUTED_VALUE"""),"G990-08490-21-05
G990-08490-21-B")</f>
        <v>G990-08490-21-05
G990-08490-21-B</v>
      </c>
      <c r="M25" s="517" t="str">
        <f>IFERROR(__xludf.DUMMYFUNCTION("""COMPUTED_VALUE"""),"N/A")</f>
        <v>N/A</v>
      </c>
      <c r="N25" s="517" t="str">
        <f>IFERROR(__xludf.DUMMYFUNCTION("""COMPUTED_VALUE"""),"G990-09563-00-A
G990-09563-00-B")</f>
        <v>G990-09563-00-A
G990-09563-00-B</v>
      </c>
      <c r="O25" s="517" t="str">
        <f>IFERROR(__xludf.DUMMYFUNCTION("""COMPUTED_VALUE"""),"BOB→B
Retail→B")</f>
        <v>BOB→B
Retail→B</v>
      </c>
      <c r="P25" s="517" t="str">
        <f>IFERROR(__xludf.DUMMYFUNCTION("""COMPUTED_VALUE"""),"G990-09563-00-A
G990-09563-00-B")</f>
        <v>G990-09563-00-A
G990-09563-00-B</v>
      </c>
    </row>
    <row r="26">
      <c r="B26" s="517" t="str">
        <f>IFERROR(__xludf.DUMMYFUNCTION("""COMPUTED_VALUE"""),"UK,DE, IT, ES, IE,FR, NO,SE,DK,NL, BE, AT, CH, PT, PL, SK,")</f>
        <v>UK,DE, IT, ES, IE,FR, NO,SE,DK,NL, BE, AT, CH, PT, PL, SK,</v>
      </c>
      <c r="C26" s="518" t="str">
        <f>IFERROR(__xludf.DUMMYFUNCTION("""COMPUTED_VALUE"""),"0840353926929")</f>
        <v>0840353926929</v>
      </c>
      <c r="D26" s="517" t="str">
        <f>IFERROR(__xludf.DUMMYFUNCTION("""COMPUTED_VALUE"""),"Pristine")</f>
        <v>Pristine</v>
      </c>
      <c r="E26" s="517" t="str">
        <f>IFERROR(__xludf.DUMMYFUNCTION("""COMPUTED_VALUE"""),"GA10215-GB")</f>
        <v>GA10215-GB</v>
      </c>
      <c r="F26" s="517" t="str">
        <f>IFERROR(__xludf.DUMMYFUNCTION("""COMPUTED_VALUE"""),"GK2MP
")</f>
        <v>GK2MP
</v>
      </c>
      <c r="G26" s="517"/>
      <c r="H26" s="518" t="str">
        <f>IFERROR(__xludf.DUMMYFUNCTION("""COMPUTED_VALUE"""),"840353926929")</f>
        <v>840353926929</v>
      </c>
      <c r="I26" s="518" t="str">
        <f>IFERROR(__xludf.DUMMYFUNCTION("""COMPUTED_VALUE"""),"No")</f>
        <v>No</v>
      </c>
      <c r="J26" s="517" t="str">
        <f>IFERROR(__xludf.DUMMYFUNCTION("""COMPUTED_VALUE"""),"Retail_10ct")</f>
        <v>Retail_10ct</v>
      </c>
      <c r="K26" s="517" t="str">
        <f>IFERROR(__xludf.DUMMYFUNCTION("""COMPUTED_VALUE"""),"ROW Master Carton Label (EAN)")</f>
        <v>ROW Master Carton Label (EAN)</v>
      </c>
      <c r="L26" s="517" t="str">
        <f>IFERROR(__xludf.DUMMYFUNCTION("""COMPUTED_VALUE"""),"G990-08490-31-05
G990-08490-31-B")</f>
        <v>G990-08490-31-05
G990-08490-31-B</v>
      </c>
      <c r="M26" s="517" t="str">
        <f>IFERROR(__xludf.DUMMYFUNCTION("""COMPUTED_VALUE"""),"N/A")</f>
        <v>N/A</v>
      </c>
      <c r="N26" s="517" t="str">
        <f>IFERROR(__xludf.DUMMYFUNCTION("""COMPUTED_VALUE"""),"G990-09563-00-A
G990-09563-00-B")</f>
        <v>G990-09563-00-A
G990-09563-00-B</v>
      </c>
      <c r="O26" s="517" t="str">
        <f>IFERROR(__xludf.DUMMYFUNCTION("""COMPUTED_VALUE"""),"BOB→B
Retail→B")</f>
        <v>BOB→B
Retail→B</v>
      </c>
      <c r="P26" s="517" t="str">
        <f>IFERROR(__xludf.DUMMYFUNCTION("""COMPUTED_VALUE"""),"G990-09563-00-A
G990-09563-00-B")</f>
        <v>G990-09563-00-A
G990-09563-00-B</v>
      </c>
    </row>
    <row r="27">
      <c r="B27" s="517" t="str">
        <f>IFERROR(__xludf.DUMMYFUNCTION("""COMPUTED_VALUE"""),"UK,DE, IT, ES, IE,FR, NO,SE,DK,NL, BE, AT, CH, PT, PL, SK,")</f>
        <v>UK,DE, IT, ES, IE,FR, NO,SE,DK,NL, BE, AT, CH, PT, PL, SK,</v>
      </c>
      <c r="C27" s="518" t="str">
        <f>IFERROR(__xludf.DUMMYFUNCTION("""COMPUTED_VALUE"""),"0840353926981")</f>
        <v>0840353926981</v>
      </c>
      <c r="D27" s="517" t="str">
        <f>IFERROR(__xludf.DUMMYFUNCTION("""COMPUTED_VALUE"""),"Pristine")</f>
        <v>Pristine</v>
      </c>
      <c r="E27" s="517" t="str">
        <f>IFERROR(__xludf.DUMMYFUNCTION("""COMPUTED_VALUE"""),"GA10216-GB")</f>
        <v>GA10216-GB</v>
      </c>
      <c r="F27" s="517" t="str">
        <f>IFERROR(__xludf.DUMMYFUNCTION("""COMPUTED_VALUE"""),"GK2MP
")</f>
        <v>GK2MP
</v>
      </c>
      <c r="G27" s="517"/>
      <c r="H27" s="518" t="str">
        <f>IFERROR(__xludf.DUMMYFUNCTION("""COMPUTED_VALUE"""),"840353926981")</f>
        <v>840353926981</v>
      </c>
      <c r="I27" s="518" t="str">
        <f>IFERROR(__xludf.DUMMYFUNCTION("""COMPUTED_VALUE"""),"No")</f>
        <v>No</v>
      </c>
      <c r="J27" s="517" t="str">
        <f>IFERROR(__xludf.DUMMYFUNCTION("""COMPUTED_VALUE"""),"Retail_10ct")</f>
        <v>Retail_10ct</v>
      </c>
      <c r="K27" s="517" t="str">
        <f>IFERROR(__xludf.DUMMYFUNCTION("""COMPUTED_VALUE"""),"ROW Master Carton Label (EAN)")</f>
        <v>ROW Master Carton Label (EAN)</v>
      </c>
      <c r="L27" s="517" t="str">
        <f>IFERROR(__xludf.DUMMYFUNCTION("""COMPUTED_VALUE"""),"G990-08490-41-05
G990-08490-41-B")</f>
        <v>G990-08490-41-05
G990-08490-41-B</v>
      </c>
      <c r="M27" s="517" t="str">
        <f>IFERROR(__xludf.DUMMYFUNCTION("""COMPUTED_VALUE"""),"N/A")</f>
        <v>N/A</v>
      </c>
      <c r="N27" s="517" t="str">
        <f>IFERROR(__xludf.DUMMYFUNCTION("""COMPUTED_VALUE"""),"G990-09563-00-A
G990-09563-00-B")</f>
        <v>G990-09563-00-A
G990-09563-00-B</v>
      </c>
      <c r="O27" s="517" t="str">
        <f>IFERROR(__xludf.DUMMYFUNCTION("""COMPUTED_VALUE"""),"BOB→B
Retail→B")</f>
        <v>BOB→B
Retail→B</v>
      </c>
      <c r="P27" s="517" t="str">
        <f>IFERROR(__xludf.DUMMYFUNCTION("""COMPUTED_VALUE"""),"G990-09563-00-A
G990-09563-00-B")</f>
        <v>G990-09563-00-A
G990-09563-00-B</v>
      </c>
    </row>
    <row r="28">
      <c r="B28" s="517" t="str">
        <f>IFERROR(__xludf.DUMMYFUNCTION("""COMPUTED_VALUE"""),"UK,DE, IT, ES, IE,FR, NO,SE,DK,NL, BE, AT, CH, PT, PL, SK,")</f>
        <v>UK,DE, IT, ES, IE,FR, NO,SE,DK,NL, BE, AT, CH, PT, PL, SK,</v>
      </c>
      <c r="C28" s="518" t="str">
        <f>IFERROR(__xludf.DUMMYFUNCTION("""COMPUTED_VALUE"""),"0840353926547")</f>
        <v>0840353926547</v>
      </c>
      <c r="D28" s="517" t="str">
        <f>IFERROR(__xludf.DUMMYFUNCTION("""COMPUTED_VALUE"""),"Pristine")</f>
        <v>Pristine</v>
      </c>
      <c r="E28" s="517" t="str">
        <f>IFERROR(__xludf.DUMMYFUNCTION("""COMPUTED_VALUE"""),"GA09883-GB")</f>
        <v>GA09883-GB</v>
      </c>
      <c r="F28" s="517" t="str">
        <f>IFERROR(__xludf.DUMMYFUNCTION("""COMPUTED_VALUE"""),"GK2MP
")</f>
        <v>GK2MP
</v>
      </c>
      <c r="G28" s="517"/>
      <c r="H28" s="518" t="str">
        <f>IFERROR(__xludf.DUMMYFUNCTION("""COMPUTED_VALUE"""),"840353926547")</f>
        <v>840353926547</v>
      </c>
      <c r="I28" s="518" t="str">
        <f>IFERROR(__xludf.DUMMYFUNCTION("""COMPUTED_VALUE"""),"No")</f>
        <v>No</v>
      </c>
      <c r="J28" s="517" t="str">
        <f>IFERROR(__xludf.DUMMYFUNCTION("""COMPUTED_VALUE"""),"Retail_10ct")</f>
        <v>Retail_10ct</v>
      </c>
      <c r="K28" s="517" t="str">
        <f>IFERROR(__xludf.DUMMYFUNCTION("""COMPUTED_VALUE"""),"ROW Master Carton Label (EAN)")</f>
        <v>ROW Master Carton Label (EAN)</v>
      </c>
      <c r="L28" s="517" t="str">
        <f>IFERROR(__xludf.DUMMYFUNCTION("""COMPUTED_VALUE"""),"G990-08490-12-05
G990-08490-12-B")</f>
        <v>G990-08490-12-05
G990-08490-12-B</v>
      </c>
      <c r="M28" s="517" t="str">
        <f>IFERROR(__xludf.DUMMYFUNCTION("""COMPUTED_VALUE"""),"N/A")</f>
        <v>N/A</v>
      </c>
      <c r="N28" s="517" t="str">
        <f>IFERROR(__xludf.DUMMYFUNCTION("""COMPUTED_VALUE"""),"G990-09563-00-A
G990-09563-00-B")</f>
        <v>G990-09563-00-A
G990-09563-00-B</v>
      </c>
      <c r="O28" s="517" t="str">
        <f>IFERROR(__xludf.DUMMYFUNCTION("""COMPUTED_VALUE"""),"BOB→B
Retail→B")</f>
        <v>BOB→B
Retail→B</v>
      </c>
      <c r="P28" s="517" t="str">
        <f>IFERROR(__xludf.DUMMYFUNCTION("""COMPUTED_VALUE"""),"G990-09563-00-A
G990-09563-00-B")</f>
        <v>G990-09563-00-A
G990-09563-00-B</v>
      </c>
    </row>
    <row r="29">
      <c r="B29" s="517" t="str">
        <f>IFERROR(__xludf.DUMMYFUNCTION("""COMPUTED_VALUE"""),"UK,DE, IT, ES, IE,FR, NO,SE,DK,NL, BE, AT, CH, PT, PL, SK,")</f>
        <v>UK,DE, IT, ES, IE,FR, NO,SE,DK,NL, BE, AT, CH, PT, PL, SK,</v>
      </c>
      <c r="C29" s="518" t="str">
        <f>IFERROR(__xludf.DUMMYFUNCTION("""COMPUTED_VALUE"""),"0840353926646")</f>
        <v>0840353926646</v>
      </c>
      <c r="D29" s="517" t="str">
        <f>IFERROR(__xludf.DUMMYFUNCTION("""COMPUTED_VALUE"""),"Pristine")</f>
        <v>Pristine</v>
      </c>
      <c r="E29" s="517" t="str">
        <f>IFERROR(__xludf.DUMMYFUNCTION("""COMPUTED_VALUE"""),"GA10217-GB")</f>
        <v>GA10217-GB</v>
      </c>
      <c r="F29" s="517" t="str">
        <f>IFERROR(__xludf.DUMMYFUNCTION("""COMPUTED_VALUE"""),"GK2MP
")</f>
        <v>GK2MP
</v>
      </c>
      <c r="G29" s="517"/>
      <c r="H29" s="518" t="str">
        <f>IFERROR(__xludf.DUMMYFUNCTION("""COMPUTED_VALUE"""),"840353926646")</f>
        <v>840353926646</v>
      </c>
      <c r="I29" s="518" t="str">
        <f>IFERROR(__xludf.DUMMYFUNCTION("""COMPUTED_VALUE"""),"No")</f>
        <v>No</v>
      </c>
      <c r="J29" s="517" t="str">
        <f>IFERROR(__xludf.DUMMYFUNCTION("""COMPUTED_VALUE"""),"Retail_10ct")</f>
        <v>Retail_10ct</v>
      </c>
      <c r="K29" s="517" t="str">
        <f>IFERROR(__xludf.DUMMYFUNCTION("""COMPUTED_VALUE"""),"ROW Master Carton Label (EAN)")</f>
        <v>ROW Master Carton Label (EAN)</v>
      </c>
      <c r="L29" s="517" t="str">
        <f>IFERROR(__xludf.DUMMYFUNCTION("""COMPUTED_VALUE"""),"G990-08490-22-05
G990-08490-22-B")</f>
        <v>G990-08490-22-05
G990-08490-22-B</v>
      </c>
      <c r="M29" s="517" t="str">
        <f>IFERROR(__xludf.DUMMYFUNCTION("""COMPUTED_VALUE"""),"N/A")</f>
        <v>N/A</v>
      </c>
      <c r="N29" s="517" t="str">
        <f>IFERROR(__xludf.DUMMYFUNCTION("""COMPUTED_VALUE"""),"G990-09563-00-A
G990-09563-00-B")</f>
        <v>G990-09563-00-A
G990-09563-00-B</v>
      </c>
      <c r="O29" s="517" t="str">
        <f>IFERROR(__xludf.DUMMYFUNCTION("""COMPUTED_VALUE"""),"BOB→B
Retail→B")</f>
        <v>BOB→B
Retail→B</v>
      </c>
      <c r="P29" s="517" t="str">
        <f>IFERROR(__xludf.DUMMYFUNCTION("""COMPUTED_VALUE"""),"G990-09563-00-A
G990-09563-00-B")</f>
        <v>G990-09563-00-A
G990-09563-00-B</v>
      </c>
    </row>
    <row r="30">
      <c r="B30" s="517" t="str">
        <f>IFERROR(__xludf.DUMMYFUNCTION("""COMPUTED_VALUE"""),"UK,DE, IT, ES, IE,FR, NO,SE,DK,NL, BE, AT, CH, PT, PL, SK,")</f>
        <v>UK,DE, IT, ES, IE,FR, NO,SE,DK,NL, BE, AT, CH, PT, PL, SK,</v>
      </c>
      <c r="C30" s="518" t="str">
        <f>IFERROR(__xludf.DUMMYFUNCTION("""COMPUTED_VALUE"""),"0840353926639")</f>
        <v>0840353926639</v>
      </c>
      <c r="D30" s="517" t="str">
        <f>IFERROR(__xludf.DUMMYFUNCTION("""COMPUTED_VALUE"""),"Pristine")</f>
        <v>Pristine</v>
      </c>
      <c r="E30" s="517" t="str">
        <f>IFERROR(__xludf.DUMMYFUNCTION("""COMPUTED_VALUE"""),"GA10218-GB")</f>
        <v>GA10218-GB</v>
      </c>
      <c r="F30" s="517" t="str">
        <f>IFERROR(__xludf.DUMMYFUNCTION("""COMPUTED_VALUE"""),"GK2MP
")</f>
        <v>GK2MP
</v>
      </c>
      <c r="G30" s="517"/>
      <c r="H30" s="518" t="str">
        <f>IFERROR(__xludf.DUMMYFUNCTION("""COMPUTED_VALUE"""),"840353926639")</f>
        <v>840353926639</v>
      </c>
      <c r="I30" s="518" t="str">
        <f>IFERROR(__xludf.DUMMYFUNCTION("""COMPUTED_VALUE"""),"No")</f>
        <v>No</v>
      </c>
      <c r="J30" s="517" t="str">
        <f>IFERROR(__xludf.DUMMYFUNCTION("""COMPUTED_VALUE"""),"Retail_10ct")</f>
        <v>Retail_10ct</v>
      </c>
      <c r="K30" s="517" t="str">
        <f>IFERROR(__xludf.DUMMYFUNCTION("""COMPUTED_VALUE"""),"ROW Master Carton Label (EAN)")</f>
        <v>ROW Master Carton Label (EAN)</v>
      </c>
      <c r="L30" s="517" t="str">
        <f>IFERROR(__xludf.DUMMYFUNCTION("""COMPUTED_VALUE"""),"G990-08490-32-05
G990-08490-32-B")</f>
        <v>G990-08490-32-05
G990-08490-32-B</v>
      </c>
      <c r="M30" s="517" t="str">
        <f>IFERROR(__xludf.DUMMYFUNCTION("""COMPUTED_VALUE"""),"N/A")</f>
        <v>N/A</v>
      </c>
      <c r="N30" s="517" t="str">
        <f>IFERROR(__xludf.DUMMYFUNCTION("""COMPUTED_VALUE"""),"G990-09563-00-A
G990-09563-00-B")</f>
        <v>G990-09563-00-A
G990-09563-00-B</v>
      </c>
      <c r="O30" s="517" t="str">
        <f>IFERROR(__xludf.DUMMYFUNCTION("""COMPUTED_VALUE"""),"BOB→B
Retail→B")</f>
        <v>BOB→B
Retail→B</v>
      </c>
      <c r="P30" s="517" t="str">
        <f>IFERROR(__xludf.DUMMYFUNCTION("""COMPUTED_VALUE"""),"G990-09563-00-A
G990-09563-00-B")</f>
        <v>G990-09563-00-A
G990-09563-00-B</v>
      </c>
    </row>
    <row r="31">
      <c r="B31" s="517" t="str">
        <f>IFERROR(__xludf.DUMMYFUNCTION("""COMPUTED_VALUE"""),"UK,DE, IT, ES, IE,FR, NO,SE,DK,NL, BE, AT, CH, PT, PL, SK,")</f>
        <v>UK,DE, IT, ES, IE,FR, NO,SE,DK,NL, BE, AT, CH, PT, PL, SK,</v>
      </c>
      <c r="C31" s="518" t="str">
        <f>IFERROR(__xludf.DUMMYFUNCTION("""COMPUTED_VALUE"""),"0840353926608")</f>
        <v>0840353926608</v>
      </c>
      <c r="D31" s="517" t="str">
        <f>IFERROR(__xludf.DUMMYFUNCTION("""COMPUTED_VALUE"""),"Pristine")</f>
        <v>Pristine</v>
      </c>
      <c r="E31" s="517" t="str">
        <f>IFERROR(__xludf.DUMMYFUNCTION("""COMPUTED_VALUE"""),"GA10219-GB")</f>
        <v>GA10219-GB</v>
      </c>
      <c r="F31" s="517" t="str">
        <f>IFERROR(__xludf.DUMMYFUNCTION("""COMPUTED_VALUE"""),"GK2MP
")</f>
        <v>GK2MP
</v>
      </c>
      <c r="G31" s="517"/>
      <c r="H31" s="518" t="str">
        <f>IFERROR(__xludf.DUMMYFUNCTION("""COMPUTED_VALUE"""),"840353926608")</f>
        <v>840353926608</v>
      </c>
      <c r="I31" s="518" t="str">
        <f>IFERROR(__xludf.DUMMYFUNCTION("""COMPUTED_VALUE"""),"No")</f>
        <v>No</v>
      </c>
      <c r="J31" s="517" t="str">
        <f>IFERROR(__xludf.DUMMYFUNCTION("""COMPUTED_VALUE"""),"Retail_10ct")</f>
        <v>Retail_10ct</v>
      </c>
      <c r="K31" s="517" t="str">
        <f>IFERROR(__xludf.DUMMYFUNCTION("""COMPUTED_VALUE"""),"ROW Master Carton Label (EAN)")</f>
        <v>ROW Master Carton Label (EAN)</v>
      </c>
      <c r="L31" s="517" t="str">
        <f>IFERROR(__xludf.DUMMYFUNCTION("""COMPUTED_VALUE"""),"G990-08490-42-05
G990-08490-42-B")</f>
        <v>G990-08490-42-05
G990-08490-42-B</v>
      </c>
      <c r="M31" s="517" t="str">
        <f>IFERROR(__xludf.DUMMYFUNCTION("""COMPUTED_VALUE"""),"N/A")</f>
        <v>N/A</v>
      </c>
      <c r="N31" s="517" t="str">
        <f>IFERROR(__xludf.DUMMYFUNCTION("""COMPUTED_VALUE"""),"G990-09563-00-A
G990-09563-00-B")</f>
        <v>G990-09563-00-A
G990-09563-00-B</v>
      </c>
      <c r="O31" s="517" t="str">
        <f>IFERROR(__xludf.DUMMYFUNCTION("""COMPUTED_VALUE"""),"BOB→B
Retail→B")</f>
        <v>BOB→B
Retail→B</v>
      </c>
      <c r="P31" s="517" t="str">
        <f>IFERROR(__xludf.DUMMYFUNCTION("""COMPUTED_VALUE"""),"G990-09563-00-A
G990-09563-00-B")</f>
        <v>G990-09563-00-A
G990-09563-00-B</v>
      </c>
    </row>
    <row r="32">
      <c r="B32" s="517" t="str">
        <f>IFERROR(__xludf.DUMMYFUNCTION("""COMPUTED_VALUE"""),"IN")</f>
        <v>IN</v>
      </c>
      <c r="C32" s="517" t="str">
        <f>IFERROR(__xludf.DUMMYFUNCTION("""COMPUTED_VALUE"""),"Cancel")</f>
        <v>Cancel</v>
      </c>
      <c r="D32" s="517" t="str">
        <f>IFERROR(__xludf.DUMMYFUNCTION("""COMPUTED_VALUE"""),"Pristine")</f>
        <v>Pristine</v>
      </c>
      <c r="E32" s="517" t="str">
        <f>IFERROR(__xludf.DUMMYFUNCTION("""COMPUTED_VALUE"""),"GA09744-IN")</f>
        <v>GA09744-IN</v>
      </c>
      <c r="F32" s="517" t="str">
        <f>IFERROR(__xludf.DUMMYFUNCTION("""COMPUTED_VALUE"""),"GK2MP")</f>
        <v>GK2MP</v>
      </c>
      <c r="G32" s="517"/>
      <c r="H32" s="518" t="str">
        <f>IFERROR(__xludf.DUMMYFUNCTION("""COMPUTED_VALUE"""),"TBD")</f>
        <v>TBD</v>
      </c>
      <c r="I32" s="518" t="str">
        <f>IFERROR(__xludf.DUMMYFUNCTION("""COMPUTED_VALUE"""),"Yes")</f>
        <v>Yes</v>
      </c>
      <c r="J32" s="517" t="b">
        <f>IFERROR(__xludf.DUMMYFUNCTION("""COMPUTED_VALUE"""),FALSE)</f>
        <v>0</v>
      </c>
      <c r="K32" s="517" t="str">
        <f>IFERROR(__xludf.DUMMYFUNCTION("""COMPUTED_VALUE"""),"IN Master Carton Label")</f>
        <v>IN Master Carton Label</v>
      </c>
      <c r="L32" s="517" t="str">
        <f>IFERROR(__xludf.DUMMYFUNCTION("""COMPUTED_VALUE"""),"TBD")</f>
        <v>TBD</v>
      </c>
      <c r="M32" s="517"/>
      <c r="N32" s="517" t="str">
        <f>IFERROR(__xludf.DUMMYFUNCTION("""COMPUTED_VALUE"""),"TBD")</f>
        <v>TBD</v>
      </c>
      <c r="O32" s="517"/>
      <c r="P32" s="517" t="str">
        <f>IFERROR(__xludf.DUMMYFUNCTION("""COMPUTED_VALUE"""),"TBD")</f>
        <v>TBD</v>
      </c>
    </row>
    <row r="33">
      <c r="B33" s="517" t="str">
        <f>IFERROR(__xludf.DUMMYFUNCTION("""COMPUTED_VALUE"""),"IN")</f>
        <v>IN</v>
      </c>
      <c r="C33" s="517" t="str">
        <f>IFERROR(__xludf.DUMMYFUNCTION("""COMPUTED_VALUE"""),"Cancel")</f>
        <v>Cancel</v>
      </c>
      <c r="D33" s="517" t="str">
        <f>IFERROR(__xludf.DUMMYFUNCTION("""COMPUTED_VALUE"""),"Pristine")</f>
        <v>Pristine</v>
      </c>
      <c r="E33" s="517" t="str">
        <f>IFERROR(__xludf.DUMMYFUNCTION("""COMPUTED_VALUE"""),"GA10214-IN")</f>
        <v>GA10214-IN</v>
      </c>
      <c r="F33" s="517" t="str">
        <f>IFERROR(__xludf.DUMMYFUNCTION("""COMPUTED_VALUE"""),"GK2MP")</f>
        <v>GK2MP</v>
      </c>
      <c r="G33" s="517"/>
      <c r="H33" s="518" t="str">
        <f>IFERROR(__xludf.DUMMYFUNCTION("""COMPUTED_VALUE"""),"TBD")</f>
        <v>TBD</v>
      </c>
      <c r="I33" s="518" t="str">
        <f>IFERROR(__xludf.DUMMYFUNCTION("""COMPUTED_VALUE"""),"Yes")</f>
        <v>Yes</v>
      </c>
      <c r="J33" s="517" t="b">
        <f>IFERROR(__xludf.DUMMYFUNCTION("""COMPUTED_VALUE"""),FALSE)</f>
        <v>0</v>
      </c>
      <c r="K33" s="517" t="str">
        <f>IFERROR(__xludf.DUMMYFUNCTION("""COMPUTED_VALUE"""),"IN Master Carton Label")</f>
        <v>IN Master Carton Label</v>
      </c>
      <c r="L33" s="517" t="str">
        <f>IFERROR(__xludf.DUMMYFUNCTION("""COMPUTED_VALUE"""),"TBD")</f>
        <v>TBD</v>
      </c>
      <c r="M33" s="517"/>
      <c r="N33" s="517" t="str">
        <f>IFERROR(__xludf.DUMMYFUNCTION("""COMPUTED_VALUE"""),"TBD")</f>
        <v>TBD</v>
      </c>
      <c r="O33" s="517"/>
      <c r="P33" s="517" t="str">
        <f>IFERROR(__xludf.DUMMYFUNCTION("""COMPUTED_VALUE"""),"TBD")</f>
        <v>TBD</v>
      </c>
    </row>
    <row r="34">
      <c r="B34" s="517" t="str">
        <f>IFERROR(__xludf.DUMMYFUNCTION("""COMPUTED_VALUE"""),"IN")</f>
        <v>IN</v>
      </c>
      <c r="C34" s="517" t="str">
        <f>IFERROR(__xludf.DUMMYFUNCTION("""COMPUTED_VALUE"""),"Cancel")</f>
        <v>Cancel</v>
      </c>
      <c r="D34" s="517" t="str">
        <f>IFERROR(__xludf.DUMMYFUNCTION("""COMPUTED_VALUE"""),"Pristine")</f>
        <v>Pristine</v>
      </c>
      <c r="E34" s="517" t="str">
        <f>IFERROR(__xludf.DUMMYFUNCTION("""COMPUTED_VALUE"""),"GA10215-IN")</f>
        <v>GA10215-IN</v>
      </c>
      <c r="F34" s="517" t="str">
        <f>IFERROR(__xludf.DUMMYFUNCTION("""COMPUTED_VALUE"""),"GK2MP")</f>
        <v>GK2MP</v>
      </c>
      <c r="G34" s="517"/>
      <c r="H34" s="518" t="str">
        <f>IFERROR(__xludf.DUMMYFUNCTION("""COMPUTED_VALUE"""),"TBD")</f>
        <v>TBD</v>
      </c>
      <c r="I34" s="518" t="str">
        <f>IFERROR(__xludf.DUMMYFUNCTION("""COMPUTED_VALUE"""),"Yes")</f>
        <v>Yes</v>
      </c>
      <c r="J34" s="517" t="b">
        <f>IFERROR(__xludf.DUMMYFUNCTION("""COMPUTED_VALUE"""),FALSE)</f>
        <v>0</v>
      </c>
      <c r="K34" s="517" t="str">
        <f>IFERROR(__xludf.DUMMYFUNCTION("""COMPUTED_VALUE"""),"IN Master Carton Label")</f>
        <v>IN Master Carton Label</v>
      </c>
      <c r="L34" s="517" t="str">
        <f>IFERROR(__xludf.DUMMYFUNCTION("""COMPUTED_VALUE"""),"TBD")</f>
        <v>TBD</v>
      </c>
      <c r="M34" s="517"/>
      <c r="N34" s="517" t="str">
        <f>IFERROR(__xludf.DUMMYFUNCTION("""COMPUTED_VALUE"""),"TBD")</f>
        <v>TBD</v>
      </c>
      <c r="O34" s="517"/>
      <c r="P34" s="517" t="str">
        <f>IFERROR(__xludf.DUMMYFUNCTION("""COMPUTED_VALUE"""),"TBD")</f>
        <v>TBD</v>
      </c>
    </row>
    <row r="35">
      <c r="B35" s="517" t="str">
        <f>IFERROR(__xludf.DUMMYFUNCTION("""COMPUTED_VALUE"""),"IN")</f>
        <v>IN</v>
      </c>
      <c r="C35" s="517" t="str">
        <f>IFERROR(__xludf.DUMMYFUNCTION("""COMPUTED_VALUE"""),"Cancel")</f>
        <v>Cancel</v>
      </c>
      <c r="D35" s="517" t="str">
        <f>IFERROR(__xludf.DUMMYFUNCTION("""COMPUTED_VALUE"""),"Pristine")</f>
        <v>Pristine</v>
      </c>
      <c r="E35" s="517" t="str">
        <f>IFERROR(__xludf.DUMMYFUNCTION("""COMPUTED_VALUE"""),"GA10216-IN")</f>
        <v>GA10216-IN</v>
      </c>
      <c r="F35" s="517" t="str">
        <f>IFERROR(__xludf.DUMMYFUNCTION("""COMPUTED_VALUE"""),"GK2MP")</f>
        <v>GK2MP</v>
      </c>
      <c r="G35" s="517"/>
      <c r="H35" s="518" t="str">
        <f>IFERROR(__xludf.DUMMYFUNCTION("""COMPUTED_VALUE"""),"TBD")</f>
        <v>TBD</v>
      </c>
      <c r="I35" s="518" t="str">
        <f>IFERROR(__xludf.DUMMYFUNCTION("""COMPUTED_VALUE"""),"Yes")</f>
        <v>Yes</v>
      </c>
      <c r="J35" s="517" t="b">
        <f>IFERROR(__xludf.DUMMYFUNCTION("""COMPUTED_VALUE"""),FALSE)</f>
        <v>0</v>
      </c>
      <c r="K35" s="517" t="str">
        <f>IFERROR(__xludf.DUMMYFUNCTION("""COMPUTED_VALUE"""),"IN Master Carton Label")</f>
        <v>IN Master Carton Label</v>
      </c>
      <c r="L35" s="517" t="str">
        <f>IFERROR(__xludf.DUMMYFUNCTION("""COMPUTED_VALUE"""),"TBD")</f>
        <v>TBD</v>
      </c>
      <c r="M35" s="517"/>
      <c r="N35" s="517" t="str">
        <f>IFERROR(__xludf.DUMMYFUNCTION("""COMPUTED_VALUE"""),"TBD")</f>
        <v>TBD</v>
      </c>
      <c r="O35" s="517"/>
      <c r="P35" s="517" t="str">
        <f>IFERROR(__xludf.DUMMYFUNCTION("""COMPUTED_VALUE"""),"TBD")</f>
        <v>TBD</v>
      </c>
    </row>
    <row r="36">
      <c r="B36" s="517" t="str">
        <f>IFERROR(__xludf.DUMMYFUNCTION("""COMPUTED_VALUE"""),"IN")</f>
        <v>IN</v>
      </c>
      <c r="C36" s="518" t="str">
        <f>IFERROR(__xludf.DUMMYFUNCTION("""COMPUTED_VALUE"""),"0840353926523")</f>
        <v>0840353926523</v>
      </c>
      <c r="D36" s="517" t="str">
        <f>IFERROR(__xludf.DUMMYFUNCTION("""COMPUTED_VALUE"""),"Pristine")</f>
        <v>Pristine</v>
      </c>
      <c r="E36" s="517" t="str">
        <f>IFERROR(__xludf.DUMMYFUNCTION("""COMPUTED_VALUE"""),"GA09883-IN")</f>
        <v>GA09883-IN</v>
      </c>
      <c r="F36" s="517" t="str">
        <f>IFERROR(__xludf.DUMMYFUNCTION("""COMPUTED_VALUE"""),"GK2MP")</f>
        <v>GK2MP</v>
      </c>
      <c r="G36" s="517"/>
      <c r="H36" s="518" t="str">
        <f>IFERROR(__xludf.DUMMYFUNCTION("""COMPUTED_VALUE"""),"840353926523")</f>
        <v>840353926523</v>
      </c>
      <c r="I36" s="518" t="str">
        <f>IFERROR(__xludf.DUMMYFUNCTION("""COMPUTED_VALUE"""),"Yes")</f>
        <v>Yes</v>
      </c>
      <c r="J36" s="517" t="str">
        <f>IFERROR(__xludf.DUMMYFUNCTION("""COMPUTED_VALUE"""),"Retail_10ct")</f>
        <v>Retail_10ct</v>
      </c>
      <c r="K36" s="517" t="str">
        <f>IFERROR(__xludf.DUMMYFUNCTION("""COMPUTED_VALUE"""),"IN Master Carton Label")</f>
        <v>IN Master Carton Label</v>
      </c>
      <c r="L36" s="517" t="str">
        <f>IFERROR(__xludf.DUMMYFUNCTION("""COMPUTED_VALUE"""),"G990-08488-12-03
G990-08488-12-B")</f>
        <v>G990-08488-12-03
G990-08488-12-B</v>
      </c>
      <c r="M36" s="519" t="str">
        <f>IFERROR(__xludf.DUMMYFUNCTION("""COMPUTED_VALUE"""),"G952-05416-04-A")</f>
        <v>G952-05416-04-A</v>
      </c>
      <c r="N36" s="517" t="str">
        <f>IFERROR(__xludf.DUMMYFUNCTION("""COMPUTED_VALUE"""),"G990-09562-00-01
G990-09562-00-A")</f>
        <v>G990-09562-00-01
G990-09562-00-A</v>
      </c>
      <c r="O36" s="517" t="str">
        <f>IFERROR(__xludf.DUMMYFUNCTION("""COMPUTED_VALUE"""),"BOB→B
Retail→A")</f>
        <v>BOB→B
Retail→A</v>
      </c>
      <c r="P36" s="517" t="str">
        <f>IFERROR(__xludf.DUMMYFUNCTION("""COMPUTED_VALUE"""),"#ERROR!")</f>
        <v>#ERROR!</v>
      </c>
    </row>
    <row r="37">
      <c r="B37" s="517" t="str">
        <f>IFERROR(__xludf.DUMMYFUNCTION("""COMPUTED_VALUE"""),"IN")</f>
        <v>IN</v>
      </c>
      <c r="C37" s="518" t="str">
        <f>IFERROR(__xludf.DUMMYFUNCTION("""COMPUTED_VALUE"""),"0840353926585")</f>
        <v>0840353926585</v>
      </c>
      <c r="D37" s="517" t="str">
        <f>IFERROR(__xludf.DUMMYFUNCTION("""COMPUTED_VALUE"""),"Pristine")</f>
        <v>Pristine</v>
      </c>
      <c r="E37" s="517" t="str">
        <f>IFERROR(__xludf.DUMMYFUNCTION("""COMPUTED_VALUE"""),"GA10217-IN")</f>
        <v>GA10217-IN</v>
      </c>
      <c r="F37" s="517" t="str">
        <f>IFERROR(__xludf.DUMMYFUNCTION("""COMPUTED_VALUE"""),"GK2MP")</f>
        <v>GK2MP</v>
      </c>
      <c r="G37" s="517"/>
      <c r="H37" s="518" t="str">
        <f>IFERROR(__xludf.DUMMYFUNCTION("""COMPUTED_VALUE"""),"840353926585")</f>
        <v>840353926585</v>
      </c>
      <c r="I37" s="518" t="str">
        <f>IFERROR(__xludf.DUMMYFUNCTION("""COMPUTED_VALUE"""),"Yes")</f>
        <v>Yes</v>
      </c>
      <c r="J37" s="517" t="str">
        <f>IFERROR(__xludf.DUMMYFUNCTION("""COMPUTED_VALUE"""),"Retail_10ct")</f>
        <v>Retail_10ct</v>
      </c>
      <c r="K37" s="517" t="str">
        <f>IFERROR(__xludf.DUMMYFUNCTION("""COMPUTED_VALUE"""),"IN Master Carton Label")</f>
        <v>IN Master Carton Label</v>
      </c>
      <c r="L37" s="517" t="str">
        <f>IFERROR(__xludf.DUMMYFUNCTION("""COMPUTED_VALUE"""),"G990-08488-22-03
G990-08488-22-B")</f>
        <v>G990-08488-22-03
G990-08488-22-B</v>
      </c>
      <c r="M37" s="519" t="str">
        <f>IFERROR(__xludf.DUMMYFUNCTION("""COMPUTED_VALUE"""),"G952-05416-04-A")</f>
        <v>G952-05416-04-A</v>
      </c>
      <c r="N37" s="517" t="str">
        <f>IFERROR(__xludf.DUMMYFUNCTION("""COMPUTED_VALUE"""),"G990-09562-00-01
G990-09562-00-A")</f>
        <v>G990-09562-00-01
G990-09562-00-A</v>
      </c>
      <c r="O37" s="517" t="str">
        <f>IFERROR(__xludf.DUMMYFUNCTION("""COMPUTED_VALUE"""),"BOB→B
Retail→A")</f>
        <v>BOB→B
Retail→A</v>
      </c>
      <c r="P37" s="517" t="str">
        <f>IFERROR(__xludf.DUMMYFUNCTION("""COMPUTED_VALUE"""),"G990-09562-00-A
G990-09562-00-B")</f>
        <v>G990-09562-00-A
G990-09562-00-B</v>
      </c>
    </row>
    <row r="38">
      <c r="B38" s="517" t="str">
        <f>IFERROR(__xludf.DUMMYFUNCTION("""COMPUTED_VALUE"""),"IN")</f>
        <v>IN</v>
      </c>
      <c r="C38" s="518" t="str">
        <f>IFERROR(__xludf.DUMMYFUNCTION("""COMPUTED_VALUE"""),"0840353926592")</f>
        <v>0840353926592</v>
      </c>
      <c r="D38" s="517" t="str">
        <f>IFERROR(__xludf.DUMMYFUNCTION("""COMPUTED_VALUE"""),"Pristine")</f>
        <v>Pristine</v>
      </c>
      <c r="E38" s="517" t="str">
        <f>IFERROR(__xludf.DUMMYFUNCTION("""COMPUTED_VALUE"""),"GA10218-IN")</f>
        <v>GA10218-IN</v>
      </c>
      <c r="F38" s="517" t="str">
        <f>IFERROR(__xludf.DUMMYFUNCTION("""COMPUTED_VALUE"""),"GK2MP")</f>
        <v>GK2MP</v>
      </c>
      <c r="G38" s="517"/>
      <c r="H38" s="518" t="str">
        <f>IFERROR(__xludf.DUMMYFUNCTION("""COMPUTED_VALUE"""),"840353926592")</f>
        <v>840353926592</v>
      </c>
      <c r="I38" s="518" t="str">
        <f>IFERROR(__xludf.DUMMYFUNCTION("""COMPUTED_VALUE"""),"Yes")</f>
        <v>Yes</v>
      </c>
      <c r="J38" s="517" t="str">
        <f>IFERROR(__xludf.DUMMYFUNCTION("""COMPUTED_VALUE"""),"Retail_10ct")</f>
        <v>Retail_10ct</v>
      </c>
      <c r="K38" s="517" t="str">
        <f>IFERROR(__xludf.DUMMYFUNCTION("""COMPUTED_VALUE"""),"IN Master Carton Label")</f>
        <v>IN Master Carton Label</v>
      </c>
      <c r="L38" s="517" t="str">
        <f>IFERROR(__xludf.DUMMYFUNCTION("""COMPUTED_VALUE"""),"G990-08488-32-03
G990-08488-32-B")</f>
        <v>G990-08488-32-03
G990-08488-32-B</v>
      </c>
      <c r="M38" s="519" t="str">
        <f>IFERROR(__xludf.DUMMYFUNCTION("""COMPUTED_VALUE"""),"G952-05416-04-A")</f>
        <v>G952-05416-04-A</v>
      </c>
      <c r="N38" s="517" t="str">
        <f>IFERROR(__xludf.DUMMYFUNCTION("""COMPUTED_VALUE"""),"G990-09562-00-01
G990-09562-00-A")</f>
        <v>G990-09562-00-01
G990-09562-00-A</v>
      </c>
      <c r="O38" s="517" t="str">
        <f>IFERROR(__xludf.DUMMYFUNCTION("""COMPUTED_VALUE"""),"BOB→B
Retail→A")</f>
        <v>BOB→B
Retail→A</v>
      </c>
      <c r="P38" s="517" t="str">
        <f>IFERROR(__xludf.DUMMYFUNCTION("""COMPUTED_VALUE"""),"G990-09562-00-A
G990-09562-00-B")</f>
        <v>G990-09562-00-A
G990-09562-00-B</v>
      </c>
    </row>
    <row r="39">
      <c r="B39" s="517" t="str">
        <f>IFERROR(__xludf.DUMMYFUNCTION("""COMPUTED_VALUE"""),"IN")</f>
        <v>IN</v>
      </c>
      <c r="C39" s="518" t="str">
        <f>IFERROR(__xludf.DUMMYFUNCTION("""COMPUTED_VALUE"""),"0840353926677")</f>
        <v>0840353926677</v>
      </c>
      <c r="D39" s="517" t="str">
        <f>IFERROR(__xludf.DUMMYFUNCTION("""COMPUTED_VALUE"""),"Pristine")</f>
        <v>Pristine</v>
      </c>
      <c r="E39" s="517" t="str">
        <f>IFERROR(__xludf.DUMMYFUNCTION("""COMPUTED_VALUE"""),"GA10219-IN")</f>
        <v>GA10219-IN</v>
      </c>
      <c r="F39" s="517" t="str">
        <f>IFERROR(__xludf.DUMMYFUNCTION("""COMPUTED_VALUE"""),"GK2MP")</f>
        <v>GK2MP</v>
      </c>
      <c r="G39" s="517"/>
      <c r="H39" s="518" t="str">
        <f>IFERROR(__xludf.DUMMYFUNCTION("""COMPUTED_VALUE"""),"840353926677")</f>
        <v>840353926677</v>
      </c>
      <c r="I39" s="518" t="str">
        <f>IFERROR(__xludf.DUMMYFUNCTION("""COMPUTED_VALUE"""),"Yes")</f>
        <v>Yes</v>
      </c>
      <c r="J39" s="517" t="str">
        <f>IFERROR(__xludf.DUMMYFUNCTION("""COMPUTED_VALUE"""),"Retail_10ct")</f>
        <v>Retail_10ct</v>
      </c>
      <c r="K39" s="517" t="str">
        <f>IFERROR(__xludf.DUMMYFUNCTION("""COMPUTED_VALUE"""),"IN Master Carton Label")</f>
        <v>IN Master Carton Label</v>
      </c>
      <c r="L39" s="517" t="str">
        <f>IFERROR(__xludf.DUMMYFUNCTION("""COMPUTED_VALUE"""),"G990-08488-42-03
G990-08488-42-B")</f>
        <v>G990-08488-42-03
G990-08488-42-B</v>
      </c>
      <c r="M39" s="519" t="str">
        <f>IFERROR(__xludf.DUMMYFUNCTION("""COMPUTED_VALUE"""),"G952-05416-04-A")</f>
        <v>G952-05416-04-A</v>
      </c>
      <c r="N39" s="517" t="str">
        <f>IFERROR(__xludf.DUMMYFUNCTION("""COMPUTED_VALUE"""),"G990-09562-00-01
G990-09562-00-A")</f>
        <v>G990-09562-00-01
G990-09562-00-A</v>
      </c>
      <c r="O39" s="517" t="str">
        <f>IFERROR(__xludf.DUMMYFUNCTION("""COMPUTED_VALUE"""),"BOB→B
Retail→A")</f>
        <v>BOB→B
Retail→A</v>
      </c>
      <c r="P39" s="517" t="str">
        <f>IFERROR(__xludf.DUMMYFUNCTION("""COMPUTED_VALUE"""),"G990-09562-00-A
G990-09562-00-B")</f>
        <v>G990-09562-00-A
G990-09562-00-B</v>
      </c>
    </row>
    <row r="40">
      <c r="B40" s="517" t="str">
        <f>IFERROR(__xludf.DUMMYFUNCTION("""COMPUTED_VALUE"""),"JP")</f>
        <v>JP</v>
      </c>
      <c r="C40" s="518" t="str">
        <f>IFERROR(__xludf.DUMMYFUNCTION("""COMPUTED_VALUE"""),"0840353926899")</f>
        <v>0840353926899</v>
      </c>
      <c r="D40" s="517" t="str">
        <f>IFERROR(__xludf.DUMMYFUNCTION("""COMPUTED_VALUE"""),"Pristine")</f>
        <v>Pristine</v>
      </c>
      <c r="E40" s="517" t="str">
        <f>IFERROR(__xludf.DUMMYFUNCTION("""COMPUTED_VALUE"""),"GA09744-JP")</f>
        <v>GA09744-JP</v>
      </c>
      <c r="F40" s="517" t="str">
        <f>IFERROR(__xludf.DUMMYFUNCTION("""COMPUTED_VALUE"""),"GL066")</f>
        <v>GL066</v>
      </c>
      <c r="G40" s="517"/>
      <c r="H40" s="518" t="str">
        <f>IFERROR(__xludf.DUMMYFUNCTION("""COMPUTED_VALUE"""),"840353926899")</f>
        <v>840353926899</v>
      </c>
      <c r="I40" s="518" t="str">
        <f>IFERROR(__xludf.DUMMYFUNCTION("""COMPUTED_VALUE"""),"No")</f>
        <v>No</v>
      </c>
      <c r="J40" s="517" t="str">
        <f>IFERROR(__xludf.DUMMYFUNCTION("""COMPUTED_VALUE"""),"Retail_10ct")</f>
        <v>Retail_10ct</v>
      </c>
      <c r="K40" s="517" t="str">
        <f>IFERROR(__xludf.DUMMYFUNCTION("""COMPUTED_VALUE"""),"ROW Master Carton Label (UPC)")</f>
        <v>ROW Master Carton Label (UPC)</v>
      </c>
      <c r="L40" s="517" t="str">
        <f>IFERROR(__xludf.DUMMYFUNCTION("""COMPUTED_VALUE"""),"G990-08486-11-03
G990-08486-11-B")</f>
        <v>G990-08486-11-03
G990-08486-11-B</v>
      </c>
      <c r="M40" s="517" t="str">
        <f>IFERROR(__xludf.DUMMYFUNCTION("""COMPUTED_VALUE"""),"N/A")</f>
        <v>N/A</v>
      </c>
      <c r="N40" s="517" t="str">
        <f>IFERROR(__xludf.DUMMYFUNCTION("""COMPUTED_VALUE"""),"G990-09562-00-01
G990-09562-00-A")</f>
        <v>G990-09562-00-01
G990-09562-00-A</v>
      </c>
      <c r="O40" s="517" t="str">
        <f>IFERROR(__xludf.DUMMYFUNCTION("""COMPUTED_VALUE"""),"BOB→B
Retail→A")</f>
        <v>BOB→B
Retail→A</v>
      </c>
      <c r="P40" s="517" t="str">
        <f>IFERROR(__xludf.DUMMYFUNCTION("""COMPUTED_VALUE"""),"G990-09562-00-A
G990-09562-00-B")</f>
        <v>G990-09562-00-A
G990-09562-00-B</v>
      </c>
    </row>
    <row r="41">
      <c r="B41" s="517" t="str">
        <f>IFERROR(__xludf.DUMMYFUNCTION("""COMPUTED_VALUE"""),"JP")</f>
        <v>JP</v>
      </c>
      <c r="C41" s="518" t="str">
        <f>IFERROR(__xludf.DUMMYFUNCTION("""COMPUTED_VALUE"""),"0840353926974")</f>
        <v>0840353926974</v>
      </c>
      <c r="D41" s="517" t="str">
        <f>IFERROR(__xludf.DUMMYFUNCTION("""COMPUTED_VALUE"""),"Pristine")</f>
        <v>Pristine</v>
      </c>
      <c r="E41" s="517" t="str">
        <f>IFERROR(__xludf.DUMMYFUNCTION("""COMPUTED_VALUE"""),"GA10214-JP")</f>
        <v>GA10214-JP</v>
      </c>
      <c r="F41" s="517" t="str">
        <f>IFERROR(__xludf.DUMMYFUNCTION("""COMPUTED_VALUE"""),"GL066")</f>
        <v>GL066</v>
      </c>
      <c r="G41" s="517"/>
      <c r="H41" s="518" t="str">
        <f>IFERROR(__xludf.DUMMYFUNCTION("""COMPUTED_VALUE"""),"840353926974")</f>
        <v>840353926974</v>
      </c>
      <c r="I41" s="518" t="str">
        <f>IFERROR(__xludf.DUMMYFUNCTION("""COMPUTED_VALUE"""),"No")</f>
        <v>No</v>
      </c>
      <c r="J41" s="517" t="str">
        <f>IFERROR(__xludf.DUMMYFUNCTION("""COMPUTED_VALUE"""),"Retail_10ct")</f>
        <v>Retail_10ct</v>
      </c>
      <c r="K41" s="517" t="str">
        <f>IFERROR(__xludf.DUMMYFUNCTION("""COMPUTED_VALUE"""),"ROW Master Carton Label (UPC)")</f>
        <v>ROW Master Carton Label (UPC)</v>
      </c>
      <c r="L41" s="517" t="str">
        <f>IFERROR(__xludf.DUMMYFUNCTION("""COMPUTED_VALUE"""),"G990-08486-21-03
G990-08486-21-B")</f>
        <v>G990-08486-21-03
G990-08486-21-B</v>
      </c>
      <c r="M41" s="517" t="str">
        <f>IFERROR(__xludf.DUMMYFUNCTION("""COMPUTED_VALUE"""),"N/A")</f>
        <v>N/A</v>
      </c>
      <c r="N41" s="517" t="str">
        <f>IFERROR(__xludf.DUMMYFUNCTION("""COMPUTED_VALUE"""),"G990-09562-00-01
G990-09562-00-A")</f>
        <v>G990-09562-00-01
G990-09562-00-A</v>
      </c>
      <c r="O41" s="517" t="str">
        <f>IFERROR(__xludf.DUMMYFUNCTION("""COMPUTED_VALUE"""),"BOB→B
Retail→A")</f>
        <v>BOB→B
Retail→A</v>
      </c>
      <c r="P41" s="517" t="str">
        <f>IFERROR(__xludf.DUMMYFUNCTION("""COMPUTED_VALUE"""),"G990-09562-00-A
G990-09562-00-B")</f>
        <v>G990-09562-00-A
G990-09562-00-B</v>
      </c>
    </row>
    <row r="42">
      <c r="B42" s="517" t="str">
        <f>IFERROR(__xludf.DUMMYFUNCTION("""COMPUTED_VALUE"""),"JP")</f>
        <v>JP</v>
      </c>
      <c r="C42" s="518" t="str">
        <f>IFERROR(__xludf.DUMMYFUNCTION("""COMPUTED_VALUE"""),"0840353926912")</f>
        <v>0840353926912</v>
      </c>
      <c r="D42" s="517" t="str">
        <f>IFERROR(__xludf.DUMMYFUNCTION("""COMPUTED_VALUE"""),"Pristine")</f>
        <v>Pristine</v>
      </c>
      <c r="E42" s="517" t="str">
        <f>IFERROR(__xludf.DUMMYFUNCTION("""COMPUTED_VALUE"""),"GA10215-JP")</f>
        <v>GA10215-JP</v>
      </c>
      <c r="F42" s="517" t="str">
        <f>IFERROR(__xludf.DUMMYFUNCTION("""COMPUTED_VALUE"""),"GL066")</f>
        <v>GL066</v>
      </c>
      <c r="G42" s="517"/>
      <c r="H42" s="518" t="str">
        <f>IFERROR(__xludf.DUMMYFUNCTION("""COMPUTED_VALUE"""),"840353926912")</f>
        <v>840353926912</v>
      </c>
      <c r="I42" s="518" t="str">
        <f>IFERROR(__xludf.DUMMYFUNCTION("""COMPUTED_VALUE"""),"No")</f>
        <v>No</v>
      </c>
      <c r="J42" s="517" t="str">
        <f>IFERROR(__xludf.DUMMYFUNCTION("""COMPUTED_VALUE"""),"Retail_10ct")</f>
        <v>Retail_10ct</v>
      </c>
      <c r="K42" s="517" t="str">
        <f>IFERROR(__xludf.DUMMYFUNCTION("""COMPUTED_VALUE"""),"ROW Master Carton Label (UPC)")</f>
        <v>ROW Master Carton Label (UPC)</v>
      </c>
      <c r="L42" s="517" t="str">
        <f>IFERROR(__xludf.DUMMYFUNCTION("""COMPUTED_VALUE"""),"G990-08486-31-03
G990-08486-31-B")</f>
        <v>G990-08486-31-03
G990-08486-31-B</v>
      </c>
      <c r="M42" s="517" t="str">
        <f>IFERROR(__xludf.DUMMYFUNCTION("""COMPUTED_VALUE"""),"N/A")</f>
        <v>N/A</v>
      </c>
      <c r="N42" s="517" t="str">
        <f>IFERROR(__xludf.DUMMYFUNCTION("""COMPUTED_VALUE"""),"G990-09562-00-01
G990-09562-00-A")</f>
        <v>G990-09562-00-01
G990-09562-00-A</v>
      </c>
      <c r="O42" s="517" t="str">
        <f>IFERROR(__xludf.DUMMYFUNCTION("""COMPUTED_VALUE"""),"BOB→B
Retail→A")</f>
        <v>BOB→B
Retail→A</v>
      </c>
      <c r="P42" s="517" t="str">
        <f>IFERROR(__xludf.DUMMYFUNCTION("""COMPUTED_VALUE"""),"G990-09562-00-A
G990-09562-00-B")</f>
        <v>G990-09562-00-A
G990-09562-00-B</v>
      </c>
    </row>
    <row r="43">
      <c r="B43" s="517" t="str">
        <f>IFERROR(__xludf.DUMMYFUNCTION("""COMPUTED_VALUE"""),"JP")</f>
        <v>JP</v>
      </c>
      <c r="C43" s="518" t="str">
        <f>IFERROR(__xludf.DUMMYFUNCTION("""COMPUTED_VALUE"""),"0840353926936")</f>
        <v>0840353926936</v>
      </c>
      <c r="D43" s="517" t="str">
        <f>IFERROR(__xludf.DUMMYFUNCTION("""COMPUTED_VALUE"""),"Pristine")</f>
        <v>Pristine</v>
      </c>
      <c r="E43" s="517" t="str">
        <f>IFERROR(__xludf.DUMMYFUNCTION("""COMPUTED_VALUE"""),"GA10216-JP")</f>
        <v>GA10216-JP</v>
      </c>
      <c r="F43" s="517" t="str">
        <f>IFERROR(__xludf.DUMMYFUNCTION("""COMPUTED_VALUE"""),"GL066")</f>
        <v>GL066</v>
      </c>
      <c r="G43" s="517"/>
      <c r="H43" s="518" t="str">
        <f>IFERROR(__xludf.DUMMYFUNCTION("""COMPUTED_VALUE"""),"840353926936")</f>
        <v>840353926936</v>
      </c>
      <c r="I43" s="518" t="str">
        <f>IFERROR(__xludf.DUMMYFUNCTION("""COMPUTED_VALUE"""),"No")</f>
        <v>No</v>
      </c>
      <c r="J43" s="517" t="str">
        <f>IFERROR(__xludf.DUMMYFUNCTION("""COMPUTED_VALUE"""),"Retail_10ct")</f>
        <v>Retail_10ct</v>
      </c>
      <c r="K43" s="517" t="str">
        <f>IFERROR(__xludf.DUMMYFUNCTION("""COMPUTED_VALUE"""),"ROW Master Carton Label (UPC)")</f>
        <v>ROW Master Carton Label (UPC)</v>
      </c>
      <c r="L43" s="517" t="str">
        <f>IFERROR(__xludf.DUMMYFUNCTION("""COMPUTED_VALUE"""),"G990-08486-41-03
G990-08486-41-B")</f>
        <v>G990-08486-41-03
G990-08486-41-B</v>
      </c>
      <c r="M43" s="517" t="str">
        <f>IFERROR(__xludf.DUMMYFUNCTION("""COMPUTED_VALUE"""),"N/A")</f>
        <v>N/A</v>
      </c>
      <c r="N43" s="517" t="str">
        <f>IFERROR(__xludf.DUMMYFUNCTION("""COMPUTED_VALUE"""),"G990-09562-00-01
G990-09562-00-A")</f>
        <v>G990-09562-00-01
G990-09562-00-A</v>
      </c>
      <c r="O43" s="517" t="str">
        <f>IFERROR(__xludf.DUMMYFUNCTION("""COMPUTED_VALUE"""),"BOB→B
Retail→A")</f>
        <v>BOB→B
Retail→A</v>
      </c>
      <c r="P43" s="517" t="str">
        <f>IFERROR(__xludf.DUMMYFUNCTION("""COMPUTED_VALUE"""),"G990-09562-00-A
G990-09562-00-B")</f>
        <v>G990-09562-00-A
G990-09562-00-B</v>
      </c>
    </row>
    <row r="44">
      <c r="B44" s="517" t="str">
        <f>IFERROR(__xludf.DUMMYFUNCTION("""COMPUTED_VALUE"""),"JP")</f>
        <v>JP</v>
      </c>
      <c r="C44" s="518" t="str">
        <f>IFERROR(__xludf.DUMMYFUNCTION("""COMPUTED_VALUE"""),"0840353926554")</f>
        <v>0840353926554</v>
      </c>
      <c r="D44" s="517" t="str">
        <f>IFERROR(__xludf.DUMMYFUNCTION("""COMPUTED_VALUE"""),"Pristine")</f>
        <v>Pristine</v>
      </c>
      <c r="E44" s="517" t="str">
        <f>IFERROR(__xludf.DUMMYFUNCTION("""COMPUTED_VALUE"""),"GA09883-JP")</f>
        <v>GA09883-JP</v>
      </c>
      <c r="F44" s="517" t="str">
        <f>IFERROR(__xludf.DUMMYFUNCTION("""COMPUTED_VALUE"""),"GL066")</f>
        <v>GL066</v>
      </c>
      <c r="G44" s="517"/>
      <c r="H44" s="518" t="str">
        <f>IFERROR(__xludf.DUMMYFUNCTION("""COMPUTED_VALUE"""),"840353926554")</f>
        <v>840353926554</v>
      </c>
      <c r="I44" s="518" t="str">
        <f>IFERROR(__xludf.DUMMYFUNCTION("""COMPUTED_VALUE"""),"No")</f>
        <v>No</v>
      </c>
      <c r="J44" s="517" t="str">
        <f>IFERROR(__xludf.DUMMYFUNCTION("""COMPUTED_VALUE"""),"Retail_10ct")</f>
        <v>Retail_10ct</v>
      </c>
      <c r="K44" s="517" t="str">
        <f>IFERROR(__xludf.DUMMYFUNCTION("""COMPUTED_VALUE"""),"ROW Master Carton Label (UPC)")</f>
        <v>ROW Master Carton Label (UPC)</v>
      </c>
      <c r="L44" s="517" t="str">
        <f>IFERROR(__xludf.DUMMYFUNCTION("""COMPUTED_VALUE"""),"G990-08486-12-03
G990-08486-12-B")</f>
        <v>G990-08486-12-03
G990-08486-12-B</v>
      </c>
      <c r="M44" s="517" t="str">
        <f>IFERROR(__xludf.DUMMYFUNCTION("""COMPUTED_VALUE"""),"N/A")</f>
        <v>N/A</v>
      </c>
      <c r="N44" s="517" t="str">
        <f>IFERROR(__xludf.DUMMYFUNCTION("""COMPUTED_VALUE"""),"G990-09562-00-01
G990-09562-00-A")</f>
        <v>G990-09562-00-01
G990-09562-00-A</v>
      </c>
      <c r="O44" s="517" t="str">
        <f>IFERROR(__xludf.DUMMYFUNCTION("""COMPUTED_VALUE"""),"BOB→B
Retail→A")</f>
        <v>BOB→B
Retail→A</v>
      </c>
      <c r="P44" s="517" t="str">
        <f>IFERROR(__xludf.DUMMYFUNCTION("""COMPUTED_VALUE"""),"G990-09562-00-A
G990-09562-00-B")</f>
        <v>G990-09562-00-A
G990-09562-00-B</v>
      </c>
    </row>
    <row r="45">
      <c r="B45" s="517" t="str">
        <f>IFERROR(__xludf.DUMMYFUNCTION("""COMPUTED_VALUE"""),"JP")</f>
        <v>JP</v>
      </c>
      <c r="C45" s="518" t="str">
        <f>IFERROR(__xludf.DUMMYFUNCTION("""COMPUTED_VALUE"""),"0840353926660")</f>
        <v>0840353926660</v>
      </c>
      <c r="D45" s="517" t="str">
        <f>IFERROR(__xludf.DUMMYFUNCTION("""COMPUTED_VALUE"""),"Pristine")</f>
        <v>Pristine</v>
      </c>
      <c r="E45" s="517" t="str">
        <f>IFERROR(__xludf.DUMMYFUNCTION("""COMPUTED_VALUE"""),"GA10217-JP")</f>
        <v>GA10217-JP</v>
      </c>
      <c r="F45" s="517" t="str">
        <f>IFERROR(__xludf.DUMMYFUNCTION("""COMPUTED_VALUE"""),"GL066")</f>
        <v>GL066</v>
      </c>
      <c r="G45" s="517"/>
      <c r="H45" s="518" t="str">
        <f>IFERROR(__xludf.DUMMYFUNCTION("""COMPUTED_VALUE"""),"840353926660")</f>
        <v>840353926660</v>
      </c>
      <c r="I45" s="518" t="str">
        <f>IFERROR(__xludf.DUMMYFUNCTION("""COMPUTED_VALUE"""),"No")</f>
        <v>No</v>
      </c>
      <c r="J45" s="517" t="str">
        <f>IFERROR(__xludf.DUMMYFUNCTION("""COMPUTED_VALUE"""),"Retail_10ct")</f>
        <v>Retail_10ct</v>
      </c>
      <c r="K45" s="517" t="str">
        <f>IFERROR(__xludf.DUMMYFUNCTION("""COMPUTED_VALUE"""),"ROW Master Carton Label (UPC)")</f>
        <v>ROW Master Carton Label (UPC)</v>
      </c>
      <c r="L45" s="517" t="str">
        <f>IFERROR(__xludf.DUMMYFUNCTION("""COMPUTED_VALUE"""),"G990-08486-22-03
G990-08486-22-B")</f>
        <v>G990-08486-22-03
G990-08486-22-B</v>
      </c>
      <c r="M45" s="517" t="str">
        <f>IFERROR(__xludf.DUMMYFUNCTION("""COMPUTED_VALUE"""),"N/A")</f>
        <v>N/A</v>
      </c>
      <c r="N45" s="517" t="str">
        <f>IFERROR(__xludf.DUMMYFUNCTION("""COMPUTED_VALUE"""),"G990-09562-00-01
G990-09562-00-A")</f>
        <v>G990-09562-00-01
G990-09562-00-A</v>
      </c>
      <c r="O45" s="517" t="str">
        <f>IFERROR(__xludf.DUMMYFUNCTION("""COMPUTED_VALUE"""),"BOB→B
Retail→A")</f>
        <v>BOB→B
Retail→A</v>
      </c>
      <c r="P45" s="517" t="str">
        <f>IFERROR(__xludf.DUMMYFUNCTION("""COMPUTED_VALUE"""),"G990-09562-00-A
G990-09562-00-B")</f>
        <v>G990-09562-00-A
G990-09562-00-B</v>
      </c>
    </row>
    <row r="46">
      <c r="B46" s="517" t="str">
        <f>IFERROR(__xludf.DUMMYFUNCTION("""COMPUTED_VALUE"""),"JP")</f>
        <v>JP</v>
      </c>
      <c r="C46" s="518" t="str">
        <f>IFERROR(__xludf.DUMMYFUNCTION("""COMPUTED_VALUE"""),"0840353926578")</f>
        <v>0840353926578</v>
      </c>
      <c r="D46" s="517" t="str">
        <f>IFERROR(__xludf.DUMMYFUNCTION("""COMPUTED_VALUE"""),"Pristine")</f>
        <v>Pristine</v>
      </c>
      <c r="E46" s="517" t="str">
        <f>IFERROR(__xludf.DUMMYFUNCTION("""COMPUTED_VALUE"""),"GA10218-JP")</f>
        <v>GA10218-JP</v>
      </c>
      <c r="F46" s="517" t="str">
        <f>IFERROR(__xludf.DUMMYFUNCTION("""COMPUTED_VALUE"""),"GL066")</f>
        <v>GL066</v>
      </c>
      <c r="G46" s="517"/>
      <c r="H46" s="518" t="str">
        <f>IFERROR(__xludf.DUMMYFUNCTION("""COMPUTED_VALUE"""),"840353926578")</f>
        <v>840353926578</v>
      </c>
      <c r="I46" s="518" t="str">
        <f>IFERROR(__xludf.DUMMYFUNCTION("""COMPUTED_VALUE"""),"No")</f>
        <v>No</v>
      </c>
      <c r="J46" s="517" t="str">
        <f>IFERROR(__xludf.DUMMYFUNCTION("""COMPUTED_VALUE"""),"Retail_10ct")</f>
        <v>Retail_10ct</v>
      </c>
      <c r="K46" s="517" t="str">
        <f>IFERROR(__xludf.DUMMYFUNCTION("""COMPUTED_VALUE"""),"ROW Master Carton Label (UPC)")</f>
        <v>ROW Master Carton Label (UPC)</v>
      </c>
      <c r="L46" s="517" t="str">
        <f>IFERROR(__xludf.DUMMYFUNCTION("""COMPUTED_VALUE"""),"G990-08486-32-03
G990-08486-32-B")</f>
        <v>G990-08486-32-03
G990-08486-32-B</v>
      </c>
      <c r="M46" s="517" t="str">
        <f>IFERROR(__xludf.DUMMYFUNCTION("""COMPUTED_VALUE"""),"N/A")</f>
        <v>N/A</v>
      </c>
      <c r="N46" s="517" t="str">
        <f>IFERROR(__xludf.DUMMYFUNCTION("""COMPUTED_VALUE"""),"G990-09562-00-01
G990-09562-00-A")</f>
        <v>G990-09562-00-01
G990-09562-00-A</v>
      </c>
      <c r="O46" s="517" t="str">
        <f>IFERROR(__xludf.DUMMYFUNCTION("""COMPUTED_VALUE"""),"BOB→B
Retail→A")</f>
        <v>BOB→B
Retail→A</v>
      </c>
      <c r="P46" s="517" t="str">
        <f>IFERROR(__xludf.DUMMYFUNCTION("""COMPUTED_VALUE"""),"G990-09562-00-A
G990-09562-00-B")</f>
        <v>G990-09562-00-A
G990-09562-00-B</v>
      </c>
    </row>
    <row r="47">
      <c r="B47" s="517" t="str">
        <f>IFERROR(__xludf.DUMMYFUNCTION("""COMPUTED_VALUE"""),"JP")</f>
        <v>JP</v>
      </c>
      <c r="C47" s="518" t="str">
        <f>IFERROR(__xludf.DUMMYFUNCTION("""COMPUTED_VALUE"""),"0840353926561")</f>
        <v>0840353926561</v>
      </c>
      <c r="D47" s="517" t="str">
        <f>IFERROR(__xludf.DUMMYFUNCTION("""COMPUTED_VALUE"""),"Pristine")</f>
        <v>Pristine</v>
      </c>
      <c r="E47" s="517" t="str">
        <f>IFERROR(__xludf.DUMMYFUNCTION("""COMPUTED_VALUE"""),"GA10219-JP")</f>
        <v>GA10219-JP</v>
      </c>
      <c r="F47" s="517" t="str">
        <f>IFERROR(__xludf.DUMMYFUNCTION("""COMPUTED_VALUE"""),"GL066")</f>
        <v>GL066</v>
      </c>
      <c r="G47" s="517"/>
      <c r="H47" s="518" t="str">
        <f>IFERROR(__xludf.DUMMYFUNCTION("""COMPUTED_VALUE"""),"840353926561")</f>
        <v>840353926561</v>
      </c>
      <c r="I47" s="518" t="str">
        <f>IFERROR(__xludf.DUMMYFUNCTION("""COMPUTED_VALUE"""),"No")</f>
        <v>No</v>
      </c>
      <c r="J47" s="517" t="str">
        <f>IFERROR(__xludf.DUMMYFUNCTION("""COMPUTED_VALUE"""),"Retail_10ct")</f>
        <v>Retail_10ct</v>
      </c>
      <c r="K47" s="517" t="str">
        <f>IFERROR(__xludf.DUMMYFUNCTION("""COMPUTED_VALUE"""),"ROW Master Carton Label (UPC)")</f>
        <v>ROW Master Carton Label (UPC)</v>
      </c>
      <c r="L47" s="517" t="str">
        <f>IFERROR(__xludf.DUMMYFUNCTION("""COMPUTED_VALUE"""),"G990-08486-42-03
G990-08486-42-B")</f>
        <v>G990-08486-42-03
G990-08486-42-B</v>
      </c>
      <c r="M47" s="517" t="str">
        <f>IFERROR(__xludf.DUMMYFUNCTION("""COMPUTED_VALUE"""),"N/A")</f>
        <v>N/A</v>
      </c>
      <c r="N47" s="517" t="str">
        <f>IFERROR(__xludf.DUMMYFUNCTION("""COMPUTED_VALUE"""),"G990-09562-00-01
G990-09562-00-A")</f>
        <v>G990-09562-00-01
G990-09562-00-A</v>
      </c>
      <c r="O47" s="517" t="str">
        <f>IFERROR(__xludf.DUMMYFUNCTION("""COMPUTED_VALUE"""),"BOB→B
Retail→A")</f>
        <v>BOB→B
Retail→A</v>
      </c>
      <c r="P47" s="517" t="str">
        <f>IFERROR(__xludf.DUMMYFUNCTION("""COMPUTED_VALUE"""),"G990-09562-00-A
G990-09562-00-B")</f>
        <v>G990-09562-00-A
G990-09562-00-B</v>
      </c>
    </row>
    <row r="48">
      <c r="B48" s="520" t="str">
        <f>IFERROR(__xludf.DUMMYFUNCTION("""COMPUTED_VALUE"""),"GSTORE")</f>
        <v>GSTORE</v>
      </c>
      <c r="C48" s="518" t="str">
        <f>IFERROR(__xludf.DUMMYFUNCTION("""COMPUTED_VALUE"""),"0840353939301")</f>
        <v>0840353939301</v>
      </c>
      <c r="D48" s="517" t="str">
        <f>IFERROR(__xludf.DUMMYFUNCTION("""COMPUTED_VALUE"""),"CLNR/FRU")</f>
        <v>CLNR/FRU</v>
      </c>
      <c r="E48" s="517" t="str">
        <f>IFERROR(__xludf.DUMMYFUNCTION("""COMPUTED_VALUE"""),"CLNRGA09744")</f>
        <v>CLNRGA09744</v>
      </c>
      <c r="F48" s="517" t="str">
        <f>IFERROR(__xludf.DUMMYFUNCTION("""COMPUTED_VALUE"""),"GLBW0")</f>
        <v>GLBW0</v>
      </c>
      <c r="G48" s="517"/>
      <c r="H48" s="518" t="str">
        <f>IFERROR(__xludf.DUMMYFUNCTION("""COMPUTED_VALUE"""),"840353939301")</f>
        <v>840353939301</v>
      </c>
      <c r="I48" s="518" t="str">
        <f>IFERROR(__xludf.DUMMYFUNCTION("""COMPUTED_VALUE"""),"No")</f>
        <v>No</v>
      </c>
      <c r="J48" s="517" t="str">
        <f>IFERROR(__xludf.DUMMYFUNCTION("""COMPUTED_VALUE"""),"Bulk_30ct")</f>
        <v>Bulk_30ct</v>
      </c>
      <c r="K48" s="517" t="str">
        <f>IFERROR(__xludf.DUMMYFUNCTION("""COMPUTED_VALUE"""),"ROW Master Carton Label (UPC)")</f>
        <v>ROW Master Carton Label (UPC)</v>
      </c>
      <c r="L48" s="517" t="str">
        <f>IFERROR(__xludf.DUMMYFUNCTION("""COMPUTED_VALUE"""),"N/A")</f>
        <v>N/A</v>
      </c>
      <c r="M48" s="517" t="str">
        <f>IFERROR(__xludf.DUMMYFUNCTION("""COMPUTED_VALUE"""),"N/A")</f>
        <v>N/A</v>
      </c>
      <c r="N48" s="517" t="str">
        <f>IFERROR(__xludf.DUMMYFUNCTION("""COMPUTED_VALUE"""),"N/A")</f>
        <v>N/A</v>
      </c>
      <c r="O48" s="517"/>
      <c r="P48" s="517" t="str">
        <f>IFERROR(__xludf.DUMMYFUNCTION("""COMPUTED_VALUE"""),"N/A")</f>
        <v>N/A</v>
      </c>
    </row>
    <row r="49">
      <c r="B49" s="517" t="str">
        <f>IFERROR(__xludf.DUMMYFUNCTION("""COMPUTED_VALUE"""),"GSTORE")</f>
        <v>GSTORE</v>
      </c>
      <c r="C49" s="518" t="str">
        <f>IFERROR(__xludf.DUMMYFUNCTION("""COMPUTED_VALUE"""),"0840353939349")</f>
        <v>0840353939349</v>
      </c>
      <c r="D49" s="517" t="str">
        <f>IFERROR(__xludf.DUMMYFUNCTION("""COMPUTED_VALUE"""),"CLNR/FRU")</f>
        <v>CLNR/FRU</v>
      </c>
      <c r="E49" s="517" t="str">
        <f>IFERROR(__xludf.DUMMYFUNCTION("""COMPUTED_VALUE"""),"CLNRGA10214")</f>
        <v>CLNRGA10214</v>
      </c>
      <c r="F49" s="517" t="str">
        <f>IFERROR(__xludf.DUMMYFUNCTION("""COMPUTED_VALUE"""),"GLBW0")</f>
        <v>GLBW0</v>
      </c>
      <c r="G49" s="517"/>
      <c r="H49" s="518" t="str">
        <f>IFERROR(__xludf.DUMMYFUNCTION("""COMPUTED_VALUE"""),"840353939349")</f>
        <v>840353939349</v>
      </c>
      <c r="I49" s="518" t="str">
        <f>IFERROR(__xludf.DUMMYFUNCTION("""COMPUTED_VALUE"""),"No")</f>
        <v>No</v>
      </c>
      <c r="J49" s="517" t="str">
        <f>IFERROR(__xludf.DUMMYFUNCTION("""COMPUTED_VALUE"""),"Bulk_30ct")</f>
        <v>Bulk_30ct</v>
      </c>
      <c r="K49" s="517" t="str">
        <f>IFERROR(__xludf.DUMMYFUNCTION("""COMPUTED_VALUE"""),"ROW Master Carton Label (UPC)")</f>
        <v>ROW Master Carton Label (UPC)</v>
      </c>
      <c r="L49" s="517" t="str">
        <f>IFERROR(__xludf.DUMMYFUNCTION("""COMPUTED_VALUE"""),"N/A")</f>
        <v>N/A</v>
      </c>
      <c r="M49" s="517" t="str">
        <f>IFERROR(__xludf.DUMMYFUNCTION("""COMPUTED_VALUE"""),"N/A")</f>
        <v>N/A</v>
      </c>
      <c r="N49" s="517" t="str">
        <f>IFERROR(__xludf.DUMMYFUNCTION("""COMPUTED_VALUE"""),"N/A")</f>
        <v>N/A</v>
      </c>
      <c r="O49" s="517"/>
      <c r="P49" s="517" t="str">
        <f>IFERROR(__xludf.DUMMYFUNCTION("""COMPUTED_VALUE"""),"N/A")</f>
        <v>N/A</v>
      </c>
    </row>
    <row r="50">
      <c r="B50" s="517" t="str">
        <f>IFERROR(__xludf.DUMMYFUNCTION("""COMPUTED_VALUE"""),"GSTORE")</f>
        <v>GSTORE</v>
      </c>
      <c r="C50" s="518" t="str">
        <f>IFERROR(__xludf.DUMMYFUNCTION("""COMPUTED_VALUE"""),"0840353939356")</f>
        <v>0840353939356</v>
      </c>
      <c r="D50" s="517" t="str">
        <f>IFERROR(__xludf.DUMMYFUNCTION("""COMPUTED_VALUE"""),"CLNR/FRU")</f>
        <v>CLNR/FRU</v>
      </c>
      <c r="E50" s="517" t="str">
        <f>IFERROR(__xludf.DUMMYFUNCTION("""COMPUTED_VALUE"""),"CLNRGA10215")</f>
        <v>CLNRGA10215</v>
      </c>
      <c r="F50" s="517" t="str">
        <f>IFERROR(__xludf.DUMMYFUNCTION("""COMPUTED_VALUE"""),"GLBW0")</f>
        <v>GLBW0</v>
      </c>
      <c r="G50" s="517"/>
      <c r="H50" s="518" t="str">
        <f>IFERROR(__xludf.DUMMYFUNCTION("""COMPUTED_VALUE"""),"840353939356")</f>
        <v>840353939356</v>
      </c>
      <c r="I50" s="518" t="str">
        <f>IFERROR(__xludf.DUMMYFUNCTION("""COMPUTED_VALUE"""),"No")</f>
        <v>No</v>
      </c>
      <c r="J50" s="517" t="str">
        <f>IFERROR(__xludf.DUMMYFUNCTION("""COMPUTED_VALUE"""),"Bulk_30ct")</f>
        <v>Bulk_30ct</v>
      </c>
      <c r="K50" s="517" t="str">
        <f>IFERROR(__xludf.DUMMYFUNCTION("""COMPUTED_VALUE"""),"ROW Master Carton Label (UPC)")</f>
        <v>ROW Master Carton Label (UPC)</v>
      </c>
      <c r="L50" s="517" t="str">
        <f>IFERROR(__xludf.DUMMYFUNCTION("""COMPUTED_VALUE"""),"N/A")</f>
        <v>N/A</v>
      </c>
      <c r="M50" s="517" t="str">
        <f>IFERROR(__xludf.DUMMYFUNCTION("""COMPUTED_VALUE"""),"N/A")</f>
        <v>N/A</v>
      </c>
      <c r="N50" s="517" t="str">
        <f>IFERROR(__xludf.DUMMYFUNCTION("""COMPUTED_VALUE"""),"N/A")</f>
        <v>N/A</v>
      </c>
      <c r="O50" s="517"/>
      <c r="P50" s="517" t="str">
        <f>IFERROR(__xludf.DUMMYFUNCTION("""COMPUTED_VALUE"""),"N/A")</f>
        <v>N/A</v>
      </c>
    </row>
    <row r="51">
      <c r="B51" s="517" t="str">
        <f>IFERROR(__xludf.DUMMYFUNCTION("""COMPUTED_VALUE"""),"GSTORE")</f>
        <v>GSTORE</v>
      </c>
      <c r="C51" s="518" t="str">
        <f>IFERROR(__xludf.DUMMYFUNCTION("""COMPUTED_VALUE"""),"0840353939363")</f>
        <v>0840353939363</v>
      </c>
      <c r="D51" s="517" t="str">
        <f>IFERROR(__xludf.DUMMYFUNCTION("""COMPUTED_VALUE"""),"CLNR/FRU")</f>
        <v>CLNR/FRU</v>
      </c>
      <c r="E51" s="517" t="str">
        <f>IFERROR(__xludf.DUMMYFUNCTION("""COMPUTED_VALUE"""),"CLNRGA10216")</f>
        <v>CLNRGA10216</v>
      </c>
      <c r="F51" s="517" t="str">
        <f>IFERROR(__xludf.DUMMYFUNCTION("""COMPUTED_VALUE"""),"GLBW0")</f>
        <v>GLBW0</v>
      </c>
      <c r="G51" s="517"/>
      <c r="H51" s="518" t="str">
        <f>IFERROR(__xludf.DUMMYFUNCTION("""COMPUTED_VALUE"""),"840353939363")</f>
        <v>840353939363</v>
      </c>
      <c r="I51" s="518" t="str">
        <f>IFERROR(__xludf.DUMMYFUNCTION("""COMPUTED_VALUE"""),"No")</f>
        <v>No</v>
      </c>
      <c r="J51" s="517" t="str">
        <f>IFERROR(__xludf.DUMMYFUNCTION("""COMPUTED_VALUE"""),"Bulk_30ct")</f>
        <v>Bulk_30ct</v>
      </c>
      <c r="K51" s="517" t="str">
        <f>IFERROR(__xludf.DUMMYFUNCTION("""COMPUTED_VALUE"""),"ROW Master Carton Label (UPC)")</f>
        <v>ROW Master Carton Label (UPC)</v>
      </c>
      <c r="L51" s="517" t="str">
        <f>IFERROR(__xludf.DUMMYFUNCTION("""COMPUTED_VALUE"""),"N/A")</f>
        <v>N/A</v>
      </c>
      <c r="M51" s="517" t="str">
        <f>IFERROR(__xludf.DUMMYFUNCTION("""COMPUTED_VALUE"""),"N/A")</f>
        <v>N/A</v>
      </c>
      <c r="N51" s="517" t="str">
        <f>IFERROR(__xludf.DUMMYFUNCTION("""COMPUTED_VALUE"""),"N/A")</f>
        <v>N/A</v>
      </c>
      <c r="O51" s="517"/>
      <c r="P51" s="517" t="str">
        <f>IFERROR(__xludf.DUMMYFUNCTION("""COMPUTED_VALUE"""),"N/A")</f>
        <v>N/A</v>
      </c>
    </row>
    <row r="52">
      <c r="B52" s="517" t="str">
        <f>IFERROR(__xludf.DUMMYFUNCTION("""COMPUTED_VALUE"""),"GSTORE")</f>
        <v>GSTORE</v>
      </c>
      <c r="C52" s="518" t="str">
        <f>IFERROR(__xludf.DUMMYFUNCTION("""COMPUTED_VALUE"""),"0840353939332")</f>
        <v>0840353939332</v>
      </c>
      <c r="D52" s="517" t="str">
        <f>IFERROR(__xludf.DUMMYFUNCTION("""COMPUTED_VALUE"""),"CLNR/FRU")</f>
        <v>CLNR/FRU</v>
      </c>
      <c r="E52" s="517" t="str">
        <f>IFERROR(__xludf.DUMMYFUNCTION("""COMPUTED_VALUE"""),"CLNRGA09883")</f>
        <v>CLNRGA09883</v>
      </c>
      <c r="F52" s="517" t="str">
        <f>IFERROR(__xludf.DUMMYFUNCTION("""COMPUTED_VALUE"""),"GLBW0")</f>
        <v>GLBW0</v>
      </c>
      <c r="G52" s="517"/>
      <c r="H52" s="518" t="str">
        <f>IFERROR(__xludf.DUMMYFUNCTION("""COMPUTED_VALUE"""),"840353939332")</f>
        <v>840353939332</v>
      </c>
      <c r="I52" s="518" t="str">
        <f>IFERROR(__xludf.DUMMYFUNCTION("""COMPUTED_VALUE"""),"No")</f>
        <v>No</v>
      </c>
      <c r="J52" s="517" t="str">
        <f>IFERROR(__xludf.DUMMYFUNCTION("""COMPUTED_VALUE"""),"Bulk_30ct")</f>
        <v>Bulk_30ct</v>
      </c>
      <c r="K52" s="517" t="str">
        <f>IFERROR(__xludf.DUMMYFUNCTION("""COMPUTED_VALUE"""),"ROW Master Carton Label (UPC)")</f>
        <v>ROW Master Carton Label (UPC)</v>
      </c>
      <c r="L52" s="517" t="str">
        <f>IFERROR(__xludf.DUMMYFUNCTION("""COMPUTED_VALUE"""),"N/A")</f>
        <v>N/A</v>
      </c>
      <c r="M52" s="517" t="str">
        <f>IFERROR(__xludf.DUMMYFUNCTION("""COMPUTED_VALUE"""),"N/A")</f>
        <v>N/A</v>
      </c>
      <c r="N52" s="517" t="str">
        <f>IFERROR(__xludf.DUMMYFUNCTION("""COMPUTED_VALUE"""),"N/A")</f>
        <v>N/A</v>
      </c>
      <c r="O52" s="517"/>
      <c r="P52" s="517" t="str">
        <f>IFERROR(__xludf.DUMMYFUNCTION("""COMPUTED_VALUE"""),"N/A")</f>
        <v>N/A</v>
      </c>
    </row>
    <row r="53">
      <c r="B53" s="517" t="str">
        <f>IFERROR(__xludf.DUMMYFUNCTION("""COMPUTED_VALUE"""),"GSTORE")</f>
        <v>GSTORE</v>
      </c>
      <c r="C53" s="518" t="str">
        <f>IFERROR(__xludf.DUMMYFUNCTION("""COMPUTED_VALUE"""),"0840353939370")</f>
        <v>0840353939370</v>
      </c>
      <c r="D53" s="517" t="str">
        <f>IFERROR(__xludf.DUMMYFUNCTION("""COMPUTED_VALUE"""),"CLNR/FRU")</f>
        <v>CLNR/FRU</v>
      </c>
      <c r="E53" s="517" t="str">
        <f>IFERROR(__xludf.DUMMYFUNCTION("""COMPUTED_VALUE"""),"CLNRGA10217")</f>
        <v>CLNRGA10217</v>
      </c>
      <c r="F53" s="517" t="str">
        <f>IFERROR(__xludf.DUMMYFUNCTION("""COMPUTED_VALUE"""),"GLBW0")</f>
        <v>GLBW0</v>
      </c>
      <c r="G53" s="517"/>
      <c r="H53" s="518" t="str">
        <f>IFERROR(__xludf.DUMMYFUNCTION("""COMPUTED_VALUE"""),"840353939370")</f>
        <v>840353939370</v>
      </c>
      <c r="I53" s="518" t="str">
        <f>IFERROR(__xludf.DUMMYFUNCTION("""COMPUTED_VALUE"""),"No")</f>
        <v>No</v>
      </c>
      <c r="J53" s="517" t="str">
        <f>IFERROR(__xludf.DUMMYFUNCTION("""COMPUTED_VALUE"""),"Bulk_30ct")</f>
        <v>Bulk_30ct</v>
      </c>
      <c r="K53" s="517" t="str">
        <f>IFERROR(__xludf.DUMMYFUNCTION("""COMPUTED_VALUE"""),"ROW Master Carton Label (UPC)")</f>
        <v>ROW Master Carton Label (UPC)</v>
      </c>
      <c r="L53" s="517" t="str">
        <f>IFERROR(__xludf.DUMMYFUNCTION("""COMPUTED_VALUE"""),"N/A")</f>
        <v>N/A</v>
      </c>
      <c r="M53" s="517" t="str">
        <f>IFERROR(__xludf.DUMMYFUNCTION("""COMPUTED_VALUE"""),"N/A")</f>
        <v>N/A</v>
      </c>
      <c r="N53" s="517" t="str">
        <f>IFERROR(__xludf.DUMMYFUNCTION("""COMPUTED_VALUE"""),"N/A")</f>
        <v>N/A</v>
      </c>
      <c r="O53" s="517"/>
      <c r="P53" s="517" t="str">
        <f>IFERROR(__xludf.DUMMYFUNCTION("""COMPUTED_VALUE"""),"N/A")</f>
        <v>N/A</v>
      </c>
    </row>
    <row r="54">
      <c r="B54" s="517" t="str">
        <f>IFERROR(__xludf.DUMMYFUNCTION("""COMPUTED_VALUE"""),"GSTORE")</f>
        <v>GSTORE</v>
      </c>
      <c r="C54" s="518" t="str">
        <f>IFERROR(__xludf.DUMMYFUNCTION("""COMPUTED_VALUE"""),"0840353939387")</f>
        <v>0840353939387</v>
      </c>
      <c r="D54" s="517" t="str">
        <f>IFERROR(__xludf.DUMMYFUNCTION("""COMPUTED_VALUE"""),"CLNR/FRU")</f>
        <v>CLNR/FRU</v>
      </c>
      <c r="E54" s="517" t="str">
        <f>IFERROR(__xludf.DUMMYFUNCTION("""COMPUTED_VALUE"""),"CLNRGA10218")</f>
        <v>CLNRGA10218</v>
      </c>
      <c r="F54" s="517" t="str">
        <f>IFERROR(__xludf.DUMMYFUNCTION("""COMPUTED_VALUE"""),"GLBW0")</f>
        <v>GLBW0</v>
      </c>
      <c r="G54" s="517"/>
      <c r="H54" s="518" t="str">
        <f>IFERROR(__xludf.DUMMYFUNCTION("""COMPUTED_VALUE"""),"840353939387")</f>
        <v>840353939387</v>
      </c>
      <c r="I54" s="518" t="str">
        <f>IFERROR(__xludf.DUMMYFUNCTION("""COMPUTED_VALUE"""),"No")</f>
        <v>No</v>
      </c>
      <c r="J54" s="517" t="str">
        <f>IFERROR(__xludf.DUMMYFUNCTION("""COMPUTED_VALUE"""),"Bulk_30ct")</f>
        <v>Bulk_30ct</v>
      </c>
      <c r="K54" s="517" t="str">
        <f>IFERROR(__xludf.DUMMYFUNCTION("""COMPUTED_VALUE"""),"ROW Master Carton Label (UPC)")</f>
        <v>ROW Master Carton Label (UPC)</v>
      </c>
      <c r="L54" s="517" t="str">
        <f>IFERROR(__xludf.DUMMYFUNCTION("""COMPUTED_VALUE"""),"N/A")</f>
        <v>N/A</v>
      </c>
      <c r="M54" s="517" t="str">
        <f>IFERROR(__xludf.DUMMYFUNCTION("""COMPUTED_VALUE"""),"N/A")</f>
        <v>N/A</v>
      </c>
      <c r="N54" s="517" t="str">
        <f>IFERROR(__xludf.DUMMYFUNCTION("""COMPUTED_VALUE"""),"N/A")</f>
        <v>N/A</v>
      </c>
      <c r="O54" s="517"/>
      <c r="P54" s="517" t="str">
        <f>IFERROR(__xludf.DUMMYFUNCTION("""COMPUTED_VALUE"""),"N/A")</f>
        <v>N/A</v>
      </c>
    </row>
    <row r="55">
      <c r="B55" s="517" t="str">
        <f>IFERROR(__xludf.DUMMYFUNCTION("""COMPUTED_VALUE"""),"GSTORE")</f>
        <v>GSTORE</v>
      </c>
      <c r="C55" s="518" t="str">
        <f>IFERROR(__xludf.DUMMYFUNCTION("""COMPUTED_VALUE"""),"0840353939394")</f>
        <v>0840353939394</v>
      </c>
      <c r="D55" s="517" t="str">
        <f>IFERROR(__xludf.DUMMYFUNCTION("""COMPUTED_VALUE"""),"CLNR/FRU")</f>
        <v>CLNR/FRU</v>
      </c>
      <c r="E55" s="517" t="str">
        <f>IFERROR(__xludf.DUMMYFUNCTION("""COMPUTED_VALUE"""),"CLNRGA10219")</f>
        <v>CLNRGA10219</v>
      </c>
      <c r="F55" s="517" t="str">
        <f>IFERROR(__xludf.DUMMYFUNCTION("""COMPUTED_VALUE"""),"GLBW0")</f>
        <v>GLBW0</v>
      </c>
      <c r="G55" s="517"/>
      <c r="H55" s="518" t="str">
        <f>IFERROR(__xludf.DUMMYFUNCTION("""COMPUTED_VALUE"""),"840353939394")</f>
        <v>840353939394</v>
      </c>
      <c r="I55" s="518" t="str">
        <f>IFERROR(__xludf.DUMMYFUNCTION("""COMPUTED_VALUE"""),"No")</f>
        <v>No</v>
      </c>
      <c r="J55" s="517" t="str">
        <f>IFERROR(__xludf.DUMMYFUNCTION("""COMPUTED_VALUE"""),"Bulk_30ct")</f>
        <v>Bulk_30ct</v>
      </c>
      <c r="K55" s="517" t="str">
        <f>IFERROR(__xludf.DUMMYFUNCTION("""COMPUTED_VALUE"""),"ROW Master Carton Label (UPC)")</f>
        <v>ROW Master Carton Label (UPC)</v>
      </c>
      <c r="L55" s="517" t="str">
        <f>IFERROR(__xludf.DUMMYFUNCTION("""COMPUTED_VALUE"""),"N/A")</f>
        <v>N/A</v>
      </c>
      <c r="M55" s="517" t="str">
        <f>IFERROR(__xludf.DUMMYFUNCTION("""COMPUTED_VALUE"""),"N/A")</f>
        <v>N/A</v>
      </c>
      <c r="N55" s="517" t="str">
        <f>IFERROR(__xludf.DUMMYFUNCTION("""COMPUTED_VALUE"""),"N/A")</f>
        <v>N/A</v>
      </c>
      <c r="O55" s="517"/>
      <c r="P55" s="517" t="str">
        <f>IFERROR(__xludf.DUMMYFUNCTION("""COMPUTED_VALUE"""),"N/A")</f>
        <v>N/A</v>
      </c>
    </row>
    <row r="56">
      <c r="B56" s="517" t="str">
        <f>IFERROR(__xludf.DUMMYFUNCTION("""COMPUTED_VALUE"""),"CA/AU")</f>
        <v>CA/AU</v>
      </c>
      <c r="C56" s="518" t="str">
        <f>IFERROR(__xludf.DUMMYFUNCTION("""COMPUTED_VALUE"""),"0840353939462")</f>
        <v>0840353939462</v>
      </c>
      <c r="D56" s="517" t="str">
        <f>IFERROR(__xludf.DUMMYFUNCTION("""COMPUTED_VALUE"""),"CLNR/FRU")</f>
        <v>CLNR/FRU</v>
      </c>
      <c r="E56" s="517" t="str">
        <f>IFERROR(__xludf.DUMMYFUNCTION("""COMPUTED_VALUE"""),"CLNRGA10540")</f>
        <v>CLNRGA10540</v>
      </c>
      <c r="F56" s="517" t="str">
        <f>IFERROR(__xludf.DUMMYFUNCTION("""COMPUTED_VALUE"""),"GK2MP")</f>
        <v>GK2MP</v>
      </c>
      <c r="G56" s="517"/>
      <c r="H56" s="518" t="str">
        <f>IFERROR(__xludf.DUMMYFUNCTION("""COMPUTED_VALUE"""),"840353939462")</f>
        <v>840353939462</v>
      </c>
      <c r="I56" s="518" t="str">
        <f>IFERROR(__xludf.DUMMYFUNCTION("""COMPUTED_VALUE"""),"No")</f>
        <v>No</v>
      </c>
      <c r="J56" s="517" t="str">
        <f>IFERROR(__xludf.DUMMYFUNCTION("""COMPUTED_VALUE"""),"Bulk_30ct")</f>
        <v>Bulk_30ct</v>
      </c>
      <c r="K56" s="517" t="str">
        <f>IFERROR(__xludf.DUMMYFUNCTION("""COMPUTED_VALUE"""),"ROW Master Carton Label (UPC)")</f>
        <v>ROW Master Carton Label (UPC)</v>
      </c>
      <c r="L56" s="517" t="str">
        <f>IFERROR(__xludf.DUMMYFUNCTION("""COMPUTED_VALUE"""),"N/A")</f>
        <v>N/A</v>
      </c>
      <c r="M56" s="517" t="str">
        <f>IFERROR(__xludf.DUMMYFUNCTION("""COMPUTED_VALUE"""),"N/A")</f>
        <v>N/A</v>
      </c>
      <c r="N56" s="517" t="str">
        <f>IFERROR(__xludf.DUMMYFUNCTION("""COMPUTED_VALUE"""),"N/A")</f>
        <v>N/A</v>
      </c>
      <c r="O56" s="517"/>
      <c r="P56" s="517" t="str">
        <f>IFERROR(__xludf.DUMMYFUNCTION("""COMPUTED_VALUE"""),"N/A")</f>
        <v>N/A</v>
      </c>
    </row>
    <row r="57">
      <c r="B57" s="517" t="str">
        <f>IFERROR(__xludf.DUMMYFUNCTION("""COMPUTED_VALUE"""),"CA/AU")</f>
        <v>CA/AU</v>
      </c>
      <c r="C57" s="518" t="str">
        <f>IFERROR(__xludf.DUMMYFUNCTION("""COMPUTED_VALUE"""),"0840353939479")</f>
        <v>0840353939479</v>
      </c>
      <c r="D57" s="517" t="str">
        <f>IFERROR(__xludf.DUMMYFUNCTION("""COMPUTED_VALUE"""),"CLNR/FRU")</f>
        <v>CLNR/FRU</v>
      </c>
      <c r="E57" s="517" t="str">
        <f>IFERROR(__xludf.DUMMYFUNCTION("""COMPUTED_VALUE"""),"CLNRGA10541")</f>
        <v>CLNRGA10541</v>
      </c>
      <c r="F57" s="517" t="str">
        <f>IFERROR(__xludf.DUMMYFUNCTION("""COMPUTED_VALUE"""),"GK2MP")</f>
        <v>GK2MP</v>
      </c>
      <c r="G57" s="517"/>
      <c r="H57" s="518" t="str">
        <f>IFERROR(__xludf.DUMMYFUNCTION("""COMPUTED_VALUE"""),"840353939479")</f>
        <v>840353939479</v>
      </c>
      <c r="I57" s="518" t="str">
        <f>IFERROR(__xludf.DUMMYFUNCTION("""COMPUTED_VALUE"""),"No")</f>
        <v>No</v>
      </c>
      <c r="J57" s="517" t="str">
        <f>IFERROR(__xludf.DUMMYFUNCTION("""COMPUTED_VALUE"""),"Bulk_30ct")</f>
        <v>Bulk_30ct</v>
      </c>
      <c r="K57" s="517" t="str">
        <f>IFERROR(__xludf.DUMMYFUNCTION("""COMPUTED_VALUE"""),"ROW Master Carton Label (UPC)")</f>
        <v>ROW Master Carton Label (UPC)</v>
      </c>
      <c r="L57" s="517" t="str">
        <f>IFERROR(__xludf.DUMMYFUNCTION("""COMPUTED_VALUE"""),"N/A")</f>
        <v>N/A</v>
      </c>
      <c r="M57" s="517" t="str">
        <f>IFERROR(__xludf.DUMMYFUNCTION("""COMPUTED_VALUE"""),"N/A")</f>
        <v>N/A</v>
      </c>
      <c r="N57" s="517" t="str">
        <f>IFERROR(__xludf.DUMMYFUNCTION("""COMPUTED_VALUE"""),"N/A")</f>
        <v>N/A</v>
      </c>
      <c r="O57" s="517"/>
      <c r="P57" s="517" t="str">
        <f>IFERROR(__xludf.DUMMYFUNCTION("""COMPUTED_VALUE"""),"N/A")</f>
        <v>N/A</v>
      </c>
    </row>
    <row r="58">
      <c r="B58" s="517" t="str">
        <f>IFERROR(__xludf.DUMMYFUNCTION("""COMPUTED_VALUE"""),"CA/AU")</f>
        <v>CA/AU</v>
      </c>
      <c r="C58" s="518" t="str">
        <f>IFERROR(__xludf.DUMMYFUNCTION("""COMPUTED_VALUE"""),"0840353939486")</f>
        <v>0840353939486</v>
      </c>
      <c r="D58" s="517" t="str">
        <f>IFERROR(__xludf.DUMMYFUNCTION("""COMPUTED_VALUE"""),"CLNR/FRU")</f>
        <v>CLNR/FRU</v>
      </c>
      <c r="E58" s="517" t="str">
        <f>IFERROR(__xludf.DUMMYFUNCTION("""COMPUTED_VALUE"""),"CLNRGA10542")</f>
        <v>CLNRGA10542</v>
      </c>
      <c r="F58" s="517" t="str">
        <f>IFERROR(__xludf.DUMMYFUNCTION("""COMPUTED_VALUE"""),"GK2MP")</f>
        <v>GK2MP</v>
      </c>
      <c r="G58" s="517"/>
      <c r="H58" s="518" t="str">
        <f>IFERROR(__xludf.DUMMYFUNCTION("""COMPUTED_VALUE"""),"840353939486")</f>
        <v>840353939486</v>
      </c>
      <c r="I58" s="518" t="str">
        <f>IFERROR(__xludf.DUMMYFUNCTION("""COMPUTED_VALUE"""),"No")</f>
        <v>No</v>
      </c>
      <c r="J58" s="517" t="str">
        <f>IFERROR(__xludf.DUMMYFUNCTION("""COMPUTED_VALUE"""),"Bulk_30ct")</f>
        <v>Bulk_30ct</v>
      </c>
      <c r="K58" s="517" t="str">
        <f>IFERROR(__xludf.DUMMYFUNCTION("""COMPUTED_VALUE"""),"ROW Master Carton Label (UPC)")</f>
        <v>ROW Master Carton Label (UPC)</v>
      </c>
      <c r="L58" s="517" t="str">
        <f>IFERROR(__xludf.DUMMYFUNCTION("""COMPUTED_VALUE"""),"N/A")</f>
        <v>N/A</v>
      </c>
      <c r="M58" s="517" t="str">
        <f>IFERROR(__xludf.DUMMYFUNCTION("""COMPUTED_VALUE"""),"N/A")</f>
        <v>N/A</v>
      </c>
      <c r="N58" s="517" t="str">
        <f>IFERROR(__xludf.DUMMYFUNCTION("""COMPUTED_VALUE"""),"N/A")</f>
        <v>N/A</v>
      </c>
      <c r="O58" s="517"/>
      <c r="P58" s="517" t="str">
        <f>IFERROR(__xludf.DUMMYFUNCTION("""COMPUTED_VALUE"""),"N/A")</f>
        <v>N/A</v>
      </c>
    </row>
    <row r="59">
      <c r="B59" s="517" t="str">
        <f>IFERROR(__xludf.DUMMYFUNCTION("""COMPUTED_VALUE"""),"CA/AU")</f>
        <v>CA/AU</v>
      </c>
      <c r="C59" s="518" t="str">
        <f>IFERROR(__xludf.DUMMYFUNCTION("""COMPUTED_VALUE"""),"0840353939493")</f>
        <v>0840353939493</v>
      </c>
      <c r="D59" s="517" t="str">
        <f>IFERROR(__xludf.DUMMYFUNCTION("""COMPUTED_VALUE"""),"CLNR/FRU")</f>
        <v>CLNR/FRU</v>
      </c>
      <c r="E59" s="517" t="str">
        <f>IFERROR(__xludf.DUMMYFUNCTION("""COMPUTED_VALUE"""),"CLNRGA10543")</f>
        <v>CLNRGA10543</v>
      </c>
      <c r="F59" s="517" t="str">
        <f>IFERROR(__xludf.DUMMYFUNCTION("""COMPUTED_VALUE"""),"GK2MP")</f>
        <v>GK2MP</v>
      </c>
      <c r="G59" s="517"/>
      <c r="H59" s="518" t="str">
        <f>IFERROR(__xludf.DUMMYFUNCTION("""COMPUTED_VALUE"""),"840353939493")</f>
        <v>840353939493</v>
      </c>
      <c r="I59" s="518" t="str">
        <f>IFERROR(__xludf.DUMMYFUNCTION("""COMPUTED_VALUE"""),"No")</f>
        <v>No</v>
      </c>
      <c r="J59" s="517" t="str">
        <f>IFERROR(__xludf.DUMMYFUNCTION("""COMPUTED_VALUE"""),"Bulk_30ct")</f>
        <v>Bulk_30ct</v>
      </c>
      <c r="K59" s="517" t="str">
        <f>IFERROR(__xludf.DUMMYFUNCTION("""COMPUTED_VALUE"""),"ROW Master Carton Label (UPC)")</f>
        <v>ROW Master Carton Label (UPC)</v>
      </c>
      <c r="L59" s="517" t="str">
        <f>IFERROR(__xludf.DUMMYFUNCTION("""COMPUTED_VALUE"""),"N/A")</f>
        <v>N/A</v>
      </c>
      <c r="M59" s="517" t="str">
        <f>IFERROR(__xludf.DUMMYFUNCTION("""COMPUTED_VALUE"""),"N/A")</f>
        <v>N/A</v>
      </c>
      <c r="N59" s="517" t="str">
        <f>IFERROR(__xludf.DUMMYFUNCTION("""COMPUTED_VALUE"""),"N/A")</f>
        <v>N/A</v>
      </c>
      <c r="O59" s="517"/>
      <c r="P59" s="517" t="str">
        <f>IFERROR(__xludf.DUMMYFUNCTION("""COMPUTED_VALUE"""),"N/A")</f>
        <v>N/A</v>
      </c>
    </row>
    <row r="60">
      <c r="B60" s="517" t="str">
        <f>IFERROR(__xludf.DUMMYFUNCTION("""COMPUTED_VALUE"""),"CA/AU")</f>
        <v>CA/AU</v>
      </c>
      <c r="C60" s="518" t="str">
        <f>IFERROR(__xludf.DUMMYFUNCTION("""COMPUTED_VALUE"""),"0840353939509")</f>
        <v>0840353939509</v>
      </c>
      <c r="D60" s="517" t="str">
        <f>IFERROR(__xludf.DUMMYFUNCTION("""COMPUTED_VALUE"""),"CLNR/FRU")</f>
        <v>CLNR/FRU</v>
      </c>
      <c r="E60" s="517" t="str">
        <f>IFERROR(__xludf.DUMMYFUNCTION("""COMPUTED_VALUE"""),"CLNRGA10544")</f>
        <v>CLNRGA10544</v>
      </c>
      <c r="F60" s="517" t="str">
        <f>IFERROR(__xludf.DUMMYFUNCTION("""COMPUTED_VALUE"""),"GK2MP")</f>
        <v>GK2MP</v>
      </c>
      <c r="G60" s="517"/>
      <c r="H60" s="518" t="str">
        <f>IFERROR(__xludf.DUMMYFUNCTION("""COMPUTED_VALUE"""),"840353939509")</f>
        <v>840353939509</v>
      </c>
      <c r="I60" s="518" t="str">
        <f>IFERROR(__xludf.DUMMYFUNCTION("""COMPUTED_VALUE"""),"No")</f>
        <v>No</v>
      </c>
      <c r="J60" s="517" t="str">
        <f>IFERROR(__xludf.DUMMYFUNCTION("""COMPUTED_VALUE"""),"Bulk_30ct")</f>
        <v>Bulk_30ct</v>
      </c>
      <c r="K60" s="517" t="str">
        <f>IFERROR(__xludf.DUMMYFUNCTION("""COMPUTED_VALUE"""),"ROW Master Carton Label (UPC)")</f>
        <v>ROW Master Carton Label (UPC)</v>
      </c>
      <c r="L60" s="517" t="str">
        <f>IFERROR(__xludf.DUMMYFUNCTION("""COMPUTED_VALUE"""),"N/A")</f>
        <v>N/A</v>
      </c>
      <c r="M60" s="517" t="str">
        <f>IFERROR(__xludf.DUMMYFUNCTION("""COMPUTED_VALUE"""),"N/A")</f>
        <v>N/A</v>
      </c>
      <c r="N60" s="517" t="str">
        <f>IFERROR(__xludf.DUMMYFUNCTION("""COMPUTED_VALUE"""),"N/A")</f>
        <v>N/A</v>
      </c>
      <c r="O60" s="517"/>
      <c r="P60" s="517" t="str">
        <f>IFERROR(__xludf.DUMMYFUNCTION("""COMPUTED_VALUE"""),"N/A")</f>
        <v>N/A</v>
      </c>
    </row>
    <row r="61">
      <c r="B61" s="517" t="str">
        <f>IFERROR(__xludf.DUMMYFUNCTION("""COMPUTED_VALUE"""),"CA/AU")</f>
        <v>CA/AU</v>
      </c>
      <c r="C61" s="518" t="str">
        <f>IFERROR(__xludf.DUMMYFUNCTION("""COMPUTED_VALUE"""),"0840353939516")</f>
        <v>0840353939516</v>
      </c>
      <c r="D61" s="517" t="str">
        <f>IFERROR(__xludf.DUMMYFUNCTION("""COMPUTED_VALUE"""),"CLNR/FRU")</f>
        <v>CLNR/FRU</v>
      </c>
      <c r="E61" s="517" t="str">
        <f>IFERROR(__xludf.DUMMYFUNCTION("""COMPUTED_VALUE"""),"CLNRGA10545")</f>
        <v>CLNRGA10545</v>
      </c>
      <c r="F61" s="517" t="str">
        <f>IFERROR(__xludf.DUMMYFUNCTION("""COMPUTED_VALUE"""),"GK2MP")</f>
        <v>GK2MP</v>
      </c>
      <c r="G61" s="517"/>
      <c r="H61" s="518" t="str">
        <f>IFERROR(__xludf.DUMMYFUNCTION("""COMPUTED_VALUE"""),"840353939516")</f>
        <v>840353939516</v>
      </c>
      <c r="I61" s="518" t="str">
        <f>IFERROR(__xludf.DUMMYFUNCTION("""COMPUTED_VALUE"""),"No")</f>
        <v>No</v>
      </c>
      <c r="J61" s="517" t="str">
        <f>IFERROR(__xludf.DUMMYFUNCTION("""COMPUTED_VALUE"""),"Bulk_30ct")</f>
        <v>Bulk_30ct</v>
      </c>
      <c r="K61" s="517" t="str">
        <f>IFERROR(__xludf.DUMMYFUNCTION("""COMPUTED_VALUE"""),"ROW Master Carton Label (UPC)")</f>
        <v>ROW Master Carton Label (UPC)</v>
      </c>
      <c r="L61" s="517" t="str">
        <f>IFERROR(__xludf.DUMMYFUNCTION("""COMPUTED_VALUE"""),"N/A")</f>
        <v>N/A</v>
      </c>
      <c r="M61" s="517" t="str">
        <f>IFERROR(__xludf.DUMMYFUNCTION("""COMPUTED_VALUE"""),"N/A")</f>
        <v>N/A</v>
      </c>
      <c r="N61" s="517" t="str">
        <f>IFERROR(__xludf.DUMMYFUNCTION("""COMPUTED_VALUE"""),"N/A")</f>
        <v>N/A</v>
      </c>
      <c r="O61" s="517"/>
      <c r="P61" s="517" t="str">
        <f>IFERROR(__xludf.DUMMYFUNCTION("""COMPUTED_VALUE"""),"N/A")</f>
        <v>N/A</v>
      </c>
    </row>
    <row r="62">
      <c r="B62" s="517" t="str">
        <f>IFERROR(__xludf.DUMMYFUNCTION("""COMPUTED_VALUE"""),"CA/AU")</f>
        <v>CA/AU</v>
      </c>
      <c r="C62" s="518" t="str">
        <f>IFERROR(__xludf.DUMMYFUNCTION("""COMPUTED_VALUE"""),"0840353939523")</f>
        <v>0840353939523</v>
      </c>
      <c r="D62" s="517" t="str">
        <f>IFERROR(__xludf.DUMMYFUNCTION("""COMPUTED_VALUE"""),"CLNR/FRU")</f>
        <v>CLNR/FRU</v>
      </c>
      <c r="E62" s="517" t="str">
        <f>IFERROR(__xludf.DUMMYFUNCTION("""COMPUTED_VALUE"""),"CLNRGA10546")</f>
        <v>CLNRGA10546</v>
      </c>
      <c r="F62" s="517" t="str">
        <f>IFERROR(__xludf.DUMMYFUNCTION("""COMPUTED_VALUE"""),"GK2MP")</f>
        <v>GK2MP</v>
      </c>
      <c r="G62" s="517"/>
      <c r="H62" s="518" t="str">
        <f>IFERROR(__xludf.DUMMYFUNCTION("""COMPUTED_VALUE"""),"840353939523")</f>
        <v>840353939523</v>
      </c>
      <c r="I62" s="518" t="str">
        <f>IFERROR(__xludf.DUMMYFUNCTION("""COMPUTED_VALUE"""),"No")</f>
        <v>No</v>
      </c>
      <c r="J62" s="517" t="str">
        <f>IFERROR(__xludf.DUMMYFUNCTION("""COMPUTED_VALUE"""),"Bulk_30ct")</f>
        <v>Bulk_30ct</v>
      </c>
      <c r="K62" s="517" t="str">
        <f>IFERROR(__xludf.DUMMYFUNCTION("""COMPUTED_VALUE"""),"ROW Master Carton Label (UPC)")</f>
        <v>ROW Master Carton Label (UPC)</v>
      </c>
      <c r="L62" s="517" t="str">
        <f>IFERROR(__xludf.DUMMYFUNCTION("""COMPUTED_VALUE"""),"N/A")</f>
        <v>N/A</v>
      </c>
      <c r="M62" s="517" t="str">
        <f>IFERROR(__xludf.DUMMYFUNCTION("""COMPUTED_VALUE"""),"N/A")</f>
        <v>N/A</v>
      </c>
      <c r="N62" s="517" t="str">
        <f>IFERROR(__xludf.DUMMYFUNCTION("""COMPUTED_VALUE"""),"N/A")</f>
        <v>N/A</v>
      </c>
      <c r="O62" s="517"/>
      <c r="P62" s="517" t="str">
        <f>IFERROR(__xludf.DUMMYFUNCTION("""COMPUTED_VALUE"""),"N/A")</f>
        <v>N/A</v>
      </c>
    </row>
    <row r="63">
      <c r="B63" s="517" t="str">
        <f>IFERROR(__xludf.DUMMYFUNCTION("""COMPUTED_VALUE"""),"CA/AU")</f>
        <v>CA/AU</v>
      </c>
      <c r="C63" s="518" t="str">
        <f>IFERROR(__xludf.DUMMYFUNCTION("""COMPUTED_VALUE"""),"0840353939530")</f>
        <v>0840353939530</v>
      </c>
      <c r="D63" s="517" t="str">
        <f>IFERROR(__xludf.DUMMYFUNCTION("""COMPUTED_VALUE"""),"CLNR/FRU")</f>
        <v>CLNR/FRU</v>
      </c>
      <c r="E63" s="517" t="str">
        <f>IFERROR(__xludf.DUMMYFUNCTION("""COMPUTED_VALUE"""),"CLNRGA10547")</f>
        <v>CLNRGA10547</v>
      </c>
      <c r="F63" s="517" t="str">
        <f>IFERROR(__xludf.DUMMYFUNCTION("""COMPUTED_VALUE"""),"GK2MP")</f>
        <v>GK2MP</v>
      </c>
      <c r="G63" s="517"/>
      <c r="H63" s="518" t="str">
        <f>IFERROR(__xludf.DUMMYFUNCTION("""COMPUTED_VALUE"""),"840353939530")</f>
        <v>840353939530</v>
      </c>
      <c r="I63" s="518" t="str">
        <f>IFERROR(__xludf.DUMMYFUNCTION("""COMPUTED_VALUE"""),"No")</f>
        <v>No</v>
      </c>
      <c r="J63" s="517" t="str">
        <f>IFERROR(__xludf.DUMMYFUNCTION("""COMPUTED_VALUE"""),"Bulk_30ct")</f>
        <v>Bulk_30ct</v>
      </c>
      <c r="K63" s="517" t="str">
        <f>IFERROR(__xludf.DUMMYFUNCTION("""COMPUTED_VALUE"""),"ROW Master Carton Label (UPC)")</f>
        <v>ROW Master Carton Label (UPC)</v>
      </c>
      <c r="L63" s="517" t="str">
        <f>IFERROR(__xludf.DUMMYFUNCTION("""COMPUTED_VALUE"""),"N/A")</f>
        <v>N/A</v>
      </c>
      <c r="M63" s="517" t="str">
        <f>IFERROR(__xludf.DUMMYFUNCTION("""COMPUTED_VALUE"""),"N/A")</f>
        <v>N/A</v>
      </c>
      <c r="N63" s="517" t="str">
        <f>IFERROR(__xludf.DUMMYFUNCTION("""COMPUTED_VALUE"""),"N/A")</f>
        <v>N/A</v>
      </c>
      <c r="O63" s="517"/>
      <c r="P63" s="517" t="str">
        <f>IFERROR(__xludf.DUMMYFUNCTION("""COMPUTED_VALUE"""),"N/A")</f>
        <v>N/A</v>
      </c>
    </row>
    <row r="64">
      <c r="B64" s="517" t="str">
        <f>IFERROR(__xludf.DUMMYFUNCTION("""COMPUTED_VALUE"""),"UK,DE, IT, ES, IE,FR, NO,SE,DK,NL, BE, AT, CH, PT, PL, SK,")</f>
        <v>UK,DE, IT, ES, IE,FR, NO,SE,DK,NL, BE, AT, CH, PT, PL, SK,</v>
      </c>
      <c r="C64" s="518" t="str">
        <f>IFERROR(__xludf.DUMMYFUNCTION("""COMPUTED_VALUE"""),"0840353939547")</f>
        <v>0840353939547</v>
      </c>
      <c r="D64" s="517" t="str">
        <f>IFERROR(__xludf.DUMMYFUNCTION("""COMPUTED_VALUE"""),"CLNR/FRU")</f>
        <v>CLNR/FRU</v>
      </c>
      <c r="E64" s="517" t="str">
        <f>IFERROR(__xludf.DUMMYFUNCTION("""COMPUTED_VALUE"""),"CLNRGA10548")</f>
        <v>CLNRGA10548</v>
      </c>
      <c r="F64" s="517" t="str">
        <f>IFERROR(__xludf.DUMMYFUNCTION("""COMPUTED_VALUE"""),"GK2MP
")</f>
        <v>GK2MP
</v>
      </c>
      <c r="G64" s="517"/>
      <c r="H64" s="518" t="str">
        <f>IFERROR(__xludf.DUMMYFUNCTION("""COMPUTED_VALUE"""),"840353939547")</f>
        <v>840353939547</v>
      </c>
      <c r="I64" s="518" t="str">
        <f>IFERROR(__xludf.DUMMYFUNCTION("""COMPUTED_VALUE"""),"No")</f>
        <v>No</v>
      </c>
      <c r="J64" s="517" t="str">
        <f>IFERROR(__xludf.DUMMYFUNCTION("""COMPUTED_VALUE"""),"Bulk_30ct")</f>
        <v>Bulk_30ct</v>
      </c>
      <c r="K64" s="517" t="str">
        <f>IFERROR(__xludf.DUMMYFUNCTION("""COMPUTED_VALUE"""),"ROW Master Carton Label (EAN)")</f>
        <v>ROW Master Carton Label (EAN)</v>
      </c>
      <c r="L64" s="517" t="str">
        <f>IFERROR(__xludf.DUMMYFUNCTION("""COMPUTED_VALUE"""),"N/A")</f>
        <v>N/A</v>
      </c>
      <c r="M64" s="517" t="str">
        <f>IFERROR(__xludf.DUMMYFUNCTION("""COMPUTED_VALUE"""),"N/A")</f>
        <v>N/A</v>
      </c>
      <c r="N64" s="517" t="str">
        <f>IFERROR(__xludf.DUMMYFUNCTION("""COMPUTED_VALUE"""),"N/A")</f>
        <v>N/A</v>
      </c>
      <c r="O64" s="517"/>
      <c r="P64" s="517" t="str">
        <f>IFERROR(__xludf.DUMMYFUNCTION("""COMPUTED_VALUE"""),"N/A")</f>
        <v>N/A</v>
      </c>
    </row>
    <row r="65">
      <c r="B65" s="517" t="str">
        <f>IFERROR(__xludf.DUMMYFUNCTION("""COMPUTED_VALUE"""),"UK,DE, IT, ES, IE,FR, NO,SE,DK,NL, BE, AT, CH, PT, PL, SK,")</f>
        <v>UK,DE, IT, ES, IE,FR, NO,SE,DK,NL, BE, AT, CH, PT, PL, SK,</v>
      </c>
      <c r="C65" s="518" t="str">
        <f>IFERROR(__xludf.DUMMYFUNCTION("""COMPUTED_VALUE"""),"0840353939554")</f>
        <v>0840353939554</v>
      </c>
      <c r="D65" s="517" t="str">
        <f>IFERROR(__xludf.DUMMYFUNCTION("""COMPUTED_VALUE"""),"CLNR/FRU")</f>
        <v>CLNR/FRU</v>
      </c>
      <c r="E65" s="517" t="str">
        <f>IFERROR(__xludf.DUMMYFUNCTION("""COMPUTED_VALUE"""),"CLNRGA10549")</f>
        <v>CLNRGA10549</v>
      </c>
      <c r="F65" s="517" t="str">
        <f>IFERROR(__xludf.DUMMYFUNCTION("""COMPUTED_VALUE"""),"GK2MP
")</f>
        <v>GK2MP
</v>
      </c>
      <c r="G65" s="517"/>
      <c r="H65" s="518" t="str">
        <f>IFERROR(__xludf.DUMMYFUNCTION("""COMPUTED_VALUE"""),"840353939554")</f>
        <v>840353939554</v>
      </c>
      <c r="I65" s="518" t="str">
        <f>IFERROR(__xludf.DUMMYFUNCTION("""COMPUTED_VALUE"""),"No")</f>
        <v>No</v>
      </c>
      <c r="J65" s="517" t="str">
        <f>IFERROR(__xludf.DUMMYFUNCTION("""COMPUTED_VALUE"""),"Bulk_30ct")</f>
        <v>Bulk_30ct</v>
      </c>
      <c r="K65" s="517" t="str">
        <f>IFERROR(__xludf.DUMMYFUNCTION("""COMPUTED_VALUE"""),"ROW Master Carton Label (EAN)")</f>
        <v>ROW Master Carton Label (EAN)</v>
      </c>
      <c r="L65" s="517" t="str">
        <f>IFERROR(__xludf.DUMMYFUNCTION("""COMPUTED_VALUE"""),"N/A")</f>
        <v>N/A</v>
      </c>
      <c r="M65" s="517" t="str">
        <f>IFERROR(__xludf.DUMMYFUNCTION("""COMPUTED_VALUE"""),"N/A")</f>
        <v>N/A</v>
      </c>
      <c r="N65" s="517" t="str">
        <f>IFERROR(__xludf.DUMMYFUNCTION("""COMPUTED_VALUE"""),"N/A")</f>
        <v>N/A</v>
      </c>
      <c r="O65" s="517"/>
      <c r="P65" s="517" t="str">
        <f>IFERROR(__xludf.DUMMYFUNCTION("""COMPUTED_VALUE"""),"N/A")</f>
        <v>N/A</v>
      </c>
    </row>
    <row r="66">
      <c r="B66" s="517" t="str">
        <f>IFERROR(__xludf.DUMMYFUNCTION("""COMPUTED_VALUE"""),"UK,DE, IT, ES, IE,FR, NO,SE,DK,NL, BE, AT, CH, PT, PL, SK,")</f>
        <v>UK,DE, IT, ES, IE,FR, NO,SE,DK,NL, BE, AT, CH, PT, PL, SK,</v>
      </c>
      <c r="C66" s="518" t="str">
        <f>IFERROR(__xludf.DUMMYFUNCTION("""COMPUTED_VALUE"""),"0840353939561")</f>
        <v>0840353939561</v>
      </c>
      <c r="D66" s="517" t="str">
        <f>IFERROR(__xludf.DUMMYFUNCTION("""COMPUTED_VALUE"""),"CLNR/FRU")</f>
        <v>CLNR/FRU</v>
      </c>
      <c r="E66" s="517" t="str">
        <f>IFERROR(__xludf.DUMMYFUNCTION("""COMPUTED_VALUE"""),"CLNRGA10550")</f>
        <v>CLNRGA10550</v>
      </c>
      <c r="F66" s="517" t="str">
        <f>IFERROR(__xludf.DUMMYFUNCTION("""COMPUTED_VALUE"""),"GK2MP
")</f>
        <v>GK2MP
</v>
      </c>
      <c r="G66" s="517"/>
      <c r="H66" s="518" t="str">
        <f>IFERROR(__xludf.DUMMYFUNCTION("""COMPUTED_VALUE"""),"840353939561")</f>
        <v>840353939561</v>
      </c>
      <c r="I66" s="518" t="str">
        <f>IFERROR(__xludf.DUMMYFUNCTION("""COMPUTED_VALUE"""),"No")</f>
        <v>No</v>
      </c>
      <c r="J66" s="517" t="str">
        <f>IFERROR(__xludf.DUMMYFUNCTION("""COMPUTED_VALUE"""),"Bulk_30ct")</f>
        <v>Bulk_30ct</v>
      </c>
      <c r="K66" s="517" t="str">
        <f>IFERROR(__xludf.DUMMYFUNCTION("""COMPUTED_VALUE"""),"ROW Master Carton Label (EAN)")</f>
        <v>ROW Master Carton Label (EAN)</v>
      </c>
      <c r="L66" s="517" t="str">
        <f>IFERROR(__xludf.DUMMYFUNCTION("""COMPUTED_VALUE"""),"N/A")</f>
        <v>N/A</v>
      </c>
      <c r="M66" s="517" t="str">
        <f>IFERROR(__xludf.DUMMYFUNCTION("""COMPUTED_VALUE"""),"N/A")</f>
        <v>N/A</v>
      </c>
      <c r="N66" s="517" t="str">
        <f>IFERROR(__xludf.DUMMYFUNCTION("""COMPUTED_VALUE"""),"N/A")</f>
        <v>N/A</v>
      </c>
      <c r="O66" s="517"/>
      <c r="P66" s="517" t="str">
        <f>IFERROR(__xludf.DUMMYFUNCTION("""COMPUTED_VALUE"""),"N/A")</f>
        <v>N/A</v>
      </c>
    </row>
    <row r="67">
      <c r="B67" s="517" t="str">
        <f>IFERROR(__xludf.DUMMYFUNCTION("""COMPUTED_VALUE"""),"UK,DE, IT, ES, IE,FR, NO,SE,DK,NL, BE, AT, CH, PT, PL, SK,")</f>
        <v>UK,DE, IT, ES, IE,FR, NO,SE,DK,NL, BE, AT, CH, PT, PL, SK,</v>
      </c>
      <c r="C67" s="518" t="str">
        <f>IFERROR(__xludf.DUMMYFUNCTION("""COMPUTED_VALUE"""),"0840353939578")</f>
        <v>0840353939578</v>
      </c>
      <c r="D67" s="517" t="str">
        <f>IFERROR(__xludf.DUMMYFUNCTION("""COMPUTED_VALUE"""),"CLNR/FRU")</f>
        <v>CLNR/FRU</v>
      </c>
      <c r="E67" s="517" t="str">
        <f>IFERROR(__xludf.DUMMYFUNCTION("""COMPUTED_VALUE"""),"CLNRGA10551")</f>
        <v>CLNRGA10551</v>
      </c>
      <c r="F67" s="517" t="str">
        <f>IFERROR(__xludf.DUMMYFUNCTION("""COMPUTED_VALUE"""),"GK2MP
")</f>
        <v>GK2MP
</v>
      </c>
      <c r="G67" s="517"/>
      <c r="H67" s="518" t="str">
        <f>IFERROR(__xludf.DUMMYFUNCTION("""COMPUTED_VALUE"""),"840353939578")</f>
        <v>840353939578</v>
      </c>
      <c r="I67" s="518" t="str">
        <f>IFERROR(__xludf.DUMMYFUNCTION("""COMPUTED_VALUE"""),"No")</f>
        <v>No</v>
      </c>
      <c r="J67" s="517" t="str">
        <f>IFERROR(__xludf.DUMMYFUNCTION("""COMPUTED_VALUE"""),"Bulk_30ct")</f>
        <v>Bulk_30ct</v>
      </c>
      <c r="K67" s="517" t="str">
        <f>IFERROR(__xludf.DUMMYFUNCTION("""COMPUTED_VALUE"""),"ROW Master Carton Label (EAN)")</f>
        <v>ROW Master Carton Label (EAN)</v>
      </c>
      <c r="L67" s="517" t="str">
        <f>IFERROR(__xludf.DUMMYFUNCTION("""COMPUTED_VALUE"""),"N/A")</f>
        <v>N/A</v>
      </c>
      <c r="M67" s="517" t="str">
        <f>IFERROR(__xludf.DUMMYFUNCTION("""COMPUTED_VALUE"""),"N/A")</f>
        <v>N/A</v>
      </c>
      <c r="N67" s="517" t="str">
        <f>IFERROR(__xludf.DUMMYFUNCTION("""COMPUTED_VALUE"""),"N/A")</f>
        <v>N/A</v>
      </c>
      <c r="O67" s="517"/>
      <c r="P67" s="517" t="str">
        <f>IFERROR(__xludf.DUMMYFUNCTION("""COMPUTED_VALUE"""),"N/A")</f>
        <v>N/A</v>
      </c>
    </row>
    <row r="68">
      <c r="B68" s="517" t="str">
        <f>IFERROR(__xludf.DUMMYFUNCTION("""COMPUTED_VALUE"""),"UK,DE, IT, ES, IE,FR, NO,SE,DK,NL, BE, AT, CH, PT, PL, SK,")</f>
        <v>UK,DE, IT, ES, IE,FR, NO,SE,DK,NL, BE, AT, CH, PT, PL, SK,</v>
      </c>
      <c r="C68" s="518" t="str">
        <f>IFERROR(__xludf.DUMMYFUNCTION("""COMPUTED_VALUE"""),"0840353939585")</f>
        <v>0840353939585</v>
      </c>
      <c r="D68" s="517" t="str">
        <f>IFERROR(__xludf.DUMMYFUNCTION("""COMPUTED_VALUE"""),"CLNR/FRU")</f>
        <v>CLNR/FRU</v>
      </c>
      <c r="E68" s="517" t="str">
        <f>IFERROR(__xludf.DUMMYFUNCTION("""COMPUTED_VALUE"""),"CLNRGA10552")</f>
        <v>CLNRGA10552</v>
      </c>
      <c r="F68" s="517" t="str">
        <f>IFERROR(__xludf.DUMMYFUNCTION("""COMPUTED_VALUE"""),"GK2MP
")</f>
        <v>GK2MP
</v>
      </c>
      <c r="G68" s="517"/>
      <c r="H68" s="518" t="str">
        <f>IFERROR(__xludf.DUMMYFUNCTION("""COMPUTED_VALUE"""),"840353939585")</f>
        <v>840353939585</v>
      </c>
      <c r="I68" s="518" t="str">
        <f>IFERROR(__xludf.DUMMYFUNCTION("""COMPUTED_VALUE"""),"No")</f>
        <v>No</v>
      </c>
      <c r="J68" s="517" t="str">
        <f>IFERROR(__xludf.DUMMYFUNCTION("""COMPUTED_VALUE"""),"Bulk_30ct")</f>
        <v>Bulk_30ct</v>
      </c>
      <c r="K68" s="517" t="str">
        <f>IFERROR(__xludf.DUMMYFUNCTION("""COMPUTED_VALUE"""),"ROW Master Carton Label (EAN)")</f>
        <v>ROW Master Carton Label (EAN)</v>
      </c>
      <c r="L68" s="517" t="str">
        <f>IFERROR(__xludf.DUMMYFUNCTION("""COMPUTED_VALUE"""),"N/A")</f>
        <v>N/A</v>
      </c>
      <c r="M68" s="517" t="str">
        <f>IFERROR(__xludf.DUMMYFUNCTION("""COMPUTED_VALUE"""),"N/A")</f>
        <v>N/A</v>
      </c>
      <c r="N68" s="517" t="str">
        <f>IFERROR(__xludf.DUMMYFUNCTION("""COMPUTED_VALUE"""),"N/A")</f>
        <v>N/A</v>
      </c>
      <c r="O68" s="517"/>
      <c r="P68" s="517" t="str">
        <f>IFERROR(__xludf.DUMMYFUNCTION("""COMPUTED_VALUE"""),"N/A")</f>
        <v>N/A</v>
      </c>
    </row>
    <row r="69">
      <c r="B69" s="517" t="str">
        <f>IFERROR(__xludf.DUMMYFUNCTION("""COMPUTED_VALUE"""),"UK,DE, IT, ES, IE,FR, NO,SE,DK,NL, BE, AT, CH, PT, PL, SK,")</f>
        <v>UK,DE, IT, ES, IE,FR, NO,SE,DK,NL, BE, AT, CH, PT, PL, SK,</v>
      </c>
      <c r="C69" s="518" t="str">
        <f>IFERROR(__xludf.DUMMYFUNCTION("""COMPUTED_VALUE"""),"0840353939592")</f>
        <v>0840353939592</v>
      </c>
      <c r="D69" s="517" t="str">
        <f>IFERROR(__xludf.DUMMYFUNCTION("""COMPUTED_VALUE"""),"CLNR/FRU")</f>
        <v>CLNR/FRU</v>
      </c>
      <c r="E69" s="517" t="str">
        <f>IFERROR(__xludf.DUMMYFUNCTION("""COMPUTED_VALUE"""),"CLNRGA10553")</f>
        <v>CLNRGA10553</v>
      </c>
      <c r="F69" s="517" t="str">
        <f>IFERROR(__xludf.DUMMYFUNCTION("""COMPUTED_VALUE"""),"GK2MP
")</f>
        <v>GK2MP
</v>
      </c>
      <c r="G69" s="517"/>
      <c r="H69" s="518" t="str">
        <f>IFERROR(__xludf.DUMMYFUNCTION("""COMPUTED_VALUE"""),"840353939592")</f>
        <v>840353939592</v>
      </c>
      <c r="I69" s="518" t="str">
        <f>IFERROR(__xludf.DUMMYFUNCTION("""COMPUTED_VALUE"""),"No")</f>
        <v>No</v>
      </c>
      <c r="J69" s="517" t="str">
        <f>IFERROR(__xludf.DUMMYFUNCTION("""COMPUTED_VALUE"""),"Bulk_30ct")</f>
        <v>Bulk_30ct</v>
      </c>
      <c r="K69" s="517" t="str">
        <f>IFERROR(__xludf.DUMMYFUNCTION("""COMPUTED_VALUE"""),"ROW Master Carton Label (EAN)")</f>
        <v>ROW Master Carton Label (EAN)</v>
      </c>
      <c r="L69" s="517" t="str">
        <f>IFERROR(__xludf.DUMMYFUNCTION("""COMPUTED_VALUE"""),"N/A")</f>
        <v>N/A</v>
      </c>
      <c r="M69" s="517" t="str">
        <f>IFERROR(__xludf.DUMMYFUNCTION("""COMPUTED_VALUE"""),"N/A")</f>
        <v>N/A</v>
      </c>
      <c r="N69" s="517" t="str">
        <f>IFERROR(__xludf.DUMMYFUNCTION("""COMPUTED_VALUE"""),"N/A")</f>
        <v>N/A</v>
      </c>
      <c r="O69" s="517"/>
      <c r="P69" s="517" t="str">
        <f>IFERROR(__xludf.DUMMYFUNCTION("""COMPUTED_VALUE"""),"N/A")</f>
        <v>N/A</v>
      </c>
    </row>
    <row r="70">
      <c r="B70" s="517" t="str">
        <f>IFERROR(__xludf.DUMMYFUNCTION("""COMPUTED_VALUE"""),"UK,DE, IT, ES, IE,FR, NO,SE,DK,NL, BE, AT, CH, PT, PL, SK,")</f>
        <v>UK,DE, IT, ES, IE,FR, NO,SE,DK,NL, BE, AT, CH, PT, PL, SK,</v>
      </c>
      <c r="C70" s="518" t="str">
        <f>IFERROR(__xludf.DUMMYFUNCTION("""COMPUTED_VALUE"""),"0840353939608")</f>
        <v>0840353939608</v>
      </c>
      <c r="D70" s="517" t="str">
        <f>IFERROR(__xludf.DUMMYFUNCTION("""COMPUTED_VALUE"""),"CLNR/FRU")</f>
        <v>CLNR/FRU</v>
      </c>
      <c r="E70" s="517" t="str">
        <f>IFERROR(__xludf.DUMMYFUNCTION("""COMPUTED_VALUE"""),"CLNRGA10554")</f>
        <v>CLNRGA10554</v>
      </c>
      <c r="F70" s="517" t="str">
        <f>IFERROR(__xludf.DUMMYFUNCTION("""COMPUTED_VALUE"""),"GK2MP
")</f>
        <v>GK2MP
</v>
      </c>
      <c r="G70" s="517"/>
      <c r="H70" s="518" t="str">
        <f>IFERROR(__xludf.DUMMYFUNCTION("""COMPUTED_VALUE"""),"840353939608")</f>
        <v>840353939608</v>
      </c>
      <c r="I70" s="518" t="str">
        <f>IFERROR(__xludf.DUMMYFUNCTION("""COMPUTED_VALUE"""),"No")</f>
        <v>No</v>
      </c>
      <c r="J70" s="517" t="str">
        <f>IFERROR(__xludf.DUMMYFUNCTION("""COMPUTED_VALUE"""),"Bulk_30ct")</f>
        <v>Bulk_30ct</v>
      </c>
      <c r="K70" s="517" t="str">
        <f>IFERROR(__xludf.DUMMYFUNCTION("""COMPUTED_VALUE"""),"ROW Master Carton Label (EAN)")</f>
        <v>ROW Master Carton Label (EAN)</v>
      </c>
      <c r="L70" s="517" t="str">
        <f>IFERROR(__xludf.DUMMYFUNCTION("""COMPUTED_VALUE"""),"N/A")</f>
        <v>N/A</v>
      </c>
      <c r="M70" s="517" t="str">
        <f>IFERROR(__xludf.DUMMYFUNCTION("""COMPUTED_VALUE"""),"N/A")</f>
        <v>N/A</v>
      </c>
      <c r="N70" s="517" t="str">
        <f>IFERROR(__xludf.DUMMYFUNCTION("""COMPUTED_VALUE"""),"N/A")</f>
        <v>N/A</v>
      </c>
      <c r="O70" s="517"/>
      <c r="P70" s="517" t="str">
        <f>IFERROR(__xludf.DUMMYFUNCTION("""COMPUTED_VALUE"""),"N/A")</f>
        <v>N/A</v>
      </c>
    </row>
    <row r="71">
      <c r="B71" s="517" t="str">
        <f>IFERROR(__xludf.DUMMYFUNCTION("""COMPUTED_VALUE"""),"UK,DE, IT, ES, IE,FR, NO,SE,DK,NL, BE, AT, CH, PT, PL, SK,")</f>
        <v>UK,DE, IT, ES, IE,FR, NO,SE,DK,NL, BE, AT, CH, PT, PL, SK,</v>
      </c>
      <c r="C71" s="518" t="str">
        <f>IFERROR(__xludf.DUMMYFUNCTION("""COMPUTED_VALUE"""),"0840353939615")</f>
        <v>0840353939615</v>
      </c>
      <c r="D71" s="517" t="str">
        <f>IFERROR(__xludf.DUMMYFUNCTION("""COMPUTED_VALUE"""),"CLNR/FRU")</f>
        <v>CLNR/FRU</v>
      </c>
      <c r="E71" s="517" t="str">
        <f>IFERROR(__xludf.DUMMYFUNCTION("""COMPUTED_VALUE"""),"CLNRGA10555")</f>
        <v>CLNRGA10555</v>
      </c>
      <c r="F71" s="517" t="str">
        <f>IFERROR(__xludf.DUMMYFUNCTION("""COMPUTED_VALUE"""),"GK2MP
")</f>
        <v>GK2MP
</v>
      </c>
      <c r="G71" s="517"/>
      <c r="H71" s="518" t="str">
        <f>IFERROR(__xludf.DUMMYFUNCTION("""COMPUTED_VALUE"""),"840353939615")</f>
        <v>840353939615</v>
      </c>
      <c r="I71" s="518" t="str">
        <f>IFERROR(__xludf.DUMMYFUNCTION("""COMPUTED_VALUE"""),"No")</f>
        <v>No</v>
      </c>
      <c r="J71" s="517" t="str">
        <f>IFERROR(__xludf.DUMMYFUNCTION("""COMPUTED_VALUE"""),"Bulk_30ct")</f>
        <v>Bulk_30ct</v>
      </c>
      <c r="K71" s="517" t="str">
        <f>IFERROR(__xludf.DUMMYFUNCTION("""COMPUTED_VALUE"""),"ROW Master Carton Label (EAN)")</f>
        <v>ROW Master Carton Label (EAN)</v>
      </c>
      <c r="L71" s="517" t="str">
        <f>IFERROR(__xludf.DUMMYFUNCTION("""COMPUTED_VALUE"""),"N/A")</f>
        <v>N/A</v>
      </c>
      <c r="M71" s="517" t="str">
        <f>IFERROR(__xludf.DUMMYFUNCTION("""COMPUTED_VALUE"""),"N/A")</f>
        <v>N/A</v>
      </c>
      <c r="N71" s="517" t="str">
        <f>IFERROR(__xludf.DUMMYFUNCTION("""COMPUTED_VALUE"""),"N/A")</f>
        <v>N/A</v>
      </c>
      <c r="O71" s="517"/>
      <c r="P71" s="517" t="str">
        <f>IFERROR(__xludf.DUMMYFUNCTION("""COMPUTED_VALUE"""),"N/A")</f>
        <v>N/A</v>
      </c>
    </row>
    <row r="102">
      <c r="B102" s="516" t="str">
        <f>IFERROR(__xludf.DUMMYFUNCTION("importrange(""https://docs.google.com/spreadsheets/d/1a4dHbPa1EGFMkSv4lOA3TrIDJnv8ZWdkdVqVCMMvKKc/edit?resourcekey=0-fD-rzZUhOm65zw7ZsR03IA&amp;gid=656591904#gid=656591904"",""P-103 Master Approval(for ATT/VZN/TMO SKU only)!A8:K96"")"),"VZW")</f>
        <v>VZW</v>
      </c>
      <c r="C102" s="518" t="str">
        <f>IFERROR(__xludf.DUMMYFUNCTION("""COMPUTED_VALUE"""),"0840353926844")</f>
        <v>0840353926844</v>
      </c>
      <c r="D102" s="517" t="str">
        <f>IFERROR(__xludf.DUMMYFUNCTION("""COMPUTED_VALUE"""),"Pristine")</f>
        <v>Pristine</v>
      </c>
      <c r="E102" s="517" t="str">
        <f>IFERROR(__xludf.DUMMYFUNCTION("""COMPUTED_VALUE"""),"GA09425-US")</f>
        <v>GA09425-US</v>
      </c>
      <c r="F102" s="517" t="str">
        <f>IFERROR(__xludf.DUMMYFUNCTION("""COMPUTED_VALUE"""),"GLBW0")</f>
        <v>GLBW0</v>
      </c>
      <c r="G102" s="517"/>
      <c r="H102" s="518" t="str">
        <f>IFERROR(__xludf.DUMMYFUNCTION("""COMPUTED_VALUE"""),"840353926844")</f>
        <v>840353926844</v>
      </c>
      <c r="I102" s="518" t="str">
        <f>IFERROR(__xludf.DUMMYFUNCTION("""COMPUTED_VALUE"""),"No")</f>
        <v>No</v>
      </c>
      <c r="J102" s="517" t="str">
        <f>IFERROR(__xludf.DUMMYFUNCTION("""COMPUTED_VALUE"""),"Retail_10ct")</f>
        <v>Retail_10ct</v>
      </c>
      <c r="K102" s="517" t="str">
        <f>IFERROR(__xludf.DUMMYFUNCTION("""COMPUTED_VALUE"""),"VZN Master Carton Label")</f>
        <v>VZN Master Carton Label</v>
      </c>
      <c r="L102" s="517" t="str">
        <f>IFERROR(__xludf.DUMMYFUNCTION("""COMPUTED_VALUE"""),"G990-08482-11-01
G990-08482-11-A")</f>
        <v>G990-08482-11-01
G990-08482-11-A</v>
      </c>
      <c r="N102" s="516" t="str">
        <f>IFERROR(__xludf.DUMMYFUNCTION("importrange(""https://docs.google.com/spreadsheets/d/1a4dHbPa1EGFMkSv4lOA3TrIDJnv8ZWdkdVqVCMMvKKc/edit?resourcekey=0-fD-rzZUhOm65zw7ZsR03IA&amp;gid=656591904#gid=656591904"",""P-103 Master Approval(for ATT/VZN/TMO SKU only)!L8:N96"")"),"G990-08382-11-01
G990-08382-11-A")</f>
        <v>G990-08382-11-01
G990-08382-11-A</v>
      </c>
      <c r="O102" s="517" t="str">
        <f>IFERROR(__xludf.DUMMYFUNCTION("""COMPUTED_VALUE"""),"BOB→A
Retail→A")</f>
        <v>BOB→A
Retail→A</v>
      </c>
      <c r="P102" s="517" t="str">
        <f>IFERROR(__xludf.DUMMYFUNCTION("""COMPUTED_VALUE"""),"G990-08382-11-01
G990-08382-11-A")</f>
        <v>G990-08382-11-01
G990-08382-11-A</v>
      </c>
    </row>
    <row r="103">
      <c r="B103" s="517" t="str">
        <f>IFERROR(__xludf.DUMMYFUNCTION("""COMPUTED_VALUE"""),"VZW")</f>
        <v>VZW</v>
      </c>
      <c r="C103" s="518" t="str">
        <f>IFERROR(__xludf.DUMMYFUNCTION("""COMPUTED_VALUE"""),"0840353926875")</f>
        <v>0840353926875</v>
      </c>
      <c r="D103" s="517" t="str">
        <f>IFERROR(__xludf.DUMMYFUNCTION("""COMPUTED_VALUE"""),"Pristine")</f>
        <v>Pristine</v>
      </c>
      <c r="E103" s="517" t="str">
        <f>IFERROR(__xludf.DUMMYFUNCTION("""COMPUTED_VALUE"""),"GA10239-US")</f>
        <v>GA10239-US</v>
      </c>
      <c r="F103" s="517" t="str">
        <f>IFERROR(__xludf.DUMMYFUNCTION("""COMPUTED_VALUE"""),"GLBW0")</f>
        <v>GLBW0</v>
      </c>
      <c r="G103" s="517"/>
      <c r="H103" s="518" t="str">
        <f>IFERROR(__xludf.DUMMYFUNCTION("""COMPUTED_VALUE"""),"840353926875")</f>
        <v>840353926875</v>
      </c>
      <c r="I103" s="518" t="str">
        <f>IFERROR(__xludf.DUMMYFUNCTION("""COMPUTED_VALUE"""),"No")</f>
        <v>No</v>
      </c>
      <c r="J103" s="517" t="str">
        <f>IFERROR(__xludf.DUMMYFUNCTION("""COMPUTED_VALUE"""),"Retail_10ct")</f>
        <v>Retail_10ct</v>
      </c>
      <c r="K103" s="517" t="str">
        <f>IFERROR(__xludf.DUMMYFUNCTION("""COMPUTED_VALUE"""),"VZN Master Carton Label")</f>
        <v>VZN Master Carton Label</v>
      </c>
      <c r="L103" s="517" t="str">
        <f>IFERROR(__xludf.DUMMYFUNCTION("""COMPUTED_VALUE"""),"G990-08482-31-01
G990-08482-31-A")</f>
        <v>G990-08482-31-01
G990-08482-31-A</v>
      </c>
      <c r="N103" s="517" t="str">
        <f>IFERROR(__xludf.DUMMYFUNCTION("""COMPUTED_VALUE"""),"G990-08382-11-01
G990-08382-11-A")</f>
        <v>G990-08382-11-01
G990-08382-11-A</v>
      </c>
      <c r="O103" s="517" t="str">
        <f>IFERROR(__xludf.DUMMYFUNCTION("""COMPUTED_VALUE"""),"BOB→A
Retail→A")</f>
        <v>BOB→A
Retail→A</v>
      </c>
      <c r="P103" s="517" t="str">
        <f>IFERROR(__xludf.DUMMYFUNCTION("""COMPUTED_VALUE"""),"G990-08382-11-01
G990-08382-11-A")</f>
        <v>G990-08382-11-01
G990-08382-11-A</v>
      </c>
    </row>
    <row r="104">
      <c r="B104" s="517" t="str">
        <f>IFERROR(__xludf.DUMMYFUNCTION("""COMPUTED_VALUE"""),"VZW")</f>
        <v>VZW</v>
      </c>
      <c r="C104" s="518" t="str">
        <f>IFERROR(__xludf.DUMMYFUNCTION("""COMPUTED_VALUE"""),"0840353926851")</f>
        <v>0840353926851</v>
      </c>
      <c r="D104" s="517" t="str">
        <f>IFERROR(__xludf.DUMMYFUNCTION("""COMPUTED_VALUE"""),"Pristine")</f>
        <v>Pristine</v>
      </c>
      <c r="E104" s="517" t="str">
        <f>IFERROR(__xludf.DUMMYFUNCTION("""COMPUTED_VALUE"""),"GA10238-US")</f>
        <v>GA10238-US</v>
      </c>
      <c r="F104" s="517" t="str">
        <f>IFERROR(__xludf.DUMMYFUNCTION("""COMPUTED_VALUE"""),"GLBW0")</f>
        <v>GLBW0</v>
      </c>
      <c r="G104" s="517"/>
      <c r="H104" s="518" t="str">
        <f>IFERROR(__xludf.DUMMYFUNCTION("""COMPUTED_VALUE"""),"840353926851")</f>
        <v>840353926851</v>
      </c>
      <c r="I104" s="518" t="str">
        <f>IFERROR(__xludf.DUMMYFUNCTION("""COMPUTED_VALUE"""),"No")</f>
        <v>No</v>
      </c>
      <c r="J104" s="517" t="str">
        <f>IFERROR(__xludf.DUMMYFUNCTION("""COMPUTED_VALUE"""),"Retail_10ct")</f>
        <v>Retail_10ct</v>
      </c>
      <c r="K104" s="517" t="str">
        <f>IFERROR(__xludf.DUMMYFUNCTION("""COMPUTED_VALUE"""),"VZN Master Carton Label")</f>
        <v>VZN Master Carton Label</v>
      </c>
      <c r="L104" s="517" t="str">
        <f>IFERROR(__xludf.DUMMYFUNCTION("""COMPUTED_VALUE"""),"G990-08482-21-01
G990-08482-21-A")</f>
        <v>G990-08482-21-01
G990-08482-21-A</v>
      </c>
      <c r="N104" s="517" t="str">
        <f>IFERROR(__xludf.DUMMYFUNCTION("""COMPUTED_VALUE"""),"G990-08382-11-01
G990-08382-11-A")</f>
        <v>G990-08382-11-01
G990-08382-11-A</v>
      </c>
      <c r="O104" s="517" t="str">
        <f>IFERROR(__xludf.DUMMYFUNCTION("""COMPUTED_VALUE"""),"BOB→A
Retail→A")</f>
        <v>BOB→A
Retail→A</v>
      </c>
      <c r="P104" s="517" t="str">
        <f>IFERROR(__xludf.DUMMYFUNCTION("""COMPUTED_VALUE"""),"G990-08382-11-01
G990-08382-11-A")</f>
        <v>G990-08382-11-01
G990-08382-11-A</v>
      </c>
    </row>
    <row r="105">
      <c r="B105" s="517" t="str">
        <f>IFERROR(__xludf.DUMMYFUNCTION("""COMPUTED_VALUE"""),"VZW")</f>
        <v>VZW</v>
      </c>
      <c r="C105" s="518" t="str">
        <f>IFERROR(__xludf.DUMMYFUNCTION("""COMPUTED_VALUE"""),"0840353926868")</f>
        <v>0840353926868</v>
      </c>
      <c r="D105" s="517" t="str">
        <f>IFERROR(__xludf.DUMMYFUNCTION("""COMPUTED_VALUE"""),"Pristine")</f>
        <v>Pristine</v>
      </c>
      <c r="E105" s="517" t="str">
        <f>IFERROR(__xludf.DUMMYFUNCTION("""COMPUTED_VALUE"""),"GA10240-US")</f>
        <v>GA10240-US</v>
      </c>
      <c r="F105" s="517" t="str">
        <f>IFERROR(__xludf.DUMMYFUNCTION("""COMPUTED_VALUE"""),"GLBW0")</f>
        <v>GLBW0</v>
      </c>
      <c r="G105" s="517"/>
      <c r="H105" s="518" t="str">
        <f>IFERROR(__xludf.DUMMYFUNCTION("""COMPUTED_VALUE"""),"840353926868")</f>
        <v>840353926868</v>
      </c>
      <c r="I105" s="518" t="str">
        <f>IFERROR(__xludf.DUMMYFUNCTION("""COMPUTED_VALUE"""),"No")</f>
        <v>No</v>
      </c>
      <c r="J105" s="517" t="str">
        <f>IFERROR(__xludf.DUMMYFUNCTION("""COMPUTED_VALUE"""),"Retail_10ct")</f>
        <v>Retail_10ct</v>
      </c>
      <c r="K105" s="517" t="str">
        <f>IFERROR(__xludf.DUMMYFUNCTION("""COMPUTED_VALUE"""),"VZN Master Carton Label")</f>
        <v>VZN Master Carton Label</v>
      </c>
      <c r="L105" s="517" t="str">
        <f>IFERROR(__xludf.DUMMYFUNCTION("""COMPUTED_VALUE"""),"G990-08482-41-01
G990-08482-41-A")</f>
        <v>G990-08482-41-01
G990-08482-41-A</v>
      </c>
      <c r="N105" s="517" t="str">
        <f>IFERROR(__xludf.DUMMYFUNCTION("""COMPUTED_VALUE"""),"G990-08382-11-01
G990-08382-11-A")</f>
        <v>G990-08382-11-01
G990-08382-11-A</v>
      </c>
      <c r="O105" s="517" t="str">
        <f>IFERROR(__xludf.DUMMYFUNCTION("""COMPUTED_VALUE"""),"BOB→A
Retail→A")</f>
        <v>BOB→A
Retail→A</v>
      </c>
      <c r="P105" s="517" t="str">
        <f>IFERROR(__xludf.DUMMYFUNCTION("""COMPUTED_VALUE"""),"G990-08382-11-01
G990-08382-11-A")</f>
        <v>G990-08382-11-01
G990-08382-11-A</v>
      </c>
    </row>
    <row r="106">
      <c r="B106" s="517" t="str">
        <f>IFERROR(__xludf.DUMMYFUNCTION("""COMPUTED_VALUE"""),"VZW")</f>
        <v>VZW</v>
      </c>
      <c r="C106" s="518" t="str">
        <f>IFERROR(__xludf.DUMMYFUNCTION("""COMPUTED_VALUE"""),"0840353926486")</f>
        <v>0840353926486</v>
      </c>
      <c r="D106" s="517" t="str">
        <f>IFERROR(__xludf.DUMMYFUNCTION("""COMPUTED_VALUE"""),"Pristine")</f>
        <v>Pristine</v>
      </c>
      <c r="E106" s="517" t="str">
        <f>IFERROR(__xludf.DUMMYFUNCTION("""COMPUTED_VALUE"""),"GA09880-US")</f>
        <v>GA09880-US</v>
      </c>
      <c r="F106" s="517" t="str">
        <f>IFERROR(__xludf.DUMMYFUNCTION("""COMPUTED_VALUE"""),"GLBW0")</f>
        <v>GLBW0</v>
      </c>
      <c r="G106" s="517"/>
      <c r="H106" s="518" t="str">
        <f>IFERROR(__xludf.DUMMYFUNCTION("""COMPUTED_VALUE"""),"840353926486")</f>
        <v>840353926486</v>
      </c>
      <c r="I106" s="518" t="str">
        <f>IFERROR(__xludf.DUMMYFUNCTION("""COMPUTED_VALUE"""),"No")</f>
        <v>No</v>
      </c>
      <c r="J106" s="517" t="str">
        <f>IFERROR(__xludf.DUMMYFUNCTION("""COMPUTED_VALUE"""),"Retail_10ct")</f>
        <v>Retail_10ct</v>
      </c>
      <c r="K106" s="517" t="str">
        <f>IFERROR(__xludf.DUMMYFUNCTION("""COMPUTED_VALUE"""),"VZN Master Carton Label")</f>
        <v>VZN Master Carton Label</v>
      </c>
      <c r="L106" s="517" t="str">
        <f>IFERROR(__xludf.DUMMYFUNCTION("""COMPUTED_VALUE"""),"G990-08482-12-01
G990-08482-12-A")</f>
        <v>G990-08482-12-01
G990-08482-12-A</v>
      </c>
      <c r="N106" s="517" t="str">
        <f>IFERROR(__xludf.DUMMYFUNCTION("""COMPUTED_VALUE"""),"G990-08382-11-01
G990-08382-11-A")</f>
        <v>G990-08382-11-01
G990-08382-11-A</v>
      </c>
      <c r="O106" s="517" t="str">
        <f>IFERROR(__xludf.DUMMYFUNCTION("""COMPUTED_VALUE"""),"BOB→A
Retail→A")</f>
        <v>BOB→A
Retail→A</v>
      </c>
      <c r="P106" s="517" t="str">
        <f>IFERROR(__xludf.DUMMYFUNCTION("""COMPUTED_VALUE"""),"G990-08382-11-01
G990-08382-11-A")</f>
        <v>G990-08382-11-01
G990-08382-11-A</v>
      </c>
    </row>
    <row r="107">
      <c r="B107" s="517" t="str">
        <f>IFERROR(__xludf.DUMMYFUNCTION("""COMPUTED_VALUE"""),"VZW")</f>
        <v>VZW</v>
      </c>
      <c r="C107" s="517" t="str">
        <f>IFERROR(__xludf.DUMMYFUNCTION("""COMPUTED_VALUE"""),"Cancel")</f>
        <v>Cancel</v>
      </c>
      <c r="D107" s="517" t="str">
        <f>IFERROR(__xludf.DUMMYFUNCTION("""COMPUTED_VALUE"""),"Pristine")</f>
        <v>Pristine</v>
      </c>
      <c r="E107" s="517" t="str">
        <f>IFERROR(__xludf.DUMMYFUNCTION("""COMPUTED_VALUE"""),"GA10241-US")</f>
        <v>GA10241-US</v>
      </c>
      <c r="F107" s="517" t="str">
        <f>IFERROR(__xludf.DUMMYFUNCTION("""COMPUTED_VALUE"""),"Cancel")</f>
        <v>Cancel</v>
      </c>
      <c r="G107" s="517" t="str">
        <f>IFERROR(__xludf.DUMMYFUNCTION("""COMPUTED_VALUE"""),"Cancel")</f>
        <v>Cancel</v>
      </c>
      <c r="H107" s="517" t="str">
        <f>IFERROR(__xludf.DUMMYFUNCTION("""COMPUTED_VALUE"""),"Cancel")</f>
        <v>Cancel</v>
      </c>
      <c r="I107" s="517" t="str">
        <f>IFERROR(__xludf.DUMMYFUNCTION("""COMPUTED_VALUE"""),"Cancel")</f>
        <v>Cancel</v>
      </c>
      <c r="J107" s="517" t="str">
        <f>IFERROR(__xludf.DUMMYFUNCTION("""COMPUTED_VALUE"""),"Cancel")</f>
        <v>Cancel</v>
      </c>
      <c r="K107" s="517" t="str">
        <f>IFERROR(__xludf.DUMMYFUNCTION("""COMPUTED_VALUE"""),"Cancel")</f>
        <v>Cancel</v>
      </c>
      <c r="L107" s="517" t="str">
        <f>IFERROR(__xludf.DUMMYFUNCTION("""COMPUTED_VALUE"""),"TBD")</f>
        <v>TBD</v>
      </c>
      <c r="N107" s="517" t="str">
        <f>IFERROR(__xludf.DUMMYFUNCTION("""COMPUTED_VALUE"""),"G990-08382-11-01
G990-08382-11-A")</f>
        <v>G990-08382-11-01
G990-08382-11-A</v>
      </c>
      <c r="O107" s="517" t="str">
        <f>IFERROR(__xludf.DUMMYFUNCTION("""COMPUTED_VALUE"""),"BOB→A
Retail→A")</f>
        <v>BOB→A
Retail→A</v>
      </c>
      <c r="P107" s="517" t="str">
        <f>IFERROR(__xludf.DUMMYFUNCTION("""COMPUTED_VALUE"""),"Cancel")</f>
        <v>Cancel</v>
      </c>
    </row>
    <row r="108">
      <c r="B108" s="517" t="str">
        <f>IFERROR(__xludf.DUMMYFUNCTION("""COMPUTED_VALUE"""),"VZW")</f>
        <v>VZW</v>
      </c>
      <c r="C108" s="517" t="str">
        <f>IFERROR(__xludf.DUMMYFUNCTION("""COMPUTED_VALUE"""),"Cancel")</f>
        <v>Cancel</v>
      </c>
      <c r="D108" s="517" t="str">
        <f>IFERROR(__xludf.DUMMYFUNCTION("""COMPUTED_VALUE"""),"Pristine")</f>
        <v>Pristine</v>
      </c>
      <c r="E108" s="517" t="str">
        <f>IFERROR(__xludf.DUMMYFUNCTION("""COMPUTED_VALUE"""),"GA10242-US")</f>
        <v>GA10242-US</v>
      </c>
      <c r="F108" s="517" t="str">
        <f>IFERROR(__xludf.DUMMYFUNCTION("""COMPUTED_VALUE"""),"Cancel")</f>
        <v>Cancel</v>
      </c>
      <c r="G108" s="517" t="str">
        <f>IFERROR(__xludf.DUMMYFUNCTION("""COMPUTED_VALUE"""),"Cancel")</f>
        <v>Cancel</v>
      </c>
      <c r="H108" s="517" t="str">
        <f>IFERROR(__xludf.DUMMYFUNCTION("""COMPUTED_VALUE"""),"Cancel")</f>
        <v>Cancel</v>
      </c>
      <c r="I108" s="517" t="str">
        <f>IFERROR(__xludf.DUMMYFUNCTION("""COMPUTED_VALUE"""),"Cancel")</f>
        <v>Cancel</v>
      </c>
      <c r="J108" s="517" t="str">
        <f>IFERROR(__xludf.DUMMYFUNCTION("""COMPUTED_VALUE"""),"Cancel")</f>
        <v>Cancel</v>
      </c>
      <c r="K108" s="517" t="str">
        <f>IFERROR(__xludf.DUMMYFUNCTION("""COMPUTED_VALUE"""),"Cancel")</f>
        <v>Cancel</v>
      </c>
      <c r="L108" s="517" t="str">
        <f>IFERROR(__xludf.DUMMYFUNCTION("""COMPUTED_VALUE"""),"TBD")</f>
        <v>TBD</v>
      </c>
      <c r="N108" s="517" t="str">
        <f>IFERROR(__xludf.DUMMYFUNCTION("""COMPUTED_VALUE"""),"G990-08382-11-01
G990-08382-11-A")</f>
        <v>G990-08382-11-01
G990-08382-11-A</v>
      </c>
      <c r="O108" s="517" t="str">
        <f>IFERROR(__xludf.DUMMYFUNCTION("""COMPUTED_VALUE"""),"BOB→A
Retail→A")</f>
        <v>BOB→A
Retail→A</v>
      </c>
      <c r="P108" s="517" t="str">
        <f>IFERROR(__xludf.DUMMYFUNCTION("""COMPUTED_VALUE"""),"Cancel")</f>
        <v>Cancel</v>
      </c>
    </row>
    <row r="109">
      <c r="B109" s="517" t="str">
        <f>IFERROR(__xludf.DUMMYFUNCTION("""COMPUTED_VALUE"""),"VZW")</f>
        <v>VZW</v>
      </c>
      <c r="C109" s="518" t="str">
        <f>IFERROR(__xludf.DUMMYFUNCTION("""COMPUTED_VALUE"""),"0840353926493")</f>
        <v>0840353926493</v>
      </c>
      <c r="D109" s="517" t="str">
        <f>IFERROR(__xludf.DUMMYFUNCTION("""COMPUTED_VALUE"""),"Pristine")</f>
        <v>Pristine</v>
      </c>
      <c r="E109" s="517" t="str">
        <f>IFERROR(__xludf.DUMMYFUNCTION("""COMPUTED_VALUE"""),"GA10243-US")</f>
        <v>GA10243-US</v>
      </c>
      <c r="F109" s="517" t="str">
        <f>IFERROR(__xludf.DUMMYFUNCTION("""COMPUTED_VALUE"""),"GLBW0")</f>
        <v>GLBW0</v>
      </c>
      <c r="G109" s="517"/>
      <c r="H109" s="518" t="str">
        <f>IFERROR(__xludf.DUMMYFUNCTION("""COMPUTED_VALUE"""),"840353926493")</f>
        <v>840353926493</v>
      </c>
      <c r="I109" s="518" t="str">
        <f>IFERROR(__xludf.DUMMYFUNCTION("""COMPUTED_VALUE"""),"No")</f>
        <v>No</v>
      </c>
      <c r="J109" s="517" t="str">
        <f>IFERROR(__xludf.DUMMYFUNCTION("""COMPUTED_VALUE"""),"Retail_10ct")</f>
        <v>Retail_10ct</v>
      </c>
      <c r="K109" s="517" t="str">
        <f>IFERROR(__xludf.DUMMYFUNCTION("""COMPUTED_VALUE"""),"VZN Master Carton Label")</f>
        <v>VZN Master Carton Label</v>
      </c>
      <c r="L109" s="517" t="str">
        <f>IFERROR(__xludf.DUMMYFUNCTION("""COMPUTED_VALUE"""),"G990-08482-42-01
G990-08482-42-A")</f>
        <v>G990-08482-42-01
G990-08482-42-A</v>
      </c>
      <c r="N109" s="517" t="str">
        <f>IFERROR(__xludf.DUMMYFUNCTION("""COMPUTED_VALUE"""),"G990-08382-11-01
G990-08382-11-A")</f>
        <v>G990-08382-11-01
G990-08382-11-A</v>
      </c>
      <c r="O109" s="517" t="str">
        <f>IFERROR(__xludf.DUMMYFUNCTION("""COMPUTED_VALUE"""),"BOB→A
Retail→A")</f>
        <v>BOB→A
Retail→A</v>
      </c>
      <c r="P109" s="517" t="str">
        <f>IFERROR(__xludf.DUMMYFUNCTION("""COMPUTED_VALUE"""),"G990-08382-11-01
G990-08382-11-A")</f>
        <v>G990-08382-11-01
G990-08382-11-A</v>
      </c>
    </row>
    <row r="110">
      <c r="B110" s="517" t="str">
        <f>IFERROR(__xludf.DUMMYFUNCTION("""COMPUTED_VALUE"""),"ATT")</f>
        <v>ATT</v>
      </c>
      <c r="C110" s="518" t="str">
        <f>IFERROR(__xludf.DUMMYFUNCTION("""COMPUTED_VALUE"""),"0840353926400")</f>
        <v>0840353926400</v>
      </c>
      <c r="D110" s="517" t="str">
        <f>IFERROR(__xludf.DUMMYFUNCTION("""COMPUTED_VALUE"""),"Pristine")</f>
        <v>Pristine</v>
      </c>
      <c r="E110" s="517" t="str">
        <f>IFERROR(__xludf.DUMMYFUNCTION("""COMPUTED_VALUE"""),"GA09861-US")</f>
        <v>GA09861-US</v>
      </c>
      <c r="F110" s="517" t="str">
        <f>IFERROR(__xludf.DUMMYFUNCTION("""COMPUTED_VALUE"""),"GLBW0")</f>
        <v>GLBW0</v>
      </c>
      <c r="G110" s="517" t="str">
        <f>IFERROR(__xludf.DUMMYFUNCTION("""COMPUTED_VALUE"""),"6990E")</f>
        <v>6990E</v>
      </c>
      <c r="H110" s="518" t="str">
        <f>IFERROR(__xludf.DUMMYFUNCTION("""COMPUTED_VALUE"""),"840353926400")</f>
        <v>840353926400</v>
      </c>
      <c r="I110" s="518" t="str">
        <f>IFERROR(__xludf.DUMMYFUNCTION("""COMPUTED_VALUE"""),"No")</f>
        <v>No</v>
      </c>
      <c r="J110" s="517" t="str">
        <f>IFERROR(__xludf.DUMMYFUNCTION("""COMPUTED_VALUE"""),"Retail_10ct")</f>
        <v>Retail_10ct</v>
      </c>
      <c r="K110" s="517" t="str">
        <f>IFERROR(__xludf.DUMMYFUNCTION("""COMPUTED_VALUE"""),"ATT Master Carton Label")</f>
        <v>ATT Master Carton Label</v>
      </c>
      <c r="L110" s="517" t="str">
        <f>IFERROR(__xludf.DUMMYFUNCTION("""COMPUTED_VALUE"""),"G990-08482-11-01
G990-08482-11-A")</f>
        <v>G990-08482-11-01
G990-08482-11-A</v>
      </c>
      <c r="N110" s="517" t="str">
        <f>IFERROR(__xludf.DUMMYFUNCTION("""COMPUTED_VALUE"""),"G990-08491-11-01
G990-08491-11-A")</f>
        <v>G990-08491-11-01
G990-08491-11-A</v>
      </c>
      <c r="O110" s="517" t="str">
        <f>IFERROR(__xludf.DUMMYFUNCTION("""COMPUTED_VALUE"""),"BOB→A
Retail→A")</f>
        <v>BOB→A
Retail→A</v>
      </c>
      <c r="P110" s="517" t="str">
        <f>IFERROR(__xludf.DUMMYFUNCTION("""COMPUTED_VALUE"""),"G990-08491-11-01
G990-08491-11-A")</f>
        <v>G990-08491-11-01
G990-08491-11-A</v>
      </c>
    </row>
    <row r="111">
      <c r="B111" s="517" t="str">
        <f>IFERROR(__xludf.DUMMYFUNCTION("""COMPUTED_VALUE"""),"ATT")</f>
        <v>ATT</v>
      </c>
      <c r="C111" s="517" t="str">
        <f>IFERROR(__xludf.DUMMYFUNCTION("""COMPUTED_VALUE"""),"Cancel")</f>
        <v>Cancel</v>
      </c>
      <c r="D111" s="517" t="str">
        <f>IFERROR(__xludf.DUMMYFUNCTION("""COMPUTED_VALUE"""),"Pristine")</f>
        <v>Pristine</v>
      </c>
      <c r="E111" s="517" t="str">
        <f>IFERROR(__xludf.DUMMYFUNCTION("""COMPUTED_VALUE"""),"GA10244-US")</f>
        <v>GA10244-US</v>
      </c>
      <c r="F111" s="517" t="str">
        <f>IFERROR(__xludf.DUMMYFUNCTION("""COMPUTED_VALUE"""),"Cancel")</f>
        <v>Cancel</v>
      </c>
      <c r="G111" s="517" t="str">
        <f>IFERROR(__xludf.DUMMYFUNCTION("""COMPUTED_VALUE"""),"Cancel")</f>
        <v>Cancel</v>
      </c>
      <c r="H111" s="517" t="str">
        <f>IFERROR(__xludf.DUMMYFUNCTION("""COMPUTED_VALUE"""),"Cancel")</f>
        <v>Cancel</v>
      </c>
      <c r="I111" s="517" t="str">
        <f>IFERROR(__xludf.DUMMYFUNCTION("""COMPUTED_VALUE"""),"Cancel")</f>
        <v>Cancel</v>
      </c>
      <c r="J111" s="517" t="str">
        <f>IFERROR(__xludf.DUMMYFUNCTION("""COMPUTED_VALUE"""),"Cancel")</f>
        <v>Cancel</v>
      </c>
      <c r="K111" s="517" t="str">
        <f>IFERROR(__xludf.DUMMYFUNCTION("""COMPUTED_VALUE"""),"Cancel")</f>
        <v>Cancel</v>
      </c>
      <c r="L111" s="517" t="str">
        <f>IFERROR(__xludf.DUMMYFUNCTION("""COMPUTED_VALUE"""),"TBD")</f>
        <v>TBD</v>
      </c>
      <c r="N111" s="519" t="str">
        <f>IFERROR(__xludf.DUMMYFUNCTION("""COMPUTED_VALUE"""),"G990-08491-21-01")</f>
        <v>G990-08491-21-01</v>
      </c>
      <c r="O111" s="517" t="str">
        <f>IFERROR(__xludf.DUMMYFUNCTION("""COMPUTED_VALUE"""),"BOB→A
Retail→A")</f>
        <v>BOB→A
Retail→A</v>
      </c>
      <c r="P111" s="517" t="str">
        <f>IFERROR(__xludf.DUMMYFUNCTION("""COMPUTED_VALUE"""),"Cancel")</f>
        <v>Cancel</v>
      </c>
    </row>
    <row r="112">
      <c r="B112" s="517" t="str">
        <f>IFERROR(__xludf.DUMMYFUNCTION("""COMPUTED_VALUE"""),"ATT")</f>
        <v>ATT</v>
      </c>
      <c r="C112" s="517" t="str">
        <f>IFERROR(__xludf.DUMMYFUNCTION("""COMPUTED_VALUE"""),"Cancel")</f>
        <v>Cancel</v>
      </c>
      <c r="D112" s="517" t="str">
        <f>IFERROR(__xludf.DUMMYFUNCTION("""COMPUTED_VALUE"""),"Pristine")</f>
        <v>Pristine</v>
      </c>
      <c r="E112" s="517" t="str">
        <f>IFERROR(__xludf.DUMMYFUNCTION("""COMPUTED_VALUE"""),"GA10245-US")</f>
        <v>GA10245-US</v>
      </c>
      <c r="F112" s="517" t="str">
        <f>IFERROR(__xludf.DUMMYFUNCTION("""COMPUTED_VALUE"""),"Cancel")</f>
        <v>Cancel</v>
      </c>
      <c r="G112" s="517" t="str">
        <f>IFERROR(__xludf.DUMMYFUNCTION("""COMPUTED_VALUE"""),"Cancel")</f>
        <v>Cancel</v>
      </c>
      <c r="H112" s="517" t="str">
        <f>IFERROR(__xludf.DUMMYFUNCTION("""COMPUTED_VALUE"""),"Cancel")</f>
        <v>Cancel</v>
      </c>
      <c r="I112" s="517" t="str">
        <f>IFERROR(__xludf.DUMMYFUNCTION("""COMPUTED_VALUE"""),"Cancel")</f>
        <v>Cancel</v>
      </c>
      <c r="J112" s="517" t="str">
        <f>IFERROR(__xludf.DUMMYFUNCTION("""COMPUTED_VALUE"""),"Cancel")</f>
        <v>Cancel</v>
      </c>
      <c r="K112" s="517" t="str">
        <f>IFERROR(__xludf.DUMMYFUNCTION("""COMPUTED_VALUE"""),"Cancel")</f>
        <v>Cancel</v>
      </c>
      <c r="L112" s="517" t="str">
        <f>IFERROR(__xludf.DUMMYFUNCTION("""COMPUTED_VALUE"""),"TBD")</f>
        <v>TBD</v>
      </c>
      <c r="N112" s="519" t="str">
        <f>IFERROR(__xludf.DUMMYFUNCTION("""COMPUTED_VALUE"""),"G990-08491-31-01")</f>
        <v>G990-08491-31-01</v>
      </c>
      <c r="O112" s="517" t="str">
        <f>IFERROR(__xludf.DUMMYFUNCTION("""COMPUTED_VALUE"""),"BOB→A
Retail→A")</f>
        <v>BOB→A
Retail→A</v>
      </c>
      <c r="P112" s="517" t="str">
        <f>IFERROR(__xludf.DUMMYFUNCTION("""COMPUTED_VALUE"""),"Cancel")</f>
        <v>Cancel</v>
      </c>
    </row>
    <row r="113">
      <c r="B113" s="517" t="str">
        <f>IFERROR(__xludf.DUMMYFUNCTION("""COMPUTED_VALUE"""),"ATT")</f>
        <v>ATT</v>
      </c>
      <c r="C113" s="518" t="str">
        <f>IFERROR(__xludf.DUMMYFUNCTION("""COMPUTED_VALUE"""),"0840353926431")</f>
        <v>0840353926431</v>
      </c>
      <c r="D113" s="517" t="str">
        <f>IFERROR(__xludf.DUMMYFUNCTION("""COMPUTED_VALUE"""),"Pristine")</f>
        <v>Pristine</v>
      </c>
      <c r="E113" s="517" t="str">
        <f>IFERROR(__xludf.DUMMYFUNCTION("""COMPUTED_VALUE"""),"GA10246-US")</f>
        <v>GA10246-US</v>
      </c>
      <c r="F113" s="517" t="str">
        <f>IFERROR(__xludf.DUMMYFUNCTION("""COMPUTED_VALUE"""),"GLBW0")</f>
        <v>GLBW0</v>
      </c>
      <c r="G113" s="517" t="str">
        <f>IFERROR(__xludf.DUMMYFUNCTION("""COMPUTED_VALUE"""),"6991E")</f>
        <v>6991E</v>
      </c>
      <c r="H113" s="518" t="str">
        <f>IFERROR(__xludf.DUMMYFUNCTION("""COMPUTED_VALUE"""),"840353926431")</f>
        <v>840353926431</v>
      </c>
      <c r="I113" s="518" t="str">
        <f>IFERROR(__xludf.DUMMYFUNCTION("""COMPUTED_VALUE"""),"No")</f>
        <v>No</v>
      </c>
      <c r="J113" s="517" t="str">
        <f>IFERROR(__xludf.DUMMYFUNCTION("""COMPUTED_VALUE"""),"Retail_10ct")</f>
        <v>Retail_10ct</v>
      </c>
      <c r="K113" s="517" t="str">
        <f>IFERROR(__xludf.DUMMYFUNCTION("""COMPUTED_VALUE"""),"ATT Master Carton Label")</f>
        <v>ATT Master Carton Label</v>
      </c>
      <c r="L113" s="517" t="str">
        <f>IFERROR(__xludf.DUMMYFUNCTION("""COMPUTED_VALUE"""),"G990-08482-41-01
G990-08482-41-A")</f>
        <v>G990-08482-41-01
G990-08482-41-A</v>
      </c>
      <c r="N113" s="517" t="str">
        <f>IFERROR(__xludf.DUMMYFUNCTION("""COMPUTED_VALUE"""),"G990-08491-41-01
G990-08491-41-A")</f>
        <v>G990-08491-41-01
G990-08491-41-A</v>
      </c>
      <c r="O113" s="517" t="str">
        <f>IFERROR(__xludf.DUMMYFUNCTION("""COMPUTED_VALUE"""),"BOB→A
Retail→A")</f>
        <v>BOB→A
Retail→A</v>
      </c>
      <c r="P113" s="517" t="str">
        <f>IFERROR(__xludf.DUMMYFUNCTION("""COMPUTED_VALUE"""),"G990-08491-41-01
G990-08491-41-A")</f>
        <v>G990-08491-41-01
G990-08491-41-A</v>
      </c>
    </row>
    <row r="114">
      <c r="B114" s="517" t="str">
        <f>IFERROR(__xludf.DUMMYFUNCTION("""COMPUTED_VALUE"""),"ATT")</f>
        <v>ATT</v>
      </c>
      <c r="C114" s="517" t="str">
        <f>IFERROR(__xludf.DUMMYFUNCTION("""COMPUTED_VALUE"""),"Cancel")</f>
        <v>Cancel</v>
      </c>
      <c r="D114" s="517" t="str">
        <f>IFERROR(__xludf.DUMMYFUNCTION("""COMPUTED_VALUE"""),"Pristine")</f>
        <v>Pristine</v>
      </c>
      <c r="E114" s="517" t="str">
        <f>IFERROR(__xludf.DUMMYFUNCTION("""COMPUTED_VALUE"""),"GA09881-US")</f>
        <v>GA09881-US</v>
      </c>
      <c r="F114" s="517" t="str">
        <f>IFERROR(__xludf.DUMMYFUNCTION("""COMPUTED_VALUE"""),"Cancel")</f>
        <v>Cancel</v>
      </c>
      <c r="G114" s="517" t="str">
        <f>IFERROR(__xludf.DUMMYFUNCTION("""COMPUTED_VALUE"""),"Cancel")</f>
        <v>Cancel</v>
      </c>
      <c r="H114" s="517" t="str">
        <f>IFERROR(__xludf.DUMMYFUNCTION("""COMPUTED_VALUE"""),"Cancel")</f>
        <v>Cancel</v>
      </c>
      <c r="I114" s="517" t="str">
        <f>IFERROR(__xludf.DUMMYFUNCTION("""COMPUTED_VALUE"""),"Cancel")</f>
        <v>Cancel</v>
      </c>
      <c r="J114" s="517" t="str">
        <f>IFERROR(__xludf.DUMMYFUNCTION("""COMPUTED_VALUE"""),"Cancel")</f>
        <v>Cancel</v>
      </c>
      <c r="K114" s="517" t="str">
        <f>IFERROR(__xludf.DUMMYFUNCTION("""COMPUTED_VALUE"""),"Cancel")</f>
        <v>Cancel</v>
      </c>
      <c r="L114" s="517" t="str">
        <f>IFERROR(__xludf.DUMMYFUNCTION("""COMPUTED_VALUE"""),"TBD")</f>
        <v>TBD</v>
      </c>
      <c r="N114" s="519" t="str">
        <f>IFERROR(__xludf.DUMMYFUNCTION("""COMPUTED_VALUE"""),"G990-08491-12-01")</f>
        <v>G990-08491-12-01</v>
      </c>
      <c r="O114" s="517" t="str">
        <f>IFERROR(__xludf.DUMMYFUNCTION("""COMPUTED_VALUE"""),"BOB→A
Retail→A")</f>
        <v>BOB→A
Retail→A</v>
      </c>
      <c r="P114" s="517" t="str">
        <f>IFERROR(__xludf.DUMMYFUNCTION("""COMPUTED_VALUE"""),"Cancel")</f>
        <v>Cancel</v>
      </c>
    </row>
    <row r="115">
      <c r="B115" s="517" t="str">
        <f>IFERROR(__xludf.DUMMYFUNCTION("""COMPUTED_VALUE"""),"ATT")</f>
        <v>ATT</v>
      </c>
      <c r="C115" s="517" t="str">
        <f>IFERROR(__xludf.DUMMYFUNCTION("""COMPUTED_VALUE"""),"Cancel")</f>
        <v>Cancel</v>
      </c>
      <c r="D115" s="517" t="str">
        <f>IFERROR(__xludf.DUMMYFUNCTION("""COMPUTED_VALUE"""),"Pristine")</f>
        <v>Pristine</v>
      </c>
      <c r="E115" s="517" t="str">
        <f>IFERROR(__xludf.DUMMYFUNCTION("""COMPUTED_VALUE"""),"GA10247-US")</f>
        <v>GA10247-US</v>
      </c>
      <c r="F115" s="517" t="str">
        <f>IFERROR(__xludf.DUMMYFUNCTION("""COMPUTED_VALUE"""),"Cancel")</f>
        <v>Cancel</v>
      </c>
      <c r="G115" s="517" t="str">
        <f>IFERROR(__xludf.DUMMYFUNCTION("""COMPUTED_VALUE"""),"Cancel")</f>
        <v>Cancel</v>
      </c>
      <c r="H115" s="517" t="str">
        <f>IFERROR(__xludf.DUMMYFUNCTION("""COMPUTED_VALUE"""),"Cancel")</f>
        <v>Cancel</v>
      </c>
      <c r="I115" s="517" t="str">
        <f>IFERROR(__xludf.DUMMYFUNCTION("""COMPUTED_VALUE"""),"Cancel")</f>
        <v>Cancel</v>
      </c>
      <c r="J115" s="517" t="str">
        <f>IFERROR(__xludf.DUMMYFUNCTION("""COMPUTED_VALUE"""),"Cancel")</f>
        <v>Cancel</v>
      </c>
      <c r="K115" s="517" t="str">
        <f>IFERROR(__xludf.DUMMYFUNCTION("""COMPUTED_VALUE"""),"Cancel")</f>
        <v>Cancel</v>
      </c>
      <c r="L115" s="517" t="str">
        <f>IFERROR(__xludf.DUMMYFUNCTION("""COMPUTED_VALUE"""),"TBD")</f>
        <v>TBD</v>
      </c>
      <c r="N115" s="519" t="str">
        <f>IFERROR(__xludf.DUMMYFUNCTION("""COMPUTED_VALUE"""),"G990-08491-22-01")</f>
        <v>G990-08491-22-01</v>
      </c>
      <c r="O115" s="517" t="str">
        <f>IFERROR(__xludf.DUMMYFUNCTION("""COMPUTED_VALUE"""),"BOB→A
Retail→A")</f>
        <v>BOB→A
Retail→A</v>
      </c>
      <c r="P115" s="517" t="str">
        <f>IFERROR(__xludf.DUMMYFUNCTION("""COMPUTED_VALUE"""),"Cancel")</f>
        <v>Cancel</v>
      </c>
    </row>
    <row r="116">
      <c r="B116" s="517" t="str">
        <f>IFERROR(__xludf.DUMMYFUNCTION("""COMPUTED_VALUE"""),"ATT")</f>
        <v>ATT</v>
      </c>
      <c r="C116" s="517" t="str">
        <f>IFERROR(__xludf.DUMMYFUNCTION("""COMPUTED_VALUE"""),"Cancel")</f>
        <v>Cancel</v>
      </c>
      <c r="D116" s="517" t="str">
        <f>IFERROR(__xludf.DUMMYFUNCTION("""COMPUTED_VALUE"""),"Pristine")</f>
        <v>Pristine</v>
      </c>
      <c r="E116" s="517" t="str">
        <f>IFERROR(__xludf.DUMMYFUNCTION("""COMPUTED_VALUE"""),"GA10248-US")</f>
        <v>GA10248-US</v>
      </c>
      <c r="F116" s="517" t="str">
        <f>IFERROR(__xludf.DUMMYFUNCTION("""COMPUTED_VALUE"""),"Cancel")</f>
        <v>Cancel</v>
      </c>
      <c r="G116" s="517" t="str">
        <f>IFERROR(__xludf.DUMMYFUNCTION("""COMPUTED_VALUE"""),"Cancel")</f>
        <v>Cancel</v>
      </c>
      <c r="H116" s="517" t="str">
        <f>IFERROR(__xludf.DUMMYFUNCTION("""COMPUTED_VALUE"""),"Cancel")</f>
        <v>Cancel</v>
      </c>
      <c r="I116" s="517" t="str">
        <f>IFERROR(__xludf.DUMMYFUNCTION("""COMPUTED_VALUE"""),"Cancel")</f>
        <v>Cancel</v>
      </c>
      <c r="J116" s="517" t="str">
        <f>IFERROR(__xludf.DUMMYFUNCTION("""COMPUTED_VALUE"""),"Cancel")</f>
        <v>Cancel</v>
      </c>
      <c r="K116" s="517" t="str">
        <f>IFERROR(__xludf.DUMMYFUNCTION("""COMPUTED_VALUE"""),"Cancel")</f>
        <v>Cancel</v>
      </c>
      <c r="L116" s="517" t="str">
        <f>IFERROR(__xludf.DUMMYFUNCTION("""COMPUTED_VALUE"""),"TBD")</f>
        <v>TBD</v>
      </c>
      <c r="N116" s="519" t="str">
        <f>IFERROR(__xludf.DUMMYFUNCTION("""COMPUTED_VALUE"""),"G990-08491-32-01")</f>
        <v>G990-08491-32-01</v>
      </c>
      <c r="O116" s="517" t="str">
        <f>IFERROR(__xludf.DUMMYFUNCTION("""COMPUTED_VALUE"""),"BOB→A
Retail→A")</f>
        <v>BOB→A
Retail→A</v>
      </c>
      <c r="P116" s="517" t="str">
        <f>IFERROR(__xludf.DUMMYFUNCTION("""COMPUTED_VALUE"""),"Cancel")</f>
        <v>Cancel</v>
      </c>
    </row>
    <row r="117">
      <c r="B117" s="517" t="str">
        <f>IFERROR(__xludf.DUMMYFUNCTION("""COMPUTED_VALUE"""),"ATT")</f>
        <v>ATT</v>
      </c>
      <c r="C117" s="517" t="str">
        <f>IFERROR(__xludf.DUMMYFUNCTION("""COMPUTED_VALUE"""),"Cancel")</f>
        <v>Cancel</v>
      </c>
      <c r="D117" s="517" t="str">
        <f>IFERROR(__xludf.DUMMYFUNCTION("""COMPUTED_VALUE"""),"Pristine")</f>
        <v>Pristine</v>
      </c>
      <c r="E117" s="517" t="str">
        <f>IFERROR(__xludf.DUMMYFUNCTION("""COMPUTED_VALUE"""),"GA10249-US")</f>
        <v>GA10249-US</v>
      </c>
      <c r="F117" s="517" t="str">
        <f>IFERROR(__xludf.DUMMYFUNCTION("""COMPUTED_VALUE"""),"Cancel")</f>
        <v>Cancel</v>
      </c>
      <c r="G117" s="517" t="str">
        <f>IFERROR(__xludf.DUMMYFUNCTION("""COMPUTED_VALUE"""),"Cancel")</f>
        <v>Cancel</v>
      </c>
      <c r="H117" s="517" t="str">
        <f>IFERROR(__xludf.DUMMYFUNCTION("""COMPUTED_VALUE"""),"Cancel")</f>
        <v>Cancel</v>
      </c>
      <c r="I117" s="517" t="str">
        <f>IFERROR(__xludf.DUMMYFUNCTION("""COMPUTED_VALUE"""),"Cancel")</f>
        <v>Cancel</v>
      </c>
      <c r="J117" s="517" t="str">
        <f>IFERROR(__xludf.DUMMYFUNCTION("""COMPUTED_VALUE"""),"Cancel")</f>
        <v>Cancel</v>
      </c>
      <c r="K117" s="517" t="str">
        <f>IFERROR(__xludf.DUMMYFUNCTION("""COMPUTED_VALUE"""),"Cancel")</f>
        <v>Cancel</v>
      </c>
      <c r="L117" s="517" t="str">
        <f>IFERROR(__xludf.DUMMYFUNCTION("""COMPUTED_VALUE"""),"TBD")</f>
        <v>TBD</v>
      </c>
      <c r="N117" s="519" t="str">
        <f>IFERROR(__xludf.DUMMYFUNCTION("""COMPUTED_VALUE"""),"G990-08491-42-01")</f>
        <v>G990-08491-42-01</v>
      </c>
      <c r="O117" s="517" t="str">
        <f>IFERROR(__xludf.DUMMYFUNCTION("""COMPUTED_VALUE"""),"BOB→A
Retail→A")</f>
        <v>BOB→A
Retail→A</v>
      </c>
      <c r="P117" s="517" t="str">
        <f>IFERROR(__xludf.DUMMYFUNCTION("""COMPUTED_VALUE"""),"Cancel")</f>
        <v>Cancel</v>
      </c>
    </row>
    <row r="118">
      <c r="B118" s="517" t="str">
        <f>IFERROR(__xludf.DUMMYFUNCTION("""COMPUTED_VALUE"""),"TMO")</f>
        <v>TMO</v>
      </c>
      <c r="C118" s="518" t="str">
        <f>IFERROR(__xludf.DUMMYFUNCTION("""COMPUTED_VALUE"""),"0840353926684")</f>
        <v>0840353926684</v>
      </c>
      <c r="D118" s="517" t="str">
        <f>IFERROR(__xludf.DUMMYFUNCTION("""COMPUTED_VALUE"""),"Pristine")</f>
        <v>Pristine</v>
      </c>
      <c r="E118" s="517" t="str">
        <f>IFERROR(__xludf.DUMMYFUNCTION("""COMPUTED_VALUE"""),"GA09862-US")</f>
        <v>GA09862-US</v>
      </c>
      <c r="F118" s="517" t="str">
        <f>IFERROR(__xludf.DUMMYFUNCTION("""COMPUTED_VALUE"""),"GLBW0")</f>
        <v>GLBW0</v>
      </c>
      <c r="G118" s="518" t="str">
        <f>IFERROR(__xludf.DUMMYFUNCTION("""COMPUTED_VALUE"""),"840353926684")</f>
        <v>840353926684</v>
      </c>
      <c r="H118" s="518" t="str">
        <f>IFERROR(__xludf.DUMMYFUNCTION("""COMPUTED_VALUE"""),"840353926684")</f>
        <v>840353926684</v>
      </c>
      <c r="I118" s="518" t="str">
        <f>IFERROR(__xludf.DUMMYFUNCTION("""COMPUTED_VALUE"""),"No")</f>
        <v>No</v>
      </c>
      <c r="J118" s="517" t="str">
        <f>IFERROR(__xludf.DUMMYFUNCTION("""COMPUTED_VALUE"""),"Retail_10ct")</f>
        <v>Retail_10ct</v>
      </c>
      <c r="K118" s="517" t="str">
        <f>IFERROR(__xludf.DUMMYFUNCTION("""COMPUTED_VALUE"""),"TMO Master Carton Label")</f>
        <v>TMO Master Carton Label</v>
      </c>
      <c r="L118" s="517" t="str">
        <f>IFERROR(__xludf.DUMMYFUNCTION("""COMPUTED_VALUE"""),"G990-08482-11-01
G990-08482-11-A")</f>
        <v>G990-08482-11-01
G990-08482-11-A</v>
      </c>
      <c r="N118" s="517" t="str">
        <f>IFERROR(__xludf.DUMMYFUNCTION("""COMPUTED_VALUE"""),"G990-08492-11-02
G990-08492-11-A")</f>
        <v>G990-08492-11-02
G990-08492-11-A</v>
      </c>
      <c r="O118" s="517" t="str">
        <f>IFERROR(__xludf.DUMMYFUNCTION("""COMPUTED_VALUE"""),"BOB→A
Retail→A")</f>
        <v>BOB→A
Retail→A</v>
      </c>
      <c r="P118" s="517" t="str">
        <f>IFERROR(__xludf.DUMMYFUNCTION("""COMPUTED_VALUE"""),"G990-08492-11-02
G990-08492-11-A")</f>
        <v>G990-08492-11-02
G990-08492-11-A</v>
      </c>
    </row>
    <row r="119">
      <c r="B119" s="517" t="str">
        <f>IFERROR(__xludf.DUMMYFUNCTION("""COMPUTED_VALUE"""),"TMO")</f>
        <v>TMO</v>
      </c>
      <c r="C119" s="517" t="str">
        <f>IFERROR(__xludf.DUMMYFUNCTION("""COMPUTED_VALUE"""),"Cancel")</f>
        <v>Cancel</v>
      </c>
      <c r="D119" s="517" t="str">
        <f>IFERROR(__xludf.DUMMYFUNCTION("""COMPUTED_VALUE"""),"Pristine")</f>
        <v>Pristine</v>
      </c>
      <c r="E119" s="517" t="str">
        <f>IFERROR(__xludf.DUMMYFUNCTION("""COMPUTED_VALUE"""),"GA10250-US")</f>
        <v>GA10250-US</v>
      </c>
      <c r="F119" s="517" t="str">
        <f>IFERROR(__xludf.DUMMYFUNCTION("""COMPUTED_VALUE"""),"Cancel")</f>
        <v>Cancel</v>
      </c>
      <c r="G119" s="517" t="str">
        <f>IFERROR(__xludf.DUMMYFUNCTION("""COMPUTED_VALUE"""),"Cancel")</f>
        <v>Cancel</v>
      </c>
      <c r="H119" s="517" t="str">
        <f>IFERROR(__xludf.DUMMYFUNCTION("""COMPUTED_VALUE"""),"Cancel")</f>
        <v>Cancel</v>
      </c>
      <c r="I119" s="517" t="str">
        <f>IFERROR(__xludf.DUMMYFUNCTION("""COMPUTED_VALUE"""),"Cancel")</f>
        <v>Cancel</v>
      </c>
      <c r="J119" s="517" t="str">
        <f>IFERROR(__xludf.DUMMYFUNCTION("""COMPUTED_VALUE"""),"Cancel")</f>
        <v>Cancel</v>
      </c>
      <c r="K119" s="517" t="str">
        <f>IFERROR(__xludf.DUMMYFUNCTION("""COMPUTED_VALUE"""),"Cancel")</f>
        <v>Cancel</v>
      </c>
      <c r="L119" s="517" t="str">
        <f>IFERROR(__xludf.DUMMYFUNCTION("""COMPUTED_VALUE"""),"TBD")</f>
        <v>TBD</v>
      </c>
      <c r="N119" s="519" t="str">
        <f>IFERROR(__xludf.DUMMYFUNCTION("""COMPUTED_VALUE"""),"G990-08492-21-02")</f>
        <v>G990-08492-21-02</v>
      </c>
      <c r="O119" s="517" t="str">
        <f>IFERROR(__xludf.DUMMYFUNCTION("""COMPUTED_VALUE"""),"BOB→A
Retail→A")</f>
        <v>BOB→A
Retail→A</v>
      </c>
      <c r="P119" s="517" t="str">
        <f>IFERROR(__xludf.DUMMYFUNCTION("""COMPUTED_VALUE"""),"Cancel")</f>
        <v>Cancel</v>
      </c>
    </row>
    <row r="120">
      <c r="B120" s="517" t="str">
        <f>IFERROR(__xludf.DUMMYFUNCTION("""COMPUTED_VALUE"""),"TMO")</f>
        <v>TMO</v>
      </c>
      <c r="C120" s="517" t="str">
        <f>IFERROR(__xludf.DUMMYFUNCTION("""COMPUTED_VALUE"""),"Cancel")</f>
        <v>Cancel</v>
      </c>
      <c r="D120" s="517" t="str">
        <f>IFERROR(__xludf.DUMMYFUNCTION("""COMPUTED_VALUE"""),"Pristine")</f>
        <v>Pristine</v>
      </c>
      <c r="E120" s="517" t="str">
        <f>IFERROR(__xludf.DUMMYFUNCTION("""COMPUTED_VALUE"""),"GA10251-US")</f>
        <v>GA10251-US</v>
      </c>
      <c r="F120" s="517" t="str">
        <f>IFERROR(__xludf.DUMMYFUNCTION("""COMPUTED_VALUE"""),"Cancel")</f>
        <v>Cancel</v>
      </c>
      <c r="G120" s="517" t="str">
        <f>IFERROR(__xludf.DUMMYFUNCTION("""COMPUTED_VALUE"""),"Cancel")</f>
        <v>Cancel</v>
      </c>
      <c r="H120" s="517" t="str">
        <f>IFERROR(__xludf.DUMMYFUNCTION("""COMPUTED_VALUE"""),"Cancel")</f>
        <v>Cancel</v>
      </c>
      <c r="I120" s="517" t="str">
        <f>IFERROR(__xludf.DUMMYFUNCTION("""COMPUTED_VALUE"""),"Cancel")</f>
        <v>Cancel</v>
      </c>
      <c r="J120" s="517" t="str">
        <f>IFERROR(__xludf.DUMMYFUNCTION("""COMPUTED_VALUE"""),"Cancel")</f>
        <v>Cancel</v>
      </c>
      <c r="K120" s="517" t="str">
        <f>IFERROR(__xludf.DUMMYFUNCTION("""COMPUTED_VALUE"""),"Cancel")</f>
        <v>Cancel</v>
      </c>
      <c r="L120" s="517" t="str">
        <f>IFERROR(__xludf.DUMMYFUNCTION("""COMPUTED_VALUE"""),"TBD")</f>
        <v>TBD</v>
      </c>
      <c r="N120" s="519" t="str">
        <f>IFERROR(__xludf.DUMMYFUNCTION("""COMPUTED_VALUE"""),"G990-08492-31-02")</f>
        <v>G990-08492-31-02</v>
      </c>
      <c r="O120" s="517" t="str">
        <f>IFERROR(__xludf.DUMMYFUNCTION("""COMPUTED_VALUE"""),"BOB→A
Retail→A")</f>
        <v>BOB→A
Retail→A</v>
      </c>
      <c r="P120" s="517" t="str">
        <f>IFERROR(__xludf.DUMMYFUNCTION("""COMPUTED_VALUE"""),"Cancel")</f>
        <v>Cancel</v>
      </c>
    </row>
    <row r="121">
      <c r="B121" s="517" t="str">
        <f>IFERROR(__xludf.DUMMYFUNCTION("""COMPUTED_VALUE"""),"TMO")</f>
        <v>TMO</v>
      </c>
      <c r="C121" s="518" t="str">
        <f>IFERROR(__xludf.DUMMYFUNCTION("""COMPUTED_VALUE"""),"0840353926691")</f>
        <v>0840353926691</v>
      </c>
      <c r="D121" s="517" t="str">
        <f>IFERROR(__xludf.DUMMYFUNCTION("""COMPUTED_VALUE"""),"Pristine")</f>
        <v>Pristine</v>
      </c>
      <c r="E121" s="517" t="str">
        <f>IFERROR(__xludf.DUMMYFUNCTION("""COMPUTED_VALUE"""),"GA10252-US")</f>
        <v>GA10252-US</v>
      </c>
      <c r="F121" s="517" t="str">
        <f>IFERROR(__xludf.DUMMYFUNCTION("""COMPUTED_VALUE"""),"GLBW0")</f>
        <v>GLBW0</v>
      </c>
      <c r="G121" s="518" t="str">
        <f>IFERROR(__xludf.DUMMYFUNCTION("""COMPUTED_VALUE"""),"840353926691")</f>
        <v>840353926691</v>
      </c>
      <c r="H121" s="518" t="str">
        <f>IFERROR(__xludf.DUMMYFUNCTION("""COMPUTED_VALUE"""),"840353926691")</f>
        <v>840353926691</v>
      </c>
      <c r="I121" s="518" t="str">
        <f>IFERROR(__xludf.DUMMYFUNCTION("""COMPUTED_VALUE"""),"No")</f>
        <v>No</v>
      </c>
      <c r="J121" s="517" t="str">
        <f>IFERROR(__xludf.DUMMYFUNCTION("""COMPUTED_VALUE"""),"Retail_10ct")</f>
        <v>Retail_10ct</v>
      </c>
      <c r="K121" s="517" t="str">
        <f>IFERROR(__xludf.DUMMYFUNCTION("""COMPUTED_VALUE"""),"TMO Master Carton Label")</f>
        <v>TMO Master Carton Label</v>
      </c>
      <c r="L121" s="517" t="str">
        <f>IFERROR(__xludf.DUMMYFUNCTION("""COMPUTED_VALUE"""),"G990-08482-41-01
G990-08482-41-A")</f>
        <v>G990-08482-41-01
G990-08482-41-A</v>
      </c>
      <c r="N121" s="517" t="str">
        <f>IFERROR(__xludf.DUMMYFUNCTION("""COMPUTED_VALUE"""),"G990-08492-41-02
G990-08492-41-A")</f>
        <v>G990-08492-41-02
G990-08492-41-A</v>
      </c>
      <c r="O121" s="517" t="str">
        <f>IFERROR(__xludf.DUMMYFUNCTION("""COMPUTED_VALUE"""),"BOB→A
Retail→A")</f>
        <v>BOB→A
Retail→A</v>
      </c>
      <c r="P121" s="517" t="str">
        <f>IFERROR(__xludf.DUMMYFUNCTION("""COMPUTED_VALUE"""),"G990-08492-41-02
G990-08492-41-A")</f>
        <v>G990-08492-41-02
G990-08492-41-A</v>
      </c>
    </row>
    <row r="122">
      <c r="B122" s="517" t="str">
        <f>IFERROR(__xludf.DUMMYFUNCTION("""COMPUTED_VALUE"""),"TMO")</f>
        <v>TMO</v>
      </c>
      <c r="C122" s="518" t="str">
        <f>IFERROR(__xludf.DUMMYFUNCTION("""COMPUTED_VALUE"""),"0840353926721")</f>
        <v>0840353926721</v>
      </c>
      <c r="D122" s="517" t="str">
        <f>IFERROR(__xludf.DUMMYFUNCTION("""COMPUTED_VALUE"""),"Pristine")</f>
        <v>Pristine</v>
      </c>
      <c r="E122" s="517" t="str">
        <f>IFERROR(__xludf.DUMMYFUNCTION("""COMPUTED_VALUE"""),"GA09882-US")</f>
        <v>GA09882-US</v>
      </c>
      <c r="F122" s="517" t="str">
        <f>IFERROR(__xludf.DUMMYFUNCTION("""COMPUTED_VALUE"""),"GLBW0")</f>
        <v>GLBW0</v>
      </c>
      <c r="G122" s="518" t="str">
        <f>IFERROR(__xludf.DUMMYFUNCTION("""COMPUTED_VALUE"""),"840353926721")</f>
        <v>840353926721</v>
      </c>
      <c r="H122" s="518" t="str">
        <f>IFERROR(__xludf.DUMMYFUNCTION("""COMPUTED_VALUE"""),"840353926721")</f>
        <v>840353926721</v>
      </c>
      <c r="I122" s="518" t="str">
        <f>IFERROR(__xludf.DUMMYFUNCTION("""COMPUTED_VALUE"""),"No")</f>
        <v>No</v>
      </c>
      <c r="J122" s="517" t="str">
        <f>IFERROR(__xludf.DUMMYFUNCTION("""COMPUTED_VALUE"""),"Retail_10ct")</f>
        <v>Retail_10ct</v>
      </c>
      <c r="K122" s="517" t="str">
        <f>IFERROR(__xludf.DUMMYFUNCTION("""COMPUTED_VALUE"""),"TMO Master Carton Label")</f>
        <v>TMO Master Carton Label</v>
      </c>
      <c r="L122" s="517" t="str">
        <f>IFERROR(__xludf.DUMMYFUNCTION("""COMPUTED_VALUE"""),"G990-08482-12-01
G990-08482-12-A")</f>
        <v>G990-08482-12-01
G990-08482-12-A</v>
      </c>
      <c r="N122" s="517" t="str">
        <f>IFERROR(__xludf.DUMMYFUNCTION("""COMPUTED_VALUE"""),"G990-08492-12-02
G990-08492-12-A")</f>
        <v>G990-08492-12-02
G990-08492-12-A</v>
      </c>
      <c r="O122" s="517" t="str">
        <f>IFERROR(__xludf.DUMMYFUNCTION("""COMPUTED_VALUE"""),"BOB→A
Retail→A")</f>
        <v>BOB→A
Retail→A</v>
      </c>
      <c r="P122" s="517" t="str">
        <f>IFERROR(__xludf.DUMMYFUNCTION("""COMPUTED_VALUE"""),"G990-08492-12-02
G990-08492-12-A")</f>
        <v>G990-08492-12-02
G990-08492-12-A</v>
      </c>
    </row>
    <row r="123">
      <c r="B123" s="517" t="str">
        <f>IFERROR(__xludf.DUMMYFUNCTION("""COMPUTED_VALUE"""),"TMO")</f>
        <v>TMO</v>
      </c>
      <c r="C123" s="517" t="str">
        <f>IFERROR(__xludf.DUMMYFUNCTION("""COMPUTED_VALUE"""),"Cancel")</f>
        <v>Cancel</v>
      </c>
      <c r="D123" s="517" t="str">
        <f>IFERROR(__xludf.DUMMYFUNCTION("""COMPUTED_VALUE"""),"Pristine")</f>
        <v>Pristine</v>
      </c>
      <c r="E123" s="517" t="str">
        <f>IFERROR(__xludf.DUMMYFUNCTION("""COMPUTED_VALUE"""),"GA10253-US")</f>
        <v>GA10253-US</v>
      </c>
      <c r="F123" s="517" t="str">
        <f>IFERROR(__xludf.DUMMYFUNCTION("""COMPUTED_VALUE"""),"Cancel")</f>
        <v>Cancel</v>
      </c>
      <c r="G123" s="517" t="str">
        <f>IFERROR(__xludf.DUMMYFUNCTION("""COMPUTED_VALUE"""),"Cancel")</f>
        <v>Cancel</v>
      </c>
      <c r="H123" s="517" t="str">
        <f>IFERROR(__xludf.DUMMYFUNCTION("""COMPUTED_VALUE"""),"Cancel")</f>
        <v>Cancel</v>
      </c>
      <c r="I123" s="517" t="str">
        <f>IFERROR(__xludf.DUMMYFUNCTION("""COMPUTED_VALUE"""),"Cancel")</f>
        <v>Cancel</v>
      </c>
      <c r="J123" s="517" t="str">
        <f>IFERROR(__xludf.DUMMYFUNCTION("""COMPUTED_VALUE"""),"Cancel")</f>
        <v>Cancel</v>
      </c>
      <c r="K123" s="517" t="str">
        <f>IFERROR(__xludf.DUMMYFUNCTION("""COMPUTED_VALUE"""),"Cancel")</f>
        <v>Cancel</v>
      </c>
      <c r="L123" s="517" t="str">
        <f>IFERROR(__xludf.DUMMYFUNCTION("""COMPUTED_VALUE"""),"TBD")</f>
        <v>TBD</v>
      </c>
      <c r="N123" s="519" t="str">
        <f>IFERROR(__xludf.DUMMYFUNCTION("""COMPUTED_VALUE"""),"G990-08492-22-02")</f>
        <v>G990-08492-22-02</v>
      </c>
      <c r="O123" s="517" t="str">
        <f>IFERROR(__xludf.DUMMYFUNCTION("""COMPUTED_VALUE"""),"BOB→A
Retail→A")</f>
        <v>BOB→A
Retail→A</v>
      </c>
      <c r="P123" s="517" t="str">
        <f>IFERROR(__xludf.DUMMYFUNCTION("""COMPUTED_VALUE"""),"Cancel")</f>
        <v>Cancel</v>
      </c>
    </row>
    <row r="124">
      <c r="B124" s="517" t="str">
        <f>IFERROR(__xludf.DUMMYFUNCTION("""COMPUTED_VALUE"""),"TMO")</f>
        <v>TMO</v>
      </c>
      <c r="C124" s="517" t="str">
        <f>IFERROR(__xludf.DUMMYFUNCTION("""COMPUTED_VALUE"""),"Cancel")</f>
        <v>Cancel</v>
      </c>
      <c r="D124" s="517" t="str">
        <f>IFERROR(__xludf.DUMMYFUNCTION("""COMPUTED_VALUE"""),"Pristine")</f>
        <v>Pristine</v>
      </c>
      <c r="E124" s="517" t="str">
        <f>IFERROR(__xludf.DUMMYFUNCTION("""COMPUTED_VALUE"""),"GA10254-US")</f>
        <v>GA10254-US</v>
      </c>
      <c r="F124" s="517" t="str">
        <f>IFERROR(__xludf.DUMMYFUNCTION("""COMPUTED_VALUE"""),"Cancel")</f>
        <v>Cancel</v>
      </c>
      <c r="G124" s="517" t="str">
        <f>IFERROR(__xludf.DUMMYFUNCTION("""COMPUTED_VALUE"""),"Cancel")</f>
        <v>Cancel</v>
      </c>
      <c r="H124" s="517" t="str">
        <f>IFERROR(__xludf.DUMMYFUNCTION("""COMPUTED_VALUE"""),"Cancel")</f>
        <v>Cancel</v>
      </c>
      <c r="I124" s="517" t="str">
        <f>IFERROR(__xludf.DUMMYFUNCTION("""COMPUTED_VALUE"""),"Cancel")</f>
        <v>Cancel</v>
      </c>
      <c r="J124" s="517" t="str">
        <f>IFERROR(__xludf.DUMMYFUNCTION("""COMPUTED_VALUE"""),"Cancel")</f>
        <v>Cancel</v>
      </c>
      <c r="K124" s="517" t="str">
        <f>IFERROR(__xludf.DUMMYFUNCTION("""COMPUTED_VALUE"""),"Cancel")</f>
        <v>Cancel</v>
      </c>
      <c r="L124" s="517" t="str">
        <f>IFERROR(__xludf.DUMMYFUNCTION("""COMPUTED_VALUE"""),"TBD")</f>
        <v>TBD</v>
      </c>
      <c r="N124" s="519" t="str">
        <f>IFERROR(__xludf.DUMMYFUNCTION("""COMPUTED_VALUE"""),"G990-08492-32-02")</f>
        <v>G990-08492-32-02</v>
      </c>
      <c r="O124" s="517" t="str">
        <f>IFERROR(__xludf.DUMMYFUNCTION("""COMPUTED_VALUE"""),"BOB→A
Retail→A")</f>
        <v>BOB→A
Retail→A</v>
      </c>
      <c r="P124" s="517" t="str">
        <f>IFERROR(__xludf.DUMMYFUNCTION("""COMPUTED_VALUE"""),"Cancel")</f>
        <v>Cancel</v>
      </c>
    </row>
    <row r="125">
      <c r="B125" s="517" t="str">
        <f>IFERROR(__xludf.DUMMYFUNCTION("""COMPUTED_VALUE"""),"TMO")</f>
        <v>TMO</v>
      </c>
      <c r="C125" s="517" t="str">
        <f>IFERROR(__xludf.DUMMYFUNCTION("""COMPUTED_VALUE"""),"Cancel")</f>
        <v>Cancel</v>
      </c>
      <c r="D125" s="517" t="str">
        <f>IFERROR(__xludf.DUMMYFUNCTION("""COMPUTED_VALUE"""),"Pristine")</f>
        <v>Pristine</v>
      </c>
      <c r="E125" s="517" t="str">
        <f>IFERROR(__xludf.DUMMYFUNCTION("""COMPUTED_VALUE"""),"GA10255-US")</f>
        <v>GA10255-US</v>
      </c>
      <c r="F125" s="517" t="str">
        <f>IFERROR(__xludf.DUMMYFUNCTION("""COMPUTED_VALUE"""),"Cancel")</f>
        <v>Cancel</v>
      </c>
      <c r="G125" s="517" t="str">
        <f>IFERROR(__xludf.DUMMYFUNCTION("""COMPUTED_VALUE"""),"Cancel")</f>
        <v>Cancel</v>
      </c>
      <c r="H125" s="517" t="str">
        <f>IFERROR(__xludf.DUMMYFUNCTION("""COMPUTED_VALUE"""),"Cancel")</f>
        <v>Cancel</v>
      </c>
      <c r="I125" s="517" t="str">
        <f>IFERROR(__xludf.DUMMYFUNCTION("""COMPUTED_VALUE"""),"Cancel")</f>
        <v>Cancel</v>
      </c>
      <c r="J125" s="517" t="str">
        <f>IFERROR(__xludf.DUMMYFUNCTION("""COMPUTED_VALUE"""),"Cancel")</f>
        <v>Cancel</v>
      </c>
      <c r="K125" s="517" t="str">
        <f>IFERROR(__xludf.DUMMYFUNCTION("""COMPUTED_VALUE"""),"Cancel")</f>
        <v>Cancel</v>
      </c>
      <c r="L125" s="517" t="str">
        <f>IFERROR(__xludf.DUMMYFUNCTION("""COMPUTED_VALUE"""),"TBD")</f>
        <v>TBD</v>
      </c>
      <c r="N125" s="519" t="str">
        <f>IFERROR(__xludf.DUMMYFUNCTION("""COMPUTED_VALUE"""),"G990-08492-42-02")</f>
        <v>G990-08492-42-02</v>
      </c>
      <c r="O125" s="517" t="str">
        <f>IFERROR(__xludf.DUMMYFUNCTION("""COMPUTED_VALUE"""),"BOB→A
Retail→A")</f>
        <v>BOB→A
Retail→A</v>
      </c>
      <c r="P125" s="517" t="str">
        <f>IFERROR(__xludf.DUMMYFUNCTION("""COMPUTED_VALUE"""),"Cancel")</f>
        <v>Cancel</v>
      </c>
    </row>
    <row r="126">
      <c r="B126" s="517" t="str">
        <f>IFERROR(__xludf.DUMMYFUNCTION("""COMPUTED_VALUE"""),"VZW")</f>
        <v>VZW</v>
      </c>
      <c r="C126" s="518" t="str">
        <f>IFERROR(__xludf.DUMMYFUNCTION("""COMPUTED_VALUE"""),"0840353928367")</f>
        <v>0840353928367</v>
      </c>
      <c r="D126" s="517" t="str">
        <f>IFERROR(__xludf.DUMMYFUNCTION("""COMPUTED_VALUE"""),"IQ")</f>
        <v>IQ</v>
      </c>
      <c r="E126" s="517" t="str">
        <f>IFERROR(__xludf.DUMMYFUNCTION("""COMPUTED_VALUE"""),"IQGA10238-US")</f>
        <v>IQGA10238-US</v>
      </c>
      <c r="F126" s="517" t="str">
        <f>IFERROR(__xludf.DUMMYFUNCTION("""COMPUTED_VALUE"""),"GLBW0")</f>
        <v>GLBW0</v>
      </c>
      <c r="G126" s="517"/>
      <c r="H126" s="518" t="str">
        <f>IFERROR(__xludf.DUMMYFUNCTION("""COMPUTED_VALUE"""),"840353928367")</f>
        <v>840353928367</v>
      </c>
      <c r="I126" s="518" t="str">
        <f>IFERROR(__xludf.DUMMYFUNCTION("""COMPUTED_VALUE"""),"No")</f>
        <v>No</v>
      </c>
      <c r="J126" s="517" t="str">
        <f>IFERROR(__xludf.DUMMYFUNCTION("""COMPUTED_VALUE"""),"Retail_10ct")</f>
        <v>Retail_10ct</v>
      </c>
      <c r="K126" s="517" t="str">
        <f>IFERROR(__xludf.DUMMYFUNCTION("""COMPUTED_VALUE"""),"VZN Master Carton Label")</f>
        <v>VZN Master Carton Label</v>
      </c>
      <c r="L126" s="517" t="str">
        <f>IFERROR(__xludf.DUMMYFUNCTION("""COMPUTED_VALUE"""),"G990-08482-21-01
G990-08482-21-A")</f>
        <v>G990-08482-21-01
G990-08482-21-A</v>
      </c>
      <c r="N126" s="517" t="str">
        <f>IFERROR(__xludf.DUMMYFUNCTION("""COMPUTED_VALUE"""),"G990-08382-11-01
G990-08382-11-A")</f>
        <v>G990-08382-11-01
G990-08382-11-A</v>
      </c>
      <c r="O126" s="517" t="str">
        <f>IFERROR(__xludf.DUMMYFUNCTION("""COMPUTED_VALUE"""),"BOB→A
Retail→A")</f>
        <v>BOB→A
Retail→A</v>
      </c>
      <c r="P126" s="517" t="str">
        <f>IFERROR(__xludf.DUMMYFUNCTION("""COMPUTED_VALUE"""),"G990-08382-11-01
G990-08382-11-A")</f>
        <v>G990-08382-11-01
G990-08382-11-A</v>
      </c>
    </row>
    <row r="127">
      <c r="B127" s="517" t="str">
        <f>IFERROR(__xludf.DUMMYFUNCTION("""COMPUTED_VALUE"""),"VZW")</f>
        <v>VZW</v>
      </c>
      <c r="C127" s="518" t="str">
        <f>IFERROR(__xludf.DUMMYFUNCTION("""COMPUTED_VALUE"""),"0840353928329")</f>
        <v>0840353928329</v>
      </c>
      <c r="D127" s="517" t="str">
        <f>IFERROR(__xludf.DUMMYFUNCTION("""COMPUTED_VALUE"""),"IQ")</f>
        <v>IQ</v>
      </c>
      <c r="E127" s="517" t="str">
        <f>IFERROR(__xludf.DUMMYFUNCTION("""COMPUTED_VALUE"""),"IQGA10239-US")</f>
        <v>IQGA10239-US</v>
      </c>
      <c r="F127" s="517" t="str">
        <f>IFERROR(__xludf.DUMMYFUNCTION("""COMPUTED_VALUE"""),"GLBW0")</f>
        <v>GLBW0</v>
      </c>
      <c r="G127" s="517"/>
      <c r="H127" s="518" t="str">
        <f>IFERROR(__xludf.DUMMYFUNCTION("""COMPUTED_VALUE"""),"840353928329")</f>
        <v>840353928329</v>
      </c>
      <c r="I127" s="518" t="str">
        <f>IFERROR(__xludf.DUMMYFUNCTION("""COMPUTED_VALUE"""),"No")</f>
        <v>No</v>
      </c>
      <c r="J127" s="517" t="str">
        <f>IFERROR(__xludf.DUMMYFUNCTION("""COMPUTED_VALUE"""),"Retail_10ct")</f>
        <v>Retail_10ct</v>
      </c>
      <c r="K127" s="517" t="str">
        <f>IFERROR(__xludf.DUMMYFUNCTION("""COMPUTED_VALUE"""),"VZN Master Carton Label")</f>
        <v>VZN Master Carton Label</v>
      </c>
      <c r="L127" s="517" t="str">
        <f>IFERROR(__xludf.DUMMYFUNCTION("""COMPUTED_VALUE"""),"G990-08482-31-01
G990-08482-31-A")</f>
        <v>G990-08482-31-01
G990-08482-31-A</v>
      </c>
      <c r="N127" s="517" t="str">
        <f>IFERROR(__xludf.DUMMYFUNCTION("""COMPUTED_VALUE"""),"G990-08382-11-01
G990-08382-11-A")</f>
        <v>G990-08382-11-01
G990-08382-11-A</v>
      </c>
      <c r="O127" s="517" t="str">
        <f>IFERROR(__xludf.DUMMYFUNCTION("""COMPUTED_VALUE"""),"BOB→A
Retail→A")</f>
        <v>BOB→A
Retail→A</v>
      </c>
      <c r="P127" s="517" t="str">
        <f>IFERROR(__xludf.DUMMYFUNCTION("""COMPUTED_VALUE"""),"G990-08382-11-01
G990-08382-11-A")</f>
        <v>G990-08382-11-01
G990-08382-11-A</v>
      </c>
    </row>
    <row r="128">
      <c r="B128" s="517" t="str">
        <f>IFERROR(__xludf.DUMMYFUNCTION("""COMPUTED_VALUE"""),"VZW")</f>
        <v>VZW</v>
      </c>
      <c r="C128" s="518" t="str">
        <f>IFERROR(__xludf.DUMMYFUNCTION("""COMPUTED_VALUE"""),"0840353928336")</f>
        <v>0840353928336</v>
      </c>
      <c r="D128" s="517" t="str">
        <f>IFERROR(__xludf.DUMMYFUNCTION("""COMPUTED_VALUE"""),"IQ")</f>
        <v>IQ</v>
      </c>
      <c r="E128" s="517" t="str">
        <f>IFERROR(__xludf.DUMMYFUNCTION("""COMPUTED_VALUE"""),"IQGA10240-US")</f>
        <v>IQGA10240-US</v>
      </c>
      <c r="F128" s="517" t="str">
        <f>IFERROR(__xludf.DUMMYFUNCTION("""COMPUTED_VALUE"""),"GLBW0")</f>
        <v>GLBW0</v>
      </c>
      <c r="G128" s="517"/>
      <c r="H128" s="518" t="str">
        <f>IFERROR(__xludf.DUMMYFUNCTION("""COMPUTED_VALUE"""),"840353928336")</f>
        <v>840353928336</v>
      </c>
      <c r="I128" s="518" t="str">
        <f>IFERROR(__xludf.DUMMYFUNCTION("""COMPUTED_VALUE"""),"No")</f>
        <v>No</v>
      </c>
      <c r="J128" s="517" t="str">
        <f>IFERROR(__xludf.DUMMYFUNCTION("""COMPUTED_VALUE"""),"Retail_10ct")</f>
        <v>Retail_10ct</v>
      </c>
      <c r="K128" s="517" t="str">
        <f>IFERROR(__xludf.DUMMYFUNCTION("""COMPUTED_VALUE"""),"VZN Master Carton Label")</f>
        <v>VZN Master Carton Label</v>
      </c>
      <c r="L128" s="517" t="str">
        <f>IFERROR(__xludf.DUMMYFUNCTION("""COMPUTED_VALUE"""),"G990-08482-41-01
G990-08482-41-A")</f>
        <v>G990-08482-41-01
G990-08482-41-A</v>
      </c>
      <c r="N128" s="517" t="str">
        <f>IFERROR(__xludf.DUMMYFUNCTION("""COMPUTED_VALUE"""),"G990-08382-11-01
G990-08382-11-A")</f>
        <v>G990-08382-11-01
G990-08382-11-A</v>
      </c>
      <c r="O128" s="517" t="str">
        <f>IFERROR(__xludf.DUMMYFUNCTION("""COMPUTED_VALUE"""),"BOB→A
Retail→A")</f>
        <v>BOB→A
Retail→A</v>
      </c>
      <c r="P128" s="517" t="str">
        <f>IFERROR(__xludf.DUMMYFUNCTION("""COMPUTED_VALUE"""),"G990-08382-11-01
G990-08382-11-A")</f>
        <v>G990-08382-11-01
G990-08382-11-A</v>
      </c>
    </row>
    <row r="129">
      <c r="B129" s="517" t="str">
        <f>IFERROR(__xludf.DUMMYFUNCTION("""COMPUTED_VALUE"""),"VZW")</f>
        <v>VZW</v>
      </c>
      <c r="C129" s="518" t="str">
        <f>IFERROR(__xludf.DUMMYFUNCTION("""COMPUTED_VALUE"""),"0840353928114")</f>
        <v>0840353928114</v>
      </c>
      <c r="D129" s="517" t="str">
        <f>IFERROR(__xludf.DUMMYFUNCTION("""COMPUTED_VALUE"""),"IQ")</f>
        <v>IQ</v>
      </c>
      <c r="E129" s="517" t="str">
        <f>IFERROR(__xludf.DUMMYFUNCTION("""COMPUTED_VALUE"""),"IQGA09880-US")</f>
        <v>IQGA09880-US</v>
      </c>
      <c r="F129" s="517" t="str">
        <f>IFERROR(__xludf.DUMMYFUNCTION("""COMPUTED_VALUE"""),"GLBW0")</f>
        <v>GLBW0</v>
      </c>
      <c r="G129" s="517"/>
      <c r="H129" s="518" t="str">
        <f>IFERROR(__xludf.DUMMYFUNCTION("""COMPUTED_VALUE"""),"840353928114")</f>
        <v>840353928114</v>
      </c>
      <c r="I129" s="518" t="str">
        <f>IFERROR(__xludf.DUMMYFUNCTION("""COMPUTED_VALUE"""),"No")</f>
        <v>No</v>
      </c>
      <c r="J129" s="517" t="str">
        <f>IFERROR(__xludf.DUMMYFUNCTION("""COMPUTED_VALUE"""),"Retail_10ct")</f>
        <v>Retail_10ct</v>
      </c>
      <c r="K129" s="517" t="str">
        <f>IFERROR(__xludf.DUMMYFUNCTION("""COMPUTED_VALUE"""),"VZN Master Carton Label")</f>
        <v>VZN Master Carton Label</v>
      </c>
      <c r="L129" s="517" t="str">
        <f>IFERROR(__xludf.DUMMYFUNCTION("""COMPUTED_VALUE"""),"G990-08482-12-01
G990-08482-12-A")</f>
        <v>G990-08482-12-01
G990-08482-12-A</v>
      </c>
      <c r="N129" s="517" t="str">
        <f>IFERROR(__xludf.DUMMYFUNCTION("""COMPUTED_VALUE"""),"G990-08382-11-01
G990-08382-11-A")</f>
        <v>G990-08382-11-01
G990-08382-11-A</v>
      </c>
      <c r="O129" s="517" t="str">
        <f>IFERROR(__xludf.DUMMYFUNCTION("""COMPUTED_VALUE"""),"BOB→A
Retail→A")</f>
        <v>BOB→A
Retail→A</v>
      </c>
      <c r="P129" s="517" t="str">
        <f>IFERROR(__xludf.DUMMYFUNCTION("""COMPUTED_VALUE"""),"G990-08382-11-01
G990-08382-11-A")</f>
        <v>G990-08382-11-01
G990-08382-11-A</v>
      </c>
    </row>
    <row r="130">
      <c r="B130" s="517" t="str">
        <f>IFERROR(__xludf.DUMMYFUNCTION("""COMPUTED_VALUE"""),"VZW")</f>
        <v>VZW</v>
      </c>
      <c r="C130" s="518" t="str">
        <f>IFERROR(__xludf.DUMMYFUNCTION("""COMPUTED_VALUE"""),"0840353928350")</f>
        <v>0840353928350</v>
      </c>
      <c r="D130" s="517" t="str">
        <f>IFERROR(__xludf.DUMMYFUNCTION("""COMPUTED_VALUE"""),"IQ")</f>
        <v>IQ</v>
      </c>
      <c r="E130" s="517" t="str">
        <f>IFERROR(__xludf.DUMMYFUNCTION("""COMPUTED_VALUE"""),"IQGA09425-US")</f>
        <v>IQGA09425-US</v>
      </c>
      <c r="F130" s="517" t="str">
        <f>IFERROR(__xludf.DUMMYFUNCTION("""COMPUTED_VALUE"""),"GLBW0")</f>
        <v>GLBW0</v>
      </c>
      <c r="G130" s="517"/>
      <c r="H130" s="518" t="str">
        <f>IFERROR(__xludf.DUMMYFUNCTION("""COMPUTED_VALUE"""),"840353928350")</f>
        <v>840353928350</v>
      </c>
      <c r="I130" s="518" t="str">
        <f>IFERROR(__xludf.DUMMYFUNCTION("""COMPUTED_VALUE"""),"No")</f>
        <v>No</v>
      </c>
      <c r="J130" s="517" t="str">
        <f>IFERROR(__xludf.DUMMYFUNCTION("""COMPUTED_VALUE"""),"Retail_10ct")</f>
        <v>Retail_10ct</v>
      </c>
      <c r="K130" s="517" t="str">
        <f>IFERROR(__xludf.DUMMYFUNCTION("""COMPUTED_VALUE"""),"VZN Master Carton Label")</f>
        <v>VZN Master Carton Label</v>
      </c>
      <c r="L130" s="517" t="str">
        <f>IFERROR(__xludf.DUMMYFUNCTION("""COMPUTED_VALUE"""),"G990-08482-11-01
G990-08482-11-A")</f>
        <v>G990-08482-11-01
G990-08482-11-A</v>
      </c>
      <c r="N130" s="517" t="str">
        <f>IFERROR(__xludf.DUMMYFUNCTION("""COMPUTED_VALUE"""),"G990-08382-11-01
G990-08382-11-A")</f>
        <v>G990-08382-11-01
G990-08382-11-A</v>
      </c>
      <c r="O130" s="517" t="str">
        <f>IFERROR(__xludf.DUMMYFUNCTION("""COMPUTED_VALUE"""),"BOB→A
Retail→A")</f>
        <v>BOB→A
Retail→A</v>
      </c>
      <c r="P130" s="517" t="str">
        <f>IFERROR(__xludf.DUMMYFUNCTION("""COMPUTED_VALUE"""),"G990-08382-11-01
G990-08382-11-A")</f>
        <v>G990-08382-11-01
G990-08382-11-A</v>
      </c>
    </row>
    <row r="131">
      <c r="B131" s="517" t="str">
        <f>IFERROR(__xludf.DUMMYFUNCTION("""COMPUTED_VALUE"""),"VZW")</f>
        <v>VZW</v>
      </c>
      <c r="C131" s="517" t="str">
        <f>IFERROR(__xludf.DUMMYFUNCTION("""COMPUTED_VALUE"""),"Cancel")</f>
        <v>Cancel</v>
      </c>
      <c r="D131" s="517" t="str">
        <f>IFERROR(__xludf.DUMMYFUNCTION("""COMPUTED_VALUE"""),"IQ")</f>
        <v>IQ</v>
      </c>
      <c r="E131" s="517" t="str">
        <f>IFERROR(__xludf.DUMMYFUNCTION("""COMPUTED_VALUE"""),"IQGA10241-US")</f>
        <v>IQGA10241-US</v>
      </c>
      <c r="F131" s="517" t="str">
        <f>IFERROR(__xludf.DUMMYFUNCTION("""COMPUTED_VALUE"""),"Cancel")</f>
        <v>Cancel</v>
      </c>
      <c r="G131" s="517" t="str">
        <f>IFERROR(__xludf.DUMMYFUNCTION("""COMPUTED_VALUE"""),"Cancel")</f>
        <v>Cancel</v>
      </c>
      <c r="H131" s="517" t="str">
        <f>IFERROR(__xludf.DUMMYFUNCTION("""COMPUTED_VALUE"""),"Cancel")</f>
        <v>Cancel</v>
      </c>
      <c r="I131" s="517" t="str">
        <f>IFERROR(__xludf.DUMMYFUNCTION("""COMPUTED_VALUE"""),"Cancel")</f>
        <v>Cancel</v>
      </c>
      <c r="J131" s="517" t="str">
        <f>IFERROR(__xludf.DUMMYFUNCTION("""COMPUTED_VALUE"""),"Cancel")</f>
        <v>Cancel</v>
      </c>
      <c r="K131" s="517" t="str">
        <f>IFERROR(__xludf.DUMMYFUNCTION("""COMPUTED_VALUE"""),"Cancel")</f>
        <v>Cancel</v>
      </c>
      <c r="L131" s="517" t="str">
        <f>IFERROR(__xludf.DUMMYFUNCTION("""COMPUTED_VALUE"""),"TBD")</f>
        <v>TBD</v>
      </c>
      <c r="N131" s="517" t="str">
        <f>IFERROR(__xludf.DUMMYFUNCTION("""COMPUTED_VALUE"""),"G990-08382-11-01
G990-08382-11-A")</f>
        <v>G990-08382-11-01
G990-08382-11-A</v>
      </c>
      <c r="O131" s="517" t="str">
        <f>IFERROR(__xludf.DUMMYFUNCTION("""COMPUTED_VALUE"""),"BOB→A
Retail→A")</f>
        <v>BOB→A
Retail→A</v>
      </c>
      <c r="P131" s="517" t="str">
        <f>IFERROR(__xludf.DUMMYFUNCTION("""COMPUTED_VALUE"""),"Cancel")</f>
        <v>Cancel</v>
      </c>
    </row>
    <row r="132">
      <c r="B132" s="517" t="str">
        <f>IFERROR(__xludf.DUMMYFUNCTION("""COMPUTED_VALUE"""),"VZW")</f>
        <v>VZW</v>
      </c>
      <c r="C132" s="517" t="str">
        <f>IFERROR(__xludf.DUMMYFUNCTION("""COMPUTED_VALUE"""),"Cancel")</f>
        <v>Cancel</v>
      </c>
      <c r="D132" s="517" t="str">
        <f>IFERROR(__xludf.DUMMYFUNCTION("""COMPUTED_VALUE"""),"IQ")</f>
        <v>IQ</v>
      </c>
      <c r="E132" s="517" t="str">
        <f>IFERROR(__xludf.DUMMYFUNCTION("""COMPUTED_VALUE"""),"IQGA10242-US")</f>
        <v>IQGA10242-US</v>
      </c>
      <c r="F132" s="517" t="str">
        <f>IFERROR(__xludf.DUMMYFUNCTION("""COMPUTED_VALUE"""),"Cancel")</f>
        <v>Cancel</v>
      </c>
      <c r="G132" s="517" t="str">
        <f>IFERROR(__xludf.DUMMYFUNCTION("""COMPUTED_VALUE"""),"Cancel")</f>
        <v>Cancel</v>
      </c>
      <c r="H132" s="517" t="str">
        <f>IFERROR(__xludf.DUMMYFUNCTION("""COMPUTED_VALUE"""),"Cancel")</f>
        <v>Cancel</v>
      </c>
      <c r="I132" s="517" t="str">
        <f>IFERROR(__xludf.DUMMYFUNCTION("""COMPUTED_VALUE"""),"Cancel")</f>
        <v>Cancel</v>
      </c>
      <c r="J132" s="517" t="str">
        <f>IFERROR(__xludf.DUMMYFUNCTION("""COMPUTED_VALUE"""),"Cancel")</f>
        <v>Cancel</v>
      </c>
      <c r="K132" s="517" t="str">
        <f>IFERROR(__xludf.DUMMYFUNCTION("""COMPUTED_VALUE"""),"Cancel")</f>
        <v>Cancel</v>
      </c>
      <c r="L132" s="517" t="str">
        <f>IFERROR(__xludf.DUMMYFUNCTION("""COMPUTED_VALUE"""),"TBD")</f>
        <v>TBD</v>
      </c>
      <c r="N132" s="517" t="str">
        <f>IFERROR(__xludf.DUMMYFUNCTION("""COMPUTED_VALUE"""),"G990-08382-11-01
G990-08382-11-A")</f>
        <v>G990-08382-11-01
G990-08382-11-A</v>
      </c>
      <c r="O132" s="517" t="str">
        <f>IFERROR(__xludf.DUMMYFUNCTION("""COMPUTED_VALUE"""),"BOB→A
Retail→A")</f>
        <v>BOB→A
Retail→A</v>
      </c>
      <c r="P132" s="517" t="str">
        <f>IFERROR(__xludf.DUMMYFUNCTION("""COMPUTED_VALUE"""),"Cancel")</f>
        <v>Cancel</v>
      </c>
    </row>
    <row r="133">
      <c r="B133" s="517" t="str">
        <f>IFERROR(__xludf.DUMMYFUNCTION("""COMPUTED_VALUE"""),"VZW")</f>
        <v>VZW</v>
      </c>
      <c r="C133" s="518" t="str">
        <f>IFERROR(__xludf.DUMMYFUNCTION("""COMPUTED_VALUE"""),"0840353928145")</f>
        <v>0840353928145</v>
      </c>
      <c r="D133" s="517" t="str">
        <f>IFERROR(__xludf.DUMMYFUNCTION("""COMPUTED_VALUE"""),"IQ")</f>
        <v>IQ</v>
      </c>
      <c r="E133" s="517" t="str">
        <f>IFERROR(__xludf.DUMMYFUNCTION("""COMPUTED_VALUE"""),"IQGA10243-US")</f>
        <v>IQGA10243-US</v>
      </c>
      <c r="F133" s="517" t="str">
        <f>IFERROR(__xludf.DUMMYFUNCTION("""COMPUTED_VALUE"""),"GLBW0")</f>
        <v>GLBW0</v>
      </c>
      <c r="G133" s="517"/>
      <c r="H133" s="518" t="str">
        <f>IFERROR(__xludf.DUMMYFUNCTION("""COMPUTED_VALUE"""),"840353928145")</f>
        <v>840353928145</v>
      </c>
      <c r="I133" s="518" t="str">
        <f>IFERROR(__xludf.DUMMYFUNCTION("""COMPUTED_VALUE"""),"No")</f>
        <v>No</v>
      </c>
      <c r="J133" s="517"/>
      <c r="K133" s="517" t="str">
        <f>IFERROR(__xludf.DUMMYFUNCTION("""COMPUTED_VALUE"""),"VZN Master Carton Label")</f>
        <v>VZN Master Carton Label</v>
      </c>
      <c r="L133" s="517" t="str">
        <f>IFERROR(__xludf.DUMMYFUNCTION("""COMPUTED_VALUE"""),"G990-08482-42-01
G990-08482-42-A")</f>
        <v>G990-08482-42-01
G990-08482-42-A</v>
      </c>
      <c r="N133" s="517" t="str">
        <f>IFERROR(__xludf.DUMMYFUNCTION("""COMPUTED_VALUE"""),"G990-08382-11-01
G990-08382-11-A")</f>
        <v>G990-08382-11-01
G990-08382-11-A</v>
      </c>
      <c r="O133" s="517" t="str">
        <f>IFERROR(__xludf.DUMMYFUNCTION("""COMPUTED_VALUE"""),"BOB→A
Retail→A")</f>
        <v>BOB→A
Retail→A</v>
      </c>
      <c r="P133" s="517" t="str">
        <f>IFERROR(__xludf.DUMMYFUNCTION("""COMPUTED_VALUE"""),"G990-08382-11-01
G990-08382-11-A")</f>
        <v>G990-08382-11-01
G990-08382-11-A</v>
      </c>
    </row>
    <row r="134">
      <c r="B134" s="517" t="str">
        <f>IFERROR(__xludf.DUMMYFUNCTION("""COMPUTED_VALUE"""),"VZW")</f>
        <v>VZW</v>
      </c>
      <c r="C134" s="518" t="str">
        <f>IFERROR(__xludf.DUMMYFUNCTION("""COMPUTED_VALUE"""),"0840353939622")</f>
        <v>0840353939622</v>
      </c>
      <c r="D134" s="517" t="str">
        <f>IFERROR(__xludf.DUMMYFUNCTION("""COMPUTED_VALUE"""),"CLNR/FRU")</f>
        <v>CLNR/FRU</v>
      </c>
      <c r="E134" s="517" t="str">
        <f>IFERROR(__xludf.DUMMYFUNCTION("""COMPUTED_VALUE"""),"CLNRGOGA09425")</f>
        <v>CLNRGOGA09425</v>
      </c>
      <c r="F134" s="517" t="str">
        <f>IFERROR(__xludf.DUMMYFUNCTION("""COMPUTED_VALUE"""),"GLBW0")</f>
        <v>GLBW0</v>
      </c>
      <c r="G134" s="517"/>
      <c r="H134" s="518" t="str">
        <f>IFERROR(__xludf.DUMMYFUNCTION("""COMPUTED_VALUE"""),"840353939622")</f>
        <v>840353939622</v>
      </c>
      <c r="I134" s="518" t="str">
        <f>IFERROR(__xludf.DUMMYFUNCTION("""COMPUTED_VALUE"""),"No")</f>
        <v>No</v>
      </c>
      <c r="J134" s="517" t="str">
        <f>IFERROR(__xludf.DUMMYFUNCTION("""COMPUTED_VALUE"""),"Bulk_30ct")</f>
        <v>Bulk_30ct</v>
      </c>
      <c r="K134" s="517" t="str">
        <f>IFERROR(__xludf.DUMMYFUNCTION("""COMPUTED_VALUE"""),"VZN Master Carton Label")</f>
        <v>VZN Master Carton Label</v>
      </c>
      <c r="L134" s="517" t="str">
        <f>IFERROR(__xludf.DUMMYFUNCTION("""COMPUTED_VALUE"""),"N/A")</f>
        <v>N/A</v>
      </c>
      <c r="N134" s="517" t="str">
        <f>IFERROR(__xludf.DUMMYFUNCTION("""COMPUTED_VALUE"""),"N/A")</f>
        <v>N/A</v>
      </c>
      <c r="O134" s="517"/>
      <c r="P134" s="517" t="str">
        <f>IFERROR(__xludf.DUMMYFUNCTION("""COMPUTED_VALUE"""),"N/A")</f>
        <v>N/A</v>
      </c>
    </row>
    <row r="135">
      <c r="B135" s="517" t="str">
        <f>IFERROR(__xludf.DUMMYFUNCTION("""COMPUTED_VALUE"""),"VZW")</f>
        <v>VZW</v>
      </c>
      <c r="C135" s="518" t="str">
        <f>IFERROR(__xludf.DUMMYFUNCTION("""COMPUTED_VALUE"""),"0840353939646")</f>
        <v>0840353939646</v>
      </c>
      <c r="D135" s="517" t="str">
        <f>IFERROR(__xludf.DUMMYFUNCTION("""COMPUTED_VALUE"""),"CLNR/FRU")</f>
        <v>CLNR/FRU</v>
      </c>
      <c r="E135" s="517" t="str">
        <f>IFERROR(__xludf.DUMMYFUNCTION("""COMPUTED_VALUE"""),"CLNRGOGA10238")</f>
        <v>CLNRGOGA10238</v>
      </c>
      <c r="F135" s="517" t="str">
        <f>IFERROR(__xludf.DUMMYFUNCTION("""COMPUTED_VALUE"""),"GLBW0")</f>
        <v>GLBW0</v>
      </c>
      <c r="G135" s="517"/>
      <c r="H135" s="518" t="str">
        <f>IFERROR(__xludf.DUMMYFUNCTION("""COMPUTED_VALUE"""),"840353939646")</f>
        <v>840353939646</v>
      </c>
      <c r="I135" s="518" t="str">
        <f>IFERROR(__xludf.DUMMYFUNCTION("""COMPUTED_VALUE"""),"No")</f>
        <v>No</v>
      </c>
      <c r="J135" s="517" t="str">
        <f>IFERROR(__xludf.DUMMYFUNCTION("""COMPUTED_VALUE"""),"Bulk_30ct")</f>
        <v>Bulk_30ct</v>
      </c>
      <c r="K135" s="517" t="str">
        <f>IFERROR(__xludf.DUMMYFUNCTION("""COMPUTED_VALUE"""),"VZN Master Carton Label")</f>
        <v>VZN Master Carton Label</v>
      </c>
      <c r="L135" s="517" t="str">
        <f>IFERROR(__xludf.DUMMYFUNCTION("""COMPUTED_VALUE"""),"N/A")</f>
        <v>N/A</v>
      </c>
      <c r="N135" s="517" t="str">
        <f>IFERROR(__xludf.DUMMYFUNCTION("""COMPUTED_VALUE"""),"N/A")</f>
        <v>N/A</v>
      </c>
      <c r="O135" s="517"/>
      <c r="P135" s="517" t="str">
        <f>IFERROR(__xludf.DUMMYFUNCTION("""COMPUTED_VALUE"""),"N/A")</f>
        <v>N/A</v>
      </c>
    </row>
    <row r="136">
      <c r="B136" s="517" t="str">
        <f>IFERROR(__xludf.DUMMYFUNCTION("""COMPUTED_VALUE"""),"VZW")</f>
        <v>VZW</v>
      </c>
      <c r="C136" s="518" t="str">
        <f>IFERROR(__xludf.DUMMYFUNCTION("""COMPUTED_VALUE"""),"0840353939653")</f>
        <v>0840353939653</v>
      </c>
      <c r="D136" s="517" t="str">
        <f>IFERROR(__xludf.DUMMYFUNCTION("""COMPUTED_VALUE"""),"CLNR/FRU")</f>
        <v>CLNR/FRU</v>
      </c>
      <c r="E136" s="517" t="str">
        <f>IFERROR(__xludf.DUMMYFUNCTION("""COMPUTED_VALUE"""),"CLNRGOGA10239")</f>
        <v>CLNRGOGA10239</v>
      </c>
      <c r="F136" s="517" t="str">
        <f>IFERROR(__xludf.DUMMYFUNCTION("""COMPUTED_VALUE"""),"GLBW0")</f>
        <v>GLBW0</v>
      </c>
      <c r="G136" s="517"/>
      <c r="H136" s="518" t="str">
        <f>IFERROR(__xludf.DUMMYFUNCTION("""COMPUTED_VALUE"""),"840353939653")</f>
        <v>840353939653</v>
      </c>
      <c r="I136" s="518" t="str">
        <f>IFERROR(__xludf.DUMMYFUNCTION("""COMPUTED_VALUE"""),"No")</f>
        <v>No</v>
      </c>
      <c r="J136" s="517" t="str">
        <f>IFERROR(__xludf.DUMMYFUNCTION("""COMPUTED_VALUE"""),"Bulk_30ct")</f>
        <v>Bulk_30ct</v>
      </c>
      <c r="K136" s="517" t="str">
        <f>IFERROR(__xludf.DUMMYFUNCTION("""COMPUTED_VALUE"""),"VZN Master Carton Label")</f>
        <v>VZN Master Carton Label</v>
      </c>
      <c r="L136" s="517" t="str">
        <f>IFERROR(__xludf.DUMMYFUNCTION("""COMPUTED_VALUE"""),"N/A")</f>
        <v>N/A</v>
      </c>
      <c r="N136" s="517" t="str">
        <f>IFERROR(__xludf.DUMMYFUNCTION("""COMPUTED_VALUE"""),"N/A")</f>
        <v>N/A</v>
      </c>
      <c r="O136" s="517"/>
      <c r="P136" s="517" t="str">
        <f>IFERROR(__xludf.DUMMYFUNCTION("""COMPUTED_VALUE"""),"N/A")</f>
        <v>N/A</v>
      </c>
    </row>
    <row r="137">
      <c r="B137" s="517" t="str">
        <f>IFERROR(__xludf.DUMMYFUNCTION("""COMPUTED_VALUE"""),"VZW")</f>
        <v>VZW</v>
      </c>
      <c r="C137" s="518" t="str">
        <f>IFERROR(__xludf.DUMMYFUNCTION("""COMPUTED_VALUE"""),"0840353939660")</f>
        <v>0840353939660</v>
      </c>
      <c r="D137" s="517" t="str">
        <f>IFERROR(__xludf.DUMMYFUNCTION("""COMPUTED_VALUE"""),"CLNR/FRU")</f>
        <v>CLNR/FRU</v>
      </c>
      <c r="E137" s="517" t="str">
        <f>IFERROR(__xludf.DUMMYFUNCTION("""COMPUTED_VALUE"""),"CLNRGOGA10240")</f>
        <v>CLNRGOGA10240</v>
      </c>
      <c r="F137" s="517" t="str">
        <f>IFERROR(__xludf.DUMMYFUNCTION("""COMPUTED_VALUE"""),"GLBW0")</f>
        <v>GLBW0</v>
      </c>
      <c r="G137" s="517"/>
      <c r="H137" s="518" t="str">
        <f>IFERROR(__xludf.DUMMYFUNCTION("""COMPUTED_VALUE"""),"840353939660")</f>
        <v>840353939660</v>
      </c>
      <c r="I137" s="518" t="str">
        <f>IFERROR(__xludf.DUMMYFUNCTION("""COMPUTED_VALUE"""),"No")</f>
        <v>No</v>
      </c>
      <c r="J137" s="517" t="str">
        <f>IFERROR(__xludf.DUMMYFUNCTION("""COMPUTED_VALUE"""),"Bulk_30ct")</f>
        <v>Bulk_30ct</v>
      </c>
      <c r="K137" s="517" t="str">
        <f>IFERROR(__xludf.DUMMYFUNCTION("""COMPUTED_VALUE"""),"VZN Master Carton Label")</f>
        <v>VZN Master Carton Label</v>
      </c>
      <c r="L137" s="517" t="str">
        <f>IFERROR(__xludf.DUMMYFUNCTION("""COMPUTED_VALUE"""),"N/A")</f>
        <v>N/A</v>
      </c>
      <c r="N137" s="517" t="str">
        <f>IFERROR(__xludf.DUMMYFUNCTION("""COMPUTED_VALUE"""),"N/A")</f>
        <v>N/A</v>
      </c>
      <c r="O137" s="517"/>
      <c r="P137" s="517" t="str">
        <f>IFERROR(__xludf.DUMMYFUNCTION("""COMPUTED_VALUE"""),"N/A")</f>
        <v>N/A</v>
      </c>
    </row>
    <row r="138">
      <c r="B138" s="517" t="str">
        <f>IFERROR(__xludf.DUMMYFUNCTION("""COMPUTED_VALUE"""),"VZW")</f>
        <v>VZW</v>
      </c>
      <c r="C138" s="518" t="str">
        <f>IFERROR(__xludf.DUMMYFUNCTION("""COMPUTED_VALUE"""),"0840353939639")</f>
        <v>0840353939639</v>
      </c>
      <c r="D138" s="517" t="str">
        <f>IFERROR(__xludf.DUMMYFUNCTION("""COMPUTED_VALUE"""),"CLNR/FRU")</f>
        <v>CLNR/FRU</v>
      </c>
      <c r="E138" s="517" t="str">
        <f>IFERROR(__xludf.DUMMYFUNCTION("""COMPUTED_VALUE"""),"CLNRGOGA09880")</f>
        <v>CLNRGOGA09880</v>
      </c>
      <c r="F138" s="517" t="str">
        <f>IFERROR(__xludf.DUMMYFUNCTION("""COMPUTED_VALUE"""),"GLBW0")</f>
        <v>GLBW0</v>
      </c>
      <c r="G138" s="517"/>
      <c r="H138" s="518" t="str">
        <f>IFERROR(__xludf.DUMMYFUNCTION("""COMPUTED_VALUE"""),"840353939639")</f>
        <v>840353939639</v>
      </c>
      <c r="I138" s="518" t="str">
        <f>IFERROR(__xludf.DUMMYFUNCTION("""COMPUTED_VALUE"""),"No")</f>
        <v>No</v>
      </c>
      <c r="J138" s="517" t="str">
        <f>IFERROR(__xludf.DUMMYFUNCTION("""COMPUTED_VALUE"""),"Bulk_30ct")</f>
        <v>Bulk_30ct</v>
      </c>
      <c r="K138" s="517" t="str">
        <f>IFERROR(__xludf.DUMMYFUNCTION("""COMPUTED_VALUE"""),"VZN Master Carton Label")</f>
        <v>VZN Master Carton Label</v>
      </c>
      <c r="L138" s="517" t="str">
        <f>IFERROR(__xludf.DUMMYFUNCTION("""COMPUTED_VALUE"""),"N/A")</f>
        <v>N/A</v>
      </c>
      <c r="N138" s="517" t="str">
        <f>IFERROR(__xludf.DUMMYFUNCTION("""COMPUTED_VALUE"""),"N/A")</f>
        <v>N/A</v>
      </c>
      <c r="O138" s="517"/>
      <c r="P138" s="517" t="str">
        <f>IFERROR(__xludf.DUMMYFUNCTION("""COMPUTED_VALUE"""),"N/A")</f>
        <v>N/A</v>
      </c>
    </row>
    <row r="139">
      <c r="B139" s="517" t="str">
        <f>IFERROR(__xludf.DUMMYFUNCTION("""COMPUTED_VALUE"""),"VZW")</f>
        <v>VZW</v>
      </c>
      <c r="C139" s="517" t="str">
        <f>IFERROR(__xludf.DUMMYFUNCTION("""COMPUTED_VALUE"""),"Cancel")</f>
        <v>Cancel</v>
      </c>
      <c r="D139" s="517" t="str">
        <f>IFERROR(__xludf.DUMMYFUNCTION("""COMPUTED_VALUE"""),"CLNR/FRU")</f>
        <v>CLNR/FRU</v>
      </c>
      <c r="E139" s="517" t="str">
        <f>IFERROR(__xludf.DUMMYFUNCTION("""COMPUTED_VALUE"""),"CLNRGOGA10241")</f>
        <v>CLNRGOGA10241</v>
      </c>
      <c r="F139" s="517" t="str">
        <f>IFERROR(__xludf.DUMMYFUNCTION("""COMPUTED_VALUE"""),"Cancel")</f>
        <v>Cancel</v>
      </c>
      <c r="G139" s="517" t="str">
        <f>IFERROR(__xludf.DUMMYFUNCTION("""COMPUTED_VALUE"""),"Cancel")</f>
        <v>Cancel</v>
      </c>
      <c r="H139" s="517" t="str">
        <f>IFERROR(__xludf.DUMMYFUNCTION("""COMPUTED_VALUE"""),"Cancel")</f>
        <v>Cancel</v>
      </c>
      <c r="I139" s="517" t="str">
        <f>IFERROR(__xludf.DUMMYFUNCTION("""COMPUTED_VALUE"""),"Cancel")</f>
        <v>Cancel</v>
      </c>
      <c r="J139" s="517" t="str">
        <f>IFERROR(__xludf.DUMMYFUNCTION("""COMPUTED_VALUE"""),"Cancel")</f>
        <v>Cancel</v>
      </c>
      <c r="K139" s="517" t="str">
        <f>IFERROR(__xludf.DUMMYFUNCTION("""COMPUTED_VALUE"""),"Cancel")</f>
        <v>Cancel</v>
      </c>
      <c r="L139" s="517" t="str">
        <f>IFERROR(__xludf.DUMMYFUNCTION("""COMPUTED_VALUE"""),"N/A")</f>
        <v>N/A</v>
      </c>
      <c r="N139" s="517" t="str">
        <f>IFERROR(__xludf.DUMMYFUNCTION("""COMPUTED_VALUE"""),"N/A")</f>
        <v>N/A</v>
      </c>
      <c r="O139" s="517"/>
      <c r="P139" s="517" t="str">
        <f>IFERROR(__xludf.DUMMYFUNCTION("""COMPUTED_VALUE"""),"Cancel")</f>
        <v>Cancel</v>
      </c>
    </row>
    <row r="140">
      <c r="B140" s="517" t="str">
        <f>IFERROR(__xludf.DUMMYFUNCTION("""COMPUTED_VALUE"""),"VZW")</f>
        <v>VZW</v>
      </c>
      <c r="C140" s="517" t="str">
        <f>IFERROR(__xludf.DUMMYFUNCTION("""COMPUTED_VALUE"""),"Cancel")</f>
        <v>Cancel</v>
      </c>
      <c r="D140" s="517" t="str">
        <f>IFERROR(__xludf.DUMMYFUNCTION("""COMPUTED_VALUE"""),"CLNR/FRU")</f>
        <v>CLNR/FRU</v>
      </c>
      <c r="E140" s="517" t="str">
        <f>IFERROR(__xludf.DUMMYFUNCTION("""COMPUTED_VALUE"""),"CLNRGOGA10242")</f>
        <v>CLNRGOGA10242</v>
      </c>
      <c r="F140" s="517" t="str">
        <f>IFERROR(__xludf.DUMMYFUNCTION("""COMPUTED_VALUE"""),"Cancel")</f>
        <v>Cancel</v>
      </c>
      <c r="G140" s="517" t="str">
        <f>IFERROR(__xludf.DUMMYFUNCTION("""COMPUTED_VALUE"""),"Cancel")</f>
        <v>Cancel</v>
      </c>
      <c r="H140" s="517" t="str">
        <f>IFERROR(__xludf.DUMMYFUNCTION("""COMPUTED_VALUE"""),"Cancel")</f>
        <v>Cancel</v>
      </c>
      <c r="I140" s="517" t="str">
        <f>IFERROR(__xludf.DUMMYFUNCTION("""COMPUTED_VALUE"""),"Cancel")</f>
        <v>Cancel</v>
      </c>
      <c r="J140" s="517" t="str">
        <f>IFERROR(__xludf.DUMMYFUNCTION("""COMPUTED_VALUE"""),"Cancel")</f>
        <v>Cancel</v>
      </c>
      <c r="K140" s="517" t="str">
        <f>IFERROR(__xludf.DUMMYFUNCTION("""COMPUTED_VALUE"""),"Cancel")</f>
        <v>Cancel</v>
      </c>
      <c r="L140" s="517" t="str">
        <f>IFERROR(__xludf.DUMMYFUNCTION("""COMPUTED_VALUE"""),"N/A")</f>
        <v>N/A</v>
      </c>
      <c r="N140" s="517" t="str">
        <f>IFERROR(__xludf.DUMMYFUNCTION("""COMPUTED_VALUE"""),"N/A")</f>
        <v>N/A</v>
      </c>
      <c r="O140" s="517"/>
      <c r="P140" s="517" t="str">
        <f>IFERROR(__xludf.DUMMYFUNCTION("""COMPUTED_VALUE"""),"Cancel")</f>
        <v>Cancel</v>
      </c>
    </row>
    <row r="141">
      <c r="B141" s="517" t="str">
        <f>IFERROR(__xludf.DUMMYFUNCTION("""COMPUTED_VALUE"""),"VZW")</f>
        <v>VZW</v>
      </c>
      <c r="C141" s="518" t="str">
        <f>IFERROR(__xludf.DUMMYFUNCTION("""COMPUTED_VALUE"""),"0840353939691")</f>
        <v>0840353939691</v>
      </c>
      <c r="D141" s="517" t="str">
        <f>IFERROR(__xludf.DUMMYFUNCTION("""COMPUTED_VALUE"""),"CLNR/FRU")</f>
        <v>CLNR/FRU</v>
      </c>
      <c r="E141" s="517" t="str">
        <f>IFERROR(__xludf.DUMMYFUNCTION("""COMPUTED_VALUE"""),"CLNRGOGA10243")</f>
        <v>CLNRGOGA10243</v>
      </c>
      <c r="F141" s="517" t="str">
        <f>IFERROR(__xludf.DUMMYFUNCTION("""COMPUTED_VALUE"""),"GLBW0")</f>
        <v>GLBW0</v>
      </c>
      <c r="G141" s="517"/>
      <c r="H141" s="518" t="str">
        <f>IFERROR(__xludf.DUMMYFUNCTION("""COMPUTED_VALUE"""),"840353939691")</f>
        <v>840353939691</v>
      </c>
      <c r="I141" s="518" t="str">
        <f>IFERROR(__xludf.DUMMYFUNCTION("""COMPUTED_VALUE"""),"No")</f>
        <v>No</v>
      </c>
      <c r="J141" s="517" t="str">
        <f>IFERROR(__xludf.DUMMYFUNCTION("""COMPUTED_VALUE"""),"Bulk_30ct")</f>
        <v>Bulk_30ct</v>
      </c>
      <c r="K141" s="517" t="str">
        <f>IFERROR(__xludf.DUMMYFUNCTION("""COMPUTED_VALUE"""),"VZN Master Carton Label")</f>
        <v>VZN Master Carton Label</v>
      </c>
      <c r="L141" s="517" t="str">
        <f>IFERROR(__xludf.DUMMYFUNCTION("""COMPUTED_VALUE"""),"N/A")</f>
        <v>N/A</v>
      </c>
      <c r="N141" s="517" t="str">
        <f>IFERROR(__xludf.DUMMYFUNCTION("""COMPUTED_VALUE"""),"N/A")</f>
        <v>N/A</v>
      </c>
      <c r="O141" s="517"/>
      <c r="P141" s="517" t="str">
        <f>IFERROR(__xludf.DUMMYFUNCTION("""COMPUTED_VALUE"""),"N/A")</f>
        <v>N/A</v>
      </c>
    </row>
    <row r="142">
      <c r="B142" s="517" t="str">
        <f>IFERROR(__xludf.DUMMYFUNCTION("""COMPUTED_VALUE"""),"TMO")</f>
        <v>TMO</v>
      </c>
      <c r="C142" s="518" t="str">
        <f>IFERROR(__xludf.DUMMYFUNCTION("""COMPUTED_VALUE"""),"0840353939318")</f>
        <v>0840353939318</v>
      </c>
      <c r="D142" s="517" t="str">
        <f>IFERROR(__xludf.DUMMYFUNCTION("""COMPUTED_VALUE"""),"CLNR/FRU")</f>
        <v>CLNR/FRU</v>
      </c>
      <c r="E142" s="517" t="str">
        <f>IFERROR(__xludf.DUMMYFUNCTION("""COMPUTED_VALUE"""),"CLNRGA09862")</f>
        <v>CLNRGA09862</v>
      </c>
      <c r="F142" s="517" t="str">
        <f>IFERROR(__xludf.DUMMYFUNCTION("""COMPUTED_VALUE"""),"GLBW0")</f>
        <v>GLBW0</v>
      </c>
      <c r="G142" s="518" t="str">
        <f>IFERROR(__xludf.DUMMYFUNCTION("""COMPUTED_VALUE"""),"840353939318")</f>
        <v>840353939318</v>
      </c>
      <c r="H142" s="518" t="str">
        <f>IFERROR(__xludf.DUMMYFUNCTION("""COMPUTED_VALUE"""),"840353939318")</f>
        <v>840353939318</v>
      </c>
      <c r="I142" s="518" t="str">
        <f>IFERROR(__xludf.DUMMYFUNCTION("""COMPUTED_VALUE"""),"No")</f>
        <v>No</v>
      </c>
      <c r="J142" s="517" t="str">
        <f>IFERROR(__xludf.DUMMYFUNCTION("""COMPUTED_VALUE"""),"Bulk_30ct")</f>
        <v>Bulk_30ct</v>
      </c>
      <c r="K142" s="517" t="str">
        <f>IFERROR(__xludf.DUMMYFUNCTION("""COMPUTED_VALUE"""),"TMO Master Carton Label")</f>
        <v>TMO Master Carton Label</v>
      </c>
      <c r="L142" s="517" t="str">
        <f>IFERROR(__xludf.DUMMYFUNCTION("""COMPUTED_VALUE"""),"N/A")</f>
        <v>N/A</v>
      </c>
      <c r="N142" s="517" t="str">
        <f>IFERROR(__xludf.DUMMYFUNCTION("""COMPUTED_VALUE"""),"N/A")</f>
        <v>N/A</v>
      </c>
      <c r="O142" s="517"/>
      <c r="P142" s="517" t="str">
        <f>IFERROR(__xludf.DUMMYFUNCTION("""COMPUTED_VALUE"""),"N/A")</f>
        <v>N/A</v>
      </c>
    </row>
    <row r="143">
      <c r="B143" s="517" t="str">
        <f>IFERROR(__xludf.DUMMYFUNCTION("""COMPUTED_VALUE"""),"TMO")</f>
        <v>TMO</v>
      </c>
      <c r="C143" s="517" t="str">
        <f>IFERROR(__xludf.DUMMYFUNCTION("""COMPUTED_VALUE"""),"Cancel")</f>
        <v>Cancel</v>
      </c>
      <c r="D143" s="517" t="str">
        <f>IFERROR(__xludf.DUMMYFUNCTION("""COMPUTED_VALUE"""),"CLNR/FRU")</f>
        <v>CLNR/FRU</v>
      </c>
      <c r="E143" s="517" t="str">
        <f>IFERROR(__xludf.DUMMYFUNCTION("""COMPUTED_VALUE"""),"CLNRGA10250")</f>
        <v>CLNRGA10250</v>
      </c>
      <c r="F143" s="517" t="str">
        <f>IFERROR(__xludf.DUMMYFUNCTION("""COMPUTED_VALUE"""),"Cancel")</f>
        <v>Cancel</v>
      </c>
      <c r="G143" s="517" t="str">
        <f>IFERROR(__xludf.DUMMYFUNCTION("""COMPUTED_VALUE"""),"Cancel")</f>
        <v>Cancel</v>
      </c>
      <c r="H143" s="517" t="str">
        <f>IFERROR(__xludf.DUMMYFUNCTION("""COMPUTED_VALUE"""),"Cancel")</f>
        <v>Cancel</v>
      </c>
      <c r="I143" s="517" t="str">
        <f>IFERROR(__xludf.DUMMYFUNCTION("""COMPUTED_VALUE"""),"Cancel")</f>
        <v>Cancel</v>
      </c>
      <c r="J143" s="517" t="str">
        <f>IFERROR(__xludf.DUMMYFUNCTION("""COMPUTED_VALUE"""),"Cancel")</f>
        <v>Cancel</v>
      </c>
      <c r="K143" s="517" t="str">
        <f>IFERROR(__xludf.DUMMYFUNCTION("""COMPUTED_VALUE"""),"Cancel")</f>
        <v>Cancel</v>
      </c>
      <c r="L143" s="517" t="str">
        <f>IFERROR(__xludf.DUMMYFUNCTION("""COMPUTED_VALUE"""),"N/A")</f>
        <v>N/A</v>
      </c>
      <c r="N143" s="517" t="str">
        <f>IFERROR(__xludf.DUMMYFUNCTION("""COMPUTED_VALUE"""),"N/A")</f>
        <v>N/A</v>
      </c>
      <c r="O143" s="517"/>
      <c r="P143" s="517" t="str">
        <f>IFERROR(__xludf.DUMMYFUNCTION("""COMPUTED_VALUE"""),"Cancel")</f>
        <v>Cancel</v>
      </c>
    </row>
    <row r="144">
      <c r="B144" s="517" t="str">
        <f>IFERROR(__xludf.DUMMYFUNCTION("""COMPUTED_VALUE"""),"TMO")</f>
        <v>TMO</v>
      </c>
      <c r="C144" s="517" t="str">
        <f>IFERROR(__xludf.DUMMYFUNCTION("""COMPUTED_VALUE"""),"Cancel")</f>
        <v>Cancel</v>
      </c>
      <c r="D144" s="517" t="str">
        <f>IFERROR(__xludf.DUMMYFUNCTION("""COMPUTED_VALUE"""),"CLNR/FRU")</f>
        <v>CLNR/FRU</v>
      </c>
      <c r="E144" s="517" t="str">
        <f>IFERROR(__xludf.DUMMYFUNCTION("""COMPUTED_VALUE"""),"CLNRGA10251")</f>
        <v>CLNRGA10251</v>
      </c>
      <c r="F144" s="517" t="str">
        <f>IFERROR(__xludf.DUMMYFUNCTION("""COMPUTED_VALUE"""),"Cancel")</f>
        <v>Cancel</v>
      </c>
      <c r="G144" s="517" t="str">
        <f>IFERROR(__xludf.DUMMYFUNCTION("""COMPUTED_VALUE"""),"Cancel")</f>
        <v>Cancel</v>
      </c>
      <c r="H144" s="517" t="str">
        <f>IFERROR(__xludf.DUMMYFUNCTION("""COMPUTED_VALUE"""),"Cancel")</f>
        <v>Cancel</v>
      </c>
      <c r="I144" s="517" t="str">
        <f>IFERROR(__xludf.DUMMYFUNCTION("""COMPUTED_VALUE"""),"Cancel")</f>
        <v>Cancel</v>
      </c>
      <c r="J144" s="517" t="str">
        <f>IFERROR(__xludf.DUMMYFUNCTION("""COMPUTED_VALUE"""),"Cancel")</f>
        <v>Cancel</v>
      </c>
      <c r="K144" s="517" t="str">
        <f>IFERROR(__xludf.DUMMYFUNCTION("""COMPUTED_VALUE"""),"Cancel")</f>
        <v>Cancel</v>
      </c>
      <c r="L144" s="517" t="str">
        <f>IFERROR(__xludf.DUMMYFUNCTION("""COMPUTED_VALUE"""),"N/A")</f>
        <v>N/A</v>
      </c>
      <c r="N144" s="517" t="str">
        <f>IFERROR(__xludf.DUMMYFUNCTION("""COMPUTED_VALUE"""),"N/A")</f>
        <v>N/A</v>
      </c>
      <c r="O144" s="517"/>
      <c r="P144" s="517" t="str">
        <f>IFERROR(__xludf.DUMMYFUNCTION("""COMPUTED_VALUE"""),"Cancel")</f>
        <v>Cancel</v>
      </c>
    </row>
    <row r="145">
      <c r="B145" s="517" t="str">
        <f>IFERROR(__xludf.DUMMYFUNCTION("""COMPUTED_VALUE"""),"TMO")</f>
        <v>TMO</v>
      </c>
      <c r="C145" s="518" t="str">
        <f>IFERROR(__xludf.DUMMYFUNCTION("""COMPUTED_VALUE"""),"0840353939424")</f>
        <v>0840353939424</v>
      </c>
      <c r="D145" s="517" t="str">
        <f>IFERROR(__xludf.DUMMYFUNCTION("""COMPUTED_VALUE"""),"CLNR/FRU")</f>
        <v>CLNR/FRU</v>
      </c>
      <c r="E145" s="517" t="str">
        <f>IFERROR(__xludf.DUMMYFUNCTION("""COMPUTED_VALUE"""),"CLNRGA10252")</f>
        <v>CLNRGA10252</v>
      </c>
      <c r="F145" s="517" t="str">
        <f>IFERROR(__xludf.DUMMYFUNCTION("""COMPUTED_VALUE"""),"GLBW0")</f>
        <v>GLBW0</v>
      </c>
      <c r="G145" s="518" t="str">
        <f>IFERROR(__xludf.DUMMYFUNCTION("""COMPUTED_VALUE"""),"840353939424")</f>
        <v>840353939424</v>
      </c>
      <c r="H145" s="518" t="str">
        <f>IFERROR(__xludf.DUMMYFUNCTION("""COMPUTED_VALUE"""),"840353939424")</f>
        <v>840353939424</v>
      </c>
      <c r="I145" s="518" t="str">
        <f>IFERROR(__xludf.DUMMYFUNCTION("""COMPUTED_VALUE"""),"No")</f>
        <v>No</v>
      </c>
      <c r="J145" s="517" t="str">
        <f>IFERROR(__xludf.DUMMYFUNCTION("""COMPUTED_VALUE"""),"Bulk_30ct")</f>
        <v>Bulk_30ct</v>
      </c>
      <c r="K145" s="517" t="str">
        <f>IFERROR(__xludf.DUMMYFUNCTION("""COMPUTED_VALUE"""),"TMO Master Carton Label")</f>
        <v>TMO Master Carton Label</v>
      </c>
      <c r="L145" s="517" t="str">
        <f>IFERROR(__xludf.DUMMYFUNCTION("""COMPUTED_VALUE"""),"N/A")</f>
        <v>N/A</v>
      </c>
      <c r="N145" s="517" t="str">
        <f>IFERROR(__xludf.DUMMYFUNCTION("""COMPUTED_VALUE"""),"N/A")</f>
        <v>N/A</v>
      </c>
      <c r="O145" s="517"/>
      <c r="P145" s="517" t="str">
        <f>IFERROR(__xludf.DUMMYFUNCTION("""COMPUTED_VALUE"""),"N/A")</f>
        <v>N/A</v>
      </c>
    </row>
    <row r="146">
      <c r="B146" s="517" t="str">
        <f>IFERROR(__xludf.DUMMYFUNCTION("""COMPUTED_VALUE"""),"TMO")</f>
        <v>TMO</v>
      </c>
      <c r="C146" s="518" t="str">
        <f>IFERROR(__xludf.DUMMYFUNCTION("""COMPUTED_VALUE"""),"0840353939325")</f>
        <v>0840353939325</v>
      </c>
      <c r="D146" s="517" t="str">
        <f>IFERROR(__xludf.DUMMYFUNCTION("""COMPUTED_VALUE"""),"CLNR/FRU")</f>
        <v>CLNR/FRU</v>
      </c>
      <c r="E146" s="517" t="str">
        <f>IFERROR(__xludf.DUMMYFUNCTION("""COMPUTED_VALUE"""),"CLNRGA09882")</f>
        <v>CLNRGA09882</v>
      </c>
      <c r="F146" s="517" t="str">
        <f>IFERROR(__xludf.DUMMYFUNCTION("""COMPUTED_VALUE"""),"GLBW0")</f>
        <v>GLBW0</v>
      </c>
      <c r="G146" s="518" t="str">
        <f>IFERROR(__xludf.DUMMYFUNCTION("""COMPUTED_VALUE"""),"840353939325")</f>
        <v>840353939325</v>
      </c>
      <c r="H146" s="518" t="str">
        <f>IFERROR(__xludf.DUMMYFUNCTION("""COMPUTED_VALUE"""),"840353939325")</f>
        <v>840353939325</v>
      </c>
      <c r="I146" s="518" t="str">
        <f>IFERROR(__xludf.DUMMYFUNCTION("""COMPUTED_VALUE"""),"No")</f>
        <v>No</v>
      </c>
      <c r="J146" s="517" t="str">
        <f>IFERROR(__xludf.DUMMYFUNCTION("""COMPUTED_VALUE"""),"Bulk_30ct")</f>
        <v>Bulk_30ct</v>
      </c>
      <c r="K146" s="517" t="str">
        <f>IFERROR(__xludf.DUMMYFUNCTION("""COMPUTED_VALUE"""),"TMO Master Carton Label")</f>
        <v>TMO Master Carton Label</v>
      </c>
      <c r="L146" s="517" t="str">
        <f>IFERROR(__xludf.DUMMYFUNCTION("""COMPUTED_VALUE"""),"N/A")</f>
        <v>N/A</v>
      </c>
      <c r="N146" s="517" t="str">
        <f>IFERROR(__xludf.DUMMYFUNCTION("""COMPUTED_VALUE"""),"N/A")</f>
        <v>N/A</v>
      </c>
      <c r="O146" s="517"/>
      <c r="P146" s="517" t="str">
        <f>IFERROR(__xludf.DUMMYFUNCTION("""COMPUTED_VALUE"""),"N/A")</f>
        <v>N/A</v>
      </c>
    </row>
    <row r="147">
      <c r="B147" s="517" t="str">
        <f>IFERROR(__xludf.DUMMYFUNCTION("""COMPUTED_VALUE"""),"TMO")</f>
        <v>TMO</v>
      </c>
      <c r="C147" s="517" t="str">
        <f>IFERROR(__xludf.DUMMYFUNCTION("""COMPUTED_VALUE"""),"Cancel")</f>
        <v>Cancel</v>
      </c>
      <c r="D147" s="517" t="str">
        <f>IFERROR(__xludf.DUMMYFUNCTION("""COMPUTED_VALUE"""),"CLNR/FRU")</f>
        <v>CLNR/FRU</v>
      </c>
      <c r="E147" s="517" t="str">
        <f>IFERROR(__xludf.DUMMYFUNCTION("""COMPUTED_VALUE"""),"CLNRGA10253")</f>
        <v>CLNRGA10253</v>
      </c>
      <c r="F147" s="517" t="str">
        <f>IFERROR(__xludf.DUMMYFUNCTION("""COMPUTED_VALUE"""),"Cancel")</f>
        <v>Cancel</v>
      </c>
      <c r="G147" s="517" t="str">
        <f>IFERROR(__xludf.DUMMYFUNCTION("""COMPUTED_VALUE"""),"Cancel")</f>
        <v>Cancel</v>
      </c>
      <c r="H147" s="517" t="str">
        <f>IFERROR(__xludf.DUMMYFUNCTION("""COMPUTED_VALUE"""),"Cancel")</f>
        <v>Cancel</v>
      </c>
      <c r="I147" s="517" t="str">
        <f>IFERROR(__xludf.DUMMYFUNCTION("""COMPUTED_VALUE"""),"Cancel")</f>
        <v>Cancel</v>
      </c>
      <c r="J147" s="517" t="str">
        <f>IFERROR(__xludf.DUMMYFUNCTION("""COMPUTED_VALUE"""),"Cancel")</f>
        <v>Cancel</v>
      </c>
      <c r="K147" s="517" t="str">
        <f>IFERROR(__xludf.DUMMYFUNCTION("""COMPUTED_VALUE"""),"Cancel")</f>
        <v>Cancel</v>
      </c>
      <c r="L147" s="517" t="str">
        <f>IFERROR(__xludf.DUMMYFUNCTION("""COMPUTED_VALUE"""),"N/A")</f>
        <v>N/A</v>
      </c>
      <c r="N147" s="517" t="str">
        <f>IFERROR(__xludf.DUMMYFUNCTION("""COMPUTED_VALUE"""),"N/A")</f>
        <v>N/A</v>
      </c>
      <c r="O147" s="517"/>
      <c r="P147" s="517" t="str">
        <f>IFERROR(__xludf.DUMMYFUNCTION("""COMPUTED_VALUE"""),"Cancel")</f>
        <v>Cancel</v>
      </c>
    </row>
    <row r="148">
      <c r="B148" s="517" t="str">
        <f>IFERROR(__xludf.DUMMYFUNCTION("""COMPUTED_VALUE"""),"TMO")</f>
        <v>TMO</v>
      </c>
      <c r="C148" s="517" t="str">
        <f>IFERROR(__xludf.DUMMYFUNCTION("""COMPUTED_VALUE"""),"Cancel")</f>
        <v>Cancel</v>
      </c>
      <c r="D148" s="517" t="str">
        <f>IFERROR(__xludf.DUMMYFUNCTION("""COMPUTED_VALUE"""),"CLNR/FRU")</f>
        <v>CLNR/FRU</v>
      </c>
      <c r="E148" s="517" t="str">
        <f>IFERROR(__xludf.DUMMYFUNCTION("""COMPUTED_VALUE"""),"CLNRGA10254")</f>
        <v>CLNRGA10254</v>
      </c>
      <c r="F148" s="517" t="str">
        <f>IFERROR(__xludf.DUMMYFUNCTION("""COMPUTED_VALUE"""),"Cancel")</f>
        <v>Cancel</v>
      </c>
      <c r="G148" s="517" t="str">
        <f>IFERROR(__xludf.DUMMYFUNCTION("""COMPUTED_VALUE"""),"Cancel")</f>
        <v>Cancel</v>
      </c>
      <c r="H148" s="517" t="str">
        <f>IFERROR(__xludf.DUMMYFUNCTION("""COMPUTED_VALUE"""),"Cancel")</f>
        <v>Cancel</v>
      </c>
      <c r="I148" s="517" t="str">
        <f>IFERROR(__xludf.DUMMYFUNCTION("""COMPUTED_VALUE"""),"Cancel")</f>
        <v>Cancel</v>
      </c>
      <c r="J148" s="517" t="str">
        <f>IFERROR(__xludf.DUMMYFUNCTION("""COMPUTED_VALUE"""),"Cancel")</f>
        <v>Cancel</v>
      </c>
      <c r="K148" s="517" t="str">
        <f>IFERROR(__xludf.DUMMYFUNCTION("""COMPUTED_VALUE"""),"Cancel")</f>
        <v>Cancel</v>
      </c>
      <c r="L148" s="517" t="str">
        <f>IFERROR(__xludf.DUMMYFUNCTION("""COMPUTED_VALUE"""),"N/A")</f>
        <v>N/A</v>
      </c>
      <c r="N148" s="517" t="str">
        <f>IFERROR(__xludf.DUMMYFUNCTION("""COMPUTED_VALUE"""),"N/A")</f>
        <v>N/A</v>
      </c>
      <c r="O148" s="517"/>
      <c r="P148" s="517" t="str">
        <f>IFERROR(__xludf.DUMMYFUNCTION("""COMPUTED_VALUE"""),"Cancel")</f>
        <v>Cancel</v>
      </c>
    </row>
    <row r="149">
      <c r="B149" s="517" t="str">
        <f>IFERROR(__xludf.DUMMYFUNCTION("""COMPUTED_VALUE"""),"TMO")</f>
        <v>TMO</v>
      </c>
      <c r="C149" s="517" t="str">
        <f>IFERROR(__xludf.DUMMYFUNCTION("""COMPUTED_VALUE"""),"Cancel")</f>
        <v>Cancel</v>
      </c>
      <c r="D149" s="517" t="str">
        <f>IFERROR(__xludf.DUMMYFUNCTION("""COMPUTED_VALUE"""),"CLNR/FRU")</f>
        <v>CLNR/FRU</v>
      </c>
      <c r="E149" s="517" t="str">
        <f>IFERROR(__xludf.DUMMYFUNCTION("""COMPUTED_VALUE"""),"CLNRGA10255")</f>
        <v>CLNRGA10255</v>
      </c>
      <c r="F149" s="517" t="str">
        <f>IFERROR(__xludf.DUMMYFUNCTION("""COMPUTED_VALUE"""),"Cancel")</f>
        <v>Cancel</v>
      </c>
      <c r="G149" s="517" t="str">
        <f>IFERROR(__xludf.DUMMYFUNCTION("""COMPUTED_VALUE"""),"Cancel")</f>
        <v>Cancel</v>
      </c>
      <c r="H149" s="517" t="str">
        <f>IFERROR(__xludf.DUMMYFUNCTION("""COMPUTED_VALUE"""),"Cancel")</f>
        <v>Cancel</v>
      </c>
      <c r="I149" s="517" t="str">
        <f>IFERROR(__xludf.DUMMYFUNCTION("""COMPUTED_VALUE"""),"Cancel")</f>
        <v>Cancel</v>
      </c>
      <c r="J149" s="517" t="str">
        <f>IFERROR(__xludf.DUMMYFUNCTION("""COMPUTED_VALUE"""),"Cancel")</f>
        <v>Cancel</v>
      </c>
      <c r="K149" s="517" t="str">
        <f>IFERROR(__xludf.DUMMYFUNCTION("""COMPUTED_VALUE"""),"Cancel")</f>
        <v>Cancel</v>
      </c>
      <c r="L149" s="517" t="str">
        <f>IFERROR(__xludf.DUMMYFUNCTION("""COMPUTED_VALUE"""),"N/A")</f>
        <v>N/A</v>
      </c>
      <c r="N149" s="517" t="str">
        <f>IFERROR(__xludf.DUMMYFUNCTION("""COMPUTED_VALUE"""),"N/A")</f>
        <v>N/A</v>
      </c>
      <c r="O149" s="517"/>
      <c r="P149" s="517" t="str">
        <f>IFERROR(__xludf.DUMMYFUNCTION("""COMPUTED_VALUE"""),"Cancel")</f>
        <v>Cancel</v>
      </c>
    </row>
    <row r="150">
      <c r="B150" s="517" t="str">
        <f>IFERROR(__xludf.DUMMYFUNCTION("""COMPUTED_VALUE"""),"ATT")</f>
        <v>ATT</v>
      </c>
      <c r="C150" s="517" t="str">
        <f>IFERROR(__xludf.DUMMYFUNCTION("""COMPUTED_VALUE"""),"Cancel")</f>
        <v>Cancel</v>
      </c>
      <c r="D150" s="517" t="str">
        <f>IFERROR(__xludf.DUMMYFUNCTION("""COMPUTED_VALUE"""),"DEMO")</f>
        <v>DEMO</v>
      </c>
      <c r="E150" s="517" t="str">
        <f>IFERROR(__xludf.DUMMYFUNCTION("""COMPUTED_VALUE"""),"GA10773-US")</f>
        <v>GA10773-US</v>
      </c>
      <c r="F150" s="517" t="str">
        <f>IFERROR(__xludf.DUMMYFUNCTION("""COMPUTED_VALUE"""),"GLBW0")</f>
        <v>GLBW0</v>
      </c>
      <c r="G150" s="517"/>
      <c r="H150" s="518" t="str">
        <f>IFERROR(__xludf.DUMMYFUNCTION("""COMPUTED_VALUE"""),"840353928084")</f>
        <v>840353928084</v>
      </c>
      <c r="I150" s="518" t="str">
        <f>IFERROR(__xludf.DUMMYFUNCTION("""COMPUTED_VALUE"""),"No")</f>
        <v>No</v>
      </c>
      <c r="J150" s="517" t="str">
        <f>IFERROR(__xludf.DUMMYFUNCTION("""COMPUTED_VALUE"""),"Retail_10ct")</f>
        <v>Retail_10ct</v>
      </c>
      <c r="K150" s="517" t="str">
        <f>IFERROR(__xludf.DUMMYFUNCTION("""COMPUTED_VALUE"""),"ATT Master Carton Label")</f>
        <v>ATT Master Carton Label</v>
      </c>
      <c r="L150" s="519" t="str">
        <f>IFERROR(__xludf.DUMMYFUNCTION("""COMPUTED_VALUE"""),"G990-08482-11-01")</f>
        <v>G990-08482-11-01</v>
      </c>
      <c r="N150" s="519" t="str">
        <f>IFERROR(__xludf.DUMMYFUNCTION("""COMPUTED_VALUE"""),"G990-09763-00-01")</f>
        <v>G990-09763-00-01</v>
      </c>
      <c r="O150" s="517"/>
      <c r="P150" s="517" t="str">
        <f>IFERROR(__xludf.DUMMYFUNCTION("""COMPUTED_VALUE"""),"G990-09763-00-01
G990-09763-00-A")</f>
        <v>G990-09763-00-01
G990-09763-00-A</v>
      </c>
    </row>
    <row r="151">
      <c r="B151" s="517" t="str">
        <f>IFERROR(__xludf.DUMMYFUNCTION("""COMPUTED_VALUE"""),"ATT")</f>
        <v>ATT</v>
      </c>
      <c r="C151" s="517" t="str">
        <f>IFERROR(__xludf.DUMMYFUNCTION("""COMPUTED_VALUE"""),"Cancel")</f>
        <v>Cancel</v>
      </c>
      <c r="D151" s="517" t="str">
        <f>IFERROR(__xludf.DUMMYFUNCTION("""COMPUTED_VALUE"""),"DEMO")</f>
        <v>DEMO</v>
      </c>
      <c r="E151" s="517" t="str">
        <f>IFERROR(__xludf.DUMMYFUNCTION("""COMPUTED_VALUE"""),"GA10774-US")</f>
        <v>GA10774-US</v>
      </c>
      <c r="F151" s="517" t="str">
        <f>IFERROR(__xludf.DUMMYFUNCTION("""COMPUTED_VALUE"""),"GLBW0")</f>
        <v>GLBW0</v>
      </c>
      <c r="G151" s="517" t="str">
        <f>IFERROR(__xludf.DUMMYFUNCTION("""COMPUTED_VALUE"""),"D991E")</f>
        <v>D991E</v>
      </c>
      <c r="H151" s="518" t="str">
        <f>IFERROR(__xludf.DUMMYFUNCTION("""COMPUTED_VALUE"""),"840353928053")</f>
        <v>840353928053</v>
      </c>
      <c r="I151" s="518" t="str">
        <f>IFERROR(__xludf.DUMMYFUNCTION("""COMPUTED_VALUE"""),"No")</f>
        <v>No</v>
      </c>
      <c r="J151" s="517" t="str">
        <f>IFERROR(__xludf.DUMMYFUNCTION("""COMPUTED_VALUE"""),"Retail_10ct")</f>
        <v>Retail_10ct</v>
      </c>
      <c r="K151" s="517" t="str">
        <f>IFERROR(__xludf.DUMMYFUNCTION("""COMPUTED_VALUE"""),"ATT Master Carton Label")</f>
        <v>ATT Master Carton Label</v>
      </c>
      <c r="L151" s="519" t="str">
        <f>IFERROR(__xludf.DUMMYFUNCTION("""COMPUTED_VALUE"""),"G990-08482-41-01")</f>
        <v>G990-08482-41-01</v>
      </c>
      <c r="N151" s="519" t="str">
        <f>IFERROR(__xludf.DUMMYFUNCTION("""COMPUTED_VALUE"""),"G990-09764-00-01")</f>
        <v>G990-09764-00-01</v>
      </c>
      <c r="O151" s="517"/>
      <c r="P151" s="517" t="str">
        <f>IFERROR(__xludf.DUMMYFUNCTION("""COMPUTED_VALUE"""),"G990-09764-00-01
G990-09764-00-A")</f>
        <v>G990-09764-00-01
G990-09764-00-A</v>
      </c>
    </row>
    <row r="152">
      <c r="B152" s="517" t="str">
        <f>IFERROR(__xludf.DUMMYFUNCTION("""COMPUTED_VALUE"""),"TMO")</f>
        <v>TMO</v>
      </c>
      <c r="C152" s="517" t="str">
        <f>IFERROR(__xludf.DUMMYFUNCTION("""COMPUTED_VALUE"""),"Cancel")</f>
        <v>Cancel</v>
      </c>
      <c r="D152" s="517" t="str">
        <f>IFERROR(__xludf.DUMMYFUNCTION("""COMPUTED_VALUE"""),"DEMO")</f>
        <v>DEMO</v>
      </c>
      <c r="E152" s="517" t="str">
        <f>IFERROR(__xludf.DUMMYFUNCTION("""COMPUTED_VALUE"""),"GA10771-US")</f>
        <v>GA10771-US</v>
      </c>
      <c r="F152" s="517" t="str">
        <f>IFERROR(__xludf.DUMMYFUNCTION("""COMPUTED_VALUE"""),"GLBW0")</f>
        <v>GLBW0</v>
      </c>
      <c r="G152" s="518" t="str">
        <f>IFERROR(__xludf.DUMMYFUNCTION("""COMPUTED_VALUE"""),"840353928190")</f>
        <v>840353928190</v>
      </c>
      <c r="H152" s="518" t="str">
        <f>IFERROR(__xludf.DUMMYFUNCTION("""COMPUTED_VALUE"""),"840353928190")</f>
        <v>840353928190</v>
      </c>
      <c r="I152" s="518" t="str">
        <f>IFERROR(__xludf.DUMMYFUNCTION("""COMPUTED_VALUE"""),"No")</f>
        <v>No</v>
      </c>
      <c r="J152" s="517" t="str">
        <f>IFERROR(__xludf.DUMMYFUNCTION("""COMPUTED_VALUE"""),"Retail_10ct")</f>
        <v>Retail_10ct</v>
      </c>
      <c r="K152" s="517" t="str">
        <f>IFERROR(__xludf.DUMMYFUNCTION("""COMPUTED_VALUE"""),"TMO Master Carton Label")</f>
        <v>TMO Master Carton Label</v>
      </c>
      <c r="L152" s="519" t="str">
        <f>IFERROR(__xludf.DUMMYFUNCTION("""COMPUTED_VALUE"""),"G990-08482-11-01")</f>
        <v>G990-08482-11-01</v>
      </c>
      <c r="N152" s="519" t="str">
        <f>IFERROR(__xludf.DUMMYFUNCTION("""COMPUTED_VALUE"""),"G990-09761-00-02")</f>
        <v>G990-09761-00-02</v>
      </c>
      <c r="O152" s="517"/>
      <c r="P152" s="517" t="str">
        <f>IFERROR(__xludf.DUMMYFUNCTION("""COMPUTED_VALUE"""),"G990-09761-00-02
G990-09761-00-A")</f>
        <v>G990-09761-00-02
G990-09761-00-A</v>
      </c>
    </row>
    <row r="153">
      <c r="B153" s="517" t="str">
        <f>IFERROR(__xludf.DUMMYFUNCTION("""COMPUTED_VALUE"""),"TMO")</f>
        <v>TMO</v>
      </c>
      <c r="C153" s="517" t="str">
        <f>IFERROR(__xludf.DUMMYFUNCTION("""COMPUTED_VALUE"""),"Cancel")</f>
        <v>Cancel</v>
      </c>
      <c r="D153" s="517" t="str">
        <f>IFERROR(__xludf.DUMMYFUNCTION("""COMPUTED_VALUE"""),"DEMO")</f>
        <v>DEMO</v>
      </c>
      <c r="E153" s="517" t="str">
        <f>IFERROR(__xludf.DUMMYFUNCTION("""COMPUTED_VALUE"""),"GA10772-US")</f>
        <v>GA10772-US</v>
      </c>
      <c r="F153" s="517" t="str">
        <f>IFERROR(__xludf.DUMMYFUNCTION("""COMPUTED_VALUE"""),"GLBW0")</f>
        <v>GLBW0</v>
      </c>
      <c r="G153" s="518" t="str">
        <f>IFERROR(__xludf.DUMMYFUNCTION("""COMPUTED_VALUE"""),"840353928220")</f>
        <v>840353928220</v>
      </c>
      <c r="H153" s="518" t="str">
        <f>IFERROR(__xludf.DUMMYFUNCTION("""COMPUTED_VALUE"""),"840353928220")</f>
        <v>840353928220</v>
      </c>
      <c r="I153" s="518" t="str">
        <f>IFERROR(__xludf.DUMMYFUNCTION("""COMPUTED_VALUE"""),"No")</f>
        <v>No</v>
      </c>
      <c r="J153" s="517" t="str">
        <f>IFERROR(__xludf.DUMMYFUNCTION("""COMPUTED_VALUE"""),"Retail_10ct")</f>
        <v>Retail_10ct</v>
      </c>
      <c r="K153" s="517" t="str">
        <f>IFERROR(__xludf.DUMMYFUNCTION("""COMPUTED_VALUE"""),"TMO Master Carton Label")</f>
        <v>TMO Master Carton Label</v>
      </c>
      <c r="L153" s="519" t="str">
        <f>IFERROR(__xludf.DUMMYFUNCTION("""COMPUTED_VALUE"""),"G990-08482-41-01")</f>
        <v>G990-08482-41-01</v>
      </c>
      <c r="N153" s="519" t="str">
        <f>IFERROR(__xludf.DUMMYFUNCTION("""COMPUTED_VALUE"""),"G990-09762-00-02")</f>
        <v>G990-09762-00-02</v>
      </c>
      <c r="O153" s="517"/>
      <c r="P153" s="517" t="str">
        <f>IFERROR(__xludf.DUMMYFUNCTION("""COMPUTED_VALUE"""),"G990-09762-00-02
G990-09762-00-A")</f>
        <v>G990-09762-00-02
G990-09762-00-A</v>
      </c>
    </row>
    <row r="154">
      <c r="B154" s="517" t="str">
        <f>IFERROR(__xludf.DUMMYFUNCTION("""COMPUTED_VALUE"""),"VZW")</f>
        <v>VZW</v>
      </c>
      <c r="C154" s="518" t="str">
        <f>IFERROR(__xludf.DUMMYFUNCTION("""COMPUTED_VALUE"""),"0840353928343")</f>
        <v>0840353928343</v>
      </c>
      <c r="D154" s="517" t="str">
        <f>IFERROR(__xludf.DUMMYFUNCTION("""COMPUTED_VALUE"""),"NFU")</f>
        <v>NFU</v>
      </c>
      <c r="E154" s="517" t="str">
        <f>IFERROR(__xludf.DUMMYFUNCTION("""COMPUTED_VALUE"""),"GA10260")</f>
        <v>GA10260</v>
      </c>
      <c r="F154" s="517" t="str">
        <f>IFERROR(__xludf.DUMMYFUNCTION("""COMPUTED_VALUE"""),"GLBW0")</f>
        <v>GLBW0</v>
      </c>
      <c r="G154" s="517"/>
      <c r="H154" s="518" t="str">
        <f>IFERROR(__xludf.DUMMYFUNCTION("""COMPUTED_VALUE"""),"840353928343")</f>
        <v>840353928343</v>
      </c>
      <c r="I154" s="518" t="str">
        <f>IFERROR(__xludf.DUMMYFUNCTION("""COMPUTED_VALUE"""),"No")</f>
        <v>No</v>
      </c>
      <c r="J154" s="517" t="str">
        <f>IFERROR(__xludf.DUMMYFUNCTION("""COMPUTED_VALUE"""),"Retail_10ct")</f>
        <v>Retail_10ct</v>
      </c>
      <c r="K154" s="517" t="str">
        <f>IFERROR(__xludf.DUMMYFUNCTION("""COMPUTED_VALUE"""),"VZN Master Carton Label")</f>
        <v>VZN Master Carton Label</v>
      </c>
      <c r="L154" s="517"/>
      <c r="N154" s="517"/>
      <c r="O154" s="517"/>
      <c r="P154" s="517" t="str">
        <f>IFERROR(__xludf.DUMMYFUNCTION("""COMPUTED_VALUE"""),"")</f>
        <v/>
      </c>
    </row>
    <row r="155">
      <c r="B155" s="517" t="str">
        <f>IFERROR(__xludf.DUMMYFUNCTION("""COMPUTED_VALUE"""),"VZW")</f>
        <v>VZW</v>
      </c>
      <c r="C155" s="518" t="str">
        <f>IFERROR(__xludf.DUMMYFUNCTION("""COMPUTED_VALUE"""),"0840353928305")</f>
        <v>0840353928305</v>
      </c>
      <c r="D155" s="517" t="str">
        <f>IFERROR(__xludf.DUMMYFUNCTION("""COMPUTED_VALUE"""),"NFU")</f>
        <v>NFU</v>
      </c>
      <c r="E155" s="517" t="str">
        <f>IFERROR(__xludf.DUMMYFUNCTION("""COMPUTED_VALUE"""),"GA10261")</f>
        <v>GA10261</v>
      </c>
      <c r="F155" s="517" t="str">
        <f>IFERROR(__xludf.DUMMYFUNCTION("""COMPUTED_VALUE"""),"GLBW0")</f>
        <v>GLBW0</v>
      </c>
      <c r="G155" s="517"/>
      <c r="H155" s="518" t="str">
        <f>IFERROR(__xludf.DUMMYFUNCTION("""COMPUTED_VALUE"""),"840353928305")</f>
        <v>840353928305</v>
      </c>
      <c r="I155" s="518" t="str">
        <f>IFERROR(__xludf.DUMMYFUNCTION("""COMPUTED_VALUE"""),"No")</f>
        <v>No</v>
      </c>
      <c r="J155" s="517" t="str">
        <f>IFERROR(__xludf.DUMMYFUNCTION("""COMPUTED_VALUE"""),"Retail_10ct")</f>
        <v>Retail_10ct</v>
      </c>
      <c r="K155" s="517" t="str">
        <f>IFERROR(__xludf.DUMMYFUNCTION("""COMPUTED_VALUE"""),"VZN Master Carton Label")</f>
        <v>VZN Master Carton Label</v>
      </c>
      <c r="L155" s="517"/>
      <c r="N155" s="517"/>
      <c r="O155" s="517"/>
      <c r="P155" s="517" t="str">
        <f>IFERROR(__xludf.DUMMYFUNCTION("""COMPUTED_VALUE"""),"")</f>
        <v/>
      </c>
    </row>
    <row r="156">
      <c r="B156" s="517" t="str">
        <f>IFERROR(__xludf.DUMMYFUNCTION("""COMPUTED_VALUE"""),"VZW")</f>
        <v>VZW</v>
      </c>
      <c r="C156" s="518" t="str">
        <f>IFERROR(__xludf.DUMMYFUNCTION("""COMPUTED_VALUE"""),"0840353928312")</f>
        <v>0840353928312</v>
      </c>
      <c r="D156" s="517" t="str">
        <f>IFERROR(__xludf.DUMMYFUNCTION("""COMPUTED_VALUE"""),"NFU")</f>
        <v>NFU</v>
      </c>
      <c r="E156" s="517" t="str">
        <f>IFERROR(__xludf.DUMMYFUNCTION("""COMPUTED_VALUE"""),"GA10262")</f>
        <v>GA10262</v>
      </c>
      <c r="F156" s="517" t="str">
        <f>IFERROR(__xludf.DUMMYFUNCTION("""COMPUTED_VALUE"""),"GLBW0")</f>
        <v>GLBW0</v>
      </c>
      <c r="G156" s="517"/>
      <c r="H156" s="518" t="str">
        <f>IFERROR(__xludf.DUMMYFUNCTION("""COMPUTED_VALUE"""),"840353928312")</f>
        <v>840353928312</v>
      </c>
      <c r="I156" s="518" t="str">
        <f>IFERROR(__xludf.DUMMYFUNCTION("""COMPUTED_VALUE"""),"No")</f>
        <v>No</v>
      </c>
      <c r="J156" s="517" t="str">
        <f>IFERROR(__xludf.DUMMYFUNCTION("""COMPUTED_VALUE"""),"Retail_10ct")</f>
        <v>Retail_10ct</v>
      </c>
      <c r="K156" s="517" t="str">
        <f>IFERROR(__xludf.DUMMYFUNCTION("""COMPUTED_VALUE"""),"VZN Master Carton Label")</f>
        <v>VZN Master Carton Label</v>
      </c>
      <c r="L156" s="517"/>
      <c r="N156" s="517"/>
      <c r="O156" s="517"/>
      <c r="P156" s="517" t="str">
        <f>IFERROR(__xludf.DUMMYFUNCTION("""COMPUTED_VALUE"""),"")</f>
        <v/>
      </c>
    </row>
    <row r="157">
      <c r="B157" s="517" t="str">
        <f>IFERROR(__xludf.DUMMYFUNCTION("""COMPUTED_VALUE"""),"VZW")</f>
        <v>VZW</v>
      </c>
      <c r="C157" s="518" t="str">
        <f>IFERROR(__xludf.DUMMYFUNCTION("""COMPUTED_VALUE"""),"0840353928299")</f>
        <v>0840353928299</v>
      </c>
      <c r="D157" s="517" t="str">
        <f>IFERROR(__xludf.DUMMYFUNCTION("""COMPUTED_VALUE"""),"NFU")</f>
        <v>NFU</v>
      </c>
      <c r="E157" s="517" t="str">
        <f>IFERROR(__xludf.DUMMYFUNCTION("""COMPUTED_VALUE"""),"GA10263")</f>
        <v>GA10263</v>
      </c>
      <c r="F157" s="517" t="str">
        <f>IFERROR(__xludf.DUMMYFUNCTION("""COMPUTED_VALUE"""),"GLBW0")</f>
        <v>GLBW0</v>
      </c>
      <c r="G157" s="517"/>
      <c r="H157" s="518" t="str">
        <f>IFERROR(__xludf.DUMMYFUNCTION("""COMPUTED_VALUE"""),"840353928299")</f>
        <v>840353928299</v>
      </c>
      <c r="I157" s="518" t="str">
        <f>IFERROR(__xludf.DUMMYFUNCTION("""COMPUTED_VALUE"""),"No")</f>
        <v>No</v>
      </c>
      <c r="J157" s="517" t="str">
        <f>IFERROR(__xludf.DUMMYFUNCTION("""COMPUTED_VALUE"""),"Retail_10ct")</f>
        <v>Retail_10ct</v>
      </c>
      <c r="K157" s="517" t="str">
        <f>IFERROR(__xludf.DUMMYFUNCTION("""COMPUTED_VALUE"""),"VZN Master Carton Label")</f>
        <v>VZN Master Carton Label</v>
      </c>
      <c r="L157" s="517"/>
      <c r="N157" s="517"/>
      <c r="O157" s="517"/>
      <c r="P157" s="517" t="str">
        <f>IFERROR(__xludf.DUMMYFUNCTION("""COMPUTED_VALUE"""),"")</f>
        <v/>
      </c>
    </row>
    <row r="158">
      <c r="B158" s="517" t="str">
        <f>IFERROR(__xludf.DUMMYFUNCTION("""COMPUTED_VALUE"""),"ATT")</f>
        <v>ATT</v>
      </c>
      <c r="C158" s="518" t="str">
        <f>IFERROR(__xludf.DUMMYFUNCTION("""COMPUTED_VALUE"""),"0840353928107")</f>
        <v>0840353928107</v>
      </c>
      <c r="D158" s="517" t="str">
        <f>IFERROR(__xludf.DUMMYFUNCTION("""COMPUTED_VALUE"""),"NFU")</f>
        <v>NFU</v>
      </c>
      <c r="E158" s="517" t="str">
        <f>IFERROR(__xludf.DUMMYFUNCTION("""COMPUTED_VALUE"""),"GA10264")</f>
        <v>GA10264</v>
      </c>
      <c r="F158" s="517" t="str">
        <f>IFERROR(__xludf.DUMMYFUNCTION("""COMPUTED_VALUE"""),"GLBW0")</f>
        <v>GLBW0</v>
      </c>
      <c r="G158" s="517"/>
      <c r="H158" s="518" t="str">
        <f>IFERROR(__xludf.DUMMYFUNCTION("""COMPUTED_VALUE"""),"840353928107")</f>
        <v>840353928107</v>
      </c>
      <c r="I158" s="518" t="str">
        <f>IFERROR(__xludf.DUMMYFUNCTION("""COMPUTED_VALUE"""),"No")</f>
        <v>No</v>
      </c>
      <c r="J158" s="517" t="str">
        <f>IFERROR(__xludf.DUMMYFUNCTION("""COMPUTED_VALUE"""),"Retail_10ct")</f>
        <v>Retail_10ct</v>
      </c>
      <c r="K158" s="517" t="str">
        <f>IFERROR(__xludf.DUMMYFUNCTION("""COMPUTED_VALUE"""),"ATT Master Carton Label")</f>
        <v>ATT Master Carton Label</v>
      </c>
      <c r="L158" s="517"/>
      <c r="N158" s="517"/>
      <c r="O158" s="517"/>
      <c r="P158" s="517" t="str">
        <f>IFERROR(__xludf.DUMMYFUNCTION("""COMPUTED_VALUE"""),"")</f>
        <v/>
      </c>
    </row>
    <row r="159">
      <c r="B159" s="517" t="str">
        <f>IFERROR(__xludf.DUMMYFUNCTION("""COMPUTED_VALUE"""),"ATT")</f>
        <v>ATT</v>
      </c>
      <c r="C159" s="517" t="str">
        <f>IFERROR(__xludf.DUMMYFUNCTION("""COMPUTED_VALUE"""),"Cancel")</f>
        <v>Cancel</v>
      </c>
      <c r="D159" s="517" t="str">
        <f>IFERROR(__xludf.DUMMYFUNCTION("""COMPUTED_VALUE"""),"NFU")</f>
        <v>NFU</v>
      </c>
      <c r="E159" s="517" t="str">
        <f>IFERROR(__xludf.DUMMYFUNCTION("""COMPUTED_VALUE"""),"GA10265")</f>
        <v>GA10265</v>
      </c>
      <c r="F159" s="517" t="str">
        <f>IFERROR(__xludf.DUMMYFUNCTION("""COMPUTED_VALUE"""),"Cancel")</f>
        <v>Cancel</v>
      </c>
      <c r="G159" s="517" t="str">
        <f>IFERROR(__xludf.DUMMYFUNCTION("""COMPUTED_VALUE"""),"Cancel")</f>
        <v>Cancel</v>
      </c>
      <c r="H159" s="517" t="str">
        <f>IFERROR(__xludf.DUMMYFUNCTION("""COMPUTED_VALUE"""),"Cancel")</f>
        <v>Cancel</v>
      </c>
      <c r="I159" s="517" t="str">
        <f>IFERROR(__xludf.DUMMYFUNCTION("""COMPUTED_VALUE"""),"Cancel")</f>
        <v>Cancel</v>
      </c>
      <c r="J159" s="517" t="str">
        <f>IFERROR(__xludf.DUMMYFUNCTION("""COMPUTED_VALUE"""),"Cancel")</f>
        <v>Cancel</v>
      </c>
      <c r="K159" s="517" t="str">
        <f>IFERROR(__xludf.DUMMYFUNCTION("""COMPUTED_VALUE"""),"Cancel")</f>
        <v>Cancel</v>
      </c>
      <c r="L159" s="517"/>
      <c r="N159" s="517"/>
      <c r="O159" s="517"/>
      <c r="P159" s="517" t="str">
        <f>IFERROR(__xludf.DUMMYFUNCTION("""COMPUTED_VALUE"""),"Cancel")</f>
        <v>Cancel</v>
      </c>
    </row>
    <row r="160">
      <c r="B160" s="517" t="str">
        <f>IFERROR(__xludf.DUMMYFUNCTION("""COMPUTED_VALUE"""),"ATT")</f>
        <v>ATT</v>
      </c>
      <c r="C160" s="517" t="str">
        <f>IFERROR(__xludf.DUMMYFUNCTION("""COMPUTED_VALUE"""),"Cancel")</f>
        <v>Cancel</v>
      </c>
      <c r="D160" s="517" t="str">
        <f>IFERROR(__xludf.DUMMYFUNCTION("""COMPUTED_VALUE"""),"NFU")</f>
        <v>NFU</v>
      </c>
      <c r="E160" s="517" t="str">
        <f>IFERROR(__xludf.DUMMYFUNCTION("""COMPUTED_VALUE"""),"GA10266")</f>
        <v>GA10266</v>
      </c>
      <c r="F160" s="517" t="str">
        <f>IFERROR(__xludf.DUMMYFUNCTION("""COMPUTED_VALUE"""),"Cancel")</f>
        <v>Cancel</v>
      </c>
      <c r="G160" s="517" t="str">
        <f>IFERROR(__xludf.DUMMYFUNCTION("""COMPUTED_VALUE"""),"Cancel")</f>
        <v>Cancel</v>
      </c>
      <c r="H160" s="517" t="str">
        <f>IFERROR(__xludf.DUMMYFUNCTION("""COMPUTED_VALUE"""),"Cancel")</f>
        <v>Cancel</v>
      </c>
      <c r="I160" s="517" t="str">
        <f>IFERROR(__xludf.DUMMYFUNCTION("""COMPUTED_VALUE"""),"Cancel")</f>
        <v>Cancel</v>
      </c>
      <c r="J160" s="517" t="str">
        <f>IFERROR(__xludf.DUMMYFUNCTION("""COMPUTED_VALUE"""),"Cancel")</f>
        <v>Cancel</v>
      </c>
      <c r="K160" s="517" t="str">
        <f>IFERROR(__xludf.DUMMYFUNCTION("""COMPUTED_VALUE"""),"Cancel")</f>
        <v>Cancel</v>
      </c>
      <c r="L160" s="517"/>
      <c r="N160" s="517"/>
      <c r="O160" s="517"/>
      <c r="P160" s="517" t="str">
        <f>IFERROR(__xludf.DUMMYFUNCTION("""COMPUTED_VALUE"""),"Cancel")</f>
        <v>Cancel</v>
      </c>
    </row>
    <row r="161">
      <c r="B161" s="517" t="str">
        <f>IFERROR(__xludf.DUMMYFUNCTION("""COMPUTED_VALUE"""),"ATT")</f>
        <v>ATT</v>
      </c>
      <c r="C161" s="518" t="str">
        <f>IFERROR(__xludf.DUMMYFUNCTION("""COMPUTED_VALUE"""),"0840353928091")</f>
        <v>0840353928091</v>
      </c>
      <c r="D161" s="517" t="str">
        <f>IFERROR(__xludf.DUMMYFUNCTION("""COMPUTED_VALUE"""),"NFU")</f>
        <v>NFU</v>
      </c>
      <c r="E161" s="517" t="str">
        <f>IFERROR(__xludf.DUMMYFUNCTION("""COMPUTED_VALUE"""),"GA10267")</f>
        <v>GA10267</v>
      </c>
      <c r="F161" s="517" t="str">
        <f>IFERROR(__xludf.DUMMYFUNCTION("""COMPUTED_VALUE"""),"GLBW0")</f>
        <v>GLBW0</v>
      </c>
      <c r="G161" s="517"/>
      <c r="H161" s="518" t="str">
        <f>IFERROR(__xludf.DUMMYFUNCTION("""COMPUTED_VALUE"""),"840353928091")</f>
        <v>840353928091</v>
      </c>
      <c r="I161" s="518" t="str">
        <f>IFERROR(__xludf.DUMMYFUNCTION("""COMPUTED_VALUE"""),"No")</f>
        <v>No</v>
      </c>
      <c r="J161" s="517" t="str">
        <f>IFERROR(__xludf.DUMMYFUNCTION("""COMPUTED_VALUE"""),"Retail_10ct")</f>
        <v>Retail_10ct</v>
      </c>
      <c r="K161" s="517" t="str">
        <f>IFERROR(__xludf.DUMMYFUNCTION("""COMPUTED_VALUE"""),"ATT Master Carton Label")</f>
        <v>ATT Master Carton Label</v>
      </c>
      <c r="L161" s="517"/>
      <c r="N161" s="517"/>
      <c r="O161" s="517"/>
      <c r="P161" s="517" t="str">
        <f>IFERROR(__xludf.DUMMYFUNCTION("""COMPUTED_VALUE"""),"")</f>
        <v/>
      </c>
    </row>
    <row r="162">
      <c r="B162" s="517" t="str">
        <f>IFERROR(__xludf.DUMMYFUNCTION("""COMPUTED_VALUE"""),"TMO")</f>
        <v>TMO</v>
      </c>
      <c r="C162" s="518" t="str">
        <f>IFERROR(__xludf.DUMMYFUNCTION("""COMPUTED_VALUE"""),"0840353928206")</f>
        <v>0840353928206</v>
      </c>
      <c r="D162" s="517" t="str">
        <f>IFERROR(__xludf.DUMMYFUNCTION("""COMPUTED_VALUE"""),"NFU")</f>
        <v>NFU</v>
      </c>
      <c r="E162" s="517" t="str">
        <f>IFERROR(__xludf.DUMMYFUNCTION("""COMPUTED_VALUE"""),"GA10256")</f>
        <v>GA10256</v>
      </c>
      <c r="F162" s="517" t="str">
        <f>IFERROR(__xludf.DUMMYFUNCTION("""COMPUTED_VALUE"""),"GLBW0")</f>
        <v>GLBW0</v>
      </c>
      <c r="G162" s="518" t="str">
        <f>IFERROR(__xludf.DUMMYFUNCTION("""COMPUTED_VALUE"""),"TBD")</f>
        <v>TBD</v>
      </c>
      <c r="H162" s="518" t="str">
        <f>IFERROR(__xludf.DUMMYFUNCTION("""COMPUTED_VALUE"""),"840353928206")</f>
        <v>840353928206</v>
      </c>
      <c r="I162" s="518" t="str">
        <f>IFERROR(__xludf.DUMMYFUNCTION("""COMPUTED_VALUE"""),"No")</f>
        <v>No</v>
      </c>
      <c r="J162" s="517" t="str">
        <f>IFERROR(__xludf.DUMMYFUNCTION("""COMPUTED_VALUE"""),"Retail_10ct")</f>
        <v>Retail_10ct</v>
      </c>
      <c r="K162" s="517" t="str">
        <f>IFERROR(__xludf.DUMMYFUNCTION("""COMPUTED_VALUE"""),"TMO Master Carton Label")</f>
        <v>TMO Master Carton Label</v>
      </c>
      <c r="L162" s="517"/>
      <c r="N162" s="517"/>
      <c r="O162" s="517"/>
      <c r="P162" s="517" t="str">
        <f>IFERROR(__xludf.DUMMYFUNCTION("""COMPUTED_VALUE"""),"")</f>
        <v/>
      </c>
    </row>
    <row r="163">
      <c r="B163" s="517" t="str">
        <f>IFERROR(__xludf.DUMMYFUNCTION("""COMPUTED_VALUE"""),"TMO")</f>
        <v>TMO</v>
      </c>
      <c r="C163" s="517" t="str">
        <f>IFERROR(__xludf.DUMMYFUNCTION("""COMPUTED_VALUE"""),"Cancel")</f>
        <v>Cancel</v>
      </c>
      <c r="D163" s="517" t="str">
        <f>IFERROR(__xludf.DUMMYFUNCTION("""COMPUTED_VALUE"""),"NFU")</f>
        <v>NFU</v>
      </c>
      <c r="E163" s="517" t="str">
        <f>IFERROR(__xludf.DUMMYFUNCTION("""COMPUTED_VALUE"""),"GA10257")</f>
        <v>GA10257</v>
      </c>
      <c r="F163" s="517" t="str">
        <f>IFERROR(__xludf.DUMMYFUNCTION("""COMPUTED_VALUE"""),"Cancel")</f>
        <v>Cancel</v>
      </c>
      <c r="G163" s="517" t="str">
        <f>IFERROR(__xludf.DUMMYFUNCTION("""COMPUTED_VALUE"""),"Cancel")</f>
        <v>Cancel</v>
      </c>
      <c r="H163" s="517" t="str">
        <f>IFERROR(__xludf.DUMMYFUNCTION("""COMPUTED_VALUE"""),"Cancel")</f>
        <v>Cancel</v>
      </c>
      <c r="I163" s="517" t="str">
        <f>IFERROR(__xludf.DUMMYFUNCTION("""COMPUTED_VALUE"""),"Cancel")</f>
        <v>Cancel</v>
      </c>
      <c r="J163" s="517" t="str">
        <f>IFERROR(__xludf.DUMMYFUNCTION("""COMPUTED_VALUE"""),"Cancel")</f>
        <v>Cancel</v>
      </c>
      <c r="K163" s="517" t="str">
        <f>IFERROR(__xludf.DUMMYFUNCTION("""COMPUTED_VALUE"""),"Cancel")</f>
        <v>Cancel</v>
      </c>
      <c r="L163" s="517"/>
      <c r="N163" s="517"/>
      <c r="O163" s="517"/>
      <c r="P163" s="517" t="str">
        <f>IFERROR(__xludf.DUMMYFUNCTION("""COMPUTED_VALUE"""),"Cancel")</f>
        <v>Cancel</v>
      </c>
    </row>
    <row r="164">
      <c r="B164" s="517" t="str">
        <f>IFERROR(__xludf.DUMMYFUNCTION("""COMPUTED_VALUE"""),"TMO")</f>
        <v>TMO</v>
      </c>
      <c r="C164" s="517" t="str">
        <f>IFERROR(__xludf.DUMMYFUNCTION("""COMPUTED_VALUE"""),"Cancel")</f>
        <v>Cancel</v>
      </c>
      <c r="D164" s="517" t="str">
        <f>IFERROR(__xludf.DUMMYFUNCTION("""COMPUTED_VALUE"""),"NFU")</f>
        <v>NFU</v>
      </c>
      <c r="E164" s="517" t="str">
        <f>IFERROR(__xludf.DUMMYFUNCTION("""COMPUTED_VALUE"""),"GA10258")</f>
        <v>GA10258</v>
      </c>
      <c r="F164" s="517" t="str">
        <f>IFERROR(__xludf.DUMMYFUNCTION("""COMPUTED_VALUE"""),"Cancel")</f>
        <v>Cancel</v>
      </c>
      <c r="G164" s="517" t="str">
        <f>IFERROR(__xludf.DUMMYFUNCTION("""COMPUTED_VALUE"""),"Cancel")</f>
        <v>Cancel</v>
      </c>
      <c r="H164" s="517" t="str">
        <f>IFERROR(__xludf.DUMMYFUNCTION("""COMPUTED_VALUE"""),"Cancel")</f>
        <v>Cancel</v>
      </c>
      <c r="I164" s="517" t="str">
        <f>IFERROR(__xludf.DUMMYFUNCTION("""COMPUTED_VALUE"""),"Cancel")</f>
        <v>Cancel</v>
      </c>
      <c r="J164" s="517" t="str">
        <f>IFERROR(__xludf.DUMMYFUNCTION("""COMPUTED_VALUE"""),"Cancel")</f>
        <v>Cancel</v>
      </c>
      <c r="K164" s="517" t="str">
        <f>IFERROR(__xludf.DUMMYFUNCTION("""COMPUTED_VALUE"""),"Cancel")</f>
        <v>Cancel</v>
      </c>
      <c r="L164" s="517"/>
      <c r="N164" s="517"/>
      <c r="O164" s="517"/>
      <c r="P164" s="517" t="str">
        <f>IFERROR(__xludf.DUMMYFUNCTION("""COMPUTED_VALUE"""),"Cancel")</f>
        <v>Cancel</v>
      </c>
    </row>
    <row r="165">
      <c r="B165" s="517" t="str">
        <f>IFERROR(__xludf.DUMMYFUNCTION("""COMPUTED_VALUE"""),"TMO")</f>
        <v>TMO</v>
      </c>
      <c r="C165" s="518" t="str">
        <f>IFERROR(__xludf.DUMMYFUNCTION("""COMPUTED_VALUE"""),"0840353928176")</f>
        <v>0840353928176</v>
      </c>
      <c r="D165" s="517" t="str">
        <f>IFERROR(__xludf.DUMMYFUNCTION("""COMPUTED_VALUE"""),"NFU")</f>
        <v>NFU</v>
      </c>
      <c r="E165" s="517" t="str">
        <f>IFERROR(__xludf.DUMMYFUNCTION("""COMPUTED_VALUE"""),"GA10259")</f>
        <v>GA10259</v>
      </c>
      <c r="F165" s="517" t="str">
        <f>IFERROR(__xludf.DUMMYFUNCTION("""COMPUTED_VALUE"""),"GLBW0")</f>
        <v>GLBW0</v>
      </c>
      <c r="G165" s="518" t="str">
        <f>IFERROR(__xludf.DUMMYFUNCTION("""COMPUTED_VALUE"""),"TBD")</f>
        <v>TBD</v>
      </c>
      <c r="H165" s="518" t="str">
        <f>IFERROR(__xludf.DUMMYFUNCTION("""COMPUTED_VALUE"""),"840353928176")</f>
        <v>840353928176</v>
      </c>
      <c r="I165" s="518" t="str">
        <f>IFERROR(__xludf.DUMMYFUNCTION("""COMPUTED_VALUE"""),"No")</f>
        <v>No</v>
      </c>
      <c r="J165" s="517" t="str">
        <f>IFERROR(__xludf.DUMMYFUNCTION("""COMPUTED_VALUE"""),"Retail_10ct")</f>
        <v>Retail_10ct</v>
      </c>
      <c r="K165" s="517" t="str">
        <f>IFERROR(__xludf.DUMMYFUNCTION("""COMPUTED_VALUE"""),"TMO Master Carton Label")</f>
        <v>TMO Master Carton Label</v>
      </c>
      <c r="L165" s="517"/>
      <c r="N165" s="517"/>
      <c r="O165" s="517"/>
      <c r="P165" s="517" t="str">
        <f>IFERROR(__xludf.DUMMYFUNCTION("""COMPUTED_VALUE"""),"")</f>
        <v/>
      </c>
    </row>
    <row r="166">
      <c r="B166" s="517" t="str">
        <f>IFERROR(__xludf.DUMMYFUNCTION("""COMPUTED_VALUE"""),"VZW")</f>
        <v>VZW</v>
      </c>
      <c r="C166" s="518" t="str">
        <f>IFERROR(__xludf.DUMMYFUNCTION("""COMPUTED_VALUE"""),"0840353939707")</f>
        <v>0840353939707</v>
      </c>
      <c r="D166" s="517" t="str">
        <f>IFERROR(__xludf.DUMMYFUNCTION("""COMPUTED_VALUE"""),"Refurbished")</f>
        <v>Refurbished</v>
      </c>
      <c r="E166" s="517" t="str">
        <f>IFERROR(__xludf.DUMMYFUNCTION("""COMPUTED_VALUE"""),"GA09425-US-RA")</f>
        <v>GA09425-US-RA</v>
      </c>
      <c r="F166" s="517" t="str">
        <f>IFERROR(__xludf.DUMMYFUNCTION("""COMPUTED_VALUE"""),"GLBW0")</f>
        <v>GLBW0</v>
      </c>
      <c r="G166" s="517"/>
      <c r="H166" s="518" t="str">
        <f>IFERROR(__xludf.DUMMYFUNCTION("""COMPUTED_VALUE"""),"840353939707")</f>
        <v>840353939707</v>
      </c>
      <c r="I166" s="518" t="str">
        <f>IFERROR(__xludf.DUMMYFUNCTION("""COMPUTED_VALUE"""),"No")</f>
        <v>No</v>
      </c>
      <c r="J166" s="517" t="str">
        <f>IFERROR(__xludf.DUMMYFUNCTION("""COMPUTED_VALUE"""),"Retail_10ct")</f>
        <v>Retail_10ct</v>
      </c>
      <c r="K166" s="517" t="str">
        <f>IFERROR(__xludf.DUMMYFUNCTION("""COMPUTED_VALUE"""),"VZN Master Carton Label")</f>
        <v>VZN Master Carton Label</v>
      </c>
      <c r="L166" s="517"/>
      <c r="N166" s="517"/>
      <c r="O166" s="517"/>
      <c r="P166" s="517" t="str">
        <f>IFERROR(__xludf.DUMMYFUNCTION("""COMPUTED_VALUE"""),"")</f>
        <v/>
      </c>
    </row>
    <row r="167">
      <c r="B167" s="517" t="str">
        <f>IFERROR(__xludf.DUMMYFUNCTION("""COMPUTED_VALUE"""),"VZW")</f>
        <v>VZW</v>
      </c>
      <c r="C167" s="518" t="str">
        <f>IFERROR(__xludf.DUMMYFUNCTION("""COMPUTED_VALUE"""),"0840353940048")</f>
        <v>0840353940048</v>
      </c>
      <c r="D167" s="517" t="str">
        <f>IFERROR(__xludf.DUMMYFUNCTION("""COMPUTED_VALUE"""),"Refurbished")</f>
        <v>Refurbished</v>
      </c>
      <c r="E167" s="517" t="str">
        <f>IFERROR(__xludf.DUMMYFUNCTION("""COMPUTED_VALUE"""),"GA10238-US-RA")</f>
        <v>GA10238-US-RA</v>
      </c>
      <c r="F167" s="517" t="str">
        <f>IFERROR(__xludf.DUMMYFUNCTION("""COMPUTED_VALUE"""),"GLBW0")</f>
        <v>GLBW0</v>
      </c>
      <c r="G167" s="517"/>
      <c r="H167" s="518" t="str">
        <f>IFERROR(__xludf.DUMMYFUNCTION("""COMPUTED_VALUE"""),"840353940048")</f>
        <v>840353940048</v>
      </c>
      <c r="I167" s="518" t="str">
        <f>IFERROR(__xludf.DUMMYFUNCTION("""COMPUTED_VALUE"""),"No")</f>
        <v>No</v>
      </c>
      <c r="J167" s="517" t="str">
        <f>IFERROR(__xludf.DUMMYFUNCTION("""COMPUTED_VALUE"""),"Retail_10ct")</f>
        <v>Retail_10ct</v>
      </c>
      <c r="K167" s="517" t="str">
        <f>IFERROR(__xludf.DUMMYFUNCTION("""COMPUTED_VALUE"""),"VZN Master Carton Label")</f>
        <v>VZN Master Carton Label</v>
      </c>
      <c r="L167" s="517"/>
      <c r="N167" s="517"/>
      <c r="O167" s="517"/>
      <c r="P167" s="517" t="str">
        <f>IFERROR(__xludf.DUMMYFUNCTION("""COMPUTED_VALUE"""),"")</f>
        <v/>
      </c>
    </row>
    <row r="168">
      <c r="B168" s="517" t="str">
        <f>IFERROR(__xludf.DUMMYFUNCTION("""COMPUTED_VALUE"""),"VZW")</f>
        <v>VZW</v>
      </c>
      <c r="C168" s="518" t="str">
        <f>IFERROR(__xludf.DUMMYFUNCTION("""COMPUTED_VALUE"""),"0840353940055")</f>
        <v>0840353940055</v>
      </c>
      <c r="D168" s="517" t="str">
        <f>IFERROR(__xludf.DUMMYFUNCTION("""COMPUTED_VALUE"""),"Refurbished")</f>
        <v>Refurbished</v>
      </c>
      <c r="E168" s="517" t="str">
        <f>IFERROR(__xludf.DUMMYFUNCTION("""COMPUTED_VALUE"""),"GA10239-US-RA")</f>
        <v>GA10239-US-RA</v>
      </c>
      <c r="F168" s="517" t="str">
        <f>IFERROR(__xludf.DUMMYFUNCTION("""COMPUTED_VALUE"""),"GLBW0")</f>
        <v>GLBW0</v>
      </c>
      <c r="G168" s="517"/>
      <c r="H168" s="518" t="str">
        <f>IFERROR(__xludf.DUMMYFUNCTION("""COMPUTED_VALUE"""),"840353940055")</f>
        <v>840353940055</v>
      </c>
      <c r="I168" s="518" t="str">
        <f>IFERROR(__xludf.DUMMYFUNCTION("""COMPUTED_VALUE"""),"No")</f>
        <v>No</v>
      </c>
      <c r="J168" s="517" t="str">
        <f>IFERROR(__xludf.DUMMYFUNCTION("""COMPUTED_VALUE"""),"Retail_10ct")</f>
        <v>Retail_10ct</v>
      </c>
      <c r="K168" s="517" t="str">
        <f>IFERROR(__xludf.DUMMYFUNCTION("""COMPUTED_VALUE"""),"VZN Master Carton Label")</f>
        <v>VZN Master Carton Label</v>
      </c>
      <c r="L168" s="517"/>
      <c r="N168" s="517"/>
      <c r="O168" s="517"/>
      <c r="P168" s="517" t="str">
        <f>IFERROR(__xludf.DUMMYFUNCTION("""COMPUTED_VALUE"""),"")</f>
        <v/>
      </c>
    </row>
    <row r="169">
      <c r="B169" s="517" t="str">
        <f>IFERROR(__xludf.DUMMYFUNCTION("""COMPUTED_VALUE"""),"VZW")</f>
        <v>VZW</v>
      </c>
      <c r="C169" s="518" t="str">
        <f>IFERROR(__xludf.DUMMYFUNCTION("""COMPUTED_VALUE"""),"0840353940062")</f>
        <v>0840353940062</v>
      </c>
      <c r="D169" s="517" t="str">
        <f>IFERROR(__xludf.DUMMYFUNCTION("""COMPUTED_VALUE"""),"Refurbished")</f>
        <v>Refurbished</v>
      </c>
      <c r="E169" s="517" t="str">
        <f>IFERROR(__xludf.DUMMYFUNCTION("""COMPUTED_VALUE"""),"GA10240-US-RA")</f>
        <v>GA10240-US-RA</v>
      </c>
      <c r="F169" s="517" t="str">
        <f>IFERROR(__xludf.DUMMYFUNCTION("""COMPUTED_VALUE"""),"GLBW0")</f>
        <v>GLBW0</v>
      </c>
      <c r="G169" s="517"/>
      <c r="H169" s="518" t="str">
        <f>IFERROR(__xludf.DUMMYFUNCTION("""COMPUTED_VALUE"""),"840353940062")</f>
        <v>840353940062</v>
      </c>
      <c r="I169" s="518" t="str">
        <f>IFERROR(__xludf.DUMMYFUNCTION("""COMPUTED_VALUE"""),"No")</f>
        <v>No</v>
      </c>
      <c r="J169" s="517" t="str">
        <f>IFERROR(__xludf.DUMMYFUNCTION("""COMPUTED_VALUE"""),"Retail_10ct")</f>
        <v>Retail_10ct</v>
      </c>
      <c r="K169" s="517" t="str">
        <f>IFERROR(__xludf.DUMMYFUNCTION("""COMPUTED_VALUE"""),"VZN Master Carton Label")</f>
        <v>VZN Master Carton Label</v>
      </c>
      <c r="L169" s="517"/>
      <c r="N169" s="517"/>
      <c r="O169" s="517"/>
      <c r="P169" s="517" t="str">
        <f>IFERROR(__xludf.DUMMYFUNCTION("""COMPUTED_VALUE"""),"")</f>
        <v/>
      </c>
    </row>
    <row r="170">
      <c r="B170" s="517" t="str">
        <f>IFERROR(__xludf.DUMMYFUNCTION("""COMPUTED_VALUE"""),"VZW")</f>
        <v>VZW</v>
      </c>
      <c r="C170" s="518" t="str">
        <f>IFERROR(__xludf.DUMMYFUNCTION("""COMPUTED_VALUE"""),"0840353939790")</f>
        <v>0840353939790</v>
      </c>
      <c r="D170" s="517" t="str">
        <f>IFERROR(__xludf.DUMMYFUNCTION("""COMPUTED_VALUE"""),"Refurbished")</f>
        <v>Refurbished</v>
      </c>
      <c r="E170" s="517" t="str">
        <f>IFERROR(__xludf.DUMMYFUNCTION("""COMPUTED_VALUE"""),"GA09880-US-RA")</f>
        <v>GA09880-US-RA</v>
      </c>
      <c r="F170" s="517" t="str">
        <f>IFERROR(__xludf.DUMMYFUNCTION("""COMPUTED_VALUE"""),"GLBW0")</f>
        <v>GLBW0</v>
      </c>
      <c r="G170" s="517"/>
      <c r="H170" s="518" t="str">
        <f>IFERROR(__xludf.DUMMYFUNCTION("""COMPUTED_VALUE"""),"840353939790")</f>
        <v>840353939790</v>
      </c>
      <c r="I170" s="518" t="str">
        <f>IFERROR(__xludf.DUMMYFUNCTION("""COMPUTED_VALUE"""),"No")</f>
        <v>No</v>
      </c>
      <c r="J170" s="517" t="str">
        <f>IFERROR(__xludf.DUMMYFUNCTION("""COMPUTED_VALUE"""),"Retail_10ct")</f>
        <v>Retail_10ct</v>
      </c>
      <c r="K170" s="517" t="str">
        <f>IFERROR(__xludf.DUMMYFUNCTION("""COMPUTED_VALUE"""),"VZN Master Carton Label")</f>
        <v>VZN Master Carton Label</v>
      </c>
      <c r="L170" s="517"/>
      <c r="N170" s="517"/>
      <c r="O170" s="517"/>
      <c r="P170" s="517" t="str">
        <f>IFERROR(__xludf.DUMMYFUNCTION("""COMPUTED_VALUE"""),"")</f>
        <v/>
      </c>
    </row>
    <row r="171">
      <c r="B171" s="517" t="str">
        <f>IFERROR(__xludf.DUMMYFUNCTION("""COMPUTED_VALUE"""),"VZW")</f>
        <v>VZW</v>
      </c>
      <c r="C171" s="517" t="str">
        <f>IFERROR(__xludf.DUMMYFUNCTION("""COMPUTED_VALUE"""),"Cancel")</f>
        <v>Cancel</v>
      </c>
      <c r="D171" s="517" t="str">
        <f>IFERROR(__xludf.DUMMYFUNCTION("""COMPUTED_VALUE"""),"Refurbished")</f>
        <v>Refurbished</v>
      </c>
      <c r="E171" s="517" t="str">
        <f>IFERROR(__xludf.DUMMYFUNCTION("""COMPUTED_VALUE"""),"GA10241-US-RA")</f>
        <v>GA10241-US-RA</v>
      </c>
      <c r="F171" s="517" t="str">
        <f>IFERROR(__xludf.DUMMYFUNCTION("""COMPUTED_VALUE"""),"Cancel")</f>
        <v>Cancel</v>
      </c>
      <c r="G171" s="517" t="str">
        <f>IFERROR(__xludf.DUMMYFUNCTION("""COMPUTED_VALUE"""),"Cancel")</f>
        <v>Cancel</v>
      </c>
      <c r="H171" s="517" t="str">
        <f>IFERROR(__xludf.DUMMYFUNCTION("""COMPUTED_VALUE"""),"Cancel")</f>
        <v>Cancel</v>
      </c>
      <c r="I171" s="517" t="str">
        <f>IFERROR(__xludf.DUMMYFUNCTION("""COMPUTED_VALUE"""),"Cancel")</f>
        <v>Cancel</v>
      </c>
      <c r="J171" s="517" t="str">
        <f>IFERROR(__xludf.DUMMYFUNCTION("""COMPUTED_VALUE"""),"Cancel")</f>
        <v>Cancel</v>
      </c>
      <c r="K171" s="517" t="str">
        <f>IFERROR(__xludf.DUMMYFUNCTION("""COMPUTED_VALUE"""),"Cancel")</f>
        <v>Cancel</v>
      </c>
      <c r="L171" s="517"/>
      <c r="N171" s="517"/>
      <c r="O171" s="517"/>
      <c r="P171" s="517" t="str">
        <f>IFERROR(__xludf.DUMMYFUNCTION("""COMPUTED_VALUE"""),"Cancel")</f>
        <v>Cancel</v>
      </c>
    </row>
    <row r="172">
      <c r="B172" s="517" t="str">
        <f>IFERROR(__xludf.DUMMYFUNCTION("""COMPUTED_VALUE"""),"VZW")</f>
        <v>VZW</v>
      </c>
      <c r="C172" s="517" t="str">
        <f>IFERROR(__xludf.DUMMYFUNCTION("""COMPUTED_VALUE"""),"Cancel")</f>
        <v>Cancel</v>
      </c>
      <c r="D172" s="517" t="str">
        <f>IFERROR(__xludf.DUMMYFUNCTION("""COMPUTED_VALUE"""),"Refurbished")</f>
        <v>Refurbished</v>
      </c>
      <c r="E172" s="517" t="str">
        <f>IFERROR(__xludf.DUMMYFUNCTION("""COMPUTED_VALUE"""),"GA10242-US-RA")</f>
        <v>GA10242-US-RA</v>
      </c>
      <c r="F172" s="517" t="str">
        <f>IFERROR(__xludf.DUMMYFUNCTION("""COMPUTED_VALUE"""),"Cancel")</f>
        <v>Cancel</v>
      </c>
      <c r="G172" s="517" t="str">
        <f>IFERROR(__xludf.DUMMYFUNCTION("""COMPUTED_VALUE"""),"Cancel")</f>
        <v>Cancel</v>
      </c>
      <c r="H172" s="517" t="str">
        <f>IFERROR(__xludf.DUMMYFUNCTION("""COMPUTED_VALUE"""),"Cancel")</f>
        <v>Cancel</v>
      </c>
      <c r="I172" s="517" t="str">
        <f>IFERROR(__xludf.DUMMYFUNCTION("""COMPUTED_VALUE"""),"Cancel")</f>
        <v>Cancel</v>
      </c>
      <c r="J172" s="517" t="str">
        <f>IFERROR(__xludf.DUMMYFUNCTION("""COMPUTED_VALUE"""),"Cancel")</f>
        <v>Cancel</v>
      </c>
      <c r="K172" s="517" t="str">
        <f>IFERROR(__xludf.DUMMYFUNCTION("""COMPUTED_VALUE"""),"Cancel")</f>
        <v>Cancel</v>
      </c>
      <c r="L172" s="517"/>
      <c r="N172" s="517"/>
      <c r="O172" s="517"/>
      <c r="P172" s="517" t="str">
        <f>IFERROR(__xludf.DUMMYFUNCTION("""COMPUTED_VALUE"""),"Cancel")</f>
        <v>Cancel</v>
      </c>
    </row>
    <row r="173">
      <c r="B173" s="517" t="str">
        <f>IFERROR(__xludf.DUMMYFUNCTION("""COMPUTED_VALUE"""),"VZW")</f>
        <v>VZW</v>
      </c>
      <c r="C173" s="518" t="str">
        <f>IFERROR(__xludf.DUMMYFUNCTION("""COMPUTED_VALUE"""),"0840353940345")</f>
        <v>0840353940345</v>
      </c>
      <c r="D173" s="517" t="str">
        <f>IFERROR(__xludf.DUMMYFUNCTION("""COMPUTED_VALUE"""),"Refurbished")</f>
        <v>Refurbished</v>
      </c>
      <c r="E173" s="517" t="str">
        <f>IFERROR(__xludf.DUMMYFUNCTION("""COMPUTED_VALUE"""),"GA10243-US-RA")</f>
        <v>GA10243-US-RA</v>
      </c>
      <c r="F173" s="517" t="str">
        <f>IFERROR(__xludf.DUMMYFUNCTION("""COMPUTED_VALUE"""),"GLBW0")</f>
        <v>GLBW0</v>
      </c>
      <c r="G173" s="517"/>
      <c r="H173" s="518" t="str">
        <f>IFERROR(__xludf.DUMMYFUNCTION("""COMPUTED_VALUE"""),"840353940345")</f>
        <v>840353940345</v>
      </c>
      <c r="I173" s="518" t="str">
        <f>IFERROR(__xludf.DUMMYFUNCTION("""COMPUTED_VALUE"""),"No")</f>
        <v>No</v>
      </c>
      <c r="J173" s="517" t="str">
        <f>IFERROR(__xludf.DUMMYFUNCTION("""COMPUTED_VALUE"""),"Retail_10ct")</f>
        <v>Retail_10ct</v>
      </c>
      <c r="K173" s="517" t="str">
        <f>IFERROR(__xludf.DUMMYFUNCTION("""COMPUTED_VALUE"""),"VZN Master Carton Label")</f>
        <v>VZN Master Carton Label</v>
      </c>
      <c r="L173" s="517"/>
      <c r="N173" s="517"/>
      <c r="O173" s="517"/>
      <c r="P173" s="517" t="str">
        <f>IFERROR(__xludf.DUMMYFUNCTION("""COMPUTED_VALUE"""),"")</f>
        <v/>
      </c>
    </row>
    <row r="174">
      <c r="B174" s="517" t="str">
        <f>IFERROR(__xludf.DUMMYFUNCTION("""COMPUTED_VALUE"""),"ATT")</f>
        <v>ATT</v>
      </c>
      <c r="C174" s="518" t="str">
        <f>IFERROR(__xludf.DUMMYFUNCTION("""COMPUTED_VALUE"""),"0840353939776")</f>
        <v>0840353939776</v>
      </c>
      <c r="D174" s="517" t="str">
        <f>IFERROR(__xludf.DUMMYFUNCTION("""COMPUTED_VALUE"""),"Refurbished")</f>
        <v>Refurbished</v>
      </c>
      <c r="E174" s="517" t="str">
        <f>IFERROR(__xludf.DUMMYFUNCTION("""COMPUTED_VALUE"""),"GA09861-US-RA")</f>
        <v>GA09861-US-RA</v>
      </c>
      <c r="F174" s="517" t="str">
        <f>IFERROR(__xludf.DUMMYFUNCTION("""COMPUTED_VALUE"""),"GLBW0")</f>
        <v>GLBW0</v>
      </c>
      <c r="G174" s="517"/>
      <c r="H174" s="518" t="str">
        <f>IFERROR(__xludf.DUMMYFUNCTION("""COMPUTED_VALUE"""),"840353939776")</f>
        <v>840353939776</v>
      </c>
      <c r="I174" s="518" t="str">
        <f>IFERROR(__xludf.DUMMYFUNCTION("""COMPUTED_VALUE"""),"No")</f>
        <v>No</v>
      </c>
      <c r="J174" s="517" t="str">
        <f>IFERROR(__xludf.DUMMYFUNCTION("""COMPUTED_VALUE"""),"Retail_10ct")</f>
        <v>Retail_10ct</v>
      </c>
      <c r="K174" s="517" t="str">
        <f>IFERROR(__xludf.DUMMYFUNCTION("""COMPUTED_VALUE"""),"ATT Master Carton Label")</f>
        <v>ATT Master Carton Label</v>
      </c>
      <c r="L174" s="517"/>
      <c r="N174" s="517"/>
      <c r="O174" s="517"/>
      <c r="P174" s="517" t="str">
        <f>IFERROR(__xludf.DUMMYFUNCTION("""COMPUTED_VALUE"""),"")</f>
        <v/>
      </c>
    </row>
    <row r="175">
      <c r="B175" s="517" t="str">
        <f>IFERROR(__xludf.DUMMYFUNCTION("""COMPUTED_VALUE"""),"ATT")</f>
        <v>ATT</v>
      </c>
      <c r="C175" s="517" t="str">
        <f>IFERROR(__xludf.DUMMYFUNCTION("""COMPUTED_VALUE"""),"Cancel")</f>
        <v>Cancel</v>
      </c>
      <c r="D175" s="517" t="str">
        <f>IFERROR(__xludf.DUMMYFUNCTION("""COMPUTED_VALUE"""),"Refurbished")</f>
        <v>Refurbished</v>
      </c>
      <c r="E175" s="517" t="str">
        <f>IFERROR(__xludf.DUMMYFUNCTION("""COMPUTED_VALUE"""),"GA10244-US-RA")</f>
        <v>GA10244-US-RA</v>
      </c>
      <c r="F175" s="517" t="str">
        <f>IFERROR(__xludf.DUMMYFUNCTION("""COMPUTED_VALUE"""),"Cancel")</f>
        <v>Cancel</v>
      </c>
      <c r="G175" s="517" t="str">
        <f>IFERROR(__xludf.DUMMYFUNCTION("""COMPUTED_VALUE"""),"Cancel")</f>
        <v>Cancel</v>
      </c>
      <c r="H175" s="517" t="str">
        <f>IFERROR(__xludf.DUMMYFUNCTION("""COMPUTED_VALUE"""),"Cancel")</f>
        <v>Cancel</v>
      </c>
      <c r="I175" s="517" t="str">
        <f>IFERROR(__xludf.DUMMYFUNCTION("""COMPUTED_VALUE"""),"Cancel")</f>
        <v>Cancel</v>
      </c>
      <c r="J175" s="517" t="str">
        <f>IFERROR(__xludf.DUMMYFUNCTION("""COMPUTED_VALUE"""),"Cancel")</f>
        <v>Cancel</v>
      </c>
      <c r="K175" s="517" t="str">
        <f>IFERROR(__xludf.DUMMYFUNCTION("""COMPUTED_VALUE"""),"Cancel")</f>
        <v>Cancel</v>
      </c>
      <c r="L175" s="517"/>
      <c r="N175" s="517"/>
      <c r="O175" s="517"/>
      <c r="P175" s="517" t="str">
        <f>IFERROR(__xludf.DUMMYFUNCTION("""COMPUTED_VALUE"""),"Cancel")</f>
        <v>Cancel</v>
      </c>
    </row>
    <row r="176">
      <c r="B176" s="517" t="str">
        <f>IFERROR(__xludf.DUMMYFUNCTION("""COMPUTED_VALUE"""),"ATT")</f>
        <v>ATT</v>
      </c>
      <c r="C176" s="517" t="str">
        <f>IFERROR(__xludf.DUMMYFUNCTION("""COMPUTED_VALUE"""),"Cancel")</f>
        <v>Cancel</v>
      </c>
      <c r="D176" s="517" t="str">
        <f>IFERROR(__xludf.DUMMYFUNCTION("""COMPUTED_VALUE"""),"Refurbished")</f>
        <v>Refurbished</v>
      </c>
      <c r="E176" s="517" t="str">
        <f>IFERROR(__xludf.DUMMYFUNCTION("""COMPUTED_VALUE"""),"GA10245-US-RA")</f>
        <v>GA10245-US-RA</v>
      </c>
      <c r="F176" s="517" t="str">
        <f>IFERROR(__xludf.DUMMYFUNCTION("""COMPUTED_VALUE"""),"Cancel")</f>
        <v>Cancel</v>
      </c>
      <c r="G176" s="517" t="str">
        <f>IFERROR(__xludf.DUMMYFUNCTION("""COMPUTED_VALUE"""),"Cancel")</f>
        <v>Cancel</v>
      </c>
      <c r="H176" s="517" t="str">
        <f>IFERROR(__xludf.DUMMYFUNCTION("""COMPUTED_VALUE"""),"Cancel")</f>
        <v>Cancel</v>
      </c>
      <c r="I176" s="517" t="str">
        <f>IFERROR(__xludf.DUMMYFUNCTION("""COMPUTED_VALUE"""),"Cancel")</f>
        <v>Cancel</v>
      </c>
      <c r="J176" s="517" t="str">
        <f>IFERROR(__xludf.DUMMYFUNCTION("""COMPUTED_VALUE"""),"Cancel")</f>
        <v>Cancel</v>
      </c>
      <c r="K176" s="517" t="str">
        <f>IFERROR(__xludf.DUMMYFUNCTION("""COMPUTED_VALUE"""),"Cancel")</f>
        <v>Cancel</v>
      </c>
      <c r="L176" s="517"/>
      <c r="N176" s="517"/>
      <c r="O176" s="517"/>
      <c r="P176" s="517" t="str">
        <f>IFERROR(__xludf.DUMMYFUNCTION("""COMPUTED_VALUE"""),"Cancel")</f>
        <v>Cancel</v>
      </c>
    </row>
    <row r="177">
      <c r="B177" s="517" t="str">
        <f>IFERROR(__xludf.DUMMYFUNCTION("""COMPUTED_VALUE"""),"ATT")</f>
        <v>ATT</v>
      </c>
      <c r="C177" s="518" t="str">
        <f>IFERROR(__xludf.DUMMYFUNCTION("""COMPUTED_VALUE"""),"0840353940109")</f>
        <v>0840353940109</v>
      </c>
      <c r="D177" s="517" t="str">
        <f>IFERROR(__xludf.DUMMYFUNCTION("""COMPUTED_VALUE"""),"Refurbished")</f>
        <v>Refurbished</v>
      </c>
      <c r="E177" s="517" t="str">
        <f>IFERROR(__xludf.DUMMYFUNCTION("""COMPUTED_VALUE"""),"GA10246-US-RA")</f>
        <v>GA10246-US-RA</v>
      </c>
      <c r="F177" s="517" t="str">
        <f>IFERROR(__xludf.DUMMYFUNCTION("""COMPUTED_VALUE"""),"GLBW0")</f>
        <v>GLBW0</v>
      </c>
      <c r="G177" s="517"/>
      <c r="H177" s="518" t="str">
        <f>IFERROR(__xludf.DUMMYFUNCTION("""COMPUTED_VALUE"""),"840353940109")</f>
        <v>840353940109</v>
      </c>
      <c r="I177" s="518" t="str">
        <f>IFERROR(__xludf.DUMMYFUNCTION("""COMPUTED_VALUE"""),"No")</f>
        <v>No</v>
      </c>
      <c r="J177" s="517" t="str">
        <f>IFERROR(__xludf.DUMMYFUNCTION("""COMPUTED_VALUE"""),"Retail_10ct")</f>
        <v>Retail_10ct</v>
      </c>
      <c r="K177" s="517" t="str">
        <f>IFERROR(__xludf.DUMMYFUNCTION("""COMPUTED_VALUE"""),"ATT Master Carton Label")</f>
        <v>ATT Master Carton Label</v>
      </c>
      <c r="L177" s="517"/>
      <c r="N177" s="517"/>
      <c r="O177" s="517"/>
      <c r="P177" s="517" t="str">
        <f>IFERROR(__xludf.DUMMYFUNCTION("""COMPUTED_VALUE"""),"")</f>
        <v/>
      </c>
    </row>
    <row r="178">
      <c r="B178" s="517" t="str">
        <f>IFERROR(__xludf.DUMMYFUNCTION("""COMPUTED_VALUE"""),"ATT")</f>
        <v>ATT</v>
      </c>
      <c r="C178" s="517" t="str">
        <f>IFERROR(__xludf.DUMMYFUNCTION("""COMPUTED_VALUE"""),"Cancel")</f>
        <v>Cancel</v>
      </c>
      <c r="D178" s="517" t="str">
        <f>IFERROR(__xludf.DUMMYFUNCTION("""COMPUTED_VALUE"""),"Refurbished")</f>
        <v>Refurbished</v>
      </c>
      <c r="E178" s="517" t="str">
        <f>IFERROR(__xludf.DUMMYFUNCTION("""COMPUTED_VALUE"""),"GA09881-US-RA")</f>
        <v>GA09881-US-RA</v>
      </c>
      <c r="F178" s="517" t="str">
        <f>IFERROR(__xludf.DUMMYFUNCTION("""COMPUTED_VALUE"""),"Cancel")</f>
        <v>Cancel</v>
      </c>
      <c r="G178" s="517" t="str">
        <f>IFERROR(__xludf.DUMMYFUNCTION("""COMPUTED_VALUE"""),"Cancel")</f>
        <v>Cancel</v>
      </c>
      <c r="H178" s="517" t="str">
        <f>IFERROR(__xludf.DUMMYFUNCTION("""COMPUTED_VALUE"""),"Cancel")</f>
        <v>Cancel</v>
      </c>
      <c r="I178" s="517" t="str">
        <f>IFERROR(__xludf.DUMMYFUNCTION("""COMPUTED_VALUE"""),"Cancel")</f>
        <v>Cancel</v>
      </c>
      <c r="J178" s="517" t="str">
        <f>IFERROR(__xludf.DUMMYFUNCTION("""COMPUTED_VALUE"""),"Cancel")</f>
        <v>Cancel</v>
      </c>
      <c r="K178" s="517" t="str">
        <f>IFERROR(__xludf.DUMMYFUNCTION("""COMPUTED_VALUE"""),"Cancel")</f>
        <v>Cancel</v>
      </c>
      <c r="L178" s="517"/>
      <c r="N178" s="517"/>
      <c r="O178" s="517"/>
      <c r="P178" s="517" t="str">
        <f>IFERROR(__xludf.DUMMYFUNCTION("""COMPUTED_VALUE"""),"Cancel")</f>
        <v>Cancel</v>
      </c>
    </row>
    <row r="179">
      <c r="B179" s="517" t="str">
        <f>IFERROR(__xludf.DUMMYFUNCTION("""COMPUTED_VALUE"""),"ATT")</f>
        <v>ATT</v>
      </c>
      <c r="C179" s="517" t="str">
        <f>IFERROR(__xludf.DUMMYFUNCTION("""COMPUTED_VALUE"""),"Cancel")</f>
        <v>Cancel</v>
      </c>
      <c r="D179" s="517" t="str">
        <f>IFERROR(__xludf.DUMMYFUNCTION("""COMPUTED_VALUE"""),"Refurbished")</f>
        <v>Refurbished</v>
      </c>
      <c r="E179" s="517" t="str">
        <f>IFERROR(__xludf.DUMMYFUNCTION("""COMPUTED_VALUE"""),"GA10247-US-RA")</f>
        <v>GA10247-US-RA</v>
      </c>
      <c r="F179" s="517" t="str">
        <f>IFERROR(__xludf.DUMMYFUNCTION("""COMPUTED_VALUE"""),"Cancel")</f>
        <v>Cancel</v>
      </c>
      <c r="G179" s="517" t="str">
        <f>IFERROR(__xludf.DUMMYFUNCTION("""COMPUTED_VALUE"""),"Cancel")</f>
        <v>Cancel</v>
      </c>
      <c r="H179" s="517" t="str">
        <f>IFERROR(__xludf.DUMMYFUNCTION("""COMPUTED_VALUE"""),"Cancel")</f>
        <v>Cancel</v>
      </c>
      <c r="I179" s="517" t="str">
        <f>IFERROR(__xludf.DUMMYFUNCTION("""COMPUTED_VALUE"""),"Cancel")</f>
        <v>Cancel</v>
      </c>
      <c r="J179" s="517" t="str">
        <f>IFERROR(__xludf.DUMMYFUNCTION("""COMPUTED_VALUE"""),"Cancel")</f>
        <v>Cancel</v>
      </c>
      <c r="K179" s="517" t="str">
        <f>IFERROR(__xludf.DUMMYFUNCTION("""COMPUTED_VALUE"""),"Cancel")</f>
        <v>Cancel</v>
      </c>
      <c r="L179" s="517"/>
      <c r="N179" s="517"/>
      <c r="O179" s="517"/>
      <c r="P179" s="517" t="str">
        <f>IFERROR(__xludf.DUMMYFUNCTION("""COMPUTED_VALUE"""),"Cancel")</f>
        <v>Cancel</v>
      </c>
    </row>
    <row r="180">
      <c r="B180" s="517" t="str">
        <f>IFERROR(__xludf.DUMMYFUNCTION("""COMPUTED_VALUE"""),"ATT")</f>
        <v>ATT</v>
      </c>
      <c r="C180" s="517" t="str">
        <f>IFERROR(__xludf.DUMMYFUNCTION("""COMPUTED_VALUE"""),"Cancel")</f>
        <v>Cancel</v>
      </c>
      <c r="D180" s="517" t="str">
        <f>IFERROR(__xludf.DUMMYFUNCTION("""COMPUTED_VALUE"""),"Refurbished")</f>
        <v>Refurbished</v>
      </c>
      <c r="E180" s="517" t="str">
        <f>IFERROR(__xludf.DUMMYFUNCTION("""COMPUTED_VALUE"""),"GA10248-US-RA")</f>
        <v>GA10248-US-RA</v>
      </c>
      <c r="F180" s="517" t="str">
        <f>IFERROR(__xludf.DUMMYFUNCTION("""COMPUTED_VALUE"""),"Cancel")</f>
        <v>Cancel</v>
      </c>
      <c r="G180" s="517" t="str">
        <f>IFERROR(__xludf.DUMMYFUNCTION("""COMPUTED_VALUE"""),"Cancel")</f>
        <v>Cancel</v>
      </c>
      <c r="H180" s="517" t="str">
        <f>IFERROR(__xludf.DUMMYFUNCTION("""COMPUTED_VALUE"""),"Cancel")</f>
        <v>Cancel</v>
      </c>
      <c r="I180" s="517" t="str">
        <f>IFERROR(__xludf.DUMMYFUNCTION("""COMPUTED_VALUE"""),"Cancel")</f>
        <v>Cancel</v>
      </c>
      <c r="J180" s="517" t="str">
        <f>IFERROR(__xludf.DUMMYFUNCTION("""COMPUTED_VALUE"""),"Cancel")</f>
        <v>Cancel</v>
      </c>
      <c r="K180" s="517" t="str">
        <f>IFERROR(__xludf.DUMMYFUNCTION("""COMPUTED_VALUE"""),"Cancel")</f>
        <v>Cancel</v>
      </c>
      <c r="L180" s="517"/>
      <c r="N180" s="517"/>
      <c r="O180" s="517"/>
      <c r="P180" s="517" t="str">
        <f>IFERROR(__xludf.DUMMYFUNCTION("""COMPUTED_VALUE"""),"Cancel")</f>
        <v>Cancel</v>
      </c>
    </row>
    <row r="181">
      <c r="B181" s="517" t="str">
        <f>IFERROR(__xludf.DUMMYFUNCTION("""COMPUTED_VALUE"""),"ATT")</f>
        <v>ATT</v>
      </c>
      <c r="C181" s="517" t="str">
        <f>IFERROR(__xludf.DUMMYFUNCTION("""COMPUTED_VALUE"""),"Cancel")</f>
        <v>Cancel</v>
      </c>
      <c r="D181" s="517" t="str">
        <f>IFERROR(__xludf.DUMMYFUNCTION("""COMPUTED_VALUE"""),"Refurbished")</f>
        <v>Refurbished</v>
      </c>
      <c r="E181" s="517" t="str">
        <f>IFERROR(__xludf.DUMMYFUNCTION("""COMPUTED_VALUE"""),"GA10249-US-RA")</f>
        <v>GA10249-US-RA</v>
      </c>
      <c r="F181" s="517" t="str">
        <f>IFERROR(__xludf.DUMMYFUNCTION("""COMPUTED_VALUE"""),"Cancel")</f>
        <v>Cancel</v>
      </c>
      <c r="G181" s="517" t="str">
        <f>IFERROR(__xludf.DUMMYFUNCTION("""COMPUTED_VALUE"""),"Cancel")</f>
        <v>Cancel</v>
      </c>
      <c r="H181" s="517" t="str">
        <f>IFERROR(__xludf.DUMMYFUNCTION("""COMPUTED_VALUE"""),"Cancel")</f>
        <v>Cancel</v>
      </c>
      <c r="I181" s="517" t="str">
        <f>IFERROR(__xludf.DUMMYFUNCTION("""COMPUTED_VALUE"""),"Cancel")</f>
        <v>Cancel</v>
      </c>
      <c r="J181" s="517" t="str">
        <f>IFERROR(__xludf.DUMMYFUNCTION("""COMPUTED_VALUE"""),"Cancel")</f>
        <v>Cancel</v>
      </c>
      <c r="K181" s="517" t="str">
        <f>IFERROR(__xludf.DUMMYFUNCTION("""COMPUTED_VALUE"""),"Cancel")</f>
        <v>Cancel</v>
      </c>
      <c r="L181" s="517"/>
      <c r="N181" s="517"/>
      <c r="O181" s="517"/>
      <c r="P181" s="517" t="str">
        <f>IFERROR(__xludf.DUMMYFUNCTION("""COMPUTED_VALUE"""),"Cancel")</f>
        <v>Cancel</v>
      </c>
    </row>
    <row r="182">
      <c r="B182" s="517" t="str">
        <f>IFERROR(__xludf.DUMMYFUNCTION("""COMPUTED_VALUE"""),"TMO")</f>
        <v>TMO</v>
      </c>
      <c r="C182" s="518" t="str">
        <f>IFERROR(__xludf.DUMMYFUNCTION("""COMPUTED_VALUE"""),"0840353939783")</f>
        <v>0840353939783</v>
      </c>
      <c r="D182" s="517" t="str">
        <f>IFERROR(__xludf.DUMMYFUNCTION("""COMPUTED_VALUE"""),"Refurbished")</f>
        <v>Refurbished</v>
      </c>
      <c r="E182" s="517" t="str">
        <f>IFERROR(__xludf.DUMMYFUNCTION("""COMPUTED_VALUE"""),"GA09862-US-RA")</f>
        <v>GA09862-US-RA</v>
      </c>
      <c r="F182" s="517" t="str">
        <f>IFERROR(__xludf.DUMMYFUNCTION("""COMPUTED_VALUE"""),"GLBW0")</f>
        <v>GLBW0</v>
      </c>
      <c r="G182" s="518" t="str">
        <f>IFERROR(__xludf.DUMMYFUNCTION("""COMPUTED_VALUE"""),"TBD")</f>
        <v>TBD</v>
      </c>
      <c r="H182" s="518" t="str">
        <f>IFERROR(__xludf.DUMMYFUNCTION("""COMPUTED_VALUE"""),"840353939783")</f>
        <v>840353939783</v>
      </c>
      <c r="I182" s="518" t="str">
        <f>IFERROR(__xludf.DUMMYFUNCTION("""COMPUTED_VALUE"""),"No")</f>
        <v>No</v>
      </c>
      <c r="J182" s="517" t="str">
        <f>IFERROR(__xludf.DUMMYFUNCTION("""COMPUTED_VALUE"""),"Retail_10ct")</f>
        <v>Retail_10ct</v>
      </c>
      <c r="K182" s="517" t="str">
        <f>IFERROR(__xludf.DUMMYFUNCTION("""COMPUTED_VALUE"""),"TMO Master Carton Label")</f>
        <v>TMO Master Carton Label</v>
      </c>
      <c r="L182" s="517"/>
      <c r="N182" s="517"/>
      <c r="O182" s="517"/>
      <c r="P182" s="517" t="str">
        <f>IFERROR(__xludf.DUMMYFUNCTION("""COMPUTED_VALUE"""),"")</f>
        <v/>
      </c>
    </row>
    <row r="183">
      <c r="B183" s="517" t="str">
        <f>IFERROR(__xludf.DUMMYFUNCTION("""COMPUTED_VALUE"""),"TMO")</f>
        <v>TMO</v>
      </c>
      <c r="C183" s="517" t="str">
        <f>IFERROR(__xludf.DUMMYFUNCTION("""COMPUTED_VALUE"""),"Cancel")</f>
        <v>Cancel</v>
      </c>
      <c r="D183" s="517" t="str">
        <f>IFERROR(__xludf.DUMMYFUNCTION("""COMPUTED_VALUE"""),"Refurbished")</f>
        <v>Refurbished</v>
      </c>
      <c r="E183" s="517" t="str">
        <f>IFERROR(__xludf.DUMMYFUNCTION("""COMPUTED_VALUE"""),"GA10250-US-RA")</f>
        <v>GA10250-US-RA</v>
      </c>
      <c r="F183" s="517" t="str">
        <f>IFERROR(__xludf.DUMMYFUNCTION("""COMPUTED_VALUE"""),"Cancel")</f>
        <v>Cancel</v>
      </c>
      <c r="G183" s="517" t="str">
        <f>IFERROR(__xludf.DUMMYFUNCTION("""COMPUTED_VALUE"""),"Cancel")</f>
        <v>Cancel</v>
      </c>
      <c r="H183" s="517" t="str">
        <f>IFERROR(__xludf.DUMMYFUNCTION("""COMPUTED_VALUE"""),"Cancel")</f>
        <v>Cancel</v>
      </c>
      <c r="I183" s="517" t="str">
        <f>IFERROR(__xludf.DUMMYFUNCTION("""COMPUTED_VALUE"""),"Cancel")</f>
        <v>Cancel</v>
      </c>
      <c r="J183" s="517" t="str">
        <f>IFERROR(__xludf.DUMMYFUNCTION("""COMPUTED_VALUE"""),"Cancel")</f>
        <v>Cancel</v>
      </c>
      <c r="K183" s="517" t="str">
        <f>IFERROR(__xludf.DUMMYFUNCTION("""COMPUTED_VALUE"""),"Cancel")</f>
        <v>Cancel</v>
      </c>
      <c r="L183" s="517"/>
      <c r="N183" s="517"/>
      <c r="O183" s="517"/>
      <c r="P183" s="517" t="str">
        <f>IFERROR(__xludf.DUMMYFUNCTION("""COMPUTED_VALUE"""),"Cancel")</f>
        <v>Cancel</v>
      </c>
    </row>
    <row r="184">
      <c r="B184" s="517" t="str">
        <f>IFERROR(__xludf.DUMMYFUNCTION("""COMPUTED_VALUE"""),"TMO")</f>
        <v>TMO</v>
      </c>
      <c r="C184" s="517" t="str">
        <f>IFERROR(__xludf.DUMMYFUNCTION("""COMPUTED_VALUE"""),"Cancel")</f>
        <v>Cancel</v>
      </c>
      <c r="D184" s="517" t="str">
        <f>IFERROR(__xludf.DUMMYFUNCTION("""COMPUTED_VALUE"""),"Refurbished")</f>
        <v>Refurbished</v>
      </c>
      <c r="E184" s="517" t="str">
        <f>IFERROR(__xludf.DUMMYFUNCTION("""COMPUTED_VALUE"""),"GA10251-US-RA")</f>
        <v>GA10251-US-RA</v>
      </c>
      <c r="F184" s="517" t="str">
        <f>IFERROR(__xludf.DUMMYFUNCTION("""COMPUTED_VALUE"""),"Cancel")</f>
        <v>Cancel</v>
      </c>
      <c r="G184" s="517" t="str">
        <f>IFERROR(__xludf.DUMMYFUNCTION("""COMPUTED_VALUE"""),"Cancel")</f>
        <v>Cancel</v>
      </c>
      <c r="H184" s="517" t="str">
        <f>IFERROR(__xludf.DUMMYFUNCTION("""COMPUTED_VALUE"""),"Cancel")</f>
        <v>Cancel</v>
      </c>
      <c r="I184" s="517" t="str">
        <f>IFERROR(__xludf.DUMMYFUNCTION("""COMPUTED_VALUE"""),"Cancel")</f>
        <v>Cancel</v>
      </c>
      <c r="J184" s="517" t="str">
        <f>IFERROR(__xludf.DUMMYFUNCTION("""COMPUTED_VALUE"""),"Cancel")</f>
        <v>Cancel</v>
      </c>
      <c r="K184" s="517" t="str">
        <f>IFERROR(__xludf.DUMMYFUNCTION("""COMPUTED_VALUE"""),"Cancel")</f>
        <v>Cancel</v>
      </c>
      <c r="L184" s="517"/>
      <c r="N184" s="517"/>
      <c r="O184" s="517"/>
      <c r="P184" s="517" t="str">
        <f>IFERROR(__xludf.DUMMYFUNCTION("""COMPUTED_VALUE"""),"Cancel")</f>
        <v>Cancel</v>
      </c>
    </row>
    <row r="185">
      <c r="B185" s="517" t="str">
        <f>IFERROR(__xludf.DUMMYFUNCTION("""COMPUTED_VALUE"""),"TMO")</f>
        <v>TMO</v>
      </c>
      <c r="C185" s="518" t="str">
        <f>IFERROR(__xludf.DUMMYFUNCTION("""COMPUTED_VALUE"""),"0840353940147")</f>
        <v>0840353940147</v>
      </c>
      <c r="D185" s="517" t="str">
        <f>IFERROR(__xludf.DUMMYFUNCTION("""COMPUTED_VALUE"""),"Refurbished")</f>
        <v>Refurbished</v>
      </c>
      <c r="E185" s="517" t="str">
        <f>IFERROR(__xludf.DUMMYFUNCTION("""COMPUTED_VALUE"""),"GA10252-US-RA")</f>
        <v>GA10252-US-RA</v>
      </c>
      <c r="F185" s="517" t="str">
        <f>IFERROR(__xludf.DUMMYFUNCTION("""COMPUTED_VALUE"""),"GLBW0")</f>
        <v>GLBW0</v>
      </c>
      <c r="G185" s="518" t="str">
        <f>IFERROR(__xludf.DUMMYFUNCTION("""COMPUTED_VALUE"""),"TBD")</f>
        <v>TBD</v>
      </c>
      <c r="H185" s="518" t="str">
        <f>IFERROR(__xludf.DUMMYFUNCTION("""COMPUTED_VALUE"""),"840353940147")</f>
        <v>840353940147</v>
      </c>
      <c r="I185" s="518" t="str">
        <f>IFERROR(__xludf.DUMMYFUNCTION("""COMPUTED_VALUE"""),"No")</f>
        <v>No</v>
      </c>
      <c r="J185" s="517" t="str">
        <f>IFERROR(__xludf.DUMMYFUNCTION("""COMPUTED_VALUE"""),"Retail_10ct")</f>
        <v>Retail_10ct</v>
      </c>
      <c r="K185" s="517" t="str">
        <f>IFERROR(__xludf.DUMMYFUNCTION("""COMPUTED_VALUE"""),"TMO Master Carton Label")</f>
        <v>TMO Master Carton Label</v>
      </c>
      <c r="L185" s="517"/>
      <c r="N185" s="517"/>
      <c r="O185" s="517"/>
      <c r="P185" s="517" t="str">
        <f>IFERROR(__xludf.DUMMYFUNCTION("""COMPUTED_VALUE"""),"")</f>
        <v/>
      </c>
    </row>
    <row r="186">
      <c r="B186" s="517" t="str">
        <f>IFERROR(__xludf.DUMMYFUNCTION("""COMPUTED_VALUE"""),"TMO")</f>
        <v>TMO</v>
      </c>
      <c r="C186" s="518" t="str">
        <f>IFERROR(__xludf.DUMMYFUNCTION("""COMPUTED_VALUE"""),"0840353939813")</f>
        <v>0840353939813</v>
      </c>
      <c r="D186" s="517" t="str">
        <f>IFERROR(__xludf.DUMMYFUNCTION("""COMPUTED_VALUE"""),"Refurbished")</f>
        <v>Refurbished</v>
      </c>
      <c r="E186" s="517" t="str">
        <f>IFERROR(__xludf.DUMMYFUNCTION("""COMPUTED_VALUE"""),"GA09882-US-RA")</f>
        <v>GA09882-US-RA</v>
      </c>
      <c r="F186" s="517" t="str">
        <f>IFERROR(__xludf.DUMMYFUNCTION("""COMPUTED_VALUE"""),"GLBW0")</f>
        <v>GLBW0</v>
      </c>
      <c r="G186" s="518" t="str">
        <f>IFERROR(__xludf.DUMMYFUNCTION("""COMPUTED_VALUE"""),"TBD")</f>
        <v>TBD</v>
      </c>
      <c r="H186" s="518" t="str">
        <f>IFERROR(__xludf.DUMMYFUNCTION("""COMPUTED_VALUE"""),"840353939813")</f>
        <v>840353939813</v>
      </c>
      <c r="I186" s="518" t="str">
        <f>IFERROR(__xludf.DUMMYFUNCTION("""COMPUTED_VALUE"""),"No")</f>
        <v>No</v>
      </c>
      <c r="J186" s="517" t="str">
        <f>IFERROR(__xludf.DUMMYFUNCTION("""COMPUTED_VALUE"""),"Retail_10ct")</f>
        <v>Retail_10ct</v>
      </c>
      <c r="K186" s="517" t="str">
        <f>IFERROR(__xludf.DUMMYFUNCTION("""COMPUTED_VALUE"""),"TMO Master Carton Label")</f>
        <v>TMO Master Carton Label</v>
      </c>
      <c r="L186" s="517"/>
      <c r="N186" s="517"/>
      <c r="O186" s="517"/>
      <c r="P186" s="517" t="str">
        <f>IFERROR(__xludf.DUMMYFUNCTION("""COMPUTED_VALUE"""),"")</f>
        <v/>
      </c>
    </row>
    <row r="187">
      <c r="B187" s="517" t="str">
        <f>IFERROR(__xludf.DUMMYFUNCTION("""COMPUTED_VALUE"""),"TMO")</f>
        <v>TMO</v>
      </c>
      <c r="C187" s="517" t="str">
        <f>IFERROR(__xludf.DUMMYFUNCTION("""COMPUTED_VALUE"""),"Cancel")</f>
        <v>Cancel</v>
      </c>
      <c r="D187" s="517" t="str">
        <f>IFERROR(__xludf.DUMMYFUNCTION("""COMPUTED_VALUE"""),"Refurbished")</f>
        <v>Refurbished</v>
      </c>
      <c r="E187" s="517" t="str">
        <f>IFERROR(__xludf.DUMMYFUNCTION("""COMPUTED_VALUE"""),"GA10253-US-RA")</f>
        <v>GA10253-US-RA</v>
      </c>
      <c r="F187" s="517" t="str">
        <f>IFERROR(__xludf.DUMMYFUNCTION("""COMPUTED_VALUE"""),"Cancel")</f>
        <v>Cancel</v>
      </c>
      <c r="G187" s="517" t="str">
        <f>IFERROR(__xludf.DUMMYFUNCTION("""COMPUTED_VALUE"""),"Cancel")</f>
        <v>Cancel</v>
      </c>
      <c r="H187" s="517" t="str">
        <f>IFERROR(__xludf.DUMMYFUNCTION("""COMPUTED_VALUE"""),"Cancel")</f>
        <v>Cancel</v>
      </c>
      <c r="I187" s="517" t="str">
        <f>IFERROR(__xludf.DUMMYFUNCTION("""COMPUTED_VALUE"""),"Cancel")</f>
        <v>Cancel</v>
      </c>
      <c r="J187" s="517" t="str">
        <f>IFERROR(__xludf.DUMMYFUNCTION("""COMPUTED_VALUE"""),"Cancel")</f>
        <v>Cancel</v>
      </c>
      <c r="K187" s="517" t="str">
        <f>IFERROR(__xludf.DUMMYFUNCTION("""COMPUTED_VALUE"""),"Cancel")</f>
        <v>Cancel</v>
      </c>
      <c r="L187" s="517"/>
      <c r="N187" s="517"/>
      <c r="O187" s="517"/>
      <c r="P187" s="517" t="str">
        <f>IFERROR(__xludf.DUMMYFUNCTION("""COMPUTED_VALUE"""),"Cancel")</f>
        <v>Cancel</v>
      </c>
    </row>
    <row r="188">
      <c r="B188" s="517" t="str">
        <f>IFERROR(__xludf.DUMMYFUNCTION("""COMPUTED_VALUE"""),"TMO")</f>
        <v>TMO</v>
      </c>
      <c r="C188" s="517" t="str">
        <f>IFERROR(__xludf.DUMMYFUNCTION("""COMPUTED_VALUE"""),"Cancel")</f>
        <v>Cancel</v>
      </c>
      <c r="D188" s="517" t="str">
        <f>IFERROR(__xludf.DUMMYFUNCTION("""COMPUTED_VALUE"""),"Refurbished")</f>
        <v>Refurbished</v>
      </c>
      <c r="E188" s="517" t="str">
        <f>IFERROR(__xludf.DUMMYFUNCTION("""COMPUTED_VALUE"""),"GA10254-US-RA")</f>
        <v>GA10254-US-RA</v>
      </c>
      <c r="F188" s="517" t="str">
        <f>IFERROR(__xludf.DUMMYFUNCTION("""COMPUTED_VALUE"""),"Cancel")</f>
        <v>Cancel</v>
      </c>
      <c r="G188" s="517" t="str">
        <f>IFERROR(__xludf.DUMMYFUNCTION("""COMPUTED_VALUE"""),"Cancel")</f>
        <v>Cancel</v>
      </c>
      <c r="H188" s="517" t="str">
        <f>IFERROR(__xludf.DUMMYFUNCTION("""COMPUTED_VALUE"""),"Cancel")</f>
        <v>Cancel</v>
      </c>
      <c r="I188" s="517" t="str">
        <f>IFERROR(__xludf.DUMMYFUNCTION("""COMPUTED_VALUE"""),"Cancel")</f>
        <v>Cancel</v>
      </c>
      <c r="J188" s="517" t="str">
        <f>IFERROR(__xludf.DUMMYFUNCTION("""COMPUTED_VALUE"""),"Cancel")</f>
        <v>Cancel</v>
      </c>
      <c r="K188" s="517" t="str">
        <f>IFERROR(__xludf.DUMMYFUNCTION("""COMPUTED_VALUE"""),"Cancel")</f>
        <v>Cancel</v>
      </c>
      <c r="L188" s="517"/>
      <c r="N188" s="517"/>
      <c r="O188" s="517"/>
      <c r="P188" s="517" t="str">
        <f>IFERROR(__xludf.DUMMYFUNCTION("""COMPUTED_VALUE"""),"Cancel")</f>
        <v>Cancel</v>
      </c>
    </row>
    <row r="189">
      <c r="B189" s="517" t="str">
        <f>IFERROR(__xludf.DUMMYFUNCTION("""COMPUTED_VALUE"""),"TMO")</f>
        <v>TMO</v>
      </c>
      <c r="C189" s="517" t="str">
        <f>IFERROR(__xludf.DUMMYFUNCTION("""COMPUTED_VALUE"""),"Cancel")</f>
        <v>Cancel</v>
      </c>
      <c r="D189" s="517" t="str">
        <f>IFERROR(__xludf.DUMMYFUNCTION("""COMPUTED_VALUE"""),"Refurbished")</f>
        <v>Refurbished</v>
      </c>
      <c r="E189" s="517" t="str">
        <f>IFERROR(__xludf.DUMMYFUNCTION("""COMPUTED_VALUE"""),"GA10255-US-RA")</f>
        <v>GA10255-US-RA</v>
      </c>
      <c r="F189" s="517" t="str">
        <f>IFERROR(__xludf.DUMMYFUNCTION("""COMPUTED_VALUE"""),"Cancel")</f>
        <v>Cancel</v>
      </c>
      <c r="G189" s="517" t="str">
        <f>IFERROR(__xludf.DUMMYFUNCTION("""COMPUTED_VALUE"""),"Cancel")</f>
        <v>Cancel</v>
      </c>
      <c r="H189" s="517" t="str">
        <f>IFERROR(__xludf.DUMMYFUNCTION("""COMPUTED_VALUE"""),"Cancel")</f>
        <v>Cancel</v>
      </c>
      <c r="I189" s="517" t="str">
        <f>IFERROR(__xludf.DUMMYFUNCTION("""COMPUTED_VALUE"""),"Cancel")</f>
        <v>Cancel</v>
      </c>
      <c r="J189" s="517" t="str">
        <f>IFERROR(__xludf.DUMMYFUNCTION("""COMPUTED_VALUE"""),"Cancel")</f>
        <v>Cancel</v>
      </c>
      <c r="K189" s="517" t="str">
        <f>IFERROR(__xludf.DUMMYFUNCTION("""COMPUTED_VALUE"""),"Cancel")</f>
        <v>Cancel</v>
      </c>
      <c r="L189" s="517"/>
      <c r="N189" s="517"/>
      <c r="O189" s="517"/>
      <c r="P189" s="517" t="str">
        <f>IFERROR(__xludf.DUMMYFUNCTION("""COMPUTED_VALUE"""),"Cancel")</f>
        <v>Cancel</v>
      </c>
    </row>
    <row r="190">
      <c r="B190" s="517" t="str">
        <f>IFERROR(__xludf.DUMMYFUNCTION("""COMPUTED_VALUE"""),"TMO")</f>
        <v>TMO</v>
      </c>
      <c r="C190" s="517" t="str">
        <f>IFERROR(__xludf.DUMMYFUNCTION("""COMPUTED_VALUE"""),"Cancel")</f>
        <v>Cancel</v>
      </c>
      <c r="D190" s="517" t="str">
        <f>IFERROR(__xludf.DUMMYFUNCTION("""COMPUTED_VALUE"""),"IQ")</f>
        <v>IQ</v>
      </c>
      <c r="E190" s="517" t="str">
        <f>IFERROR(__xludf.DUMMYFUNCTION("""COMPUTED_VALUE"""),"GA11019-US ")</f>
        <v>GA11019-US </v>
      </c>
      <c r="F190" s="517" t="str">
        <f>IFERROR(__xludf.DUMMYFUNCTION("""COMPUTED_VALUE"""),"Cancel")</f>
        <v>Cancel</v>
      </c>
      <c r="G190" s="517" t="str">
        <f>IFERROR(__xludf.DUMMYFUNCTION("""COMPUTED_VALUE"""),"Cancel")</f>
        <v>Cancel</v>
      </c>
      <c r="H190" s="517" t="str">
        <f>IFERROR(__xludf.DUMMYFUNCTION("""COMPUTED_VALUE"""),"Cancel")</f>
        <v>Cancel</v>
      </c>
      <c r="I190" s="517" t="str">
        <f>IFERROR(__xludf.DUMMYFUNCTION("""COMPUTED_VALUE"""),"Cancel")</f>
        <v>Cancel</v>
      </c>
      <c r="J190" s="517" t="str">
        <f>IFERROR(__xludf.DUMMYFUNCTION("""COMPUTED_VALUE"""),"Cancel")</f>
        <v>Cancel</v>
      </c>
      <c r="K190" s="517" t="str">
        <f>IFERROR(__xludf.DUMMYFUNCTION("""COMPUTED_VALUE"""),"Cancel")</f>
        <v>Cancel</v>
      </c>
      <c r="L190" s="517"/>
      <c r="N190" s="517"/>
      <c r="O190" s="517"/>
      <c r="P190" s="517" t="str">
        <f>IFERROR(__xludf.DUMMYFUNCTION("""COMPUTED_VALUE"""),"Cancel")</f>
        <v>Cancel</v>
      </c>
    </row>
  </sheetData>
  <autoFilter ref="$B$4:$P$6"/>
  <hyperlinks>
    <hyperlink r:id="rId1" ref="N8"/>
    <hyperlink r:id="rId2" ref="N9"/>
    <hyperlink r:id="rId3" ref="N10"/>
    <hyperlink r:id="rId4" ref="N11"/>
    <hyperlink r:id="rId5" ref="N12"/>
    <hyperlink r:id="rId6" ref="N13"/>
    <hyperlink r:id="rId7" ref="N14"/>
    <hyperlink r:id="rId8" ref="N15"/>
    <hyperlink r:id="rId9" ref="M36"/>
    <hyperlink r:id="rId10" ref="M37"/>
    <hyperlink r:id="rId11" ref="M38"/>
    <hyperlink r:id="rId12" ref="M39"/>
    <hyperlink r:id="rId13" ref="N111"/>
    <hyperlink r:id="rId14" ref="N112"/>
    <hyperlink r:id="rId15" ref="N114"/>
    <hyperlink r:id="rId16" ref="N115"/>
    <hyperlink r:id="rId17" ref="N116"/>
    <hyperlink r:id="rId18" ref="N117"/>
    <hyperlink r:id="rId19" ref="N119"/>
    <hyperlink r:id="rId20" ref="N120"/>
    <hyperlink r:id="rId21" ref="N123"/>
    <hyperlink r:id="rId22" ref="N124"/>
    <hyperlink r:id="rId23" ref="N125"/>
    <hyperlink r:id="rId24" ref="L150"/>
    <hyperlink r:id="rId25" ref="N150"/>
    <hyperlink r:id="rId26" ref="L151"/>
    <hyperlink r:id="rId27" ref="N151"/>
    <hyperlink r:id="rId28" ref="L152"/>
    <hyperlink r:id="rId29" ref="N152"/>
    <hyperlink r:id="rId30" ref="L153"/>
    <hyperlink r:id="rId31" ref="N153"/>
  </hyperlinks>
  <drawing r:id="rId3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1.13"/>
    <col customWidth="1" min="6" max="6" width="20.0"/>
  </cols>
  <sheetData>
    <row r="4">
      <c r="B4" s="521" t="s">
        <v>1732</v>
      </c>
      <c r="C4" s="522" t="s">
        <v>1733</v>
      </c>
      <c r="D4" s="522" t="s">
        <v>1734</v>
      </c>
      <c r="E4" s="522" t="s">
        <v>1735</v>
      </c>
      <c r="F4" s="522" t="s">
        <v>66</v>
      </c>
      <c r="G4" s="283" t="s">
        <v>1736</v>
      </c>
      <c r="H4" s="265" t="s">
        <v>1737</v>
      </c>
      <c r="I4" s="265" t="s">
        <v>1738</v>
      </c>
      <c r="J4" s="265"/>
      <c r="K4" s="265"/>
      <c r="L4" s="265" t="s">
        <v>343</v>
      </c>
    </row>
    <row r="5">
      <c r="B5" s="523">
        <v>1.0</v>
      </c>
      <c r="C5" s="524" t="s">
        <v>1739</v>
      </c>
      <c r="D5" s="524" t="s">
        <v>1740</v>
      </c>
      <c r="E5" s="524" t="s">
        <v>1741</v>
      </c>
      <c r="F5" s="524" t="s">
        <v>1742</v>
      </c>
      <c r="G5" s="445" t="s">
        <v>1352</v>
      </c>
      <c r="H5" s="445" t="str">
        <f t="shared" ref="H5:H76" si="1">LEFT(C5,2)</f>
        <v>GA</v>
      </c>
      <c r="I5" s="517" t="str">
        <f t="shared" ref="I5:I76" si="2">mid(C5,11,2)</f>
        <v>/0</v>
      </c>
      <c r="J5" s="517" t="str">
        <f t="shared" ref="J5:J76" si="3">H5&amp;I5</f>
        <v>GA/0</v>
      </c>
      <c r="K5" s="445">
        <v>10.0</v>
      </c>
      <c r="L5" s="517" t="str">
        <f t="shared" ref="L5:L76" si="4">LEFT(C5,K5)</f>
        <v>GA10775-JP</v>
      </c>
    </row>
    <row r="6">
      <c r="B6" s="523">
        <v>1.0</v>
      </c>
      <c r="C6" s="524" t="s">
        <v>1743</v>
      </c>
      <c r="D6" s="524" t="s">
        <v>1740</v>
      </c>
      <c r="E6" s="524" t="s">
        <v>1741</v>
      </c>
      <c r="F6" s="524" t="s">
        <v>1742</v>
      </c>
      <c r="G6" s="445" t="s">
        <v>1352</v>
      </c>
      <c r="H6" s="445" t="str">
        <f t="shared" si="1"/>
        <v>GA</v>
      </c>
      <c r="I6" s="517" t="str">
        <f t="shared" si="2"/>
        <v>/0</v>
      </c>
      <c r="J6" s="517" t="str">
        <f t="shared" si="3"/>
        <v>GA/0</v>
      </c>
      <c r="K6" s="445">
        <v>10.0</v>
      </c>
      <c r="L6" s="517" t="str">
        <f t="shared" si="4"/>
        <v>GA10775-CA</v>
      </c>
    </row>
    <row r="7">
      <c r="B7" s="523">
        <v>1.0</v>
      </c>
      <c r="C7" s="524" t="s">
        <v>1744</v>
      </c>
      <c r="D7" s="524" t="s">
        <v>1740</v>
      </c>
      <c r="E7" s="524" t="s">
        <v>1741</v>
      </c>
      <c r="F7" s="524" t="s">
        <v>1742</v>
      </c>
      <c r="G7" s="445" t="s">
        <v>1352</v>
      </c>
      <c r="H7" s="445" t="str">
        <f t="shared" si="1"/>
        <v>GA</v>
      </c>
      <c r="I7" s="517" t="str">
        <f t="shared" si="2"/>
        <v>/0</v>
      </c>
      <c r="J7" s="517" t="str">
        <f t="shared" si="3"/>
        <v>GA/0</v>
      </c>
      <c r="K7" s="445">
        <v>10.0</v>
      </c>
      <c r="L7" s="517" t="str">
        <f t="shared" si="4"/>
        <v>GA10776-CA</v>
      </c>
    </row>
    <row r="8">
      <c r="B8" s="523">
        <v>1.0</v>
      </c>
      <c r="C8" s="524" t="s">
        <v>1745</v>
      </c>
      <c r="D8" s="524" t="s">
        <v>1740</v>
      </c>
      <c r="E8" s="524" t="s">
        <v>1741</v>
      </c>
      <c r="F8" s="524" t="s">
        <v>1742</v>
      </c>
      <c r="G8" s="445" t="s">
        <v>1352</v>
      </c>
      <c r="H8" s="445" t="str">
        <f t="shared" si="1"/>
        <v>GA</v>
      </c>
      <c r="I8" s="517" t="str">
        <f t="shared" si="2"/>
        <v>/0</v>
      </c>
      <c r="J8" s="517" t="str">
        <f t="shared" si="3"/>
        <v>GA/0</v>
      </c>
      <c r="K8" s="445">
        <v>10.0</v>
      </c>
      <c r="L8" s="517" t="str">
        <f t="shared" si="4"/>
        <v>GA10772-US</v>
      </c>
    </row>
    <row r="9">
      <c r="B9" s="523">
        <v>1.0</v>
      </c>
      <c r="C9" s="524" t="s">
        <v>1746</v>
      </c>
      <c r="D9" s="524" t="s">
        <v>1740</v>
      </c>
      <c r="E9" s="524" t="s">
        <v>1741</v>
      </c>
      <c r="F9" s="524" t="s">
        <v>1742</v>
      </c>
      <c r="G9" s="445" t="s">
        <v>1352</v>
      </c>
      <c r="H9" s="445" t="str">
        <f t="shared" si="1"/>
        <v>GA</v>
      </c>
      <c r="I9" s="517" t="str">
        <f t="shared" si="2"/>
        <v>/0</v>
      </c>
      <c r="J9" s="517" t="str">
        <f t="shared" si="3"/>
        <v>GA/0</v>
      </c>
      <c r="K9" s="445">
        <v>10.0</v>
      </c>
      <c r="L9" s="517" t="str">
        <f t="shared" si="4"/>
        <v>GA10776-US</v>
      </c>
    </row>
    <row r="10">
      <c r="B10" s="523">
        <v>1.0</v>
      </c>
      <c r="C10" s="524" t="s">
        <v>1747</v>
      </c>
      <c r="D10" s="524" t="s">
        <v>1740</v>
      </c>
      <c r="E10" s="524" t="s">
        <v>1741</v>
      </c>
      <c r="F10" s="524" t="s">
        <v>1742</v>
      </c>
      <c r="G10" s="445" t="s">
        <v>1352</v>
      </c>
      <c r="H10" s="445" t="str">
        <f t="shared" si="1"/>
        <v>GA</v>
      </c>
      <c r="I10" s="517" t="str">
        <f t="shared" si="2"/>
        <v>/0</v>
      </c>
      <c r="J10" s="517" t="str">
        <f t="shared" si="3"/>
        <v>GA/0</v>
      </c>
      <c r="K10" s="445">
        <v>10.0</v>
      </c>
      <c r="L10" s="517" t="str">
        <f t="shared" si="4"/>
        <v>GA10778-IN</v>
      </c>
    </row>
    <row r="11">
      <c r="B11" s="523">
        <v>1.0</v>
      </c>
      <c r="C11" s="524" t="s">
        <v>1748</v>
      </c>
      <c r="D11" s="524" t="s">
        <v>1740</v>
      </c>
      <c r="E11" s="524" t="s">
        <v>1741</v>
      </c>
      <c r="F11" s="524" t="s">
        <v>1742</v>
      </c>
      <c r="G11" s="445" t="s">
        <v>1352</v>
      </c>
      <c r="H11" s="445" t="str">
        <f t="shared" si="1"/>
        <v>GA</v>
      </c>
      <c r="I11" s="517" t="str">
        <f t="shared" si="2"/>
        <v>/0</v>
      </c>
      <c r="J11" s="517" t="str">
        <f t="shared" si="3"/>
        <v>GA/0</v>
      </c>
      <c r="K11" s="445">
        <v>10.0</v>
      </c>
      <c r="L11" s="517" t="str">
        <f t="shared" si="4"/>
        <v>GA10776-JP</v>
      </c>
    </row>
    <row r="12">
      <c r="B12" s="523">
        <v>1.0</v>
      </c>
      <c r="C12" s="524" t="s">
        <v>1749</v>
      </c>
      <c r="D12" s="524" t="s">
        <v>1740</v>
      </c>
      <c r="E12" s="524" t="s">
        <v>1741</v>
      </c>
      <c r="F12" s="524" t="s">
        <v>1742</v>
      </c>
      <c r="G12" s="445" t="s">
        <v>1352</v>
      </c>
      <c r="H12" s="445" t="str">
        <f t="shared" si="1"/>
        <v>GA</v>
      </c>
      <c r="I12" s="517" t="str">
        <f t="shared" si="2"/>
        <v>/0</v>
      </c>
      <c r="J12" s="517" t="str">
        <f t="shared" si="3"/>
        <v>GA/0</v>
      </c>
      <c r="K12" s="445">
        <v>10.0</v>
      </c>
      <c r="L12" s="517" t="str">
        <f t="shared" si="4"/>
        <v>GA10776-GB</v>
      </c>
    </row>
    <row r="13">
      <c r="B13" s="523">
        <v>1.0</v>
      </c>
      <c r="C13" s="524" t="s">
        <v>1750</v>
      </c>
      <c r="D13" s="524" t="s">
        <v>1740</v>
      </c>
      <c r="E13" s="524" t="s">
        <v>1741</v>
      </c>
      <c r="F13" s="524" t="s">
        <v>1742</v>
      </c>
      <c r="G13" s="445" t="s">
        <v>1352</v>
      </c>
      <c r="H13" s="445" t="str">
        <f t="shared" si="1"/>
        <v>GA</v>
      </c>
      <c r="I13" s="517" t="str">
        <f t="shared" si="2"/>
        <v>/0</v>
      </c>
      <c r="J13" s="517" t="str">
        <f t="shared" si="3"/>
        <v>GA/0</v>
      </c>
      <c r="K13" s="445">
        <v>10.0</v>
      </c>
      <c r="L13" s="517" t="str">
        <f t="shared" si="4"/>
        <v>GA10775-GB</v>
      </c>
    </row>
    <row r="14">
      <c r="B14" s="523">
        <v>1.0</v>
      </c>
      <c r="C14" s="524" t="s">
        <v>1751</v>
      </c>
      <c r="D14" s="524" t="s">
        <v>1740</v>
      </c>
      <c r="E14" s="524" t="s">
        <v>1741</v>
      </c>
      <c r="F14" s="524" t="s">
        <v>1742</v>
      </c>
      <c r="G14" s="445" t="s">
        <v>1352</v>
      </c>
      <c r="H14" s="445" t="str">
        <f t="shared" si="1"/>
        <v>GA</v>
      </c>
      <c r="I14" s="517" t="str">
        <f t="shared" si="2"/>
        <v>/0</v>
      </c>
      <c r="J14" s="517" t="str">
        <f t="shared" si="3"/>
        <v>GA/0</v>
      </c>
      <c r="K14" s="445">
        <v>10.0</v>
      </c>
      <c r="L14" s="517" t="str">
        <f t="shared" si="4"/>
        <v>GA10775-US</v>
      </c>
    </row>
    <row r="15">
      <c r="B15" s="523">
        <v>1.0</v>
      </c>
      <c r="C15" s="524" t="s">
        <v>1752</v>
      </c>
      <c r="D15" s="524" t="s">
        <v>1740</v>
      </c>
      <c r="E15" s="524" t="s">
        <v>1741</v>
      </c>
      <c r="F15" s="524" t="s">
        <v>1742</v>
      </c>
      <c r="G15" s="445" t="s">
        <v>1352</v>
      </c>
      <c r="H15" s="445" t="str">
        <f t="shared" si="1"/>
        <v>GA</v>
      </c>
      <c r="I15" s="517" t="str">
        <f t="shared" si="2"/>
        <v>/0</v>
      </c>
      <c r="J15" s="517" t="str">
        <f t="shared" si="3"/>
        <v>GA/0</v>
      </c>
      <c r="K15" s="445">
        <v>10.0</v>
      </c>
      <c r="L15" s="517" t="str">
        <f t="shared" si="4"/>
        <v>GA10771-US</v>
      </c>
    </row>
    <row r="16">
      <c r="B16" s="523">
        <v>1.0</v>
      </c>
      <c r="C16" s="524" t="s">
        <v>1753</v>
      </c>
      <c r="D16" s="524" t="s">
        <v>1740</v>
      </c>
      <c r="E16" s="524" t="s">
        <v>1741</v>
      </c>
      <c r="F16" s="524" t="s">
        <v>1742</v>
      </c>
      <c r="G16" s="445" t="s">
        <v>1352</v>
      </c>
      <c r="H16" s="445" t="str">
        <f t="shared" si="1"/>
        <v>GA</v>
      </c>
      <c r="I16" s="517" t="str">
        <f t="shared" si="2"/>
        <v>/0</v>
      </c>
      <c r="J16" s="517" t="str">
        <f t="shared" si="3"/>
        <v>GA/0</v>
      </c>
      <c r="K16" s="445">
        <v>10.0</v>
      </c>
      <c r="L16" s="517" t="str">
        <f t="shared" si="4"/>
        <v>GA10773-US</v>
      </c>
    </row>
    <row r="17">
      <c r="B17" s="523">
        <v>1.0</v>
      </c>
      <c r="C17" s="524" t="s">
        <v>1754</v>
      </c>
      <c r="D17" s="524" t="s">
        <v>1740</v>
      </c>
      <c r="E17" s="524" t="s">
        <v>1741</v>
      </c>
      <c r="F17" s="524" t="s">
        <v>1742</v>
      </c>
      <c r="G17" s="445" t="s">
        <v>1352</v>
      </c>
      <c r="H17" s="445" t="str">
        <f t="shared" si="1"/>
        <v>GA</v>
      </c>
      <c r="I17" s="517" t="str">
        <f t="shared" si="2"/>
        <v>/0</v>
      </c>
      <c r="J17" s="517" t="str">
        <f t="shared" si="3"/>
        <v>GA/0</v>
      </c>
      <c r="K17" s="445">
        <v>10.0</v>
      </c>
      <c r="L17" s="517" t="str">
        <f t="shared" si="4"/>
        <v>GA10777-IN</v>
      </c>
    </row>
    <row r="18">
      <c r="B18" s="523">
        <v>1.0</v>
      </c>
      <c r="C18" s="524" t="s">
        <v>1755</v>
      </c>
      <c r="D18" s="524" t="s">
        <v>1740</v>
      </c>
      <c r="E18" s="524" t="s">
        <v>1741</v>
      </c>
      <c r="F18" s="524" t="s">
        <v>1742</v>
      </c>
      <c r="G18" s="445" t="s">
        <v>1352</v>
      </c>
      <c r="H18" s="445" t="str">
        <f t="shared" si="1"/>
        <v>GA</v>
      </c>
      <c r="I18" s="517" t="str">
        <f t="shared" si="2"/>
        <v>-N</v>
      </c>
      <c r="J18" s="517" t="str">
        <f t="shared" si="3"/>
        <v>GA-N</v>
      </c>
      <c r="K18" s="445">
        <v>12.0</v>
      </c>
      <c r="L18" s="517" t="str">
        <f t="shared" si="4"/>
        <v>GA10215-GB-N</v>
      </c>
    </row>
    <row r="19">
      <c r="B19" s="523">
        <v>1.0</v>
      </c>
      <c r="C19" s="524" t="s">
        <v>1756</v>
      </c>
      <c r="D19" s="524" t="s">
        <v>1740</v>
      </c>
      <c r="E19" s="524" t="s">
        <v>1741</v>
      </c>
      <c r="F19" s="524" t="s">
        <v>1742</v>
      </c>
      <c r="G19" s="445" t="s">
        <v>1352</v>
      </c>
      <c r="H19" s="445" t="str">
        <f t="shared" si="1"/>
        <v>GA</v>
      </c>
      <c r="I19" s="517" t="str">
        <f t="shared" si="2"/>
        <v>-N</v>
      </c>
      <c r="J19" s="517" t="str">
        <f t="shared" si="3"/>
        <v>GA-N</v>
      </c>
      <c r="K19" s="445">
        <v>12.0</v>
      </c>
      <c r="L19" s="517" t="str">
        <f t="shared" si="4"/>
        <v>GA10216-GB-N</v>
      </c>
    </row>
    <row r="20">
      <c r="B20" s="523">
        <v>1.0</v>
      </c>
      <c r="C20" s="524" t="s">
        <v>1757</v>
      </c>
      <c r="D20" s="524" t="s">
        <v>1740</v>
      </c>
      <c r="E20" s="524" t="s">
        <v>1741</v>
      </c>
      <c r="F20" s="524" t="s">
        <v>1742</v>
      </c>
      <c r="G20" s="445" t="s">
        <v>1352</v>
      </c>
      <c r="H20" s="445" t="str">
        <f t="shared" si="1"/>
        <v>GA</v>
      </c>
      <c r="I20" s="517" t="str">
        <f t="shared" si="2"/>
        <v>-N</v>
      </c>
      <c r="J20" s="517" t="str">
        <f t="shared" si="3"/>
        <v>GA-N</v>
      </c>
      <c r="K20" s="445">
        <v>12.0</v>
      </c>
      <c r="L20" s="517" t="str">
        <f t="shared" si="4"/>
        <v>GA10214-GB-N</v>
      </c>
    </row>
    <row r="21">
      <c r="B21" s="523">
        <v>1.0</v>
      </c>
      <c r="C21" s="524" t="s">
        <v>1758</v>
      </c>
      <c r="D21" s="524" t="s">
        <v>1740</v>
      </c>
      <c r="E21" s="524" t="s">
        <v>1741</v>
      </c>
      <c r="F21" s="524" t="s">
        <v>1742</v>
      </c>
      <c r="G21" s="445" t="s">
        <v>1352</v>
      </c>
      <c r="H21" s="445" t="str">
        <f t="shared" si="1"/>
        <v>GA</v>
      </c>
      <c r="I21" s="517" t="str">
        <f t="shared" si="2"/>
        <v>-N</v>
      </c>
      <c r="J21" s="517" t="str">
        <f t="shared" si="3"/>
        <v>GA-N</v>
      </c>
      <c r="K21" s="445">
        <v>12.0</v>
      </c>
      <c r="L21" s="517" t="str">
        <f t="shared" si="4"/>
        <v>GA09744-GB-N</v>
      </c>
    </row>
    <row r="22">
      <c r="B22" s="523">
        <v>1.0</v>
      </c>
      <c r="C22" s="524" t="s">
        <v>1759</v>
      </c>
      <c r="D22" s="524" t="s">
        <v>1740</v>
      </c>
      <c r="E22" s="524" t="s">
        <v>1741</v>
      </c>
      <c r="F22" s="524" t="s">
        <v>1760</v>
      </c>
      <c r="G22" s="445" t="s">
        <v>1352</v>
      </c>
      <c r="H22" s="445" t="str">
        <f t="shared" si="1"/>
        <v>GA</v>
      </c>
      <c r="I22" s="517" t="str">
        <f t="shared" si="2"/>
        <v>/0</v>
      </c>
      <c r="J22" s="517" t="str">
        <f t="shared" si="3"/>
        <v>GA/0</v>
      </c>
      <c r="K22" s="445">
        <v>10.0</v>
      </c>
      <c r="L22" s="517" t="str">
        <f t="shared" si="4"/>
        <v>GA10219-IN</v>
      </c>
    </row>
    <row r="23">
      <c r="B23" s="523">
        <v>1.0</v>
      </c>
      <c r="C23" s="524" t="s">
        <v>1761</v>
      </c>
      <c r="D23" s="524" t="s">
        <v>1740</v>
      </c>
      <c r="E23" s="524" t="s">
        <v>1741</v>
      </c>
      <c r="F23" s="524" t="s">
        <v>1760</v>
      </c>
      <c r="G23" s="445" t="s">
        <v>1352</v>
      </c>
      <c r="H23" s="445" t="str">
        <f t="shared" si="1"/>
        <v>GA</v>
      </c>
      <c r="I23" s="517" t="str">
        <f t="shared" si="2"/>
        <v>/0</v>
      </c>
      <c r="J23" s="517" t="str">
        <f t="shared" si="3"/>
        <v>GA/0</v>
      </c>
      <c r="K23" s="445">
        <v>10.0</v>
      </c>
      <c r="L23" s="517" t="str">
        <f t="shared" si="4"/>
        <v>GA09883-IN</v>
      </c>
    </row>
    <row r="24">
      <c r="B24" s="523">
        <v>1.0</v>
      </c>
      <c r="C24" s="524" t="s">
        <v>1762</v>
      </c>
      <c r="D24" s="524" t="s">
        <v>1740</v>
      </c>
      <c r="E24" s="524" t="s">
        <v>1741</v>
      </c>
      <c r="F24" s="524" t="s">
        <v>1760</v>
      </c>
      <c r="G24" s="445" t="s">
        <v>1352</v>
      </c>
      <c r="H24" s="445" t="str">
        <f t="shared" si="1"/>
        <v>GA</v>
      </c>
      <c r="I24" s="517" t="str">
        <f t="shared" si="2"/>
        <v>/0</v>
      </c>
      <c r="J24" s="517" t="str">
        <f t="shared" si="3"/>
        <v>GA/0</v>
      </c>
      <c r="K24" s="445">
        <v>10.0</v>
      </c>
      <c r="L24" s="517" t="str">
        <f t="shared" si="4"/>
        <v>GA10217-IN</v>
      </c>
    </row>
    <row r="25">
      <c r="B25" s="523">
        <v>1.0</v>
      </c>
      <c r="C25" s="524" t="s">
        <v>1763</v>
      </c>
      <c r="D25" s="524" t="s">
        <v>1740</v>
      </c>
      <c r="E25" s="524" t="s">
        <v>1741</v>
      </c>
      <c r="F25" s="524" t="s">
        <v>1760</v>
      </c>
      <c r="G25" s="445" t="s">
        <v>1352</v>
      </c>
      <c r="H25" s="445" t="str">
        <f t="shared" si="1"/>
        <v>GA</v>
      </c>
      <c r="I25" s="517" t="str">
        <f t="shared" si="2"/>
        <v>/0</v>
      </c>
      <c r="J25" s="517" t="str">
        <f t="shared" si="3"/>
        <v>GA/0</v>
      </c>
      <c r="K25" s="445">
        <v>10.0</v>
      </c>
      <c r="L25" s="517" t="str">
        <f t="shared" si="4"/>
        <v>GA10218-IN</v>
      </c>
    </row>
    <row r="26">
      <c r="B26" s="523">
        <v>1.0</v>
      </c>
      <c r="C26" s="524" t="s">
        <v>1764</v>
      </c>
      <c r="D26" s="524" t="s">
        <v>1740</v>
      </c>
      <c r="E26" s="524" t="s">
        <v>1741</v>
      </c>
      <c r="F26" s="524" t="s">
        <v>1742</v>
      </c>
      <c r="G26" s="445" t="s">
        <v>1352</v>
      </c>
      <c r="H26" s="445" t="str">
        <f t="shared" si="1"/>
        <v>GA</v>
      </c>
      <c r="I26" s="517" t="str">
        <f t="shared" si="2"/>
        <v>/0</v>
      </c>
      <c r="J26" s="517" t="str">
        <f t="shared" si="3"/>
        <v>GA/0</v>
      </c>
      <c r="K26" s="445">
        <v>10.0</v>
      </c>
      <c r="L26" s="517" t="str">
        <f t="shared" si="4"/>
        <v>GA10774-US</v>
      </c>
    </row>
    <row r="27">
      <c r="B27" s="523">
        <v>1.0</v>
      </c>
      <c r="C27" s="524" t="s">
        <v>1765</v>
      </c>
      <c r="D27" s="524" t="s">
        <v>1740</v>
      </c>
      <c r="E27" s="524" t="s">
        <v>1741</v>
      </c>
      <c r="F27" s="524" t="s">
        <v>1766</v>
      </c>
      <c r="G27" s="445" t="s">
        <v>1352</v>
      </c>
      <c r="H27" s="445" t="str">
        <f t="shared" si="1"/>
        <v>GA</v>
      </c>
      <c r="I27" s="517" t="str">
        <f t="shared" si="2"/>
        <v>/0</v>
      </c>
      <c r="J27" s="517" t="str">
        <f t="shared" si="3"/>
        <v>GA/0</v>
      </c>
      <c r="K27" s="445">
        <v>10.0</v>
      </c>
      <c r="L27" s="517" t="str">
        <f t="shared" si="4"/>
        <v>GA11019-US</v>
      </c>
    </row>
    <row r="28">
      <c r="B28" s="523">
        <v>1.0</v>
      </c>
      <c r="C28" s="524" t="s">
        <v>1767</v>
      </c>
      <c r="D28" s="524" t="s">
        <v>1740</v>
      </c>
      <c r="E28" s="524" t="s">
        <v>1741</v>
      </c>
      <c r="F28" s="524" t="s">
        <v>1766</v>
      </c>
      <c r="G28" s="445" t="s">
        <v>1352</v>
      </c>
      <c r="H28" s="445" t="str">
        <f t="shared" si="1"/>
        <v>GA</v>
      </c>
      <c r="I28" s="517" t="str">
        <f t="shared" si="2"/>
        <v>/0</v>
      </c>
      <c r="J28" s="517" t="str">
        <f t="shared" si="3"/>
        <v>GA/0</v>
      </c>
      <c r="K28" s="445">
        <v>10.0</v>
      </c>
      <c r="L28" s="517" t="str">
        <f t="shared" si="4"/>
        <v>GA10217-JP</v>
      </c>
    </row>
    <row r="29">
      <c r="B29" s="523">
        <v>1.0</v>
      </c>
      <c r="C29" s="524" t="s">
        <v>1768</v>
      </c>
      <c r="D29" s="524" t="s">
        <v>1740</v>
      </c>
      <c r="E29" s="524" t="s">
        <v>1741</v>
      </c>
      <c r="F29" s="524" t="s">
        <v>1766</v>
      </c>
      <c r="G29" s="445" t="s">
        <v>1352</v>
      </c>
      <c r="H29" s="445" t="str">
        <f t="shared" si="1"/>
        <v>GA</v>
      </c>
      <c r="I29" s="517" t="str">
        <f t="shared" si="2"/>
        <v>/0</v>
      </c>
      <c r="J29" s="517" t="str">
        <f t="shared" si="3"/>
        <v>GA/0</v>
      </c>
      <c r="K29" s="445">
        <v>10.0</v>
      </c>
      <c r="L29" s="517" t="str">
        <f t="shared" si="4"/>
        <v>GA10217-US</v>
      </c>
    </row>
    <row r="30">
      <c r="B30" s="523">
        <v>1.0</v>
      </c>
      <c r="C30" s="524" t="s">
        <v>1769</v>
      </c>
      <c r="D30" s="524" t="s">
        <v>1740</v>
      </c>
      <c r="E30" s="524" t="s">
        <v>1741</v>
      </c>
      <c r="F30" s="524" t="s">
        <v>1766</v>
      </c>
      <c r="G30" s="445" t="s">
        <v>1352</v>
      </c>
      <c r="H30" s="445" t="str">
        <f t="shared" si="1"/>
        <v>GA</v>
      </c>
      <c r="I30" s="517" t="str">
        <f t="shared" si="2"/>
        <v>/0</v>
      </c>
      <c r="J30" s="517" t="str">
        <f t="shared" si="3"/>
        <v>GA/0</v>
      </c>
      <c r="K30" s="445">
        <v>10.0</v>
      </c>
      <c r="L30" s="517" t="str">
        <f t="shared" si="4"/>
        <v>GA09744-GB</v>
      </c>
    </row>
    <row r="31">
      <c r="B31" s="523">
        <v>1.0</v>
      </c>
      <c r="C31" s="524" t="s">
        <v>1770</v>
      </c>
      <c r="D31" s="524" t="s">
        <v>1740</v>
      </c>
      <c r="E31" s="524" t="s">
        <v>1741</v>
      </c>
      <c r="F31" s="524" t="s">
        <v>1766</v>
      </c>
      <c r="G31" s="445" t="s">
        <v>1352</v>
      </c>
      <c r="H31" s="445" t="str">
        <f t="shared" si="1"/>
        <v>GA</v>
      </c>
      <c r="I31" s="517" t="str">
        <f t="shared" si="2"/>
        <v>/0</v>
      </c>
      <c r="J31" s="517" t="str">
        <f t="shared" si="3"/>
        <v>GA/0</v>
      </c>
      <c r="K31" s="445">
        <v>10.0</v>
      </c>
      <c r="L31" s="517" t="str">
        <f t="shared" si="4"/>
        <v>GA10215-JP</v>
      </c>
    </row>
    <row r="32">
      <c r="B32" s="523">
        <v>1.0</v>
      </c>
      <c r="C32" s="524" t="s">
        <v>1771</v>
      </c>
      <c r="D32" s="524" t="s">
        <v>1740</v>
      </c>
      <c r="E32" s="524" t="s">
        <v>1741</v>
      </c>
      <c r="F32" s="524" t="s">
        <v>1766</v>
      </c>
      <c r="G32" s="445" t="s">
        <v>1352</v>
      </c>
      <c r="H32" s="445" t="str">
        <f t="shared" si="1"/>
        <v>GA</v>
      </c>
      <c r="I32" s="517" t="str">
        <f t="shared" si="2"/>
        <v>/0</v>
      </c>
      <c r="J32" s="517" t="str">
        <f t="shared" si="3"/>
        <v>GA/0</v>
      </c>
      <c r="K32" s="445">
        <v>10.0</v>
      </c>
      <c r="L32" s="517" t="str">
        <f t="shared" si="4"/>
        <v>GA09883-CA</v>
      </c>
    </row>
    <row r="33">
      <c r="B33" s="523">
        <v>1.0</v>
      </c>
      <c r="C33" s="524" t="s">
        <v>1772</v>
      </c>
      <c r="D33" s="524" t="s">
        <v>1740</v>
      </c>
      <c r="E33" s="524" t="s">
        <v>1741</v>
      </c>
      <c r="F33" s="524" t="s">
        <v>1766</v>
      </c>
      <c r="G33" s="445" t="s">
        <v>1352</v>
      </c>
      <c r="H33" s="445" t="str">
        <f t="shared" si="1"/>
        <v>GA</v>
      </c>
      <c r="I33" s="517" t="str">
        <f t="shared" si="2"/>
        <v>/0</v>
      </c>
      <c r="J33" s="517" t="str">
        <f t="shared" si="3"/>
        <v>GA/0</v>
      </c>
      <c r="K33" s="445">
        <v>10.0</v>
      </c>
      <c r="L33" s="517" t="str">
        <f t="shared" si="4"/>
        <v>GA09883-US</v>
      </c>
    </row>
    <row r="34">
      <c r="B34" s="523">
        <v>1.0</v>
      </c>
      <c r="C34" s="524" t="s">
        <v>1773</v>
      </c>
      <c r="D34" s="524" t="s">
        <v>1740</v>
      </c>
      <c r="E34" s="524" t="s">
        <v>1741</v>
      </c>
      <c r="F34" s="524" t="s">
        <v>1766</v>
      </c>
      <c r="G34" s="445" t="s">
        <v>1352</v>
      </c>
      <c r="H34" s="445" t="str">
        <f t="shared" si="1"/>
        <v>GA</v>
      </c>
      <c r="I34" s="517" t="str">
        <f t="shared" si="2"/>
        <v>/0</v>
      </c>
      <c r="J34" s="517" t="str">
        <f t="shared" si="3"/>
        <v>GA/0</v>
      </c>
      <c r="K34" s="445">
        <v>10.0</v>
      </c>
      <c r="L34" s="517" t="str">
        <f t="shared" si="4"/>
        <v>GA10216-JP</v>
      </c>
    </row>
    <row r="35">
      <c r="B35" s="523">
        <v>1.0</v>
      </c>
      <c r="C35" s="524" t="s">
        <v>1774</v>
      </c>
      <c r="D35" s="524" t="s">
        <v>1740</v>
      </c>
      <c r="E35" s="524" t="s">
        <v>1741</v>
      </c>
      <c r="F35" s="524" t="s">
        <v>1766</v>
      </c>
      <c r="G35" s="445" t="s">
        <v>1352</v>
      </c>
      <c r="H35" s="445" t="str">
        <f t="shared" si="1"/>
        <v>GA</v>
      </c>
      <c r="I35" s="517" t="str">
        <f t="shared" si="2"/>
        <v>/0</v>
      </c>
      <c r="J35" s="517" t="str">
        <f t="shared" si="3"/>
        <v>GA/0</v>
      </c>
      <c r="K35" s="445">
        <v>10.0</v>
      </c>
      <c r="L35" s="517" t="str">
        <f t="shared" si="4"/>
        <v>GA10218-CA</v>
      </c>
    </row>
    <row r="36">
      <c r="B36" s="523">
        <v>1.0</v>
      </c>
      <c r="C36" s="524" t="s">
        <v>1775</v>
      </c>
      <c r="D36" s="524" t="s">
        <v>1740</v>
      </c>
      <c r="E36" s="524" t="s">
        <v>1741</v>
      </c>
      <c r="F36" s="524" t="s">
        <v>1766</v>
      </c>
      <c r="G36" s="445" t="s">
        <v>1352</v>
      </c>
      <c r="H36" s="445" t="str">
        <f t="shared" si="1"/>
        <v>GA</v>
      </c>
      <c r="I36" s="517" t="str">
        <f t="shared" si="2"/>
        <v>/0</v>
      </c>
      <c r="J36" s="517" t="str">
        <f t="shared" si="3"/>
        <v>GA/0</v>
      </c>
      <c r="K36" s="445">
        <v>10.0</v>
      </c>
      <c r="L36" s="517" t="str">
        <f t="shared" si="4"/>
        <v>GA10219-US</v>
      </c>
    </row>
    <row r="37">
      <c r="B37" s="523">
        <v>1.0</v>
      </c>
      <c r="C37" s="524" t="s">
        <v>1776</v>
      </c>
      <c r="D37" s="524" t="s">
        <v>1740</v>
      </c>
      <c r="E37" s="524" t="s">
        <v>1741</v>
      </c>
      <c r="F37" s="524" t="s">
        <v>1766</v>
      </c>
      <c r="G37" s="445" t="s">
        <v>1352</v>
      </c>
      <c r="H37" s="445" t="str">
        <f t="shared" si="1"/>
        <v>GA</v>
      </c>
      <c r="I37" s="517" t="str">
        <f t="shared" si="2"/>
        <v>/0</v>
      </c>
      <c r="J37" s="517" t="str">
        <f t="shared" si="3"/>
        <v>GA/0</v>
      </c>
      <c r="K37" s="445">
        <v>10.0</v>
      </c>
      <c r="L37" s="517" t="str">
        <f t="shared" si="4"/>
        <v>GA09744-CA</v>
      </c>
    </row>
    <row r="38">
      <c r="B38" s="523">
        <v>1.0</v>
      </c>
      <c r="C38" s="524" t="s">
        <v>1777</v>
      </c>
      <c r="D38" s="524" t="s">
        <v>1740</v>
      </c>
      <c r="E38" s="524" t="s">
        <v>1741</v>
      </c>
      <c r="F38" s="524" t="s">
        <v>1766</v>
      </c>
      <c r="G38" s="445" t="s">
        <v>1352</v>
      </c>
      <c r="H38" s="445" t="str">
        <f t="shared" si="1"/>
        <v>GA</v>
      </c>
      <c r="I38" s="517" t="str">
        <f t="shared" si="2"/>
        <v>/0</v>
      </c>
      <c r="J38" s="517" t="str">
        <f t="shared" si="3"/>
        <v>GA/0</v>
      </c>
      <c r="K38" s="445">
        <v>10.0</v>
      </c>
      <c r="L38" s="517" t="str">
        <f t="shared" si="4"/>
        <v>GA10214-JP</v>
      </c>
    </row>
    <row r="39">
      <c r="B39" s="523">
        <v>1.0</v>
      </c>
      <c r="C39" s="524" t="s">
        <v>1778</v>
      </c>
      <c r="D39" s="524" t="s">
        <v>1740</v>
      </c>
      <c r="E39" s="524" t="s">
        <v>1741</v>
      </c>
      <c r="F39" s="524" t="s">
        <v>1766</v>
      </c>
      <c r="G39" s="445" t="s">
        <v>1352</v>
      </c>
      <c r="H39" s="445" t="str">
        <f t="shared" si="1"/>
        <v>GA</v>
      </c>
      <c r="I39" s="517" t="str">
        <f t="shared" si="2"/>
        <v>/0</v>
      </c>
      <c r="J39" s="517" t="str">
        <f t="shared" si="3"/>
        <v>GA/0</v>
      </c>
      <c r="K39" s="445">
        <v>10.0</v>
      </c>
      <c r="L39" s="517" t="str">
        <f t="shared" si="4"/>
        <v>GA09883-JP</v>
      </c>
    </row>
    <row r="40">
      <c r="B40" s="523">
        <v>1.0</v>
      </c>
      <c r="C40" s="524" t="s">
        <v>1779</v>
      </c>
      <c r="D40" s="524" t="s">
        <v>1740</v>
      </c>
      <c r="E40" s="524" t="s">
        <v>1741</v>
      </c>
      <c r="F40" s="524" t="s">
        <v>1766</v>
      </c>
      <c r="G40" s="445" t="s">
        <v>1352</v>
      </c>
      <c r="H40" s="445" t="str">
        <f t="shared" si="1"/>
        <v>GA</v>
      </c>
      <c r="I40" s="517" t="str">
        <f t="shared" si="2"/>
        <v>/0</v>
      </c>
      <c r="J40" s="517" t="str">
        <f t="shared" si="3"/>
        <v>GA/0</v>
      </c>
      <c r="K40" s="445">
        <v>10.0</v>
      </c>
      <c r="L40" s="517" t="str">
        <f t="shared" si="4"/>
        <v>GA10218-US</v>
      </c>
    </row>
    <row r="41">
      <c r="B41" s="523">
        <v>1.0</v>
      </c>
      <c r="C41" s="524" t="s">
        <v>1780</v>
      </c>
      <c r="D41" s="524" t="s">
        <v>1740</v>
      </c>
      <c r="E41" s="524" t="s">
        <v>1741</v>
      </c>
      <c r="F41" s="524" t="s">
        <v>1766</v>
      </c>
      <c r="G41" s="445" t="s">
        <v>1352</v>
      </c>
      <c r="H41" s="445" t="str">
        <f t="shared" si="1"/>
        <v>GA</v>
      </c>
      <c r="I41" s="517" t="str">
        <f t="shared" si="2"/>
        <v>/0</v>
      </c>
      <c r="J41" s="517" t="str">
        <f t="shared" si="3"/>
        <v>GA/0</v>
      </c>
      <c r="K41" s="445">
        <v>10.0</v>
      </c>
      <c r="L41" s="517" t="str">
        <f t="shared" si="4"/>
        <v>GA10219-CA</v>
      </c>
    </row>
    <row r="42">
      <c r="B42" s="523">
        <v>1.0</v>
      </c>
      <c r="C42" s="524" t="s">
        <v>1781</v>
      </c>
      <c r="D42" s="524" t="s">
        <v>1740</v>
      </c>
      <c r="E42" s="524" t="s">
        <v>1741</v>
      </c>
      <c r="F42" s="524" t="s">
        <v>1766</v>
      </c>
      <c r="G42" s="445" t="s">
        <v>1352</v>
      </c>
      <c r="H42" s="445" t="str">
        <f t="shared" si="1"/>
        <v>GA</v>
      </c>
      <c r="I42" s="517" t="str">
        <f t="shared" si="2"/>
        <v>/0</v>
      </c>
      <c r="J42" s="517" t="str">
        <f t="shared" si="3"/>
        <v>GA/0</v>
      </c>
      <c r="K42" s="445">
        <v>10.0</v>
      </c>
      <c r="L42" s="517" t="str">
        <f t="shared" si="4"/>
        <v>GA09744-JP</v>
      </c>
    </row>
    <row r="43">
      <c r="B43" s="523">
        <v>1.0</v>
      </c>
      <c r="C43" s="524" t="s">
        <v>1782</v>
      </c>
      <c r="D43" s="524" t="s">
        <v>1740</v>
      </c>
      <c r="E43" s="524" t="s">
        <v>1741</v>
      </c>
      <c r="F43" s="524" t="s">
        <v>1766</v>
      </c>
      <c r="G43" s="445" t="s">
        <v>1352</v>
      </c>
      <c r="H43" s="445" t="str">
        <f t="shared" si="1"/>
        <v>GA</v>
      </c>
      <c r="I43" s="517" t="str">
        <f t="shared" si="2"/>
        <v>/0</v>
      </c>
      <c r="J43" s="517" t="str">
        <f t="shared" si="3"/>
        <v>GA/0</v>
      </c>
      <c r="K43" s="445">
        <v>10.0</v>
      </c>
      <c r="L43" s="517" t="str">
        <f t="shared" si="4"/>
        <v>GA09882-US</v>
      </c>
    </row>
    <row r="44">
      <c r="B44" s="523">
        <v>1.0</v>
      </c>
      <c r="C44" s="524" t="s">
        <v>1783</v>
      </c>
      <c r="D44" s="524" t="s">
        <v>1740</v>
      </c>
      <c r="E44" s="524" t="s">
        <v>1741</v>
      </c>
      <c r="F44" s="524" t="s">
        <v>1766</v>
      </c>
      <c r="G44" s="445" t="s">
        <v>1352</v>
      </c>
      <c r="H44" s="445" t="str">
        <f t="shared" si="1"/>
        <v>GA</v>
      </c>
      <c r="I44" s="517" t="str">
        <f t="shared" si="2"/>
        <v>/0</v>
      </c>
      <c r="J44" s="517" t="str">
        <f t="shared" si="3"/>
        <v>GA/0</v>
      </c>
      <c r="K44" s="445">
        <v>10.0</v>
      </c>
      <c r="L44" s="517" t="str">
        <f t="shared" si="4"/>
        <v>GA10216-CA</v>
      </c>
    </row>
    <row r="45">
      <c r="B45" s="523">
        <v>1.0</v>
      </c>
      <c r="C45" s="524" t="s">
        <v>1784</v>
      </c>
      <c r="D45" s="524" t="s">
        <v>1740</v>
      </c>
      <c r="E45" s="524" t="s">
        <v>1741</v>
      </c>
      <c r="F45" s="524" t="s">
        <v>1766</v>
      </c>
      <c r="G45" s="445" t="s">
        <v>1352</v>
      </c>
      <c r="H45" s="445" t="str">
        <f t="shared" si="1"/>
        <v>GA</v>
      </c>
      <c r="I45" s="517" t="str">
        <f t="shared" si="2"/>
        <v>/0</v>
      </c>
      <c r="J45" s="517" t="str">
        <f t="shared" si="3"/>
        <v>GA/0</v>
      </c>
      <c r="K45" s="445">
        <v>10.0</v>
      </c>
      <c r="L45" s="517" t="str">
        <f t="shared" si="4"/>
        <v>GA10252-US</v>
      </c>
    </row>
    <row r="46">
      <c r="B46" s="523">
        <v>1.0</v>
      </c>
      <c r="C46" s="524" t="s">
        <v>1785</v>
      </c>
      <c r="D46" s="524" t="s">
        <v>1740</v>
      </c>
      <c r="E46" s="524" t="s">
        <v>1741</v>
      </c>
      <c r="F46" s="524" t="s">
        <v>1766</v>
      </c>
      <c r="G46" s="445" t="s">
        <v>1352</v>
      </c>
      <c r="H46" s="445" t="str">
        <f t="shared" si="1"/>
        <v>GA</v>
      </c>
      <c r="I46" s="517" t="str">
        <f t="shared" si="2"/>
        <v>/0</v>
      </c>
      <c r="J46" s="517" t="str">
        <f t="shared" si="3"/>
        <v>GA/0</v>
      </c>
      <c r="K46" s="445">
        <v>10.0</v>
      </c>
      <c r="L46" s="517" t="str">
        <f t="shared" si="4"/>
        <v>GA10214-CA</v>
      </c>
    </row>
    <row r="47">
      <c r="B47" s="523">
        <v>1.0</v>
      </c>
      <c r="C47" s="524" t="s">
        <v>1786</v>
      </c>
      <c r="D47" s="524" t="s">
        <v>1740</v>
      </c>
      <c r="E47" s="524" t="s">
        <v>1741</v>
      </c>
      <c r="F47" s="524" t="s">
        <v>1766</v>
      </c>
      <c r="G47" s="445" t="s">
        <v>1352</v>
      </c>
      <c r="H47" s="445" t="str">
        <f t="shared" si="1"/>
        <v>GA</v>
      </c>
      <c r="I47" s="517" t="str">
        <f t="shared" si="2"/>
        <v>/0</v>
      </c>
      <c r="J47" s="517" t="str">
        <f t="shared" si="3"/>
        <v>GA/0</v>
      </c>
      <c r="K47" s="445">
        <v>10.0</v>
      </c>
      <c r="L47" s="517" t="str">
        <f t="shared" si="4"/>
        <v>GA10219-GB</v>
      </c>
    </row>
    <row r="48">
      <c r="B48" s="523">
        <v>1.0</v>
      </c>
      <c r="C48" s="524" t="s">
        <v>1787</v>
      </c>
      <c r="D48" s="524" t="s">
        <v>1740</v>
      </c>
      <c r="E48" s="524" t="s">
        <v>1741</v>
      </c>
      <c r="F48" s="524" t="s">
        <v>1766</v>
      </c>
      <c r="G48" s="445" t="s">
        <v>1352</v>
      </c>
      <c r="H48" s="445" t="str">
        <f t="shared" si="1"/>
        <v>GA</v>
      </c>
      <c r="I48" s="517" t="str">
        <f t="shared" si="2"/>
        <v>/0</v>
      </c>
      <c r="J48" s="517" t="str">
        <f t="shared" si="3"/>
        <v>GA/0</v>
      </c>
      <c r="K48" s="445">
        <v>10.0</v>
      </c>
      <c r="L48" s="517" t="str">
        <f t="shared" si="4"/>
        <v>GA10246-US</v>
      </c>
    </row>
    <row r="49">
      <c r="B49" s="523">
        <v>1.0</v>
      </c>
      <c r="C49" s="524" t="s">
        <v>1788</v>
      </c>
      <c r="D49" s="524" t="s">
        <v>1740</v>
      </c>
      <c r="E49" s="524" t="s">
        <v>1741</v>
      </c>
      <c r="F49" s="524" t="s">
        <v>1766</v>
      </c>
      <c r="G49" s="445" t="s">
        <v>1352</v>
      </c>
      <c r="H49" s="445" t="str">
        <f t="shared" si="1"/>
        <v>GA</v>
      </c>
      <c r="I49" s="517" t="str">
        <f t="shared" si="2"/>
        <v>/0</v>
      </c>
      <c r="J49" s="517" t="str">
        <f t="shared" si="3"/>
        <v>GA/0</v>
      </c>
      <c r="K49" s="445">
        <v>10.0</v>
      </c>
      <c r="L49" s="517" t="str">
        <f t="shared" si="4"/>
        <v>GA09744-US</v>
      </c>
    </row>
    <row r="50">
      <c r="B50" s="523">
        <v>1.0</v>
      </c>
      <c r="C50" s="524" t="s">
        <v>1789</v>
      </c>
      <c r="D50" s="524" t="s">
        <v>1740</v>
      </c>
      <c r="E50" s="524" t="s">
        <v>1741</v>
      </c>
      <c r="F50" s="524" t="s">
        <v>1766</v>
      </c>
      <c r="G50" s="445" t="s">
        <v>1352</v>
      </c>
      <c r="H50" s="445" t="str">
        <f t="shared" si="1"/>
        <v>GA</v>
      </c>
      <c r="I50" s="517" t="str">
        <f t="shared" si="2"/>
        <v>/0</v>
      </c>
      <c r="J50" s="517" t="str">
        <f t="shared" si="3"/>
        <v>GA/0</v>
      </c>
      <c r="K50" s="445">
        <v>10.0</v>
      </c>
      <c r="L50" s="517" t="str">
        <f t="shared" si="4"/>
        <v>GA10215-CA</v>
      </c>
    </row>
    <row r="51">
      <c r="B51" s="523">
        <v>1.0</v>
      </c>
      <c r="C51" s="524" t="s">
        <v>1790</v>
      </c>
      <c r="D51" s="524" t="s">
        <v>1740</v>
      </c>
      <c r="E51" s="524" t="s">
        <v>1741</v>
      </c>
      <c r="F51" s="524" t="s">
        <v>1766</v>
      </c>
      <c r="G51" s="445" t="s">
        <v>1352</v>
      </c>
      <c r="H51" s="445" t="str">
        <f t="shared" si="1"/>
        <v>GA</v>
      </c>
      <c r="I51" s="517" t="str">
        <f t="shared" si="2"/>
        <v>/0</v>
      </c>
      <c r="J51" s="517" t="str">
        <f t="shared" si="3"/>
        <v>GA/0</v>
      </c>
      <c r="K51" s="445">
        <v>10.0</v>
      </c>
      <c r="L51" s="517" t="str">
        <f t="shared" si="4"/>
        <v>GA10243-US</v>
      </c>
    </row>
    <row r="52">
      <c r="B52" s="523">
        <v>1.0</v>
      </c>
      <c r="C52" s="524" t="s">
        <v>1791</v>
      </c>
      <c r="D52" s="524" t="s">
        <v>1740</v>
      </c>
      <c r="E52" s="524" t="s">
        <v>1741</v>
      </c>
      <c r="F52" s="524" t="s">
        <v>1766</v>
      </c>
      <c r="G52" s="445" t="s">
        <v>1352</v>
      </c>
      <c r="H52" s="445" t="str">
        <f t="shared" si="1"/>
        <v>GA</v>
      </c>
      <c r="I52" s="517" t="str">
        <f t="shared" si="2"/>
        <v>/0</v>
      </c>
      <c r="J52" s="517" t="str">
        <f t="shared" si="3"/>
        <v>GA/0</v>
      </c>
      <c r="K52" s="445">
        <v>10.0</v>
      </c>
      <c r="L52" s="517" t="str">
        <f t="shared" si="4"/>
        <v>GA10218-JP</v>
      </c>
    </row>
    <row r="53">
      <c r="B53" s="523">
        <v>1.0</v>
      </c>
      <c r="C53" s="524" t="s">
        <v>1792</v>
      </c>
      <c r="D53" s="524" t="s">
        <v>1740</v>
      </c>
      <c r="E53" s="524" t="s">
        <v>1741</v>
      </c>
      <c r="F53" s="524" t="s">
        <v>1766</v>
      </c>
      <c r="G53" s="445" t="s">
        <v>1352</v>
      </c>
      <c r="H53" s="445" t="str">
        <f t="shared" si="1"/>
        <v>GA</v>
      </c>
      <c r="I53" s="517" t="str">
        <f t="shared" si="2"/>
        <v>/0</v>
      </c>
      <c r="J53" s="517" t="str">
        <f t="shared" si="3"/>
        <v>GA/0</v>
      </c>
      <c r="K53" s="445">
        <v>10.0</v>
      </c>
      <c r="L53" s="517" t="str">
        <f t="shared" si="4"/>
        <v>GA09883-GB</v>
      </c>
    </row>
    <row r="54">
      <c r="B54" s="523">
        <v>1.0</v>
      </c>
      <c r="C54" s="524" t="s">
        <v>1793</v>
      </c>
      <c r="D54" s="524" t="s">
        <v>1740</v>
      </c>
      <c r="E54" s="524" t="s">
        <v>1741</v>
      </c>
      <c r="F54" s="524" t="s">
        <v>1766</v>
      </c>
      <c r="G54" s="445" t="s">
        <v>1352</v>
      </c>
      <c r="H54" s="445" t="str">
        <f t="shared" si="1"/>
        <v>GA</v>
      </c>
      <c r="I54" s="517" t="str">
        <f t="shared" si="2"/>
        <v>/0</v>
      </c>
      <c r="J54" s="517" t="str">
        <f t="shared" si="3"/>
        <v>GA/0</v>
      </c>
      <c r="K54" s="445">
        <v>10.0</v>
      </c>
      <c r="L54" s="517" t="str">
        <f t="shared" si="4"/>
        <v>GA09861-US</v>
      </c>
    </row>
    <row r="55">
      <c r="B55" s="523">
        <v>1.0</v>
      </c>
      <c r="C55" s="524" t="s">
        <v>1794</v>
      </c>
      <c r="D55" s="524" t="s">
        <v>1740</v>
      </c>
      <c r="E55" s="524" t="s">
        <v>1741</v>
      </c>
      <c r="F55" s="524" t="s">
        <v>1766</v>
      </c>
      <c r="G55" s="445" t="s">
        <v>1352</v>
      </c>
      <c r="H55" s="445" t="str">
        <f t="shared" si="1"/>
        <v>GA</v>
      </c>
      <c r="I55" s="517" t="str">
        <f t="shared" si="2"/>
        <v>/0</v>
      </c>
      <c r="J55" s="517" t="str">
        <f t="shared" si="3"/>
        <v>GA/0</v>
      </c>
      <c r="K55" s="445">
        <v>10.0</v>
      </c>
      <c r="L55" s="517" t="str">
        <f t="shared" si="4"/>
        <v>GA10217-CA</v>
      </c>
    </row>
    <row r="56">
      <c r="B56" s="523">
        <v>1.0</v>
      </c>
      <c r="C56" s="524" t="s">
        <v>1795</v>
      </c>
      <c r="D56" s="524" t="s">
        <v>1740</v>
      </c>
      <c r="E56" s="524" t="s">
        <v>1741</v>
      </c>
      <c r="F56" s="524" t="s">
        <v>1766</v>
      </c>
      <c r="G56" s="445" t="s">
        <v>1352</v>
      </c>
      <c r="H56" s="445" t="str">
        <f t="shared" si="1"/>
        <v>GA</v>
      </c>
      <c r="I56" s="517" t="str">
        <f t="shared" si="2"/>
        <v>/0</v>
      </c>
      <c r="J56" s="517" t="str">
        <f t="shared" si="3"/>
        <v>GA/0</v>
      </c>
      <c r="K56" s="445">
        <v>10.0</v>
      </c>
      <c r="L56" s="517" t="str">
        <f t="shared" si="4"/>
        <v>GA10214-GB</v>
      </c>
    </row>
    <row r="57">
      <c r="B57" s="523">
        <v>1.0</v>
      </c>
      <c r="C57" s="524" t="s">
        <v>1796</v>
      </c>
      <c r="D57" s="524" t="s">
        <v>1740</v>
      </c>
      <c r="E57" s="524" t="s">
        <v>1741</v>
      </c>
      <c r="F57" s="524" t="s">
        <v>1766</v>
      </c>
      <c r="G57" s="445" t="s">
        <v>1352</v>
      </c>
      <c r="H57" s="445" t="str">
        <f t="shared" si="1"/>
        <v>GA</v>
      </c>
      <c r="I57" s="517" t="str">
        <f t="shared" si="2"/>
        <v>/0</v>
      </c>
      <c r="J57" s="517" t="str">
        <f t="shared" si="3"/>
        <v>GA/0</v>
      </c>
      <c r="K57" s="445">
        <v>10.0</v>
      </c>
      <c r="L57" s="517" t="str">
        <f t="shared" si="4"/>
        <v>GA09880-US</v>
      </c>
    </row>
    <row r="58">
      <c r="B58" s="523">
        <v>1.0</v>
      </c>
      <c r="C58" s="524" t="s">
        <v>1797</v>
      </c>
      <c r="D58" s="524" t="s">
        <v>1740</v>
      </c>
      <c r="E58" s="524" t="s">
        <v>1741</v>
      </c>
      <c r="F58" s="524" t="s">
        <v>1766</v>
      </c>
      <c r="G58" s="445" t="s">
        <v>1352</v>
      </c>
      <c r="H58" s="445" t="str">
        <f t="shared" si="1"/>
        <v>GA</v>
      </c>
      <c r="I58" s="517" t="str">
        <f t="shared" si="2"/>
        <v>/0</v>
      </c>
      <c r="J58" s="517" t="str">
        <f t="shared" si="3"/>
        <v>GA/0</v>
      </c>
      <c r="K58" s="445">
        <v>10.0</v>
      </c>
      <c r="L58" s="517" t="str">
        <f t="shared" si="4"/>
        <v>GA10216-GB</v>
      </c>
    </row>
    <row r="59">
      <c r="B59" s="523">
        <v>1.0</v>
      </c>
      <c r="C59" s="524" t="s">
        <v>1798</v>
      </c>
      <c r="D59" s="524" t="s">
        <v>1740</v>
      </c>
      <c r="E59" s="524" t="s">
        <v>1741</v>
      </c>
      <c r="F59" s="524" t="s">
        <v>1766</v>
      </c>
      <c r="G59" s="445" t="s">
        <v>1352</v>
      </c>
      <c r="H59" s="445" t="str">
        <f t="shared" si="1"/>
        <v>GA</v>
      </c>
      <c r="I59" s="517" t="str">
        <f t="shared" si="2"/>
        <v>/0</v>
      </c>
      <c r="J59" s="517" t="str">
        <f t="shared" si="3"/>
        <v>GA/0</v>
      </c>
      <c r="K59" s="445">
        <v>10.0</v>
      </c>
      <c r="L59" s="517" t="str">
        <f t="shared" si="4"/>
        <v>GA09862-US</v>
      </c>
    </row>
    <row r="60">
      <c r="B60" s="523">
        <v>1.0</v>
      </c>
      <c r="C60" s="524" t="s">
        <v>1799</v>
      </c>
      <c r="D60" s="524" t="s">
        <v>1740</v>
      </c>
      <c r="E60" s="524" t="s">
        <v>1741</v>
      </c>
      <c r="F60" s="524" t="s">
        <v>1766</v>
      </c>
      <c r="G60" s="445" t="s">
        <v>1352</v>
      </c>
      <c r="H60" s="445" t="str">
        <f t="shared" si="1"/>
        <v>GA</v>
      </c>
      <c r="I60" s="517" t="str">
        <f t="shared" si="2"/>
        <v>/0</v>
      </c>
      <c r="J60" s="517" t="str">
        <f t="shared" si="3"/>
        <v>GA/0</v>
      </c>
      <c r="K60" s="445">
        <v>10.0</v>
      </c>
      <c r="L60" s="517" t="str">
        <f t="shared" si="4"/>
        <v>GA10215-GB</v>
      </c>
    </row>
    <row r="61">
      <c r="B61" s="523">
        <v>1.0</v>
      </c>
      <c r="C61" s="524" t="s">
        <v>1800</v>
      </c>
      <c r="D61" s="524" t="s">
        <v>1740</v>
      </c>
      <c r="E61" s="524" t="s">
        <v>1741</v>
      </c>
      <c r="F61" s="524" t="s">
        <v>1766</v>
      </c>
      <c r="G61" s="445" t="s">
        <v>1352</v>
      </c>
      <c r="H61" s="445" t="str">
        <f t="shared" si="1"/>
        <v>GA</v>
      </c>
      <c r="I61" s="517" t="str">
        <f t="shared" si="2"/>
        <v>/0</v>
      </c>
      <c r="J61" s="517" t="str">
        <f t="shared" si="3"/>
        <v>GA/0</v>
      </c>
      <c r="K61" s="445">
        <v>10.0</v>
      </c>
      <c r="L61" s="517" t="str">
        <f t="shared" si="4"/>
        <v>GA10215-US</v>
      </c>
    </row>
    <row r="62">
      <c r="B62" s="523">
        <v>1.0</v>
      </c>
      <c r="C62" s="524" t="s">
        <v>1801</v>
      </c>
      <c r="D62" s="524" t="s">
        <v>1740</v>
      </c>
      <c r="E62" s="524" t="s">
        <v>1741</v>
      </c>
      <c r="F62" s="524" t="s">
        <v>1766</v>
      </c>
      <c r="G62" s="445" t="s">
        <v>1352</v>
      </c>
      <c r="H62" s="445" t="str">
        <f t="shared" si="1"/>
        <v>GA</v>
      </c>
      <c r="I62" s="517" t="str">
        <f t="shared" si="2"/>
        <v>/0</v>
      </c>
      <c r="J62" s="517" t="str">
        <f t="shared" si="3"/>
        <v>GA/0</v>
      </c>
      <c r="K62" s="445">
        <v>10.0</v>
      </c>
      <c r="L62" s="517" t="str">
        <f t="shared" si="4"/>
        <v>GA10239-US</v>
      </c>
    </row>
    <row r="63">
      <c r="B63" s="523">
        <v>1.0</v>
      </c>
      <c r="C63" s="524" t="s">
        <v>1802</v>
      </c>
      <c r="D63" s="524" t="s">
        <v>1740</v>
      </c>
      <c r="E63" s="524" t="s">
        <v>1741</v>
      </c>
      <c r="F63" s="524" t="s">
        <v>1766</v>
      </c>
      <c r="G63" s="445" t="s">
        <v>1352</v>
      </c>
      <c r="H63" s="445" t="str">
        <f t="shared" si="1"/>
        <v>IQ</v>
      </c>
      <c r="I63" s="517" t="str">
        <f t="shared" si="2"/>
        <v>US</v>
      </c>
      <c r="J63" s="517" t="str">
        <f t="shared" si="3"/>
        <v>IQUS</v>
      </c>
      <c r="K63" s="445">
        <v>12.0</v>
      </c>
      <c r="L63" s="517" t="str">
        <f t="shared" si="4"/>
        <v>IQGA10240-US</v>
      </c>
    </row>
    <row r="64">
      <c r="B64" s="523">
        <v>1.0</v>
      </c>
      <c r="C64" s="524" t="s">
        <v>1803</v>
      </c>
      <c r="D64" s="524" t="s">
        <v>1740</v>
      </c>
      <c r="E64" s="524" t="s">
        <v>1741</v>
      </c>
      <c r="F64" s="524" t="s">
        <v>1766</v>
      </c>
      <c r="G64" s="445" t="s">
        <v>1352</v>
      </c>
      <c r="H64" s="445" t="str">
        <f t="shared" si="1"/>
        <v>IQ</v>
      </c>
      <c r="I64" s="517" t="str">
        <f t="shared" si="2"/>
        <v>US</v>
      </c>
      <c r="J64" s="517" t="str">
        <f t="shared" si="3"/>
        <v>IQUS</v>
      </c>
      <c r="K64" s="445">
        <v>12.0</v>
      </c>
      <c r="L64" s="517" t="str">
        <f t="shared" si="4"/>
        <v>IQGA10239-US</v>
      </c>
    </row>
    <row r="65">
      <c r="B65" s="523">
        <v>1.0</v>
      </c>
      <c r="C65" s="524" t="s">
        <v>1804</v>
      </c>
      <c r="D65" s="524" t="s">
        <v>1740</v>
      </c>
      <c r="E65" s="524" t="s">
        <v>1741</v>
      </c>
      <c r="F65" s="524" t="s">
        <v>1766</v>
      </c>
      <c r="G65" s="445" t="s">
        <v>1352</v>
      </c>
      <c r="H65" s="445" t="str">
        <f t="shared" si="1"/>
        <v>IQ</v>
      </c>
      <c r="I65" s="517" t="str">
        <f t="shared" si="2"/>
        <v>US</v>
      </c>
      <c r="J65" s="517" t="str">
        <f t="shared" si="3"/>
        <v>IQUS</v>
      </c>
      <c r="K65" s="445">
        <v>12.0</v>
      </c>
      <c r="L65" s="517" t="str">
        <f t="shared" si="4"/>
        <v>IQGA09425-US</v>
      </c>
    </row>
    <row r="66">
      <c r="B66" s="523">
        <v>1.0</v>
      </c>
      <c r="C66" s="524" t="s">
        <v>1805</v>
      </c>
      <c r="D66" s="524" t="s">
        <v>1740</v>
      </c>
      <c r="E66" s="524" t="s">
        <v>1741</v>
      </c>
      <c r="F66" s="524" t="s">
        <v>1766</v>
      </c>
      <c r="G66" s="445" t="s">
        <v>1352</v>
      </c>
      <c r="H66" s="445" t="str">
        <f t="shared" si="1"/>
        <v>IQ</v>
      </c>
      <c r="I66" s="517" t="str">
        <f t="shared" si="2"/>
        <v>US</v>
      </c>
      <c r="J66" s="517" t="str">
        <f t="shared" si="3"/>
        <v>IQUS</v>
      </c>
      <c r="K66" s="445">
        <v>12.0</v>
      </c>
      <c r="L66" s="517" t="str">
        <f t="shared" si="4"/>
        <v>IQGA09880-US</v>
      </c>
    </row>
    <row r="67">
      <c r="B67" s="523">
        <v>1.0</v>
      </c>
      <c r="C67" s="524" t="s">
        <v>1806</v>
      </c>
      <c r="D67" s="524" t="s">
        <v>1740</v>
      </c>
      <c r="E67" s="524" t="s">
        <v>1741</v>
      </c>
      <c r="F67" s="524" t="s">
        <v>1766</v>
      </c>
      <c r="G67" s="445" t="s">
        <v>1352</v>
      </c>
      <c r="H67" s="445" t="str">
        <f t="shared" si="1"/>
        <v>IQ</v>
      </c>
      <c r="I67" s="517" t="str">
        <f t="shared" si="2"/>
        <v>US</v>
      </c>
      <c r="J67" s="517" t="str">
        <f t="shared" si="3"/>
        <v>IQUS</v>
      </c>
      <c r="K67" s="445">
        <v>12.0</v>
      </c>
      <c r="L67" s="517" t="str">
        <f t="shared" si="4"/>
        <v>IQGA10243-US</v>
      </c>
    </row>
    <row r="68">
      <c r="B68" s="523">
        <v>1.0</v>
      </c>
      <c r="C68" s="524" t="s">
        <v>1807</v>
      </c>
      <c r="D68" s="524" t="s">
        <v>1740</v>
      </c>
      <c r="E68" s="524" t="s">
        <v>1741</v>
      </c>
      <c r="F68" s="524" t="s">
        <v>1766</v>
      </c>
      <c r="G68" s="445" t="s">
        <v>1352</v>
      </c>
      <c r="H68" s="445" t="str">
        <f t="shared" si="1"/>
        <v>GA</v>
      </c>
      <c r="I68" s="517" t="str">
        <f t="shared" si="2"/>
        <v>/0</v>
      </c>
      <c r="J68" s="517" t="str">
        <f t="shared" si="3"/>
        <v>GA/0</v>
      </c>
      <c r="K68" s="445">
        <v>10.0</v>
      </c>
      <c r="L68" s="517" t="str">
        <f t="shared" si="4"/>
        <v>GA10219-JP</v>
      </c>
    </row>
    <row r="69">
      <c r="B69" s="523">
        <v>1.0</v>
      </c>
      <c r="C69" s="524" t="s">
        <v>1808</v>
      </c>
      <c r="D69" s="524" t="s">
        <v>1740</v>
      </c>
      <c r="E69" s="524" t="s">
        <v>1741</v>
      </c>
      <c r="F69" s="524" t="s">
        <v>1766</v>
      </c>
      <c r="G69" s="445" t="s">
        <v>1352</v>
      </c>
      <c r="H69" s="445" t="str">
        <f t="shared" si="1"/>
        <v>GA</v>
      </c>
      <c r="I69" s="517" t="str">
        <f t="shared" si="2"/>
        <v>/0</v>
      </c>
      <c r="J69" s="517" t="str">
        <f t="shared" si="3"/>
        <v>GA/0</v>
      </c>
      <c r="K69" s="445">
        <v>10.0</v>
      </c>
      <c r="L69" s="517" t="str">
        <f t="shared" si="4"/>
        <v>GA10217-GB</v>
      </c>
    </row>
    <row r="70">
      <c r="B70" s="523">
        <v>1.0</v>
      </c>
      <c r="C70" s="524" t="s">
        <v>1809</v>
      </c>
      <c r="D70" s="524" t="s">
        <v>1740</v>
      </c>
      <c r="E70" s="524" t="s">
        <v>1741</v>
      </c>
      <c r="F70" s="524" t="s">
        <v>1766</v>
      </c>
      <c r="G70" s="445" t="s">
        <v>1352</v>
      </c>
      <c r="H70" s="445" t="str">
        <f t="shared" si="1"/>
        <v>GA</v>
      </c>
      <c r="I70" s="517" t="str">
        <f t="shared" si="2"/>
        <v>/0</v>
      </c>
      <c r="J70" s="517" t="str">
        <f t="shared" si="3"/>
        <v>GA/0</v>
      </c>
      <c r="K70" s="445">
        <v>10.0</v>
      </c>
      <c r="L70" s="517" t="str">
        <f t="shared" si="4"/>
        <v>GA10238-US</v>
      </c>
    </row>
    <row r="71">
      <c r="B71" s="523">
        <v>1.0</v>
      </c>
      <c r="C71" s="524" t="s">
        <v>1810</v>
      </c>
      <c r="D71" s="524" t="s">
        <v>1740</v>
      </c>
      <c r="E71" s="524" t="s">
        <v>1741</v>
      </c>
      <c r="F71" s="524" t="s">
        <v>1766</v>
      </c>
      <c r="G71" s="445" t="s">
        <v>1352</v>
      </c>
      <c r="H71" s="445" t="str">
        <f t="shared" si="1"/>
        <v>GA</v>
      </c>
      <c r="I71" s="517" t="str">
        <f t="shared" si="2"/>
        <v>/0</v>
      </c>
      <c r="J71" s="517" t="str">
        <f t="shared" si="3"/>
        <v>GA/0</v>
      </c>
      <c r="K71" s="445">
        <v>10.0</v>
      </c>
      <c r="L71" s="517" t="str">
        <f t="shared" si="4"/>
        <v>GA10216-US</v>
      </c>
    </row>
    <row r="72">
      <c r="B72" s="523">
        <v>1.0</v>
      </c>
      <c r="C72" s="524" t="s">
        <v>1811</v>
      </c>
      <c r="D72" s="524" t="s">
        <v>1740</v>
      </c>
      <c r="E72" s="524" t="s">
        <v>1741</v>
      </c>
      <c r="F72" s="524" t="s">
        <v>1766</v>
      </c>
      <c r="G72" s="445" t="s">
        <v>1352</v>
      </c>
      <c r="H72" s="445" t="str">
        <f t="shared" si="1"/>
        <v>GA</v>
      </c>
      <c r="I72" s="517" t="str">
        <f t="shared" si="2"/>
        <v>/0</v>
      </c>
      <c r="J72" s="517" t="str">
        <f t="shared" si="3"/>
        <v>GA/0</v>
      </c>
      <c r="K72" s="445">
        <v>10.0</v>
      </c>
      <c r="L72" s="517" t="str">
        <f t="shared" si="4"/>
        <v>GA10218-GB</v>
      </c>
    </row>
    <row r="73">
      <c r="B73" s="523">
        <v>1.0</v>
      </c>
      <c r="C73" s="524" t="s">
        <v>1812</v>
      </c>
      <c r="D73" s="524" t="s">
        <v>1740</v>
      </c>
      <c r="E73" s="524" t="s">
        <v>1741</v>
      </c>
      <c r="F73" s="524" t="s">
        <v>1766</v>
      </c>
      <c r="G73" s="445" t="s">
        <v>1352</v>
      </c>
      <c r="H73" s="445" t="str">
        <f t="shared" si="1"/>
        <v>GA</v>
      </c>
      <c r="I73" s="517" t="str">
        <f t="shared" si="2"/>
        <v>/0</v>
      </c>
      <c r="J73" s="517" t="str">
        <f t="shared" si="3"/>
        <v>GA/0</v>
      </c>
      <c r="K73" s="445">
        <v>10.0</v>
      </c>
      <c r="L73" s="517" t="str">
        <f t="shared" si="4"/>
        <v>GA10214-US</v>
      </c>
    </row>
    <row r="74">
      <c r="B74" s="523">
        <v>1.0</v>
      </c>
      <c r="C74" s="524" t="s">
        <v>1813</v>
      </c>
      <c r="D74" s="524" t="s">
        <v>1740</v>
      </c>
      <c r="E74" s="524" t="s">
        <v>1741</v>
      </c>
      <c r="F74" s="524" t="s">
        <v>1766</v>
      </c>
      <c r="G74" s="445" t="s">
        <v>1352</v>
      </c>
      <c r="H74" s="445" t="str">
        <f t="shared" si="1"/>
        <v>GA</v>
      </c>
      <c r="I74" s="517" t="str">
        <f t="shared" si="2"/>
        <v>/0</v>
      </c>
      <c r="J74" s="517" t="str">
        <f t="shared" si="3"/>
        <v>GA/0</v>
      </c>
      <c r="K74" s="445">
        <v>10.0</v>
      </c>
      <c r="L74" s="517" t="str">
        <f t="shared" si="4"/>
        <v>GA10240-US</v>
      </c>
    </row>
    <row r="75">
      <c r="B75" s="523">
        <v>1.0</v>
      </c>
      <c r="C75" s="524" t="s">
        <v>1814</v>
      </c>
      <c r="D75" s="524" t="s">
        <v>1740</v>
      </c>
      <c r="E75" s="524" t="s">
        <v>1741</v>
      </c>
      <c r="F75" s="524" t="s">
        <v>1766</v>
      </c>
      <c r="G75" s="445" t="s">
        <v>1352</v>
      </c>
      <c r="H75" s="445" t="str">
        <f t="shared" si="1"/>
        <v>IQ</v>
      </c>
      <c r="I75" s="517" t="str">
        <f t="shared" si="2"/>
        <v>US</v>
      </c>
      <c r="J75" s="517" t="str">
        <f t="shared" si="3"/>
        <v>IQUS</v>
      </c>
      <c r="K75" s="445">
        <v>12.0</v>
      </c>
      <c r="L75" s="517" t="str">
        <f t="shared" si="4"/>
        <v>IQGA10238-US</v>
      </c>
    </row>
    <row r="76">
      <c r="B76" s="523">
        <v>1.0</v>
      </c>
      <c r="C76" s="524" t="s">
        <v>1815</v>
      </c>
      <c r="D76" s="524" t="s">
        <v>1740</v>
      </c>
      <c r="E76" s="524" t="s">
        <v>1741</v>
      </c>
      <c r="F76" s="524" t="s">
        <v>1766</v>
      </c>
      <c r="G76" s="445" t="s">
        <v>1352</v>
      </c>
      <c r="H76" s="445" t="str">
        <f t="shared" si="1"/>
        <v>GA</v>
      </c>
      <c r="I76" s="517" t="str">
        <f t="shared" si="2"/>
        <v>/0</v>
      </c>
      <c r="J76" s="517" t="str">
        <f t="shared" si="3"/>
        <v>GA/0</v>
      </c>
      <c r="K76" s="445">
        <v>10.0</v>
      </c>
      <c r="L76" s="517" t="str">
        <f t="shared" si="4"/>
        <v>GA09425-US</v>
      </c>
    </row>
  </sheetData>
  <autoFilter ref="$A$4:$Z$76"/>
  <conditionalFormatting sqref="H4:L4">
    <cfRule type="expression" dxfId="15" priority="1">
      <formula>countif($E:$E,H4)&gt;1</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63"/>
    <col customWidth="1" min="3" max="3" width="24.25"/>
    <col customWidth="1" min="5" max="5" width="14.0"/>
    <col customWidth="1" min="6" max="6" width="24.13"/>
    <col customWidth="1" min="7" max="7" width="17.75"/>
    <col customWidth="1" min="8" max="11" width="12.13"/>
    <col customWidth="1" min="12" max="12" width="15.5"/>
  </cols>
  <sheetData>
    <row r="4">
      <c r="B4" s="521" t="s">
        <v>1732</v>
      </c>
      <c r="C4" s="522" t="s">
        <v>1733</v>
      </c>
      <c r="D4" s="522" t="s">
        <v>1734</v>
      </c>
      <c r="E4" s="522" t="s">
        <v>1735</v>
      </c>
      <c r="F4" s="522" t="s">
        <v>66</v>
      </c>
      <c r="G4" s="283" t="s">
        <v>379</v>
      </c>
      <c r="H4" s="265" t="s">
        <v>1737</v>
      </c>
      <c r="I4" s="265" t="s">
        <v>1738</v>
      </c>
      <c r="J4" s="265"/>
      <c r="K4" s="265"/>
      <c r="L4" s="265" t="s">
        <v>343</v>
      </c>
    </row>
    <row r="5">
      <c r="B5" s="523">
        <v>1.0</v>
      </c>
      <c r="C5" s="524" t="s">
        <v>1765</v>
      </c>
      <c r="D5" s="524" t="s">
        <v>1740</v>
      </c>
      <c r="E5" s="524" t="s">
        <v>1741</v>
      </c>
      <c r="F5" s="524" t="s">
        <v>1766</v>
      </c>
      <c r="G5" s="445" t="s">
        <v>1351</v>
      </c>
      <c r="H5" s="445" t="str">
        <f t="shared" ref="H5:H109" si="1">LEFT(C5,2)</f>
        <v>GA</v>
      </c>
      <c r="I5" s="517" t="str">
        <f t="shared" ref="I5:I109" si="2">mid(C5,11,2)</f>
        <v>/0</v>
      </c>
      <c r="J5" s="517" t="str">
        <f t="shared" ref="J5:J109" si="3">H5&amp;I5</f>
        <v>GA/0</v>
      </c>
      <c r="K5" s="445">
        <v>10.0</v>
      </c>
      <c r="L5" s="517" t="str">
        <f t="shared" ref="L5:L118" si="4">LEFT(C5,K5)</f>
        <v>GA11019-US</v>
      </c>
    </row>
    <row r="6">
      <c r="B6" s="523">
        <v>1.0</v>
      </c>
      <c r="C6" s="524" t="s">
        <v>1768</v>
      </c>
      <c r="D6" s="524" t="s">
        <v>1740</v>
      </c>
      <c r="E6" s="524" t="s">
        <v>1741</v>
      </c>
      <c r="F6" s="524" t="s">
        <v>1766</v>
      </c>
      <c r="G6" s="445" t="s">
        <v>1351</v>
      </c>
      <c r="H6" s="445" t="str">
        <f t="shared" si="1"/>
        <v>GA</v>
      </c>
      <c r="I6" s="517" t="str">
        <f t="shared" si="2"/>
        <v>/0</v>
      </c>
      <c r="J6" s="517" t="str">
        <f t="shared" si="3"/>
        <v>GA/0</v>
      </c>
      <c r="K6" s="445">
        <v>10.0</v>
      </c>
      <c r="L6" s="517" t="str">
        <f t="shared" si="4"/>
        <v>GA10217-US</v>
      </c>
    </row>
    <row r="7">
      <c r="B7" s="523">
        <v>1.0</v>
      </c>
      <c r="C7" s="524" t="s">
        <v>1772</v>
      </c>
      <c r="D7" s="524" t="s">
        <v>1740</v>
      </c>
      <c r="E7" s="524" t="s">
        <v>1741</v>
      </c>
      <c r="F7" s="524" t="s">
        <v>1766</v>
      </c>
      <c r="G7" s="445" t="s">
        <v>1351</v>
      </c>
      <c r="H7" s="445" t="str">
        <f t="shared" si="1"/>
        <v>GA</v>
      </c>
      <c r="I7" s="517" t="str">
        <f t="shared" si="2"/>
        <v>/0</v>
      </c>
      <c r="J7" s="517" t="str">
        <f t="shared" si="3"/>
        <v>GA/0</v>
      </c>
      <c r="K7" s="445">
        <v>10.0</v>
      </c>
      <c r="L7" s="517" t="str">
        <f t="shared" si="4"/>
        <v>GA09883-US</v>
      </c>
    </row>
    <row r="8">
      <c r="B8" s="523">
        <v>1.0</v>
      </c>
      <c r="C8" s="524" t="s">
        <v>1775</v>
      </c>
      <c r="D8" s="524" t="s">
        <v>1740</v>
      </c>
      <c r="E8" s="524" t="s">
        <v>1741</v>
      </c>
      <c r="F8" s="524" t="s">
        <v>1766</v>
      </c>
      <c r="G8" s="445" t="s">
        <v>1351</v>
      </c>
      <c r="H8" s="445" t="str">
        <f t="shared" si="1"/>
        <v>GA</v>
      </c>
      <c r="I8" s="517" t="str">
        <f t="shared" si="2"/>
        <v>/0</v>
      </c>
      <c r="J8" s="517" t="str">
        <f t="shared" si="3"/>
        <v>GA/0</v>
      </c>
      <c r="K8" s="445">
        <v>10.0</v>
      </c>
      <c r="L8" s="517" t="str">
        <f t="shared" si="4"/>
        <v>GA10219-US</v>
      </c>
    </row>
    <row r="9">
      <c r="B9" s="523">
        <v>1.0</v>
      </c>
      <c r="C9" s="524" t="s">
        <v>1779</v>
      </c>
      <c r="D9" s="524" t="s">
        <v>1740</v>
      </c>
      <c r="E9" s="524" t="s">
        <v>1741</v>
      </c>
      <c r="F9" s="524" t="s">
        <v>1766</v>
      </c>
      <c r="G9" s="445" t="s">
        <v>1351</v>
      </c>
      <c r="H9" s="445" t="str">
        <f t="shared" si="1"/>
        <v>GA</v>
      </c>
      <c r="I9" s="517" t="str">
        <f t="shared" si="2"/>
        <v>/0</v>
      </c>
      <c r="J9" s="517" t="str">
        <f t="shared" si="3"/>
        <v>GA/0</v>
      </c>
      <c r="K9" s="445">
        <v>10.0</v>
      </c>
      <c r="L9" s="517" t="str">
        <f t="shared" si="4"/>
        <v>GA10218-US</v>
      </c>
    </row>
    <row r="10">
      <c r="B10" s="523">
        <v>1.0</v>
      </c>
      <c r="C10" s="524" t="s">
        <v>1782</v>
      </c>
      <c r="D10" s="524" t="s">
        <v>1740</v>
      </c>
      <c r="E10" s="524" t="s">
        <v>1741</v>
      </c>
      <c r="F10" s="524" t="s">
        <v>1766</v>
      </c>
      <c r="G10" s="445" t="s">
        <v>1351</v>
      </c>
      <c r="H10" s="445" t="str">
        <f t="shared" si="1"/>
        <v>GA</v>
      </c>
      <c r="I10" s="517" t="str">
        <f t="shared" si="2"/>
        <v>/0</v>
      </c>
      <c r="J10" s="517" t="str">
        <f t="shared" si="3"/>
        <v>GA/0</v>
      </c>
      <c r="K10" s="445">
        <v>10.0</v>
      </c>
      <c r="L10" s="517" t="str">
        <f t="shared" si="4"/>
        <v>GA09882-US</v>
      </c>
    </row>
    <row r="11">
      <c r="B11" s="523">
        <v>1.0</v>
      </c>
      <c r="C11" s="524" t="s">
        <v>1784</v>
      </c>
      <c r="D11" s="524" t="s">
        <v>1740</v>
      </c>
      <c r="E11" s="524" t="s">
        <v>1741</v>
      </c>
      <c r="F11" s="524" t="s">
        <v>1766</v>
      </c>
      <c r="G11" s="445" t="s">
        <v>1351</v>
      </c>
      <c r="H11" s="445" t="str">
        <f t="shared" si="1"/>
        <v>GA</v>
      </c>
      <c r="I11" s="517" t="str">
        <f t="shared" si="2"/>
        <v>/0</v>
      </c>
      <c r="J11" s="517" t="str">
        <f t="shared" si="3"/>
        <v>GA/0</v>
      </c>
      <c r="K11" s="445">
        <v>10.0</v>
      </c>
      <c r="L11" s="517" t="str">
        <f t="shared" si="4"/>
        <v>GA10252-US</v>
      </c>
    </row>
    <row r="12">
      <c r="B12" s="523">
        <v>1.0</v>
      </c>
      <c r="C12" s="524" t="s">
        <v>1787</v>
      </c>
      <c r="D12" s="524" t="s">
        <v>1740</v>
      </c>
      <c r="E12" s="524" t="s">
        <v>1741</v>
      </c>
      <c r="F12" s="524" t="s">
        <v>1766</v>
      </c>
      <c r="G12" s="445" t="s">
        <v>1351</v>
      </c>
      <c r="H12" s="445" t="str">
        <f t="shared" si="1"/>
        <v>GA</v>
      </c>
      <c r="I12" s="517" t="str">
        <f t="shared" si="2"/>
        <v>/0</v>
      </c>
      <c r="J12" s="517" t="str">
        <f t="shared" si="3"/>
        <v>GA/0</v>
      </c>
      <c r="K12" s="445">
        <v>10.0</v>
      </c>
      <c r="L12" s="517" t="str">
        <f t="shared" si="4"/>
        <v>GA10246-US</v>
      </c>
    </row>
    <row r="13">
      <c r="B13" s="523">
        <v>1.0</v>
      </c>
      <c r="C13" s="524" t="s">
        <v>1788</v>
      </c>
      <c r="D13" s="524" t="s">
        <v>1740</v>
      </c>
      <c r="E13" s="524" t="s">
        <v>1741</v>
      </c>
      <c r="F13" s="524" t="s">
        <v>1766</v>
      </c>
      <c r="G13" s="445" t="s">
        <v>1351</v>
      </c>
      <c r="H13" s="445" t="str">
        <f t="shared" si="1"/>
        <v>GA</v>
      </c>
      <c r="I13" s="517" t="str">
        <f t="shared" si="2"/>
        <v>/0</v>
      </c>
      <c r="J13" s="517" t="str">
        <f t="shared" si="3"/>
        <v>GA/0</v>
      </c>
      <c r="K13" s="445">
        <v>10.0</v>
      </c>
      <c r="L13" s="517" t="str">
        <f t="shared" si="4"/>
        <v>GA09744-US</v>
      </c>
    </row>
    <row r="14">
      <c r="B14" s="523">
        <v>1.0</v>
      </c>
      <c r="C14" s="524" t="s">
        <v>1790</v>
      </c>
      <c r="D14" s="524" t="s">
        <v>1740</v>
      </c>
      <c r="E14" s="524" t="s">
        <v>1741</v>
      </c>
      <c r="F14" s="524" t="s">
        <v>1766</v>
      </c>
      <c r="G14" s="445" t="s">
        <v>1351</v>
      </c>
      <c r="H14" s="445" t="str">
        <f t="shared" si="1"/>
        <v>GA</v>
      </c>
      <c r="I14" s="517" t="str">
        <f t="shared" si="2"/>
        <v>/0</v>
      </c>
      <c r="J14" s="517" t="str">
        <f t="shared" si="3"/>
        <v>GA/0</v>
      </c>
      <c r="K14" s="445">
        <v>10.0</v>
      </c>
      <c r="L14" s="517" t="str">
        <f t="shared" si="4"/>
        <v>GA10243-US</v>
      </c>
    </row>
    <row r="15">
      <c r="B15" s="523">
        <v>1.0</v>
      </c>
      <c r="C15" s="524" t="s">
        <v>1793</v>
      </c>
      <c r="D15" s="524" t="s">
        <v>1740</v>
      </c>
      <c r="E15" s="524" t="s">
        <v>1741</v>
      </c>
      <c r="F15" s="524" t="s">
        <v>1766</v>
      </c>
      <c r="G15" s="445" t="s">
        <v>1351</v>
      </c>
      <c r="H15" s="445" t="str">
        <f t="shared" si="1"/>
        <v>GA</v>
      </c>
      <c r="I15" s="517" t="str">
        <f t="shared" si="2"/>
        <v>/0</v>
      </c>
      <c r="J15" s="517" t="str">
        <f t="shared" si="3"/>
        <v>GA/0</v>
      </c>
      <c r="K15" s="445">
        <v>10.0</v>
      </c>
      <c r="L15" s="517" t="str">
        <f t="shared" si="4"/>
        <v>GA09861-US</v>
      </c>
    </row>
    <row r="16">
      <c r="B16" s="523">
        <v>1.0</v>
      </c>
      <c r="C16" s="524" t="s">
        <v>1796</v>
      </c>
      <c r="D16" s="524" t="s">
        <v>1740</v>
      </c>
      <c r="E16" s="524" t="s">
        <v>1741</v>
      </c>
      <c r="F16" s="524" t="s">
        <v>1766</v>
      </c>
      <c r="G16" s="445" t="s">
        <v>1351</v>
      </c>
      <c r="H16" s="445" t="str">
        <f t="shared" si="1"/>
        <v>GA</v>
      </c>
      <c r="I16" s="517" t="str">
        <f t="shared" si="2"/>
        <v>/0</v>
      </c>
      <c r="J16" s="517" t="str">
        <f t="shared" si="3"/>
        <v>GA/0</v>
      </c>
      <c r="K16" s="445">
        <v>10.0</v>
      </c>
      <c r="L16" s="517" t="str">
        <f t="shared" si="4"/>
        <v>GA09880-US</v>
      </c>
    </row>
    <row r="17">
      <c r="B17" s="523">
        <v>1.0</v>
      </c>
      <c r="C17" s="524" t="s">
        <v>1798</v>
      </c>
      <c r="D17" s="524" t="s">
        <v>1740</v>
      </c>
      <c r="E17" s="524" t="s">
        <v>1741</v>
      </c>
      <c r="F17" s="524" t="s">
        <v>1766</v>
      </c>
      <c r="G17" s="445" t="s">
        <v>1351</v>
      </c>
      <c r="H17" s="445" t="str">
        <f t="shared" si="1"/>
        <v>GA</v>
      </c>
      <c r="I17" s="517" t="str">
        <f t="shared" si="2"/>
        <v>/0</v>
      </c>
      <c r="J17" s="517" t="str">
        <f t="shared" si="3"/>
        <v>GA/0</v>
      </c>
      <c r="K17" s="445">
        <v>10.0</v>
      </c>
      <c r="L17" s="517" t="str">
        <f t="shared" si="4"/>
        <v>GA09862-US</v>
      </c>
    </row>
    <row r="18">
      <c r="B18" s="523">
        <v>1.0</v>
      </c>
      <c r="C18" s="524" t="s">
        <v>1800</v>
      </c>
      <c r="D18" s="524" t="s">
        <v>1740</v>
      </c>
      <c r="E18" s="524" t="s">
        <v>1741</v>
      </c>
      <c r="F18" s="524" t="s">
        <v>1766</v>
      </c>
      <c r="G18" s="445" t="s">
        <v>1351</v>
      </c>
      <c r="H18" s="445" t="str">
        <f t="shared" si="1"/>
        <v>GA</v>
      </c>
      <c r="I18" s="517" t="str">
        <f t="shared" si="2"/>
        <v>/0</v>
      </c>
      <c r="J18" s="517" t="str">
        <f t="shared" si="3"/>
        <v>GA/0</v>
      </c>
      <c r="K18" s="445">
        <v>10.0</v>
      </c>
      <c r="L18" s="517" t="str">
        <f t="shared" si="4"/>
        <v>GA10215-US</v>
      </c>
    </row>
    <row r="19">
      <c r="B19" s="523">
        <v>1.0</v>
      </c>
      <c r="C19" s="524" t="s">
        <v>1801</v>
      </c>
      <c r="D19" s="524" t="s">
        <v>1740</v>
      </c>
      <c r="E19" s="524" t="s">
        <v>1741</v>
      </c>
      <c r="F19" s="524" t="s">
        <v>1766</v>
      </c>
      <c r="G19" s="445" t="s">
        <v>1351</v>
      </c>
      <c r="H19" s="445" t="str">
        <f t="shared" si="1"/>
        <v>GA</v>
      </c>
      <c r="I19" s="517" t="str">
        <f t="shared" si="2"/>
        <v>/0</v>
      </c>
      <c r="J19" s="517" t="str">
        <f t="shared" si="3"/>
        <v>GA/0</v>
      </c>
      <c r="K19" s="445">
        <v>10.0</v>
      </c>
      <c r="L19" s="517" t="str">
        <f t="shared" si="4"/>
        <v>GA10239-US</v>
      </c>
    </row>
    <row r="20">
      <c r="B20" s="523">
        <v>1.0</v>
      </c>
      <c r="C20" s="524" t="s">
        <v>1802</v>
      </c>
      <c r="D20" s="524" t="s">
        <v>1740</v>
      </c>
      <c r="E20" s="524" t="s">
        <v>1741</v>
      </c>
      <c r="F20" s="524" t="s">
        <v>1766</v>
      </c>
      <c r="G20" s="445" t="s">
        <v>1351</v>
      </c>
      <c r="H20" s="445" t="str">
        <f t="shared" si="1"/>
        <v>IQ</v>
      </c>
      <c r="I20" s="517" t="str">
        <f t="shared" si="2"/>
        <v>US</v>
      </c>
      <c r="J20" s="517" t="str">
        <f t="shared" si="3"/>
        <v>IQUS</v>
      </c>
      <c r="K20" s="445">
        <v>12.0</v>
      </c>
      <c r="L20" s="517" t="str">
        <f t="shared" si="4"/>
        <v>IQGA10240-US</v>
      </c>
    </row>
    <row r="21">
      <c r="B21" s="523">
        <v>1.0</v>
      </c>
      <c r="C21" s="524" t="s">
        <v>1803</v>
      </c>
      <c r="D21" s="524" t="s">
        <v>1740</v>
      </c>
      <c r="E21" s="524" t="s">
        <v>1741</v>
      </c>
      <c r="F21" s="524" t="s">
        <v>1766</v>
      </c>
      <c r="G21" s="445" t="s">
        <v>1351</v>
      </c>
      <c r="H21" s="445" t="str">
        <f t="shared" si="1"/>
        <v>IQ</v>
      </c>
      <c r="I21" s="517" t="str">
        <f t="shared" si="2"/>
        <v>US</v>
      </c>
      <c r="J21" s="517" t="str">
        <f t="shared" si="3"/>
        <v>IQUS</v>
      </c>
      <c r="K21" s="445">
        <v>12.0</v>
      </c>
      <c r="L21" s="517" t="str">
        <f t="shared" si="4"/>
        <v>IQGA10239-US</v>
      </c>
    </row>
    <row r="22">
      <c r="B22" s="523">
        <v>1.0</v>
      </c>
      <c r="C22" s="524" t="s">
        <v>1804</v>
      </c>
      <c r="D22" s="524" t="s">
        <v>1740</v>
      </c>
      <c r="E22" s="524" t="s">
        <v>1741</v>
      </c>
      <c r="F22" s="524" t="s">
        <v>1766</v>
      </c>
      <c r="G22" s="445" t="s">
        <v>1351</v>
      </c>
      <c r="H22" s="445" t="str">
        <f t="shared" si="1"/>
        <v>IQ</v>
      </c>
      <c r="I22" s="517" t="str">
        <f t="shared" si="2"/>
        <v>US</v>
      </c>
      <c r="J22" s="517" t="str">
        <f t="shared" si="3"/>
        <v>IQUS</v>
      </c>
      <c r="K22" s="445">
        <v>12.0</v>
      </c>
      <c r="L22" s="517" t="str">
        <f t="shared" si="4"/>
        <v>IQGA09425-US</v>
      </c>
    </row>
    <row r="23">
      <c r="B23" s="523">
        <v>1.0</v>
      </c>
      <c r="C23" s="524" t="s">
        <v>1805</v>
      </c>
      <c r="D23" s="524" t="s">
        <v>1740</v>
      </c>
      <c r="E23" s="524" t="s">
        <v>1741</v>
      </c>
      <c r="F23" s="524" t="s">
        <v>1766</v>
      </c>
      <c r="G23" s="445" t="s">
        <v>1351</v>
      </c>
      <c r="H23" s="445" t="str">
        <f t="shared" si="1"/>
        <v>IQ</v>
      </c>
      <c r="I23" s="517" t="str">
        <f t="shared" si="2"/>
        <v>US</v>
      </c>
      <c r="J23" s="517" t="str">
        <f t="shared" si="3"/>
        <v>IQUS</v>
      </c>
      <c r="K23" s="445">
        <v>12.0</v>
      </c>
      <c r="L23" s="517" t="str">
        <f t="shared" si="4"/>
        <v>IQGA09880-US</v>
      </c>
    </row>
    <row r="24">
      <c r="B24" s="523">
        <v>1.0</v>
      </c>
      <c r="C24" s="524" t="s">
        <v>1806</v>
      </c>
      <c r="D24" s="524" t="s">
        <v>1740</v>
      </c>
      <c r="E24" s="524" t="s">
        <v>1741</v>
      </c>
      <c r="F24" s="524" t="s">
        <v>1766</v>
      </c>
      <c r="G24" s="445" t="s">
        <v>1351</v>
      </c>
      <c r="H24" s="445" t="str">
        <f t="shared" si="1"/>
        <v>IQ</v>
      </c>
      <c r="I24" s="517" t="str">
        <f t="shared" si="2"/>
        <v>US</v>
      </c>
      <c r="J24" s="517" t="str">
        <f t="shared" si="3"/>
        <v>IQUS</v>
      </c>
      <c r="K24" s="445">
        <v>12.0</v>
      </c>
      <c r="L24" s="517" t="str">
        <f t="shared" si="4"/>
        <v>IQGA10243-US</v>
      </c>
    </row>
    <row r="25">
      <c r="B25" s="523">
        <v>1.0</v>
      </c>
      <c r="C25" s="524" t="s">
        <v>1809</v>
      </c>
      <c r="D25" s="524" t="s">
        <v>1740</v>
      </c>
      <c r="E25" s="524" t="s">
        <v>1741</v>
      </c>
      <c r="F25" s="524" t="s">
        <v>1766</v>
      </c>
      <c r="G25" s="445" t="s">
        <v>1351</v>
      </c>
      <c r="H25" s="445" t="str">
        <f t="shared" si="1"/>
        <v>GA</v>
      </c>
      <c r="I25" s="517" t="str">
        <f t="shared" si="2"/>
        <v>/0</v>
      </c>
      <c r="J25" s="517" t="str">
        <f t="shared" si="3"/>
        <v>GA/0</v>
      </c>
      <c r="K25" s="445">
        <v>10.0</v>
      </c>
      <c r="L25" s="517" t="str">
        <f t="shared" si="4"/>
        <v>GA10238-US</v>
      </c>
    </row>
    <row r="26">
      <c r="B26" s="523">
        <v>1.0</v>
      </c>
      <c r="C26" s="524" t="s">
        <v>1810</v>
      </c>
      <c r="D26" s="524" t="s">
        <v>1740</v>
      </c>
      <c r="E26" s="524" t="s">
        <v>1741</v>
      </c>
      <c r="F26" s="524" t="s">
        <v>1766</v>
      </c>
      <c r="G26" s="445" t="s">
        <v>1351</v>
      </c>
      <c r="H26" s="445" t="str">
        <f t="shared" si="1"/>
        <v>GA</v>
      </c>
      <c r="I26" s="517" t="str">
        <f t="shared" si="2"/>
        <v>/0</v>
      </c>
      <c r="J26" s="517" t="str">
        <f t="shared" si="3"/>
        <v>GA/0</v>
      </c>
      <c r="K26" s="445">
        <v>10.0</v>
      </c>
      <c r="L26" s="517" t="str">
        <f t="shared" si="4"/>
        <v>GA10216-US</v>
      </c>
    </row>
    <row r="27">
      <c r="B27" s="523">
        <v>1.0</v>
      </c>
      <c r="C27" s="524" t="s">
        <v>1812</v>
      </c>
      <c r="D27" s="524" t="s">
        <v>1740</v>
      </c>
      <c r="E27" s="524" t="s">
        <v>1741</v>
      </c>
      <c r="F27" s="524" t="s">
        <v>1766</v>
      </c>
      <c r="G27" s="445" t="s">
        <v>1351</v>
      </c>
      <c r="H27" s="445" t="str">
        <f t="shared" si="1"/>
        <v>GA</v>
      </c>
      <c r="I27" s="517" t="str">
        <f t="shared" si="2"/>
        <v>/0</v>
      </c>
      <c r="J27" s="517" t="str">
        <f t="shared" si="3"/>
        <v>GA/0</v>
      </c>
      <c r="K27" s="445">
        <v>10.0</v>
      </c>
      <c r="L27" s="517" t="str">
        <f t="shared" si="4"/>
        <v>GA10214-US</v>
      </c>
    </row>
    <row r="28">
      <c r="B28" s="523">
        <v>1.0</v>
      </c>
      <c r="C28" s="524" t="s">
        <v>1813</v>
      </c>
      <c r="D28" s="524" t="s">
        <v>1740</v>
      </c>
      <c r="E28" s="524" t="s">
        <v>1741</v>
      </c>
      <c r="F28" s="524" t="s">
        <v>1766</v>
      </c>
      <c r="G28" s="445" t="s">
        <v>1351</v>
      </c>
      <c r="H28" s="445" t="str">
        <f t="shared" si="1"/>
        <v>GA</v>
      </c>
      <c r="I28" s="517" t="str">
        <f t="shared" si="2"/>
        <v>/0</v>
      </c>
      <c r="J28" s="517" t="str">
        <f t="shared" si="3"/>
        <v>GA/0</v>
      </c>
      <c r="K28" s="445">
        <v>10.0</v>
      </c>
      <c r="L28" s="517" t="str">
        <f t="shared" si="4"/>
        <v>GA10240-US</v>
      </c>
    </row>
    <row r="29">
      <c r="B29" s="523">
        <v>1.0</v>
      </c>
      <c r="C29" s="524" t="s">
        <v>1814</v>
      </c>
      <c r="D29" s="524" t="s">
        <v>1740</v>
      </c>
      <c r="E29" s="524" t="s">
        <v>1741</v>
      </c>
      <c r="F29" s="524" t="s">
        <v>1766</v>
      </c>
      <c r="G29" s="445" t="s">
        <v>1351</v>
      </c>
      <c r="H29" s="445" t="str">
        <f t="shared" si="1"/>
        <v>IQ</v>
      </c>
      <c r="I29" s="517" t="str">
        <f t="shared" si="2"/>
        <v>US</v>
      </c>
      <c r="J29" s="517" t="str">
        <f t="shared" si="3"/>
        <v>IQUS</v>
      </c>
      <c r="K29" s="445">
        <v>12.0</v>
      </c>
      <c r="L29" s="517" t="str">
        <f t="shared" si="4"/>
        <v>IQGA10238-US</v>
      </c>
    </row>
    <row r="30">
      <c r="B30" s="523">
        <v>1.0</v>
      </c>
      <c r="C30" s="524" t="s">
        <v>1815</v>
      </c>
      <c r="D30" s="524" t="s">
        <v>1740</v>
      </c>
      <c r="E30" s="524" t="s">
        <v>1741</v>
      </c>
      <c r="F30" s="524" t="s">
        <v>1766</v>
      </c>
      <c r="G30" s="445" t="s">
        <v>1351</v>
      </c>
      <c r="H30" s="445" t="str">
        <f t="shared" si="1"/>
        <v>GA</v>
      </c>
      <c r="I30" s="517" t="str">
        <f t="shared" si="2"/>
        <v>/0</v>
      </c>
      <c r="J30" s="517" t="str">
        <f t="shared" si="3"/>
        <v>GA/0</v>
      </c>
      <c r="K30" s="445">
        <v>10.0</v>
      </c>
      <c r="L30" s="517" t="str">
        <f t="shared" si="4"/>
        <v>GA09425-US</v>
      </c>
    </row>
    <row r="31">
      <c r="B31" s="525">
        <v>1.0</v>
      </c>
      <c r="C31" s="526" t="s">
        <v>1759</v>
      </c>
      <c r="D31" s="526" t="s">
        <v>1740</v>
      </c>
      <c r="E31" s="526" t="s">
        <v>1741</v>
      </c>
      <c r="F31" s="526" t="s">
        <v>1760</v>
      </c>
      <c r="G31" s="445" t="s">
        <v>1816</v>
      </c>
      <c r="H31" s="445" t="str">
        <f t="shared" si="1"/>
        <v>GA</v>
      </c>
      <c r="I31" s="517" t="str">
        <f t="shared" si="2"/>
        <v>/0</v>
      </c>
      <c r="J31" s="517" t="str">
        <f t="shared" si="3"/>
        <v>GA/0</v>
      </c>
      <c r="K31" s="445">
        <v>10.0</v>
      </c>
      <c r="L31" s="517" t="str">
        <f t="shared" si="4"/>
        <v>GA10219-IN</v>
      </c>
    </row>
    <row r="32">
      <c r="B32" s="523">
        <v>1.0</v>
      </c>
      <c r="C32" s="524" t="s">
        <v>1761</v>
      </c>
      <c r="D32" s="524" t="s">
        <v>1740</v>
      </c>
      <c r="E32" s="524" t="s">
        <v>1741</v>
      </c>
      <c r="F32" s="524" t="s">
        <v>1760</v>
      </c>
      <c r="G32" s="445" t="s">
        <v>1816</v>
      </c>
      <c r="H32" s="445" t="str">
        <f t="shared" si="1"/>
        <v>GA</v>
      </c>
      <c r="I32" s="517" t="str">
        <f t="shared" si="2"/>
        <v>/0</v>
      </c>
      <c r="J32" s="517" t="str">
        <f t="shared" si="3"/>
        <v>GA/0</v>
      </c>
      <c r="K32" s="445">
        <v>10.0</v>
      </c>
      <c r="L32" s="517" t="str">
        <f t="shared" si="4"/>
        <v>GA09883-IN</v>
      </c>
    </row>
    <row r="33">
      <c r="B33" s="523">
        <v>1.0</v>
      </c>
      <c r="C33" s="524" t="s">
        <v>1762</v>
      </c>
      <c r="D33" s="524" t="s">
        <v>1740</v>
      </c>
      <c r="E33" s="524" t="s">
        <v>1741</v>
      </c>
      <c r="F33" s="524" t="s">
        <v>1760</v>
      </c>
      <c r="G33" s="445" t="s">
        <v>1816</v>
      </c>
      <c r="H33" s="445" t="str">
        <f t="shared" si="1"/>
        <v>GA</v>
      </c>
      <c r="I33" s="517" t="str">
        <f t="shared" si="2"/>
        <v>/0</v>
      </c>
      <c r="J33" s="517" t="str">
        <f t="shared" si="3"/>
        <v>GA/0</v>
      </c>
      <c r="K33" s="445">
        <v>10.0</v>
      </c>
      <c r="L33" s="517" t="str">
        <f t="shared" si="4"/>
        <v>GA10217-IN</v>
      </c>
    </row>
    <row r="34">
      <c r="B34" s="523">
        <v>1.0</v>
      </c>
      <c r="C34" s="524" t="s">
        <v>1763</v>
      </c>
      <c r="D34" s="524" t="s">
        <v>1740</v>
      </c>
      <c r="E34" s="524" t="s">
        <v>1741</v>
      </c>
      <c r="F34" s="524" t="s">
        <v>1760</v>
      </c>
      <c r="G34" s="445" t="s">
        <v>1816</v>
      </c>
      <c r="H34" s="445" t="str">
        <f t="shared" si="1"/>
        <v>GA</v>
      </c>
      <c r="I34" s="517" t="str">
        <f t="shared" si="2"/>
        <v>/0</v>
      </c>
      <c r="J34" s="517" t="str">
        <f t="shared" si="3"/>
        <v>GA/0</v>
      </c>
      <c r="K34" s="445">
        <v>10.0</v>
      </c>
      <c r="L34" s="517" t="str">
        <f t="shared" si="4"/>
        <v>GA10218-IN</v>
      </c>
    </row>
    <row r="35">
      <c r="B35" s="523">
        <v>1.0</v>
      </c>
      <c r="C35" s="524" t="s">
        <v>1767</v>
      </c>
      <c r="D35" s="524" t="s">
        <v>1740</v>
      </c>
      <c r="E35" s="524" t="s">
        <v>1741</v>
      </c>
      <c r="F35" s="524" t="s">
        <v>1766</v>
      </c>
      <c r="G35" s="445" t="s">
        <v>1816</v>
      </c>
      <c r="H35" s="445" t="str">
        <f t="shared" si="1"/>
        <v>GA</v>
      </c>
      <c r="I35" s="517" t="str">
        <f t="shared" si="2"/>
        <v>/0</v>
      </c>
      <c r="J35" s="517" t="str">
        <f t="shared" si="3"/>
        <v>GA/0</v>
      </c>
      <c r="K35" s="445">
        <v>10.0</v>
      </c>
      <c r="L35" s="517" t="str">
        <f t="shared" si="4"/>
        <v>GA10217-JP</v>
      </c>
    </row>
    <row r="36">
      <c r="B36" s="523">
        <v>1.0</v>
      </c>
      <c r="C36" s="524" t="s">
        <v>1770</v>
      </c>
      <c r="D36" s="524" t="s">
        <v>1740</v>
      </c>
      <c r="E36" s="524" t="s">
        <v>1741</v>
      </c>
      <c r="F36" s="524" t="s">
        <v>1766</v>
      </c>
      <c r="G36" s="445" t="s">
        <v>1816</v>
      </c>
      <c r="H36" s="445" t="str">
        <f t="shared" si="1"/>
        <v>GA</v>
      </c>
      <c r="I36" s="517" t="str">
        <f t="shared" si="2"/>
        <v>/0</v>
      </c>
      <c r="J36" s="517" t="str">
        <f t="shared" si="3"/>
        <v>GA/0</v>
      </c>
      <c r="K36" s="445">
        <v>10.0</v>
      </c>
      <c r="L36" s="517" t="str">
        <f t="shared" si="4"/>
        <v>GA10215-JP</v>
      </c>
    </row>
    <row r="37">
      <c r="B37" s="523">
        <v>1.0</v>
      </c>
      <c r="C37" s="524" t="s">
        <v>1771</v>
      </c>
      <c r="D37" s="524" t="s">
        <v>1740</v>
      </c>
      <c r="E37" s="524" t="s">
        <v>1741</v>
      </c>
      <c r="F37" s="524" t="s">
        <v>1766</v>
      </c>
      <c r="G37" s="445" t="s">
        <v>1816</v>
      </c>
      <c r="H37" s="445" t="str">
        <f t="shared" si="1"/>
        <v>GA</v>
      </c>
      <c r="I37" s="517" t="str">
        <f t="shared" si="2"/>
        <v>/0</v>
      </c>
      <c r="J37" s="517" t="str">
        <f t="shared" si="3"/>
        <v>GA/0</v>
      </c>
      <c r="K37" s="445">
        <v>10.0</v>
      </c>
      <c r="L37" s="517" t="str">
        <f t="shared" si="4"/>
        <v>GA09883-CA</v>
      </c>
    </row>
    <row r="38">
      <c r="B38" s="523">
        <v>1.0</v>
      </c>
      <c r="C38" s="524" t="s">
        <v>1773</v>
      </c>
      <c r="D38" s="524" t="s">
        <v>1740</v>
      </c>
      <c r="E38" s="524" t="s">
        <v>1741</v>
      </c>
      <c r="F38" s="524" t="s">
        <v>1766</v>
      </c>
      <c r="G38" s="445" t="s">
        <v>1816</v>
      </c>
      <c r="H38" s="445" t="str">
        <f t="shared" si="1"/>
        <v>GA</v>
      </c>
      <c r="I38" s="517" t="str">
        <f t="shared" si="2"/>
        <v>/0</v>
      </c>
      <c r="J38" s="517" t="str">
        <f t="shared" si="3"/>
        <v>GA/0</v>
      </c>
      <c r="K38" s="445">
        <v>10.0</v>
      </c>
      <c r="L38" s="517" t="str">
        <f t="shared" si="4"/>
        <v>GA10216-JP</v>
      </c>
    </row>
    <row r="39">
      <c r="B39" s="523">
        <v>1.0</v>
      </c>
      <c r="C39" s="524" t="s">
        <v>1774</v>
      </c>
      <c r="D39" s="524" t="s">
        <v>1740</v>
      </c>
      <c r="E39" s="524" t="s">
        <v>1741</v>
      </c>
      <c r="F39" s="524" t="s">
        <v>1766</v>
      </c>
      <c r="G39" s="445" t="s">
        <v>1816</v>
      </c>
      <c r="H39" s="445" t="str">
        <f t="shared" si="1"/>
        <v>GA</v>
      </c>
      <c r="I39" s="517" t="str">
        <f t="shared" si="2"/>
        <v>/0</v>
      </c>
      <c r="J39" s="517" t="str">
        <f t="shared" si="3"/>
        <v>GA/0</v>
      </c>
      <c r="K39" s="445">
        <v>10.0</v>
      </c>
      <c r="L39" s="517" t="str">
        <f t="shared" si="4"/>
        <v>GA10218-CA</v>
      </c>
    </row>
    <row r="40">
      <c r="B40" s="523">
        <v>1.0</v>
      </c>
      <c r="C40" s="524" t="s">
        <v>1776</v>
      </c>
      <c r="D40" s="524" t="s">
        <v>1740</v>
      </c>
      <c r="E40" s="524" t="s">
        <v>1741</v>
      </c>
      <c r="F40" s="524" t="s">
        <v>1766</v>
      </c>
      <c r="G40" s="445" t="s">
        <v>1816</v>
      </c>
      <c r="H40" s="445" t="str">
        <f t="shared" si="1"/>
        <v>GA</v>
      </c>
      <c r="I40" s="517" t="str">
        <f t="shared" si="2"/>
        <v>/0</v>
      </c>
      <c r="J40" s="517" t="str">
        <f t="shared" si="3"/>
        <v>GA/0</v>
      </c>
      <c r="K40" s="445">
        <v>10.0</v>
      </c>
      <c r="L40" s="517" t="str">
        <f t="shared" si="4"/>
        <v>GA09744-CA</v>
      </c>
    </row>
    <row r="41">
      <c r="B41" s="523">
        <v>1.0</v>
      </c>
      <c r="C41" s="524" t="s">
        <v>1777</v>
      </c>
      <c r="D41" s="524" t="s">
        <v>1740</v>
      </c>
      <c r="E41" s="524" t="s">
        <v>1741</v>
      </c>
      <c r="F41" s="524" t="s">
        <v>1766</v>
      </c>
      <c r="G41" s="445" t="s">
        <v>1816</v>
      </c>
      <c r="H41" s="445" t="str">
        <f t="shared" si="1"/>
        <v>GA</v>
      </c>
      <c r="I41" s="517" t="str">
        <f t="shared" si="2"/>
        <v>/0</v>
      </c>
      <c r="J41" s="517" t="str">
        <f t="shared" si="3"/>
        <v>GA/0</v>
      </c>
      <c r="K41" s="445">
        <v>10.0</v>
      </c>
      <c r="L41" s="517" t="str">
        <f t="shared" si="4"/>
        <v>GA10214-JP</v>
      </c>
    </row>
    <row r="42">
      <c r="B42" s="523">
        <v>1.0</v>
      </c>
      <c r="C42" s="524" t="s">
        <v>1778</v>
      </c>
      <c r="D42" s="524" t="s">
        <v>1740</v>
      </c>
      <c r="E42" s="524" t="s">
        <v>1741</v>
      </c>
      <c r="F42" s="524" t="s">
        <v>1766</v>
      </c>
      <c r="G42" s="445" t="s">
        <v>1816</v>
      </c>
      <c r="H42" s="445" t="str">
        <f t="shared" si="1"/>
        <v>GA</v>
      </c>
      <c r="I42" s="517" t="str">
        <f t="shared" si="2"/>
        <v>/0</v>
      </c>
      <c r="J42" s="517" t="str">
        <f t="shared" si="3"/>
        <v>GA/0</v>
      </c>
      <c r="K42" s="445">
        <v>10.0</v>
      </c>
      <c r="L42" s="517" t="str">
        <f t="shared" si="4"/>
        <v>GA09883-JP</v>
      </c>
    </row>
    <row r="43">
      <c r="B43" s="523">
        <v>1.0</v>
      </c>
      <c r="C43" s="524" t="s">
        <v>1780</v>
      </c>
      <c r="D43" s="524" t="s">
        <v>1740</v>
      </c>
      <c r="E43" s="524" t="s">
        <v>1741</v>
      </c>
      <c r="F43" s="524" t="s">
        <v>1766</v>
      </c>
      <c r="G43" s="445" t="s">
        <v>1816</v>
      </c>
      <c r="H43" s="445" t="str">
        <f t="shared" si="1"/>
        <v>GA</v>
      </c>
      <c r="I43" s="517" t="str">
        <f t="shared" si="2"/>
        <v>/0</v>
      </c>
      <c r="J43" s="517" t="str">
        <f t="shared" si="3"/>
        <v>GA/0</v>
      </c>
      <c r="K43" s="445">
        <v>10.0</v>
      </c>
      <c r="L43" s="517" t="str">
        <f t="shared" si="4"/>
        <v>GA10219-CA</v>
      </c>
    </row>
    <row r="44">
      <c r="B44" s="523">
        <v>1.0</v>
      </c>
      <c r="C44" s="524" t="s">
        <v>1781</v>
      </c>
      <c r="D44" s="524" t="s">
        <v>1740</v>
      </c>
      <c r="E44" s="524" t="s">
        <v>1741</v>
      </c>
      <c r="F44" s="524" t="s">
        <v>1766</v>
      </c>
      <c r="G44" s="445" t="s">
        <v>1816</v>
      </c>
      <c r="H44" s="445" t="str">
        <f t="shared" si="1"/>
        <v>GA</v>
      </c>
      <c r="I44" s="517" t="str">
        <f t="shared" si="2"/>
        <v>/0</v>
      </c>
      <c r="J44" s="517" t="str">
        <f t="shared" si="3"/>
        <v>GA/0</v>
      </c>
      <c r="K44" s="445">
        <v>10.0</v>
      </c>
      <c r="L44" s="517" t="str">
        <f t="shared" si="4"/>
        <v>GA09744-JP</v>
      </c>
    </row>
    <row r="45">
      <c r="B45" s="523">
        <v>1.0</v>
      </c>
      <c r="C45" s="524" t="s">
        <v>1783</v>
      </c>
      <c r="D45" s="524" t="s">
        <v>1740</v>
      </c>
      <c r="E45" s="524" t="s">
        <v>1741</v>
      </c>
      <c r="F45" s="524" t="s">
        <v>1766</v>
      </c>
      <c r="G45" s="445" t="s">
        <v>1816</v>
      </c>
      <c r="H45" s="445" t="str">
        <f t="shared" si="1"/>
        <v>GA</v>
      </c>
      <c r="I45" s="517" t="str">
        <f t="shared" si="2"/>
        <v>/0</v>
      </c>
      <c r="J45" s="517" t="str">
        <f t="shared" si="3"/>
        <v>GA/0</v>
      </c>
      <c r="K45" s="445">
        <v>10.0</v>
      </c>
      <c r="L45" s="517" t="str">
        <f t="shared" si="4"/>
        <v>GA10216-CA</v>
      </c>
    </row>
    <row r="46">
      <c r="B46" s="523">
        <v>1.0</v>
      </c>
      <c r="C46" s="524" t="s">
        <v>1785</v>
      </c>
      <c r="D46" s="524" t="s">
        <v>1740</v>
      </c>
      <c r="E46" s="524" t="s">
        <v>1741</v>
      </c>
      <c r="F46" s="524" t="s">
        <v>1766</v>
      </c>
      <c r="G46" s="445" t="s">
        <v>1816</v>
      </c>
      <c r="H46" s="445" t="str">
        <f t="shared" si="1"/>
        <v>GA</v>
      </c>
      <c r="I46" s="517" t="str">
        <f t="shared" si="2"/>
        <v>/0</v>
      </c>
      <c r="J46" s="517" t="str">
        <f t="shared" si="3"/>
        <v>GA/0</v>
      </c>
      <c r="K46" s="445">
        <v>10.0</v>
      </c>
      <c r="L46" s="517" t="str">
        <f t="shared" si="4"/>
        <v>GA10214-CA</v>
      </c>
    </row>
    <row r="47">
      <c r="B47" s="523">
        <v>1.0</v>
      </c>
      <c r="C47" s="524" t="s">
        <v>1789</v>
      </c>
      <c r="D47" s="524" t="s">
        <v>1740</v>
      </c>
      <c r="E47" s="524" t="s">
        <v>1741</v>
      </c>
      <c r="F47" s="524" t="s">
        <v>1766</v>
      </c>
      <c r="G47" s="445" t="s">
        <v>1816</v>
      </c>
      <c r="H47" s="445" t="str">
        <f t="shared" si="1"/>
        <v>GA</v>
      </c>
      <c r="I47" s="517" t="str">
        <f t="shared" si="2"/>
        <v>/0</v>
      </c>
      <c r="J47" s="517" t="str">
        <f t="shared" si="3"/>
        <v>GA/0</v>
      </c>
      <c r="K47" s="445">
        <v>10.0</v>
      </c>
      <c r="L47" s="517" t="str">
        <f t="shared" si="4"/>
        <v>GA10215-CA</v>
      </c>
    </row>
    <row r="48">
      <c r="B48" s="523">
        <v>1.0</v>
      </c>
      <c r="C48" s="524" t="s">
        <v>1791</v>
      </c>
      <c r="D48" s="524" t="s">
        <v>1740</v>
      </c>
      <c r="E48" s="524" t="s">
        <v>1741</v>
      </c>
      <c r="F48" s="524" t="s">
        <v>1766</v>
      </c>
      <c r="G48" s="445" t="s">
        <v>1816</v>
      </c>
      <c r="H48" s="445" t="str">
        <f t="shared" si="1"/>
        <v>GA</v>
      </c>
      <c r="I48" s="517" t="str">
        <f t="shared" si="2"/>
        <v>/0</v>
      </c>
      <c r="J48" s="517" t="str">
        <f t="shared" si="3"/>
        <v>GA/0</v>
      </c>
      <c r="K48" s="445">
        <v>10.0</v>
      </c>
      <c r="L48" s="517" t="str">
        <f t="shared" si="4"/>
        <v>GA10218-JP</v>
      </c>
    </row>
    <row r="49">
      <c r="B49" s="523">
        <v>1.0</v>
      </c>
      <c r="C49" s="524" t="s">
        <v>1794</v>
      </c>
      <c r="D49" s="524" t="s">
        <v>1740</v>
      </c>
      <c r="E49" s="524" t="s">
        <v>1741</v>
      </c>
      <c r="F49" s="524" t="s">
        <v>1766</v>
      </c>
      <c r="G49" s="445" t="s">
        <v>1816</v>
      </c>
      <c r="H49" s="445" t="str">
        <f t="shared" si="1"/>
        <v>GA</v>
      </c>
      <c r="I49" s="517" t="str">
        <f t="shared" si="2"/>
        <v>/0</v>
      </c>
      <c r="J49" s="517" t="str">
        <f t="shared" si="3"/>
        <v>GA/0</v>
      </c>
      <c r="K49" s="445">
        <v>10.0</v>
      </c>
      <c r="L49" s="517" t="str">
        <f t="shared" si="4"/>
        <v>GA10217-CA</v>
      </c>
    </row>
    <row r="50">
      <c r="B50" s="523">
        <v>1.0</v>
      </c>
      <c r="C50" s="524" t="s">
        <v>1807</v>
      </c>
      <c r="D50" s="524" t="s">
        <v>1740</v>
      </c>
      <c r="E50" s="524" t="s">
        <v>1741</v>
      </c>
      <c r="F50" s="524" t="s">
        <v>1766</v>
      </c>
      <c r="G50" s="445" t="s">
        <v>1816</v>
      </c>
      <c r="H50" s="445" t="str">
        <f t="shared" si="1"/>
        <v>GA</v>
      </c>
      <c r="I50" s="517" t="str">
        <f t="shared" si="2"/>
        <v>/0</v>
      </c>
      <c r="J50" s="517" t="str">
        <f t="shared" si="3"/>
        <v>GA/0</v>
      </c>
      <c r="K50" s="445">
        <v>10.0</v>
      </c>
      <c r="L50" s="517" t="str">
        <f t="shared" si="4"/>
        <v>GA10219-JP</v>
      </c>
    </row>
    <row r="51">
      <c r="B51" s="525">
        <v>1.0</v>
      </c>
      <c r="C51" s="526" t="s">
        <v>1755</v>
      </c>
      <c r="D51" s="526" t="s">
        <v>1740</v>
      </c>
      <c r="E51" s="526" t="s">
        <v>1741</v>
      </c>
      <c r="F51" s="526" t="s">
        <v>1742</v>
      </c>
      <c r="G51" s="445" t="s">
        <v>1817</v>
      </c>
      <c r="H51" s="445" t="str">
        <f t="shared" si="1"/>
        <v>GA</v>
      </c>
      <c r="I51" s="517" t="str">
        <f t="shared" si="2"/>
        <v>-N</v>
      </c>
      <c r="J51" s="517" t="str">
        <f t="shared" si="3"/>
        <v>GA-N</v>
      </c>
      <c r="K51" s="445">
        <v>12.0</v>
      </c>
      <c r="L51" s="517" t="str">
        <f t="shared" si="4"/>
        <v>GA10215-GB-N</v>
      </c>
    </row>
    <row r="52">
      <c r="B52" s="523">
        <v>1.0</v>
      </c>
      <c r="C52" s="524" t="s">
        <v>1756</v>
      </c>
      <c r="D52" s="524" t="s">
        <v>1740</v>
      </c>
      <c r="E52" s="524" t="s">
        <v>1741</v>
      </c>
      <c r="F52" s="524" t="s">
        <v>1742</v>
      </c>
      <c r="G52" s="445" t="s">
        <v>1817</v>
      </c>
      <c r="H52" s="445" t="str">
        <f t="shared" si="1"/>
        <v>GA</v>
      </c>
      <c r="I52" s="517" t="str">
        <f t="shared" si="2"/>
        <v>-N</v>
      </c>
      <c r="J52" s="517" t="str">
        <f t="shared" si="3"/>
        <v>GA-N</v>
      </c>
      <c r="K52" s="445">
        <v>12.0</v>
      </c>
      <c r="L52" s="517" t="str">
        <f t="shared" si="4"/>
        <v>GA10216-GB-N</v>
      </c>
    </row>
    <row r="53">
      <c r="B53" s="523">
        <v>1.0</v>
      </c>
      <c r="C53" s="524" t="s">
        <v>1757</v>
      </c>
      <c r="D53" s="524" t="s">
        <v>1740</v>
      </c>
      <c r="E53" s="524" t="s">
        <v>1741</v>
      </c>
      <c r="F53" s="524" t="s">
        <v>1742</v>
      </c>
      <c r="G53" s="445" t="s">
        <v>1817</v>
      </c>
      <c r="H53" s="445" t="str">
        <f t="shared" si="1"/>
        <v>GA</v>
      </c>
      <c r="I53" s="517" t="str">
        <f t="shared" si="2"/>
        <v>-N</v>
      </c>
      <c r="J53" s="517" t="str">
        <f t="shared" si="3"/>
        <v>GA-N</v>
      </c>
      <c r="K53" s="445">
        <v>12.0</v>
      </c>
      <c r="L53" s="517" t="str">
        <f t="shared" si="4"/>
        <v>GA10214-GB-N</v>
      </c>
    </row>
    <row r="54">
      <c r="B54" s="523">
        <v>1.0</v>
      </c>
      <c r="C54" s="524" t="s">
        <v>1758</v>
      </c>
      <c r="D54" s="524" t="s">
        <v>1740</v>
      </c>
      <c r="E54" s="524" t="s">
        <v>1741</v>
      </c>
      <c r="F54" s="524" t="s">
        <v>1742</v>
      </c>
      <c r="G54" s="445" t="s">
        <v>1817</v>
      </c>
      <c r="H54" s="445" t="str">
        <f t="shared" si="1"/>
        <v>GA</v>
      </c>
      <c r="I54" s="517" t="str">
        <f t="shared" si="2"/>
        <v>-N</v>
      </c>
      <c r="J54" s="517" t="str">
        <f t="shared" si="3"/>
        <v>GA-N</v>
      </c>
      <c r="K54" s="445">
        <v>12.0</v>
      </c>
      <c r="L54" s="517" t="str">
        <f t="shared" si="4"/>
        <v>GA09744-GB-N</v>
      </c>
    </row>
    <row r="55">
      <c r="B55" s="523">
        <v>1.0</v>
      </c>
      <c r="C55" s="524" t="s">
        <v>1769</v>
      </c>
      <c r="D55" s="524" t="s">
        <v>1740</v>
      </c>
      <c r="E55" s="524" t="s">
        <v>1741</v>
      </c>
      <c r="F55" s="524" t="s">
        <v>1766</v>
      </c>
      <c r="G55" s="445" t="s">
        <v>1817</v>
      </c>
      <c r="H55" s="445" t="str">
        <f t="shared" si="1"/>
        <v>GA</v>
      </c>
      <c r="I55" s="517" t="str">
        <f t="shared" si="2"/>
        <v>/0</v>
      </c>
      <c r="J55" s="517" t="str">
        <f t="shared" si="3"/>
        <v>GA/0</v>
      </c>
      <c r="K55" s="445">
        <v>10.0</v>
      </c>
      <c r="L55" s="517" t="str">
        <f t="shared" si="4"/>
        <v>GA09744-GB</v>
      </c>
    </row>
    <row r="56">
      <c r="B56" s="523">
        <v>1.0</v>
      </c>
      <c r="C56" s="524" t="s">
        <v>1786</v>
      </c>
      <c r="D56" s="524" t="s">
        <v>1740</v>
      </c>
      <c r="E56" s="524" t="s">
        <v>1741</v>
      </c>
      <c r="F56" s="524" t="s">
        <v>1766</v>
      </c>
      <c r="G56" s="445" t="s">
        <v>1817</v>
      </c>
      <c r="H56" s="445" t="str">
        <f t="shared" si="1"/>
        <v>GA</v>
      </c>
      <c r="I56" s="517" t="str">
        <f t="shared" si="2"/>
        <v>/0</v>
      </c>
      <c r="J56" s="517" t="str">
        <f t="shared" si="3"/>
        <v>GA/0</v>
      </c>
      <c r="K56" s="445">
        <v>10.0</v>
      </c>
      <c r="L56" s="517" t="str">
        <f t="shared" si="4"/>
        <v>GA10219-GB</v>
      </c>
    </row>
    <row r="57">
      <c r="B57" s="523">
        <v>1.0</v>
      </c>
      <c r="C57" s="524" t="s">
        <v>1792</v>
      </c>
      <c r="D57" s="524" t="s">
        <v>1740</v>
      </c>
      <c r="E57" s="524" t="s">
        <v>1741</v>
      </c>
      <c r="F57" s="524" t="s">
        <v>1766</v>
      </c>
      <c r="G57" s="445" t="s">
        <v>1817</v>
      </c>
      <c r="H57" s="445" t="str">
        <f t="shared" si="1"/>
        <v>GA</v>
      </c>
      <c r="I57" s="517" t="str">
        <f t="shared" si="2"/>
        <v>/0</v>
      </c>
      <c r="J57" s="517" t="str">
        <f t="shared" si="3"/>
        <v>GA/0</v>
      </c>
      <c r="K57" s="445">
        <v>10.0</v>
      </c>
      <c r="L57" s="517" t="str">
        <f t="shared" si="4"/>
        <v>GA09883-GB</v>
      </c>
    </row>
    <row r="58">
      <c r="B58" s="523">
        <v>1.0</v>
      </c>
      <c r="C58" s="524" t="s">
        <v>1795</v>
      </c>
      <c r="D58" s="524" t="s">
        <v>1740</v>
      </c>
      <c r="E58" s="524" t="s">
        <v>1741</v>
      </c>
      <c r="F58" s="524" t="s">
        <v>1766</v>
      </c>
      <c r="G58" s="445" t="s">
        <v>1817</v>
      </c>
      <c r="H58" s="445" t="str">
        <f t="shared" si="1"/>
        <v>GA</v>
      </c>
      <c r="I58" s="517" t="str">
        <f t="shared" si="2"/>
        <v>/0</v>
      </c>
      <c r="J58" s="517" t="str">
        <f t="shared" si="3"/>
        <v>GA/0</v>
      </c>
      <c r="K58" s="445">
        <v>10.0</v>
      </c>
      <c r="L58" s="517" t="str">
        <f t="shared" si="4"/>
        <v>GA10214-GB</v>
      </c>
    </row>
    <row r="59">
      <c r="B59" s="523">
        <v>1.0</v>
      </c>
      <c r="C59" s="524" t="s">
        <v>1797</v>
      </c>
      <c r="D59" s="524" t="s">
        <v>1740</v>
      </c>
      <c r="E59" s="524" t="s">
        <v>1741</v>
      </c>
      <c r="F59" s="524" t="s">
        <v>1766</v>
      </c>
      <c r="G59" s="445" t="s">
        <v>1817</v>
      </c>
      <c r="H59" s="445" t="str">
        <f t="shared" si="1"/>
        <v>GA</v>
      </c>
      <c r="I59" s="517" t="str">
        <f t="shared" si="2"/>
        <v>/0</v>
      </c>
      <c r="J59" s="517" t="str">
        <f t="shared" si="3"/>
        <v>GA/0</v>
      </c>
      <c r="K59" s="445">
        <v>10.0</v>
      </c>
      <c r="L59" s="517" t="str">
        <f t="shared" si="4"/>
        <v>GA10216-GB</v>
      </c>
    </row>
    <row r="60">
      <c r="B60" s="523">
        <v>1.0</v>
      </c>
      <c r="C60" s="524" t="s">
        <v>1799</v>
      </c>
      <c r="D60" s="524" t="s">
        <v>1740</v>
      </c>
      <c r="E60" s="524" t="s">
        <v>1741</v>
      </c>
      <c r="F60" s="524" t="s">
        <v>1766</v>
      </c>
      <c r="G60" s="445" t="s">
        <v>1817</v>
      </c>
      <c r="H60" s="445" t="str">
        <f t="shared" si="1"/>
        <v>GA</v>
      </c>
      <c r="I60" s="517" t="str">
        <f t="shared" si="2"/>
        <v>/0</v>
      </c>
      <c r="J60" s="517" t="str">
        <f t="shared" si="3"/>
        <v>GA/0</v>
      </c>
      <c r="K60" s="445">
        <v>10.0</v>
      </c>
      <c r="L60" s="517" t="str">
        <f t="shared" si="4"/>
        <v>GA10215-GB</v>
      </c>
    </row>
    <row r="61">
      <c r="B61" s="523">
        <v>1.0</v>
      </c>
      <c r="C61" s="524" t="s">
        <v>1808</v>
      </c>
      <c r="D61" s="524" t="s">
        <v>1740</v>
      </c>
      <c r="E61" s="524" t="s">
        <v>1741</v>
      </c>
      <c r="F61" s="524" t="s">
        <v>1766</v>
      </c>
      <c r="G61" s="445" t="s">
        <v>1817</v>
      </c>
      <c r="H61" s="445" t="str">
        <f t="shared" si="1"/>
        <v>GA</v>
      </c>
      <c r="I61" s="517" t="str">
        <f t="shared" si="2"/>
        <v>/0</v>
      </c>
      <c r="J61" s="517" t="str">
        <f t="shared" si="3"/>
        <v>GA/0</v>
      </c>
      <c r="K61" s="445">
        <v>10.0</v>
      </c>
      <c r="L61" s="517" t="str">
        <f t="shared" si="4"/>
        <v>GA10217-GB</v>
      </c>
    </row>
    <row r="62">
      <c r="B62" s="523">
        <v>1.0</v>
      </c>
      <c r="C62" s="524" t="s">
        <v>1811</v>
      </c>
      <c r="D62" s="524" t="s">
        <v>1740</v>
      </c>
      <c r="E62" s="524" t="s">
        <v>1741</v>
      </c>
      <c r="F62" s="524" t="s">
        <v>1766</v>
      </c>
      <c r="G62" s="445" t="s">
        <v>1817</v>
      </c>
      <c r="H62" s="445" t="str">
        <f t="shared" si="1"/>
        <v>GA</v>
      </c>
      <c r="I62" s="517" t="str">
        <f t="shared" si="2"/>
        <v>/0</v>
      </c>
      <c r="J62" s="517" t="str">
        <f t="shared" si="3"/>
        <v>GA/0</v>
      </c>
      <c r="K62" s="445">
        <v>10.0</v>
      </c>
      <c r="L62" s="517" t="str">
        <f t="shared" si="4"/>
        <v>GA10218-GB</v>
      </c>
    </row>
    <row r="63">
      <c r="B63" s="525">
        <v>1.0</v>
      </c>
      <c r="C63" s="526" t="s">
        <v>1818</v>
      </c>
      <c r="D63" s="526" t="s">
        <v>1740</v>
      </c>
      <c r="E63" s="526" t="s">
        <v>1741</v>
      </c>
      <c r="F63" s="526" t="s">
        <v>1766</v>
      </c>
      <c r="G63" s="445" t="s">
        <v>1819</v>
      </c>
      <c r="H63" s="445" t="str">
        <f t="shared" si="1"/>
        <v>CL</v>
      </c>
      <c r="I63" s="517" t="str">
        <f t="shared" si="2"/>
        <v>23</v>
      </c>
      <c r="J63" s="517" t="str">
        <f t="shared" si="3"/>
        <v>CL23</v>
      </c>
      <c r="K63" s="445">
        <v>13.0</v>
      </c>
      <c r="L63" s="517" t="str">
        <f t="shared" si="4"/>
        <v>CLNRGOGA10238</v>
      </c>
    </row>
    <row r="64">
      <c r="B64" s="523">
        <v>1.0</v>
      </c>
      <c r="C64" s="524" t="s">
        <v>1820</v>
      </c>
      <c r="D64" s="524" t="s">
        <v>1740</v>
      </c>
      <c r="E64" s="524" t="s">
        <v>1741</v>
      </c>
      <c r="F64" s="524" t="s">
        <v>1766</v>
      </c>
      <c r="G64" s="445" t="s">
        <v>1819</v>
      </c>
      <c r="H64" s="445" t="str">
        <f t="shared" si="1"/>
        <v>CL</v>
      </c>
      <c r="I64" s="517" t="str">
        <f t="shared" si="2"/>
        <v>23</v>
      </c>
      <c r="J64" s="517" t="str">
        <f t="shared" si="3"/>
        <v>CL23</v>
      </c>
      <c r="K64" s="445">
        <v>13.0</v>
      </c>
      <c r="L64" s="517" t="str">
        <f t="shared" si="4"/>
        <v>CLNRGOGA10239</v>
      </c>
    </row>
    <row r="65">
      <c r="B65" s="523">
        <v>1.0</v>
      </c>
      <c r="C65" s="524" t="s">
        <v>1821</v>
      </c>
      <c r="D65" s="524" t="s">
        <v>1740</v>
      </c>
      <c r="E65" s="524" t="s">
        <v>1741</v>
      </c>
      <c r="F65" s="524" t="s">
        <v>1766</v>
      </c>
      <c r="G65" s="445" t="s">
        <v>1819</v>
      </c>
      <c r="H65" s="445" t="str">
        <f t="shared" si="1"/>
        <v>CL</v>
      </c>
      <c r="I65" s="517" t="str">
        <f t="shared" si="2"/>
        <v>24</v>
      </c>
      <c r="J65" s="517" t="str">
        <f t="shared" si="3"/>
        <v>CL24</v>
      </c>
      <c r="K65" s="445">
        <v>13.0</v>
      </c>
      <c r="L65" s="517" t="str">
        <f t="shared" si="4"/>
        <v>CLNRGOGA10243</v>
      </c>
    </row>
    <row r="66">
      <c r="B66" s="523">
        <v>1.0</v>
      </c>
      <c r="C66" s="524" t="s">
        <v>1822</v>
      </c>
      <c r="D66" s="524" t="s">
        <v>1740</v>
      </c>
      <c r="E66" s="524" t="s">
        <v>1741</v>
      </c>
      <c r="F66" s="524" t="s">
        <v>1766</v>
      </c>
      <c r="G66" s="445" t="s">
        <v>1819</v>
      </c>
      <c r="H66" s="445" t="str">
        <f t="shared" si="1"/>
        <v>CL</v>
      </c>
      <c r="I66" s="517" t="str">
        <f t="shared" si="2"/>
        <v>24</v>
      </c>
      <c r="J66" s="517" t="str">
        <f t="shared" si="3"/>
        <v>CL24</v>
      </c>
      <c r="K66" s="445">
        <v>13.0</v>
      </c>
      <c r="L66" s="517" t="str">
        <f t="shared" si="4"/>
        <v>CLNRGOGA10240</v>
      </c>
    </row>
    <row r="67">
      <c r="B67" s="523">
        <v>1.0</v>
      </c>
      <c r="C67" s="524" t="s">
        <v>1823</v>
      </c>
      <c r="D67" s="524" t="s">
        <v>1740</v>
      </c>
      <c r="E67" s="524" t="s">
        <v>1741</v>
      </c>
      <c r="F67" s="524" t="s">
        <v>1766</v>
      </c>
      <c r="G67" s="445" t="s">
        <v>1819</v>
      </c>
      <c r="H67" s="445" t="str">
        <f t="shared" si="1"/>
        <v>CL</v>
      </c>
      <c r="I67" s="517" t="str">
        <f t="shared" si="2"/>
        <v>88</v>
      </c>
      <c r="J67" s="517" t="str">
        <f t="shared" si="3"/>
        <v>CL88</v>
      </c>
      <c r="K67" s="445">
        <v>13.0</v>
      </c>
      <c r="L67" s="517" t="str">
        <f t="shared" si="4"/>
        <v>CLNRGOGA09880</v>
      </c>
    </row>
    <row r="68">
      <c r="B68" s="523">
        <v>1.0</v>
      </c>
      <c r="C68" s="524" t="s">
        <v>1824</v>
      </c>
      <c r="D68" s="524" t="s">
        <v>1740</v>
      </c>
      <c r="E68" s="524" t="s">
        <v>1741</v>
      </c>
      <c r="F68" s="524" t="s">
        <v>1766</v>
      </c>
      <c r="G68" s="445" t="s">
        <v>1819</v>
      </c>
      <c r="H68" s="445" t="str">
        <f t="shared" si="1"/>
        <v>CL</v>
      </c>
      <c r="I68" s="517" t="str">
        <f t="shared" si="2"/>
        <v>42</v>
      </c>
      <c r="J68" s="517" t="str">
        <f t="shared" si="3"/>
        <v>CL42</v>
      </c>
      <c r="K68" s="445">
        <v>13.0</v>
      </c>
      <c r="L68" s="517" t="str">
        <f t="shared" si="4"/>
        <v>CLNRGOGA09425</v>
      </c>
    </row>
    <row r="69">
      <c r="B69" s="445">
        <v>1.0</v>
      </c>
      <c r="C69" s="445" t="s">
        <v>1825</v>
      </c>
      <c r="D69" s="445" t="s">
        <v>1740</v>
      </c>
      <c r="E69" s="445" t="s">
        <v>1741</v>
      </c>
      <c r="F69" s="445" t="s">
        <v>1766</v>
      </c>
      <c r="G69" s="445" t="s">
        <v>1826</v>
      </c>
      <c r="H69" s="445" t="str">
        <f t="shared" si="1"/>
        <v>CL</v>
      </c>
      <c r="I69" s="517" t="str">
        <f t="shared" si="2"/>
        <v>2/</v>
      </c>
      <c r="J69" s="517" t="str">
        <f t="shared" si="3"/>
        <v>CL2/</v>
      </c>
      <c r="K69" s="445">
        <v>11.0</v>
      </c>
      <c r="L69" s="517" t="str">
        <f t="shared" si="4"/>
        <v>CLNRGA10252</v>
      </c>
    </row>
    <row r="70">
      <c r="B70" s="445">
        <v>1.0</v>
      </c>
      <c r="C70" s="445" t="s">
        <v>1827</v>
      </c>
      <c r="D70" s="445" t="s">
        <v>1740</v>
      </c>
      <c r="E70" s="445" t="s">
        <v>1741</v>
      </c>
      <c r="F70" s="445" t="s">
        <v>1766</v>
      </c>
      <c r="G70" s="445" t="s">
        <v>1826</v>
      </c>
      <c r="H70" s="445" t="str">
        <f t="shared" si="1"/>
        <v>CL</v>
      </c>
      <c r="I70" s="517" t="str">
        <f t="shared" si="2"/>
        <v>2/</v>
      </c>
      <c r="J70" s="517" t="str">
        <f t="shared" si="3"/>
        <v>CL2/</v>
      </c>
      <c r="K70" s="445">
        <v>11.0</v>
      </c>
      <c r="L70" s="517" t="str">
        <f t="shared" si="4"/>
        <v>CLNRGA09862</v>
      </c>
    </row>
    <row r="71">
      <c r="B71" s="445">
        <v>1.0</v>
      </c>
      <c r="C71" s="445" t="s">
        <v>1828</v>
      </c>
      <c r="D71" s="445" t="s">
        <v>1740</v>
      </c>
      <c r="E71" s="445" t="s">
        <v>1741</v>
      </c>
      <c r="F71" s="445" t="s">
        <v>1766</v>
      </c>
      <c r="G71" s="445" t="s">
        <v>1826</v>
      </c>
      <c r="H71" s="445" t="str">
        <f t="shared" si="1"/>
        <v>CL</v>
      </c>
      <c r="I71" s="517" t="str">
        <f t="shared" si="2"/>
        <v>2/</v>
      </c>
      <c r="J71" s="517" t="str">
        <f t="shared" si="3"/>
        <v>CL2/</v>
      </c>
      <c r="K71" s="445">
        <v>11.0</v>
      </c>
      <c r="L71" s="517" t="str">
        <f t="shared" si="4"/>
        <v>CLNRGA09882</v>
      </c>
    </row>
    <row r="72">
      <c r="B72" s="525">
        <v>1.0</v>
      </c>
      <c r="C72" s="526" t="s">
        <v>1829</v>
      </c>
      <c r="D72" s="526" t="s">
        <v>1740</v>
      </c>
      <c r="E72" s="526" t="s">
        <v>1741</v>
      </c>
      <c r="F72" s="526" t="s">
        <v>1766</v>
      </c>
      <c r="G72" s="445" t="s">
        <v>1830</v>
      </c>
      <c r="H72" s="445" t="str">
        <f t="shared" si="1"/>
        <v>CL</v>
      </c>
      <c r="I72" s="517" t="str">
        <f t="shared" si="2"/>
        <v>4/</v>
      </c>
      <c r="J72" s="517" t="str">
        <f t="shared" si="3"/>
        <v>CL4/</v>
      </c>
      <c r="K72" s="445">
        <v>11.0</v>
      </c>
      <c r="L72" s="517" t="str">
        <f t="shared" si="4"/>
        <v>CLNRGA09744</v>
      </c>
    </row>
    <row r="73">
      <c r="B73" s="523">
        <v>1.0</v>
      </c>
      <c r="C73" s="524" t="s">
        <v>1831</v>
      </c>
      <c r="D73" s="524" t="s">
        <v>1740</v>
      </c>
      <c r="E73" s="524" t="s">
        <v>1741</v>
      </c>
      <c r="F73" s="524" t="s">
        <v>1766</v>
      </c>
      <c r="G73" s="445" t="s">
        <v>1830</v>
      </c>
      <c r="H73" s="445" t="str">
        <f t="shared" si="1"/>
        <v>CL</v>
      </c>
      <c r="I73" s="517" t="str">
        <f t="shared" si="2"/>
        <v>5/</v>
      </c>
      <c r="J73" s="517" t="str">
        <f t="shared" si="3"/>
        <v>CL5/</v>
      </c>
      <c r="K73" s="445">
        <v>11.0</v>
      </c>
      <c r="L73" s="517" t="str">
        <f t="shared" si="4"/>
        <v>CLNRGA10215</v>
      </c>
    </row>
    <row r="74">
      <c r="B74" s="523">
        <v>1.0</v>
      </c>
      <c r="C74" s="524" t="s">
        <v>1832</v>
      </c>
      <c r="D74" s="524" t="s">
        <v>1740</v>
      </c>
      <c r="E74" s="524" t="s">
        <v>1741</v>
      </c>
      <c r="F74" s="524" t="s">
        <v>1766</v>
      </c>
      <c r="G74" s="445" t="s">
        <v>1830</v>
      </c>
      <c r="H74" s="445" t="str">
        <f t="shared" si="1"/>
        <v>CL</v>
      </c>
      <c r="I74" s="517" t="str">
        <f t="shared" si="2"/>
        <v>6/</v>
      </c>
      <c r="J74" s="517" t="str">
        <f t="shared" si="3"/>
        <v>CL6/</v>
      </c>
      <c r="K74" s="445">
        <v>11.0</v>
      </c>
      <c r="L74" s="517" t="str">
        <f t="shared" si="4"/>
        <v>CLNRGA10216</v>
      </c>
    </row>
    <row r="75">
      <c r="B75" s="523">
        <v>1.0</v>
      </c>
      <c r="C75" s="524" t="s">
        <v>1833</v>
      </c>
      <c r="D75" s="524" t="s">
        <v>1740</v>
      </c>
      <c r="E75" s="524" t="s">
        <v>1741</v>
      </c>
      <c r="F75" s="524" t="s">
        <v>1766</v>
      </c>
      <c r="G75" s="445" t="s">
        <v>1830</v>
      </c>
      <c r="H75" s="445" t="str">
        <f t="shared" si="1"/>
        <v>CL</v>
      </c>
      <c r="I75" s="517" t="str">
        <f t="shared" si="2"/>
        <v>7/</v>
      </c>
      <c r="J75" s="517" t="str">
        <f t="shared" si="3"/>
        <v>CL7/</v>
      </c>
      <c r="K75" s="445">
        <v>11.0</v>
      </c>
      <c r="L75" s="517" t="str">
        <f t="shared" si="4"/>
        <v>CLNRGA10217</v>
      </c>
    </row>
    <row r="76">
      <c r="B76" s="523">
        <v>1.0</v>
      </c>
      <c r="C76" s="524" t="s">
        <v>1834</v>
      </c>
      <c r="D76" s="524" t="s">
        <v>1740</v>
      </c>
      <c r="E76" s="524" t="s">
        <v>1741</v>
      </c>
      <c r="F76" s="524" t="s">
        <v>1766</v>
      </c>
      <c r="G76" s="445" t="s">
        <v>1830</v>
      </c>
      <c r="H76" s="445" t="str">
        <f t="shared" si="1"/>
        <v>CL</v>
      </c>
      <c r="I76" s="517" t="str">
        <f t="shared" si="2"/>
        <v>8/</v>
      </c>
      <c r="J76" s="517" t="str">
        <f t="shared" si="3"/>
        <v>CL8/</v>
      </c>
      <c r="K76" s="445">
        <v>11.0</v>
      </c>
      <c r="L76" s="517" t="str">
        <f t="shared" si="4"/>
        <v>CLNRGA10218</v>
      </c>
    </row>
    <row r="77">
      <c r="B77" s="523">
        <v>1.0</v>
      </c>
      <c r="C77" s="524" t="s">
        <v>1835</v>
      </c>
      <c r="D77" s="524" t="s">
        <v>1740</v>
      </c>
      <c r="E77" s="524" t="s">
        <v>1741</v>
      </c>
      <c r="F77" s="524" t="s">
        <v>1766</v>
      </c>
      <c r="G77" s="445" t="s">
        <v>1830</v>
      </c>
      <c r="H77" s="445" t="str">
        <f t="shared" si="1"/>
        <v>CL</v>
      </c>
      <c r="I77" s="517" t="str">
        <f t="shared" si="2"/>
        <v>4/</v>
      </c>
      <c r="J77" s="517" t="str">
        <f t="shared" si="3"/>
        <v>CL4/</v>
      </c>
      <c r="K77" s="445">
        <v>11.0</v>
      </c>
      <c r="L77" s="517" t="str">
        <f t="shared" si="4"/>
        <v>CLNRGA10214</v>
      </c>
    </row>
    <row r="78">
      <c r="B78" s="523">
        <v>1.0</v>
      </c>
      <c r="C78" s="524" t="s">
        <v>1836</v>
      </c>
      <c r="D78" s="524" t="s">
        <v>1740</v>
      </c>
      <c r="E78" s="524" t="s">
        <v>1741</v>
      </c>
      <c r="F78" s="524" t="s">
        <v>1766</v>
      </c>
      <c r="G78" s="445" t="s">
        <v>1830</v>
      </c>
      <c r="H78" s="445" t="str">
        <f t="shared" si="1"/>
        <v>CL</v>
      </c>
      <c r="I78" s="517" t="str">
        <f t="shared" si="2"/>
        <v>9/</v>
      </c>
      <c r="J78" s="517" t="str">
        <f t="shared" si="3"/>
        <v>CL9/</v>
      </c>
      <c r="K78" s="445">
        <v>11.0</v>
      </c>
      <c r="L78" s="517" t="str">
        <f t="shared" si="4"/>
        <v>CLNRGA10219</v>
      </c>
    </row>
    <row r="79">
      <c r="B79" s="523">
        <v>1.0</v>
      </c>
      <c r="C79" s="524" t="s">
        <v>1837</v>
      </c>
      <c r="D79" s="524" t="s">
        <v>1740</v>
      </c>
      <c r="E79" s="524" t="s">
        <v>1741</v>
      </c>
      <c r="F79" s="524" t="s">
        <v>1766</v>
      </c>
      <c r="G79" s="445" t="s">
        <v>1830</v>
      </c>
      <c r="H79" s="445" t="str">
        <f t="shared" si="1"/>
        <v>CL</v>
      </c>
      <c r="I79" s="517" t="str">
        <f t="shared" si="2"/>
        <v>3/</v>
      </c>
      <c r="J79" s="517" t="str">
        <f t="shared" si="3"/>
        <v>CL3/</v>
      </c>
      <c r="K79" s="445">
        <v>11.0</v>
      </c>
      <c r="L79" s="517" t="str">
        <f t="shared" si="4"/>
        <v>CLNRGA09883</v>
      </c>
    </row>
    <row r="80">
      <c r="B80" s="525">
        <v>1.0</v>
      </c>
      <c r="C80" s="526" t="s">
        <v>1838</v>
      </c>
      <c r="D80" s="526" t="s">
        <v>1740</v>
      </c>
      <c r="E80" s="526" t="s">
        <v>1741</v>
      </c>
      <c r="F80" s="526" t="s">
        <v>1766</v>
      </c>
      <c r="G80" s="445" t="s">
        <v>1839</v>
      </c>
      <c r="H80" s="445" t="str">
        <f t="shared" si="1"/>
        <v>CL</v>
      </c>
      <c r="I80" s="517" t="str">
        <f t="shared" si="2"/>
        <v>1/</v>
      </c>
      <c r="J80" s="517" t="str">
        <f t="shared" si="3"/>
        <v>CL1/</v>
      </c>
      <c r="K80" s="445">
        <v>11.0</v>
      </c>
      <c r="L80" s="517" t="str">
        <f t="shared" si="4"/>
        <v>CLNRGA10541</v>
      </c>
    </row>
    <row r="81">
      <c r="B81" s="523">
        <v>1.0</v>
      </c>
      <c r="C81" s="524" t="s">
        <v>1840</v>
      </c>
      <c r="D81" s="524" t="s">
        <v>1740</v>
      </c>
      <c r="E81" s="524" t="s">
        <v>1741</v>
      </c>
      <c r="F81" s="524" t="s">
        <v>1766</v>
      </c>
      <c r="G81" s="445" t="s">
        <v>1839</v>
      </c>
      <c r="H81" s="445" t="str">
        <f t="shared" si="1"/>
        <v>CL</v>
      </c>
      <c r="I81" s="517" t="str">
        <f t="shared" si="2"/>
        <v>2/</v>
      </c>
      <c r="J81" s="517" t="str">
        <f t="shared" si="3"/>
        <v>CL2/</v>
      </c>
      <c r="K81" s="445">
        <v>11.0</v>
      </c>
      <c r="L81" s="517" t="str">
        <f t="shared" si="4"/>
        <v>CLNRGA10542</v>
      </c>
    </row>
    <row r="82">
      <c r="B82" s="523">
        <v>1.0</v>
      </c>
      <c r="C82" s="524" t="s">
        <v>1841</v>
      </c>
      <c r="D82" s="524" t="s">
        <v>1740</v>
      </c>
      <c r="E82" s="524" t="s">
        <v>1741</v>
      </c>
      <c r="F82" s="524" t="s">
        <v>1766</v>
      </c>
      <c r="G82" s="445" t="s">
        <v>1839</v>
      </c>
      <c r="H82" s="445" t="str">
        <f t="shared" si="1"/>
        <v>CL</v>
      </c>
      <c r="I82" s="517" t="str">
        <f t="shared" si="2"/>
        <v>0/</v>
      </c>
      <c r="J82" s="517" t="str">
        <f t="shared" si="3"/>
        <v>CL0/</v>
      </c>
      <c r="K82" s="445">
        <v>11.0</v>
      </c>
      <c r="L82" s="517" t="str">
        <f t="shared" si="4"/>
        <v>CLNRGA10540</v>
      </c>
    </row>
    <row r="83">
      <c r="B83" s="523">
        <v>1.0</v>
      </c>
      <c r="C83" s="524" t="s">
        <v>1842</v>
      </c>
      <c r="D83" s="524" t="s">
        <v>1740</v>
      </c>
      <c r="E83" s="524" t="s">
        <v>1741</v>
      </c>
      <c r="F83" s="524" t="s">
        <v>1766</v>
      </c>
      <c r="G83" s="445" t="s">
        <v>1839</v>
      </c>
      <c r="H83" s="445" t="str">
        <f t="shared" si="1"/>
        <v>CL</v>
      </c>
      <c r="I83" s="517" t="str">
        <f t="shared" si="2"/>
        <v>3/</v>
      </c>
      <c r="J83" s="517" t="str">
        <f t="shared" si="3"/>
        <v>CL3/</v>
      </c>
      <c r="K83" s="445">
        <v>11.0</v>
      </c>
      <c r="L83" s="517" t="str">
        <f t="shared" si="4"/>
        <v>CLNRGA10543</v>
      </c>
    </row>
    <row r="84">
      <c r="B84" s="523">
        <v>1.0</v>
      </c>
      <c r="C84" s="524" t="s">
        <v>1843</v>
      </c>
      <c r="D84" s="524" t="s">
        <v>1740</v>
      </c>
      <c r="E84" s="524" t="s">
        <v>1741</v>
      </c>
      <c r="F84" s="524" t="s">
        <v>1766</v>
      </c>
      <c r="G84" s="445" t="s">
        <v>1839</v>
      </c>
      <c r="H84" s="445" t="str">
        <f t="shared" si="1"/>
        <v>CL</v>
      </c>
      <c r="I84" s="517" t="str">
        <f t="shared" si="2"/>
        <v>5/</v>
      </c>
      <c r="J84" s="517" t="str">
        <f t="shared" si="3"/>
        <v>CL5/</v>
      </c>
      <c r="K84" s="445">
        <v>11.0</v>
      </c>
      <c r="L84" s="517" t="str">
        <f t="shared" si="4"/>
        <v>CLNRGA10545</v>
      </c>
    </row>
    <row r="85">
      <c r="B85" s="523">
        <v>1.0</v>
      </c>
      <c r="C85" s="524" t="s">
        <v>1844</v>
      </c>
      <c r="D85" s="524" t="s">
        <v>1740</v>
      </c>
      <c r="E85" s="524" t="s">
        <v>1741</v>
      </c>
      <c r="F85" s="524" t="s">
        <v>1766</v>
      </c>
      <c r="G85" s="445" t="s">
        <v>1839</v>
      </c>
      <c r="H85" s="445" t="str">
        <f t="shared" si="1"/>
        <v>CL</v>
      </c>
      <c r="I85" s="517" t="str">
        <f t="shared" si="2"/>
        <v>4/</v>
      </c>
      <c r="J85" s="517" t="str">
        <f t="shared" si="3"/>
        <v>CL4/</v>
      </c>
      <c r="K85" s="445">
        <v>11.0</v>
      </c>
      <c r="L85" s="517" t="str">
        <f t="shared" si="4"/>
        <v>CLNRGA10544</v>
      </c>
    </row>
    <row r="86">
      <c r="B86" s="523">
        <v>1.0</v>
      </c>
      <c r="C86" s="524" t="s">
        <v>1845</v>
      </c>
      <c r="D86" s="524" t="s">
        <v>1740</v>
      </c>
      <c r="E86" s="524" t="s">
        <v>1741</v>
      </c>
      <c r="F86" s="524" t="s">
        <v>1766</v>
      </c>
      <c r="G86" s="445" t="s">
        <v>1839</v>
      </c>
      <c r="H86" s="445" t="str">
        <f t="shared" si="1"/>
        <v>CL</v>
      </c>
      <c r="I86" s="517" t="str">
        <f t="shared" si="2"/>
        <v>6/</v>
      </c>
      <c r="J86" s="517" t="str">
        <f t="shared" si="3"/>
        <v>CL6/</v>
      </c>
      <c r="K86" s="445">
        <v>11.0</v>
      </c>
      <c r="L86" s="517" t="str">
        <f t="shared" si="4"/>
        <v>CLNRGA10546</v>
      </c>
    </row>
    <row r="87">
      <c r="B87" s="523">
        <v>1.0</v>
      </c>
      <c r="C87" s="524" t="s">
        <v>1846</v>
      </c>
      <c r="D87" s="524" t="s">
        <v>1740</v>
      </c>
      <c r="E87" s="524" t="s">
        <v>1741</v>
      </c>
      <c r="F87" s="524" t="s">
        <v>1766</v>
      </c>
      <c r="G87" s="445" t="s">
        <v>1839</v>
      </c>
      <c r="H87" s="445" t="str">
        <f t="shared" si="1"/>
        <v>CL</v>
      </c>
      <c r="I87" s="517" t="str">
        <f t="shared" si="2"/>
        <v>7/</v>
      </c>
      <c r="J87" s="517" t="str">
        <f t="shared" si="3"/>
        <v>CL7/</v>
      </c>
      <c r="K87" s="445">
        <v>11.0</v>
      </c>
      <c r="L87" s="517" t="str">
        <f t="shared" si="4"/>
        <v>CLNRGA10547</v>
      </c>
    </row>
    <row r="88">
      <c r="B88" s="525">
        <v>1.0</v>
      </c>
      <c r="C88" s="526" t="s">
        <v>1847</v>
      </c>
      <c r="D88" s="526" t="s">
        <v>1740</v>
      </c>
      <c r="E88" s="526" t="s">
        <v>1741</v>
      </c>
      <c r="F88" s="526" t="s">
        <v>1766</v>
      </c>
      <c r="G88" s="445" t="s">
        <v>1848</v>
      </c>
      <c r="H88" s="445" t="str">
        <f t="shared" si="1"/>
        <v>CL</v>
      </c>
      <c r="I88" s="517" t="str">
        <f t="shared" si="2"/>
        <v>3/</v>
      </c>
      <c r="J88" s="517" t="str">
        <f t="shared" si="3"/>
        <v>CL3/</v>
      </c>
      <c r="K88" s="445">
        <v>11.0</v>
      </c>
      <c r="L88" s="517" t="str">
        <f t="shared" si="4"/>
        <v>CLNRGA10553</v>
      </c>
    </row>
    <row r="89">
      <c r="B89" s="523">
        <v>1.0</v>
      </c>
      <c r="C89" s="524" t="s">
        <v>1849</v>
      </c>
      <c r="D89" s="524" t="s">
        <v>1740</v>
      </c>
      <c r="E89" s="524" t="s">
        <v>1741</v>
      </c>
      <c r="F89" s="524" t="s">
        <v>1766</v>
      </c>
      <c r="G89" s="445" t="s">
        <v>1848</v>
      </c>
      <c r="H89" s="445" t="str">
        <f t="shared" si="1"/>
        <v>CL</v>
      </c>
      <c r="I89" s="517" t="str">
        <f t="shared" si="2"/>
        <v>4/</v>
      </c>
      <c r="J89" s="517" t="str">
        <f t="shared" si="3"/>
        <v>CL4/</v>
      </c>
      <c r="K89" s="445">
        <v>11.0</v>
      </c>
      <c r="L89" s="517" t="str">
        <f t="shared" si="4"/>
        <v>CLNRGA10554</v>
      </c>
    </row>
    <row r="90">
      <c r="B90" s="523">
        <v>1.0</v>
      </c>
      <c r="C90" s="524" t="s">
        <v>1850</v>
      </c>
      <c r="D90" s="524" t="s">
        <v>1740</v>
      </c>
      <c r="E90" s="524" t="s">
        <v>1741</v>
      </c>
      <c r="F90" s="524" t="s">
        <v>1766</v>
      </c>
      <c r="G90" s="445" t="s">
        <v>1848</v>
      </c>
      <c r="H90" s="445" t="str">
        <f t="shared" si="1"/>
        <v>CL</v>
      </c>
      <c r="I90" s="517" t="str">
        <f t="shared" si="2"/>
        <v>2/</v>
      </c>
      <c r="J90" s="517" t="str">
        <f t="shared" si="3"/>
        <v>CL2/</v>
      </c>
      <c r="K90" s="445">
        <v>11.0</v>
      </c>
      <c r="L90" s="517" t="str">
        <f t="shared" si="4"/>
        <v>CLNRGA10552</v>
      </c>
    </row>
    <row r="91">
      <c r="B91" s="523">
        <v>1.0</v>
      </c>
      <c r="C91" s="524" t="s">
        <v>1851</v>
      </c>
      <c r="D91" s="524" t="s">
        <v>1740</v>
      </c>
      <c r="E91" s="524" t="s">
        <v>1741</v>
      </c>
      <c r="F91" s="524" t="s">
        <v>1766</v>
      </c>
      <c r="G91" s="445" t="s">
        <v>1848</v>
      </c>
      <c r="H91" s="445" t="str">
        <f t="shared" si="1"/>
        <v>CL</v>
      </c>
      <c r="I91" s="517" t="str">
        <f t="shared" si="2"/>
        <v>0/</v>
      </c>
      <c r="J91" s="517" t="str">
        <f t="shared" si="3"/>
        <v>CL0/</v>
      </c>
      <c r="K91" s="445">
        <v>11.0</v>
      </c>
      <c r="L91" s="517" t="str">
        <f t="shared" si="4"/>
        <v>CLNRGA10550</v>
      </c>
    </row>
    <row r="92">
      <c r="B92" s="523">
        <v>1.0</v>
      </c>
      <c r="C92" s="524" t="s">
        <v>1852</v>
      </c>
      <c r="D92" s="524" t="s">
        <v>1740</v>
      </c>
      <c r="E92" s="524" t="s">
        <v>1741</v>
      </c>
      <c r="F92" s="524" t="s">
        <v>1766</v>
      </c>
      <c r="G92" s="445" t="s">
        <v>1848</v>
      </c>
      <c r="H92" s="445" t="str">
        <f t="shared" si="1"/>
        <v>CL</v>
      </c>
      <c r="I92" s="517" t="str">
        <f t="shared" si="2"/>
        <v>8/</v>
      </c>
      <c r="J92" s="517" t="str">
        <f t="shared" si="3"/>
        <v>CL8/</v>
      </c>
      <c r="K92" s="445">
        <v>11.0</v>
      </c>
      <c r="L92" s="517" t="str">
        <f t="shared" si="4"/>
        <v>CLNRGA10548</v>
      </c>
    </row>
    <row r="93">
      <c r="B93" s="523">
        <v>1.0</v>
      </c>
      <c r="C93" s="524" t="s">
        <v>1853</v>
      </c>
      <c r="D93" s="524" t="s">
        <v>1740</v>
      </c>
      <c r="E93" s="524" t="s">
        <v>1741</v>
      </c>
      <c r="F93" s="524" t="s">
        <v>1766</v>
      </c>
      <c r="G93" s="445" t="s">
        <v>1848</v>
      </c>
      <c r="H93" s="445" t="str">
        <f t="shared" si="1"/>
        <v>CL</v>
      </c>
      <c r="I93" s="517" t="str">
        <f t="shared" si="2"/>
        <v>9/</v>
      </c>
      <c r="J93" s="517" t="str">
        <f t="shared" si="3"/>
        <v>CL9/</v>
      </c>
      <c r="K93" s="445">
        <v>11.0</v>
      </c>
      <c r="L93" s="517" t="str">
        <f t="shared" si="4"/>
        <v>CLNRGA10549</v>
      </c>
    </row>
    <row r="94">
      <c r="B94" s="523">
        <v>1.0</v>
      </c>
      <c r="C94" s="524" t="s">
        <v>1854</v>
      </c>
      <c r="D94" s="524" t="s">
        <v>1740</v>
      </c>
      <c r="E94" s="524" t="s">
        <v>1741</v>
      </c>
      <c r="F94" s="524" t="s">
        <v>1766</v>
      </c>
      <c r="G94" s="445" t="s">
        <v>1848</v>
      </c>
      <c r="H94" s="445" t="str">
        <f t="shared" si="1"/>
        <v>CL</v>
      </c>
      <c r="I94" s="517" t="str">
        <f t="shared" si="2"/>
        <v>1/</v>
      </c>
      <c r="J94" s="517" t="str">
        <f t="shared" si="3"/>
        <v>CL1/</v>
      </c>
      <c r="K94" s="445">
        <v>11.0</v>
      </c>
      <c r="L94" s="517" t="str">
        <f t="shared" si="4"/>
        <v>CLNRGA10551</v>
      </c>
    </row>
    <row r="95">
      <c r="B95" s="523">
        <v>1.0</v>
      </c>
      <c r="C95" s="524" t="s">
        <v>1855</v>
      </c>
      <c r="D95" s="524" t="s">
        <v>1740</v>
      </c>
      <c r="E95" s="524" t="s">
        <v>1741</v>
      </c>
      <c r="F95" s="524" t="s">
        <v>1766</v>
      </c>
      <c r="G95" s="445" t="s">
        <v>1848</v>
      </c>
      <c r="H95" s="445" t="str">
        <f t="shared" si="1"/>
        <v>CL</v>
      </c>
      <c r="I95" s="517" t="str">
        <f t="shared" si="2"/>
        <v>5/</v>
      </c>
      <c r="J95" s="517" t="str">
        <f t="shared" si="3"/>
        <v>CL5/</v>
      </c>
      <c r="K95" s="445">
        <v>11.0</v>
      </c>
      <c r="L95" s="517" t="str">
        <f t="shared" si="4"/>
        <v>CLNRGA10555</v>
      </c>
    </row>
    <row r="96">
      <c r="B96" s="525">
        <v>1.0</v>
      </c>
      <c r="C96" s="526" t="s">
        <v>1745</v>
      </c>
      <c r="D96" s="526" t="s">
        <v>1740</v>
      </c>
      <c r="E96" s="526" t="s">
        <v>1741</v>
      </c>
      <c r="F96" s="526" t="s">
        <v>1742</v>
      </c>
      <c r="G96" s="445" t="s">
        <v>1376</v>
      </c>
      <c r="H96" s="445" t="str">
        <f t="shared" si="1"/>
        <v>GA</v>
      </c>
      <c r="I96" s="517" t="str">
        <f t="shared" si="2"/>
        <v>/0</v>
      </c>
      <c r="J96" s="517" t="str">
        <f t="shared" si="3"/>
        <v>GA/0</v>
      </c>
      <c r="K96" s="445">
        <v>10.0</v>
      </c>
      <c r="L96" s="517" t="str">
        <f t="shared" si="4"/>
        <v>GA10772-US</v>
      </c>
    </row>
    <row r="97">
      <c r="B97" s="523">
        <v>1.0</v>
      </c>
      <c r="C97" s="524" t="s">
        <v>1746</v>
      </c>
      <c r="D97" s="524" t="s">
        <v>1740</v>
      </c>
      <c r="E97" s="524" t="s">
        <v>1741</v>
      </c>
      <c r="F97" s="524" t="s">
        <v>1742</v>
      </c>
      <c r="G97" s="445" t="s">
        <v>1376</v>
      </c>
      <c r="H97" s="445" t="str">
        <f t="shared" si="1"/>
        <v>GA</v>
      </c>
      <c r="I97" s="517" t="str">
        <f t="shared" si="2"/>
        <v>/0</v>
      </c>
      <c r="J97" s="517" t="str">
        <f t="shared" si="3"/>
        <v>GA/0</v>
      </c>
      <c r="K97" s="445">
        <v>10.0</v>
      </c>
      <c r="L97" s="517" t="str">
        <f t="shared" si="4"/>
        <v>GA10776-US</v>
      </c>
    </row>
    <row r="98">
      <c r="B98" s="523">
        <v>1.0</v>
      </c>
      <c r="C98" s="524" t="s">
        <v>1751</v>
      </c>
      <c r="D98" s="524" t="s">
        <v>1740</v>
      </c>
      <c r="E98" s="524" t="s">
        <v>1741</v>
      </c>
      <c r="F98" s="524" t="s">
        <v>1742</v>
      </c>
      <c r="G98" s="445" t="s">
        <v>1376</v>
      </c>
      <c r="H98" s="445" t="str">
        <f t="shared" si="1"/>
        <v>GA</v>
      </c>
      <c r="I98" s="517" t="str">
        <f t="shared" si="2"/>
        <v>/0</v>
      </c>
      <c r="J98" s="517" t="str">
        <f t="shared" si="3"/>
        <v>GA/0</v>
      </c>
      <c r="K98" s="445">
        <v>10.0</v>
      </c>
      <c r="L98" s="517" t="str">
        <f t="shared" si="4"/>
        <v>GA10775-US</v>
      </c>
    </row>
    <row r="99">
      <c r="B99" s="523">
        <v>1.0</v>
      </c>
      <c r="C99" s="524" t="s">
        <v>1752</v>
      </c>
      <c r="D99" s="524" t="s">
        <v>1740</v>
      </c>
      <c r="E99" s="524" t="s">
        <v>1741</v>
      </c>
      <c r="F99" s="524" t="s">
        <v>1742</v>
      </c>
      <c r="G99" s="445" t="s">
        <v>1376</v>
      </c>
      <c r="H99" s="445" t="str">
        <f t="shared" si="1"/>
        <v>GA</v>
      </c>
      <c r="I99" s="517" t="str">
        <f t="shared" si="2"/>
        <v>/0</v>
      </c>
      <c r="J99" s="517" t="str">
        <f t="shared" si="3"/>
        <v>GA/0</v>
      </c>
      <c r="K99" s="445">
        <v>10.0</v>
      </c>
      <c r="L99" s="517" t="str">
        <f t="shared" si="4"/>
        <v>GA10771-US</v>
      </c>
    </row>
    <row r="100">
      <c r="B100" s="525">
        <v>1.0</v>
      </c>
      <c r="C100" s="526" t="s">
        <v>1753</v>
      </c>
      <c r="D100" s="526" t="s">
        <v>1740</v>
      </c>
      <c r="E100" s="526" t="s">
        <v>1741</v>
      </c>
      <c r="F100" s="526" t="s">
        <v>1742</v>
      </c>
      <c r="G100" s="445" t="s">
        <v>1856</v>
      </c>
      <c r="H100" s="445" t="str">
        <f t="shared" si="1"/>
        <v>GA</v>
      </c>
      <c r="I100" s="517" t="str">
        <f t="shared" si="2"/>
        <v>/0</v>
      </c>
      <c r="J100" s="517" t="str">
        <f t="shared" si="3"/>
        <v>GA/0</v>
      </c>
      <c r="K100" s="445">
        <v>10.0</v>
      </c>
      <c r="L100" s="517" t="str">
        <f t="shared" si="4"/>
        <v>GA10773-US</v>
      </c>
    </row>
    <row r="101">
      <c r="B101" s="523">
        <v>1.0</v>
      </c>
      <c r="C101" s="524" t="s">
        <v>1764</v>
      </c>
      <c r="D101" s="524" t="s">
        <v>1740</v>
      </c>
      <c r="E101" s="524" t="s">
        <v>1741</v>
      </c>
      <c r="F101" s="524" t="s">
        <v>1742</v>
      </c>
      <c r="G101" s="445" t="s">
        <v>1856</v>
      </c>
      <c r="H101" s="445" t="str">
        <f t="shared" si="1"/>
        <v>GA</v>
      </c>
      <c r="I101" s="517" t="str">
        <f t="shared" si="2"/>
        <v>/0</v>
      </c>
      <c r="J101" s="517" t="str">
        <f t="shared" si="3"/>
        <v>GA/0</v>
      </c>
      <c r="K101" s="445">
        <v>10.0</v>
      </c>
      <c r="L101" s="517" t="str">
        <f t="shared" si="4"/>
        <v>GA10774-US</v>
      </c>
    </row>
    <row r="102">
      <c r="B102" s="525">
        <v>1.0</v>
      </c>
      <c r="C102" s="526" t="s">
        <v>1739</v>
      </c>
      <c r="D102" s="526" t="s">
        <v>1740</v>
      </c>
      <c r="E102" s="526" t="s">
        <v>1741</v>
      </c>
      <c r="F102" s="526" t="s">
        <v>1742</v>
      </c>
      <c r="G102" s="445" t="s">
        <v>1392</v>
      </c>
      <c r="H102" s="445" t="str">
        <f t="shared" si="1"/>
        <v>GA</v>
      </c>
      <c r="I102" s="517" t="str">
        <f t="shared" si="2"/>
        <v>/0</v>
      </c>
      <c r="J102" s="517" t="str">
        <f t="shared" si="3"/>
        <v>GA/0</v>
      </c>
      <c r="K102" s="445">
        <v>10.0</v>
      </c>
      <c r="L102" s="517" t="str">
        <f t="shared" si="4"/>
        <v>GA10775-JP</v>
      </c>
    </row>
    <row r="103">
      <c r="B103" s="523">
        <v>1.0</v>
      </c>
      <c r="C103" s="524" t="s">
        <v>1743</v>
      </c>
      <c r="D103" s="524" t="s">
        <v>1740</v>
      </c>
      <c r="E103" s="524" t="s">
        <v>1741</v>
      </c>
      <c r="F103" s="524" t="s">
        <v>1742</v>
      </c>
      <c r="G103" s="445" t="s">
        <v>1392</v>
      </c>
      <c r="H103" s="445" t="str">
        <f t="shared" si="1"/>
        <v>GA</v>
      </c>
      <c r="I103" s="517" t="str">
        <f t="shared" si="2"/>
        <v>/0</v>
      </c>
      <c r="J103" s="517" t="str">
        <f t="shared" si="3"/>
        <v>GA/0</v>
      </c>
      <c r="K103" s="445">
        <v>10.0</v>
      </c>
      <c r="L103" s="517" t="str">
        <f t="shared" si="4"/>
        <v>GA10775-CA</v>
      </c>
    </row>
    <row r="104">
      <c r="B104" s="523">
        <v>1.0</v>
      </c>
      <c r="C104" s="524" t="s">
        <v>1744</v>
      </c>
      <c r="D104" s="524" t="s">
        <v>1740</v>
      </c>
      <c r="E104" s="524" t="s">
        <v>1741</v>
      </c>
      <c r="F104" s="524" t="s">
        <v>1742</v>
      </c>
      <c r="G104" s="445" t="s">
        <v>1392</v>
      </c>
      <c r="H104" s="445" t="str">
        <f t="shared" si="1"/>
        <v>GA</v>
      </c>
      <c r="I104" s="517" t="str">
        <f t="shared" si="2"/>
        <v>/0</v>
      </c>
      <c r="J104" s="517" t="str">
        <f t="shared" si="3"/>
        <v>GA/0</v>
      </c>
      <c r="K104" s="445">
        <v>10.0</v>
      </c>
      <c r="L104" s="517" t="str">
        <f t="shared" si="4"/>
        <v>GA10776-CA</v>
      </c>
    </row>
    <row r="105">
      <c r="B105" s="523">
        <v>1.0</v>
      </c>
      <c r="C105" s="524" t="s">
        <v>1747</v>
      </c>
      <c r="D105" s="524" t="s">
        <v>1740</v>
      </c>
      <c r="E105" s="524" t="s">
        <v>1741</v>
      </c>
      <c r="F105" s="524" t="s">
        <v>1742</v>
      </c>
      <c r="G105" s="445" t="s">
        <v>1392</v>
      </c>
      <c r="H105" s="445" t="str">
        <f t="shared" si="1"/>
        <v>GA</v>
      </c>
      <c r="I105" s="517" t="str">
        <f t="shared" si="2"/>
        <v>/0</v>
      </c>
      <c r="J105" s="517" t="str">
        <f t="shared" si="3"/>
        <v>GA/0</v>
      </c>
      <c r="K105" s="445">
        <v>10.0</v>
      </c>
      <c r="L105" s="517" t="str">
        <f t="shared" si="4"/>
        <v>GA10778-IN</v>
      </c>
    </row>
    <row r="106">
      <c r="B106" s="523">
        <v>1.0</v>
      </c>
      <c r="C106" s="524" t="s">
        <v>1748</v>
      </c>
      <c r="D106" s="524" t="s">
        <v>1740</v>
      </c>
      <c r="E106" s="524" t="s">
        <v>1741</v>
      </c>
      <c r="F106" s="524" t="s">
        <v>1742</v>
      </c>
      <c r="G106" s="445" t="s">
        <v>1392</v>
      </c>
      <c r="H106" s="445" t="str">
        <f t="shared" si="1"/>
        <v>GA</v>
      </c>
      <c r="I106" s="517" t="str">
        <f t="shared" si="2"/>
        <v>/0</v>
      </c>
      <c r="J106" s="517" t="str">
        <f t="shared" si="3"/>
        <v>GA/0</v>
      </c>
      <c r="K106" s="445">
        <v>10.0</v>
      </c>
      <c r="L106" s="517" t="str">
        <f t="shared" si="4"/>
        <v>GA10776-JP</v>
      </c>
    </row>
    <row r="107">
      <c r="B107" s="523">
        <v>1.0</v>
      </c>
      <c r="C107" s="524" t="s">
        <v>1754</v>
      </c>
      <c r="D107" s="524" t="s">
        <v>1740</v>
      </c>
      <c r="E107" s="524" t="s">
        <v>1741</v>
      </c>
      <c r="F107" s="524" t="s">
        <v>1742</v>
      </c>
      <c r="G107" s="445" t="s">
        <v>1392</v>
      </c>
      <c r="H107" s="445" t="str">
        <f t="shared" si="1"/>
        <v>GA</v>
      </c>
      <c r="I107" s="517" t="str">
        <f t="shared" si="2"/>
        <v>/0</v>
      </c>
      <c r="J107" s="517" t="str">
        <f t="shared" si="3"/>
        <v>GA/0</v>
      </c>
      <c r="K107" s="445">
        <v>10.0</v>
      </c>
      <c r="L107" s="517" t="str">
        <f t="shared" si="4"/>
        <v>GA10777-IN</v>
      </c>
    </row>
    <row r="108">
      <c r="B108" s="525">
        <v>1.0</v>
      </c>
      <c r="C108" s="526" t="s">
        <v>1749</v>
      </c>
      <c r="D108" s="526" t="s">
        <v>1740</v>
      </c>
      <c r="E108" s="526" t="s">
        <v>1741</v>
      </c>
      <c r="F108" s="526" t="s">
        <v>1742</v>
      </c>
      <c r="G108" s="445" t="s">
        <v>1405</v>
      </c>
      <c r="H108" s="445" t="str">
        <f t="shared" si="1"/>
        <v>GA</v>
      </c>
      <c r="I108" s="517" t="str">
        <f t="shared" si="2"/>
        <v>/0</v>
      </c>
      <c r="J108" s="517" t="str">
        <f t="shared" si="3"/>
        <v>GA/0</v>
      </c>
      <c r="K108" s="445">
        <v>10.0</v>
      </c>
      <c r="L108" s="517" t="str">
        <f t="shared" si="4"/>
        <v>GA10776-GB</v>
      </c>
    </row>
    <row r="109">
      <c r="B109" s="523">
        <v>1.0</v>
      </c>
      <c r="C109" s="524" t="s">
        <v>1750</v>
      </c>
      <c r="D109" s="524" t="s">
        <v>1740</v>
      </c>
      <c r="E109" s="524" t="s">
        <v>1741</v>
      </c>
      <c r="F109" s="524" t="s">
        <v>1742</v>
      </c>
      <c r="G109" s="445" t="s">
        <v>1405</v>
      </c>
      <c r="H109" s="445" t="str">
        <f t="shared" si="1"/>
        <v>GA</v>
      </c>
      <c r="I109" s="517" t="str">
        <f t="shared" si="2"/>
        <v>/0</v>
      </c>
      <c r="J109" s="517" t="str">
        <f t="shared" si="3"/>
        <v>GA/0</v>
      </c>
      <c r="K109" s="445">
        <v>10.0</v>
      </c>
      <c r="L109" s="517" t="str">
        <f t="shared" si="4"/>
        <v>GA10775-GB</v>
      </c>
    </row>
    <row r="110">
      <c r="L110" s="517" t="str">
        <f t="shared" si="4"/>
        <v/>
      </c>
    </row>
    <row r="111">
      <c r="L111" s="517" t="str">
        <f t="shared" si="4"/>
        <v/>
      </c>
    </row>
    <row r="112">
      <c r="L112" s="517" t="str">
        <f t="shared" si="4"/>
        <v/>
      </c>
    </row>
    <row r="113">
      <c r="L113" s="517" t="str">
        <f t="shared" si="4"/>
        <v/>
      </c>
    </row>
    <row r="114">
      <c r="L114" s="517" t="str">
        <f t="shared" si="4"/>
        <v/>
      </c>
    </row>
    <row r="115">
      <c r="L115" s="517" t="str">
        <f t="shared" si="4"/>
        <v/>
      </c>
    </row>
    <row r="116">
      <c r="L116" s="517" t="str">
        <f t="shared" si="4"/>
        <v/>
      </c>
    </row>
    <row r="117">
      <c r="L117" s="517" t="str">
        <f t="shared" si="4"/>
        <v/>
      </c>
    </row>
    <row r="118">
      <c r="L118" s="517" t="str">
        <f t="shared" si="4"/>
        <v/>
      </c>
    </row>
  </sheetData>
  <conditionalFormatting sqref="H4:L4">
    <cfRule type="expression" dxfId="15" priority="1">
      <formula>countif($E:$E,H4)&gt;1</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6.13"/>
    <col customWidth="1" min="5" max="5" width="14.38"/>
    <col customWidth="1" min="6" max="6" width="41.13"/>
    <col customWidth="1" min="10" max="10" width="21.63"/>
    <col customWidth="1" min="13" max="16" width="12.63"/>
    <col customWidth="1" min="18" max="19" width="12.63"/>
  </cols>
  <sheetData>
    <row r="2">
      <c r="Y2" s="283" t="s">
        <v>1857</v>
      </c>
      <c r="AB2" s="283" t="s">
        <v>1670</v>
      </c>
    </row>
    <row r="3">
      <c r="A3" s="527" t="s">
        <v>1858</v>
      </c>
      <c r="B3" s="528" t="str">
        <f>IFERROR(__xludf.DUMMYFUNCTION("importrange(""https://docs.google.com/spreadsheets/d/1ZyZkeq9EmUYdrxT74iMtZMWfoju6ZObyJDYwxSDnWLs/edit?gid=1064930635#gid=1064930635"",""FL5 POR configs!A1:U300"")"),"Stage")</f>
        <v>Stage</v>
      </c>
      <c r="C3" s="529" t="str">
        <f>IFERROR(__xludf.DUMMYFUNCTION("""COMPUTED_VALUE"""),"Item")</f>
        <v>Item</v>
      </c>
      <c r="D3" s="530" t="str">
        <f>IFERROR(__xludf.DUMMYFUNCTION("""COMPUTED_VALUE"""),"Model")</f>
        <v>Model</v>
      </c>
      <c r="E3" s="530" t="str">
        <f>IFERROR(__xludf.DUMMYFUNCTION("""COMPUTED_VALUE"""),"Sales SKU")</f>
        <v>Sales SKU</v>
      </c>
      <c r="F3" s="530" t="str">
        <f>IFERROR(__xludf.DUMMYFUNCTION("""COMPUTED_VALUE"""),"Description")</f>
        <v>Description</v>
      </c>
      <c r="G3" s="530" t="str">
        <f>IFERROR(__xludf.DUMMYFUNCTION("""COMPUTED_VALUE"""),"Color")</f>
        <v>Color</v>
      </c>
      <c r="H3" s="530" t="str">
        <f>IFERROR(__xludf.DUMMYFUNCTION("""COMPUTED_VALUE"""),"Type")</f>
        <v>Type</v>
      </c>
      <c r="I3" s="530" t="str">
        <f>IFERROR(__xludf.DUMMYFUNCTION("""COMPUTED_VALUE"""),"UFS")</f>
        <v>UFS</v>
      </c>
      <c r="J3" s="282"/>
      <c r="K3" s="530" t="str">
        <f>IFERROR(__xludf.DUMMYFUNCTION("""COMPUTED_VALUE"""),"XCVR GPN")</f>
        <v>XCVR GPN</v>
      </c>
      <c r="L3" s="531" t="str">
        <f>IFERROR(__xludf.DUMMYFUNCTION("""COMPUTED_VALUE"""),"Common GPN")</f>
        <v>Common GPN</v>
      </c>
      <c r="M3" s="532" t="str">
        <f>IFERROR(__xludf.DUMMYFUNCTION("""COMPUTED_VALUE"""),"CG")</f>
        <v>CG</v>
      </c>
      <c r="N3" s="533" t="str">
        <f>IFERROR(__xludf.DUMMYFUNCTION("""COMPUTED_VALUE"""),"BG")</f>
        <v>BG</v>
      </c>
      <c r="O3" s="533" t="str">
        <f>IFERROR(__xludf.DUMMYFUNCTION("""COMPUTED_VALUE"""),"Assy MLB")</f>
        <v>Assy MLB</v>
      </c>
      <c r="P3" s="534" t="str">
        <f>IFERROR(__xludf.DUMMYFUNCTION("""COMPUTED_VALUE"""),"MLB")</f>
        <v>MLB</v>
      </c>
      <c r="Q3" s="534" t="str">
        <f>IFERROR(__xludf.DUMMYFUNCTION("""COMPUTED_VALUE"""),"CLB")</f>
        <v>CLB</v>
      </c>
      <c r="R3" s="534" t="str">
        <f>IFERROR(__xludf.DUMMYFUNCTION("""COMPUTED_VALUE"""),"Prox")</f>
        <v>Prox</v>
      </c>
      <c r="S3" s="530" t="str">
        <f>IFERROR(__xludf.DUMMYFUNCTION("""COMPUTED_VALUE"""),"Regulatory Marking")</f>
        <v>Regulatory Marking</v>
      </c>
      <c r="T3" s="530" t="str">
        <f>IFERROR(__xludf.DUMMYFUNCTION("""COMPUTED_VALUE"""),"Physical SIM")</f>
        <v>Physical SIM</v>
      </c>
      <c r="U3" s="530" t="str">
        <f>IFERROR(__xludf.DUMMYFUNCTION("""COMPUTED_VALUE"""),"eSIM chip")</f>
        <v>eSIM chip</v>
      </c>
      <c r="V3" s="530" t="str">
        <f>IFERROR(__xludf.DUMMYFUNCTION("""COMPUTED_VALUE"""),"CLNR Assy")</f>
        <v>CLNR Assy</v>
      </c>
      <c r="W3" s="530"/>
      <c r="X3" s="530"/>
      <c r="Y3" s="530"/>
      <c r="Z3" s="530"/>
      <c r="AA3" s="530"/>
      <c r="AB3" s="530"/>
      <c r="AC3" s="530"/>
      <c r="AD3" s="530"/>
      <c r="AE3" s="530"/>
      <c r="AF3" s="530"/>
      <c r="AG3" s="530"/>
      <c r="AH3" s="530"/>
      <c r="AI3" s="530"/>
      <c r="AJ3" s="530"/>
      <c r="AK3" s="530"/>
      <c r="AL3" s="530"/>
      <c r="AM3" s="530"/>
      <c r="AN3" s="530"/>
    </row>
    <row r="4">
      <c r="A4" s="445">
        <v>1.0</v>
      </c>
      <c r="B4" s="517" t="str">
        <f>IFERROR(__xludf.DUMMYFUNCTION("""COMPUTED_VALUE"""),"MP")</f>
        <v>MP</v>
      </c>
      <c r="C4" s="517">
        <f>IFERROR(__xludf.DUMMYFUNCTION("""COMPUTED_VALUE"""),1.0)</f>
        <v>1</v>
      </c>
      <c r="D4" s="517" t="str">
        <f>IFERROR(__xludf.DUMMYFUNCTION("""COMPUTED_VALUE"""),"GLBW0")</f>
        <v>GLBW0</v>
      </c>
      <c r="E4" s="517" t="str">
        <f>IFERROR(__xludf.DUMMYFUNCTION("""COMPUTED_VALUE"""),"GA09425-US")</f>
        <v>GA09425-US</v>
      </c>
      <c r="F4" s="517" t="str">
        <f>IFERROR(__xludf.DUMMYFUNCTION("""COMPUTED_VALUE"""),"SKU, CLR1, GOOD, MMWAVE, VZW, US, FL5")</f>
        <v>SKU, CLR1, GOOD, MMWAVE, VZW, US, FL5</v>
      </c>
      <c r="G4" s="517" t="str">
        <f>IFERROR(__xludf.DUMMYFUNCTION("""COMPUTED_VALUE"""),"CLR1")</f>
        <v>CLR1</v>
      </c>
      <c r="H4" s="517" t="str">
        <f>IFERROR(__xludf.DUMMYFUNCTION("""COMPUTED_VALUE"""),"MMWAVE")</f>
        <v>MMWAVE</v>
      </c>
      <c r="I4" s="517" t="str">
        <f>IFERROR(__xludf.DUMMYFUNCTION("""COMPUTED_VALUE"""),"128GB")</f>
        <v>128GB</v>
      </c>
      <c r="J4" s="517" t="str">
        <f>IFERROR(__xludf.DUMMYFUNCTION("""COMPUTED_VALUE"""),"SKU, CLR1, GOOD, MMWAVE")</f>
        <v>SKU, CLR1, GOOD, MMWAVE</v>
      </c>
      <c r="K4" s="517" t="str">
        <f>IFERROR(__xludf.DUMMYFUNCTION("""COMPUTED_VALUE"""),"G950-15935-00")</f>
        <v>G950-15935-00</v>
      </c>
      <c r="L4" s="517" t="str">
        <f>IFERROR(__xludf.DUMMYFUNCTION("""COMPUTED_VALUE"""),"G710-07738-00")</f>
        <v>G710-07738-00</v>
      </c>
      <c r="M4" s="517" t="str">
        <f>IFERROR(__xludf.DUMMYFUNCTION("""COMPUTED_VALUE"""),"G710-07670-01")</f>
        <v>G710-07670-01</v>
      </c>
      <c r="N4" s="517" t="str">
        <f>IFERROR(__xludf.DUMMYFUNCTION("""COMPUTED_VALUE"""),"G730-09533-01")</f>
        <v>G730-09533-01</v>
      </c>
      <c r="O4" s="517" t="str">
        <f>IFERROR(__xludf.DUMMYFUNCTION("""COMPUTED_VALUE"""),"G710-07800-01")</f>
        <v>G710-07800-01</v>
      </c>
      <c r="P4" s="517" t="str">
        <f>IFERROR(__xludf.DUMMYFUNCTION("""COMPUTED_VALUE"""),"G650-14656-06")</f>
        <v>G650-14656-06</v>
      </c>
      <c r="Q4" s="517" t="str">
        <f>IFERROR(__xludf.DUMMYFUNCTION("""COMPUTED_VALUE"""),"G650-14694-05")</f>
        <v>G650-14694-05</v>
      </c>
      <c r="R4" s="517" t="str">
        <f>IFERROR(__xludf.DUMMYFUNCTION("""COMPUTED_VALUE"""),"G650-14850-03")</f>
        <v>G650-14850-03</v>
      </c>
      <c r="S4" s="517" t="str">
        <f>IFERROR(__xludf.DUMMYFUNCTION("""COMPUTED_VALUE"""),"No")</f>
        <v>No</v>
      </c>
      <c r="T4" s="517" t="str">
        <f>IFERROR(__xludf.DUMMYFUNCTION("""COMPUTED_VALUE"""),"N")</f>
        <v>N</v>
      </c>
      <c r="U4" s="517" t="str">
        <f>IFERROR(__xludf.DUMMYFUNCTION("""COMPUTED_VALUE"""),"Y")</f>
        <v>Y</v>
      </c>
      <c r="V4" s="517"/>
    </row>
    <row r="5">
      <c r="A5" s="445">
        <v>2.0</v>
      </c>
      <c r="B5" s="517" t="str">
        <f>IFERROR(__xludf.DUMMYFUNCTION("""COMPUTED_VALUE"""),"MP")</f>
        <v>MP</v>
      </c>
      <c r="C5" s="517">
        <f>IFERROR(__xludf.DUMMYFUNCTION("""COMPUTED_VALUE"""),2.0)</f>
        <v>2</v>
      </c>
      <c r="D5" s="517" t="str">
        <f>IFERROR(__xludf.DUMMYFUNCTION("""COMPUTED_VALUE"""),"GLBW0")</f>
        <v>GLBW0</v>
      </c>
      <c r="E5" s="517" t="str">
        <f>IFERROR(__xludf.DUMMYFUNCTION("""COMPUTED_VALUE"""),"GA10238-US")</f>
        <v>GA10238-US</v>
      </c>
      <c r="F5" s="517" t="str">
        <f>IFERROR(__xludf.DUMMYFUNCTION("""COMPUTED_VALUE"""),"SKU, CLR2, GOOD, MMWAVE, VZW, US, FL5")</f>
        <v>SKU, CLR2, GOOD, MMWAVE, VZW, US, FL5</v>
      </c>
      <c r="G5" s="517" t="str">
        <f>IFERROR(__xludf.DUMMYFUNCTION("""COMPUTED_VALUE"""),"CLR2")</f>
        <v>CLR2</v>
      </c>
      <c r="H5" s="517" t="str">
        <f>IFERROR(__xludf.DUMMYFUNCTION("""COMPUTED_VALUE"""),"MMWAVE")</f>
        <v>MMWAVE</v>
      </c>
      <c r="I5" s="517" t="str">
        <f>IFERROR(__xludf.DUMMYFUNCTION("""COMPUTED_VALUE"""),"128GB")</f>
        <v>128GB</v>
      </c>
      <c r="J5" s="517" t="str">
        <f>IFERROR(__xludf.DUMMYFUNCTION("""COMPUTED_VALUE"""),"SKU, CLR2, GOOD, MMWAVE")</f>
        <v>SKU, CLR2, GOOD, MMWAVE</v>
      </c>
      <c r="K5" s="517" t="str">
        <f>IFERROR(__xludf.DUMMYFUNCTION("""COMPUTED_VALUE"""),"G950-15935-01")</f>
        <v>G950-15935-01</v>
      </c>
      <c r="L5" s="517" t="str">
        <f>IFERROR(__xludf.DUMMYFUNCTION("""COMPUTED_VALUE"""),"G710-07738-00")</f>
        <v>G710-07738-00</v>
      </c>
      <c r="M5" s="517" t="str">
        <f>IFERROR(__xludf.DUMMYFUNCTION("""COMPUTED_VALUE"""),"G710-07670-01")</f>
        <v>G710-07670-01</v>
      </c>
      <c r="N5" s="517" t="str">
        <f>IFERROR(__xludf.DUMMYFUNCTION("""COMPUTED_VALUE"""),"G730-09533-02")</f>
        <v>G730-09533-02</v>
      </c>
      <c r="O5" s="517" t="str">
        <f>IFERROR(__xludf.DUMMYFUNCTION("""COMPUTED_VALUE"""),"G710-07800-01")</f>
        <v>G710-07800-01</v>
      </c>
      <c r="P5" s="517" t="str">
        <f>IFERROR(__xludf.DUMMYFUNCTION("""COMPUTED_VALUE"""),"G650-14656-06")</f>
        <v>G650-14656-06</v>
      </c>
      <c r="Q5" s="517" t="str">
        <f>IFERROR(__xludf.DUMMYFUNCTION("""COMPUTED_VALUE"""),"G650-14694-05")</f>
        <v>G650-14694-05</v>
      </c>
      <c r="R5" s="517" t="str">
        <f>IFERROR(__xludf.DUMMYFUNCTION("""COMPUTED_VALUE"""),"G650-14850-03")</f>
        <v>G650-14850-03</v>
      </c>
      <c r="S5" s="517" t="str">
        <f>IFERROR(__xludf.DUMMYFUNCTION("""COMPUTED_VALUE"""),"No")</f>
        <v>No</v>
      </c>
      <c r="T5" s="517" t="str">
        <f>IFERROR(__xludf.DUMMYFUNCTION("""COMPUTED_VALUE"""),"N")</f>
        <v>N</v>
      </c>
      <c r="U5" s="517" t="str">
        <f>IFERROR(__xludf.DUMMYFUNCTION("""COMPUTED_VALUE"""),"Y")</f>
        <v>Y</v>
      </c>
      <c r="V5" s="517"/>
    </row>
    <row r="6">
      <c r="A6" s="445">
        <v>3.0</v>
      </c>
      <c r="B6" s="517" t="str">
        <f>IFERROR(__xludf.DUMMYFUNCTION("""COMPUTED_VALUE"""),"MP")</f>
        <v>MP</v>
      </c>
      <c r="C6" s="517">
        <f>IFERROR(__xludf.DUMMYFUNCTION("""COMPUTED_VALUE"""),3.0)</f>
        <v>3</v>
      </c>
      <c r="D6" s="517" t="str">
        <f>IFERROR(__xludf.DUMMYFUNCTION("""COMPUTED_VALUE"""),"GLBW0")</f>
        <v>GLBW0</v>
      </c>
      <c r="E6" s="517" t="str">
        <f>IFERROR(__xludf.DUMMYFUNCTION("""COMPUTED_VALUE"""),"GA10239-US")</f>
        <v>GA10239-US</v>
      </c>
      <c r="F6" s="517" t="str">
        <f>IFERROR(__xludf.DUMMYFUNCTION("""COMPUTED_VALUE"""),"SKU, CLR3, GOOD, MMWAVE, VZW, US, FL5")</f>
        <v>SKU, CLR3, GOOD, MMWAVE, VZW, US, FL5</v>
      </c>
      <c r="G6" s="517" t="str">
        <f>IFERROR(__xludf.DUMMYFUNCTION("""COMPUTED_VALUE"""),"CLR3")</f>
        <v>CLR3</v>
      </c>
      <c r="H6" s="517" t="str">
        <f>IFERROR(__xludf.DUMMYFUNCTION("""COMPUTED_VALUE"""),"MMWAVE")</f>
        <v>MMWAVE</v>
      </c>
      <c r="I6" s="517" t="str">
        <f>IFERROR(__xludf.DUMMYFUNCTION("""COMPUTED_VALUE"""),"128GB")</f>
        <v>128GB</v>
      </c>
      <c r="J6" s="517" t="str">
        <f>IFERROR(__xludf.DUMMYFUNCTION("""COMPUTED_VALUE"""),"SKU, CLR3, GOOD, MMWAVE")</f>
        <v>SKU, CLR3, GOOD, MMWAVE</v>
      </c>
      <c r="K6" s="517" t="str">
        <f>IFERROR(__xludf.DUMMYFUNCTION("""COMPUTED_VALUE"""),"G950-15935-02")</f>
        <v>G950-15935-02</v>
      </c>
      <c r="L6" s="517" t="str">
        <f>IFERROR(__xludf.DUMMYFUNCTION("""COMPUTED_VALUE"""),"G710-07738-00")</f>
        <v>G710-07738-00</v>
      </c>
      <c r="M6" s="517" t="str">
        <f>IFERROR(__xludf.DUMMYFUNCTION("""COMPUTED_VALUE"""),"G710-07670-01")</f>
        <v>G710-07670-01</v>
      </c>
      <c r="N6" s="517" t="str">
        <f>IFERROR(__xludf.DUMMYFUNCTION("""COMPUTED_VALUE"""),"G730-09533-03")</f>
        <v>G730-09533-03</v>
      </c>
      <c r="O6" s="517" t="str">
        <f>IFERROR(__xludf.DUMMYFUNCTION("""COMPUTED_VALUE"""),"G710-07800-01")</f>
        <v>G710-07800-01</v>
      </c>
      <c r="P6" s="517" t="str">
        <f>IFERROR(__xludf.DUMMYFUNCTION("""COMPUTED_VALUE"""),"G650-14656-06")</f>
        <v>G650-14656-06</v>
      </c>
      <c r="Q6" s="517" t="str">
        <f>IFERROR(__xludf.DUMMYFUNCTION("""COMPUTED_VALUE"""),"G650-14694-05")</f>
        <v>G650-14694-05</v>
      </c>
      <c r="R6" s="517" t="str">
        <f>IFERROR(__xludf.DUMMYFUNCTION("""COMPUTED_VALUE"""),"G650-14850-03")</f>
        <v>G650-14850-03</v>
      </c>
      <c r="S6" s="517" t="str">
        <f>IFERROR(__xludf.DUMMYFUNCTION("""COMPUTED_VALUE"""),"No")</f>
        <v>No</v>
      </c>
      <c r="T6" s="517" t="str">
        <f>IFERROR(__xludf.DUMMYFUNCTION("""COMPUTED_VALUE"""),"N")</f>
        <v>N</v>
      </c>
      <c r="U6" s="517" t="str">
        <f>IFERROR(__xludf.DUMMYFUNCTION("""COMPUTED_VALUE"""),"Y")</f>
        <v>Y</v>
      </c>
      <c r="V6" s="517"/>
    </row>
    <row r="7">
      <c r="A7" s="445">
        <v>4.0</v>
      </c>
      <c r="B7" s="517" t="str">
        <f>IFERROR(__xludf.DUMMYFUNCTION("""COMPUTED_VALUE"""),"MP")</f>
        <v>MP</v>
      </c>
      <c r="C7" s="517">
        <f>IFERROR(__xludf.DUMMYFUNCTION("""COMPUTED_VALUE"""),4.0)</f>
        <v>4</v>
      </c>
      <c r="D7" s="517" t="str">
        <f>IFERROR(__xludf.DUMMYFUNCTION("""COMPUTED_VALUE"""),"GLBW0")</f>
        <v>GLBW0</v>
      </c>
      <c r="E7" s="517" t="str">
        <f>IFERROR(__xludf.DUMMYFUNCTION("""COMPUTED_VALUE"""),"GA10240-US")</f>
        <v>GA10240-US</v>
      </c>
      <c r="F7" s="517" t="str">
        <f>IFERROR(__xludf.DUMMYFUNCTION("""COMPUTED_VALUE"""),"SKU, CLR4, GOOD, MMWAVE, VZW, US, FL5")</f>
        <v>SKU, CLR4, GOOD, MMWAVE, VZW, US, FL5</v>
      </c>
      <c r="G7" s="517" t="str">
        <f>IFERROR(__xludf.DUMMYFUNCTION("""COMPUTED_VALUE"""),"CLR4")</f>
        <v>CLR4</v>
      </c>
      <c r="H7" s="517" t="str">
        <f>IFERROR(__xludf.DUMMYFUNCTION("""COMPUTED_VALUE"""),"MMWAVE")</f>
        <v>MMWAVE</v>
      </c>
      <c r="I7" s="517" t="str">
        <f>IFERROR(__xludf.DUMMYFUNCTION("""COMPUTED_VALUE"""),"128GB")</f>
        <v>128GB</v>
      </c>
      <c r="J7" s="517" t="str">
        <f>IFERROR(__xludf.DUMMYFUNCTION("""COMPUTED_VALUE"""),"SKU, CLR4, GOOD, MMWAVE")</f>
        <v>SKU, CLR4, GOOD, MMWAVE</v>
      </c>
      <c r="K7" s="517" t="str">
        <f>IFERROR(__xludf.DUMMYFUNCTION("""COMPUTED_VALUE"""),"G950-15935-03")</f>
        <v>G950-15935-03</v>
      </c>
      <c r="L7" s="517" t="str">
        <f>IFERROR(__xludf.DUMMYFUNCTION("""COMPUTED_VALUE"""),"G710-07738-00")</f>
        <v>G710-07738-00</v>
      </c>
      <c r="M7" s="517" t="str">
        <f>IFERROR(__xludf.DUMMYFUNCTION("""COMPUTED_VALUE"""),"G710-07670-01")</f>
        <v>G710-07670-01</v>
      </c>
      <c r="N7" s="517" t="str">
        <f>IFERROR(__xludf.DUMMYFUNCTION("""COMPUTED_VALUE"""),"G730-09533-04")</f>
        <v>G730-09533-04</v>
      </c>
      <c r="O7" s="517" t="str">
        <f>IFERROR(__xludf.DUMMYFUNCTION("""COMPUTED_VALUE"""),"G710-07800-01")</f>
        <v>G710-07800-01</v>
      </c>
      <c r="P7" s="517" t="str">
        <f>IFERROR(__xludf.DUMMYFUNCTION("""COMPUTED_VALUE"""),"G650-14656-06")</f>
        <v>G650-14656-06</v>
      </c>
      <c r="Q7" s="517" t="str">
        <f>IFERROR(__xludf.DUMMYFUNCTION("""COMPUTED_VALUE"""),"G650-14694-05")</f>
        <v>G650-14694-05</v>
      </c>
      <c r="R7" s="517" t="str">
        <f>IFERROR(__xludf.DUMMYFUNCTION("""COMPUTED_VALUE"""),"G650-14850-03")</f>
        <v>G650-14850-03</v>
      </c>
      <c r="S7" s="517" t="str">
        <f>IFERROR(__xludf.DUMMYFUNCTION("""COMPUTED_VALUE"""),"No")</f>
        <v>No</v>
      </c>
      <c r="T7" s="517" t="str">
        <f>IFERROR(__xludf.DUMMYFUNCTION("""COMPUTED_VALUE"""),"N")</f>
        <v>N</v>
      </c>
      <c r="U7" s="517" t="str">
        <f>IFERROR(__xludf.DUMMYFUNCTION("""COMPUTED_VALUE"""),"Y")</f>
        <v>Y</v>
      </c>
      <c r="V7" s="517"/>
    </row>
    <row r="8">
      <c r="A8" s="445">
        <v>5.0</v>
      </c>
      <c r="B8" s="517" t="str">
        <f>IFERROR(__xludf.DUMMYFUNCTION("""COMPUTED_VALUE"""),"MP")</f>
        <v>MP</v>
      </c>
      <c r="C8" s="517">
        <f>IFERROR(__xludf.DUMMYFUNCTION("""COMPUTED_VALUE"""),5.0)</f>
        <v>5</v>
      </c>
      <c r="D8" s="517" t="str">
        <f>IFERROR(__xludf.DUMMYFUNCTION("""COMPUTED_VALUE"""),"GLBW0")</f>
        <v>GLBW0</v>
      </c>
      <c r="E8" s="517" t="str">
        <f>IFERROR(__xludf.DUMMYFUNCTION("""COMPUTED_VALUE"""),"GA09880-US")</f>
        <v>GA09880-US</v>
      </c>
      <c r="F8" s="517" t="str">
        <f>IFERROR(__xludf.DUMMYFUNCTION("""COMPUTED_VALUE"""),"SKU, CLR1, BETTER, MMWAVE, VZW, US, FL5")</f>
        <v>SKU, CLR1, BETTER, MMWAVE, VZW, US, FL5</v>
      </c>
      <c r="G8" s="517" t="str">
        <f>IFERROR(__xludf.DUMMYFUNCTION("""COMPUTED_VALUE"""),"CLR1")</f>
        <v>CLR1</v>
      </c>
      <c r="H8" s="517" t="str">
        <f>IFERROR(__xludf.DUMMYFUNCTION("""COMPUTED_VALUE"""),"MMWAVE")</f>
        <v>MMWAVE</v>
      </c>
      <c r="I8" s="517" t="str">
        <f>IFERROR(__xludf.DUMMYFUNCTION("""COMPUTED_VALUE"""),"256GB")</f>
        <v>256GB</v>
      </c>
      <c r="J8" s="517" t="str">
        <f>IFERROR(__xludf.DUMMYFUNCTION("""COMPUTED_VALUE"""),"SKU, CLR1, BETTER, MMWAVE")</f>
        <v>SKU, CLR1, BETTER, MMWAVE</v>
      </c>
      <c r="K8" s="517" t="str">
        <f>IFERROR(__xludf.DUMMYFUNCTION("""COMPUTED_VALUE"""),"G950-15935-04")</f>
        <v>G950-15935-04</v>
      </c>
      <c r="L8" s="517" t="str">
        <f>IFERROR(__xludf.DUMMYFUNCTION("""COMPUTED_VALUE"""),"G710-07738-00")</f>
        <v>G710-07738-00</v>
      </c>
      <c r="M8" s="517" t="str">
        <f>IFERROR(__xludf.DUMMYFUNCTION("""COMPUTED_VALUE"""),"G710-07670-01")</f>
        <v>G710-07670-01</v>
      </c>
      <c r="N8" s="517" t="str">
        <f>IFERROR(__xludf.DUMMYFUNCTION("""COMPUTED_VALUE"""),"G730-09533-01")</f>
        <v>G730-09533-01</v>
      </c>
      <c r="O8" s="517" t="str">
        <f>IFERROR(__xludf.DUMMYFUNCTION("""COMPUTED_VALUE"""),"G710-07800-11")</f>
        <v>G710-07800-11</v>
      </c>
      <c r="P8" s="517" t="str">
        <f>IFERROR(__xludf.DUMMYFUNCTION("""COMPUTED_VALUE"""),"G650-17427-06")</f>
        <v>G650-17427-06</v>
      </c>
      <c r="Q8" s="517" t="str">
        <f>IFERROR(__xludf.DUMMYFUNCTION("""COMPUTED_VALUE"""),"G650-14694-05")</f>
        <v>G650-14694-05</v>
      </c>
      <c r="R8" s="517" t="str">
        <f>IFERROR(__xludf.DUMMYFUNCTION("""COMPUTED_VALUE"""),"G650-14850-03")</f>
        <v>G650-14850-03</v>
      </c>
      <c r="S8" s="517" t="str">
        <f>IFERROR(__xludf.DUMMYFUNCTION("""COMPUTED_VALUE"""),"No")</f>
        <v>No</v>
      </c>
      <c r="T8" s="517" t="str">
        <f>IFERROR(__xludf.DUMMYFUNCTION("""COMPUTED_VALUE"""),"N")</f>
        <v>N</v>
      </c>
      <c r="U8" s="517" t="str">
        <f>IFERROR(__xludf.DUMMYFUNCTION("""COMPUTED_VALUE"""),"Y")</f>
        <v>Y</v>
      </c>
      <c r="V8" s="517"/>
    </row>
    <row r="9">
      <c r="A9" s="445">
        <v>6.0</v>
      </c>
      <c r="B9" s="517" t="str">
        <f>IFERROR(__xludf.DUMMYFUNCTION("""COMPUTED_VALUE"""),"MP")</f>
        <v>MP</v>
      </c>
      <c r="C9" s="517">
        <f>IFERROR(__xludf.DUMMYFUNCTION("""COMPUTED_VALUE"""),6.0)</f>
        <v>6</v>
      </c>
      <c r="D9" s="517" t="str">
        <f>IFERROR(__xludf.DUMMYFUNCTION("""COMPUTED_VALUE"""),"GLBW0")</f>
        <v>GLBW0</v>
      </c>
      <c r="E9" s="517" t="str">
        <f>IFERROR(__xludf.DUMMYFUNCTION("""COMPUTED_VALUE"""),"GA10243-US")</f>
        <v>GA10243-US</v>
      </c>
      <c r="F9" s="517" t="str">
        <f>IFERROR(__xludf.DUMMYFUNCTION("""COMPUTED_VALUE"""),"SKU, CLR4, BETTER, MMWAVE, VZW, US, FL5")</f>
        <v>SKU, CLR4, BETTER, MMWAVE, VZW, US, FL5</v>
      </c>
      <c r="G9" s="517" t="str">
        <f>IFERROR(__xludf.DUMMYFUNCTION("""COMPUTED_VALUE"""),"CLR4")</f>
        <v>CLR4</v>
      </c>
      <c r="H9" s="517" t="str">
        <f>IFERROR(__xludf.DUMMYFUNCTION("""COMPUTED_VALUE"""),"MMWAVE")</f>
        <v>MMWAVE</v>
      </c>
      <c r="I9" s="517" t="str">
        <f>IFERROR(__xludf.DUMMYFUNCTION("""COMPUTED_VALUE"""),"256GB")</f>
        <v>256GB</v>
      </c>
      <c r="J9" s="517" t="str">
        <f>IFERROR(__xludf.DUMMYFUNCTION("""COMPUTED_VALUE"""),"SKU, CLR4, BETTER, MMWAVE")</f>
        <v>SKU, CLR4, BETTER, MMWAVE</v>
      </c>
      <c r="K9" s="517" t="str">
        <f>IFERROR(__xludf.DUMMYFUNCTION("""COMPUTED_VALUE"""),"G950-15935-07")</f>
        <v>G950-15935-07</v>
      </c>
      <c r="L9" s="517" t="str">
        <f>IFERROR(__xludf.DUMMYFUNCTION("""COMPUTED_VALUE"""),"G710-07738-00")</f>
        <v>G710-07738-00</v>
      </c>
      <c r="M9" s="517" t="str">
        <f>IFERROR(__xludf.DUMMYFUNCTION("""COMPUTED_VALUE"""),"G710-07670-01")</f>
        <v>G710-07670-01</v>
      </c>
      <c r="N9" s="517" t="str">
        <f>IFERROR(__xludf.DUMMYFUNCTION("""COMPUTED_VALUE"""),"G730-09533-04")</f>
        <v>G730-09533-04</v>
      </c>
      <c r="O9" s="517" t="str">
        <f>IFERROR(__xludf.DUMMYFUNCTION("""COMPUTED_VALUE"""),"G710-07800-11")</f>
        <v>G710-07800-11</v>
      </c>
      <c r="P9" s="517" t="str">
        <f>IFERROR(__xludf.DUMMYFUNCTION("""COMPUTED_VALUE"""),"G650-17427-06")</f>
        <v>G650-17427-06</v>
      </c>
      <c r="Q9" s="517" t="str">
        <f>IFERROR(__xludf.DUMMYFUNCTION("""COMPUTED_VALUE"""),"G650-14694-05")</f>
        <v>G650-14694-05</v>
      </c>
      <c r="R9" s="517" t="str">
        <f>IFERROR(__xludf.DUMMYFUNCTION("""COMPUTED_VALUE"""),"G650-14850-03")</f>
        <v>G650-14850-03</v>
      </c>
      <c r="S9" s="517" t="str">
        <f>IFERROR(__xludf.DUMMYFUNCTION("""COMPUTED_VALUE"""),"No")</f>
        <v>No</v>
      </c>
      <c r="T9" s="517" t="str">
        <f>IFERROR(__xludf.DUMMYFUNCTION("""COMPUTED_VALUE"""),"N")</f>
        <v>N</v>
      </c>
      <c r="U9" s="517" t="str">
        <f>IFERROR(__xludf.DUMMYFUNCTION("""COMPUTED_VALUE"""),"Y")</f>
        <v>Y</v>
      </c>
      <c r="V9" s="517"/>
    </row>
    <row r="10">
      <c r="A10" s="445">
        <v>7.0</v>
      </c>
      <c r="B10" s="517" t="str">
        <f>IFERROR(__xludf.DUMMYFUNCTION("""COMPUTED_VALUE"""),"MP")</f>
        <v>MP</v>
      </c>
      <c r="C10" s="517">
        <f>IFERROR(__xludf.DUMMYFUNCTION("""COMPUTED_VALUE"""),7.0)</f>
        <v>7</v>
      </c>
      <c r="D10" s="517" t="str">
        <f>IFERROR(__xludf.DUMMYFUNCTION("""COMPUTED_VALUE"""),"GLBW0")</f>
        <v>GLBW0</v>
      </c>
      <c r="E10" s="517" t="str">
        <f>IFERROR(__xludf.DUMMYFUNCTION("""COMPUTED_VALUE"""),"GA09861-US")</f>
        <v>GA09861-US</v>
      </c>
      <c r="F10" s="517" t="str">
        <f>IFERROR(__xludf.DUMMYFUNCTION("""COMPUTED_VALUE"""),"SKU, CLR1, GOOD, MMWAVE, AT&amp;T, US, FL5")</f>
        <v>SKU, CLR1, GOOD, MMWAVE, AT&amp;T, US, FL5</v>
      </c>
      <c r="G10" s="517" t="str">
        <f>IFERROR(__xludf.DUMMYFUNCTION("""COMPUTED_VALUE"""),"CLR1")</f>
        <v>CLR1</v>
      </c>
      <c r="H10" s="517" t="str">
        <f>IFERROR(__xludf.DUMMYFUNCTION("""COMPUTED_VALUE"""),"MMWAVE")</f>
        <v>MMWAVE</v>
      </c>
      <c r="I10" s="517" t="str">
        <f>IFERROR(__xludf.DUMMYFUNCTION("""COMPUTED_VALUE"""),"128GB")</f>
        <v>128GB</v>
      </c>
      <c r="J10" s="517" t="str">
        <f>IFERROR(__xludf.DUMMYFUNCTION("""COMPUTED_VALUE"""),"SKU, CLR1, GOOD, MMWAVE")</f>
        <v>SKU, CLR1, GOOD, MMWAVE</v>
      </c>
      <c r="K10" s="517" t="str">
        <f>IFERROR(__xludf.DUMMYFUNCTION("""COMPUTED_VALUE"""),"G950-15935-00")</f>
        <v>G950-15935-00</v>
      </c>
      <c r="L10" s="517" t="str">
        <f>IFERROR(__xludf.DUMMYFUNCTION("""COMPUTED_VALUE"""),"G710-07738-00")</f>
        <v>G710-07738-00</v>
      </c>
      <c r="M10" s="517" t="str">
        <f>IFERROR(__xludf.DUMMYFUNCTION("""COMPUTED_VALUE"""),"G710-07670-01")</f>
        <v>G710-07670-01</v>
      </c>
      <c r="N10" s="517" t="str">
        <f>IFERROR(__xludf.DUMMYFUNCTION("""COMPUTED_VALUE"""),"G730-09533-01")</f>
        <v>G730-09533-01</v>
      </c>
      <c r="O10" s="517" t="str">
        <f>IFERROR(__xludf.DUMMYFUNCTION("""COMPUTED_VALUE"""),"G710-07800-01")</f>
        <v>G710-07800-01</v>
      </c>
      <c r="P10" s="517" t="str">
        <f>IFERROR(__xludf.DUMMYFUNCTION("""COMPUTED_VALUE"""),"G650-14656-06")</f>
        <v>G650-14656-06</v>
      </c>
      <c r="Q10" s="517" t="str">
        <f>IFERROR(__xludf.DUMMYFUNCTION("""COMPUTED_VALUE"""),"G650-14694-05")</f>
        <v>G650-14694-05</v>
      </c>
      <c r="R10" s="517" t="str">
        <f>IFERROR(__xludf.DUMMYFUNCTION("""COMPUTED_VALUE"""),"G650-14850-03")</f>
        <v>G650-14850-03</v>
      </c>
      <c r="S10" s="517" t="str">
        <f>IFERROR(__xludf.DUMMYFUNCTION("""COMPUTED_VALUE"""),"No")</f>
        <v>No</v>
      </c>
      <c r="T10" s="517" t="str">
        <f>IFERROR(__xludf.DUMMYFUNCTION("""COMPUTED_VALUE"""),"N")</f>
        <v>N</v>
      </c>
      <c r="U10" s="517" t="str">
        <f>IFERROR(__xludf.DUMMYFUNCTION("""COMPUTED_VALUE"""),"Y")</f>
        <v>Y</v>
      </c>
      <c r="V10" s="517"/>
    </row>
    <row r="11">
      <c r="A11" s="445">
        <v>8.0</v>
      </c>
      <c r="B11" s="517" t="str">
        <f>IFERROR(__xludf.DUMMYFUNCTION("""COMPUTED_VALUE"""),"MP")</f>
        <v>MP</v>
      </c>
      <c r="C11" s="517">
        <f>IFERROR(__xludf.DUMMYFUNCTION("""COMPUTED_VALUE"""),8.0)</f>
        <v>8</v>
      </c>
      <c r="D11" s="517" t="str">
        <f>IFERROR(__xludf.DUMMYFUNCTION("""COMPUTED_VALUE"""),"GLBW0")</f>
        <v>GLBW0</v>
      </c>
      <c r="E11" s="517" t="str">
        <f>IFERROR(__xludf.DUMMYFUNCTION("""COMPUTED_VALUE"""),"GA10246-US")</f>
        <v>GA10246-US</v>
      </c>
      <c r="F11" s="517" t="str">
        <f>IFERROR(__xludf.DUMMYFUNCTION("""COMPUTED_VALUE"""),"SKU, CLR4, GOOD, MMWAVE, AT&amp;T, US, FL5")</f>
        <v>SKU, CLR4, GOOD, MMWAVE, AT&amp;T, US, FL5</v>
      </c>
      <c r="G11" s="517" t="str">
        <f>IFERROR(__xludf.DUMMYFUNCTION("""COMPUTED_VALUE"""),"CLR4")</f>
        <v>CLR4</v>
      </c>
      <c r="H11" s="517" t="str">
        <f>IFERROR(__xludf.DUMMYFUNCTION("""COMPUTED_VALUE"""),"MMWAVE")</f>
        <v>MMWAVE</v>
      </c>
      <c r="I11" s="517" t="str">
        <f>IFERROR(__xludf.DUMMYFUNCTION("""COMPUTED_VALUE"""),"128GB")</f>
        <v>128GB</v>
      </c>
      <c r="J11" s="517" t="str">
        <f>IFERROR(__xludf.DUMMYFUNCTION("""COMPUTED_VALUE"""),"SKU, CLR4, GOOD, MMWAVE")</f>
        <v>SKU, CLR4, GOOD, MMWAVE</v>
      </c>
      <c r="K11" s="517" t="str">
        <f>IFERROR(__xludf.DUMMYFUNCTION("""COMPUTED_VALUE"""),"G950-15935-03")</f>
        <v>G950-15935-03</v>
      </c>
      <c r="L11" s="517" t="str">
        <f>IFERROR(__xludf.DUMMYFUNCTION("""COMPUTED_VALUE"""),"G710-07738-00")</f>
        <v>G710-07738-00</v>
      </c>
      <c r="M11" s="517" t="str">
        <f>IFERROR(__xludf.DUMMYFUNCTION("""COMPUTED_VALUE"""),"G710-07670-01")</f>
        <v>G710-07670-01</v>
      </c>
      <c r="N11" s="517" t="str">
        <f>IFERROR(__xludf.DUMMYFUNCTION("""COMPUTED_VALUE"""),"G730-09533-04")</f>
        <v>G730-09533-04</v>
      </c>
      <c r="O11" s="517" t="str">
        <f>IFERROR(__xludf.DUMMYFUNCTION("""COMPUTED_VALUE"""),"G710-07800-01")</f>
        <v>G710-07800-01</v>
      </c>
      <c r="P11" s="517" t="str">
        <f>IFERROR(__xludf.DUMMYFUNCTION("""COMPUTED_VALUE"""),"G650-14656-06")</f>
        <v>G650-14656-06</v>
      </c>
      <c r="Q11" s="517" t="str">
        <f>IFERROR(__xludf.DUMMYFUNCTION("""COMPUTED_VALUE"""),"G650-14694-05")</f>
        <v>G650-14694-05</v>
      </c>
      <c r="R11" s="517" t="str">
        <f>IFERROR(__xludf.DUMMYFUNCTION("""COMPUTED_VALUE"""),"G650-14850-03")</f>
        <v>G650-14850-03</v>
      </c>
      <c r="S11" s="517" t="str">
        <f>IFERROR(__xludf.DUMMYFUNCTION("""COMPUTED_VALUE"""),"No")</f>
        <v>No</v>
      </c>
      <c r="T11" s="517" t="str">
        <f>IFERROR(__xludf.DUMMYFUNCTION("""COMPUTED_VALUE"""),"N")</f>
        <v>N</v>
      </c>
      <c r="U11" s="517" t="str">
        <f>IFERROR(__xludf.DUMMYFUNCTION("""COMPUTED_VALUE"""),"Y")</f>
        <v>Y</v>
      </c>
      <c r="V11" s="517"/>
    </row>
    <row r="12">
      <c r="A12" s="445">
        <v>9.0</v>
      </c>
      <c r="B12" s="517" t="str">
        <f>IFERROR(__xludf.DUMMYFUNCTION("""COMPUTED_VALUE"""),"MP")</f>
        <v>MP</v>
      </c>
      <c r="C12" s="517">
        <f>IFERROR(__xludf.DUMMYFUNCTION("""COMPUTED_VALUE"""),9.0)</f>
        <v>9</v>
      </c>
      <c r="D12" s="517" t="str">
        <f>IFERROR(__xludf.DUMMYFUNCTION("""COMPUTED_VALUE"""),"GLBW0")</f>
        <v>GLBW0</v>
      </c>
      <c r="E12" s="517" t="str">
        <f>IFERROR(__xludf.DUMMYFUNCTION("""COMPUTED_VALUE"""),"GA09862-US")</f>
        <v>GA09862-US</v>
      </c>
      <c r="F12" s="517" t="str">
        <f>IFERROR(__xludf.DUMMYFUNCTION("""COMPUTED_VALUE"""),"SKU, CLR1, GOOD, MMWAVE, TMO, US, FL5")</f>
        <v>SKU, CLR1, GOOD, MMWAVE, TMO, US, FL5</v>
      </c>
      <c r="G12" s="517" t="str">
        <f>IFERROR(__xludf.DUMMYFUNCTION("""COMPUTED_VALUE"""),"CLR1")</f>
        <v>CLR1</v>
      </c>
      <c r="H12" s="517" t="str">
        <f>IFERROR(__xludf.DUMMYFUNCTION("""COMPUTED_VALUE"""),"MMWAVE")</f>
        <v>MMWAVE</v>
      </c>
      <c r="I12" s="517" t="str">
        <f>IFERROR(__xludf.DUMMYFUNCTION("""COMPUTED_VALUE"""),"128GB")</f>
        <v>128GB</v>
      </c>
      <c r="J12" s="517" t="str">
        <f>IFERROR(__xludf.DUMMYFUNCTION("""COMPUTED_VALUE"""),"SKU, CLR1, GOOD, MMWAVE")</f>
        <v>SKU, CLR1, GOOD, MMWAVE</v>
      </c>
      <c r="K12" s="517" t="str">
        <f>IFERROR(__xludf.DUMMYFUNCTION("""COMPUTED_VALUE"""),"G950-15935-00")</f>
        <v>G950-15935-00</v>
      </c>
      <c r="L12" s="517" t="str">
        <f>IFERROR(__xludf.DUMMYFUNCTION("""COMPUTED_VALUE"""),"G710-07738-00")</f>
        <v>G710-07738-00</v>
      </c>
      <c r="M12" s="517" t="str">
        <f>IFERROR(__xludf.DUMMYFUNCTION("""COMPUTED_VALUE"""),"G710-07670-01")</f>
        <v>G710-07670-01</v>
      </c>
      <c r="N12" s="517" t="str">
        <f>IFERROR(__xludf.DUMMYFUNCTION("""COMPUTED_VALUE"""),"G730-09533-01")</f>
        <v>G730-09533-01</v>
      </c>
      <c r="O12" s="517" t="str">
        <f>IFERROR(__xludf.DUMMYFUNCTION("""COMPUTED_VALUE"""),"G710-07800-01")</f>
        <v>G710-07800-01</v>
      </c>
      <c r="P12" s="517" t="str">
        <f>IFERROR(__xludf.DUMMYFUNCTION("""COMPUTED_VALUE"""),"G650-14656-06")</f>
        <v>G650-14656-06</v>
      </c>
      <c r="Q12" s="517" t="str">
        <f>IFERROR(__xludf.DUMMYFUNCTION("""COMPUTED_VALUE"""),"G650-14694-05")</f>
        <v>G650-14694-05</v>
      </c>
      <c r="R12" s="517" t="str">
        <f>IFERROR(__xludf.DUMMYFUNCTION("""COMPUTED_VALUE"""),"G650-14850-03")</f>
        <v>G650-14850-03</v>
      </c>
      <c r="S12" s="517" t="str">
        <f>IFERROR(__xludf.DUMMYFUNCTION("""COMPUTED_VALUE"""),"No")</f>
        <v>No</v>
      </c>
      <c r="T12" s="517" t="str">
        <f>IFERROR(__xludf.DUMMYFUNCTION("""COMPUTED_VALUE"""),"N")</f>
        <v>N</v>
      </c>
      <c r="U12" s="517" t="str">
        <f>IFERROR(__xludf.DUMMYFUNCTION("""COMPUTED_VALUE"""),"Y")</f>
        <v>Y</v>
      </c>
      <c r="V12" s="517"/>
    </row>
    <row r="13">
      <c r="A13" s="445">
        <v>10.0</v>
      </c>
      <c r="B13" s="517" t="str">
        <f>IFERROR(__xludf.DUMMYFUNCTION("""COMPUTED_VALUE"""),"MP")</f>
        <v>MP</v>
      </c>
      <c r="C13" s="517">
        <f>IFERROR(__xludf.DUMMYFUNCTION("""COMPUTED_VALUE"""),10.0)</f>
        <v>10</v>
      </c>
      <c r="D13" s="517" t="str">
        <f>IFERROR(__xludf.DUMMYFUNCTION("""COMPUTED_VALUE"""),"GLBW0")</f>
        <v>GLBW0</v>
      </c>
      <c r="E13" s="517" t="str">
        <f>IFERROR(__xludf.DUMMYFUNCTION("""COMPUTED_VALUE"""),"GA10250-US")</f>
        <v>GA10250-US</v>
      </c>
      <c r="F13" s="517" t="str">
        <f>IFERROR(__xludf.DUMMYFUNCTION("""COMPUTED_VALUE"""),"SKU, CLR2, GOOD, MMWAVE, TMO, US, FL5")</f>
        <v>SKU, CLR2, GOOD, MMWAVE, TMO, US, FL5</v>
      </c>
      <c r="G13" s="517" t="str">
        <f>IFERROR(__xludf.DUMMYFUNCTION("""COMPUTED_VALUE"""),"CLR2")</f>
        <v>CLR2</v>
      </c>
      <c r="H13" s="517" t="str">
        <f>IFERROR(__xludf.DUMMYFUNCTION("""COMPUTED_VALUE"""),"MMWAVE")</f>
        <v>MMWAVE</v>
      </c>
      <c r="I13" s="517" t="str">
        <f>IFERROR(__xludf.DUMMYFUNCTION("""COMPUTED_VALUE"""),"128GB")</f>
        <v>128GB</v>
      </c>
      <c r="J13" s="517" t="str">
        <f>IFERROR(__xludf.DUMMYFUNCTION("""COMPUTED_VALUE"""),"SKU, CLR2, GOOD, MMWAVE")</f>
        <v>SKU, CLR2, GOOD, MMWAVE</v>
      </c>
      <c r="K13" s="517" t="str">
        <f>IFERROR(__xludf.DUMMYFUNCTION("""COMPUTED_VALUE"""),"G950-15935-01")</f>
        <v>G950-15935-01</v>
      </c>
      <c r="L13" s="517" t="str">
        <f>IFERROR(__xludf.DUMMYFUNCTION("""COMPUTED_VALUE"""),"G710-07738-00")</f>
        <v>G710-07738-00</v>
      </c>
      <c r="M13" s="517" t="str">
        <f>IFERROR(__xludf.DUMMYFUNCTION("""COMPUTED_VALUE"""),"G710-07670-01")</f>
        <v>G710-07670-01</v>
      </c>
      <c r="N13" s="517" t="str">
        <f>IFERROR(__xludf.DUMMYFUNCTION("""COMPUTED_VALUE"""),"G730-09533-02")</f>
        <v>G730-09533-02</v>
      </c>
      <c r="O13" s="517" t="str">
        <f>IFERROR(__xludf.DUMMYFUNCTION("""COMPUTED_VALUE"""),"G710-07800-01")</f>
        <v>G710-07800-01</v>
      </c>
      <c r="P13" s="517" t="str">
        <f>IFERROR(__xludf.DUMMYFUNCTION("""COMPUTED_VALUE"""),"G650-14656-06")</f>
        <v>G650-14656-06</v>
      </c>
      <c r="Q13" s="517" t="str">
        <f>IFERROR(__xludf.DUMMYFUNCTION("""COMPUTED_VALUE"""),"G650-14694-05")</f>
        <v>G650-14694-05</v>
      </c>
      <c r="R13" s="517" t="str">
        <f>IFERROR(__xludf.DUMMYFUNCTION("""COMPUTED_VALUE"""),"G650-14850-03")</f>
        <v>G650-14850-03</v>
      </c>
      <c r="S13" s="517" t="str">
        <f>IFERROR(__xludf.DUMMYFUNCTION("""COMPUTED_VALUE"""),"No")</f>
        <v>No</v>
      </c>
      <c r="T13" s="517" t="str">
        <f>IFERROR(__xludf.DUMMYFUNCTION("""COMPUTED_VALUE"""),"N")</f>
        <v>N</v>
      </c>
      <c r="U13" s="517" t="str">
        <f>IFERROR(__xludf.DUMMYFUNCTION("""COMPUTED_VALUE"""),"Y")</f>
        <v>Y</v>
      </c>
      <c r="V13" s="517"/>
    </row>
    <row r="14">
      <c r="A14" s="445">
        <v>11.0</v>
      </c>
      <c r="B14" s="517" t="str">
        <f>IFERROR(__xludf.DUMMYFUNCTION("""COMPUTED_VALUE"""),"MP")</f>
        <v>MP</v>
      </c>
      <c r="C14" s="517">
        <f>IFERROR(__xludf.DUMMYFUNCTION("""COMPUTED_VALUE"""),11.0)</f>
        <v>11</v>
      </c>
      <c r="D14" s="517" t="str">
        <f>IFERROR(__xludf.DUMMYFUNCTION("""COMPUTED_VALUE"""),"GLBW0")</f>
        <v>GLBW0</v>
      </c>
      <c r="E14" s="517" t="str">
        <f>IFERROR(__xludf.DUMMYFUNCTION("""COMPUTED_VALUE"""),"GA10251-US")</f>
        <v>GA10251-US</v>
      </c>
      <c r="F14" s="517" t="str">
        <f>IFERROR(__xludf.DUMMYFUNCTION("""COMPUTED_VALUE"""),"SKU, CLR3, GOOD, MMWAVE, TMO, US, FL5")</f>
        <v>SKU, CLR3, GOOD, MMWAVE, TMO, US, FL5</v>
      </c>
      <c r="G14" s="517" t="str">
        <f>IFERROR(__xludf.DUMMYFUNCTION("""COMPUTED_VALUE"""),"CLR3")</f>
        <v>CLR3</v>
      </c>
      <c r="H14" s="517" t="str">
        <f>IFERROR(__xludf.DUMMYFUNCTION("""COMPUTED_VALUE"""),"MMWAVE")</f>
        <v>MMWAVE</v>
      </c>
      <c r="I14" s="517" t="str">
        <f>IFERROR(__xludf.DUMMYFUNCTION("""COMPUTED_VALUE"""),"128GB")</f>
        <v>128GB</v>
      </c>
      <c r="J14" s="517" t="str">
        <f>IFERROR(__xludf.DUMMYFUNCTION("""COMPUTED_VALUE"""),"SKU, CLR3, GOOD, MMWAVE")</f>
        <v>SKU, CLR3, GOOD, MMWAVE</v>
      </c>
      <c r="K14" s="517" t="str">
        <f>IFERROR(__xludf.DUMMYFUNCTION("""COMPUTED_VALUE"""),"G950-15935-02")</f>
        <v>G950-15935-02</v>
      </c>
      <c r="L14" s="517" t="str">
        <f>IFERROR(__xludf.DUMMYFUNCTION("""COMPUTED_VALUE"""),"G710-07738-00")</f>
        <v>G710-07738-00</v>
      </c>
      <c r="M14" s="517" t="str">
        <f>IFERROR(__xludf.DUMMYFUNCTION("""COMPUTED_VALUE"""),"G710-07670-01")</f>
        <v>G710-07670-01</v>
      </c>
      <c r="N14" s="517" t="str">
        <f>IFERROR(__xludf.DUMMYFUNCTION("""COMPUTED_VALUE"""),"G730-09533-03")</f>
        <v>G730-09533-03</v>
      </c>
      <c r="O14" s="517" t="str">
        <f>IFERROR(__xludf.DUMMYFUNCTION("""COMPUTED_VALUE"""),"G710-07800-01")</f>
        <v>G710-07800-01</v>
      </c>
      <c r="P14" s="517" t="str">
        <f>IFERROR(__xludf.DUMMYFUNCTION("""COMPUTED_VALUE"""),"G650-14656-06")</f>
        <v>G650-14656-06</v>
      </c>
      <c r="Q14" s="517" t="str">
        <f>IFERROR(__xludf.DUMMYFUNCTION("""COMPUTED_VALUE"""),"G650-14694-05")</f>
        <v>G650-14694-05</v>
      </c>
      <c r="R14" s="517" t="str">
        <f>IFERROR(__xludf.DUMMYFUNCTION("""COMPUTED_VALUE"""),"G650-14850-03")</f>
        <v>G650-14850-03</v>
      </c>
      <c r="S14" s="517" t="str">
        <f>IFERROR(__xludf.DUMMYFUNCTION("""COMPUTED_VALUE"""),"No")</f>
        <v>No</v>
      </c>
      <c r="T14" s="517" t="str">
        <f>IFERROR(__xludf.DUMMYFUNCTION("""COMPUTED_VALUE"""),"N")</f>
        <v>N</v>
      </c>
      <c r="U14" s="517" t="str">
        <f>IFERROR(__xludf.DUMMYFUNCTION("""COMPUTED_VALUE"""),"Y")</f>
        <v>Y</v>
      </c>
      <c r="V14" s="517"/>
    </row>
    <row r="15">
      <c r="A15" s="445">
        <v>12.0</v>
      </c>
      <c r="B15" s="517" t="str">
        <f>IFERROR(__xludf.DUMMYFUNCTION("""COMPUTED_VALUE"""),"MP")</f>
        <v>MP</v>
      </c>
      <c r="C15" s="517">
        <f>IFERROR(__xludf.DUMMYFUNCTION("""COMPUTED_VALUE"""),12.0)</f>
        <v>12</v>
      </c>
      <c r="D15" s="517" t="str">
        <f>IFERROR(__xludf.DUMMYFUNCTION("""COMPUTED_VALUE"""),"GLBW0")</f>
        <v>GLBW0</v>
      </c>
      <c r="E15" s="517" t="str">
        <f>IFERROR(__xludf.DUMMYFUNCTION("""COMPUTED_VALUE"""),"GA10252-US")</f>
        <v>GA10252-US</v>
      </c>
      <c r="F15" s="517" t="str">
        <f>IFERROR(__xludf.DUMMYFUNCTION("""COMPUTED_VALUE"""),"SKU, CLR4, GOOD, MMWAVE, TMO, US, FL5")</f>
        <v>SKU, CLR4, GOOD, MMWAVE, TMO, US, FL5</v>
      </c>
      <c r="G15" s="517" t="str">
        <f>IFERROR(__xludf.DUMMYFUNCTION("""COMPUTED_VALUE"""),"CLR4")</f>
        <v>CLR4</v>
      </c>
      <c r="H15" s="517" t="str">
        <f>IFERROR(__xludf.DUMMYFUNCTION("""COMPUTED_VALUE"""),"MMWAVE")</f>
        <v>MMWAVE</v>
      </c>
      <c r="I15" s="517" t="str">
        <f>IFERROR(__xludf.DUMMYFUNCTION("""COMPUTED_VALUE"""),"128GB")</f>
        <v>128GB</v>
      </c>
      <c r="J15" s="517" t="str">
        <f>IFERROR(__xludf.DUMMYFUNCTION("""COMPUTED_VALUE"""),"SKU, CLR4, GOOD, MMWAVE")</f>
        <v>SKU, CLR4, GOOD, MMWAVE</v>
      </c>
      <c r="K15" s="517" t="str">
        <f>IFERROR(__xludf.DUMMYFUNCTION("""COMPUTED_VALUE"""),"G950-15935-03")</f>
        <v>G950-15935-03</v>
      </c>
      <c r="L15" s="517" t="str">
        <f>IFERROR(__xludf.DUMMYFUNCTION("""COMPUTED_VALUE"""),"G710-07738-00")</f>
        <v>G710-07738-00</v>
      </c>
      <c r="M15" s="517" t="str">
        <f>IFERROR(__xludf.DUMMYFUNCTION("""COMPUTED_VALUE"""),"G710-07670-01")</f>
        <v>G710-07670-01</v>
      </c>
      <c r="N15" s="517" t="str">
        <f>IFERROR(__xludf.DUMMYFUNCTION("""COMPUTED_VALUE"""),"G730-09533-04")</f>
        <v>G730-09533-04</v>
      </c>
      <c r="O15" s="517" t="str">
        <f>IFERROR(__xludf.DUMMYFUNCTION("""COMPUTED_VALUE"""),"G710-07800-01")</f>
        <v>G710-07800-01</v>
      </c>
      <c r="P15" s="517" t="str">
        <f>IFERROR(__xludf.DUMMYFUNCTION("""COMPUTED_VALUE"""),"G650-14656-06")</f>
        <v>G650-14656-06</v>
      </c>
      <c r="Q15" s="517" t="str">
        <f>IFERROR(__xludf.DUMMYFUNCTION("""COMPUTED_VALUE"""),"G650-14694-05")</f>
        <v>G650-14694-05</v>
      </c>
      <c r="R15" s="517" t="str">
        <f>IFERROR(__xludf.DUMMYFUNCTION("""COMPUTED_VALUE"""),"G650-14850-03")</f>
        <v>G650-14850-03</v>
      </c>
      <c r="S15" s="517" t="str">
        <f>IFERROR(__xludf.DUMMYFUNCTION("""COMPUTED_VALUE"""),"No")</f>
        <v>No</v>
      </c>
      <c r="T15" s="517" t="str">
        <f>IFERROR(__xludf.DUMMYFUNCTION("""COMPUTED_VALUE"""),"N")</f>
        <v>N</v>
      </c>
      <c r="U15" s="517" t="str">
        <f>IFERROR(__xludf.DUMMYFUNCTION("""COMPUTED_VALUE"""),"Y")</f>
        <v>Y</v>
      </c>
      <c r="V15" s="517"/>
    </row>
    <row r="16">
      <c r="A16" s="445">
        <v>13.0</v>
      </c>
      <c r="B16" s="517" t="str">
        <f>IFERROR(__xludf.DUMMYFUNCTION("""COMPUTED_VALUE"""),"MP")</f>
        <v>MP</v>
      </c>
      <c r="C16" s="517">
        <f>IFERROR(__xludf.DUMMYFUNCTION("""COMPUTED_VALUE"""),13.0)</f>
        <v>13</v>
      </c>
      <c r="D16" s="517" t="str">
        <f>IFERROR(__xludf.DUMMYFUNCTION("""COMPUTED_VALUE"""),"GLBW0")</f>
        <v>GLBW0</v>
      </c>
      <c r="E16" s="517" t="str">
        <f>IFERROR(__xludf.DUMMYFUNCTION("""COMPUTED_VALUE"""),"GA09882-US")</f>
        <v>GA09882-US</v>
      </c>
      <c r="F16" s="517" t="str">
        <f>IFERROR(__xludf.DUMMYFUNCTION("""COMPUTED_VALUE"""),"SKU, CLR1, BETTER, MMWAVE, TMO, US, FL5")</f>
        <v>SKU, CLR1, BETTER, MMWAVE, TMO, US, FL5</v>
      </c>
      <c r="G16" s="517" t="str">
        <f>IFERROR(__xludf.DUMMYFUNCTION("""COMPUTED_VALUE"""),"CLR1")</f>
        <v>CLR1</v>
      </c>
      <c r="H16" s="517" t="str">
        <f>IFERROR(__xludf.DUMMYFUNCTION("""COMPUTED_VALUE"""),"MMWAVE")</f>
        <v>MMWAVE</v>
      </c>
      <c r="I16" s="517" t="str">
        <f>IFERROR(__xludf.DUMMYFUNCTION("""COMPUTED_VALUE"""),"256GB")</f>
        <v>256GB</v>
      </c>
      <c r="J16" s="517" t="str">
        <f>IFERROR(__xludf.DUMMYFUNCTION("""COMPUTED_VALUE"""),"SKU, CLR1, BETTER, MMWAVE")</f>
        <v>SKU, CLR1, BETTER, MMWAVE</v>
      </c>
      <c r="K16" s="517" t="str">
        <f>IFERROR(__xludf.DUMMYFUNCTION("""COMPUTED_VALUE"""),"G950-15935-04")</f>
        <v>G950-15935-04</v>
      </c>
      <c r="L16" s="517" t="str">
        <f>IFERROR(__xludf.DUMMYFUNCTION("""COMPUTED_VALUE"""),"G710-07738-00")</f>
        <v>G710-07738-00</v>
      </c>
      <c r="M16" s="517" t="str">
        <f>IFERROR(__xludf.DUMMYFUNCTION("""COMPUTED_VALUE"""),"G710-07670-01")</f>
        <v>G710-07670-01</v>
      </c>
      <c r="N16" s="517" t="str">
        <f>IFERROR(__xludf.DUMMYFUNCTION("""COMPUTED_VALUE"""),"G730-09533-01")</f>
        <v>G730-09533-01</v>
      </c>
      <c r="O16" s="517" t="str">
        <f>IFERROR(__xludf.DUMMYFUNCTION("""COMPUTED_VALUE"""),"G710-07800-11")</f>
        <v>G710-07800-11</v>
      </c>
      <c r="P16" s="517" t="str">
        <f>IFERROR(__xludf.DUMMYFUNCTION("""COMPUTED_VALUE"""),"G650-17427-06")</f>
        <v>G650-17427-06</v>
      </c>
      <c r="Q16" s="517" t="str">
        <f>IFERROR(__xludf.DUMMYFUNCTION("""COMPUTED_VALUE"""),"G650-14694-05")</f>
        <v>G650-14694-05</v>
      </c>
      <c r="R16" s="517" t="str">
        <f>IFERROR(__xludf.DUMMYFUNCTION("""COMPUTED_VALUE"""),"G650-14850-03")</f>
        <v>G650-14850-03</v>
      </c>
      <c r="S16" s="517" t="str">
        <f>IFERROR(__xludf.DUMMYFUNCTION("""COMPUTED_VALUE"""),"No")</f>
        <v>No</v>
      </c>
      <c r="T16" s="517" t="str">
        <f>IFERROR(__xludf.DUMMYFUNCTION("""COMPUTED_VALUE"""),"N")</f>
        <v>N</v>
      </c>
      <c r="U16" s="517" t="str">
        <f>IFERROR(__xludf.DUMMYFUNCTION("""COMPUTED_VALUE"""),"Y")</f>
        <v>Y</v>
      </c>
      <c r="V16" s="517"/>
    </row>
    <row r="17">
      <c r="A17" s="445">
        <v>14.0</v>
      </c>
      <c r="B17" s="517" t="str">
        <f>IFERROR(__xludf.DUMMYFUNCTION("""COMPUTED_VALUE"""),"MP")</f>
        <v>MP</v>
      </c>
      <c r="C17" s="517">
        <f>IFERROR(__xludf.DUMMYFUNCTION("""COMPUTED_VALUE"""),14.0)</f>
        <v>14</v>
      </c>
      <c r="D17" s="517" t="str">
        <f>IFERROR(__xludf.DUMMYFUNCTION("""COMPUTED_VALUE"""),"GLBW0")</f>
        <v>GLBW0</v>
      </c>
      <c r="E17" s="517" t="str">
        <f>IFERROR(__xludf.DUMMYFUNCTION("""COMPUTED_VALUE"""),"GA09744-US")</f>
        <v>GA09744-US</v>
      </c>
      <c r="F17" s="517" t="str">
        <f>IFERROR(__xludf.DUMMYFUNCTION("""COMPUTED_VALUE"""),"SKU, CLR1, GOOD, MMWAVE, GSTORE, US, FL5")</f>
        <v>SKU, CLR1, GOOD, MMWAVE, GSTORE, US, FL5</v>
      </c>
      <c r="G17" s="517" t="str">
        <f>IFERROR(__xludf.DUMMYFUNCTION("""COMPUTED_VALUE"""),"CLR1")</f>
        <v>CLR1</v>
      </c>
      <c r="H17" s="517" t="str">
        <f>IFERROR(__xludf.DUMMYFUNCTION("""COMPUTED_VALUE"""),"MMWAVE")</f>
        <v>MMWAVE</v>
      </c>
      <c r="I17" s="517" t="str">
        <f>IFERROR(__xludf.DUMMYFUNCTION("""COMPUTED_VALUE"""),"128GB")</f>
        <v>128GB</v>
      </c>
      <c r="J17" s="517" t="str">
        <f>IFERROR(__xludf.DUMMYFUNCTION("""COMPUTED_VALUE"""),"SKU, CLR1, GOOD, MMWAVE")</f>
        <v>SKU, CLR1, GOOD, MMWAVE</v>
      </c>
      <c r="K17" s="517" t="str">
        <f>IFERROR(__xludf.DUMMYFUNCTION("""COMPUTED_VALUE"""),"G950-15935-00")</f>
        <v>G950-15935-00</v>
      </c>
      <c r="L17" s="517" t="str">
        <f>IFERROR(__xludf.DUMMYFUNCTION("""COMPUTED_VALUE"""),"G710-07738-00")</f>
        <v>G710-07738-00</v>
      </c>
      <c r="M17" s="517" t="str">
        <f>IFERROR(__xludf.DUMMYFUNCTION("""COMPUTED_VALUE"""),"G710-07670-01")</f>
        <v>G710-07670-01</v>
      </c>
      <c r="N17" s="517" t="str">
        <f>IFERROR(__xludf.DUMMYFUNCTION("""COMPUTED_VALUE"""),"G730-09533-01")</f>
        <v>G730-09533-01</v>
      </c>
      <c r="O17" s="517" t="str">
        <f>IFERROR(__xludf.DUMMYFUNCTION("""COMPUTED_VALUE"""),"G710-07800-01")</f>
        <v>G710-07800-01</v>
      </c>
      <c r="P17" s="517" t="str">
        <f>IFERROR(__xludf.DUMMYFUNCTION("""COMPUTED_VALUE"""),"G650-14656-06")</f>
        <v>G650-14656-06</v>
      </c>
      <c r="Q17" s="517" t="str">
        <f>IFERROR(__xludf.DUMMYFUNCTION("""COMPUTED_VALUE"""),"G650-14694-05")</f>
        <v>G650-14694-05</v>
      </c>
      <c r="R17" s="517" t="str">
        <f>IFERROR(__xludf.DUMMYFUNCTION("""COMPUTED_VALUE"""),"G650-14850-03")</f>
        <v>G650-14850-03</v>
      </c>
      <c r="S17" s="517" t="str">
        <f>IFERROR(__xludf.DUMMYFUNCTION("""COMPUTED_VALUE"""),"No")</f>
        <v>No</v>
      </c>
      <c r="T17" s="517" t="str">
        <f>IFERROR(__xludf.DUMMYFUNCTION("""COMPUTED_VALUE"""),"N")</f>
        <v>N</v>
      </c>
      <c r="U17" s="517" t="str">
        <f>IFERROR(__xludf.DUMMYFUNCTION("""COMPUTED_VALUE"""),"Y")</f>
        <v>Y</v>
      </c>
      <c r="V17" s="517"/>
    </row>
    <row r="18">
      <c r="A18" s="445">
        <v>15.0</v>
      </c>
      <c r="B18" s="517" t="str">
        <f>IFERROR(__xludf.DUMMYFUNCTION("""COMPUTED_VALUE"""),"MP")</f>
        <v>MP</v>
      </c>
      <c r="C18" s="517">
        <f>IFERROR(__xludf.DUMMYFUNCTION("""COMPUTED_VALUE"""),15.0)</f>
        <v>15</v>
      </c>
      <c r="D18" s="517" t="str">
        <f>IFERROR(__xludf.DUMMYFUNCTION("""COMPUTED_VALUE"""),"GLBW0")</f>
        <v>GLBW0</v>
      </c>
      <c r="E18" s="517" t="str">
        <f>IFERROR(__xludf.DUMMYFUNCTION("""COMPUTED_VALUE"""),"GA10214-US")</f>
        <v>GA10214-US</v>
      </c>
      <c r="F18" s="517" t="str">
        <f>IFERROR(__xludf.DUMMYFUNCTION("""COMPUTED_VALUE"""),"SKU, CLR2, GOOD, MMWAVE, GSTORE, US, FL5")</f>
        <v>SKU, CLR2, GOOD, MMWAVE, GSTORE, US, FL5</v>
      </c>
      <c r="G18" s="517" t="str">
        <f>IFERROR(__xludf.DUMMYFUNCTION("""COMPUTED_VALUE"""),"CLR2")</f>
        <v>CLR2</v>
      </c>
      <c r="H18" s="517" t="str">
        <f>IFERROR(__xludf.DUMMYFUNCTION("""COMPUTED_VALUE"""),"MMWAVE")</f>
        <v>MMWAVE</v>
      </c>
      <c r="I18" s="517" t="str">
        <f>IFERROR(__xludf.DUMMYFUNCTION("""COMPUTED_VALUE"""),"128GB")</f>
        <v>128GB</v>
      </c>
      <c r="J18" s="517" t="str">
        <f>IFERROR(__xludf.DUMMYFUNCTION("""COMPUTED_VALUE"""),"SKU, CLR2, GOOD, MMWAVE")</f>
        <v>SKU, CLR2, GOOD, MMWAVE</v>
      </c>
      <c r="K18" s="517" t="str">
        <f>IFERROR(__xludf.DUMMYFUNCTION("""COMPUTED_VALUE"""),"G950-15935-01")</f>
        <v>G950-15935-01</v>
      </c>
      <c r="L18" s="517" t="str">
        <f>IFERROR(__xludf.DUMMYFUNCTION("""COMPUTED_VALUE"""),"G710-07738-00")</f>
        <v>G710-07738-00</v>
      </c>
      <c r="M18" s="517" t="str">
        <f>IFERROR(__xludf.DUMMYFUNCTION("""COMPUTED_VALUE"""),"G710-07670-01")</f>
        <v>G710-07670-01</v>
      </c>
      <c r="N18" s="517" t="str">
        <f>IFERROR(__xludf.DUMMYFUNCTION("""COMPUTED_VALUE"""),"G730-09533-02")</f>
        <v>G730-09533-02</v>
      </c>
      <c r="O18" s="517" t="str">
        <f>IFERROR(__xludf.DUMMYFUNCTION("""COMPUTED_VALUE"""),"G710-07800-01")</f>
        <v>G710-07800-01</v>
      </c>
      <c r="P18" s="517" t="str">
        <f>IFERROR(__xludf.DUMMYFUNCTION("""COMPUTED_VALUE"""),"G650-14656-06")</f>
        <v>G650-14656-06</v>
      </c>
      <c r="Q18" s="517" t="str">
        <f>IFERROR(__xludf.DUMMYFUNCTION("""COMPUTED_VALUE"""),"G650-14694-05")</f>
        <v>G650-14694-05</v>
      </c>
      <c r="R18" s="517" t="str">
        <f>IFERROR(__xludf.DUMMYFUNCTION("""COMPUTED_VALUE"""),"G650-14850-03")</f>
        <v>G650-14850-03</v>
      </c>
      <c r="S18" s="517" t="str">
        <f>IFERROR(__xludf.DUMMYFUNCTION("""COMPUTED_VALUE"""),"No")</f>
        <v>No</v>
      </c>
      <c r="T18" s="517" t="str">
        <f>IFERROR(__xludf.DUMMYFUNCTION("""COMPUTED_VALUE"""),"N")</f>
        <v>N</v>
      </c>
      <c r="U18" s="517" t="str">
        <f>IFERROR(__xludf.DUMMYFUNCTION("""COMPUTED_VALUE"""),"Y")</f>
        <v>Y</v>
      </c>
      <c r="V18" s="517"/>
    </row>
    <row r="19">
      <c r="A19" s="445">
        <v>16.0</v>
      </c>
      <c r="B19" s="517" t="str">
        <f>IFERROR(__xludf.DUMMYFUNCTION("""COMPUTED_VALUE"""),"MP")</f>
        <v>MP</v>
      </c>
      <c r="C19" s="517">
        <f>IFERROR(__xludf.DUMMYFUNCTION("""COMPUTED_VALUE"""),16.0)</f>
        <v>16</v>
      </c>
      <c r="D19" s="517" t="str">
        <f>IFERROR(__xludf.DUMMYFUNCTION("""COMPUTED_VALUE"""),"GLBW0")</f>
        <v>GLBW0</v>
      </c>
      <c r="E19" s="517" t="str">
        <f>IFERROR(__xludf.DUMMYFUNCTION("""COMPUTED_VALUE"""),"GA10215-US")</f>
        <v>GA10215-US</v>
      </c>
      <c r="F19" s="517" t="str">
        <f>IFERROR(__xludf.DUMMYFUNCTION("""COMPUTED_VALUE"""),"SKU, CLR3, GOOD, MMWAVE, GSTORE, US, FL5")</f>
        <v>SKU, CLR3, GOOD, MMWAVE, GSTORE, US, FL5</v>
      </c>
      <c r="G19" s="517" t="str">
        <f>IFERROR(__xludf.DUMMYFUNCTION("""COMPUTED_VALUE"""),"CLR3")</f>
        <v>CLR3</v>
      </c>
      <c r="H19" s="517" t="str">
        <f>IFERROR(__xludf.DUMMYFUNCTION("""COMPUTED_VALUE"""),"MMWAVE")</f>
        <v>MMWAVE</v>
      </c>
      <c r="I19" s="517" t="str">
        <f>IFERROR(__xludf.DUMMYFUNCTION("""COMPUTED_VALUE"""),"128GB")</f>
        <v>128GB</v>
      </c>
      <c r="J19" s="517" t="str">
        <f>IFERROR(__xludf.DUMMYFUNCTION("""COMPUTED_VALUE"""),"SKU, CLR3, GOOD, MMWAVE")</f>
        <v>SKU, CLR3, GOOD, MMWAVE</v>
      </c>
      <c r="K19" s="517" t="str">
        <f>IFERROR(__xludf.DUMMYFUNCTION("""COMPUTED_VALUE"""),"G950-15935-02")</f>
        <v>G950-15935-02</v>
      </c>
      <c r="L19" s="517" t="str">
        <f>IFERROR(__xludf.DUMMYFUNCTION("""COMPUTED_VALUE"""),"G710-07738-00")</f>
        <v>G710-07738-00</v>
      </c>
      <c r="M19" s="517" t="str">
        <f>IFERROR(__xludf.DUMMYFUNCTION("""COMPUTED_VALUE"""),"G710-07670-01")</f>
        <v>G710-07670-01</v>
      </c>
      <c r="N19" s="517" t="str">
        <f>IFERROR(__xludf.DUMMYFUNCTION("""COMPUTED_VALUE"""),"G730-09533-03")</f>
        <v>G730-09533-03</v>
      </c>
      <c r="O19" s="517" t="str">
        <f>IFERROR(__xludf.DUMMYFUNCTION("""COMPUTED_VALUE"""),"G710-07800-01")</f>
        <v>G710-07800-01</v>
      </c>
      <c r="P19" s="517" t="str">
        <f>IFERROR(__xludf.DUMMYFUNCTION("""COMPUTED_VALUE"""),"G650-14656-06")</f>
        <v>G650-14656-06</v>
      </c>
      <c r="Q19" s="517" t="str">
        <f>IFERROR(__xludf.DUMMYFUNCTION("""COMPUTED_VALUE"""),"G650-14694-05")</f>
        <v>G650-14694-05</v>
      </c>
      <c r="R19" s="517" t="str">
        <f>IFERROR(__xludf.DUMMYFUNCTION("""COMPUTED_VALUE"""),"G650-14850-03")</f>
        <v>G650-14850-03</v>
      </c>
      <c r="S19" s="517" t="str">
        <f>IFERROR(__xludf.DUMMYFUNCTION("""COMPUTED_VALUE"""),"No")</f>
        <v>No</v>
      </c>
      <c r="T19" s="517" t="str">
        <f>IFERROR(__xludf.DUMMYFUNCTION("""COMPUTED_VALUE"""),"N")</f>
        <v>N</v>
      </c>
      <c r="U19" s="517" t="str">
        <f>IFERROR(__xludf.DUMMYFUNCTION("""COMPUTED_VALUE"""),"Y")</f>
        <v>Y</v>
      </c>
      <c r="V19" s="517"/>
    </row>
    <row r="20">
      <c r="A20" s="445">
        <v>17.0</v>
      </c>
      <c r="B20" s="517" t="str">
        <f>IFERROR(__xludf.DUMMYFUNCTION("""COMPUTED_VALUE"""),"MP")</f>
        <v>MP</v>
      </c>
      <c r="C20" s="517">
        <f>IFERROR(__xludf.DUMMYFUNCTION("""COMPUTED_VALUE"""),17.0)</f>
        <v>17</v>
      </c>
      <c r="D20" s="517" t="str">
        <f>IFERROR(__xludf.DUMMYFUNCTION("""COMPUTED_VALUE"""),"GLBW0")</f>
        <v>GLBW0</v>
      </c>
      <c r="E20" s="517" t="str">
        <f>IFERROR(__xludf.DUMMYFUNCTION("""COMPUTED_VALUE"""),"GA10216-US")</f>
        <v>GA10216-US</v>
      </c>
      <c r="F20" s="517" t="str">
        <f>IFERROR(__xludf.DUMMYFUNCTION("""COMPUTED_VALUE"""),"SKU, CLR4, GOOD, MMWAVE, GSTORE, US, FL5")</f>
        <v>SKU, CLR4, GOOD, MMWAVE, GSTORE, US, FL5</v>
      </c>
      <c r="G20" s="517" t="str">
        <f>IFERROR(__xludf.DUMMYFUNCTION("""COMPUTED_VALUE"""),"CLR4")</f>
        <v>CLR4</v>
      </c>
      <c r="H20" s="517" t="str">
        <f>IFERROR(__xludf.DUMMYFUNCTION("""COMPUTED_VALUE"""),"MMWAVE")</f>
        <v>MMWAVE</v>
      </c>
      <c r="I20" s="517" t="str">
        <f>IFERROR(__xludf.DUMMYFUNCTION("""COMPUTED_VALUE"""),"128GB")</f>
        <v>128GB</v>
      </c>
      <c r="J20" s="517" t="str">
        <f>IFERROR(__xludf.DUMMYFUNCTION("""COMPUTED_VALUE"""),"SKU, CLR4, GOOD, MMWAVE")</f>
        <v>SKU, CLR4, GOOD, MMWAVE</v>
      </c>
      <c r="K20" s="517" t="str">
        <f>IFERROR(__xludf.DUMMYFUNCTION("""COMPUTED_VALUE"""),"G950-15935-03")</f>
        <v>G950-15935-03</v>
      </c>
      <c r="L20" s="517" t="str">
        <f>IFERROR(__xludf.DUMMYFUNCTION("""COMPUTED_VALUE"""),"G710-07738-00")</f>
        <v>G710-07738-00</v>
      </c>
      <c r="M20" s="517" t="str">
        <f>IFERROR(__xludf.DUMMYFUNCTION("""COMPUTED_VALUE"""),"G710-07670-01")</f>
        <v>G710-07670-01</v>
      </c>
      <c r="N20" s="517" t="str">
        <f>IFERROR(__xludf.DUMMYFUNCTION("""COMPUTED_VALUE"""),"G730-09533-04")</f>
        <v>G730-09533-04</v>
      </c>
      <c r="O20" s="517" t="str">
        <f>IFERROR(__xludf.DUMMYFUNCTION("""COMPUTED_VALUE"""),"G710-07800-01")</f>
        <v>G710-07800-01</v>
      </c>
      <c r="P20" s="517" t="str">
        <f>IFERROR(__xludf.DUMMYFUNCTION("""COMPUTED_VALUE"""),"G650-14656-06")</f>
        <v>G650-14656-06</v>
      </c>
      <c r="Q20" s="517" t="str">
        <f>IFERROR(__xludf.DUMMYFUNCTION("""COMPUTED_VALUE"""),"G650-14694-05")</f>
        <v>G650-14694-05</v>
      </c>
      <c r="R20" s="517" t="str">
        <f>IFERROR(__xludf.DUMMYFUNCTION("""COMPUTED_VALUE"""),"G650-14850-03")</f>
        <v>G650-14850-03</v>
      </c>
      <c r="S20" s="517" t="str">
        <f>IFERROR(__xludf.DUMMYFUNCTION("""COMPUTED_VALUE"""),"No")</f>
        <v>No</v>
      </c>
      <c r="T20" s="517" t="str">
        <f>IFERROR(__xludf.DUMMYFUNCTION("""COMPUTED_VALUE"""),"N")</f>
        <v>N</v>
      </c>
      <c r="U20" s="517" t="str">
        <f>IFERROR(__xludf.DUMMYFUNCTION("""COMPUTED_VALUE"""),"Y")</f>
        <v>Y</v>
      </c>
      <c r="V20" s="517"/>
    </row>
    <row r="21">
      <c r="A21" s="445">
        <v>18.0</v>
      </c>
      <c r="B21" s="517" t="str">
        <f>IFERROR(__xludf.DUMMYFUNCTION("""COMPUTED_VALUE"""),"MP")</f>
        <v>MP</v>
      </c>
      <c r="C21" s="517">
        <f>IFERROR(__xludf.DUMMYFUNCTION("""COMPUTED_VALUE"""),18.0)</f>
        <v>18</v>
      </c>
      <c r="D21" s="517" t="str">
        <f>IFERROR(__xludf.DUMMYFUNCTION("""COMPUTED_VALUE"""),"GLBW0")</f>
        <v>GLBW0</v>
      </c>
      <c r="E21" s="517" t="str">
        <f>IFERROR(__xludf.DUMMYFUNCTION("""COMPUTED_VALUE"""),"GA09883-US")</f>
        <v>GA09883-US</v>
      </c>
      <c r="F21" s="517" t="str">
        <f>IFERROR(__xludf.DUMMYFUNCTION("""COMPUTED_VALUE"""),"SKU, CLR1, BETTER, MMWAVE, GSTORE, US, FL5")</f>
        <v>SKU, CLR1, BETTER, MMWAVE, GSTORE, US, FL5</v>
      </c>
      <c r="G21" s="517" t="str">
        <f>IFERROR(__xludf.DUMMYFUNCTION("""COMPUTED_VALUE"""),"CLR1")</f>
        <v>CLR1</v>
      </c>
      <c r="H21" s="517" t="str">
        <f>IFERROR(__xludf.DUMMYFUNCTION("""COMPUTED_VALUE"""),"MMWAVE")</f>
        <v>MMWAVE</v>
      </c>
      <c r="I21" s="517" t="str">
        <f>IFERROR(__xludf.DUMMYFUNCTION("""COMPUTED_VALUE"""),"256GB")</f>
        <v>256GB</v>
      </c>
      <c r="J21" s="517" t="str">
        <f>IFERROR(__xludf.DUMMYFUNCTION("""COMPUTED_VALUE"""),"SKU, CLR1, BETTER, MMWAVE")</f>
        <v>SKU, CLR1, BETTER, MMWAVE</v>
      </c>
      <c r="K21" s="517" t="str">
        <f>IFERROR(__xludf.DUMMYFUNCTION("""COMPUTED_VALUE"""),"G950-15935-04")</f>
        <v>G950-15935-04</v>
      </c>
      <c r="L21" s="517" t="str">
        <f>IFERROR(__xludf.DUMMYFUNCTION("""COMPUTED_VALUE"""),"G710-07738-00")</f>
        <v>G710-07738-00</v>
      </c>
      <c r="M21" s="517" t="str">
        <f>IFERROR(__xludf.DUMMYFUNCTION("""COMPUTED_VALUE"""),"G710-07670-01")</f>
        <v>G710-07670-01</v>
      </c>
      <c r="N21" s="517" t="str">
        <f>IFERROR(__xludf.DUMMYFUNCTION("""COMPUTED_VALUE"""),"G730-09533-01")</f>
        <v>G730-09533-01</v>
      </c>
      <c r="O21" s="517" t="str">
        <f>IFERROR(__xludf.DUMMYFUNCTION("""COMPUTED_VALUE"""),"G710-07800-11")</f>
        <v>G710-07800-11</v>
      </c>
      <c r="P21" s="517" t="str">
        <f>IFERROR(__xludf.DUMMYFUNCTION("""COMPUTED_VALUE"""),"G650-17427-06")</f>
        <v>G650-17427-06</v>
      </c>
      <c r="Q21" s="517" t="str">
        <f>IFERROR(__xludf.DUMMYFUNCTION("""COMPUTED_VALUE"""),"G650-14694-05")</f>
        <v>G650-14694-05</v>
      </c>
      <c r="R21" s="517" t="str">
        <f>IFERROR(__xludf.DUMMYFUNCTION("""COMPUTED_VALUE"""),"G650-14850-03")</f>
        <v>G650-14850-03</v>
      </c>
      <c r="S21" s="517" t="str">
        <f>IFERROR(__xludf.DUMMYFUNCTION("""COMPUTED_VALUE"""),"No")</f>
        <v>No</v>
      </c>
      <c r="T21" s="517" t="str">
        <f>IFERROR(__xludf.DUMMYFUNCTION("""COMPUTED_VALUE"""),"N")</f>
        <v>N</v>
      </c>
      <c r="U21" s="517" t="str">
        <f>IFERROR(__xludf.DUMMYFUNCTION("""COMPUTED_VALUE"""),"Y")</f>
        <v>Y</v>
      </c>
      <c r="V21" s="517"/>
    </row>
    <row r="22">
      <c r="A22" s="445">
        <v>19.0</v>
      </c>
      <c r="B22" s="517" t="str">
        <f>IFERROR(__xludf.DUMMYFUNCTION("""COMPUTED_VALUE"""),"MP")</f>
        <v>MP</v>
      </c>
      <c r="C22" s="517">
        <f>IFERROR(__xludf.DUMMYFUNCTION("""COMPUTED_VALUE"""),19.0)</f>
        <v>19</v>
      </c>
      <c r="D22" s="517" t="str">
        <f>IFERROR(__xludf.DUMMYFUNCTION("""COMPUTED_VALUE"""),"GLBW0")</f>
        <v>GLBW0</v>
      </c>
      <c r="E22" s="517" t="str">
        <f>IFERROR(__xludf.DUMMYFUNCTION("""COMPUTED_VALUE"""),"GA10217-US")</f>
        <v>GA10217-US</v>
      </c>
      <c r="F22" s="517" t="str">
        <f>IFERROR(__xludf.DUMMYFUNCTION("""COMPUTED_VALUE"""),"SKU, CLR2, BETTER, MMWAVE, GSTORE, US, FL5")</f>
        <v>SKU, CLR2, BETTER, MMWAVE, GSTORE, US, FL5</v>
      </c>
      <c r="G22" s="517" t="str">
        <f>IFERROR(__xludf.DUMMYFUNCTION("""COMPUTED_VALUE"""),"CLR2")</f>
        <v>CLR2</v>
      </c>
      <c r="H22" s="517" t="str">
        <f>IFERROR(__xludf.DUMMYFUNCTION("""COMPUTED_VALUE"""),"MMWAVE")</f>
        <v>MMWAVE</v>
      </c>
      <c r="I22" s="517" t="str">
        <f>IFERROR(__xludf.DUMMYFUNCTION("""COMPUTED_VALUE"""),"256GB")</f>
        <v>256GB</v>
      </c>
      <c r="J22" s="517" t="str">
        <f>IFERROR(__xludf.DUMMYFUNCTION("""COMPUTED_VALUE"""),"SKU, CLR2, BETTER, MMWAVE")</f>
        <v>SKU, CLR2, BETTER, MMWAVE</v>
      </c>
      <c r="K22" s="517" t="str">
        <f>IFERROR(__xludf.DUMMYFUNCTION("""COMPUTED_VALUE"""),"G950-15935-05")</f>
        <v>G950-15935-05</v>
      </c>
      <c r="L22" s="517" t="str">
        <f>IFERROR(__xludf.DUMMYFUNCTION("""COMPUTED_VALUE"""),"G710-07738-00")</f>
        <v>G710-07738-00</v>
      </c>
      <c r="M22" s="517" t="str">
        <f>IFERROR(__xludf.DUMMYFUNCTION("""COMPUTED_VALUE"""),"G710-07670-01")</f>
        <v>G710-07670-01</v>
      </c>
      <c r="N22" s="517" t="str">
        <f>IFERROR(__xludf.DUMMYFUNCTION("""COMPUTED_VALUE"""),"G730-09533-02")</f>
        <v>G730-09533-02</v>
      </c>
      <c r="O22" s="517" t="str">
        <f>IFERROR(__xludf.DUMMYFUNCTION("""COMPUTED_VALUE"""),"G710-07800-11")</f>
        <v>G710-07800-11</v>
      </c>
      <c r="P22" s="517" t="str">
        <f>IFERROR(__xludf.DUMMYFUNCTION("""COMPUTED_VALUE"""),"G650-17427-06")</f>
        <v>G650-17427-06</v>
      </c>
      <c r="Q22" s="517" t="str">
        <f>IFERROR(__xludf.DUMMYFUNCTION("""COMPUTED_VALUE"""),"G650-14694-05")</f>
        <v>G650-14694-05</v>
      </c>
      <c r="R22" s="517" t="str">
        <f>IFERROR(__xludf.DUMMYFUNCTION("""COMPUTED_VALUE"""),"G650-14850-03")</f>
        <v>G650-14850-03</v>
      </c>
      <c r="S22" s="517" t="str">
        <f>IFERROR(__xludf.DUMMYFUNCTION("""COMPUTED_VALUE"""),"No")</f>
        <v>No</v>
      </c>
      <c r="T22" s="517" t="str">
        <f>IFERROR(__xludf.DUMMYFUNCTION("""COMPUTED_VALUE"""),"N")</f>
        <v>N</v>
      </c>
      <c r="U22" s="517" t="str">
        <f>IFERROR(__xludf.DUMMYFUNCTION("""COMPUTED_VALUE"""),"Y")</f>
        <v>Y</v>
      </c>
      <c r="V22" s="517"/>
    </row>
    <row r="23">
      <c r="A23" s="445">
        <v>20.0</v>
      </c>
      <c r="B23" s="517" t="str">
        <f>IFERROR(__xludf.DUMMYFUNCTION("""COMPUTED_VALUE"""),"MP")</f>
        <v>MP</v>
      </c>
      <c r="C23" s="517">
        <f>IFERROR(__xludf.DUMMYFUNCTION("""COMPUTED_VALUE"""),20.0)</f>
        <v>20</v>
      </c>
      <c r="D23" s="517" t="str">
        <f>IFERROR(__xludf.DUMMYFUNCTION("""COMPUTED_VALUE"""),"GLBW0")</f>
        <v>GLBW0</v>
      </c>
      <c r="E23" s="517" t="str">
        <f>IFERROR(__xludf.DUMMYFUNCTION("""COMPUTED_VALUE"""),"GA10218-US")</f>
        <v>GA10218-US</v>
      </c>
      <c r="F23" s="517" t="str">
        <f>IFERROR(__xludf.DUMMYFUNCTION("""COMPUTED_VALUE"""),"SKU, CLR3, BETTER, MMWAVE, GSTORE, US, FL5")</f>
        <v>SKU, CLR3, BETTER, MMWAVE, GSTORE, US, FL5</v>
      </c>
      <c r="G23" s="517" t="str">
        <f>IFERROR(__xludf.DUMMYFUNCTION("""COMPUTED_VALUE"""),"CLR3")</f>
        <v>CLR3</v>
      </c>
      <c r="H23" s="517" t="str">
        <f>IFERROR(__xludf.DUMMYFUNCTION("""COMPUTED_VALUE"""),"MMWAVE")</f>
        <v>MMWAVE</v>
      </c>
      <c r="I23" s="517" t="str">
        <f>IFERROR(__xludf.DUMMYFUNCTION("""COMPUTED_VALUE"""),"256GB")</f>
        <v>256GB</v>
      </c>
      <c r="J23" s="517" t="str">
        <f>IFERROR(__xludf.DUMMYFUNCTION("""COMPUTED_VALUE"""),"SKU, CLR3, BETTER, MMWAVE")</f>
        <v>SKU, CLR3, BETTER, MMWAVE</v>
      </c>
      <c r="K23" s="517" t="str">
        <f>IFERROR(__xludf.DUMMYFUNCTION("""COMPUTED_VALUE"""),"G950-15935-06")</f>
        <v>G950-15935-06</v>
      </c>
      <c r="L23" s="517" t="str">
        <f>IFERROR(__xludf.DUMMYFUNCTION("""COMPUTED_VALUE"""),"G710-07738-00")</f>
        <v>G710-07738-00</v>
      </c>
      <c r="M23" s="517" t="str">
        <f>IFERROR(__xludf.DUMMYFUNCTION("""COMPUTED_VALUE"""),"G710-07670-01")</f>
        <v>G710-07670-01</v>
      </c>
      <c r="N23" s="517" t="str">
        <f>IFERROR(__xludf.DUMMYFUNCTION("""COMPUTED_VALUE"""),"G730-09533-03")</f>
        <v>G730-09533-03</v>
      </c>
      <c r="O23" s="517" t="str">
        <f>IFERROR(__xludf.DUMMYFUNCTION("""COMPUTED_VALUE"""),"G710-07800-11")</f>
        <v>G710-07800-11</v>
      </c>
      <c r="P23" s="517" t="str">
        <f>IFERROR(__xludf.DUMMYFUNCTION("""COMPUTED_VALUE"""),"G650-17427-06")</f>
        <v>G650-17427-06</v>
      </c>
      <c r="Q23" s="517" t="str">
        <f>IFERROR(__xludf.DUMMYFUNCTION("""COMPUTED_VALUE"""),"G650-14694-05")</f>
        <v>G650-14694-05</v>
      </c>
      <c r="R23" s="517" t="str">
        <f>IFERROR(__xludf.DUMMYFUNCTION("""COMPUTED_VALUE"""),"G650-14850-03")</f>
        <v>G650-14850-03</v>
      </c>
      <c r="S23" s="517" t="str">
        <f>IFERROR(__xludf.DUMMYFUNCTION("""COMPUTED_VALUE"""),"No")</f>
        <v>No</v>
      </c>
      <c r="T23" s="517" t="str">
        <f>IFERROR(__xludf.DUMMYFUNCTION("""COMPUTED_VALUE"""),"N")</f>
        <v>N</v>
      </c>
      <c r="U23" s="517" t="str">
        <f>IFERROR(__xludf.DUMMYFUNCTION("""COMPUTED_VALUE"""),"Y")</f>
        <v>Y</v>
      </c>
      <c r="V23" s="517"/>
    </row>
    <row r="24">
      <c r="A24" s="445">
        <v>21.0</v>
      </c>
      <c r="B24" s="517" t="str">
        <f>IFERROR(__xludf.DUMMYFUNCTION("""COMPUTED_VALUE"""),"MP")</f>
        <v>MP</v>
      </c>
      <c r="C24" s="517">
        <f>IFERROR(__xludf.DUMMYFUNCTION("""COMPUTED_VALUE"""),21.0)</f>
        <v>21</v>
      </c>
      <c r="D24" s="517" t="str">
        <f>IFERROR(__xludf.DUMMYFUNCTION("""COMPUTED_VALUE"""),"GLBW0")</f>
        <v>GLBW0</v>
      </c>
      <c r="E24" s="517" t="str">
        <f>IFERROR(__xludf.DUMMYFUNCTION("""COMPUTED_VALUE"""),"GA10219-US")</f>
        <v>GA10219-US</v>
      </c>
      <c r="F24" s="517" t="str">
        <f>IFERROR(__xludf.DUMMYFUNCTION("""COMPUTED_VALUE"""),"SKU, CLR4, BETTER, MMWAVE, GSTORE, US, FL5")</f>
        <v>SKU, CLR4, BETTER, MMWAVE, GSTORE, US, FL5</v>
      </c>
      <c r="G24" s="517" t="str">
        <f>IFERROR(__xludf.DUMMYFUNCTION("""COMPUTED_VALUE"""),"CLR4")</f>
        <v>CLR4</v>
      </c>
      <c r="H24" s="517" t="str">
        <f>IFERROR(__xludf.DUMMYFUNCTION("""COMPUTED_VALUE"""),"MMWAVE")</f>
        <v>MMWAVE</v>
      </c>
      <c r="I24" s="517" t="str">
        <f>IFERROR(__xludf.DUMMYFUNCTION("""COMPUTED_VALUE"""),"256GB")</f>
        <v>256GB</v>
      </c>
      <c r="J24" s="517" t="str">
        <f>IFERROR(__xludf.DUMMYFUNCTION("""COMPUTED_VALUE"""),"SKU, CLR4, BETTER, MMWAVE")</f>
        <v>SKU, CLR4, BETTER, MMWAVE</v>
      </c>
      <c r="K24" s="517" t="str">
        <f>IFERROR(__xludf.DUMMYFUNCTION("""COMPUTED_VALUE"""),"G950-15935-07")</f>
        <v>G950-15935-07</v>
      </c>
      <c r="L24" s="517" t="str">
        <f>IFERROR(__xludf.DUMMYFUNCTION("""COMPUTED_VALUE"""),"G710-07738-00")</f>
        <v>G710-07738-00</v>
      </c>
      <c r="M24" s="517" t="str">
        <f>IFERROR(__xludf.DUMMYFUNCTION("""COMPUTED_VALUE"""),"G710-07670-01")</f>
        <v>G710-07670-01</v>
      </c>
      <c r="N24" s="517" t="str">
        <f>IFERROR(__xludf.DUMMYFUNCTION("""COMPUTED_VALUE"""),"G730-09533-04")</f>
        <v>G730-09533-04</v>
      </c>
      <c r="O24" s="517" t="str">
        <f>IFERROR(__xludf.DUMMYFUNCTION("""COMPUTED_VALUE"""),"G710-07800-11")</f>
        <v>G710-07800-11</v>
      </c>
      <c r="P24" s="517" t="str">
        <f>IFERROR(__xludf.DUMMYFUNCTION("""COMPUTED_VALUE"""),"G650-17427-06")</f>
        <v>G650-17427-06</v>
      </c>
      <c r="Q24" s="517" t="str">
        <f>IFERROR(__xludf.DUMMYFUNCTION("""COMPUTED_VALUE"""),"G650-14694-05")</f>
        <v>G650-14694-05</v>
      </c>
      <c r="R24" s="517" t="str">
        <f>IFERROR(__xludf.DUMMYFUNCTION("""COMPUTED_VALUE"""),"G650-14850-03")</f>
        <v>G650-14850-03</v>
      </c>
      <c r="S24" s="517" t="str">
        <f>IFERROR(__xludf.DUMMYFUNCTION("""COMPUTED_VALUE"""),"No")</f>
        <v>No</v>
      </c>
      <c r="T24" s="517" t="str">
        <f>IFERROR(__xludf.DUMMYFUNCTION("""COMPUTED_VALUE"""),"N")</f>
        <v>N</v>
      </c>
      <c r="U24" s="517" t="str">
        <f>IFERROR(__xludf.DUMMYFUNCTION("""COMPUTED_VALUE"""),"Y")</f>
        <v>Y</v>
      </c>
      <c r="V24" s="517"/>
    </row>
    <row r="25">
      <c r="A25" s="445">
        <v>22.0</v>
      </c>
      <c r="B25" s="517" t="str">
        <f>IFERROR(__xludf.DUMMYFUNCTION("""COMPUTED_VALUE"""),"MP")</f>
        <v>MP</v>
      </c>
      <c r="C25" s="517">
        <f>IFERROR(__xludf.DUMMYFUNCTION("""COMPUTED_VALUE"""),22.0)</f>
        <v>22</v>
      </c>
      <c r="D25" s="517" t="str">
        <f>IFERROR(__xludf.DUMMYFUNCTION("""COMPUTED_VALUE""")," GK2MP")</f>
        <v> GK2MP</v>
      </c>
      <c r="E25" s="517" t="str">
        <f>IFERROR(__xludf.DUMMYFUNCTION("""COMPUTED_VALUE"""),"GA09744-CA")</f>
        <v>GA09744-CA</v>
      </c>
      <c r="F25" s="517" t="str">
        <f>IFERROR(__xludf.DUMMYFUNCTION("""COMPUTED_VALUE"""),"SKU, CLR1, GOOD, SUB6, CA/TW/SG/MY/AU/MX, FL5")</f>
        <v>SKU, CLR1, GOOD, SUB6, CA/TW/SG/MY/AU/MX, FL5</v>
      </c>
      <c r="G25" s="517" t="str">
        <f>IFERROR(__xludf.DUMMYFUNCTION("""COMPUTED_VALUE"""),"CLR1")</f>
        <v>CLR1</v>
      </c>
      <c r="H25" s="517" t="str">
        <f>IFERROR(__xludf.DUMMYFUNCTION("""COMPUTED_VALUE"""),"SUB6")</f>
        <v>SUB6</v>
      </c>
      <c r="I25" s="517" t="str">
        <f>IFERROR(__xludf.DUMMYFUNCTION("""COMPUTED_VALUE"""),"128GB")</f>
        <v>128GB</v>
      </c>
      <c r="J25" s="517" t="str">
        <f>IFERROR(__xludf.DUMMYFUNCTION("""COMPUTED_VALUE"""),"SKU, CLR1, GOOD, SUB6")</f>
        <v>SKU, CLR1, GOOD, SUB6</v>
      </c>
      <c r="K25" s="517" t="str">
        <f>IFERROR(__xludf.DUMMYFUNCTION("""COMPUTED_VALUE"""),"G950-15935-10")</f>
        <v>G950-15935-10</v>
      </c>
      <c r="L25" s="517" t="str">
        <f>IFERROR(__xludf.DUMMYFUNCTION("""COMPUTED_VALUE"""),"G710-07738-10")</f>
        <v>G710-07738-10</v>
      </c>
      <c r="M25" s="517" t="str">
        <f>IFERROR(__xludf.DUMMYFUNCTION("""COMPUTED_VALUE"""),"G710-07670-01")</f>
        <v>G710-07670-01</v>
      </c>
      <c r="N25" s="517" t="str">
        <f>IFERROR(__xludf.DUMMYFUNCTION("""COMPUTED_VALUE"""),"G730-09533-01")</f>
        <v>G730-09533-01</v>
      </c>
      <c r="O25" s="517" t="str">
        <f>IFERROR(__xludf.DUMMYFUNCTION("""COMPUTED_VALUE"""),"G710-07800-00")</f>
        <v>G710-07800-00</v>
      </c>
      <c r="P25" s="517" t="str">
        <f>IFERROR(__xludf.DUMMYFUNCTION("""COMPUTED_VALUE"""),"G650-14657-05")</f>
        <v>G650-14657-05</v>
      </c>
      <c r="Q25" s="517" t="str">
        <f>IFERROR(__xludf.DUMMYFUNCTION("""COMPUTED_VALUE"""),"G650-14694-05")</f>
        <v>G650-14694-05</v>
      </c>
      <c r="R25" s="517" t="str">
        <f>IFERROR(__xludf.DUMMYFUNCTION("""COMPUTED_VALUE"""),"G650-14850-03")</f>
        <v>G650-14850-03</v>
      </c>
      <c r="S25" s="517" t="str">
        <f>IFERROR(__xludf.DUMMYFUNCTION("""COMPUTED_VALUE"""),"No")</f>
        <v>No</v>
      </c>
      <c r="T25" s="517" t="str">
        <f>IFERROR(__xludf.DUMMYFUNCTION("""COMPUTED_VALUE"""),"Y")</f>
        <v>Y</v>
      </c>
      <c r="U25" s="517" t="str">
        <f>IFERROR(__xludf.DUMMYFUNCTION("""COMPUTED_VALUE"""),"Y")</f>
        <v>Y</v>
      </c>
      <c r="V25" s="517"/>
    </row>
    <row r="26">
      <c r="A26" s="445">
        <v>23.0</v>
      </c>
      <c r="B26" s="517" t="str">
        <f>IFERROR(__xludf.DUMMYFUNCTION("""COMPUTED_VALUE"""),"MP")</f>
        <v>MP</v>
      </c>
      <c r="C26" s="517">
        <f>IFERROR(__xludf.DUMMYFUNCTION("""COMPUTED_VALUE"""),23.0)</f>
        <v>23</v>
      </c>
      <c r="D26" s="517" t="str">
        <f>IFERROR(__xludf.DUMMYFUNCTION("""COMPUTED_VALUE""")," GK2MP")</f>
        <v> GK2MP</v>
      </c>
      <c r="E26" s="517" t="str">
        <f>IFERROR(__xludf.DUMMYFUNCTION("""COMPUTED_VALUE"""),"GA10214-CA")</f>
        <v>GA10214-CA</v>
      </c>
      <c r="F26" s="517" t="str">
        <f>IFERROR(__xludf.DUMMYFUNCTION("""COMPUTED_VALUE"""),"SKU, CLR2, GOOD, SUB6, CA/TW/SG/MY/AU/MX, FL5")</f>
        <v>SKU, CLR2, GOOD, SUB6, CA/TW/SG/MY/AU/MX, FL5</v>
      </c>
      <c r="G26" s="517" t="str">
        <f>IFERROR(__xludf.DUMMYFUNCTION("""COMPUTED_VALUE"""),"CLR2")</f>
        <v>CLR2</v>
      </c>
      <c r="H26" s="517" t="str">
        <f>IFERROR(__xludf.DUMMYFUNCTION("""COMPUTED_VALUE"""),"SUB6")</f>
        <v>SUB6</v>
      </c>
      <c r="I26" s="517" t="str">
        <f>IFERROR(__xludf.DUMMYFUNCTION("""COMPUTED_VALUE"""),"128GB")</f>
        <v>128GB</v>
      </c>
      <c r="J26" s="517" t="str">
        <f>IFERROR(__xludf.DUMMYFUNCTION("""COMPUTED_VALUE"""),"SKU, CLR2, GOOD, SUB6")</f>
        <v>SKU, CLR2, GOOD, SUB6</v>
      </c>
      <c r="K26" s="517" t="str">
        <f>IFERROR(__xludf.DUMMYFUNCTION("""COMPUTED_VALUE"""),"G950-15935-11")</f>
        <v>G950-15935-11</v>
      </c>
      <c r="L26" s="517" t="str">
        <f>IFERROR(__xludf.DUMMYFUNCTION("""COMPUTED_VALUE"""),"G710-07738-10")</f>
        <v>G710-07738-10</v>
      </c>
      <c r="M26" s="517" t="str">
        <f>IFERROR(__xludf.DUMMYFUNCTION("""COMPUTED_VALUE"""),"G710-07670-01")</f>
        <v>G710-07670-01</v>
      </c>
      <c r="N26" s="517" t="str">
        <f>IFERROR(__xludf.DUMMYFUNCTION("""COMPUTED_VALUE"""),"G730-09533-02")</f>
        <v>G730-09533-02</v>
      </c>
      <c r="O26" s="517" t="str">
        <f>IFERROR(__xludf.DUMMYFUNCTION("""COMPUTED_VALUE"""),"G710-07800-00")</f>
        <v>G710-07800-00</v>
      </c>
      <c r="P26" s="517" t="str">
        <f>IFERROR(__xludf.DUMMYFUNCTION("""COMPUTED_VALUE"""),"G650-14657-05")</f>
        <v>G650-14657-05</v>
      </c>
      <c r="Q26" s="517" t="str">
        <f>IFERROR(__xludf.DUMMYFUNCTION("""COMPUTED_VALUE"""),"G650-14694-05")</f>
        <v>G650-14694-05</v>
      </c>
      <c r="R26" s="517" t="str">
        <f>IFERROR(__xludf.DUMMYFUNCTION("""COMPUTED_VALUE"""),"G650-14850-03")</f>
        <v>G650-14850-03</v>
      </c>
      <c r="S26" s="517" t="str">
        <f>IFERROR(__xludf.DUMMYFUNCTION("""COMPUTED_VALUE"""),"No")</f>
        <v>No</v>
      </c>
      <c r="T26" s="517" t="str">
        <f>IFERROR(__xludf.DUMMYFUNCTION("""COMPUTED_VALUE"""),"Y")</f>
        <v>Y</v>
      </c>
      <c r="U26" s="517" t="str">
        <f>IFERROR(__xludf.DUMMYFUNCTION("""COMPUTED_VALUE"""),"Y")</f>
        <v>Y</v>
      </c>
      <c r="V26" s="517"/>
    </row>
    <row r="27">
      <c r="A27" s="445">
        <v>24.0</v>
      </c>
      <c r="B27" s="517" t="str">
        <f>IFERROR(__xludf.DUMMYFUNCTION("""COMPUTED_VALUE"""),"MP")</f>
        <v>MP</v>
      </c>
      <c r="C27" s="517">
        <f>IFERROR(__xludf.DUMMYFUNCTION("""COMPUTED_VALUE"""),24.0)</f>
        <v>24</v>
      </c>
      <c r="D27" s="517" t="str">
        <f>IFERROR(__xludf.DUMMYFUNCTION("""COMPUTED_VALUE""")," GK2MP")</f>
        <v> GK2MP</v>
      </c>
      <c r="E27" s="517" t="str">
        <f>IFERROR(__xludf.DUMMYFUNCTION("""COMPUTED_VALUE"""),"GA10215-CA")</f>
        <v>GA10215-CA</v>
      </c>
      <c r="F27" s="517" t="str">
        <f>IFERROR(__xludf.DUMMYFUNCTION("""COMPUTED_VALUE"""),"SKU, CLR3, GOOD, SUB6, CA/TW/SG/MY/AU/MX, FL5")</f>
        <v>SKU, CLR3, GOOD, SUB6, CA/TW/SG/MY/AU/MX, FL5</v>
      </c>
      <c r="G27" s="517" t="str">
        <f>IFERROR(__xludf.DUMMYFUNCTION("""COMPUTED_VALUE"""),"CLR3")</f>
        <v>CLR3</v>
      </c>
      <c r="H27" s="517" t="str">
        <f>IFERROR(__xludf.DUMMYFUNCTION("""COMPUTED_VALUE"""),"SUB6")</f>
        <v>SUB6</v>
      </c>
      <c r="I27" s="517" t="str">
        <f>IFERROR(__xludf.DUMMYFUNCTION("""COMPUTED_VALUE"""),"128GB")</f>
        <v>128GB</v>
      </c>
      <c r="J27" s="517" t="str">
        <f>IFERROR(__xludf.DUMMYFUNCTION("""COMPUTED_VALUE"""),"SKU, CLR3, GOOD, SUB6")</f>
        <v>SKU, CLR3, GOOD, SUB6</v>
      </c>
      <c r="K27" s="517" t="str">
        <f>IFERROR(__xludf.DUMMYFUNCTION("""COMPUTED_VALUE"""),"G950-15935-12")</f>
        <v>G950-15935-12</v>
      </c>
      <c r="L27" s="517" t="str">
        <f>IFERROR(__xludf.DUMMYFUNCTION("""COMPUTED_VALUE"""),"G710-07738-10")</f>
        <v>G710-07738-10</v>
      </c>
      <c r="M27" s="517" t="str">
        <f>IFERROR(__xludf.DUMMYFUNCTION("""COMPUTED_VALUE"""),"G710-07670-01")</f>
        <v>G710-07670-01</v>
      </c>
      <c r="N27" s="517" t="str">
        <f>IFERROR(__xludf.DUMMYFUNCTION("""COMPUTED_VALUE"""),"G730-09533-03")</f>
        <v>G730-09533-03</v>
      </c>
      <c r="O27" s="517" t="str">
        <f>IFERROR(__xludf.DUMMYFUNCTION("""COMPUTED_VALUE"""),"G710-07800-00")</f>
        <v>G710-07800-00</v>
      </c>
      <c r="P27" s="517" t="str">
        <f>IFERROR(__xludf.DUMMYFUNCTION("""COMPUTED_VALUE"""),"G650-14657-05")</f>
        <v>G650-14657-05</v>
      </c>
      <c r="Q27" s="517" t="str">
        <f>IFERROR(__xludf.DUMMYFUNCTION("""COMPUTED_VALUE"""),"G650-14694-05")</f>
        <v>G650-14694-05</v>
      </c>
      <c r="R27" s="517" t="str">
        <f>IFERROR(__xludf.DUMMYFUNCTION("""COMPUTED_VALUE"""),"G650-14850-03")</f>
        <v>G650-14850-03</v>
      </c>
      <c r="S27" s="517" t="str">
        <f>IFERROR(__xludf.DUMMYFUNCTION("""COMPUTED_VALUE"""),"No")</f>
        <v>No</v>
      </c>
      <c r="T27" s="517" t="str">
        <f>IFERROR(__xludf.DUMMYFUNCTION("""COMPUTED_VALUE"""),"Y")</f>
        <v>Y</v>
      </c>
      <c r="U27" s="517" t="str">
        <f>IFERROR(__xludf.DUMMYFUNCTION("""COMPUTED_VALUE"""),"Y")</f>
        <v>Y</v>
      </c>
      <c r="V27" s="517"/>
    </row>
    <row r="28">
      <c r="A28" s="445">
        <v>25.0</v>
      </c>
      <c r="B28" s="517" t="str">
        <f>IFERROR(__xludf.DUMMYFUNCTION("""COMPUTED_VALUE"""),"MP")</f>
        <v>MP</v>
      </c>
      <c r="C28" s="517">
        <f>IFERROR(__xludf.DUMMYFUNCTION("""COMPUTED_VALUE"""),25.0)</f>
        <v>25</v>
      </c>
      <c r="D28" s="517" t="str">
        <f>IFERROR(__xludf.DUMMYFUNCTION("""COMPUTED_VALUE""")," GK2MP")</f>
        <v> GK2MP</v>
      </c>
      <c r="E28" s="517" t="str">
        <f>IFERROR(__xludf.DUMMYFUNCTION("""COMPUTED_VALUE"""),"GA10216-CA")</f>
        <v>GA10216-CA</v>
      </c>
      <c r="F28" s="517" t="str">
        <f>IFERROR(__xludf.DUMMYFUNCTION("""COMPUTED_VALUE"""),"SKU, CLR4, GOOD, SUB6, CA/TW/SG/MY/AU/MX, FL5")</f>
        <v>SKU, CLR4, GOOD, SUB6, CA/TW/SG/MY/AU/MX, FL5</v>
      </c>
      <c r="G28" s="517" t="str">
        <f>IFERROR(__xludf.DUMMYFUNCTION("""COMPUTED_VALUE"""),"CLR4")</f>
        <v>CLR4</v>
      </c>
      <c r="H28" s="517" t="str">
        <f>IFERROR(__xludf.DUMMYFUNCTION("""COMPUTED_VALUE"""),"SUB6")</f>
        <v>SUB6</v>
      </c>
      <c r="I28" s="517" t="str">
        <f>IFERROR(__xludf.DUMMYFUNCTION("""COMPUTED_VALUE"""),"128GB")</f>
        <v>128GB</v>
      </c>
      <c r="J28" s="517" t="str">
        <f>IFERROR(__xludf.DUMMYFUNCTION("""COMPUTED_VALUE"""),"SKU, CLR4, GOOD, SUB6")</f>
        <v>SKU, CLR4, GOOD, SUB6</v>
      </c>
      <c r="K28" s="517" t="str">
        <f>IFERROR(__xludf.DUMMYFUNCTION("""COMPUTED_VALUE"""),"G950-15935-13")</f>
        <v>G950-15935-13</v>
      </c>
      <c r="L28" s="517" t="str">
        <f>IFERROR(__xludf.DUMMYFUNCTION("""COMPUTED_VALUE"""),"G710-07738-10")</f>
        <v>G710-07738-10</v>
      </c>
      <c r="M28" s="517" t="str">
        <f>IFERROR(__xludf.DUMMYFUNCTION("""COMPUTED_VALUE"""),"G710-07670-01")</f>
        <v>G710-07670-01</v>
      </c>
      <c r="N28" s="517" t="str">
        <f>IFERROR(__xludf.DUMMYFUNCTION("""COMPUTED_VALUE"""),"G730-09533-04")</f>
        <v>G730-09533-04</v>
      </c>
      <c r="O28" s="517" t="str">
        <f>IFERROR(__xludf.DUMMYFUNCTION("""COMPUTED_VALUE"""),"G710-07800-00")</f>
        <v>G710-07800-00</v>
      </c>
      <c r="P28" s="517" t="str">
        <f>IFERROR(__xludf.DUMMYFUNCTION("""COMPUTED_VALUE"""),"G650-14657-05")</f>
        <v>G650-14657-05</v>
      </c>
      <c r="Q28" s="517" t="str">
        <f>IFERROR(__xludf.DUMMYFUNCTION("""COMPUTED_VALUE"""),"G650-14694-05")</f>
        <v>G650-14694-05</v>
      </c>
      <c r="R28" s="517" t="str">
        <f>IFERROR(__xludf.DUMMYFUNCTION("""COMPUTED_VALUE"""),"G650-14850-03")</f>
        <v>G650-14850-03</v>
      </c>
      <c r="S28" s="517" t="str">
        <f>IFERROR(__xludf.DUMMYFUNCTION("""COMPUTED_VALUE"""),"No")</f>
        <v>No</v>
      </c>
      <c r="T28" s="517" t="str">
        <f>IFERROR(__xludf.DUMMYFUNCTION("""COMPUTED_VALUE"""),"Y")</f>
        <v>Y</v>
      </c>
      <c r="U28" s="517" t="str">
        <f>IFERROR(__xludf.DUMMYFUNCTION("""COMPUTED_VALUE"""),"Y")</f>
        <v>Y</v>
      </c>
      <c r="V28" s="517"/>
    </row>
    <row r="29">
      <c r="A29" s="445">
        <v>26.0</v>
      </c>
      <c r="B29" s="517" t="str">
        <f>IFERROR(__xludf.DUMMYFUNCTION("""COMPUTED_VALUE"""),"MP")</f>
        <v>MP</v>
      </c>
      <c r="C29" s="517">
        <f>IFERROR(__xludf.DUMMYFUNCTION("""COMPUTED_VALUE"""),26.0)</f>
        <v>26</v>
      </c>
      <c r="D29" s="517" t="str">
        <f>IFERROR(__xludf.DUMMYFUNCTION("""COMPUTED_VALUE""")," GK2MP")</f>
        <v> GK2MP</v>
      </c>
      <c r="E29" s="517" t="str">
        <f>IFERROR(__xludf.DUMMYFUNCTION("""COMPUTED_VALUE"""),"GA09883-CA")</f>
        <v>GA09883-CA</v>
      </c>
      <c r="F29" s="517" t="str">
        <f>IFERROR(__xludf.DUMMYFUNCTION("""COMPUTED_VALUE"""),"SKU, CLR1, BETTER, SUB6, CA/TW/SG/AU/MY/MX, FL5")</f>
        <v>SKU, CLR1, BETTER, SUB6, CA/TW/SG/AU/MY/MX, FL5</v>
      </c>
      <c r="G29" s="517" t="str">
        <f>IFERROR(__xludf.DUMMYFUNCTION("""COMPUTED_VALUE"""),"CLR1")</f>
        <v>CLR1</v>
      </c>
      <c r="H29" s="517" t="str">
        <f>IFERROR(__xludf.DUMMYFUNCTION("""COMPUTED_VALUE"""),"SUB6")</f>
        <v>SUB6</v>
      </c>
      <c r="I29" s="517" t="str">
        <f>IFERROR(__xludf.DUMMYFUNCTION("""COMPUTED_VALUE"""),"256GB")</f>
        <v>256GB</v>
      </c>
      <c r="J29" s="517" t="str">
        <f>IFERROR(__xludf.DUMMYFUNCTION("""COMPUTED_VALUE"""),"SKU, CLR1, BETTER, SUB6")</f>
        <v>SKU, CLR1, BETTER, SUB6</v>
      </c>
      <c r="K29" s="517" t="str">
        <f>IFERROR(__xludf.DUMMYFUNCTION("""COMPUTED_VALUE"""),"G950-15935-14")</f>
        <v>G950-15935-14</v>
      </c>
      <c r="L29" s="517" t="str">
        <f>IFERROR(__xludf.DUMMYFUNCTION("""COMPUTED_VALUE"""),"G710-07738-10")</f>
        <v>G710-07738-10</v>
      </c>
      <c r="M29" s="517" t="str">
        <f>IFERROR(__xludf.DUMMYFUNCTION("""COMPUTED_VALUE"""),"G710-07670-01")</f>
        <v>G710-07670-01</v>
      </c>
      <c r="N29" s="517" t="str">
        <f>IFERROR(__xludf.DUMMYFUNCTION("""COMPUTED_VALUE"""),"G730-09533-01")</f>
        <v>G730-09533-01</v>
      </c>
      <c r="O29" s="517" t="str">
        <f>IFERROR(__xludf.DUMMYFUNCTION("""COMPUTED_VALUE"""),"G710-07800-10")</f>
        <v>G710-07800-10</v>
      </c>
      <c r="P29" s="517" t="str">
        <f>IFERROR(__xludf.DUMMYFUNCTION("""COMPUTED_VALUE"""),"G650-17428-05")</f>
        <v>G650-17428-05</v>
      </c>
      <c r="Q29" s="517" t="str">
        <f>IFERROR(__xludf.DUMMYFUNCTION("""COMPUTED_VALUE"""),"G650-14694-05")</f>
        <v>G650-14694-05</v>
      </c>
      <c r="R29" s="517" t="str">
        <f>IFERROR(__xludf.DUMMYFUNCTION("""COMPUTED_VALUE"""),"G650-14850-03")</f>
        <v>G650-14850-03</v>
      </c>
      <c r="S29" s="517" t="str">
        <f>IFERROR(__xludf.DUMMYFUNCTION("""COMPUTED_VALUE"""),"No")</f>
        <v>No</v>
      </c>
      <c r="T29" s="517" t="str">
        <f>IFERROR(__xludf.DUMMYFUNCTION("""COMPUTED_VALUE"""),"Y")</f>
        <v>Y</v>
      </c>
      <c r="U29" s="517" t="str">
        <f>IFERROR(__xludf.DUMMYFUNCTION("""COMPUTED_VALUE"""),"Y")</f>
        <v>Y</v>
      </c>
      <c r="V29" s="517"/>
    </row>
    <row r="30">
      <c r="A30" s="445">
        <v>27.0</v>
      </c>
      <c r="B30" s="517" t="str">
        <f>IFERROR(__xludf.DUMMYFUNCTION("""COMPUTED_VALUE"""),"MP")</f>
        <v>MP</v>
      </c>
      <c r="C30" s="517">
        <f>IFERROR(__xludf.DUMMYFUNCTION("""COMPUTED_VALUE"""),27.0)</f>
        <v>27</v>
      </c>
      <c r="D30" s="517" t="str">
        <f>IFERROR(__xludf.DUMMYFUNCTION("""COMPUTED_VALUE""")," GK2MP")</f>
        <v> GK2MP</v>
      </c>
      <c r="E30" s="517" t="str">
        <f>IFERROR(__xludf.DUMMYFUNCTION("""COMPUTED_VALUE"""),"GA10217-CA")</f>
        <v>GA10217-CA</v>
      </c>
      <c r="F30" s="517" t="str">
        <f>IFERROR(__xludf.DUMMYFUNCTION("""COMPUTED_VALUE"""),"SKU, CLR2, BETTER, SUB6, CA/TW/SG/MY/AU/MX, FL5")</f>
        <v>SKU, CLR2, BETTER, SUB6, CA/TW/SG/MY/AU/MX, FL5</v>
      </c>
      <c r="G30" s="517" t="str">
        <f>IFERROR(__xludf.DUMMYFUNCTION("""COMPUTED_VALUE"""),"CLR2")</f>
        <v>CLR2</v>
      </c>
      <c r="H30" s="517" t="str">
        <f>IFERROR(__xludf.DUMMYFUNCTION("""COMPUTED_VALUE"""),"SUB6")</f>
        <v>SUB6</v>
      </c>
      <c r="I30" s="517" t="str">
        <f>IFERROR(__xludf.DUMMYFUNCTION("""COMPUTED_VALUE"""),"256GB")</f>
        <v>256GB</v>
      </c>
      <c r="J30" s="517" t="str">
        <f>IFERROR(__xludf.DUMMYFUNCTION("""COMPUTED_VALUE"""),"SKU, CLR2, BETTER, SUB6")</f>
        <v>SKU, CLR2, BETTER, SUB6</v>
      </c>
      <c r="K30" s="517" t="str">
        <f>IFERROR(__xludf.DUMMYFUNCTION("""COMPUTED_VALUE"""),"G950-15935-15")</f>
        <v>G950-15935-15</v>
      </c>
      <c r="L30" s="517" t="str">
        <f>IFERROR(__xludf.DUMMYFUNCTION("""COMPUTED_VALUE"""),"G710-07738-10")</f>
        <v>G710-07738-10</v>
      </c>
      <c r="M30" s="517" t="str">
        <f>IFERROR(__xludf.DUMMYFUNCTION("""COMPUTED_VALUE"""),"G710-07670-01")</f>
        <v>G710-07670-01</v>
      </c>
      <c r="N30" s="517" t="str">
        <f>IFERROR(__xludf.DUMMYFUNCTION("""COMPUTED_VALUE"""),"G730-09533-02")</f>
        <v>G730-09533-02</v>
      </c>
      <c r="O30" s="517" t="str">
        <f>IFERROR(__xludf.DUMMYFUNCTION("""COMPUTED_VALUE"""),"G710-07800-10")</f>
        <v>G710-07800-10</v>
      </c>
      <c r="P30" s="517" t="str">
        <f>IFERROR(__xludf.DUMMYFUNCTION("""COMPUTED_VALUE"""),"G650-17428-05")</f>
        <v>G650-17428-05</v>
      </c>
      <c r="Q30" s="517" t="str">
        <f>IFERROR(__xludf.DUMMYFUNCTION("""COMPUTED_VALUE"""),"G650-14694-05")</f>
        <v>G650-14694-05</v>
      </c>
      <c r="R30" s="517" t="str">
        <f>IFERROR(__xludf.DUMMYFUNCTION("""COMPUTED_VALUE"""),"G650-14850-03")</f>
        <v>G650-14850-03</v>
      </c>
      <c r="S30" s="517" t="str">
        <f>IFERROR(__xludf.DUMMYFUNCTION("""COMPUTED_VALUE"""),"No")</f>
        <v>No</v>
      </c>
      <c r="T30" s="517" t="str">
        <f>IFERROR(__xludf.DUMMYFUNCTION("""COMPUTED_VALUE"""),"Y")</f>
        <v>Y</v>
      </c>
      <c r="U30" s="517" t="str">
        <f>IFERROR(__xludf.DUMMYFUNCTION("""COMPUTED_VALUE"""),"Y")</f>
        <v>Y</v>
      </c>
      <c r="V30" s="517"/>
    </row>
    <row r="31">
      <c r="A31" s="445">
        <v>28.0</v>
      </c>
      <c r="B31" s="517" t="str">
        <f>IFERROR(__xludf.DUMMYFUNCTION("""COMPUTED_VALUE"""),"MP")</f>
        <v>MP</v>
      </c>
      <c r="C31" s="517">
        <f>IFERROR(__xludf.DUMMYFUNCTION("""COMPUTED_VALUE"""),28.0)</f>
        <v>28</v>
      </c>
      <c r="D31" s="517" t="str">
        <f>IFERROR(__xludf.DUMMYFUNCTION("""COMPUTED_VALUE""")," GK2MP")</f>
        <v> GK2MP</v>
      </c>
      <c r="E31" s="517" t="str">
        <f>IFERROR(__xludf.DUMMYFUNCTION("""COMPUTED_VALUE"""),"GA10218-CA")</f>
        <v>GA10218-CA</v>
      </c>
      <c r="F31" s="517" t="str">
        <f>IFERROR(__xludf.DUMMYFUNCTION("""COMPUTED_VALUE"""),"SKU, CLR3, BETTER, SUB6, CA/TW/SG/MY/AU/MX, FL5")</f>
        <v>SKU, CLR3, BETTER, SUB6, CA/TW/SG/MY/AU/MX, FL5</v>
      </c>
      <c r="G31" s="517" t="str">
        <f>IFERROR(__xludf.DUMMYFUNCTION("""COMPUTED_VALUE"""),"CLR3")</f>
        <v>CLR3</v>
      </c>
      <c r="H31" s="517" t="str">
        <f>IFERROR(__xludf.DUMMYFUNCTION("""COMPUTED_VALUE"""),"SUB6")</f>
        <v>SUB6</v>
      </c>
      <c r="I31" s="517" t="str">
        <f>IFERROR(__xludf.DUMMYFUNCTION("""COMPUTED_VALUE"""),"256GB")</f>
        <v>256GB</v>
      </c>
      <c r="J31" s="517" t="str">
        <f>IFERROR(__xludf.DUMMYFUNCTION("""COMPUTED_VALUE"""),"SKU, CLR3, BETTER, SUB6")</f>
        <v>SKU, CLR3, BETTER, SUB6</v>
      </c>
      <c r="K31" s="517" t="str">
        <f>IFERROR(__xludf.DUMMYFUNCTION("""COMPUTED_VALUE"""),"G950-15935-16")</f>
        <v>G950-15935-16</v>
      </c>
      <c r="L31" s="517" t="str">
        <f>IFERROR(__xludf.DUMMYFUNCTION("""COMPUTED_VALUE"""),"G710-07738-10")</f>
        <v>G710-07738-10</v>
      </c>
      <c r="M31" s="517" t="str">
        <f>IFERROR(__xludf.DUMMYFUNCTION("""COMPUTED_VALUE"""),"G710-07670-01")</f>
        <v>G710-07670-01</v>
      </c>
      <c r="N31" s="517" t="str">
        <f>IFERROR(__xludf.DUMMYFUNCTION("""COMPUTED_VALUE"""),"G730-09533-03")</f>
        <v>G730-09533-03</v>
      </c>
      <c r="O31" s="517" t="str">
        <f>IFERROR(__xludf.DUMMYFUNCTION("""COMPUTED_VALUE"""),"G710-07800-10")</f>
        <v>G710-07800-10</v>
      </c>
      <c r="P31" s="517" t="str">
        <f>IFERROR(__xludf.DUMMYFUNCTION("""COMPUTED_VALUE"""),"G650-17428-05")</f>
        <v>G650-17428-05</v>
      </c>
      <c r="Q31" s="517" t="str">
        <f>IFERROR(__xludf.DUMMYFUNCTION("""COMPUTED_VALUE"""),"G650-14694-05")</f>
        <v>G650-14694-05</v>
      </c>
      <c r="R31" s="517" t="str">
        <f>IFERROR(__xludf.DUMMYFUNCTION("""COMPUTED_VALUE"""),"G650-14850-03")</f>
        <v>G650-14850-03</v>
      </c>
      <c r="S31" s="517" t="str">
        <f>IFERROR(__xludf.DUMMYFUNCTION("""COMPUTED_VALUE"""),"No")</f>
        <v>No</v>
      </c>
      <c r="T31" s="517" t="str">
        <f>IFERROR(__xludf.DUMMYFUNCTION("""COMPUTED_VALUE"""),"Y")</f>
        <v>Y</v>
      </c>
      <c r="U31" s="517" t="str">
        <f>IFERROR(__xludf.DUMMYFUNCTION("""COMPUTED_VALUE"""),"Y")</f>
        <v>Y</v>
      </c>
      <c r="V31" s="517"/>
    </row>
    <row r="32">
      <c r="A32" s="445">
        <v>29.0</v>
      </c>
      <c r="B32" s="517" t="str">
        <f>IFERROR(__xludf.DUMMYFUNCTION("""COMPUTED_VALUE"""),"MP")</f>
        <v>MP</v>
      </c>
      <c r="C32" s="517">
        <f>IFERROR(__xludf.DUMMYFUNCTION("""COMPUTED_VALUE"""),29.0)</f>
        <v>29</v>
      </c>
      <c r="D32" s="517" t="str">
        <f>IFERROR(__xludf.DUMMYFUNCTION("""COMPUTED_VALUE""")," GK2MP")</f>
        <v> GK2MP</v>
      </c>
      <c r="E32" s="517" t="str">
        <f>IFERROR(__xludf.DUMMYFUNCTION("""COMPUTED_VALUE"""),"GA10219-CA")</f>
        <v>GA10219-CA</v>
      </c>
      <c r="F32" s="517" t="str">
        <f>IFERROR(__xludf.DUMMYFUNCTION("""COMPUTED_VALUE"""),"SKU, CLR4, BETTER, SUB6, CA/TW/SG/MY/AU/MX, FL5")</f>
        <v>SKU, CLR4, BETTER, SUB6, CA/TW/SG/MY/AU/MX, FL5</v>
      </c>
      <c r="G32" s="517" t="str">
        <f>IFERROR(__xludf.DUMMYFUNCTION("""COMPUTED_VALUE"""),"CLR4")</f>
        <v>CLR4</v>
      </c>
      <c r="H32" s="517" t="str">
        <f>IFERROR(__xludf.DUMMYFUNCTION("""COMPUTED_VALUE"""),"SUB6")</f>
        <v>SUB6</v>
      </c>
      <c r="I32" s="517" t="str">
        <f>IFERROR(__xludf.DUMMYFUNCTION("""COMPUTED_VALUE"""),"256GB")</f>
        <v>256GB</v>
      </c>
      <c r="J32" s="517" t="str">
        <f>IFERROR(__xludf.DUMMYFUNCTION("""COMPUTED_VALUE"""),"SKU, CLR4, BETTER, SUB6")</f>
        <v>SKU, CLR4, BETTER, SUB6</v>
      </c>
      <c r="K32" s="517" t="str">
        <f>IFERROR(__xludf.DUMMYFUNCTION("""COMPUTED_VALUE"""),"G950-15935-17")</f>
        <v>G950-15935-17</v>
      </c>
      <c r="L32" s="517" t="str">
        <f>IFERROR(__xludf.DUMMYFUNCTION("""COMPUTED_VALUE"""),"G710-07738-10")</f>
        <v>G710-07738-10</v>
      </c>
      <c r="M32" s="517" t="str">
        <f>IFERROR(__xludf.DUMMYFUNCTION("""COMPUTED_VALUE"""),"G710-07670-01")</f>
        <v>G710-07670-01</v>
      </c>
      <c r="N32" s="517" t="str">
        <f>IFERROR(__xludf.DUMMYFUNCTION("""COMPUTED_VALUE"""),"G730-09533-04")</f>
        <v>G730-09533-04</v>
      </c>
      <c r="O32" s="517" t="str">
        <f>IFERROR(__xludf.DUMMYFUNCTION("""COMPUTED_VALUE"""),"G710-07800-10")</f>
        <v>G710-07800-10</v>
      </c>
      <c r="P32" s="517" t="str">
        <f>IFERROR(__xludf.DUMMYFUNCTION("""COMPUTED_VALUE"""),"G650-17428-05")</f>
        <v>G650-17428-05</v>
      </c>
      <c r="Q32" s="517" t="str">
        <f>IFERROR(__xludf.DUMMYFUNCTION("""COMPUTED_VALUE"""),"G650-14694-05")</f>
        <v>G650-14694-05</v>
      </c>
      <c r="R32" s="517" t="str">
        <f>IFERROR(__xludf.DUMMYFUNCTION("""COMPUTED_VALUE"""),"G650-14850-03")</f>
        <v>G650-14850-03</v>
      </c>
      <c r="S32" s="517" t="str">
        <f>IFERROR(__xludf.DUMMYFUNCTION("""COMPUTED_VALUE"""),"No")</f>
        <v>No</v>
      </c>
      <c r="T32" s="517" t="str">
        <f>IFERROR(__xludf.DUMMYFUNCTION("""COMPUTED_VALUE"""),"Y")</f>
        <v>Y</v>
      </c>
      <c r="U32" s="517" t="str">
        <f>IFERROR(__xludf.DUMMYFUNCTION("""COMPUTED_VALUE"""),"Y")</f>
        <v>Y</v>
      </c>
      <c r="V32" s="517"/>
    </row>
    <row r="33">
      <c r="A33" s="445">
        <v>30.0</v>
      </c>
      <c r="B33" s="517" t="str">
        <f>IFERROR(__xludf.DUMMYFUNCTION("""COMPUTED_VALUE"""),"MP")</f>
        <v>MP</v>
      </c>
      <c r="C33" s="517">
        <f>IFERROR(__xludf.DUMMYFUNCTION("""COMPUTED_VALUE"""),30.0)</f>
        <v>30</v>
      </c>
      <c r="D33" s="517" t="str">
        <f>IFERROR(__xludf.DUMMYFUNCTION("""COMPUTED_VALUE""")," GK2MP")</f>
        <v> GK2MP</v>
      </c>
      <c r="E33" s="517" t="str">
        <f>IFERROR(__xludf.DUMMYFUNCTION("""COMPUTED_VALUE"""),"GA09744-GB")</f>
        <v>GA09744-GB</v>
      </c>
      <c r="F33" s="517" t="str">
        <f>IFERROR(__xludf.DUMMYFUNCTION("""COMPUTED_VALUE"""),"SKU, CLR1, GOOD, SUB6, UK/EU, FL5")</f>
        <v>SKU, CLR1, GOOD, SUB6, UK/EU, FL5</v>
      </c>
      <c r="G33" s="517" t="str">
        <f>IFERROR(__xludf.DUMMYFUNCTION("""COMPUTED_VALUE"""),"CLR1")</f>
        <v>CLR1</v>
      </c>
      <c r="H33" s="517" t="str">
        <f>IFERROR(__xludf.DUMMYFUNCTION("""COMPUTED_VALUE"""),"SUB6")</f>
        <v>SUB6</v>
      </c>
      <c r="I33" s="517" t="str">
        <f>IFERROR(__xludf.DUMMYFUNCTION("""COMPUTED_VALUE"""),"128GB")</f>
        <v>128GB</v>
      </c>
      <c r="J33" s="517" t="str">
        <f>IFERROR(__xludf.DUMMYFUNCTION("""COMPUTED_VALUE"""),"SKU, CLR1, GOOD, SUB6")</f>
        <v>SKU, CLR1, GOOD, SUB6</v>
      </c>
      <c r="K33" s="517" t="str">
        <f>IFERROR(__xludf.DUMMYFUNCTION("""COMPUTED_VALUE"""),"G950-15935-10")</f>
        <v>G950-15935-10</v>
      </c>
      <c r="L33" s="517" t="str">
        <f>IFERROR(__xludf.DUMMYFUNCTION("""COMPUTED_VALUE"""),"G710-07738-10")</f>
        <v>G710-07738-10</v>
      </c>
      <c r="M33" s="517" t="str">
        <f>IFERROR(__xludf.DUMMYFUNCTION("""COMPUTED_VALUE"""),"G710-07670-01")</f>
        <v>G710-07670-01</v>
      </c>
      <c r="N33" s="517" t="str">
        <f>IFERROR(__xludf.DUMMYFUNCTION("""COMPUTED_VALUE"""),"G730-09533-01")</f>
        <v>G730-09533-01</v>
      </c>
      <c r="O33" s="517" t="str">
        <f>IFERROR(__xludf.DUMMYFUNCTION("""COMPUTED_VALUE"""),"G710-07800-00")</f>
        <v>G710-07800-00</v>
      </c>
      <c r="P33" s="517" t="str">
        <f>IFERROR(__xludf.DUMMYFUNCTION("""COMPUTED_VALUE"""),"G650-14657-05")</f>
        <v>G650-14657-05</v>
      </c>
      <c r="Q33" s="517" t="str">
        <f>IFERROR(__xludf.DUMMYFUNCTION("""COMPUTED_VALUE"""),"G650-14694-05")</f>
        <v>G650-14694-05</v>
      </c>
      <c r="R33" s="517" t="str">
        <f>IFERROR(__xludf.DUMMYFUNCTION("""COMPUTED_VALUE"""),"G650-14850-03")</f>
        <v>G650-14850-03</v>
      </c>
      <c r="S33" s="517" t="str">
        <f>IFERROR(__xludf.DUMMYFUNCTION("""COMPUTED_VALUE"""),"Yes")</f>
        <v>Yes</v>
      </c>
      <c r="T33" s="517" t="str">
        <f>IFERROR(__xludf.DUMMYFUNCTION("""COMPUTED_VALUE"""),"Y")</f>
        <v>Y</v>
      </c>
      <c r="U33" s="517" t="str">
        <f>IFERROR(__xludf.DUMMYFUNCTION("""COMPUTED_VALUE"""),"Y")</f>
        <v>Y</v>
      </c>
      <c r="V33" s="517"/>
    </row>
    <row r="34">
      <c r="A34" s="445">
        <v>31.0</v>
      </c>
      <c r="B34" s="517" t="str">
        <f>IFERROR(__xludf.DUMMYFUNCTION("""COMPUTED_VALUE"""),"MP")</f>
        <v>MP</v>
      </c>
      <c r="C34" s="517">
        <f>IFERROR(__xludf.DUMMYFUNCTION("""COMPUTED_VALUE"""),31.0)</f>
        <v>31</v>
      </c>
      <c r="D34" s="517" t="str">
        <f>IFERROR(__xludf.DUMMYFUNCTION("""COMPUTED_VALUE""")," GK2MP")</f>
        <v> GK2MP</v>
      </c>
      <c r="E34" s="517" t="str">
        <f>IFERROR(__xludf.DUMMYFUNCTION("""COMPUTED_VALUE"""),"GA10214-GB")</f>
        <v>GA10214-GB</v>
      </c>
      <c r="F34" s="517" t="str">
        <f>IFERROR(__xludf.DUMMYFUNCTION("""COMPUTED_VALUE"""),"SKU, CLR2, GOOD, SUB6, UK/EU, FL5")</f>
        <v>SKU, CLR2, GOOD, SUB6, UK/EU, FL5</v>
      </c>
      <c r="G34" s="517" t="str">
        <f>IFERROR(__xludf.DUMMYFUNCTION("""COMPUTED_VALUE"""),"CLR2")</f>
        <v>CLR2</v>
      </c>
      <c r="H34" s="517" t="str">
        <f>IFERROR(__xludf.DUMMYFUNCTION("""COMPUTED_VALUE"""),"SUB6")</f>
        <v>SUB6</v>
      </c>
      <c r="I34" s="517" t="str">
        <f>IFERROR(__xludf.DUMMYFUNCTION("""COMPUTED_VALUE"""),"128GB")</f>
        <v>128GB</v>
      </c>
      <c r="J34" s="517" t="str">
        <f>IFERROR(__xludf.DUMMYFUNCTION("""COMPUTED_VALUE"""),"SKU, CLR2, GOOD, SUB6")</f>
        <v>SKU, CLR2, GOOD, SUB6</v>
      </c>
      <c r="K34" s="517" t="str">
        <f>IFERROR(__xludf.DUMMYFUNCTION("""COMPUTED_VALUE"""),"G950-15935-11")</f>
        <v>G950-15935-11</v>
      </c>
      <c r="L34" s="517" t="str">
        <f>IFERROR(__xludf.DUMMYFUNCTION("""COMPUTED_VALUE"""),"G710-07738-10")</f>
        <v>G710-07738-10</v>
      </c>
      <c r="M34" s="517" t="str">
        <f>IFERROR(__xludf.DUMMYFUNCTION("""COMPUTED_VALUE"""),"G710-07670-01")</f>
        <v>G710-07670-01</v>
      </c>
      <c r="N34" s="517" t="str">
        <f>IFERROR(__xludf.DUMMYFUNCTION("""COMPUTED_VALUE"""),"G730-09533-02")</f>
        <v>G730-09533-02</v>
      </c>
      <c r="O34" s="517" t="str">
        <f>IFERROR(__xludf.DUMMYFUNCTION("""COMPUTED_VALUE"""),"G710-07800-00")</f>
        <v>G710-07800-00</v>
      </c>
      <c r="P34" s="517" t="str">
        <f>IFERROR(__xludf.DUMMYFUNCTION("""COMPUTED_VALUE"""),"G650-14657-05")</f>
        <v>G650-14657-05</v>
      </c>
      <c r="Q34" s="517" t="str">
        <f>IFERROR(__xludf.DUMMYFUNCTION("""COMPUTED_VALUE"""),"G650-14694-05")</f>
        <v>G650-14694-05</v>
      </c>
      <c r="R34" s="517" t="str">
        <f>IFERROR(__xludf.DUMMYFUNCTION("""COMPUTED_VALUE"""),"G650-14850-03")</f>
        <v>G650-14850-03</v>
      </c>
      <c r="S34" s="517" t="str">
        <f>IFERROR(__xludf.DUMMYFUNCTION("""COMPUTED_VALUE"""),"Yes")</f>
        <v>Yes</v>
      </c>
      <c r="T34" s="517" t="str">
        <f>IFERROR(__xludf.DUMMYFUNCTION("""COMPUTED_VALUE"""),"Y")</f>
        <v>Y</v>
      </c>
      <c r="U34" s="517" t="str">
        <f>IFERROR(__xludf.DUMMYFUNCTION("""COMPUTED_VALUE"""),"Y")</f>
        <v>Y</v>
      </c>
      <c r="V34" s="517"/>
    </row>
    <row r="35">
      <c r="A35" s="445">
        <v>32.0</v>
      </c>
      <c r="B35" s="517" t="str">
        <f>IFERROR(__xludf.DUMMYFUNCTION("""COMPUTED_VALUE"""),"MP")</f>
        <v>MP</v>
      </c>
      <c r="C35" s="517">
        <f>IFERROR(__xludf.DUMMYFUNCTION("""COMPUTED_VALUE"""),32.0)</f>
        <v>32</v>
      </c>
      <c r="D35" s="517" t="str">
        <f>IFERROR(__xludf.DUMMYFUNCTION("""COMPUTED_VALUE""")," GK2MP")</f>
        <v> GK2MP</v>
      </c>
      <c r="E35" s="517" t="str">
        <f>IFERROR(__xludf.DUMMYFUNCTION("""COMPUTED_VALUE"""),"GA10215-GB")</f>
        <v>GA10215-GB</v>
      </c>
      <c r="F35" s="517" t="str">
        <f>IFERROR(__xludf.DUMMYFUNCTION("""COMPUTED_VALUE"""),"SKU, CLR3, GOOD, SUB6, UK/EU, FL5")</f>
        <v>SKU, CLR3, GOOD, SUB6, UK/EU, FL5</v>
      </c>
      <c r="G35" s="517" t="str">
        <f>IFERROR(__xludf.DUMMYFUNCTION("""COMPUTED_VALUE"""),"CLR3")</f>
        <v>CLR3</v>
      </c>
      <c r="H35" s="517" t="str">
        <f>IFERROR(__xludf.DUMMYFUNCTION("""COMPUTED_VALUE"""),"SUB6")</f>
        <v>SUB6</v>
      </c>
      <c r="I35" s="517" t="str">
        <f>IFERROR(__xludf.DUMMYFUNCTION("""COMPUTED_VALUE"""),"128GB")</f>
        <v>128GB</v>
      </c>
      <c r="J35" s="517" t="str">
        <f>IFERROR(__xludf.DUMMYFUNCTION("""COMPUTED_VALUE"""),"SKU, CLR3, GOOD, SUB6")</f>
        <v>SKU, CLR3, GOOD, SUB6</v>
      </c>
      <c r="K35" s="517" t="str">
        <f>IFERROR(__xludf.DUMMYFUNCTION("""COMPUTED_VALUE"""),"G950-15935-12")</f>
        <v>G950-15935-12</v>
      </c>
      <c r="L35" s="517" t="str">
        <f>IFERROR(__xludf.DUMMYFUNCTION("""COMPUTED_VALUE"""),"G710-07738-10")</f>
        <v>G710-07738-10</v>
      </c>
      <c r="M35" s="517" t="str">
        <f>IFERROR(__xludf.DUMMYFUNCTION("""COMPUTED_VALUE"""),"G710-07670-01")</f>
        <v>G710-07670-01</v>
      </c>
      <c r="N35" s="517" t="str">
        <f>IFERROR(__xludf.DUMMYFUNCTION("""COMPUTED_VALUE"""),"G730-09533-03")</f>
        <v>G730-09533-03</v>
      </c>
      <c r="O35" s="517" t="str">
        <f>IFERROR(__xludf.DUMMYFUNCTION("""COMPUTED_VALUE"""),"G710-07800-00")</f>
        <v>G710-07800-00</v>
      </c>
      <c r="P35" s="517" t="str">
        <f>IFERROR(__xludf.DUMMYFUNCTION("""COMPUTED_VALUE"""),"G650-14657-05")</f>
        <v>G650-14657-05</v>
      </c>
      <c r="Q35" s="517" t="str">
        <f>IFERROR(__xludf.DUMMYFUNCTION("""COMPUTED_VALUE"""),"G650-14694-05")</f>
        <v>G650-14694-05</v>
      </c>
      <c r="R35" s="517" t="str">
        <f>IFERROR(__xludf.DUMMYFUNCTION("""COMPUTED_VALUE"""),"G650-14850-03")</f>
        <v>G650-14850-03</v>
      </c>
      <c r="S35" s="517" t="str">
        <f>IFERROR(__xludf.DUMMYFUNCTION("""COMPUTED_VALUE"""),"Yes")</f>
        <v>Yes</v>
      </c>
      <c r="T35" s="517" t="str">
        <f>IFERROR(__xludf.DUMMYFUNCTION("""COMPUTED_VALUE"""),"Y")</f>
        <v>Y</v>
      </c>
      <c r="U35" s="517" t="str">
        <f>IFERROR(__xludf.DUMMYFUNCTION("""COMPUTED_VALUE"""),"Y")</f>
        <v>Y</v>
      </c>
      <c r="V35" s="517"/>
    </row>
    <row r="36">
      <c r="A36" s="445">
        <v>33.0</v>
      </c>
      <c r="B36" s="517" t="str">
        <f>IFERROR(__xludf.DUMMYFUNCTION("""COMPUTED_VALUE"""),"MP")</f>
        <v>MP</v>
      </c>
      <c r="C36" s="517">
        <f>IFERROR(__xludf.DUMMYFUNCTION("""COMPUTED_VALUE"""),33.0)</f>
        <v>33</v>
      </c>
      <c r="D36" s="517" t="str">
        <f>IFERROR(__xludf.DUMMYFUNCTION("""COMPUTED_VALUE""")," GK2MP")</f>
        <v> GK2MP</v>
      </c>
      <c r="E36" s="517" t="str">
        <f>IFERROR(__xludf.DUMMYFUNCTION("""COMPUTED_VALUE"""),"GA10216-GB")</f>
        <v>GA10216-GB</v>
      </c>
      <c r="F36" s="517" t="str">
        <f>IFERROR(__xludf.DUMMYFUNCTION("""COMPUTED_VALUE"""),"SKU, CLR4, GOOD, SUB6, UK/EU, FL5")</f>
        <v>SKU, CLR4, GOOD, SUB6, UK/EU, FL5</v>
      </c>
      <c r="G36" s="517" t="str">
        <f>IFERROR(__xludf.DUMMYFUNCTION("""COMPUTED_VALUE"""),"CLR4")</f>
        <v>CLR4</v>
      </c>
      <c r="H36" s="517" t="str">
        <f>IFERROR(__xludf.DUMMYFUNCTION("""COMPUTED_VALUE"""),"SUB6")</f>
        <v>SUB6</v>
      </c>
      <c r="I36" s="517" t="str">
        <f>IFERROR(__xludf.DUMMYFUNCTION("""COMPUTED_VALUE"""),"128GB")</f>
        <v>128GB</v>
      </c>
      <c r="J36" s="517" t="str">
        <f>IFERROR(__xludf.DUMMYFUNCTION("""COMPUTED_VALUE"""),"SKU, CLR4, GOOD, SUB6")</f>
        <v>SKU, CLR4, GOOD, SUB6</v>
      </c>
      <c r="K36" s="517" t="str">
        <f>IFERROR(__xludf.DUMMYFUNCTION("""COMPUTED_VALUE"""),"G950-15935-13")</f>
        <v>G950-15935-13</v>
      </c>
      <c r="L36" s="517" t="str">
        <f>IFERROR(__xludf.DUMMYFUNCTION("""COMPUTED_VALUE"""),"G710-07738-10")</f>
        <v>G710-07738-10</v>
      </c>
      <c r="M36" s="517" t="str">
        <f>IFERROR(__xludf.DUMMYFUNCTION("""COMPUTED_VALUE"""),"G710-07670-01")</f>
        <v>G710-07670-01</v>
      </c>
      <c r="N36" s="517" t="str">
        <f>IFERROR(__xludf.DUMMYFUNCTION("""COMPUTED_VALUE"""),"G730-09533-04")</f>
        <v>G730-09533-04</v>
      </c>
      <c r="O36" s="517" t="str">
        <f>IFERROR(__xludf.DUMMYFUNCTION("""COMPUTED_VALUE"""),"G710-07800-00")</f>
        <v>G710-07800-00</v>
      </c>
      <c r="P36" s="517" t="str">
        <f>IFERROR(__xludf.DUMMYFUNCTION("""COMPUTED_VALUE"""),"G650-14657-05")</f>
        <v>G650-14657-05</v>
      </c>
      <c r="Q36" s="517" t="str">
        <f>IFERROR(__xludf.DUMMYFUNCTION("""COMPUTED_VALUE"""),"G650-14694-05")</f>
        <v>G650-14694-05</v>
      </c>
      <c r="R36" s="517" t="str">
        <f>IFERROR(__xludf.DUMMYFUNCTION("""COMPUTED_VALUE"""),"G650-14850-03")</f>
        <v>G650-14850-03</v>
      </c>
      <c r="S36" s="517" t="str">
        <f>IFERROR(__xludf.DUMMYFUNCTION("""COMPUTED_VALUE"""),"Yes")</f>
        <v>Yes</v>
      </c>
      <c r="T36" s="517" t="str">
        <f>IFERROR(__xludf.DUMMYFUNCTION("""COMPUTED_VALUE"""),"Y")</f>
        <v>Y</v>
      </c>
      <c r="U36" s="517" t="str">
        <f>IFERROR(__xludf.DUMMYFUNCTION("""COMPUTED_VALUE"""),"Y")</f>
        <v>Y</v>
      </c>
      <c r="V36" s="517"/>
    </row>
    <row r="37">
      <c r="A37" s="445">
        <v>34.0</v>
      </c>
      <c r="B37" s="517" t="str">
        <f>IFERROR(__xludf.DUMMYFUNCTION("""COMPUTED_VALUE"""),"MP")</f>
        <v>MP</v>
      </c>
      <c r="C37" s="517">
        <f>IFERROR(__xludf.DUMMYFUNCTION("""COMPUTED_VALUE"""),34.0)</f>
        <v>34</v>
      </c>
      <c r="D37" s="517" t="str">
        <f>IFERROR(__xludf.DUMMYFUNCTION("""COMPUTED_VALUE""")," GK2MP")</f>
        <v> GK2MP</v>
      </c>
      <c r="E37" s="517" t="str">
        <f>IFERROR(__xludf.DUMMYFUNCTION("""COMPUTED_VALUE"""),"GA09883-GB")</f>
        <v>GA09883-GB</v>
      </c>
      <c r="F37" s="517" t="str">
        <f>IFERROR(__xludf.DUMMYFUNCTION("""COMPUTED_VALUE"""),"SKU, CLR1, BETTER, SUB6, UK/EU, FL5")</f>
        <v>SKU, CLR1, BETTER, SUB6, UK/EU, FL5</v>
      </c>
      <c r="G37" s="517" t="str">
        <f>IFERROR(__xludf.DUMMYFUNCTION("""COMPUTED_VALUE"""),"CLR1")</f>
        <v>CLR1</v>
      </c>
      <c r="H37" s="517" t="str">
        <f>IFERROR(__xludf.DUMMYFUNCTION("""COMPUTED_VALUE"""),"SUB6")</f>
        <v>SUB6</v>
      </c>
      <c r="I37" s="517" t="str">
        <f>IFERROR(__xludf.DUMMYFUNCTION("""COMPUTED_VALUE"""),"256GB")</f>
        <v>256GB</v>
      </c>
      <c r="J37" s="517" t="str">
        <f>IFERROR(__xludf.DUMMYFUNCTION("""COMPUTED_VALUE"""),"SKU, CLR1, BETTER, SUB6")</f>
        <v>SKU, CLR1, BETTER, SUB6</v>
      </c>
      <c r="K37" s="517" t="str">
        <f>IFERROR(__xludf.DUMMYFUNCTION("""COMPUTED_VALUE"""),"G950-15935-14")</f>
        <v>G950-15935-14</v>
      </c>
      <c r="L37" s="517" t="str">
        <f>IFERROR(__xludf.DUMMYFUNCTION("""COMPUTED_VALUE"""),"G710-07738-10")</f>
        <v>G710-07738-10</v>
      </c>
      <c r="M37" s="517" t="str">
        <f>IFERROR(__xludf.DUMMYFUNCTION("""COMPUTED_VALUE"""),"G710-07670-01")</f>
        <v>G710-07670-01</v>
      </c>
      <c r="N37" s="517" t="str">
        <f>IFERROR(__xludf.DUMMYFUNCTION("""COMPUTED_VALUE"""),"G730-09533-01")</f>
        <v>G730-09533-01</v>
      </c>
      <c r="O37" s="517" t="str">
        <f>IFERROR(__xludf.DUMMYFUNCTION("""COMPUTED_VALUE"""),"G710-07800-10")</f>
        <v>G710-07800-10</v>
      </c>
      <c r="P37" s="517" t="str">
        <f>IFERROR(__xludf.DUMMYFUNCTION("""COMPUTED_VALUE"""),"G650-17428-05")</f>
        <v>G650-17428-05</v>
      </c>
      <c r="Q37" s="517" t="str">
        <f>IFERROR(__xludf.DUMMYFUNCTION("""COMPUTED_VALUE"""),"G650-14694-05")</f>
        <v>G650-14694-05</v>
      </c>
      <c r="R37" s="517" t="str">
        <f>IFERROR(__xludf.DUMMYFUNCTION("""COMPUTED_VALUE"""),"G650-14850-03")</f>
        <v>G650-14850-03</v>
      </c>
      <c r="S37" s="517" t="str">
        <f>IFERROR(__xludf.DUMMYFUNCTION("""COMPUTED_VALUE"""),"Yes")</f>
        <v>Yes</v>
      </c>
      <c r="T37" s="517" t="str">
        <f>IFERROR(__xludf.DUMMYFUNCTION("""COMPUTED_VALUE"""),"Y")</f>
        <v>Y</v>
      </c>
      <c r="U37" s="517" t="str">
        <f>IFERROR(__xludf.DUMMYFUNCTION("""COMPUTED_VALUE"""),"Y")</f>
        <v>Y</v>
      </c>
      <c r="V37" s="517"/>
    </row>
    <row r="38">
      <c r="A38" s="445">
        <v>35.0</v>
      </c>
      <c r="B38" s="517" t="str">
        <f>IFERROR(__xludf.DUMMYFUNCTION("""COMPUTED_VALUE"""),"MP")</f>
        <v>MP</v>
      </c>
      <c r="C38" s="517">
        <f>IFERROR(__xludf.DUMMYFUNCTION("""COMPUTED_VALUE"""),35.0)</f>
        <v>35</v>
      </c>
      <c r="D38" s="517" t="str">
        <f>IFERROR(__xludf.DUMMYFUNCTION("""COMPUTED_VALUE""")," GK2MP")</f>
        <v> GK2MP</v>
      </c>
      <c r="E38" s="517" t="str">
        <f>IFERROR(__xludf.DUMMYFUNCTION("""COMPUTED_VALUE"""),"GA10217-GB")</f>
        <v>GA10217-GB</v>
      </c>
      <c r="F38" s="517" t="str">
        <f>IFERROR(__xludf.DUMMYFUNCTION("""COMPUTED_VALUE"""),"SKU, CLR2, BETTER, SUB6, UK/EU, FL5")</f>
        <v>SKU, CLR2, BETTER, SUB6, UK/EU, FL5</v>
      </c>
      <c r="G38" s="517" t="str">
        <f>IFERROR(__xludf.DUMMYFUNCTION("""COMPUTED_VALUE"""),"CLR2")</f>
        <v>CLR2</v>
      </c>
      <c r="H38" s="517" t="str">
        <f>IFERROR(__xludf.DUMMYFUNCTION("""COMPUTED_VALUE"""),"SUB6")</f>
        <v>SUB6</v>
      </c>
      <c r="I38" s="517" t="str">
        <f>IFERROR(__xludf.DUMMYFUNCTION("""COMPUTED_VALUE"""),"256GB")</f>
        <v>256GB</v>
      </c>
      <c r="J38" s="517" t="str">
        <f>IFERROR(__xludf.DUMMYFUNCTION("""COMPUTED_VALUE"""),"SKU, CLR2, BETTER, SUB6")</f>
        <v>SKU, CLR2, BETTER, SUB6</v>
      </c>
      <c r="K38" s="517" t="str">
        <f>IFERROR(__xludf.DUMMYFUNCTION("""COMPUTED_VALUE"""),"G950-15935-15")</f>
        <v>G950-15935-15</v>
      </c>
      <c r="L38" s="517" t="str">
        <f>IFERROR(__xludf.DUMMYFUNCTION("""COMPUTED_VALUE"""),"G710-07738-10")</f>
        <v>G710-07738-10</v>
      </c>
      <c r="M38" s="517" t="str">
        <f>IFERROR(__xludf.DUMMYFUNCTION("""COMPUTED_VALUE"""),"G710-07670-01")</f>
        <v>G710-07670-01</v>
      </c>
      <c r="N38" s="517" t="str">
        <f>IFERROR(__xludf.DUMMYFUNCTION("""COMPUTED_VALUE"""),"G730-09533-02")</f>
        <v>G730-09533-02</v>
      </c>
      <c r="O38" s="517" t="str">
        <f>IFERROR(__xludf.DUMMYFUNCTION("""COMPUTED_VALUE"""),"G710-07800-10")</f>
        <v>G710-07800-10</v>
      </c>
      <c r="P38" s="517" t="str">
        <f>IFERROR(__xludf.DUMMYFUNCTION("""COMPUTED_VALUE"""),"G650-17428-05")</f>
        <v>G650-17428-05</v>
      </c>
      <c r="Q38" s="517" t="str">
        <f>IFERROR(__xludf.DUMMYFUNCTION("""COMPUTED_VALUE"""),"G650-14694-05")</f>
        <v>G650-14694-05</v>
      </c>
      <c r="R38" s="517" t="str">
        <f>IFERROR(__xludf.DUMMYFUNCTION("""COMPUTED_VALUE"""),"G650-14850-03")</f>
        <v>G650-14850-03</v>
      </c>
      <c r="S38" s="517" t="str">
        <f>IFERROR(__xludf.DUMMYFUNCTION("""COMPUTED_VALUE"""),"Yes")</f>
        <v>Yes</v>
      </c>
      <c r="T38" s="517" t="str">
        <f>IFERROR(__xludf.DUMMYFUNCTION("""COMPUTED_VALUE"""),"Y")</f>
        <v>Y</v>
      </c>
      <c r="U38" s="517" t="str">
        <f>IFERROR(__xludf.DUMMYFUNCTION("""COMPUTED_VALUE"""),"Y")</f>
        <v>Y</v>
      </c>
      <c r="V38" s="517"/>
    </row>
    <row r="39">
      <c r="A39" s="445">
        <v>36.0</v>
      </c>
      <c r="B39" s="517" t="str">
        <f>IFERROR(__xludf.DUMMYFUNCTION("""COMPUTED_VALUE"""),"MP")</f>
        <v>MP</v>
      </c>
      <c r="C39" s="517">
        <f>IFERROR(__xludf.DUMMYFUNCTION("""COMPUTED_VALUE"""),36.0)</f>
        <v>36</v>
      </c>
      <c r="D39" s="517" t="str">
        <f>IFERROR(__xludf.DUMMYFUNCTION("""COMPUTED_VALUE""")," GK2MP")</f>
        <v> GK2MP</v>
      </c>
      <c r="E39" s="517" t="str">
        <f>IFERROR(__xludf.DUMMYFUNCTION("""COMPUTED_VALUE"""),"GA10218-GB")</f>
        <v>GA10218-GB</v>
      </c>
      <c r="F39" s="517" t="str">
        <f>IFERROR(__xludf.DUMMYFUNCTION("""COMPUTED_VALUE"""),"SKU, CLR3, BETTER, SUB6, UK/EU, FL5")</f>
        <v>SKU, CLR3, BETTER, SUB6, UK/EU, FL5</v>
      </c>
      <c r="G39" s="517" t="str">
        <f>IFERROR(__xludf.DUMMYFUNCTION("""COMPUTED_VALUE"""),"CLR3")</f>
        <v>CLR3</v>
      </c>
      <c r="H39" s="517" t="str">
        <f>IFERROR(__xludf.DUMMYFUNCTION("""COMPUTED_VALUE"""),"SUB6")</f>
        <v>SUB6</v>
      </c>
      <c r="I39" s="517" t="str">
        <f>IFERROR(__xludf.DUMMYFUNCTION("""COMPUTED_VALUE"""),"256GB")</f>
        <v>256GB</v>
      </c>
      <c r="J39" s="517" t="str">
        <f>IFERROR(__xludf.DUMMYFUNCTION("""COMPUTED_VALUE"""),"SKU, CLR3, BETTER, SUB6")</f>
        <v>SKU, CLR3, BETTER, SUB6</v>
      </c>
      <c r="K39" s="517" t="str">
        <f>IFERROR(__xludf.DUMMYFUNCTION("""COMPUTED_VALUE"""),"G950-15935-16")</f>
        <v>G950-15935-16</v>
      </c>
      <c r="L39" s="517" t="str">
        <f>IFERROR(__xludf.DUMMYFUNCTION("""COMPUTED_VALUE"""),"G710-07738-10")</f>
        <v>G710-07738-10</v>
      </c>
      <c r="M39" s="517" t="str">
        <f>IFERROR(__xludf.DUMMYFUNCTION("""COMPUTED_VALUE"""),"G710-07670-01")</f>
        <v>G710-07670-01</v>
      </c>
      <c r="N39" s="517" t="str">
        <f>IFERROR(__xludf.DUMMYFUNCTION("""COMPUTED_VALUE"""),"G730-09533-03")</f>
        <v>G730-09533-03</v>
      </c>
      <c r="O39" s="517" t="str">
        <f>IFERROR(__xludf.DUMMYFUNCTION("""COMPUTED_VALUE"""),"G710-07800-10")</f>
        <v>G710-07800-10</v>
      </c>
      <c r="P39" s="517" t="str">
        <f>IFERROR(__xludf.DUMMYFUNCTION("""COMPUTED_VALUE"""),"G650-17428-05")</f>
        <v>G650-17428-05</v>
      </c>
      <c r="Q39" s="517" t="str">
        <f>IFERROR(__xludf.DUMMYFUNCTION("""COMPUTED_VALUE"""),"G650-14694-05")</f>
        <v>G650-14694-05</v>
      </c>
      <c r="R39" s="517" t="str">
        <f>IFERROR(__xludf.DUMMYFUNCTION("""COMPUTED_VALUE"""),"G650-14850-03")</f>
        <v>G650-14850-03</v>
      </c>
      <c r="S39" s="517" t="str">
        <f>IFERROR(__xludf.DUMMYFUNCTION("""COMPUTED_VALUE"""),"Yes")</f>
        <v>Yes</v>
      </c>
      <c r="T39" s="517" t="str">
        <f>IFERROR(__xludf.DUMMYFUNCTION("""COMPUTED_VALUE"""),"Y")</f>
        <v>Y</v>
      </c>
      <c r="U39" s="517" t="str">
        <f>IFERROR(__xludf.DUMMYFUNCTION("""COMPUTED_VALUE"""),"Y")</f>
        <v>Y</v>
      </c>
      <c r="V39" s="517"/>
    </row>
    <row r="40">
      <c r="A40" s="445">
        <v>37.0</v>
      </c>
      <c r="B40" s="517" t="str">
        <f>IFERROR(__xludf.DUMMYFUNCTION("""COMPUTED_VALUE"""),"MP")</f>
        <v>MP</v>
      </c>
      <c r="C40" s="517">
        <f>IFERROR(__xludf.DUMMYFUNCTION("""COMPUTED_VALUE"""),37.0)</f>
        <v>37</v>
      </c>
      <c r="D40" s="517" t="str">
        <f>IFERROR(__xludf.DUMMYFUNCTION("""COMPUTED_VALUE""")," GK2MP")</f>
        <v> GK2MP</v>
      </c>
      <c r="E40" s="517" t="str">
        <f>IFERROR(__xludf.DUMMYFUNCTION("""COMPUTED_VALUE"""),"GA10219-GB")</f>
        <v>GA10219-GB</v>
      </c>
      <c r="F40" s="517" t="str">
        <f>IFERROR(__xludf.DUMMYFUNCTION("""COMPUTED_VALUE"""),"SKU, CLR4, BETTER, SUB6, UK/EU, FL5")</f>
        <v>SKU, CLR4, BETTER, SUB6, UK/EU, FL5</v>
      </c>
      <c r="G40" s="517" t="str">
        <f>IFERROR(__xludf.DUMMYFUNCTION("""COMPUTED_VALUE"""),"CLR4")</f>
        <v>CLR4</v>
      </c>
      <c r="H40" s="517" t="str">
        <f>IFERROR(__xludf.DUMMYFUNCTION("""COMPUTED_VALUE"""),"SUB6")</f>
        <v>SUB6</v>
      </c>
      <c r="I40" s="517" t="str">
        <f>IFERROR(__xludf.DUMMYFUNCTION("""COMPUTED_VALUE"""),"256GB")</f>
        <v>256GB</v>
      </c>
      <c r="J40" s="517" t="str">
        <f>IFERROR(__xludf.DUMMYFUNCTION("""COMPUTED_VALUE"""),"SKU, CLR4, BETTER, SUB6")</f>
        <v>SKU, CLR4, BETTER, SUB6</v>
      </c>
      <c r="K40" s="517" t="str">
        <f>IFERROR(__xludf.DUMMYFUNCTION("""COMPUTED_VALUE"""),"G950-15935-17")</f>
        <v>G950-15935-17</v>
      </c>
      <c r="L40" s="517" t="str">
        <f>IFERROR(__xludf.DUMMYFUNCTION("""COMPUTED_VALUE"""),"G710-07738-10")</f>
        <v>G710-07738-10</v>
      </c>
      <c r="M40" s="517" t="str">
        <f>IFERROR(__xludf.DUMMYFUNCTION("""COMPUTED_VALUE"""),"G710-07670-01")</f>
        <v>G710-07670-01</v>
      </c>
      <c r="N40" s="517" t="str">
        <f>IFERROR(__xludf.DUMMYFUNCTION("""COMPUTED_VALUE"""),"G730-09533-04")</f>
        <v>G730-09533-04</v>
      </c>
      <c r="O40" s="517" t="str">
        <f>IFERROR(__xludf.DUMMYFUNCTION("""COMPUTED_VALUE"""),"G710-07800-10")</f>
        <v>G710-07800-10</v>
      </c>
      <c r="P40" s="517" t="str">
        <f>IFERROR(__xludf.DUMMYFUNCTION("""COMPUTED_VALUE"""),"G650-17428-05")</f>
        <v>G650-17428-05</v>
      </c>
      <c r="Q40" s="517" t="str">
        <f>IFERROR(__xludf.DUMMYFUNCTION("""COMPUTED_VALUE"""),"G650-14694-05")</f>
        <v>G650-14694-05</v>
      </c>
      <c r="R40" s="517" t="str">
        <f>IFERROR(__xludf.DUMMYFUNCTION("""COMPUTED_VALUE"""),"G650-14850-03")</f>
        <v>G650-14850-03</v>
      </c>
      <c r="S40" s="517" t="str">
        <f>IFERROR(__xludf.DUMMYFUNCTION("""COMPUTED_VALUE"""),"Yes")</f>
        <v>Yes</v>
      </c>
      <c r="T40" s="517" t="str">
        <f>IFERROR(__xludf.DUMMYFUNCTION("""COMPUTED_VALUE"""),"Y")</f>
        <v>Y</v>
      </c>
      <c r="U40" s="517" t="str">
        <f>IFERROR(__xludf.DUMMYFUNCTION("""COMPUTED_VALUE"""),"Y")</f>
        <v>Y</v>
      </c>
      <c r="V40" s="517"/>
    </row>
    <row r="41">
      <c r="A41" s="445">
        <v>38.0</v>
      </c>
      <c r="B41" s="517" t="str">
        <f>IFERROR(__xludf.DUMMYFUNCTION("""COMPUTED_VALUE"""),"MP")</f>
        <v>MP</v>
      </c>
      <c r="C41" s="517">
        <f>IFERROR(__xludf.DUMMYFUNCTION("""COMPUTED_VALUE"""),38.0)</f>
        <v>38</v>
      </c>
      <c r="D41" s="517" t="str">
        <f>IFERROR(__xludf.DUMMYFUNCTION("""COMPUTED_VALUE""")," GK2MP")</f>
        <v> GK2MP</v>
      </c>
      <c r="E41" s="517" t="str">
        <f>IFERROR(__xludf.DUMMYFUNCTION("""COMPUTED_VALUE"""),"GA09883-IN")</f>
        <v>GA09883-IN</v>
      </c>
      <c r="F41" s="517" t="str">
        <f>IFERROR(__xludf.DUMMYFUNCTION("""COMPUTED_VALUE"""),"SKU, CLR1, BETTER, SUB6, IN, FL5")</f>
        <v>SKU, CLR1, BETTER, SUB6, IN, FL5</v>
      </c>
      <c r="G41" s="517" t="str">
        <f>IFERROR(__xludf.DUMMYFUNCTION("""COMPUTED_VALUE"""),"CLR1")</f>
        <v>CLR1</v>
      </c>
      <c r="H41" s="517" t="str">
        <f>IFERROR(__xludf.DUMMYFUNCTION("""COMPUTED_VALUE"""),"SUB6")</f>
        <v>SUB6</v>
      </c>
      <c r="I41" s="517" t="str">
        <f>IFERROR(__xludf.DUMMYFUNCTION("""COMPUTED_VALUE"""),"256GB")</f>
        <v>256GB</v>
      </c>
      <c r="J41" s="517" t="str">
        <f>IFERROR(__xludf.DUMMYFUNCTION("""COMPUTED_VALUE"""),"SKU, CLR1, BETTER, SUB6")</f>
        <v>SKU, CLR1, BETTER, SUB6</v>
      </c>
      <c r="K41" s="517" t="str">
        <f>IFERROR(__xludf.DUMMYFUNCTION("""COMPUTED_VALUE"""),"G950-15935-14")</f>
        <v>G950-15935-14</v>
      </c>
      <c r="L41" s="517" t="str">
        <f>IFERROR(__xludf.DUMMYFUNCTION("""COMPUTED_VALUE"""),"G710-07738-10")</f>
        <v>G710-07738-10</v>
      </c>
      <c r="M41" s="517" t="str">
        <f>IFERROR(__xludf.DUMMYFUNCTION("""COMPUTED_VALUE"""),"G710-07670-01")</f>
        <v>G710-07670-01</v>
      </c>
      <c r="N41" s="517" t="str">
        <f>IFERROR(__xludf.DUMMYFUNCTION("""COMPUTED_VALUE"""),"G730-09533-01")</f>
        <v>G730-09533-01</v>
      </c>
      <c r="O41" s="517" t="str">
        <f>IFERROR(__xludf.DUMMYFUNCTION("""COMPUTED_VALUE"""),"G710-07800-10")</f>
        <v>G710-07800-10</v>
      </c>
      <c r="P41" s="517" t="str">
        <f>IFERROR(__xludf.DUMMYFUNCTION("""COMPUTED_VALUE"""),"G650-17428-05")</f>
        <v>G650-17428-05</v>
      </c>
      <c r="Q41" s="517" t="str">
        <f>IFERROR(__xludf.DUMMYFUNCTION("""COMPUTED_VALUE"""),"G650-14694-05")</f>
        <v>G650-14694-05</v>
      </c>
      <c r="R41" s="517" t="str">
        <f>IFERROR(__xludf.DUMMYFUNCTION("""COMPUTED_VALUE"""),"G650-14850-03")</f>
        <v>G650-14850-03</v>
      </c>
      <c r="S41" s="517" t="str">
        <f>IFERROR(__xludf.DUMMYFUNCTION("""COMPUTED_VALUE"""),"No but has COO")</f>
        <v>No but has COO</v>
      </c>
      <c r="T41" s="517" t="str">
        <f>IFERROR(__xludf.DUMMYFUNCTION("""COMPUTED_VALUE"""),"Y")</f>
        <v>Y</v>
      </c>
      <c r="U41" s="517" t="str">
        <f>IFERROR(__xludf.DUMMYFUNCTION("""COMPUTED_VALUE"""),"Y")</f>
        <v>Y</v>
      </c>
      <c r="V41" s="517"/>
    </row>
    <row r="42">
      <c r="A42" s="445">
        <v>39.0</v>
      </c>
      <c r="B42" s="517" t="str">
        <f>IFERROR(__xludf.DUMMYFUNCTION("""COMPUTED_VALUE"""),"MP")</f>
        <v>MP</v>
      </c>
      <c r="C42" s="517">
        <f>IFERROR(__xludf.DUMMYFUNCTION("""COMPUTED_VALUE"""),39.0)</f>
        <v>39</v>
      </c>
      <c r="D42" s="517" t="str">
        <f>IFERROR(__xludf.DUMMYFUNCTION("""COMPUTED_VALUE""")," GK2MP")</f>
        <v> GK2MP</v>
      </c>
      <c r="E42" s="517" t="str">
        <f>IFERROR(__xludf.DUMMYFUNCTION("""COMPUTED_VALUE"""),"GA10217-IN")</f>
        <v>GA10217-IN</v>
      </c>
      <c r="F42" s="517" t="str">
        <f>IFERROR(__xludf.DUMMYFUNCTION("""COMPUTED_VALUE"""),"SKU, CLR2, BETTER, SUB6, IN, FL5")</f>
        <v>SKU, CLR2, BETTER, SUB6, IN, FL5</v>
      </c>
      <c r="G42" s="517" t="str">
        <f>IFERROR(__xludf.DUMMYFUNCTION("""COMPUTED_VALUE"""),"CLR2")</f>
        <v>CLR2</v>
      </c>
      <c r="H42" s="517" t="str">
        <f>IFERROR(__xludf.DUMMYFUNCTION("""COMPUTED_VALUE"""),"SUB6")</f>
        <v>SUB6</v>
      </c>
      <c r="I42" s="517" t="str">
        <f>IFERROR(__xludf.DUMMYFUNCTION("""COMPUTED_VALUE"""),"256GB")</f>
        <v>256GB</v>
      </c>
      <c r="J42" s="517" t="str">
        <f>IFERROR(__xludf.DUMMYFUNCTION("""COMPUTED_VALUE"""),"SKU, CLR2, BETTER, SUB6")</f>
        <v>SKU, CLR2, BETTER, SUB6</v>
      </c>
      <c r="K42" s="517" t="str">
        <f>IFERROR(__xludf.DUMMYFUNCTION("""COMPUTED_VALUE"""),"G950-15935-15")</f>
        <v>G950-15935-15</v>
      </c>
      <c r="L42" s="517" t="str">
        <f>IFERROR(__xludf.DUMMYFUNCTION("""COMPUTED_VALUE"""),"G710-07738-10")</f>
        <v>G710-07738-10</v>
      </c>
      <c r="M42" s="517" t="str">
        <f>IFERROR(__xludf.DUMMYFUNCTION("""COMPUTED_VALUE"""),"G710-07670-01")</f>
        <v>G710-07670-01</v>
      </c>
      <c r="N42" s="517" t="str">
        <f>IFERROR(__xludf.DUMMYFUNCTION("""COMPUTED_VALUE"""),"G730-09533-02")</f>
        <v>G730-09533-02</v>
      </c>
      <c r="O42" s="517" t="str">
        <f>IFERROR(__xludf.DUMMYFUNCTION("""COMPUTED_VALUE"""),"G710-07800-10")</f>
        <v>G710-07800-10</v>
      </c>
      <c r="P42" s="517" t="str">
        <f>IFERROR(__xludf.DUMMYFUNCTION("""COMPUTED_VALUE"""),"G650-17428-05")</f>
        <v>G650-17428-05</v>
      </c>
      <c r="Q42" s="517" t="str">
        <f>IFERROR(__xludf.DUMMYFUNCTION("""COMPUTED_VALUE"""),"G650-14694-05")</f>
        <v>G650-14694-05</v>
      </c>
      <c r="R42" s="517" t="str">
        <f>IFERROR(__xludf.DUMMYFUNCTION("""COMPUTED_VALUE"""),"G650-14850-03")</f>
        <v>G650-14850-03</v>
      </c>
      <c r="S42" s="517" t="str">
        <f>IFERROR(__xludf.DUMMYFUNCTION("""COMPUTED_VALUE"""),"No but has COO")</f>
        <v>No but has COO</v>
      </c>
      <c r="T42" s="517" t="str">
        <f>IFERROR(__xludf.DUMMYFUNCTION("""COMPUTED_VALUE"""),"Y")</f>
        <v>Y</v>
      </c>
      <c r="U42" s="517" t="str">
        <f>IFERROR(__xludf.DUMMYFUNCTION("""COMPUTED_VALUE"""),"Y")</f>
        <v>Y</v>
      </c>
      <c r="V42" s="517"/>
    </row>
    <row r="43">
      <c r="A43" s="445">
        <v>40.0</v>
      </c>
      <c r="B43" s="517" t="str">
        <f>IFERROR(__xludf.DUMMYFUNCTION("""COMPUTED_VALUE"""),"MP")</f>
        <v>MP</v>
      </c>
      <c r="C43" s="517">
        <f>IFERROR(__xludf.DUMMYFUNCTION("""COMPUTED_VALUE"""),40.0)</f>
        <v>40</v>
      </c>
      <c r="D43" s="517" t="str">
        <f>IFERROR(__xludf.DUMMYFUNCTION("""COMPUTED_VALUE""")," GK2MP")</f>
        <v> GK2MP</v>
      </c>
      <c r="E43" s="517" t="str">
        <f>IFERROR(__xludf.DUMMYFUNCTION("""COMPUTED_VALUE"""),"GA10218-IN")</f>
        <v>GA10218-IN</v>
      </c>
      <c r="F43" s="517" t="str">
        <f>IFERROR(__xludf.DUMMYFUNCTION("""COMPUTED_VALUE"""),"SKU, CLR3, BETTER, SUB6, IN, FL5")</f>
        <v>SKU, CLR3, BETTER, SUB6, IN, FL5</v>
      </c>
      <c r="G43" s="517" t="str">
        <f>IFERROR(__xludf.DUMMYFUNCTION("""COMPUTED_VALUE"""),"CLR3")</f>
        <v>CLR3</v>
      </c>
      <c r="H43" s="517" t="str">
        <f>IFERROR(__xludf.DUMMYFUNCTION("""COMPUTED_VALUE"""),"SUB6")</f>
        <v>SUB6</v>
      </c>
      <c r="I43" s="517" t="str">
        <f>IFERROR(__xludf.DUMMYFUNCTION("""COMPUTED_VALUE"""),"256GB")</f>
        <v>256GB</v>
      </c>
      <c r="J43" s="517" t="str">
        <f>IFERROR(__xludf.DUMMYFUNCTION("""COMPUTED_VALUE"""),"SKU, CLR3, BETTER, SUB6")</f>
        <v>SKU, CLR3, BETTER, SUB6</v>
      </c>
      <c r="K43" s="517" t="str">
        <f>IFERROR(__xludf.DUMMYFUNCTION("""COMPUTED_VALUE"""),"G950-15935-16")</f>
        <v>G950-15935-16</v>
      </c>
      <c r="L43" s="517" t="str">
        <f>IFERROR(__xludf.DUMMYFUNCTION("""COMPUTED_VALUE"""),"G710-07738-10")</f>
        <v>G710-07738-10</v>
      </c>
      <c r="M43" s="517" t="str">
        <f>IFERROR(__xludf.DUMMYFUNCTION("""COMPUTED_VALUE"""),"G710-07670-01")</f>
        <v>G710-07670-01</v>
      </c>
      <c r="N43" s="517" t="str">
        <f>IFERROR(__xludf.DUMMYFUNCTION("""COMPUTED_VALUE"""),"G730-09533-03")</f>
        <v>G730-09533-03</v>
      </c>
      <c r="O43" s="517" t="str">
        <f>IFERROR(__xludf.DUMMYFUNCTION("""COMPUTED_VALUE"""),"G710-07800-10")</f>
        <v>G710-07800-10</v>
      </c>
      <c r="P43" s="517" t="str">
        <f>IFERROR(__xludf.DUMMYFUNCTION("""COMPUTED_VALUE"""),"G650-17428-05")</f>
        <v>G650-17428-05</v>
      </c>
      <c r="Q43" s="517" t="str">
        <f>IFERROR(__xludf.DUMMYFUNCTION("""COMPUTED_VALUE"""),"G650-14694-05")</f>
        <v>G650-14694-05</v>
      </c>
      <c r="R43" s="517" t="str">
        <f>IFERROR(__xludf.DUMMYFUNCTION("""COMPUTED_VALUE"""),"G650-14850-03")</f>
        <v>G650-14850-03</v>
      </c>
      <c r="S43" s="517" t="str">
        <f>IFERROR(__xludf.DUMMYFUNCTION("""COMPUTED_VALUE"""),"No but has COO")</f>
        <v>No but has COO</v>
      </c>
      <c r="T43" s="517" t="str">
        <f>IFERROR(__xludf.DUMMYFUNCTION("""COMPUTED_VALUE"""),"Y")</f>
        <v>Y</v>
      </c>
      <c r="U43" s="517" t="str">
        <f>IFERROR(__xludf.DUMMYFUNCTION("""COMPUTED_VALUE"""),"Y")</f>
        <v>Y</v>
      </c>
      <c r="V43" s="517"/>
    </row>
    <row r="44">
      <c r="A44" s="445">
        <v>41.0</v>
      </c>
      <c r="B44" s="517" t="str">
        <f>IFERROR(__xludf.DUMMYFUNCTION("""COMPUTED_VALUE"""),"MP")</f>
        <v>MP</v>
      </c>
      <c r="C44" s="517">
        <f>IFERROR(__xludf.DUMMYFUNCTION("""COMPUTED_VALUE"""),41.0)</f>
        <v>41</v>
      </c>
      <c r="D44" s="517" t="str">
        <f>IFERROR(__xludf.DUMMYFUNCTION("""COMPUTED_VALUE""")," GK2MP")</f>
        <v> GK2MP</v>
      </c>
      <c r="E44" s="517" t="str">
        <f>IFERROR(__xludf.DUMMYFUNCTION("""COMPUTED_VALUE"""),"GA10219-IN")</f>
        <v>GA10219-IN</v>
      </c>
      <c r="F44" s="517" t="str">
        <f>IFERROR(__xludf.DUMMYFUNCTION("""COMPUTED_VALUE"""),"SKU, CLR4, BETTER, SUB6, IN, FL5")</f>
        <v>SKU, CLR4, BETTER, SUB6, IN, FL5</v>
      </c>
      <c r="G44" s="517" t="str">
        <f>IFERROR(__xludf.DUMMYFUNCTION("""COMPUTED_VALUE"""),"CLR4")</f>
        <v>CLR4</v>
      </c>
      <c r="H44" s="517" t="str">
        <f>IFERROR(__xludf.DUMMYFUNCTION("""COMPUTED_VALUE"""),"SUB6")</f>
        <v>SUB6</v>
      </c>
      <c r="I44" s="517" t="str">
        <f>IFERROR(__xludf.DUMMYFUNCTION("""COMPUTED_VALUE"""),"256GB")</f>
        <v>256GB</v>
      </c>
      <c r="J44" s="517" t="str">
        <f>IFERROR(__xludf.DUMMYFUNCTION("""COMPUTED_VALUE"""),"SKU, CLR4, BETTER, SUB6")</f>
        <v>SKU, CLR4, BETTER, SUB6</v>
      </c>
      <c r="K44" s="517" t="str">
        <f>IFERROR(__xludf.DUMMYFUNCTION("""COMPUTED_VALUE"""),"G950-15935-17")</f>
        <v>G950-15935-17</v>
      </c>
      <c r="L44" s="517" t="str">
        <f>IFERROR(__xludf.DUMMYFUNCTION("""COMPUTED_VALUE"""),"G710-07738-10")</f>
        <v>G710-07738-10</v>
      </c>
      <c r="M44" s="517" t="str">
        <f>IFERROR(__xludf.DUMMYFUNCTION("""COMPUTED_VALUE"""),"G710-07670-01")</f>
        <v>G710-07670-01</v>
      </c>
      <c r="N44" s="517" t="str">
        <f>IFERROR(__xludf.DUMMYFUNCTION("""COMPUTED_VALUE"""),"G730-09533-04")</f>
        <v>G730-09533-04</v>
      </c>
      <c r="O44" s="517" t="str">
        <f>IFERROR(__xludf.DUMMYFUNCTION("""COMPUTED_VALUE"""),"G710-07800-10")</f>
        <v>G710-07800-10</v>
      </c>
      <c r="P44" s="517" t="str">
        <f>IFERROR(__xludf.DUMMYFUNCTION("""COMPUTED_VALUE"""),"G650-17428-05")</f>
        <v>G650-17428-05</v>
      </c>
      <c r="Q44" s="517" t="str">
        <f>IFERROR(__xludf.DUMMYFUNCTION("""COMPUTED_VALUE"""),"G650-14694-05")</f>
        <v>G650-14694-05</v>
      </c>
      <c r="R44" s="517" t="str">
        <f>IFERROR(__xludf.DUMMYFUNCTION("""COMPUTED_VALUE"""),"G650-14850-03")</f>
        <v>G650-14850-03</v>
      </c>
      <c r="S44" s="517" t="str">
        <f>IFERROR(__xludf.DUMMYFUNCTION("""COMPUTED_VALUE"""),"No but has COO")</f>
        <v>No but has COO</v>
      </c>
      <c r="T44" s="517" t="str">
        <f>IFERROR(__xludf.DUMMYFUNCTION("""COMPUTED_VALUE"""),"Y")</f>
        <v>Y</v>
      </c>
      <c r="U44" s="517" t="str">
        <f>IFERROR(__xludf.DUMMYFUNCTION("""COMPUTED_VALUE"""),"Y")</f>
        <v>Y</v>
      </c>
      <c r="V44" s="517"/>
    </row>
    <row r="45">
      <c r="A45" s="445">
        <v>42.0</v>
      </c>
      <c r="B45" s="517" t="str">
        <f>IFERROR(__xludf.DUMMYFUNCTION("""COMPUTED_VALUE"""),"MP")</f>
        <v>MP</v>
      </c>
      <c r="C45" s="517">
        <f>IFERROR(__xludf.DUMMYFUNCTION("""COMPUTED_VALUE"""),42.0)</f>
        <v>42</v>
      </c>
      <c r="D45" s="517" t="str">
        <f>IFERROR(__xludf.DUMMYFUNCTION("""COMPUTED_VALUE"""),"GL066")</f>
        <v>GL066</v>
      </c>
      <c r="E45" s="517" t="str">
        <f>IFERROR(__xludf.DUMMYFUNCTION("""COMPUTED_VALUE"""),"GA09744-JP")</f>
        <v>GA09744-JP</v>
      </c>
      <c r="F45" s="517" t="str">
        <f>IFERROR(__xludf.DUMMYFUNCTION("""COMPUTED_VALUE"""),"SKU, CLR1, GOOD, SUB6, JP, FL5")</f>
        <v>SKU, CLR1, GOOD, SUB6, JP, FL5</v>
      </c>
      <c r="G45" s="517" t="str">
        <f>IFERROR(__xludf.DUMMYFUNCTION("""COMPUTED_VALUE"""),"CLR1")</f>
        <v>CLR1</v>
      </c>
      <c r="H45" s="517" t="str">
        <f>IFERROR(__xludf.DUMMYFUNCTION("""COMPUTED_VALUE"""),"SUB6")</f>
        <v>SUB6</v>
      </c>
      <c r="I45" s="517" t="str">
        <f>IFERROR(__xludf.DUMMYFUNCTION("""COMPUTED_VALUE"""),"128GB")</f>
        <v>128GB</v>
      </c>
      <c r="J45" s="517" t="str">
        <f>IFERROR(__xludf.DUMMYFUNCTION("""COMPUTED_VALUE"""),"SKU, CLR1, GOOD, SUB6")</f>
        <v>SKU, CLR1, GOOD, SUB6</v>
      </c>
      <c r="K45" s="517" t="str">
        <f>IFERROR(__xludf.DUMMYFUNCTION("""COMPUTED_VALUE"""),"G950-15935-10")</f>
        <v>G950-15935-10</v>
      </c>
      <c r="L45" s="517" t="str">
        <f>IFERROR(__xludf.DUMMYFUNCTION("""COMPUTED_VALUE"""),"G710-07738-10")</f>
        <v>G710-07738-10</v>
      </c>
      <c r="M45" s="517" t="str">
        <f>IFERROR(__xludf.DUMMYFUNCTION("""COMPUTED_VALUE"""),"G710-07670-01")</f>
        <v>G710-07670-01</v>
      </c>
      <c r="N45" s="517" t="str">
        <f>IFERROR(__xludf.DUMMYFUNCTION("""COMPUTED_VALUE"""),"G730-09533-01")</f>
        <v>G730-09533-01</v>
      </c>
      <c r="O45" s="517" t="str">
        <f>IFERROR(__xludf.DUMMYFUNCTION("""COMPUTED_VALUE"""),"G710-07800-00")</f>
        <v>G710-07800-00</v>
      </c>
      <c r="P45" s="517" t="str">
        <f>IFERROR(__xludf.DUMMYFUNCTION("""COMPUTED_VALUE"""),"G650-14657-05")</f>
        <v>G650-14657-05</v>
      </c>
      <c r="Q45" s="517" t="str">
        <f>IFERROR(__xludf.DUMMYFUNCTION("""COMPUTED_VALUE"""),"G650-14694-05")</f>
        <v>G650-14694-05</v>
      </c>
      <c r="R45" s="517" t="str">
        <f>IFERROR(__xludf.DUMMYFUNCTION("""COMPUTED_VALUE"""),"G650-14850-03")</f>
        <v>G650-14850-03</v>
      </c>
      <c r="S45" s="517" t="str">
        <f>IFERROR(__xludf.DUMMYFUNCTION("""COMPUTED_VALUE"""),"No")</f>
        <v>No</v>
      </c>
      <c r="T45" s="517" t="str">
        <f>IFERROR(__xludf.DUMMYFUNCTION("""COMPUTED_VALUE"""),"Y")</f>
        <v>Y</v>
      </c>
      <c r="U45" s="517" t="str">
        <f>IFERROR(__xludf.DUMMYFUNCTION("""COMPUTED_VALUE"""),"Y")</f>
        <v>Y</v>
      </c>
      <c r="V45" s="517"/>
    </row>
    <row r="46">
      <c r="A46" s="445">
        <v>43.0</v>
      </c>
      <c r="B46" s="517" t="str">
        <f>IFERROR(__xludf.DUMMYFUNCTION("""COMPUTED_VALUE"""),"MP")</f>
        <v>MP</v>
      </c>
      <c r="C46" s="517">
        <f>IFERROR(__xludf.DUMMYFUNCTION("""COMPUTED_VALUE"""),43.0)</f>
        <v>43</v>
      </c>
      <c r="D46" s="517" t="str">
        <f>IFERROR(__xludf.DUMMYFUNCTION("""COMPUTED_VALUE"""),"GL066")</f>
        <v>GL066</v>
      </c>
      <c r="E46" s="517" t="str">
        <f>IFERROR(__xludf.DUMMYFUNCTION("""COMPUTED_VALUE"""),"GA10214-JP")</f>
        <v>GA10214-JP</v>
      </c>
      <c r="F46" s="517" t="str">
        <f>IFERROR(__xludf.DUMMYFUNCTION("""COMPUTED_VALUE"""),"SKU, CLR2, GOOD, SUB6, JP, FL5")</f>
        <v>SKU, CLR2, GOOD, SUB6, JP, FL5</v>
      </c>
      <c r="G46" s="517" t="str">
        <f>IFERROR(__xludf.DUMMYFUNCTION("""COMPUTED_VALUE"""),"CLR2")</f>
        <v>CLR2</v>
      </c>
      <c r="H46" s="517" t="str">
        <f>IFERROR(__xludf.DUMMYFUNCTION("""COMPUTED_VALUE"""),"SUB6")</f>
        <v>SUB6</v>
      </c>
      <c r="I46" s="517" t="str">
        <f>IFERROR(__xludf.DUMMYFUNCTION("""COMPUTED_VALUE"""),"128GB")</f>
        <v>128GB</v>
      </c>
      <c r="J46" s="517" t="str">
        <f>IFERROR(__xludf.DUMMYFUNCTION("""COMPUTED_VALUE"""),"SKU, CLR2, GOOD, SUB6")</f>
        <v>SKU, CLR2, GOOD, SUB6</v>
      </c>
      <c r="K46" s="517" t="str">
        <f>IFERROR(__xludf.DUMMYFUNCTION("""COMPUTED_VALUE"""),"G950-15935-11")</f>
        <v>G950-15935-11</v>
      </c>
      <c r="L46" s="517" t="str">
        <f>IFERROR(__xludf.DUMMYFUNCTION("""COMPUTED_VALUE"""),"G710-07738-10")</f>
        <v>G710-07738-10</v>
      </c>
      <c r="M46" s="517" t="str">
        <f>IFERROR(__xludf.DUMMYFUNCTION("""COMPUTED_VALUE"""),"G710-07670-01")</f>
        <v>G710-07670-01</v>
      </c>
      <c r="N46" s="517" t="str">
        <f>IFERROR(__xludf.DUMMYFUNCTION("""COMPUTED_VALUE"""),"G730-09533-02")</f>
        <v>G730-09533-02</v>
      </c>
      <c r="O46" s="517" t="str">
        <f>IFERROR(__xludf.DUMMYFUNCTION("""COMPUTED_VALUE"""),"G710-07800-00")</f>
        <v>G710-07800-00</v>
      </c>
      <c r="P46" s="517" t="str">
        <f>IFERROR(__xludf.DUMMYFUNCTION("""COMPUTED_VALUE"""),"G650-14657-05")</f>
        <v>G650-14657-05</v>
      </c>
      <c r="Q46" s="517" t="str">
        <f>IFERROR(__xludf.DUMMYFUNCTION("""COMPUTED_VALUE"""),"G650-14694-05")</f>
        <v>G650-14694-05</v>
      </c>
      <c r="R46" s="517" t="str">
        <f>IFERROR(__xludf.DUMMYFUNCTION("""COMPUTED_VALUE"""),"G650-14850-03")</f>
        <v>G650-14850-03</v>
      </c>
      <c r="S46" s="517" t="str">
        <f>IFERROR(__xludf.DUMMYFUNCTION("""COMPUTED_VALUE"""),"No")</f>
        <v>No</v>
      </c>
      <c r="T46" s="517" t="str">
        <f>IFERROR(__xludf.DUMMYFUNCTION("""COMPUTED_VALUE"""),"Y")</f>
        <v>Y</v>
      </c>
      <c r="U46" s="517" t="str">
        <f>IFERROR(__xludf.DUMMYFUNCTION("""COMPUTED_VALUE"""),"Y")</f>
        <v>Y</v>
      </c>
      <c r="V46" s="517"/>
    </row>
    <row r="47">
      <c r="A47" s="445">
        <v>44.0</v>
      </c>
      <c r="B47" s="517" t="str">
        <f>IFERROR(__xludf.DUMMYFUNCTION("""COMPUTED_VALUE"""),"MP")</f>
        <v>MP</v>
      </c>
      <c r="C47" s="517">
        <f>IFERROR(__xludf.DUMMYFUNCTION("""COMPUTED_VALUE"""),44.0)</f>
        <v>44</v>
      </c>
      <c r="D47" s="517" t="str">
        <f>IFERROR(__xludf.DUMMYFUNCTION("""COMPUTED_VALUE"""),"GL066")</f>
        <v>GL066</v>
      </c>
      <c r="E47" s="517" t="str">
        <f>IFERROR(__xludf.DUMMYFUNCTION("""COMPUTED_VALUE"""),"GA10215-JP")</f>
        <v>GA10215-JP</v>
      </c>
      <c r="F47" s="517" t="str">
        <f>IFERROR(__xludf.DUMMYFUNCTION("""COMPUTED_VALUE"""),"SKU, CLR3, GOOD, SUB6, JP, FL5")</f>
        <v>SKU, CLR3, GOOD, SUB6, JP, FL5</v>
      </c>
      <c r="G47" s="517" t="str">
        <f>IFERROR(__xludf.DUMMYFUNCTION("""COMPUTED_VALUE"""),"CLR3")</f>
        <v>CLR3</v>
      </c>
      <c r="H47" s="517" t="str">
        <f>IFERROR(__xludf.DUMMYFUNCTION("""COMPUTED_VALUE"""),"SUB6")</f>
        <v>SUB6</v>
      </c>
      <c r="I47" s="517" t="str">
        <f>IFERROR(__xludf.DUMMYFUNCTION("""COMPUTED_VALUE"""),"128GB")</f>
        <v>128GB</v>
      </c>
      <c r="J47" s="517" t="str">
        <f>IFERROR(__xludf.DUMMYFUNCTION("""COMPUTED_VALUE"""),"SKU, CLR3, GOOD, SUB6")</f>
        <v>SKU, CLR3, GOOD, SUB6</v>
      </c>
      <c r="K47" s="517" t="str">
        <f>IFERROR(__xludf.DUMMYFUNCTION("""COMPUTED_VALUE"""),"G950-15935-12")</f>
        <v>G950-15935-12</v>
      </c>
      <c r="L47" s="517" t="str">
        <f>IFERROR(__xludf.DUMMYFUNCTION("""COMPUTED_VALUE"""),"G710-07738-10")</f>
        <v>G710-07738-10</v>
      </c>
      <c r="M47" s="517" t="str">
        <f>IFERROR(__xludf.DUMMYFUNCTION("""COMPUTED_VALUE"""),"G710-07670-01")</f>
        <v>G710-07670-01</v>
      </c>
      <c r="N47" s="517" t="str">
        <f>IFERROR(__xludf.DUMMYFUNCTION("""COMPUTED_VALUE"""),"G730-09533-03")</f>
        <v>G730-09533-03</v>
      </c>
      <c r="O47" s="517" t="str">
        <f>IFERROR(__xludf.DUMMYFUNCTION("""COMPUTED_VALUE"""),"G710-07800-00")</f>
        <v>G710-07800-00</v>
      </c>
      <c r="P47" s="517" t="str">
        <f>IFERROR(__xludf.DUMMYFUNCTION("""COMPUTED_VALUE"""),"G650-14657-05")</f>
        <v>G650-14657-05</v>
      </c>
      <c r="Q47" s="517" t="str">
        <f>IFERROR(__xludf.DUMMYFUNCTION("""COMPUTED_VALUE"""),"G650-14694-05")</f>
        <v>G650-14694-05</v>
      </c>
      <c r="R47" s="517" t="str">
        <f>IFERROR(__xludf.DUMMYFUNCTION("""COMPUTED_VALUE"""),"G650-14850-03")</f>
        <v>G650-14850-03</v>
      </c>
      <c r="S47" s="517" t="str">
        <f>IFERROR(__xludf.DUMMYFUNCTION("""COMPUTED_VALUE"""),"No")</f>
        <v>No</v>
      </c>
      <c r="T47" s="517" t="str">
        <f>IFERROR(__xludf.DUMMYFUNCTION("""COMPUTED_VALUE"""),"Y")</f>
        <v>Y</v>
      </c>
      <c r="U47" s="517" t="str">
        <f>IFERROR(__xludf.DUMMYFUNCTION("""COMPUTED_VALUE"""),"Y")</f>
        <v>Y</v>
      </c>
      <c r="V47" s="517"/>
    </row>
    <row r="48">
      <c r="A48" s="445">
        <v>45.0</v>
      </c>
      <c r="B48" s="517" t="str">
        <f>IFERROR(__xludf.DUMMYFUNCTION("""COMPUTED_VALUE"""),"MP")</f>
        <v>MP</v>
      </c>
      <c r="C48" s="517">
        <f>IFERROR(__xludf.DUMMYFUNCTION("""COMPUTED_VALUE"""),45.0)</f>
        <v>45</v>
      </c>
      <c r="D48" s="517" t="str">
        <f>IFERROR(__xludf.DUMMYFUNCTION("""COMPUTED_VALUE"""),"GL066")</f>
        <v>GL066</v>
      </c>
      <c r="E48" s="517" t="str">
        <f>IFERROR(__xludf.DUMMYFUNCTION("""COMPUTED_VALUE"""),"GA10216-JP")</f>
        <v>GA10216-JP</v>
      </c>
      <c r="F48" s="517" t="str">
        <f>IFERROR(__xludf.DUMMYFUNCTION("""COMPUTED_VALUE"""),"SKU, CLR4, GOOD, SUB6, JP, FL5")</f>
        <v>SKU, CLR4, GOOD, SUB6, JP, FL5</v>
      </c>
      <c r="G48" s="517" t="str">
        <f>IFERROR(__xludf.DUMMYFUNCTION("""COMPUTED_VALUE"""),"CLR4")</f>
        <v>CLR4</v>
      </c>
      <c r="H48" s="517" t="str">
        <f>IFERROR(__xludf.DUMMYFUNCTION("""COMPUTED_VALUE"""),"SUB6")</f>
        <v>SUB6</v>
      </c>
      <c r="I48" s="517" t="str">
        <f>IFERROR(__xludf.DUMMYFUNCTION("""COMPUTED_VALUE"""),"128GB")</f>
        <v>128GB</v>
      </c>
      <c r="J48" s="517" t="str">
        <f>IFERROR(__xludf.DUMMYFUNCTION("""COMPUTED_VALUE"""),"SKU, CLR4, GOOD, SUB6")</f>
        <v>SKU, CLR4, GOOD, SUB6</v>
      </c>
      <c r="K48" s="517" t="str">
        <f>IFERROR(__xludf.DUMMYFUNCTION("""COMPUTED_VALUE"""),"G950-15935-13")</f>
        <v>G950-15935-13</v>
      </c>
      <c r="L48" s="517" t="str">
        <f>IFERROR(__xludf.DUMMYFUNCTION("""COMPUTED_VALUE"""),"G710-07738-10")</f>
        <v>G710-07738-10</v>
      </c>
      <c r="M48" s="517" t="str">
        <f>IFERROR(__xludf.DUMMYFUNCTION("""COMPUTED_VALUE"""),"G710-07670-01")</f>
        <v>G710-07670-01</v>
      </c>
      <c r="N48" s="517" t="str">
        <f>IFERROR(__xludf.DUMMYFUNCTION("""COMPUTED_VALUE"""),"G730-09533-04")</f>
        <v>G730-09533-04</v>
      </c>
      <c r="O48" s="517" t="str">
        <f>IFERROR(__xludf.DUMMYFUNCTION("""COMPUTED_VALUE"""),"G710-07800-00")</f>
        <v>G710-07800-00</v>
      </c>
      <c r="P48" s="517" t="str">
        <f>IFERROR(__xludf.DUMMYFUNCTION("""COMPUTED_VALUE"""),"G650-14657-05")</f>
        <v>G650-14657-05</v>
      </c>
      <c r="Q48" s="517" t="str">
        <f>IFERROR(__xludf.DUMMYFUNCTION("""COMPUTED_VALUE"""),"G650-14694-05")</f>
        <v>G650-14694-05</v>
      </c>
      <c r="R48" s="517" t="str">
        <f>IFERROR(__xludf.DUMMYFUNCTION("""COMPUTED_VALUE"""),"G650-14850-03")</f>
        <v>G650-14850-03</v>
      </c>
      <c r="S48" s="517" t="str">
        <f>IFERROR(__xludf.DUMMYFUNCTION("""COMPUTED_VALUE"""),"No")</f>
        <v>No</v>
      </c>
      <c r="T48" s="517" t="str">
        <f>IFERROR(__xludf.DUMMYFUNCTION("""COMPUTED_VALUE"""),"Y")</f>
        <v>Y</v>
      </c>
      <c r="U48" s="517" t="str">
        <f>IFERROR(__xludf.DUMMYFUNCTION("""COMPUTED_VALUE"""),"Y")</f>
        <v>Y</v>
      </c>
      <c r="V48" s="517"/>
    </row>
    <row r="49">
      <c r="A49" s="445">
        <v>46.0</v>
      </c>
      <c r="B49" s="517" t="str">
        <f>IFERROR(__xludf.DUMMYFUNCTION("""COMPUTED_VALUE"""),"MP")</f>
        <v>MP</v>
      </c>
      <c r="C49" s="517">
        <f>IFERROR(__xludf.DUMMYFUNCTION("""COMPUTED_VALUE"""),46.0)</f>
        <v>46</v>
      </c>
      <c r="D49" s="517" t="str">
        <f>IFERROR(__xludf.DUMMYFUNCTION("""COMPUTED_VALUE"""),"GL066")</f>
        <v>GL066</v>
      </c>
      <c r="E49" s="517" t="str">
        <f>IFERROR(__xludf.DUMMYFUNCTION("""COMPUTED_VALUE"""),"GA09883-JP")</f>
        <v>GA09883-JP</v>
      </c>
      <c r="F49" s="517" t="str">
        <f>IFERROR(__xludf.DUMMYFUNCTION("""COMPUTED_VALUE"""),"SKU, CLR1, BETTER, SUB6, JP")</f>
        <v>SKU, CLR1, BETTER, SUB6, JP</v>
      </c>
      <c r="G49" s="517" t="str">
        <f>IFERROR(__xludf.DUMMYFUNCTION("""COMPUTED_VALUE"""),"CLR1")</f>
        <v>CLR1</v>
      </c>
      <c r="H49" s="517" t="str">
        <f>IFERROR(__xludf.DUMMYFUNCTION("""COMPUTED_VALUE"""),"SUB6")</f>
        <v>SUB6</v>
      </c>
      <c r="I49" s="517" t="str">
        <f>IFERROR(__xludf.DUMMYFUNCTION("""COMPUTED_VALUE"""),"256GB")</f>
        <v>256GB</v>
      </c>
      <c r="J49" s="517" t="str">
        <f>IFERROR(__xludf.DUMMYFUNCTION("""COMPUTED_VALUE"""),"SKU, CLR1, BETTER, SUB6")</f>
        <v>SKU, CLR1, BETTER, SUB6</v>
      </c>
      <c r="K49" s="517" t="str">
        <f>IFERROR(__xludf.DUMMYFUNCTION("""COMPUTED_VALUE"""),"G950-15935-14")</f>
        <v>G950-15935-14</v>
      </c>
      <c r="L49" s="517" t="str">
        <f>IFERROR(__xludf.DUMMYFUNCTION("""COMPUTED_VALUE"""),"G710-07738-10")</f>
        <v>G710-07738-10</v>
      </c>
      <c r="M49" s="517" t="str">
        <f>IFERROR(__xludf.DUMMYFUNCTION("""COMPUTED_VALUE"""),"G710-07670-01")</f>
        <v>G710-07670-01</v>
      </c>
      <c r="N49" s="517" t="str">
        <f>IFERROR(__xludf.DUMMYFUNCTION("""COMPUTED_VALUE"""),"G730-09533-01")</f>
        <v>G730-09533-01</v>
      </c>
      <c r="O49" s="517" t="str">
        <f>IFERROR(__xludf.DUMMYFUNCTION("""COMPUTED_VALUE"""),"G710-07800-10")</f>
        <v>G710-07800-10</v>
      </c>
      <c r="P49" s="517" t="str">
        <f>IFERROR(__xludf.DUMMYFUNCTION("""COMPUTED_VALUE"""),"G650-17428-05")</f>
        <v>G650-17428-05</v>
      </c>
      <c r="Q49" s="517" t="str">
        <f>IFERROR(__xludf.DUMMYFUNCTION("""COMPUTED_VALUE"""),"G650-14694-05")</f>
        <v>G650-14694-05</v>
      </c>
      <c r="R49" s="517" t="str">
        <f>IFERROR(__xludf.DUMMYFUNCTION("""COMPUTED_VALUE"""),"G650-14850-03")</f>
        <v>G650-14850-03</v>
      </c>
      <c r="S49" s="517" t="str">
        <f>IFERROR(__xludf.DUMMYFUNCTION("""COMPUTED_VALUE"""),"No")</f>
        <v>No</v>
      </c>
      <c r="T49" s="517" t="str">
        <f>IFERROR(__xludf.DUMMYFUNCTION("""COMPUTED_VALUE"""),"Y")</f>
        <v>Y</v>
      </c>
      <c r="U49" s="517" t="str">
        <f>IFERROR(__xludf.DUMMYFUNCTION("""COMPUTED_VALUE"""),"Y")</f>
        <v>Y</v>
      </c>
      <c r="V49" s="517"/>
    </row>
    <row r="50">
      <c r="A50" s="445">
        <v>47.0</v>
      </c>
      <c r="B50" s="517" t="str">
        <f>IFERROR(__xludf.DUMMYFUNCTION("""COMPUTED_VALUE"""),"MP")</f>
        <v>MP</v>
      </c>
      <c r="C50" s="517">
        <f>IFERROR(__xludf.DUMMYFUNCTION("""COMPUTED_VALUE"""),47.0)</f>
        <v>47</v>
      </c>
      <c r="D50" s="517" t="str">
        <f>IFERROR(__xludf.DUMMYFUNCTION("""COMPUTED_VALUE"""),"GL066")</f>
        <v>GL066</v>
      </c>
      <c r="E50" s="517" t="str">
        <f>IFERROR(__xludf.DUMMYFUNCTION("""COMPUTED_VALUE"""),"GA10217-JP")</f>
        <v>GA10217-JP</v>
      </c>
      <c r="F50" s="517" t="str">
        <f>IFERROR(__xludf.DUMMYFUNCTION("""COMPUTED_VALUE"""),"SKU, CLR2, BETTER, SUB6, JP")</f>
        <v>SKU, CLR2, BETTER, SUB6, JP</v>
      </c>
      <c r="G50" s="517" t="str">
        <f>IFERROR(__xludf.DUMMYFUNCTION("""COMPUTED_VALUE"""),"CLR2")</f>
        <v>CLR2</v>
      </c>
      <c r="H50" s="517" t="str">
        <f>IFERROR(__xludf.DUMMYFUNCTION("""COMPUTED_VALUE"""),"SUB6")</f>
        <v>SUB6</v>
      </c>
      <c r="I50" s="517" t="str">
        <f>IFERROR(__xludf.DUMMYFUNCTION("""COMPUTED_VALUE"""),"256GB")</f>
        <v>256GB</v>
      </c>
      <c r="J50" s="517" t="str">
        <f>IFERROR(__xludf.DUMMYFUNCTION("""COMPUTED_VALUE"""),"SKU, CLR2, BETTER, SUB6")</f>
        <v>SKU, CLR2, BETTER, SUB6</v>
      </c>
      <c r="K50" s="517" t="str">
        <f>IFERROR(__xludf.DUMMYFUNCTION("""COMPUTED_VALUE"""),"G950-15935-15")</f>
        <v>G950-15935-15</v>
      </c>
      <c r="L50" s="517" t="str">
        <f>IFERROR(__xludf.DUMMYFUNCTION("""COMPUTED_VALUE"""),"G710-07738-10")</f>
        <v>G710-07738-10</v>
      </c>
      <c r="M50" s="517" t="str">
        <f>IFERROR(__xludf.DUMMYFUNCTION("""COMPUTED_VALUE"""),"G710-07670-01")</f>
        <v>G710-07670-01</v>
      </c>
      <c r="N50" s="517" t="str">
        <f>IFERROR(__xludf.DUMMYFUNCTION("""COMPUTED_VALUE"""),"G730-09533-02")</f>
        <v>G730-09533-02</v>
      </c>
      <c r="O50" s="517" t="str">
        <f>IFERROR(__xludf.DUMMYFUNCTION("""COMPUTED_VALUE"""),"G710-07800-10")</f>
        <v>G710-07800-10</v>
      </c>
      <c r="P50" s="517" t="str">
        <f>IFERROR(__xludf.DUMMYFUNCTION("""COMPUTED_VALUE"""),"G650-17428-05")</f>
        <v>G650-17428-05</v>
      </c>
      <c r="Q50" s="517" t="str">
        <f>IFERROR(__xludf.DUMMYFUNCTION("""COMPUTED_VALUE"""),"G650-14694-05")</f>
        <v>G650-14694-05</v>
      </c>
      <c r="R50" s="517" t="str">
        <f>IFERROR(__xludf.DUMMYFUNCTION("""COMPUTED_VALUE"""),"G650-14850-03")</f>
        <v>G650-14850-03</v>
      </c>
      <c r="S50" s="517" t="str">
        <f>IFERROR(__xludf.DUMMYFUNCTION("""COMPUTED_VALUE"""),"No")</f>
        <v>No</v>
      </c>
      <c r="T50" s="517" t="str">
        <f>IFERROR(__xludf.DUMMYFUNCTION("""COMPUTED_VALUE"""),"Y")</f>
        <v>Y</v>
      </c>
      <c r="U50" s="517" t="str">
        <f>IFERROR(__xludf.DUMMYFUNCTION("""COMPUTED_VALUE"""),"Y")</f>
        <v>Y</v>
      </c>
      <c r="V50" s="517"/>
    </row>
    <row r="51">
      <c r="A51" s="445">
        <v>48.0</v>
      </c>
      <c r="B51" s="517" t="str">
        <f>IFERROR(__xludf.DUMMYFUNCTION("""COMPUTED_VALUE"""),"MP")</f>
        <v>MP</v>
      </c>
      <c r="C51" s="517">
        <f>IFERROR(__xludf.DUMMYFUNCTION("""COMPUTED_VALUE"""),48.0)</f>
        <v>48</v>
      </c>
      <c r="D51" s="517" t="str">
        <f>IFERROR(__xludf.DUMMYFUNCTION("""COMPUTED_VALUE"""),"GL066")</f>
        <v>GL066</v>
      </c>
      <c r="E51" s="517" t="str">
        <f>IFERROR(__xludf.DUMMYFUNCTION("""COMPUTED_VALUE"""),"GA10218-JP")</f>
        <v>GA10218-JP</v>
      </c>
      <c r="F51" s="517" t="str">
        <f>IFERROR(__xludf.DUMMYFUNCTION("""COMPUTED_VALUE"""),"SKU, CLR3, BETTER, SUB6, JP")</f>
        <v>SKU, CLR3, BETTER, SUB6, JP</v>
      </c>
      <c r="G51" s="517" t="str">
        <f>IFERROR(__xludf.DUMMYFUNCTION("""COMPUTED_VALUE"""),"CLR3")</f>
        <v>CLR3</v>
      </c>
      <c r="H51" s="517" t="str">
        <f>IFERROR(__xludf.DUMMYFUNCTION("""COMPUTED_VALUE"""),"SUB6")</f>
        <v>SUB6</v>
      </c>
      <c r="I51" s="517" t="str">
        <f>IFERROR(__xludf.DUMMYFUNCTION("""COMPUTED_VALUE"""),"256GB")</f>
        <v>256GB</v>
      </c>
      <c r="J51" s="517" t="str">
        <f>IFERROR(__xludf.DUMMYFUNCTION("""COMPUTED_VALUE"""),"SKU, CLR3, BETTER, SUB6")</f>
        <v>SKU, CLR3, BETTER, SUB6</v>
      </c>
      <c r="K51" s="517" t="str">
        <f>IFERROR(__xludf.DUMMYFUNCTION("""COMPUTED_VALUE"""),"G950-15935-16")</f>
        <v>G950-15935-16</v>
      </c>
      <c r="L51" s="517" t="str">
        <f>IFERROR(__xludf.DUMMYFUNCTION("""COMPUTED_VALUE"""),"G710-07738-10")</f>
        <v>G710-07738-10</v>
      </c>
      <c r="M51" s="517" t="str">
        <f>IFERROR(__xludf.DUMMYFUNCTION("""COMPUTED_VALUE"""),"G710-07670-01")</f>
        <v>G710-07670-01</v>
      </c>
      <c r="N51" s="517" t="str">
        <f>IFERROR(__xludf.DUMMYFUNCTION("""COMPUTED_VALUE"""),"G730-09533-03")</f>
        <v>G730-09533-03</v>
      </c>
      <c r="O51" s="517" t="str">
        <f>IFERROR(__xludf.DUMMYFUNCTION("""COMPUTED_VALUE"""),"G710-07800-10")</f>
        <v>G710-07800-10</v>
      </c>
      <c r="P51" s="517" t="str">
        <f>IFERROR(__xludf.DUMMYFUNCTION("""COMPUTED_VALUE"""),"G650-17428-05")</f>
        <v>G650-17428-05</v>
      </c>
      <c r="Q51" s="517" t="str">
        <f>IFERROR(__xludf.DUMMYFUNCTION("""COMPUTED_VALUE"""),"G650-14694-05")</f>
        <v>G650-14694-05</v>
      </c>
      <c r="R51" s="517" t="str">
        <f>IFERROR(__xludf.DUMMYFUNCTION("""COMPUTED_VALUE"""),"G650-14850-03")</f>
        <v>G650-14850-03</v>
      </c>
      <c r="S51" s="517" t="str">
        <f>IFERROR(__xludf.DUMMYFUNCTION("""COMPUTED_VALUE"""),"No")</f>
        <v>No</v>
      </c>
      <c r="T51" s="517" t="str">
        <f>IFERROR(__xludf.DUMMYFUNCTION("""COMPUTED_VALUE"""),"Y")</f>
        <v>Y</v>
      </c>
      <c r="U51" s="517" t="str">
        <f>IFERROR(__xludf.DUMMYFUNCTION("""COMPUTED_VALUE"""),"Y")</f>
        <v>Y</v>
      </c>
      <c r="V51" s="517"/>
    </row>
    <row r="52">
      <c r="A52" s="445">
        <v>49.0</v>
      </c>
      <c r="B52" s="517" t="str">
        <f>IFERROR(__xludf.DUMMYFUNCTION("""COMPUTED_VALUE"""),"MP")</f>
        <v>MP</v>
      </c>
      <c r="C52" s="517">
        <f>IFERROR(__xludf.DUMMYFUNCTION("""COMPUTED_VALUE"""),49.0)</f>
        <v>49</v>
      </c>
      <c r="D52" s="517" t="str">
        <f>IFERROR(__xludf.DUMMYFUNCTION("""COMPUTED_VALUE"""),"GL066")</f>
        <v>GL066</v>
      </c>
      <c r="E52" s="517" t="str">
        <f>IFERROR(__xludf.DUMMYFUNCTION("""COMPUTED_VALUE"""),"GA10219-JP")</f>
        <v>GA10219-JP</v>
      </c>
      <c r="F52" s="517" t="str">
        <f>IFERROR(__xludf.DUMMYFUNCTION("""COMPUTED_VALUE"""),"SKU, CLR4, BETTER, SUB6, JP")</f>
        <v>SKU, CLR4, BETTER, SUB6, JP</v>
      </c>
      <c r="G52" s="517" t="str">
        <f>IFERROR(__xludf.DUMMYFUNCTION("""COMPUTED_VALUE"""),"CLR4")</f>
        <v>CLR4</v>
      </c>
      <c r="H52" s="517" t="str">
        <f>IFERROR(__xludf.DUMMYFUNCTION("""COMPUTED_VALUE"""),"SUB6")</f>
        <v>SUB6</v>
      </c>
      <c r="I52" s="517" t="str">
        <f>IFERROR(__xludf.DUMMYFUNCTION("""COMPUTED_VALUE"""),"256GB")</f>
        <v>256GB</v>
      </c>
      <c r="J52" s="517" t="str">
        <f>IFERROR(__xludf.DUMMYFUNCTION("""COMPUTED_VALUE"""),"SKU, CLR4, BETTER, SUB6")</f>
        <v>SKU, CLR4, BETTER, SUB6</v>
      </c>
      <c r="K52" s="517" t="str">
        <f>IFERROR(__xludf.DUMMYFUNCTION("""COMPUTED_VALUE"""),"G950-15935-17")</f>
        <v>G950-15935-17</v>
      </c>
      <c r="L52" s="517" t="str">
        <f>IFERROR(__xludf.DUMMYFUNCTION("""COMPUTED_VALUE"""),"G710-07738-10")</f>
        <v>G710-07738-10</v>
      </c>
      <c r="M52" s="517" t="str">
        <f>IFERROR(__xludf.DUMMYFUNCTION("""COMPUTED_VALUE"""),"G710-07670-01")</f>
        <v>G710-07670-01</v>
      </c>
      <c r="N52" s="517" t="str">
        <f>IFERROR(__xludf.DUMMYFUNCTION("""COMPUTED_VALUE"""),"G730-09533-04")</f>
        <v>G730-09533-04</v>
      </c>
      <c r="O52" s="517" t="str">
        <f>IFERROR(__xludf.DUMMYFUNCTION("""COMPUTED_VALUE"""),"G710-07800-10")</f>
        <v>G710-07800-10</v>
      </c>
      <c r="P52" s="517" t="str">
        <f>IFERROR(__xludf.DUMMYFUNCTION("""COMPUTED_VALUE"""),"G650-17428-05")</f>
        <v>G650-17428-05</v>
      </c>
      <c r="Q52" s="517" t="str">
        <f>IFERROR(__xludf.DUMMYFUNCTION("""COMPUTED_VALUE"""),"G650-14694-05")</f>
        <v>G650-14694-05</v>
      </c>
      <c r="R52" s="517" t="str">
        <f>IFERROR(__xludf.DUMMYFUNCTION("""COMPUTED_VALUE"""),"G650-14850-03")</f>
        <v>G650-14850-03</v>
      </c>
      <c r="S52" s="517" t="str">
        <f>IFERROR(__xludf.DUMMYFUNCTION("""COMPUTED_VALUE"""),"No")</f>
        <v>No</v>
      </c>
      <c r="T52" s="517" t="str">
        <f>IFERROR(__xludf.DUMMYFUNCTION("""COMPUTED_VALUE"""),"Y")</f>
        <v>Y</v>
      </c>
      <c r="U52" s="517" t="str">
        <f>IFERROR(__xludf.DUMMYFUNCTION("""COMPUTED_VALUE"""),"Y")</f>
        <v>Y</v>
      </c>
      <c r="V52" s="517"/>
    </row>
    <row r="53">
      <c r="A53" s="445">
        <v>50.0</v>
      </c>
      <c r="B53" s="517" t="str">
        <f>IFERROR(__xludf.DUMMYFUNCTION("""COMPUTED_VALUE"""),"MP")</f>
        <v>MP</v>
      </c>
      <c r="C53" s="517">
        <f>IFERROR(__xludf.DUMMYFUNCTION("""COMPUTED_VALUE"""),50.0)</f>
        <v>50</v>
      </c>
      <c r="D53" s="517" t="str">
        <f>IFERROR(__xludf.DUMMYFUNCTION("""COMPUTED_VALUE"""),"GLBW0")</f>
        <v>GLBW0</v>
      </c>
      <c r="E53" s="517" t="str">
        <f>IFERROR(__xludf.DUMMYFUNCTION("""COMPUTED_VALUE"""),"IQGA09425-US")</f>
        <v>IQGA09425-US</v>
      </c>
      <c r="F53" s="517" t="str">
        <f>IFERROR(__xludf.DUMMYFUNCTION("""COMPUTED_VALUE"""),"SKU, CLR1, GOOD, MMWAVE, VZW, US, IQ, FL5")</f>
        <v>SKU, CLR1, GOOD, MMWAVE, VZW, US, IQ, FL5</v>
      </c>
      <c r="G53" s="517" t="str">
        <f>IFERROR(__xludf.DUMMYFUNCTION("""COMPUTED_VALUE"""),"CLR1")</f>
        <v>CLR1</v>
      </c>
      <c r="H53" s="517" t="str">
        <f>IFERROR(__xludf.DUMMYFUNCTION("""COMPUTED_VALUE"""),"MMWAVE")</f>
        <v>MMWAVE</v>
      </c>
      <c r="I53" s="517" t="str">
        <f>IFERROR(__xludf.DUMMYFUNCTION("""COMPUTED_VALUE"""),"128GB")</f>
        <v>128GB</v>
      </c>
      <c r="J53" s="517" t="str">
        <f>IFERROR(__xludf.DUMMYFUNCTION("""COMPUTED_VALUE"""),"SKU, CLR1, GOOD, MMWAVE")</f>
        <v>SKU, CLR1, GOOD, MMWAVE</v>
      </c>
      <c r="K53" s="517" t="str">
        <f>IFERROR(__xludf.DUMMYFUNCTION("""COMPUTED_VALUE"""),"G950-15935-00")</f>
        <v>G950-15935-00</v>
      </c>
      <c r="L53" s="517" t="str">
        <f>IFERROR(__xludf.DUMMYFUNCTION("""COMPUTED_VALUE"""),"G710-07738-00")</f>
        <v>G710-07738-00</v>
      </c>
      <c r="M53" s="517" t="str">
        <f>IFERROR(__xludf.DUMMYFUNCTION("""COMPUTED_VALUE"""),"G710-07670-01")</f>
        <v>G710-07670-01</v>
      </c>
      <c r="N53" s="517" t="str">
        <f>IFERROR(__xludf.DUMMYFUNCTION("""COMPUTED_VALUE"""),"G730-09533-01")</f>
        <v>G730-09533-01</v>
      </c>
      <c r="O53" s="517" t="str">
        <f>IFERROR(__xludf.DUMMYFUNCTION("""COMPUTED_VALUE"""),"G710-07800-01")</f>
        <v>G710-07800-01</v>
      </c>
      <c r="P53" s="517" t="str">
        <f>IFERROR(__xludf.DUMMYFUNCTION("""COMPUTED_VALUE"""),"G650-14656-06")</f>
        <v>G650-14656-06</v>
      </c>
      <c r="Q53" s="517" t="str">
        <f>IFERROR(__xludf.DUMMYFUNCTION("""COMPUTED_VALUE"""),"G650-14694-05")</f>
        <v>G650-14694-05</v>
      </c>
      <c r="R53" s="517" t="str">
        <f>IFERROR(__xludf.DUMMYFUNCTION("""COMPUTED_VALUE"""),"G650-14850-03")</f>
        <v>G650-14850-03</v>
      </c>
      <c r="S53" s="517" t="str">
        <f>IFERROR(__xludf.DUMMYFUNCTION("""COMPUTED_VALUE"""),"No")</f>
        <v>No</v>
      </c>
      <c r="T53" s="517" t="str">
        <f>IFERROR(__xludf.DUMMYFUNCTION("""COMPUTED_VALUE"""),"N")</f>
        <v>N</v>
      </c>
      <c r="U53" s="517" t="str">
        <f>IFERROR(__xludf.DUMMYFUNCTION("""COMPUTED_VALUE"""),"Y")</f>
        <v>Y</v>
      </c>
      <c r="V53" s="517"/>
    </row>
    <row r="54">
      <c r="A54" s="445">
        <v>51.0</v>
      </c>
      <c r="B54" s="517" t="str">
        <f>IFERROR(__xludf.DUMMYFUNCTION("""COMPUTED_VALUE"""),"MP")</f>
        <v>MP</v>
      </c>
      <c r="C54" s="517">
        <f>IFERROR(__xludf.DUMMYFUNCTION("""COMPUTED_VALUE"""),51.0)</f>
        <v>51</v>
      </c>
      <c r="D54" s="517" t="str">
        <f>IFERROR(__xludf.DUMMYFUNCTION("""COMPUTED_VALUE"""),"GLBW0")</f>
        <v>GLBW0</v>
      </c>
      <c r="E54" s="517" t="str">
        <f>IFERROR(__xludf.DUMMYFUNCTION("""COMPUTED_VALUE"""),"IQGA10238-US")</f>
        <v>IQGA10238-US</v>
      </c>
      <c r="F54" s="517" t="str">
        <f>IFERROR(__xludf.DUMMYFUNCTION("""COMPUTED_VALUE"""),"SKU, CLR2, GOOD, MMWAVE, VZW, US, IQ, FL5")</f>
        <v>SKU, CLR2, GOOD, MMWAVE, VZW, US, IQ, FL5</v>
      </c>
      <c r="G54" s="517" t="str">
        <f>IFERROR(__xludf.DUMMYFUNCTION("""COMPUTED_VALUE"""),"CLR2")</f>
        <v>CLR2</v>
      </c>
      <c r="H54" s="517" t="str">
        <f>IFERROR(__xludf.DUMMYFUNCTION("""COMPUTED_VALUE"""),"MMWAVE")</f>
        <v>MMWAVE</v>
      </c>
      <c r="I54" s="517" t="str">
        <f>IFERROR(__xludf.DUMMYFUNCTION("""COMPUTED_VALUE"""),"128GB")</f>
        <v>128GB</v>
      </c>
      <c r="J54" s="517" t="str">
        <f>IFERROR(__xludf.DUMMYFUNCTION("""COMPUTED_VALUE"""),"SKU, CLR2, GOOD, MMWAVE")</f>
        <v>SKU, CLR2, GOOD, MMWAVE</v>
      </c>
      <c r="K54" s="517" t="str">
        <f>IFERROR(__xludf.DUMMYFUNCTION("""COMPUTED_VALUE"""),"G950-15935-01")</f>
        <v>G950-15935-01</v>
      </c>
      <c r="L54" s="517" t="str">
        <f>IFERROR(__xludf.DUMMYFUNCTION("""COMPUTED_VALUE"""),"G710-07738-00")</f>
        <v>G710-07738-00</v>
      </c>
      <c r="M54" s="517" t="str">
        <f>IFERROR(__xludf.DUMMYFUNCTION("""COMPUTED_VALUE"""),"G710-07670-01")</f>
        <v>G710-07670-01</v>
      </c>
      <c r="N54" s="517" t="str">
        <f>IFERROR(__xludf.DUMMYFUNCTION("""COMPUTED_VALUE"""),"G730-09533-02")</f>
        <v>G730-09533-02</v>
      </c>
      <c r="O54" s="517" t="str">
        <f>IFERROR(__xludf.DUMMYFUNCTION("""COMPUTED_VALUE"""),"G710-07800-01")</f>
        <v>G710-07800-01</v>
      </c>
      <c r="P54" s="517" t="str">
        <f>IFERROR(__xludf.DUMMYFUNCTION("""COMPUTED_VALUE"""),"G650-14656-06")</f>
        <v>G650-14656-06</v>
      </c>
      <c r="Q54" s="517" t="str">
        <f>IFERROR(__xludf.DUMMYFUNCTION("""COMPUTED_VALUE"""),"G650-14694-05")</f>
        <v>G650-14694-05</v>
      </c>
      <c r="R54" s="517" t="str">
        <f>IFERROR(__xludf.DUMMYFUNCTION("""COMPUTED_VALUE"""),"G650-14850-03")</f>
        <v>G650-14850-03</v>
      </c>
      <c r="S54" s="517" t="str">
        <f>IFERROR(__xludf.DUMMYFUNCTION("""COMPUTED_VALUE"""),"No")</f>
        <v>No</v>
      </c>
      <c r="T54" s="517" t="str">
        <f>IFERROR(__xludf.DUMMYFUNCTION("""COMPUTED_VALUE"""),"N")</f>
        <v>N</v>
      </c>
      <c r="U54" s="517" t="str">
        <f>IFERROR(__xludf.DUMMYFUNCTION("""COMPUTED_VALUE"""),"Y")</f>
        <v>Y</v>
      </c>
      <c r="V54" s="517"/>
    </row>
    <row r="55">
      <c r="A55" s="445">
        <v>52.0</v>
      </c>
      <c r="B55" s="517" t="str">
        <f>IFERROR(__xludf.DUMMYFUNCTION("""COMPUTED_VALUE"""),"MP")</f>
        <v>MP</v>
      </c>
      <c r="C55" s="517">
        <f>IFERROR(__xludf.DUMMYFUNCTION("""COMPUTED_VALUE"""),52.0)</f>
        <v>52</v>
      </c>
      <c r="D55" s="517" t="str">
        <f>IFERROR(__xludf.DUMMYFUNCTION("""COMPUTED_VALUE"""),"GLBW0")</f>
        <v>GLBW0</v>
      </c>
      <c r="E55" s="517" t="str">
        <f>IFERROR(__xludf.DUMMYFUNCTION("""COMPUTED_VALUE"""),"IQGA10239-US")</f>
        <v>IQGA10239-US</v>
      </c>
      <c r="F55" s="517" t="str">
        <f>IFERROR(__xludf.DUMMYFUNCTION("""COMPUTED_VALUE"""),"SKU, CLR3, GOOD, MMWAVE, VZW, US, IQ, FL5")</f>
        <v>SKU, CLR3, GOOD, MMWAVE, VZW, US, IQ, FL5</v>
      </c>
      <c r="G55" s="517" t="str">
        <f>IFERROR(__xludf.DUMMYFUNCTION("""COMPUTED_VALUE"""),"CLR3")</f>
        <v>CLR3</v>
      </c>
      <c r="H55" s="517" t="str">
        <f>IFERROR(__xludf.DUMMYFUNCTION("""COMPUTED_VALUE"""),"MMWAVE")</f>
        <v>MMWAVE</v>
      </c>
      <c r="I55" s="517" t="str">
        <f>IFERROR(__xludf.DUMMYFUNCTION("""COMPUTED_VALUE"""),"128GB")</f>
        <v>128GB</v>
      </c>
      <c r="J55" s="517" t="str">
        <f>IFERROR(__xludf.DUMMYFUNCTION("""COMPUTED_VALUE"""),"SKU, CLR3, GOOD, MMWAVE")</f>
        <v>SKU, CLR3, GOOD, MMWAVE</v>
      </c>
      <c r="K55" s="517" t="str">
        <f>IFERROR(__xludf.DUMMYFUNCTION("""COMPUTED_VALUE"""),"G950-15935-02")</f>
        <v>G950-15935-02</v>
      </c>
      <c r="L55" s="517" t="str">
        <f>IFERROR(__xludf.DUMMYFUNCTION("""COMPUTED_VALUE"""),"G710-07738-00")</f>
        <v>G710-07738-00</v>
      </c>
      <c r="M55" s="517" t="str">
        <f>IFERROR(__xludf.DUMMYFUNCTION("""COMPUTED_VALUE"""),"G710-07670-01")</f>
        <v>G710-07670-01</v>
      </c>
      <c r="N55" s="517" t="str">
        <f>IFERROR(__xludf.DUMMYFUNCTION("""COMPUTED_VALUE"""),"G730-09533-03")</f>
        <v>G730-09533-03</v>
      </c>
      <c r="O55" s="517" t="str">
        <f>IFERROR(__xludf.DUMMYFUNCTION("""COMPUTED_VALUE"""),"G710-07800-01")</f>
        <v>G710-07800-01</v>
      </c>
      <c r="P55" s="517" t="str">
        <f>IFERROR(__xludf.DUMMYFUNCTION("""COMPUTED_VALUE"""),"G650-14656-06")</f>
        <v>G650-14656-06</v>
      </c>
      <c r="Q55" s="517" t="str">
        <f>IFERROR(__xludf.DUMMYFUNCTION("""COMPUTED_VALUE"""),"G650-14694-05")</f>
        <v>G650-14694-05</v>
      </c>
      <c r="R55" s="517" t="str">
        <f>IFERROR(__xludf.DUMMYFUNCTION("""COMPUTED_VALUE"""),"G650-14850-03")</f>
        <v>G650-14850-03</v>
      </c>
      <c r="S55" s="517" t="str">
        <f>IFERROR(__xludf.DUMMYFUNCTION("""COMPUTED_VALUE"""),"No")</f>
        <v>No</v>
      </c>
      <c r="T55" s="517" t="str">
        <f>IFERROR(__xludf.DUMMYFUNCTION("""COMPUTED_VALUE"""),"N")</f>
        <v>N</v>
      </c>
      <c r="U55" s="517" t="str">
        <f>IFERROR(__xludf.DUMMYFUNCTION("""COMPUTED_VALUE"""),"Y")</f>
        <v>Y</v>
      </c>
      <c r="V55" s="517"/>
    </row>
    <row r="56">
      <c r="A56" s="445">
        <v>53.0</v>
      </c>
      <c r="B56" s="517" t="str">
        <f>IFERROR(__xludf.DUMMYFUNCTION("""COMPUTED_VALUE"""),"MP")</f>
        <v>MP</v>
      </c>
      <c r="C56" s="517">
        <f>IFERROR(__xludf.DUMMYFUNCTION("""COMPUTED_VALUE"""),53.0)</f>
        <v>53</v>
      </c>
      <c r="D56" s="517" t="str">
        <f>IFERROR(__xludf.DUMMYFUNCTION("""COMPUTED_VALUE"""),"GLBW0")</f>
        <v>GLBW0</v>
      </c>
      <c r="E56" s="517" t="str">
        <f>IFERROR(__xludf.DUMMYFUNCTION("""COMPUTED_VALUE"""),"IQGA10240-US")</f>
        <v>IQGA10240-US</v>
      </c>
      <c r="F56" s="517" t="str">
        <f>IFERROR(__xludf.DUMMYFUNCTION("""COMPUTED_VALUE"""),"SKU, CLR4, GOOD, MMWAVE, VZW, US, IQ, FL5")</f>
        <v>SKU, CLR4, GOOD, MMWAVE, VZW, US, IQ, FL5</v>
      </c>
      <c r="G56" s="517" t="str">
        <f>IFERROR(__xludf.DUMMYFUNCTION("""COMPUTED_VALUE"""),"CLR4")</f>
        <v>CLR4</v>
      </c>
      <c r="H56" s="517" t="str">
        <f>IFERROR(__xludf.DUMMYFUNCTION("""COMPUTED_VALUE"""),"MMWAVE")</f>
        <v>MMWAVE</v>
      </c>
      <c r="I56" s="517" t="str">
        <f>IFERROR(__xludf.DUMMYFUNCTION("""COMPUTED_VALUE"""),"128GB")</f>
        <v>128GB</v>
      </c>
      <c r="J56" s="517" t="str">
        <f>IFERROR(__xludf.DUMMYFUNCTION("""COMPUTED_VALUE"""),"SKU, CLR4, GOOD, MMWAVE")</f>
        <v>SKU, CLR4, GOOD, MMWAVE</v>
      </c>
      <c r="K56" s="517" t="str">
        <f>IFERROR(__xludf.DUMMYFUNCTION("""COMPUTED_VALUE"""),"G950-15935-03")</f>
        <v>G950-15935-03</v>
      </c>
      <c r="L56" s="517" t="str">
        <f>IFERROR(__xludf.DUMMYFUNCTION("""COMPUTED_VALUE"""),"G710-07738-00")</f>
        <v>G710-07738-00</v>
      </c>
      <c r="M56" s="517" t="str">
        <f>IFERROR(__xludf.DUMMYFUNCTION("""COMPUTED_VALUE"""),"G710-07670-01")</f>
        <v>G710-07670-01</v>
      </c>
      <c r="N56" s="517" t="str">
        <f>IFERROR(__xludf.DUMMYFUNCTION("""COMPUTED_VALUE"""),"G730-09533-04")</f>
        <v>G730-09533-04</v>
      </c>
      <c r="O56" s="517" t="str">
        <f>IFERROR(__xludf.DUMMYFUNCTION("""COMPUTED_VALUE"""),"G710-07800-01")</f>
        <v>G710-07800-01</v>
      </c>
      <c r="P56" s="517" t="str">
        <f>IFERROR(__xludf.DUMMYFUNCTION("""COMPUTED_VALUE"""),"G650-14656-06")</f>
        <v>G650-14656-06</v>
      </c>
      <c r="Q56" s="517" t="str">
        <f>IFERROR(__xludf.DUMMYFUNCTION("""COMPUTED_VALUE"""),"G650-14694-05")</f>
        <v>G650-14694-05</v>
      </c>
      <c r="R56" s="517" t="str">
        <f>IFERROR(__xludf.DUMMYFUNCTION("""COMPUTED_VALUE"""),"G650-14850-03")</f>
        <v>G650-14850-03</v>
      </c>
      <c r="S56" s="517" t="str">
        <f>IFERROR(__xludf.DUMMYFUNCTION("""COMPUTED_VALUE"""),"No")</f>
        <v>No</v>
      </c>
      <c r="T56" s="517" t="str">
        <f>IFERROR(__xludf.DUMMYFUNCTION("""COMPUTED_VALUE"""),"N")</f>
        <v>N</v>
      </c>
      <c r="U56" s="517" t="str">
        <f>IFERROR(__xludf.DUMMYFUNCTION("""COMPUTED_VALUE"""),"Y")</f>
        <v>Y</v>
      </c>
      <c r="V56" s="517"/>
    </row>
    <row r="57">
      <c r="A57" s="445">
        <v>54.0</v>
      </c>
      <c r="B57" s="517" t="str">
        <f>IFERROR(__xludf.DUMMYFUNCTION("""COMPUTED_VALUE"""),"MP")</f>
        <v>MP</v>
      </c>
      <c r="C57" s="517">
        <f>IFERROR(__xludf.DUMMYFUNCTION("""COMPUTED_VALUE"""),54.0)</f>
        <v>54</v>
      </c>
      <c r="D57" s="517" t="str">
        <f>IFERROR(__xludf.DUMMYFUNCTION("""COMPUTED_VALUE"""),"GLBW0")</f>
        <v>GLBW0</v>
      </c>
      <c r="E57" s="517" t="str">
        <f>IFERROR(__xludf.DUMMYFUNCTION("""COMPUTED_VALUE"""),"IQGA09880-US")</f>
        <v>IQGA09880-US</v>
      </c>
      <c r="F57" s="517" t="str">
        <f>IFERROR(__xludf.DUMMYFUNCTION("""COMPUTED_VALUE"""),"SKU, CLR1, BETTER, MMWAVE, VZW, US, IQ, FL5")</f>
        <v>SKU, CLR1, BETTER, MMWAVE, VZW, US, IQ, FL5</v>
      </c>
      <c r="G57" s="517" t="str">
        <f>IFERROR(__xludf.DUMMYFUNCTION("""COMPUTED_VALUE"""),"CLR1")</f>
        <v>CLR1</v>
      </c>
      <c r="H57" s="517" t="str">
        <f>IFERROR(__xludf.DUMMYFUNCTION("""COMPUTED_VALUE"""),"MMWAVE")</f>
        <v>MMWAVE</v>
      </c>
      <c r="I57" s="517" t="str">
        <f>IFERROR(__xludf.DUMMYFUNCTION("""COMPUTED_VALUE"""),"256GB")</f>
        <v>256GB</v>
      </c>
      <c r="J57" s="517" t="str">
        <f>IFERROR(__xludf.DUMMYFUNCTION("""COMPUTED_VALUE"""),"SKU, CLR1, BETTER, MMWAVE")</f>
        <v>SKU, CLR1, BETTER, MMWAVE</v>
      </c>
      <c r="K57" s="517" t="str">
        <f>IFERROR(__xludf.DUMMYFUNCTION("""COMPUTED_VALUE"""),"G950-15935-04")</f>
        <v>G950-15935-04</v>
      </c>
      <c r="L57" s="517" t="str">
        <f>IFERROR(__xludf.DUMMYFUNCTION("""COMPUTED_VALUE"""),"G710-07738-00")</f>
        <v>G710-07738-00</v>
      </c>
      <c r="M57" s="517" t="str">
        <f>IFERROR(__xludf.DUMMYFUNCTION("""COMPUTED_VALUE"""),"G710-07670-01")</f>
        <v>G710-07670-01</v>
      </c>
      <c r="N57" s="517" t="str">
        <f>IFERROR(__xludf.DUMMYFUNCTION("""COMPUTED_VALUE"""),"G730-09533-01")</f>
        <v>G730-09533-01</v>
      </c>
      <c r="O57" s="517" t="str">
        <f>IFERROR(__xludf.DUMMYFUNCTION("""COMPUTED_VALUE"""),"G710-07800-11")</f>
        <v>G710-07800-11</v>
      </c>
      <c r="P57" s="517" t="str">
        <f>IFERROR(__xludf.DUMMYFUNCTION("""COMPUTED_VALUE"""),"G650-17427-06")</f>
        <v>G650-17427-06</v>
      </c>
      <c r="Q57" s="517" t="str">
        <f>IFERROR(__xludf.DUMMYFUNCTION("""COMPUTED_VALUE"""),"G650-14694-05")</f>
        <v>G650-14694-05</v>
      </c>
      <c r="R57" s="517" t="str">
        <f>IFERROR(__xludf.DUMMYFUNCTION("""COMPUTED_VALUE"""),"G650-14850-03")</f>
        <v>G650-14850-03</v>
      </c>
      <c r="S57" s="517" t="str">
        <f>IFERROR(__xludf.DUMMYFUNCTION("""COMPUTED_VALUE"""),"No")</f>
        <v>No</v>
      </c>
      <c r="T57" s="517" t="str">
        <f>IFERROR(__xludf.DUMMYFUNCTION("""COMPUTED_VALUE"""),"N")</f>
        <v>N</v>
      </c>
      <c r="U57" s="517" t="str">
        <f>IFERROR(__xludf.DUMMYFUNCTION("""COMPUTED_VALUE"""),"Y")</f>
        <v>Y</v>
      </c>
      <c r="V57" s="517"/>
    </row>
    <row r="58">
      <c r="A58" s="445">
        <v>55.0</v>
      </c>
      <c r="B58" s="517" t="str">
        <f>IFERROR(__xludf.DUMMYFUNCTION("""COMPUTED_VALUE"""),"MP")</f>
        <v>MP</v>
      </c>
      <c r="C58" s="517">
        <f>IFERROR(__xludf.DUMMYFUNCTION("""COMPUTED_VALUE"""),55.0)</f>
        <v>55</v>
      </c>
      <c r="D58" s="517" t="str">
        <f>IFERROR(__xludf.DUMMYFUNCTION("""COMPUTED_VALUE"""),"GLBW0")</f>
        <v>GLBW0</v>
      </c>
      <c r="E58" s="517" t="str">
        <f>IFERROR(__xludf.DUMMYFUNCTION("""COMPUTED_VALUE"""),"IQGA10243-US")</f>
        <v>IQGA10243-US</v>
      </c>
      <c r="F58" s="517" t="str">
        <f>IFERROR(__xludf.DUMMYFUNCTION("""COMPUTED_VALUE"""),"SKU, CLR4, BETTER, MMWAVE, VZW, US, IQ, FL5")</f>
        <v>SKU, CLR4, BETTER, MMWAVE, VZW, US, IQ, FL5</v>
      </c>
      <c r="G58" s="517" t="str">
        <f>IFERROR(__xludf.DUMMYFUNCTION("""COMPUTED_VALUE"""),"CLR4")</f>
        <v>CLR4</v>
      </c>
      <c r="H58" s="517" t="str">
        <f>IFERROR(__xludf.DUMMYFUNCTION("""COMPUTED_VALUE"""),"MMWAVE")</f>
        <v>MMWAVE</v>
      </c>
      <c r="I58" s="517" t="str">
        <f>IFERROR(__xludf.DUMMYFUNCTION("""COMPUTED_VALUE"""),"256GB")</f>
        <v>256GB</v>
      </c>
      <c r="J58" s="517" t="str">
        <f>IFERROR(__xludf.DUMMYFUNCTION("""COMPUTED_VALUE"""),"SKU, CLR4, BETTER, MMWAVE")</f>
        <v>SKU, CLR4, BETTER, MMWAVE</v>
      </c>
      <c r="K58" s="517" t="str">
        <f>IFERROR(__xludf.DUMMYFUNCTION("""COMPUTED_VALUE"""),"G950-15935-07")</f>
        <v>G950-15935-07</v>
      </c>
      <c r="L58" s="517" t="str">
        <f>IFERROR(__xludf.DUMMYFUNCTION("""COMPUTED_VALUE"""),"G710-07738-00")</f>
        <v>G710-07738-00</v>
      </c>
      <c r="M58" s="517" t="str">
        <f>IFERROR(__xludf.DUMMYFUNCTION("""COMPUTED_VALUE"""),"G710-07670-01")</f>
        <v>G710-07670-01</v>
      </c>
      <c r="N58" s="517" t="str">
        <f>IFERROR(__xludf.DUMMYFUNCTION("""COMPUTED_VALUE"""),"G730-09533-04")</f>
        <v>G730-09533-04</v>
      </c>
      <c r="O58" s="517" t="str">
        <f>IFERROR(__xludf.DUMMYFUNCTION("""COMPUTED_VALUE"""),"G710-07800-11")</f>
        <v>G710-07800-11</v>
      </c>
      <c r="P58" s="517" t="str">
        <f>IFERROR(__xludf.DUMMYFUNCTION("""COMPUTED_VALUE"""),"G650-17427-06")</f>
        <v>G650-17427-06</v>
      </c>
      <c r="Q58" s="517" t="str">
        <f>IFERROR(__xludf.DUMMYFUNCTION("""COMPUTED_VALUE"""),"G650-14694-05")</f>
        <v>G650-14694-05</v>
      </c>
      <c r="R58" s="517" t="str">
        <f>IFERROR(__xludf.DUMMYFUNCTION("""COMPUTED_VALUE"""),"G650-14850-03")</f>
        <v>G650-14850-03</v>
      </c>
      <c r="S58" s="517" t="str">
        <f>IFERROR(__xludf.DUMMYFUNCTION("""COMPUTED_VALUE"""),"No")</f>
        <v>No</v>
      </c>
      <c r="T58" s="517" t="str">
        <f>IFERROR(__xludf.DUMMYFUNCTION("""COMPUTED_VALUE"""),"N")</f>
        <v>N</v>
      </c>
      <c r="U58" s="517" t="str">
        <f>IFERROR(__xludf.DUMMYFUNCTION("""COMPUTED_VALUE"""),"Y")</f>
        <v>Y</v>
      </c>
      <c r="V58" s="517"/>
    </row>
    <row r="59">
      <c r="A59" s="445">
        <v>56.0</v>
      </c>
      <c r="B59" s="517" t="str">
        <f>IFERROR(__xludf.DUMMYFUNCTION("""COMPUTED_VALUE"""),"MP")</f>
        <v>MP</v>
      </c>
      <c r="C59" s="517">
        <f>IFERROR(__xludf.DUMMYFUNCTION("""COMPUTED_VALUE"""),56.0)</f>
        <v>56</v>
      </c>
      <c r="D59" s="517" t="str">
        <f>IFERROR(__xludf.DUMMYFUNCTION("""COMPUTED_VALUE"""),"GLBW0")</f>
        <v>GLBW0</v>
      </c>
      <c r="E59" s="517" t="str">
        <f>IFERROR(__xludf.DUMMYFUNCTION("""COMPUTED_VALUE"""),"GA11019-US")</f>
        <v>GA11019-US</v>
      </c>
      <c r="F59" s="517" t="str">
        <f>IFERROR(__xludf.DUMMYFUNCTION("""COMPUTED_VALUE"""),"SKU, CLR4, GOOD, MMWAVE, TMO, IQ, US, FL5")</f>
        <v>SKU, CLR4, GOOD, MMWAVE, TMO, IQ, US, FL5</v>
      </c>
      <c r="G59" s="517" t="str">
        <f>IFERROR(__xludf.DUMMYFUNCTION("""COMPUTED_VALUE"""),"CLR4")</f>
        <v>CLR4</v>
      </c>
      <c r="H59" s="517" t="str">
        <f>IFERROR(__xludf.DUMMYFUNCTION("""COMPUTED_VALUE"""),"MMWAVE")</f>
        <v>MMWAVE</v>
      </c>
      <c r="I59" s="517" t="str">
        <f>IFERROR(__xludf.DUMMYFUNCTION("""COMPUTED_VALUE"""),"128GB")</f>
        <v>128GB</v>
      </c>
      <c r="J59" s="517" t="str">
        <f>IFERROR(__xludf.DUMMYFUNCTION("""COMPUTED_VALUE"""),"SKU, CLR4, GOOD, MMWAVE")</f>
        <v>SKU, CLR4, GOOD, MMWAVE</v>
      </c>
      <c r="K59" s="517" t="str">
        <f>IFERROR(__xludf.DUMMYFUNCTION("""COMPUTED_VALUE"""),"G950-15935-03")</f>
        <v>G950-15935-03</v>
      </c>
      <c r="L59" s="517" t="str">
        <f>IFERROR(__xludf.DUMMYFUNCTION("""COMPUTED_VALUE"""),"G710-07738-00")</f>
        <v>G710-07738-00</v>
      </c>
      <c r="M59" s="517" t="str">
        <f>IFERROR(__xludf.DUMMYFUNCTION("""COMPUTED_VALUE"""),"G710-07670-01")</f>
        <v>G710-07670-01</v>
      </c>
      <c r="N59" s="517" t="str">
        <f>IFERROR(__xludf.DUMMYFUNCTION("""COMPUTED_VALUE"""),"G730-09533-04")</f>
        <v>G730-09533-04</v>
      </c>
      <c r="O59" s="517" t="str">
        <f>IFERROR(__xludf.DUMMYFUNCTION("""COMPUTED_VALUE"""),"G710-07800-01")</f>
        <v>G710-07800-01</v>
      </c>
      <c r="P59" s="517" t="str">
        <f>IFERROR(__xludf.DUMMYFUNCTION("""COMPUTED_VALUE"""),"G650-14656-06")</f>
        <v>G650-14656-06</v>
      </c>
      <c r="Q59" s="517" t="str">
        <f>IFERROR(__xludf.DUMMYFUNCTION("""COMPUTED_VALUE"""),"G650-14694-05")</f>
        <v>G650-14694-05</v>
      </c>
      <c r="R59" s="517" t="str">
        <f>IFERROR(__xludf.DUMMYFUNCTION("""COMPUTED_VALUE"""),"G650-14850-03")</f>
        <v>G650-14850-03</v>
      </c>
      <c r="S59" s="517" t="str">
        <f>IFERROR(__xludf.DUMMYFUNCTION("""COMPUTED_VALUE"""),"No")</f>
        <v>No</v>
      </c>
      <c r="T59" s="517" t="str">
        <f>IFERROR(__xludf.DUMMYFUNCTION("""COMPUTED_VALUE"""),"N")</f>
        <v>N</v>
      </c>
      <c r="U59" s="517" t="str">
        <f>IFERROR(__xludf.DUMMYFUNCTION("""COMPUTED_VALUE"""),"Y")</f>
        <v>Y</v>
      </c>
      <c r="V59" s="517"/>
    </row>
    <row r="60">
      <c r="A60" s="445">
        <v>57.0</v>
      </c>
      <c r="B60" s="517" t="str">
        <f>IFERROR(__xludf.DUMMYFUNCTION("""COMPUTED_VALUE"""),"MP")</f>
        <v>MP</v>
      </c>
      <c r="C60" s="517">
        <f>IFERROR(__xludf.DUMMYFUNCTION("""COMPUTED_VALUE"""),57.0)</f>
        <v>57</v>
      </c>
      <c r="D60" s="517" t="str">
        <f>IFERROR(__xludf.DUMMYFUNCTION("""COMPUTED_VALUE"""),"GLBW0")</f>
        <v>GLBW0</v>
      </c>
      <c r="E60" s="517" t="str">
        <f>IFERROR(__xludf.DUMMYFUNCTION("""COMPUTED_VALUE"""),"CLNRGOGA09425")</f>
        <v>CLNRGOGA09425</v>
      </c>
      <c r="F60" s="517" t="str">
        <f>IFERROR(__xludf.DUMMYFUNCTION("""COMPUTED_VALUE"""),"SKU, CLR1, GOOD, MMWAVE, VZW, FL5, FRU")</f>
        <v>SKU, CLR1, GOOD, MMWAVE, VZW, FL5, FRU</v>
      </c>
      <c r="G60" s="517" t="str">
        <f>IFERROR(__xludf.DUMMYFUNCTION("""COMPUTED_VALUE"""),"CLR1")</f>
        <v>CLR1</v>
      </c>
      <c r="H60" s="517" t="str">
        <f>IFERROR(__xludf.DUMMYFUNCTION("""COMPUTED_VALUE"""),"MMWAVE")</f>
        <v>MMWAVE</v>
      </c>
      <c r="I60" s="517" t="str">
        <f>IFERROR(__xludf.DUMMYFUNCTION("""COMPUTED_VALUE"""),"128GB")</f>
        <v>128GB</v>
      </c>
      <c r="J60" s="517" t="str">
        <f>IFERROR(__xludf.DUMMYFUNCTION("""COMPUTED_VALUE"""),"SKU, CLR1, GOOD, MMWAVE")</f>
        <v>SKU, CLR1, GOOD, MMWAVE</v>
      </c>
      <c r="K60" s="517" t="str">
        <f>IFERROR(__xludf.DUMMYFUNCTION("""COMPUTED_VALUE"""),"G950-15935-00")</f>
        <v>G950-15935-00</v>
      </c>
      <c r="L60" s="517" t="str">
        <f>IFERROR(__xludf.DUMMYFUNCTION("""COMPUTED_VALUE"""),"G710-07738-00")</f>
        <v>G710-07738-00</v>
      </c>
      <c r="M60" s="517" t="str">
        <f>IFERROR(__xludf.DUMMYFUNCTION("""COMPUTED_VALUE"""),"G710-07670-01")</f>
        <v>G710-07670-01</v>
      </c>
      <c r="N60" s="517" t="str">
        <f>IFERROR(__xludf.DUMMYFUNCTION("""COMPUTED_VALUE"""),"G730-09533-01")</f>
        <v>G730-09533-01</v>
      </c>
      <c r="O60" s="517" t="str">
        <f>IFERROR(__xludf.DUMMYFUNCTION("""COMPUTED_VALUE"""),"G710-07800-01")</f>
        <v>G710-07800-01</v>
      </c>
      <c r="P60" s="517" t="str">
        <f>IFERROR(__xludf.DUMMYFUNCTION("""COMPUTED_VALUE"""),"G650-14656-06")</f>
        <v>G650-14656-06</v>
      </c>
      <c r="Q60" s="517" t="str">
        <f>IFERROR(__xludf.DUMMYFUNCTION("""COMPUTED_VALUE"""),"G650-14694-05")</f>
        <v>G650-14694-05</v>
      </c>
      <c r="R60" s="517" t="str">
        <f>IFERROR(__xludf.DUMMYFUNCTION("""COMPUTED_VALUE"""),"G650-14850-03")</f>
        <v>G650-14850-03</v>
      </c>
      <c r="S60" s="517" t="str">
        <f>IFERROR(__xludf.DUMMYFUNCTION("""COMPUTED_VALUE"""),"No")</f>
        <v>No</v>
      </c>
      <c r="T60" s="517" t="str">
        <f>IFERROR(__xludf.DUMMYFUNCTION("""COMPUTED_VALUE"""),"N")</f>
        <v>N</v>
      </c>
      <c r="U60" s="517" t="str">
        <f>IFERROR(__xludf.DUMMYFUNCTION("""COMPUTED_VALUE"""),"Y")</f>
        <v>Y</v>
      </c>
      <c r="V60" s="517"/>
    </row>
    <row r="61">
      <c r="A61" s="445">
        <v>58.0</v>
      </c>
      <c r="B61" s="517" t="str">
        <f>IFERROR(__xludf.DUMMYFUNCTION("""COMPUTED_VALUE"""),"MP")</f>
        <v>MP</v>
      </c>
      <c r="C61" s="517">
        <f>IFERROR(__xludf.DUMMYFUNCTION("""COMPUTED_VALUE"""),58.0)</f>
        <v>58</v>
      </c>
      <c r="D61" s="517" t="str">
        <f>IFERROR(__xludf.DUMMYFUNCTION("""COMPUTED_VALUE"""),"GLBW0")</f>
        <v>GLBW0</v>
      </c>
      <c r="E61" s="517" t="str">
        <f>IFERROR(__xludf.DUMMYFUNCTION("""COMPUTED_VALUE"""),"CLNRGOGA10238")</f>
        <v>CLNRGOGA10238</v>
      </c>
      <c r="F61" s="517" t="str">
        <f>IFERROR(__xludf.DUMMYFUNCTION("""COMPUTED_VALUE"""),"SKU, CLR2, GOOD, MMWAVE, VZW, FL5, FRU")</f>
        <v>SKU, CLR2, GOOD, MMWAVE, VZW, FL5, FRU</v>
      </c>
      <c r="G61" s="517" t="str">
        <f>IFERROR(__xludf.DUMMYFUNCTION("""COMPUTED_VALUE"""),"CLR2")</f>
        <v>CLR2</v>
      </c>
      <c r="H61" s="517" t="str">
        <f>IFERROR(__xludf.DUMMYFUNCTION("""COMPUTED_VALUE"""),"MMWAVE")</f>
        <v>MMWAVE</v>
      </c>
      <c r="I61" s="517" t="str">
        <f>IFERROR(__xludf.DUMMYFUNCTION("""COMPUTED_VALUE"""),"128GB")</f>
        <v>128GB</v>
      </c>
      <c r="J61" s="517" t="str">
        <f>IFERROR(__xludf.DUMMYFUNCTION("""COMPUTED_VALUE"""),"SKU, CLR2, GOOD, MMWAVE")</f>
        <v>SKU, CLR2, GOOD, MMWAVE</v>
      </c>
      <c r="K61" s="517" t="str">
        <f>IFERROR(__xludf.DUMMYFUNCTION("""COMPUTED_VALUE"""),"G950-15935-01")</f>
        <v>G950-15935-01</v>
      </c>
      <c r="L61" s="517" t="str">
        <f>IFERROR(__xludf.DUMMYFUNCTION("""COMPUTED_VALUE"""),"G710-07738-00")</f>
        <v>G710-07738-00</v>
      </c>
      <c r="M61" s="517" t="str">
        <f>IFERROR(__xludf.DUMMYFUNCTION("""COMPUTED_VALUE"""),"G710-07670-01")</f>
        <v>G710-07670-01</v>
      </c>
      <c r="N61" s="517" t="str">
        <f>IFERROR(__xludf.DUMMYFUNCTION("""COMPUTED_VALUE"""),"G730-09533-02")</f>
        <v>G730-09533-02</v>
      </c>
      <c r="O61" s="517" t="str">
        <f>IFERROR(__xludf.DUMMYFUNCTION("""COMPUTED_VALUE"""),"G710-07800-01")</f>
        <v>G710-07800-01</v>
      </c>
      <c r="P61" s="517" t="str">
        <f>IFERROR(__xludf.DUMMYFUNCTION("""COMPUTED_VALUE"""),"G650-14656-06")</f>
        <v>G650-14656-06</v>
      </c>
      <c r="Q61" s="517" t="str">
        <f>IFERROR(__xludf.DUMMYFUNCTION("""COMPUTED_VALUE"""),"G650-14694-05")</f>
        <v>G650-14694-05</v>
      </c>
      <c r="R61" s="517" t="str">
        <f>IFERROR(__xludf.DUMMYFUNCTION("""COMPUTED_VALUE"""),"G650-14850-03")</f>
        <v>G650-14850-03</v>
      </c>
      <c r="S61" s="517" t="str">
        <f>IFERROR(__xludf.DUMMYFUNCTION("""COMPUTED_VALUE"""),"No")</f>
        <v>No</v>
      </c>
      <c r="T61" s="517" t="str">
        <f>IFERROR(__xludf.DUMMYFUNCTION("""COMPUTED_VALUE"""),"N")</f>
        <v>N</v>
      </c>
      <c r="U61" s="517" t="str">
        <f>IFERROR(__xludf.DUMMYFUNCTION("""COMPUTED_VALUE"""),"Y")</f>
        <v>Y</v>
      </c>
      <c r="V61" s="517"/>
    </row>
    <row r="62">
      <c r="A62" s="445">
        <v>59.0</v>
      </c>
      <c r="B62" s="517" t="str">
        <f>IFERROR(__xludf.DUMMYFUNCTION("""COMPUTED_VALUE"""),"MP")</f>
        <v>MP</v>
      </c>
      <c r="C62" s="517">
        <f>IFERROR(__xludf.DUMMYFUNCTION("""COMPUTED_VALUE"""),59.0)</f>
        <v>59</v>
      </c>
      <c r="D62" s="517" t="str">
        <f>IFERROR(__xludf.DUMMYFUNCTION("""COMPUTED_VALUE"""),"GLBW0")</f>
        <v>GLBW0</v>
      </c>
      <c r="E62" s="517" t="str">
        <f>IFERROR(__xludf.DUMMYFUNCTION("""COMPUTED_VALUE"""),"CLNRGOGA10239")</f>
        <v>CLNRGOGA10239</v>
      </c>
      <c r="F62" s="517" t="str">
        <f>IFERROR(__xludf.DUMMYFUNCTION("""COMPUTED_VALUE"""),"SKU, CLR3, GOOD, MMWAVE, VZW, FL5, FRU")</f>
        <v>SKU, CLR3, GOOD, MMWAVE, VZW, FL5, FRU</v>
      </c>
      <c r="G62" s="517" t="str">
        <f>IFERROR(__xludf.DUMMYFUNCTION("""COMPUTED_VALUE"""),"CLR3")</f>
        <v>CLR3</v>
      </c>
      <c r="H62" s="517" t="str">
        <f>IFERROR(__xludf.DUMMYFUNCTION("""COMPUTED_VALUE"""),"MMWAVE")</f>
        <v>MMWAVE</v>
      </c>
      <c r="I62" s="517" t="str">
        <f>IFERROR(__xludf.DUMMYFUNCTION("""COMPUTED_VALUE"""),"128GB")</f>
        <v>128GB</v>
      </c>
      <c r="J62" s="517" t="str">
        <f>IFERROR(__xludf.DUMMYFUNCTION("""COMPUTED_VALUE"""),"SKU, CLR3, GOOD, MMWAVE")</f>
        <v>SKU, CLR3, GOOD, MMWAVE</v>
      </c>
      <c r="K62" s="517" t="str">
        <f>IFERROR(__xludf.DUMMYFUNCTION("""COMPUTED_VALUE"""),"G950-15935-02")</f>
        <v>G950-15935-02</v>
      </c>
      <c r="L62" s="517" t="str">
        <f>IFERROR(__xludf.DUMMYFUNCTION("""COMPUTED_VALUE"""),"G710-07738-00")</f>
        <v>G710-07738-00</v>
      </c>
      <c r="M62" s="517" t="str">
        <f>IFERROR(__xludf.DUMMYFUNCTION("""COMPUTED_VALUE"""),"G710-07670-01")</f>
        <v>G710-07670-01</v>
      </c>
      <c r="N62" s="517" t="str">
        <f>IFERROR(__xludf.DUMMYFUNCTION("""COMPUTED_VALUE"""),"G730-09533-03")</f>
        <v>G730-09533-03</v>
      </c>
      <c r="O62" s="517" t="str">
        <f>IFERROR(__xludf.DUMMYFUNCTION("""COMPUTED_VALUE"""),"G710-07800-01")</f>
        <v>G710-07800-01</v>
      </c>
      <c r="P62" s="517" t="str">
        <f>IFERROR(__xludf.DUMMYFUNCTION("""COMPUTED_VALUE"""),"G650-14656-06")</f>
        <v>G650-14656-06</v>
      </c>
      <c r="Q62" s="517" t="str">
        <f>IFERROR(__xludf.DUMMYFUNCTION("""COMPUTED_VALUE"""),"G650-14694-05")</f>
        <v>G650-14694-05</v>
      </c>
      <c r="R62" s="517" t="str">
        <f>IFERROR(__xludf.DUMMYFUNCTION("""COMPUTED_VALUE"""),"G650-14850-03")</f>
        <v>G650-14850-03</v>
      </c>
      <c r="S62" s="517" t="str">
        <f>IFERROR(__xludf.DUMMYFUNCTION("""COMPUTED_VALUE"""),"No")</f>
        <v>No</v>
      </c>
      <c r="T62" s="517" t="str">
        <f>IFERROR(__xludf.DUMMYFUNCTION("""COMPUTED_VALUE"""),"N")</f>
        <v>N</v>
      </c>
      <c r="U62" s="517" t="str">
        <f>IFERROR(__xludf.DUMMYFUNCTION("""COMPUTED_VALUE"""),"Y")</f>
        <v>Y</v>
      </c>
      <c r="V62" s="517"/>
    </row>
    <row r="63">
      <c r="A63" s="445">
        <v>60.0</v>
      </c>
      <c r="B63" s="517" t="str">
        <f>IFERROR(__xludf.DUMMYFUNCTION("""COMPUTED_VALUE"""),"MP")</f>
        <v>MP</v>
      </c>
      <c r="C63" s="517">
        <f>IFERROR(__xludf.DUMMYFUNCTION("""COMPUTED_VALUE"""),60.0)</f>
        <v>60</v>
      </c>
      <c r="D63" s="517" t="str">
        <f>IFERROR(__xludf.DUMMYFUNCTION("""COMPUTED_VALUE"""),"GLBW0")</f>
        <v>GLBW0</v>
      </c>
      <c r="E63" s="517" t="str">
        <f>IFERROR(__xludf.DUMMYFUNCTION("""COMPUTED_VALUE"""),"CLNRGOGA10240")</f>
        <v>CLNRGOGA10240</v>
      </c>
      <c r="F63" s="517" t="str">
        <f>IFERROR(__xludf.DUMMYFUNCTION("""COMPUTED_VALUE"""),"SKU, CLR4, GOOD, MMWAVE, VZW, FL5, FRU")</f>
        <v>SKU, CLR4, GOOD, MMWAVE, VZW, FL5, FRU</v>
      </c>
      <c r="G63" s="517" t="str">
        <f>IFERROR(__xludf.DUMMYFUNCTION("""COMPUTED_VALUE"""),"CLR4")</f>
        <v>CLR4</v>
      </c>
      <c r="H63" s="517" t="str">
        <f>IFERROR(__xludf.DUMMYFUNCTION("""COMPUTED_VALUE"""),"MMWAVE")</f>
        <v>MMWAVE</v>
      </c>
      <c r="I63" s="517" t="str">
        <f>IFERROR(__xludf.DUMMYFUNCTION("""COMPUTED_VALUE"""),"128GB")</f>
        <v>128GB</v>
      </c>
      <c r="J63" s="517" t="str">
        <f>IFERROR(__xludf.DUMMYFUNCTION("""COMPUTED_VALUE"""),"SKU, CLR4, GOOD, MMWAVE")</f>
        <v>SKU, CLR4, GOOD, MMWAVE</v>
      </c>
      <c r="K63" s="517" t="str">
        <f>IFERROR(__xludf.DUMMYFUNCTION("""COMPUTED_VALUE"""),"G950-15935-03")</f>
        <v>G950-15935-03</v>
      </c>
      <c r="L63" s="517" t="str">
        <f>IFERROR(__xludf.DUMMYFUNCTION("""COMPUTED_VALUE"""),"G710-07738-00")</f>
        <v>G710-07738-00</v>
      </c>
      <c r="M63" s="517" t="str">
        <f>IFERROR(__xludf.DUMMYFUNCTION("""COMPUTED_VALUE"""),"G710-07670-01")</f>
        <v>G710-07670-01</v>
      </c>
      <c r="N63" s="517" t="str">
        <f>IFERROR(__xludf.DUMMYFUNCTION("""COMPUTED_VALUE"""),"G730-09533-04")</f>
        <v>G730-09533-04</v>
      </c>
      <c r="O63" s="517" t="str">
        <f>IFERROR(__xludf.DUMMYFUNCTION("""COMPUTED_VALUE"""),"G710-07800-01")</f>
        <v>G710-07800-01</v>
      </c>
      <c r="P63" s="517" t="str">
        <f>IFERROR(__xludf.DUMMYFUNCTION("""COMPUTED_VALUE"""),"G650-14656-06")</f>
        <v>G650-14656-06</v>
      </c>
      <c r="Q63" s="517" t="str">
        <f>IFERROR(__xludf.DUMMYFUNCTION("""COMPUTED_VALUE"""),"G650-14694-05")</f>
        <v>G650-14694-05</v>
      </c>
      <c r="R63" s="517" t="str">
        <f>IFERROR(__xludf.DUMMYFUNCTION("""COMPUTED_VALUE"""),"G650-14850-03")</f>
        <v>G650-14850-03</v>
      </c>
      <c r="S63" s="517" t="str">
        <f>IFERROR(__xludf.DUMMYFUNCTION("""COMPUTED_VALUE"""),"No")</f>
        <v>No</v>
      </c>
      <c r="T63" s="517" t="str">
        <f>IFERROR(__xludf.DUMMYFUNCTION("""COMPUTED_VALUE"""),"N")</f>
        <v>N</v>
      </c>
      <c r="U63" s="517" t="str">
        <f>IFERROR(__xludf.DUMMYFUNCTION("""COMPUTED_VALUE"""),"Y")</f>
        <v>Y</v>
      </c>
      <c r="V63" s="517"/>
    </row>
    <row r="64">
      <c r="A64" s="445">
        <v>61.0</v>
      </c>
      <c r="B64" s="517" t="str">
        <f>IFERROR(__xludf.DUMMYFUNCTION("""COMPUTED_VALUE"""),"MP")</f>
        <v>MP</v>
      </c>
      <c r="C64" s="517">
        <f>IFERROR(__xludf.DUMMYFUNCTION("""COMPUTED_VALUE"""),61.0)</f>
        <v>61</v>
      </c>
      <c r="D64" s="517" t="str">
        <f>IFERROR(__xludf.DUMMYFUNCTION("""COMPUTED_VALUE"""),"GLBW0")</f>
        <v>GLBW0</v>
      </c>
      <c r="E64" s="517" t="str">
        <f>IFERROR(__xludf.DUMMYFUNCTION("""COMPUTED_VALUE"""),"CLNRGOGA09880")</f>
        <v>CLNRGOGA09880</v>
      </c>
      <c r="F64" s="517" t="str">
        <f>IFERROR(__xludf.DUMMYFUNCTION("""COMPUTED_VALUE"""),"SKU, CLR1, BETTER, MMWAVE, VZW, FL5, FRU")</f>
        <v>SKU, CLR1, BETTER, MMWAVE, VZW, FL5, FRU</v>
      </c>
      <c r="G64" s="517" t="str">
        <f>IFERROR(__xludf.DUMMYFUNCTION("""COMPUTED_VALUE"""),"CLR1")</f>
        <v>CLR1</v>
      </c>
      <c r="H64" s="517" t="str">
        <f>IFERROR(__xludf.DUMMYFUNCTION("""COMPUTED_VALUE"""),"MMWAVE")</f>
        <v>MMWAVE</v>
      </c>
      <c r="I64" s="517" t="str">
        <f>IFERROR(__xludf.DUMMYFUNCTION("""COMPUTED_VALUE"""),"256GB")</f>
        <v>256GB</v>
      </c>
      <c r="J64" s="517" t="str">
        <f>IFERROR(__xludf.DUMMYFUNCTION("""COMPUTED_VALUE"""),"SKU, CLR1, BETTER, MMWAVE")</f>
        <v>SKU, CLR1, BETTER, MMWAVE</v>
      </c>
      <c r="K64" s="517" t="str">
        <f>IFERROR(__xludf.DUMMYFUNCTION("""COMPUTED_VALUE"""),"G950-15935-04")</f>
        <v>G950-15935-04</v>
      </c>
      <c r="L64" s="517" t="str">
        <f>IFERROR(__xludf.DUMMYFUNCTION("""COMPUTED_VALUE"""),"G710-07738-00")</f>
        <v>G710-07738-00</v>
      </c>
      <c r="M64" s="517" t="str">
        <f>IFERROR(__xludf.DUMMYFUNCTION("""COMPUTED_VALUE"""),"G710-07670-01")</f>
        <v>G710-07670-01</v>
      </c>
      <c r="N64" s="517" t="str">
        <f>IFERROR(__xludf.DUMMYFUNCTION("""COMPUTED_VALUE"""),"G730-09533-01")</f>
        <v>G730-09533-01</v>
      </c>
      <c r="O64" s="517" t="str">
        <f>IFERROR(__xludf.DUMMYFUNCTION("""COMPUTED_VALUE"""),"G710-07800-11")</f>
        <v>G710-07800-11</v>
      </c>
      <c r="P64" s="517" t="str">
        <f>IFERROR(__xludf.DUMMYFUNCTION("""COMPUTED_VALUE"""),"G650-17427-06")</f>
        <v>G650-17427-06</v>
      </c>
      <c r="Q64" s="517" t="str">
        <f>IFERROR(__xludf.DUMMYFUNCTION("""COMPUTED_VALUE"""),"G650-14694-05")</f>
        <v>G650-14694-05</v>
      </c>
      <c r="R64" s="517" t="str">
        <f>IFERROR(__xludf.DUMMYFUNCTION("""COMPUTED_VALUE"""),"G650-14850-03")</f>
        <v>G650-14850-03</v>
      </c>
      <c r="S64" s="517" t="str">
        <f>IFERROR(__xludf.DUMMYFUNCTION("""COMPUTED_VALUE"""),"No")</f>
        <v>No</v>
      </c>
      <c r="T64" s="517" t="str">
        <f>IFERROR(__xludf.DUMMYFUNCTION("""COMPUTED_VALUE"""),"N")</f>
        <v>N</v>
      </c>
      <c r="U64" s="517" t="str">
        <f>IFERROR(__xludf.DUMMYFUNCTION("""COMPUTED_VALUE"""),"Y")</f>
        <v>Y</v>
      </c>
      <c r="V64" s="517"/>
    </row>
    <row r="65">
      <c r="A65" s="445">
        <v>62.0</v>
      </c>
      <c r="B65" s="517" t="str">
        <f>IFERROR(__xludf.DUMMYFUNCTION("""COMPUTED_VALUE"""),"MP")</f>
        <v>MP</v>
      </c>
      <c r="C65" s="517">
        <f>IFERROR(__xludf.DUMMYFUNCTION("""COMPUTED_VALUE"""),62.0)</f>
        <v>62</v>
      </c>
      <c r="D65" s="517" t="str">
        <f>IFERROR(__xludf.DUMMYFUNCTION("""COMPUTED_VALUE"""),"GLBW0")</f>
        <v>GLBW0</v>
      </c>
      <c r="E65" s="517" t="str">
        <f>IFERROR(__xludf.DUMMYFUNCTION("""COMPUTED_VALUE"""),"CLNRGOGA10243")</f>
        <v>CLNRGOGA10243</v>
      </c>
      <c r="F65" s="517" t="str">
        <f>IFERROR(__xludf.DUMMYFUNCTION("""COMPUTED_VALUE"""),"SKU, CLR4, BETTER, MMWAVE, VZW, FL5, FRU")</f>
        <v>SKU, CLR4, BETTER, MMWAVE, VZW, FL5, FRU</v>
      </c>
      <c r="G65" s="517" t="str">
        <f>IFERROR(__xludf.DUMMYFUNCTION("""COMPUTED_VALUE"""),"CLR4")</f>
        <v>CLR4</v>
      </c>
      <c r="H65" s="517" t="str">
        <f>IFERROR(__xludf.DUMMYFUNCTION("""COMPUTED_VALUE"""),"MMWAVE")</f>
        <v>MMWAVE</v>
      </c>
      <c r="I65" s="517" t="str">
        <f>IFERROR(__xludf.DUMMYFUNCTION("""COMPUTED_VALUE"""),"256GB")</f>
        <v>256GB</v>
      </c>
      <c r="J65" s="517" t="str">
        <f>IFERROR(__xludf.DUMMYFUNCTION("""COMPUTED_VALUE"""),"SKU, CLR4, BETTER, MMWAVE")</f>
        <v>SKU, CLR4, BETTER, MMWAVE</v>
      </c>
      <c r="K65" s="517" t="str">
        <f>IFERROR(__xludf.DUMMYFUNCTION("""COMPUTED_VALUE"""),"G950-15935-07")</f>
        <v>G950-15935-07</v>
      </c>
      <c r="L65" s="517" t="str">
        <f>IFERROR(__xludf.DUMMYFUNCTION("""COMPUTED_VALUE"""),"G710-07738-00")</f>
        <v>G710-07738-00</v>
      </c>
      <c r="M65" s="517" t="str">
        <f>IFERROR(__xludf.DUMMYFUNCTION("""COMPUTED_VALUE"""),"G710-07670-01")</f>
        <v>G710-07670-01</v>
      </c>
      <c r="N65" s="517" t="str">
        <f>IFERROR(__xludf.DUMMYFUNCTION("""COMPUTED_VALUE"""),"G730-09533-04")</f>
        <v>G730-09533-04</v>
      </c>
      <c r="O65" s="517" t="str">
        <f>IFERROR(__xludf.DUMMYFUNCTION("""COMPUTED_VALUE"""),"G710-07800-11")</f>
        <v>G710-07800-11</v>
      </c>
      <c r="P65" s="517" t="str">
        <f>IFERROR(__xludf.DUMMYFUNCTION("""COMPUTED_VALUE"""),"G650-17427-06")</f>
        <v>G650-17427-06</v>
      </c>
      <c r="Q65" s="517" t="str">
        <f>IFERROR(__xludf.DUMMYFUNCTION("""COMPUTED_VALUE"""),"G650-14694-05")</f>
        <v>G650-14694-05</v>
      </c>
      <c r="R65" s="517" t="str">
        <f>IFERROR(__xludf.DUMMYFUNCTION("""COMPUTED_VALUE"""),"G650-14850-03")</f>
        <v>G650-14850-03</v>
      </c>
      <c r="S65" s="517" t="str">
        <f>IFERROR(__xludf.DUMMYFUNCTION("""COMPUTED_VALUE"""),"No")</f>
        <v>No</v>
      </c>
      <c r="T65" s="517" t="str">
        <f>IFERROR(__xludf.DUMMYFUNCTION("""COMPUTED_VALUE"""),"N")</f>
        <v>N</v>
      </c>
      <c r="U65" s="517" t="str">
        <f>IFERROR(__xludf.DUMMYFUNCTION("""COMPUTED_VALUE"""),"Y")</f>
        <v>Y</v>
      </c>
      <c r="V65" s="517"/>
    </row>
    <row r="66">
      <c r="A66" s="445">
        <v>63.0</v>
      </c>
      <c r="B66" s="517" t="str">
        <f>IFERROR(__xludf.DUMMYFUNCTION("""COMPUTED_VALUE"""),"MP")</f>
        <v>MP</v>
      </c>
      <c r="C66" s="517">
        <f>IFERROR(__xludf.DUMMYFUNCTION("""COMPUTED_VALUE"""),63.0)</f>
        <v>63</v>
      </c>
      <c r="D66" s="517" t="str">
        <f>IFERROR(__xludf.DUMMYFUNCTION("""COMPUTED_VALUE"""),"GLBW0")</f>
        <v>GLBW0</v>
      </c>
      <c r="E66" s="517" t="str">
        <f>IFERROR(__xludf.DUMMYFUNCTION("""COMPUTED_VALUE"""),"CLNRGA09862")</f>
        <v>CLNRGA09862</v>
      </c>
      <c r="F66" s="517" t="str">
        <f>IFERROR(__xludf.DUMMYFUNCTION("""COMPUTED_VALUE"""),"SKU, CLR1, GOOD, MMWAVE, TMO, FL5, FRU")</f>
        <v>SKU, CLR1, GOOD, MMWAVE, TMO, FL5, FRU</v>
      </c>
      <c r="G66" s="517" t="str">
        <f>IFERROR(__xludf.DUMMYFUNCTION("""COMPUTED_VALUE"""),"CLR1")</f>
        <v>CLR1</v>
      </c>
      <c r="H66" s="517" t="str">
        <f>IFERROR(__xludf.DUMMYFUNCTION("""COMPUTED_VALUE"""),"MMWAVE")</f>
        <v>MMWAVE</v>
      </c>
      <c r="I66" s="517" t="str">
        <f>IFERROR(__xludf.DUMMYFUNCTION("""COMPUTED_VALUE"""),"128GB")</f>
        <v>128GB</v>
      </c>
      <c r="J66" s="517" t="str">
        <f>IFERROR(__xludf.DUMMYFUNCTION("""COMPUTED_VALUE"""),"SKU, CLR1, GOOD, MMWAVE")</f>
        <v>SKU, CLR1, GOOD, MMWAVE</v>
      </c>
      <c r="K66" s="517" t="str">
        <f>IFERROR(__xludf.DUMMYFUNCTION("""COMPUTED_VALUE"""),"G950-15935-00")</f>
        <v>G950-15935-00</v>
      </c>
      <c r="L66" s="517" t="str">
        <f>IFERROR(__xludf.DUMMYFUNCTION("""COMPUTED_VALUE"""),"G710-07738-00")</f>
        <v>G710-07738-00</v>
      </c>
      <c r="M66" s="517" t="str">
        <f>IFERROR(__xludf.DUMMYFUNCTION("""COMPUTED_VALUE"""),"G710-07670-01")</f>
        <v>G710-07670-01</v>
      </c>
      <c r="N66" s="517" t="str">
        <f>IFERROR(__xludf.DUMMYFUNCTION("""COMPUTED_VALUE"""),"G730-09533-01")</f>
        <v>G730-09533-01</v>
      </c>
      <c r="O66" s="517" t="str">
        <f>IFERROR(__xludf.DUMMYFUNCTION("""COMPUTED_VALUE"""),"G710-07800-01")</f>
        <v>G710-07800-01</v>
      </c>
      <c r="P66" s="517" t="str">
        <f>IFERROR(__xludf.DUMMYFUNCTION("""COMPUTED_VALUE"""),"G650-14656-06")</f>
        <v>G650-14656-06</v>
      </c>
      <c r="Q66" s="517" t="str">
        <f>IFERROR(__xludf.DUMMYFUNCTION("""COMPUTED_VALUE"""),"G650-14694-05")</f>
        <v>G650-14694-05</v>
      </c>
      <c r="R66" s="517" t="str">
        <f>IFERROR(__xludf.DUMMYFUNCTION("""COMPUTED_VALUE"""),"G650-14850-03")</f>
        <v>G650-14850-03</v>
      </c>
      <c r="S66" s="517" t="str">
        <f>IFERROR(__xludf.DUMMYFUNCTION("""COMPUTED_VALUE"""),"No")</f>
        <v>No</v>
      </c>
      <c r="T66" s="517" t="str">
        <f>IFERROR(__xludf.DUMMYFUNCTION("""COMPUTED_VALUE"""),"N")</f>
        <v>N</v>
      </c>
      <c r="U66" s="517" t="str">
        <f>IFERROR(__xludf.DUMMYFUNCTION("""COMPUTED_VALUE"""),"Y")</f>
        <v>Y</v>
      </c>
      <c r="V66" s="517"/>
    </row>
    <row r="67">
      <c r="A67" s="445">
        <v>64.0</v>
      </c>
      <c r="B67" s="517" t="str">
        <f>IFERROR(__xludf.DUMMYFUNCTION("""COMPUTED_VALUE"""),"MP")</f>
        <v>MP</v>
      </c>
      <c r="C67" s="517">
        <f>IFERROR(__xludf.DUMMYFUNCTION("""COMPUTED_VALUE"""),64.0)</f>
        <v>64</v>
      </c>
      <c r="D67" s="517" t="str">
        <f>IFERROR(__xludf.DUMMYFUNCTION("""COMPUTED_VALUE"""),"GLBW0")</f>
        <v>GLBW0</v>
      </c>
      <c r="E67" s="517" t="str">
        <f>IFERROR(__xludf.DUMMYFUNCTION("""COMPUTED_VALUE"""),"CLNRGA10252")</f>
        <v>CLNRGA10252</v>
      </c>
      <c r="F67" s="517" t="str">
        <f>IFERROR(__xludf.DUMMYFUNCTION("""COMPUTED_VALUE"""),"SKU, CLR4, GOOD, MMWAVE, TMO, FL5, FRU")</f>
        <v>SKU, CLR4, GOOD, MMWAVE, TMO, FL5, FRU</v>
      </c>
      <c r="G67" s="517" t="str">
        <f>IFERROR(__xludf.DUMMYFUNCTION("""COMPUTED_VALUE"""),"CLR4")</f>
        <v>CLR4</v>
      </c>
      <c r="H67" s="517" t="str">
        <f>IFERROR(__xludf.DUMMYFUNCTION("""COMPUTED_VALUE"""),"MMWAVE")</f>
        <v>MMWAVE</v>
      </c>
      <c r="I67" s="517" t="str">
        <f>IFERROR(__xludf.DUMMYFUNCTION("""COMPUTED_VALUE"""),"128GB")</f>
        <v>128GB</v>
      </c>
      <c r="J67" s="517" t="str">
        <f>IFERROR(__xludf.DUMMYFUNCTION("""COMPUTED_VALUE"""),"SKU, CLR4, GOOD, MMWAVE")</f>
        <v>SKU, CLR4, GOOD, MMWAVE</v>
      </c>
      <c r="K67" s="517" t="str">
        <f>IFERROR(__xludf.DUMMYFUNCTION("""COMPUTED_VALUE"""),"G950-15935-03")</f>
        <v>G950-15935-03</v>
      </c>
      <c r="L67" s="517" t="str">
        <f>IFERROR(__xludf.DUMMYFUNCTION("""COMPUTED_VALUE"""),"G710-07738-00")</f>
        <v>G710-07738-00</v>
      </c>
      <c r="M67" s="517" t="str">
        <f>IFERROR(__xludf.DUMMYFUNCTION("""COMPUTED_VALUE"""),"G710-07670-01")</f>
        <v>G710-07670-01</v>
      </c>
      <c r="N67" s="517" t="str">
        <f>IFERROR(__xludf.DUMMYFUNCTION("""COMPUTED_VALUE"""),"G730-09533-04")</f>
        <v>G730-09533-04</v>
      </c>
      <c r="O67" s="517" t="str">
        <f>IFERROR(__xludf.DUMMYFUNCTION("""COMPUTED_VALUE"""),"G710-07800-01")</f>
        <v>G710-07800-01</v>
      </c>
      <c r="P67" s="517" t="str">
        <f>IFERROR(__xludf.DUMMYFUNCTION("""COMPUTED_VALUE"""),"G650-14656-06")</f>
        <v>G650-14656-06</v>
      </c>
      <c r="Q67" s="517" t="str">
        <f>IFERROR(__xludf.DUMMYFUNCTION("""COMPUTED_VALUE"""),"G650-14694-05")</f>
        <v>G650-14694-05</v>
      </c>
      <c r="R67" s="517" t="str">
        <f>IFERROR(__xludf.DUMMYFUNCTION("""COMPUTED_VALUE"""),"G650-14850-03")</f>
        <v>G650-14850-03</v>
      </c>
      <c r="S67" s="517" t="str">
        <f>IFERROR(__xludf.DUMMYFUNCTION("""COMPUTED_VALUE"""),"No")</f>
        <v>No</v>
      </c>
      <c r="T67" s="517" t="str">
        <f>IFERROR(__xludf.DUMMYFUNCTION("""COMPUTED_VALUE"""),"N")</f>
        <v>N</v>
      </c>
      <c r="U67" s="517" t="str">
        <f>IFERROR(__xludf.DUMMYFUNCTION("""COMPUTED_VALUE"""),"Y")</f>
        <v>Y</v>
      </c>
      <c r="V67" s="517"/>
    </row>
    <row r="68">
      <c r="A68" s="445">
        <v>65.0</v>
      </c>
      <c r="B68" s="517" t="str">
        <f>IFERROR(__xludf.DUMMYFUNCTION("""COMPUTED_VALUE"""),"MP")</f>
        <v>MP</v>
      </c>
      <c r="C68" s="517">
        <f>IFERROR(__xludf.DUMMYFUNCTION("""COMPUTED_VALUE"""),65.0)</f>
        <v>65</v>
      </c>
      <c r="D68" s="517" t="str">
        <f>IFERROR(__xludf.DUMMYFUNCTION("""COMPUTED_VALUE"""),"GLBW0")</f>
        <v>GLBW0</v>
      </c>
      <c r="E68" s="517" t="str">
        <f>IFERROR(__xludf.DUMMYFUNCTION("""COMPUTED_VALUE"""),"CLNRGA09882")</f>
        <v>CLNRGA09882</v>
      </c>
      <c r="F68" s="517" t="str">
        <f>IFERROR(__xludf.DUMMYFUNCTION("""COMPUTED_VALUE"""),"SKU, CLR1, BETTER, MMWAVE, TMO, FL5, FRU")</f>
        <v>SKU, CLR1, BETTER, MMWAVE, TMO, FL5, FRU</v>
      </c>
      <c r="G68" s="517" t="str">
        <f>IFERROR(__xludf.DUMMYFUNCTION("""COMPUTED_VALUE"""),"CLR1")</f>
        <v>CLR1</v>
      </c>
      <c r="H68" s="517" t="str">
        <f>IFERROR(__xludf.DUMMYFUNCTION("""COMPUTED_VALUE"""),"MMWAVE")</f>
        <v>MMWAVE</v>
      </c>
      <c r="I68" s="517" t="str">
        <f>IFERROR(__xludf.DUMMYFUNCTION("""COMPUTED_VALUE"""),"256GB")</f>
        <v>256GB</v>
      </c>
      <c r="J68" s="517" t="str">
        <f>IFERROR(__xludf.DUMMYFUNCTION("""COMPUTED_VALUE"""),"SKU, CLR1, BETTER, MMWAVE")</f>
        <v>SKU, CLR1, BETTER, MMWAVE</v>
      </c>
      <c r="K68" s="517" t="str">
        <f>IFERROR(__xludf.DUMMYFUNCTION("""COMPUTED_VALUE"""),"G950-15935-04")</f>
        <v>G950-15935-04</v>
      </c>
      <c r="L68" s="517" t="str">
        <f>IFERROR(__xludf.DUMMYFUNCTION("""COMPUTED_VALUE"""),"G710-07738-00")</f>
        <v>G710-07738-00</v>
      </c>
      <c r="M68" s="517" t="str">
        <f>IFERROR(__xludf.DUMMYFUNCTION("""COMPUTED_VALUE"""),"G710-07670-01")</f>
        <v>G710-07670-01</v>
      </c>
      <c r="N68" s="517" t="str">
        <f>IFERROR(__xludf.DUMMYFUNCTION("""COMPUTED_VALUE"""),"G730-09533-01")</f>
        <v>G730-09533-01</v>
      </c>
      <c r="O68" s="517" t="str">
        <f>IFERROR(__xludf.DUMMYFUNCTION("""COMPUTED_VALUE"""),"G710-07800-11")</f>
        <v>G710-07800-11</v>
      </c>
      <c r="P68" s="517" t="str">
        <f>IFERROR(__xludf.DUMMYFUNCTION("""COMPUTED_VALUE"""),"G650-17427-06")</f>
        <v>G650-17427-06</v>
      </c>
      <c r="Q68" s="517" t="str">
        <f>IFERROR(__xludf.DUMMYFUNCTION("""COMPUTED_VALUE"""),"G650-14694-05")</f>
        <v>G650-14694-05</v>
      </c>
      <c r="R68" s="517" t="str">
        <f>IFERROR(__xludf.DUMMYFUNCTION("""COMPUTED_VALUE"""),"G650-14850-03")</f>
        <v>G650-14850-03</v>
      </c>
      <c r="S68" s="517" t="str">
        <f>IFERROR(__xludf.DUMMYFUNCTION("""COMPUTED_VALUE"""),"No")</f>
        <v>No</v>
      </c>
      <c r="T68" s="517" t="str">
        <f>IFERROR(__xludf.DUMMYFUNCTION("""COMPUTED_VALUE"""),"N")</f>
        <v>N</v>
      </c>
      <c r="U68" s="517" t="str">
        <f>IFERROR(__xludf.DUMMYFUNCTION("""COMPUTED_VALUE"""),"Y")</f>
        <v>Y</v>
      </c>
      <c r="V68" s="517"/>
    </row>
    <row r="69">
      <c r="A69" s="445">
        <v>66.0</v>
      </c>
      <c r="B69" s="517" t="str">
        <f>IFERROR(__xludf.DUMMYFUNCTION("""COMPUTED_VALUE"""),"MP")</f>
        <v>MP</v>
      </c>
      <c r="C69" s="517">
        <f>IFERROR(__xludf.DUMMYFUNCTION("""COMPUTED_VALUE"""),66.0)</f>
        <v>66</v>
      </c>
      <c r="D69" s="517" t="str">
        <f>IFERROR(__xludf.DUMMYFUNCTION("""COMPUTED_VALUE"""),"GLBW0")</f>
        <v>GLBW0</v>
      </c>
      <c r="E69" s="517" t="str">
        <f>IFERROR(__xludf.DUMMYFUNCTION("""COMPUTED_VALUE"""),"CLNRGA09744")</f>
        <v>CLNRGA09744</v>
      </c>
      <c r="F69" s="517" t="str">
        <f>IFERROR(__xludf.DUMMYFUNCTION("""COMPUTED_VALUE"""),"SKU, CLR1, GOOD, MMWAVE, GSTORE, FL5, FRU")</f>
        <v>SKU, CLR1, GOOD, MMWAVE, GSTORE, FL5, FRU</v>
      </c>
      <c r="G69" s="517" t="str">
        <f>IFERROR(__xludf.DUMMYFUNCTION("""COMPUTED_VALUE"""),"CLR1")</f>
        <v>CLR1</v>
      </c>
      <c r="H69" s="517" t="str">
        <f>IFERROR(__xludf.DUMMYFUNCTION("""COMPUTED_VALUE"""),"MMWAVE")</f>
        <v>MMWAVE</v>
      </c>
      <c r="I69" s="517" t="str">
        <f>IFERROR(__xludf.DUMMYFUNCTION("""COMPUTED_VALUE"""),"128GB")</f>
        <v>128GB</v>
      </c>
      <c r="J69" s="517" t="str">
        <f>IFERROR(__xludf.DUMMYFUNCTION("""COMPUTED_VALUE"""),"SKU, CLR1, GOOD, MMWAVE")</f>
        <v>SKU, CLR1, GOOD, MMWAVE</v>
      </c>
      <c r="K69" s="517" t="str">
        <f>IFERROR(__xludf.DUMMYFUNCTION("""COMPUTED_VALUE"""),"G950-15935-00")</f>
        <v>G950-15935-00</v>
      </c>
      <c r="L69" s="517" t="str">
        <f>IFERROR(__xludf.DUMMYFUNCTION("""COMPUTED_VALUE"""),"G710-07738-00")</f>
        <v>G710-07738-00</v>
      </c>
      <c r="M69" s="517" t="str">
        <f>IFERROR(__xludf.DUMMYFUNCTION("""COMPUTED_VALUE"""),"G710-07670-01")</f>
        <v>G710-07670-01</v>
      </c>
      <c r="N69" s="517" t="str">
        <f>IFERROR(__xludf.DUMMYFUNCTION("""COMPUTED_VALUE"""),"G730-09533-01")</f>
        <v>G730-09533-01</v>
      </c>
      <c r="O69" s="517" t="str">
        <f>IFERROR(__xludf.DUMMYFUNCTION("""COMPUTED_VALUE"""),"G710-07800-01")</f>
        <v>G710-07800-01</v>
      </c>
      <c r="P69" s="517" t="str">
        <f>IFERROR(__xludf.DUMMYFUNCTION("""COMPUTED_VALUE"""),"G650-14656-06")</f>
        <v>G650-14656-06</v>
      </c>
      <c r="Q69" s="517" t="str">
        <f>IFERROR(__xludf.DUMMYFUNCTION("""COMPUTED_VALUE"""),"G650-14694-05")</f>
        <v>G650-14694-05</v>
      </c>
      <c r="R69" s="517" t="str">
        <f>IFERROR(__xludf.DUMMYFUNCTION("""COMPUTED_VALUE"""),"G650-14850-03")</f>
        <v>G650-14850-03</v>
      </c>
      <c r="S69" s="517" t="str">
        <f>IFERROR(__xludf.DUMMYFUNCTION("""COMPUTED_VALUE"""),"No")</f>
        <v>No</v>
      </c>
      <c r="T69" s="517" t="str">
        <f>IFERROR(__xludf.DUMMYFUNCTION("""COMPUTED_VALUE"""),"N")</f>
        <v>N</v>
      </c>
      <c r="U69" s="517" t="str">
        <f>IFERROR(__xludf.DUMMYFUNCTION("""COMPUTED_VALUE"""),"Y")</f>
        <v>Y</v>
      </c>
      <c r="V69" s="517"/>
    </row>
    <row r="70">
      <c r="A70" s="445">
        <v>67.0</v>
      </c>
      <c r="B70" s="517" t="str">
        <f>IFERROR(__xludf.DUMMYFUNCTION("""COMPUTED_VALUE"""),"MP")</f>
        <v>MP</v>
      </c>
      <c r="C70" s="517">
        <f>IFERROR(__xludf.DUMMYFUNCTION("""COMPUTED_VALUE"""),67.0)</f>
        <v>67</v>
      </c>
      <c r="D70" s="517" t="str">
        <f>IFERROR(__xludf.DUMMYFUNCTION("""COMPUTED_VALUE"""),"GLBW0")</f>
        <v>GLBW0</v>
      </c>
      <c r="E70" s="517" t="str">
        <f>IFERROR(__xludf.DUMMYFUNCTION("""COMPUTED_VALUE"""),"CLNRGA10214")</f>
        <v>CLNRGA10214</v>
      </c>
      <c r="F70" s="517" t="str">
        <f>IFERROR(__xludf.DUMMYFUNCTION("""COMPUTED_VALUE"""),"SKU, CLR2, GOOD, MMWAVE, GSTORE, FL5, FRU")</f>
        <v>SKU, CLR2, GOOD, MMWAVE, GSTORE, FL5, FRU</v>
      </c>
      <c r="G70" s="517" t="str">
        <f>IFERROR(__xludf.DUMMYFUNCTION("""COMPUTED_VALUE"""),"CLR2")</f>
        <v>CLR2</v>
      </c>
      <c r="H70" s="517" t="str">
        <f>IFERROR(__xludf.DUMMYFUNCTION("""COMPUTED_VALUE"""),"MMWAVE")</f>
        <v>MMWAVE</v>
      </c>
      <c r="I70" s="517" t="str">
        <f>IFERROR(__xludf.DUMMYFUNCTION("""COMPUTED_VALUE"""),"128GB")</f>
        <v>128GB</v>
      </c>
      <c r="J70" s="517" t="str">
        <f>IFERROR(__xludf.DUMMYFUNCTION("""COMPUTED_VALUE"""),"SKU, CLR2, GOOD, MMWAVE")</f>
        <v>SKU, CLR2, GOOD, MMWAVE</v>
      </c>
      <c r="K70" s="517" t="str">
        <f>IFERROR(__xludf.DUMMYFUNCTION("""COMPUTED_VALUE"""),"G950-15935-01")</f>
        <v>G950-15935-01</v>
      </c>
      <c r="L70" s="517" t="str">
        <f>IFERROR(__xludf.DUMMYFUNCTION("""COMPUTED_VALUE"""),"G710-07738-00")</f>
        <v>G710-07738-00</v>
      </c>
      <c r="M70" s="517" t="str">
        <f>IFERROR(__xludf.DUMMYFUNCTION("""COMPUTED_VALUE"""),"G710-07670-01")</f>
        <v>G710-07670-01</v>
      </c>
      <c r="N70" s="517" t="str">
        <f>IFERROR(__xludf.DUMMYFUNCTION("""COMPUTED_VALUE"""),"G730-09533-02")</f>
        <v>G730-09533-02</v>
      </c>
      <c r="O70" s="517" t="str">
        <f>IFERROR(__xludf.DUMMYFUNCTION("""COMPUTED_VALUE"""),"G710-07800-01")</f>
        <v>G710-07800-01</v>
      </c>
      <c r="P70" s="517" t="str">
        <f>IFERROR(__xludf.DUMMYFUNCTION("""COMPUTED_VALUE"""),"G650-14656-06")</f>
        <v>G650-14656-06</v>
      </c>
      <c r="Q70" s="517" t="str">
        <f>IFERROR(__xludf.DUMMYFUNCTION("""COMPUTED_VALUE"""),"G650-14694-05")</f>
        <v>G650-14694-05</v>
      </c>
      <c r="R70" s="517" t="str">
        <f>IFERROR(__xludf.DUMMYFUNCTION("""COMPUTED_VALUE"""),"G650-14850-03")</f>
        <v>G650-14850-03</v>
      </c>
      <c r="S70" s="517" t="str">
        <f>IFERROR(__xludf.DUMMYFUNCTION("""COMPUTED_VALUE"""),"No")</f>
        <v>No</v>
      </c>
      <c r="T70" s="517" t="str">
        <f>IFERROR(__xludf.DUMMYFUNCTION("""COMPUTED_VALUE"""),"N")</f>
        <v>N</v>
      </c>
      <c r="U70" s="517" t="str">
        <f>IFERROR(__xludf.DUMMYFUNCTION("""COMPUTED_VALUE"""),"Y")</f>
        <v>Y</v>
      </c>
      <c r="V70" s="517"/>
    </row>
    <row r="71">
      <c r="A71" s="445">
        <v>68.0</v>
      </c>
      <c r="B71" s="517" t="str">
        <f>IFERROR(__xludf.DUMMYFUNCTION("""COMPUTED_VALUE"""),"MP")</f>
        <v>MP</v>
      </c>
      <c r="C71" s="517">
        <f>IFERROR(__xludf.DUMMYFUNCTION("""COMPUTED_VALUE"""),68.0)</f>
        <v>68</v>
      </c>
      <c r="D71" s="517" t="str">
        <f>IFERROR(__xludf.DUMMYFUNCTION("""COMPUTED_VALUE"""),"GLBW0")</f>
        <v>GLBW0</v>
      </c>
      <c r="E71" s="517" t="str">
        <f>IFERROR(__xludf.DUMMYFUNCTION("""COMPUTED_VALUE"""),"CLNRGA10215")</f>
        <v>CLNRGA10215</v>
      </c>
      <c r="F71" s="517" t="str">
        <f>IFERROR(__xludf.DUMMYFUNCTION("""COMPUTED_VALUE"""),"SKU, CLR3, GOOD, MMWAVE, GSTORE, FL5, FRU")</f>
        <v>SKU, CLR3, GOOD, MMWAVE, GSTORE, FL5, FRU</v>
      </c>
      <c r="G71" s="517" t="str">
        <f>IFERROR(__xludf.DUMMYFUNCTION("""COMPUTED_VALUE"""),"CLR3")</f>
        <v>CLR3</v>
      </c>
      <c r="H71" s="517" t="str">
        <f>IFERROR(__xludf.DUMMYFUNCTION("""COMPUTED_VALUE"""),"MMWAVE")</f>
        <v>MMWAVE</v>
      </c>
      <c r="I71" s="517" t="str">
        <f>IFERROR(__xludf.DUMMYFUNCTION("""COMPUTED_VALUE"""),"128GB")</f>
        <v>128GB</v>
      </c>
      <c r="J71" s="517" t="str">
        <f>IFERROR(__xludf.DUMMYFUNCTION("""COMPUTED_VALUE"""),"SKU, CLR3, GOOD, MMWAVE")</f>
        <v>SKU, CLR3, GOOD, MMWAVE</v>
      </c>
      <c r="K71" s="517" t="str">
        <f>IFERROR(__xludf.DUMMYFUNCTION("""COMPUTED_VALUE"""),"G950-15935-02")</f>
        <v>G950-15935-02</v>
      </c>
      <c r="L71" s="517" t="str">
        <f>IFERROR(__xludf.DUMMYFUNCTION("""COMPUTED_VALUE"""),"G710-07738-00")</f>
        <v>G710-07738-00</v>
      </c>
      <c r="M71" s="517" t="str">
        <f>IFERROR(__xludf.DUMMYFUNCTION("""COMPUTED_VALUE"""),"G710-07670-01")</f>
        <v>G710-07670-01</v>
      </c>
      <c r="N71" s="517" t="str">
        <f>IFERROR(__xludf.DUMMYFUNCTION("""COMPUTED_VALUE"""),"G730-09533-03")</f>
        <v>G730-09533-03</v>
      </c>
      <c r="O71" s="517" t="str">
        <f>IFERROR(__xludf.DUMMYFUNCTION("""COMPUTED_VALUE"""),"G710-07800-01")</f>
        <v>G710-07800-01</v>
      </c>
      <c r="P71" s="517" t="str">
        <f>IFERROR(__xludf.DUMMYFUNCTION("""COMPUTED_VALUE"""),"G650-14656-06")</f>
        <v>G650-14656-06</v>
      </c>
      <c r="Q71" s="517" t="str">
        <f>IFERROR(__xludf.DUMMYFUNCTION("""COMPUTED_VALUE"""),"G650-14694-05")</f>
        <v>G650-14694-05</v>
      </c>
      <c r="R71" s="517" t="str">
        <f>IFERROR(__xludf.DUMMYFUNCTION("""COMPUTED_VALUE"""),"G650-14850-03")</f>
        <v>G650-14850-03</v>
      </c>
      <c r="S71" s="517" t="str">
        <f>IFERROR(__xludf.DUMMYFUNCTION("""COMPUTED_VALUE"""),"No")</f>
        <v>No</v>
      </c>
      <c r="T71" s="517" t="str">
        <f>IFERROR(__xludf.DUMMYFUNCTION("""COMPUTED_VALUE"""),"N")</f>
        <v>N</v>
      </c>
      <c r="U71" s="517" t="str">
        <f>IFERROR(__xludf.DUMMYFUNCTION("""COMPUTED_VALUE"""),"Y")</f>
        <v>Y</v>
      </c>
      <c r="V71" s="517"/>
    </row>
    <row r="72">
      <c r="A72" s="445">
        <v>69.0</v>
      </c>
      <c r="B72" s="517" t="str">
        <f>IFERROR(__xludf.DUMMYFUNCTION("""COMPUTED_VALUE"""),"MP")</f>
        <v>MP</v>
      </c>
      <c r="C72" s="517">
        <f>IFERROR(__xludf.DUMMYFUNCTION("""COMPUTED_VALUE"""),69.0)</f>
        <v>69</v>
      </c>
      <c r="D72" s="517" t="str">
        <f>IFERROR(__xludf.DUMMYFUNCTION("""COMPUTED_VALUE"""),"GLBW0")</f>
        <v>GLBW0</v>
      </c>
      <c r="E72" s="517" t="str">
        <f>IFERROR(__xludf.DUMMYFUNCTION("""COMPUTED_VALUE"""),"CLNRGA10216")</f>
        <v>CLNRGA10216</v>
      </c>
      <c r="F72" s="517" t="str">
        <f>IFERROR(__xludf.DUMMYFUNCTION("""COMPUTED_VALUE"""),"SKU, CLR4, GOOD, MMWAVE, GSTORE, FL5, FRU")</f>
        <v>SKU, CLR4, GOOD, MMWAVE, GSTORE, FL5, FRU</v>
      </c>
      <c r="G72" s="517" t="str">
        <f>IFERROR(__xludf.DUMMYFUNCTION("""COMPUTED_VALUE"""),"CLR4")</f>
        <v>CLR4</v>
      </c>
      <c r="H72" s="517" t="str">
        <f>IFERROR(__xludf.DUMMYFUNCTION("""COMPUTED_VALUE"""),"MMWAVE")</f>
        <v>MMWAVE</v>
      </c>
      <c r="I72" s="517" t="str">
        <f>IFERROR(__xludf.DUMMYFUNCTION("""COMPUTED_VALUE"""),"128GB")</f>
        <v>128GB</v>
      </c>
      <c r="J72" s="517" t="str">
        <f>IFERROR(__xludf.DUMMYFUNCTION("""COMPUTED_VALUE"""),"SKU, CLR4, GOOD, MMWAVE")</f>
        <v>SKU, CLR4, GOOD, MMWAVE</v>
      </c>
      <c r="K72" s="517" t="str">
        <f>IFERROR(__xludf.DUMMYFUNCTION("""COMPUTED_VALUE"""),"G950-15935-03")</f>
        <v>G950-15935-03</v>
      </c>
      <c r="L72" s="517" t="str">
        <f>IFERROR(__xludf.DUMMYFUNCTION("""COMPUTED_VALUE"""),"G710-07738-00")</f>
        <v>G710-07738-00</v>
      </c>
      <c r="M72" s="517" t="str">
        <f>IFERROR(__xludf.DUMMYFUNCTION("""COMPUTED_VALUE"""),"G710-07670-01")</f>
        <v>G710-07670-01</v>
      </c>
      <c r="N72" s="517" t="str">
        <f>IFERROR(__xludf.DUMMYFUNCTION("""COMPUTED_VALUE"""),"G730-09533-04")</f>
        <v>G730-09533-04</v>
      </c>
      <c r="O72" s="517" t="str">
        <f>IFERROR(__xludf.DUMMYFUNCTION("""COMPUTED_VALUE"""),"G710-07800-01")</f>
        <v>G710-07800-01</v>
      </c>
      <c r="P72" s="517" t="str">
        <f>IFERROR(__xludf.DUMMYFUNCTION("""COMPUTED_VALUE"""),"G650-14656-06")</f>
        <v>G650-14656-06</v>
      </c>
      <c r="Q72" s="517" t="str">
        <f>IFERROR(__xludf.DUMMYFUNCTION("""COMPUTED_VALUE"""),"G650-14694-05")</f>
        <v>G650-14694-05</v>
      </c>
      <c r="R72" s="517" t="str">
        <f>IFERROR(__xludf.DUMMYFUNCTION("""COMPUTED_VALUE"""),"G650-14850-03")</f>
        <v>G650-14850-03</v>
      </c>
      <c r="S72" s="517" t="str">
        <f>IFERROR(__xludf.DUMMYFUNCTION("""COMPUTED_VALUE"""),"No")</f>
        <v>No</v>
      </c>
      <c r="T72" s="517" t="str">
        <f>IFERROR(__xludf.DUMMYFUNCTION("""COMPUTED_VALUE"""),"N")</f>
        <v>N</v>
      </c>
      <c r="U72" s="517" t="str">
        <f>IFERROR(__xludf.DUMMYFUNCTION("""COMPUTED_VALUE"""),"Y")</f>
        <v>Y</v>
      </c>
      <c r="V72" s="517"/>
    </row>
    <row r="73">
      <c r="A73" s="445">
        <v>70.0</v>
      </c>
      <c r="B73" s="517" t="str">
        <f>IFERROR(__xludf.DUMMYFUNCTION("""COMPUTED_VALUE"""),"MP")</f>
        <v>MP</v>
      </c>
      <c r="C73" s="517">
        <f>IFERROR(__xludf.DUMMYFUNCTION("""COMPUTED_VALUE"""),70.0)</f>
        <v>70</v>
      </c>
      <c r="D73" s="517" t="str">
        <f>IFERROR(__xludf.DUMMYFUNCTION("""COMPUTED_VALUE"""),"GLBW0")</f>
        <v>GLBW0</v>
      </c>
      <c r="E73" s="517" t="str">
        <f>IFERROR(__xludf.DUMMYFUNCTION("""COMPUTED_VALUE"""),"CLNRGA09883")</f>
        <v>CLNRGA09883</v>
      </c>
      <c r="F73" s="517" t="str">
        <f>IFERROR(__xludf.DUMMYFUNCTION("""COMPUTED_VALUE"""),"SKU, CLR1, BETTER, MMWAVE, GSTORE, FL5, FRU")</f>
        <v>SKU, CLR1, BETTER, MMWAVE, GSTORE, FL5, FRU</v>
      </c>
      <c r="G73" s="517" t="str">
        <f>IFERROR(__xludf.DUMMYFUNCTION("""COMPUTED_VALUE"""),"CLR1")</f>
        <v>CLR1</v>
      </c>
      <c r="H73" s="517" t="str">
        <f>IFERROR(__xludf.DUMMYFUNCTION("""COMPUTED_VALUE"""),"MMWAVE")</f>
        <v>MMWAVE</v>
      </c>
      <c r="I73" s="517" t="str">
        <f>IFERROR(__xludf.DUMMYFUNCTION("""COMPUTED_VALUE"""),"256GB")</f>
        <v>256GB</v>
      </c>
      <c r="J73" s="517" t="str">
        <f>IFERROR(__xludf.DUMMYFUNCTION("""COMPUTED_VALUE"""),"SKU, CLR1, BETTER, MMWAVE")</f>
        <v>SKU, CLR1, BETTER, MMWAVE</v>
      </c>
      <c r="K73" s="517" t="str">
        <f>IFERROR(__xludf.DUMMYFUNCTION("""COMPUTED_VALUE"""),"G950-15935-04")</f>
        <v>G950-15935-04</v>
      </c>
      <c r="L73" s="517" t="str">
        <f>IFERROR(__xludf.DUMMYFUNCTION("""COMPUTED_VALUE"""),"G710-07738-00")</f>
        <v>G710-07738-00</v>
      </c>
      <c r="M73" s="517" t="str">
        <f>IFERROR(__xludf.DUMMYFUNCTION("""COMPUTED_VALUE"""),"G710-07670-01")</f>
        <v>G710-07670-01</v>
      </c>
      <c r="N73" s="517" t="str">
        <f>IFERROR(__xludf.DUMMYFUNCTION("""COMPUTED_VALUE"""),"G730-09533-01")</f>
        <v>G730-09533-01</v>
      </c>
      <c r="O73" s="517" t="str">
        <f>IFERROR(__xludf.DUMMYFUNCTION("""COMPUTED_VALUE"""),"G710-07800-11")</f>
        <v>G710-07800-11</v>
      </c>
      <c r="P73" s="517" t="str">
        <f>IFERROR(__xludf.DUMMYFUNCTION("""COMPUTED_VALUE"""),"G650-17427-06")</f>
        <v>G650-17427-06</v>
      </c>
      <c r="Q73" s="517" t="str">
        <f>IFERROR(__xludf.DUMMYFUNCTION("""COMPUTED_VALUE"""),"G650-14694-05")</f>
        <v>G650-14694-05</v>
      </c>
      <c r="R73" s="517" t="str">
        <f>IFERROR(__xludf.DUMMYFUNCTION("""COMPUTED_VALUE"""),"G650-14850-03")</f>
        <v>G650-14850-03</v>
      </c>
      <c r="S73" s="517" t="str">
        <f>IFERROR(__xludf.DUMMYFUNCTION("""COMPUTED_VALUE"""),"No")</f>
        <v>No</v>
      </c>
      <c r="T73" s="517" t="str">
        <f>IFERROR(__xludf.DUMMYFUNCTION("""COMPUTED_VALUE"""),"N")</f>
        <v>N</v>
      </c>
      <c r="U73" s="517" t="str">
        <f>IFERROR(__xludf.DUMMYFUNCTION("""COMPUTED_VALUE"""),"Y")</f>
        <v>Y</v>
      </c>
      <c r="V73" s="517"/>
    </row>
    <row r="74">
      <c r="A74" s="445">
        <v>71.0</v>
      </c>
      <c r="B74" s="517" t="str">
        <f>IFERROR(__xludf.DUMMYFUNCTION("""COMPUTED_VALUE"""),"MP")</f>
        <v>MP</v>
      </c>
      <c r="C74" s="517">
        <f>IFERROR(__xludf.DUMMYFUNCTION("""COMPUTED_VALUE"""),71.0)</f>
        <v>71</v>
      </c>
      <c r="D74" s="517" t="str">
        <f>IFERROR(__xludf.DUMMYFUNCTION("""COMPUTED_VALUE"""),"GLBW0")</f>
        <v>GLBW0</v>
      </c>
      <c r="E74" s="517" t="str">
        <f>IFERROR(__xludf.DUMMYFUNCTION("""COMPUTED_VALUE"""),"CLNRGA10217")</f>
        <v>CLNRGA10217</v>
      </c>
      <c r="F74" s="517" t="str">
        <f>IFERROR(__xludf.DUMMYFUNCTION("""COMPUTED_VALUE"""),"SKU, CLR2, BETTER, MMWAVE, GSTORE, FL5, FRU")</f>
        <v>SKU, CLR2, BETTER, MMWAVE, GSTORE, FL5, FRU</v>
      </c>
      <c r="G74" s="517" t="str">
        <f>IFERROR(__xludf.DUMMYFUNCTION("""COMPUTED_VALUE"""),"CLR2")</f>
        <v>CLR2</v>
      </c>
      <c r="H74" s="517" t="str">
        <f>IFERROR(__xludf.DUMMYFUNCTION("""COMPUTED_VALUE"""),"MMWAVE")</f>
        <v>MMWAVE</v>
      </c>
      <c r="I74" s="517" t="str">
        <f>IFERROR(__xludf.DUMMYFUNCTION("""COMPUTED_VALUE"""),"256GB")</f>
        <v>256GB</v>
      </c>
      <c r="J74" s="517" t="str">
        <f>IFERROR(__xludf.DUMMYFUNCTION("""COMPUTED_VALUE"""),"SKU, CLR2, BETTER, MMWAVE")</f>
        <v>SKU, CLR2, BETTER, MMWAVE</v>
      </c>
      <c r="K74" s="517" t="str">
        <f>IFERROR(__xludf.DUMMYFUNCTION("""COMPUTED_VALUE"""),"G950-15935-05")</f>
        <v>G950-15935-05</v>
      </c>
      <c r="L74" s="517" t="str">
        <f>IFERROR(__xludf.DUMMYFUNCTION("""COMPUTED_VALUE"""),"G710-07738-00")</f>
        <v>G710-07738-00</v>
      </c>
      <c r="M74" s="517" t="str">
        <f>IFERROR(__xludf.DUMMYFUNCTION("""COMPUTED_VALUE"""),"G710-07670-01")</f>
        <v>G710-07670-01</v>
      </c>
      <c r="N74" s="517" t="str">
        <f>IFERROR(__xludf.DUMMYFUNCTION("""COMPUTED_VALUE"""),"G730-09533-02")</f>
        <v>G730-09533-02</v>
      </c>
      <c r="O74" s="517" t="str">
        <f>IFERROR(__xludf.DUMMYFUNCTION("""COMPUTED_VALUE"""),"G710-07800-11")</f>
        <v>G710-07800-11</v>
      </c>
      <c r="P74" s="517" t="str">
        <f>IFERROR(__xludf.DUMMYFUNCTION("""COMPUTED_VALUE"""),"G650-17427-06")</f>
        <v>G650-17427-06</v>
      </c>
      <c r="Q74" s="517" t="str">
        <f>IFERROR(__xludf.DUMMYFUNCTION("""COMPUTED_VALUE"""),"G650-14694-05")</f>
        <v>G650-14694-05</v>
      </c>
      <c r="R74" s="517" t="str">
        <f>IFERROR(__xludf.DUMMYFUNCTION("""COMPUTED_VALUE"""),"G650-14850-03")</f>
        <v>G650-14850-03</v>
      </c>
      <c r="S74" s="517" t="str">
        <f>IFERROR(__xludf.DUMMYFUNCTION("""COMPUTED_VALUE"""),"No")</f>
        <v>No</v>
      </c>
      <c r="T74" s="517" t="str">
        <f>IFERROR(__xludf.DUMMYFUNCTION("""COMPUTED_VALUE"""),"N")</f>
        <v>N</v>
      </c>
      <c r="U74" s="517" t="str">
        <f>IFERROR(__xludf.DUMMYFUNCTION("""COMPUTED_VALUE"""),"Y")</f>
        <v>Y</v>
      </c>
      <c r="V74" s="517"/>
    </row>
    <row r="75">
      <c r="A75" s="445">
        <v>72.0</v>
      </c>
      <c r="B75" s="517" t="str">
        <f>IFERROR(__xludf.DUMMYFUNCTION("""COMPUTED_VALUE"""),"MP")</f>
        <v>MP</v>
      </c>
      <c r="C75" s="517">
        <f>IFERROR(__xludf.DUMMYFUNCTION("""COMPUTED_VALUE"""),72.0)</f>
        <v>72</v>
      </c>
      <c r="D75" s="517" t="str">
        <f>IFERROR(__xludf.DUMMYFUNCTION("""COMPUTED_VALUE"""),"GLBW0")</f>
        <v>GLBW0</v>
      </c>
      <c r="E75" s="517" t="str">
        <f>IFERROR(__xludf.DUMMYFUNCTION("""COMPUTED_VALUE"""),"CLNRGA10218")</f>
        <v>CLNRGA10218</v>
      </c>
      <c r="F75" s="517" t="str">
        <f>IFERROR(__xludf.DUMMYFUNCTION("""COMPUTED_VALUE"""),"SKU, CLR3, BETTER, MMWAVE, GSTORE, FL5, FRU")</f>
        <v>SKU, CLR3, BETTER, MMWAVE, GSTORE, FL5, FRU</v>
      </c>
      <c r="G75" s="517" t="str">
        <f>IFERROR(__xludf.DUMMYFUNCTION("""COMPUTED_VALUE"""),"CLR3")</f>
        <v>CLR3</v>
      </c>
      <c r="H75" s="517" t="str">
        <f>IFERROR(__xludf.DUMMYFUNCTION("""COMPUTED_VALUE"""),"MMWAVE")</f>
        <v>MMWAVE</v>
      </c>
      <c r="I75" s="517" t="str">
        <f>IFERROR(__xludf.DUMMYFUNCTION("""COMPUTED_VALUE"""),"256GB")</f>
        <v>256GB</v>
      </c>
      <c r="J75" s="517" t="str">
        <f>IFERROR(__xludf.DUMMYFUNCTION("""COMPUTED_VALUE"""),"SKU, CLR3, BETTER, MMWAVE")</f>
        <v>SKU, CLR3, BETTER, MMWAVE</v>
      </c>
      <c r="K75" s="517" t="str">
        <f>IFERROR(__xludf.DUMMYFUNCTION("""COMPUTED_VALUE"""),"G950-15935-06")</f>
        <v>G950-15935-06</v>
      </c>
      <c r="L75" s="517" t="str">
        <f>IFERROR(__xludf.DUMMYFUNCTION("""COMPUTED_VALUE"""),"G710-07738-00")</f>
        <v>G710-07738-00</v>
      </c>
      <c r="M75" s="517" t="str">
        <f>IFERROR(__xludf.DUMMYFUNCTION("""COMPUTED_VALUE"""),"G710-07670-01")</f>
        <v>G710-07670-01</v>
      </c>
      <c r="N75" s="517" t="str">
        <f>IFERROR(__xludf.DUMMYFUNCTION("""COMPUTED_VALUE"""),"G730-09533-03")</f>
        <v>G730-09533-03</v>
      </c>
      <c r="O75" s="517" t="str">
        <f>IFERROR(__xludf.DUMMYFUNCTION("""COMPUTED_VALUE"""),"G710-07800-11")</f>
        <v>G710-07800-11</v>
      </c>
      <c r="P75" s="517" t="str">
        <f>IFERROR(__xludf.DUMMYFUNCTION("""COMPUTED_VALUE"""),"G650-17427-06")</f>
        <v>G650-17427-06</v>
      </c>
      <c r="Q75" s="517" t="str">
        <f>IFERROR(__xludf.DUMMYFUNCTION("""COMPUTED_VALUE"""),"G650-14694-05")</f>
        <v>G650-14694-05</v>
      </c>
      <c r="R75" s="517" t="str">
        <f>IFERROR(__xludf.DUMMYFUNCTION("""COMPUTED_VALUE"""),"G650-14850-03")</f>
        <v>G650-14850-03</v>
      </c>
      <c r="S75" s="517" t="str">
        <f>IFERROR(__xludf.DUMMYFUNCTION("""COMPUTED_VALUE"""),"No")</f>
        <v>No</v>
      </c>
      <c r="T75" s="517" t="str">
        <f>IFERROR(__xludf.DUMMYFUNCTION("""COMPUTED_VALUE"""),"N")</f>
        <v>N</v>
      </c>
      <c r="U75" s="517" t="str">
        <f>IFERROR(__xludf.DUMMYFUNCTION("""COMPUTED_VALUE"""),"Y")</f>
        <v>Y</v>
      </c>
      <c r="V75" s="517"/>
    </row>
    <row r="76">
      <c r="A76" s="445">
        <v>73.0</v>
      </c>
      <c r="B76" s="517" t="str">
        <f>IFERROR(__xludf.DUMMYFUNCTION("""COMPUTED_VALUE"""),"MP")</f>
        <v>MP</v>
      </c>
      <c r="C76" s="517">
        <f>IFERROR(__xludf.DUMMYFUNCTION("""COMPUTED_VALUE"""),73.0)</f>
        <v>73</v>
      </c>
      <c r="D76" s="517" t="str">
        <f>IFERROR(__xludf.DUMMYFUNCTION("""COMPUTED_VALUE"""),"GLBW0")</f>
        <v>GLBW0</v>
      </c>
      <c r="E76" s="517" t="str">
        <f>IFERROR(__xludf.DUMMYFUNCTION("""COMPUTED_VALUE"""),"CLNRGA10219")</f>
        <v>CLNRGA10219</v>
      </c>
      <c r="F76" s="517" t="str">
        <f>IFERROR(__xludf.DUMMYFUNCTION("""COMPUTED_VALUE"""),"SKU, CLR4, BETTER, MMWAVE, GSTORE, FL5, FRU")</f>
        <v>SKU, CLR4, BETTER, MMWAVE, GSTORE, FL5, FRU</v>
      </c>
      <c r="G76" s="517" t="str">
        <f>IFERROR(__xludf.DUMMYFUNCTION("""COMPUTED_VALUE"""),"CLR4")</f>
        <v>CLR4</v>
      </c>
      <c r="H76" s="517" t="str">
        <f>IFERROR(__xludf.DUMMYFUNCTION("""COMPUTED_VALUE"""),"MMWAVE")</f>
        <v>MMWAVE</v>
      </c>
      <c r="I76" s="517" t="str">
        <f>IFERROR(__xludf.DUMMYFUNCTION("""COMPUTED_VALUE"""),"256GB")</f>
        <v>256GB</v>
      </c>
      <c r="J76" s="517" t="str">
        <f>IFERROR(__xludf.DUMMYFUNCTION("""COMPUTED_VALUE"""),"SKU, CLR4, BETTER, MMWAVE")</f>
        <v>SKU, CLR4, BETTER, MMWAVE</v>
      </c>
      <c r="K76" s="517" t="str">
        <f>IFERROR(__xludf.DUMMYFUNCTION("""COMPUTED_VALUE"""),"G950-15935-07")</f>
        <v>G950-15935-07</v>
      </c>
      <c r="L76" s="517" t="str">
        <f>IFERROR(__xludf.DUMMYFUNCTION("""COMPUTED_VALUE"""),"G710-07738-00")</f>
        <v>G710-07738-00</v>
      </c>
      <c r="M76" s="517" t="str">
        <f>IFERROR(__xludf.DUMMYFUNCTION("""COMPUTED_VALUE"""),"G710-07670-01")</f>
        <v>G710-07670-01</v>
      </c>
      <c r="N76" s="517" t="str">
        <f>IFERROR(__xludf.DUMMYFUNCTION("""COMPUTED_VALUE"""),"G730-09533-04")</f>
        <v>G730-09533-04</v>
      </c>
      <c r="O76" s="517" t="str">
        <f>IFERROR(__xludf.DUMMYFUNCTION("""COMPUTED_VALUE"""),"G710-07800-11")</f>
        <v>G710-07800-11</v>
      </c>
      <c r="P76" s="517" t="str">
        <f>IFERROR(__xludf.DUMMYFUNCTION("""COMPUTED_VALUE"""),"G650-17427-06")</f>
        <v>G650-17427-06</v>
      </c>
      <c r="Q76" s="517" t="str">
        <f>IFERROR(__xludf.DUMMYFUNCTION("""COMPUTED_VALUE"""),"G650-14694-05")</f>
        <v>G650-14694-05</v>
      </c>
      <c r="R76" s="517" t="str">
        <f>IFERROR(__xludf.DUMMYFUNCTION("""COMPUTED_VALUE"""),"G650-14850-03")</f>
        <v>G650-14850-03</v>
      </c>
      <c r="S76" s="517" t="str">
        <f>IFERROR(__xludf.DUMMYFUNCTION("""COMPUTED_VALUE"""),"No")</f>
        <v>No</v>
      </c>
      <c r="T76" s="517" t="str">
        <f>IFERROR(__xludf.DUMMYFUNCTION("""COMPUTED_VALUE"""),"N")</f>
        <v>N</v>
      </c>
      <c r="U76" s="517" t="str">
        <f>IFERROR(__xludf.DUMMYFUNCTION("""COMPUTED_VALUE"""),"Y")</f>
        <v>Y</v>
      </c>
      <c r="V76" s="517"/>
    </row>
    <row r="77">
      <c r="A77" s="445">
        <v>74.0</v>
      </c>
      <c r="B77" s="517" t="str">
        <f>IFERROR(__xludf.DUMMYFUNCTION("""COMPUTED_VALUE"""),"MP")</f>
        <v>MP</v>
      </c>
      <c r="C77" s="517">
        <f>IFERROR(__xludf.DUMMYFUNCTION("""COMPUTED_VALUE"""),74.0)</f>
        <v>74</v>
      </c>
      <c r="D77" s="517" t="str">
        <f>IFERROR(__xludf.DUMMYFUNCTION("""COMPUTED_VALUE""")," GK2MP")</f>
        <v> GK2MP</v>
      </c>
      <c r="E77" s="517" t="str">
        <f>IFERROR(__xludf.DUMMYFUNCTION("""COMPUTED_VALUE"""),"CLNRGA10540")</f>
        <v>CLNRGA10540</v>
      </c>
      <c r="F77" s="517" t="str">
        <f>IFERROR(__xludf.DUMMYFUNCTION("""COMPUTED_VALUE"""),"SKU, CLR1, GOOD, SUB6, CA/AU, FL5, FRU")</f>
        <v>SKU, CLR1, GOOD, SUB6, CA/AU, FL5, FRU</v>
      </c>
      <c r="G77" s="517" t="str">
        <f>IFERROR(__xludf.DUMMYFUNCTION("""COMPUTED_VALUE"""),"CLR1")</f>
        <v>CLR1</v>
      </c>
      <c r="H77" s="517" t="str">
        <f>IFERROR(__xludf.DUMMYFUNCTION("""COMPUTED_VALUE"""),"SUB6")</f>
        <v>SUB6</v>
      </c>
      <c r="I77" s="517" t="str">
        <f>IFERROR(__xludf.DUMMYFUNCTION("""COMPUTED_VALUE"""),"128GB")</f>
        <v>128GB</v>
      </c>
      <c r="J77" s="517" t="str">
        <f>IFERROR(__xludf.DUMMYFUNCTION("""COMPUTED_VALUE"""),"SKU, CLR1, GOOD, SUB6")</f>
        <v>SKU, CLR1, GOOD, SUB6</v>
      </c>
      <c r="K77" s="517" t="str">
        <f>IFERROR(__xludf.DUMMYFUNCTION("""COMPUTED_VALUE"""),"G950-15935-10")</f>
        <v>G950-15935-10</v>
      </c>
      <c r="L77" s="517" t="str">
        <f>IFERROR(__xludf.DUMMYFUNCTION("""COMPUTED_VALUE"""),"G710-07738-10")</f>
        <v>G710-07738-10</v>
      </c>
      <c r="M77" s="517" t="str">
        <f>IFERROR(__xludf.DUMMYFUNCTION("""COMPUTED_VALUE"""),"G710-07670-01")</f>
        <v>G710-07670-01</v>
      </c>
      <c r="N77" s="517" t="str">
        <f>IFERROR(__xludf.DUMMYFUNCTION("""COMPUTED_VALUE"""),"G730-09533-01")</f>
        <v>G730-09533-01</v>
      </c>
      <c r="O77" s="517" t="str">
        <f>IFERROR(__xludf.DUMMYFUNCTION("""COMPUTED_VALUE"""),"G710-07800-00")</f>
        <v>G710-07800-00</v>
      </c>
      <c r="P77" s="517" t="str">
        <f>IFERROR(__xludf.DUMMYFUNCTION("""COMPUTED_VALUE"""),"G650-14657-05")</f>
        <v>G650-14657-05</v>
      </c>
      <c r="Q77" s="517" t="str">
        <f>IFERROR(__xludf.DUMMYFUNCTION("""COMPUTED_VALUE"""),"G650-14694-05")</f>
        <v>G650-14694-05</v>
      </c>
      <c r="R77" s="517" t="str">
        <f>IFERROR(__xludf.DUMMYFUNCTION("""COMPUTED_VALUE"""),"G650-14850-03")</f>
        <v>G650-14850-03</v>
      </c>
      <c r="S77" s="517" t="str">
        <f>IFERROR(__xludf.DUMMYFUNCTION("""COMPUTED_VALUE"""),"No")</f>
        <v>No</v>
      </c>
      <c r="T77" s="517" t="str">
        <f>IFERROR(__xludf.DUMMYFUNCTION("""COMPUTED_VALUE"""),"Y")</f>
        <v>Y</v>
      </c>
      <c r="U77" s="517" t="str">
        <f>IFERROR(__xludf.DUMMYFUNCTION("""COMPUTED_VALUE"""),"Y")</f>
        <v>Y</v>
      </c>
      <c r="V77" s="517"/>
    </row>
    <row r="78">
      <c r="A78" s="445">
        <v>75.0</v>
      </c>
      <c r="B78" s="517" t="str">
        <f>IFERROR(__xludf.DUMMYFUNCTION("""COMPUTED_VALUE"""),"MP")</f>
        <v>MP</v>
      </c>
      <c r="C78" s="517">
        <f>IFERROR(__xludf.DUMMYFUNCTION("""COMPUTED_VALUE"""),75.0)</f>
        <v>75</v>
      </c>
      <c r="D78" s="517" t="str">
        <f>IFERROR(__xludf.DUMMYFUNCTION("""COMPUTED_VALUE""")," GK2MP")</f>
        <v> GK2MP</v>
      </c>
      <c r="E78" s="517" t="str">
        <f>IFERROR(__xludf.DUMMYFUNCTION("""COMPUTED_VALUE"""),"CLNRGA10541")</f>
        <v>CLNRGA10541</v>
      </c>
      <c r="F78" s="517" t="str">
        <f>IFERROR(__xludf.DUMMYFUNCTION("""COMPUTED_VALUE"""),"SKU, CLR2, GOOD, SUB6, CA/AU, FL5, FRU")</f>
        <v>SKU, CLR2, GOOD, SUB6, CA/AU, FL5, FRU</v>
      </c>
      <c r="G78" s="517" t="str">
        <f>IFERROR(__xludf.DUMMYFUNCTION("""COMPUTED_VALUE"""),"CLR2")</f>
        <v>CLR2</v>
      </c>
      <c r="H78" s="517" t="str">
        <f>IFERROR(__xludf.DUMMYFUNCTION("""COMPUTED_VALUE"""),"SUB6")</f>
        <v>SUB6</v>
      </c>
      <c r="I78" s="517" t="str">
        <f>IFERROR(__xludf.DUMMYFUNCTION("""COMPUTED_VALUE"""),"128GB")</f>
        <v>128GB</v>
      </c>
      <c r="J78" s="517" t="str">
        <f>IFERROR(__xludf.DUMMYFUNCTION("""COMPUTED_VALUE"""),"SKU, CLR2, GOOD, SUB6")</f>
        <v>SKU, CLR2, GOOD, SUB6</v>
      </c>
      <c r="K78" s="517" t="str">
        <f>IFERROR(__xludf.DUMMYFUNCTION("""COMPUTED_VALUE"""),"G950-15935-11")</f>
        <v>G950-15935-11</v>
      </c>
      <c r="L78" s="517" t="str">
        <f>IFERROR(__xludf.DUMMYFUNCTION("""COMPUTED_VALUE"""),"G710-07738-10")</f>
        <v>G710-07738-10</v>
      </c>
      <c r="M78" s="517" t="str">
        <f>IFERROR(__xludf.DUMMYFUNCTION("""COMPUTED_VALUE"""),"G710-07670-01")</f>
        <v>G710-07670-01</v>
      </c>
      <c r="N78" s="517" t="str">
        <f>IFERROR(__xludf.DUMMYFUNCTION("""COMPUTED_VALUE"""),"G730-09533-02")</f>
        <v>G730-09533-02</v>
      </c>
      <c r="O78" s="517" t="str">
        <f>IFERROR(__xludf.DUMMYFUNCTION("""COMPUTED_VALUE"""),"G710-07800-00")</f>
        <v>G710-07800-00</v>
      </c>
      <c r="P78" s="517" t="str">
        <f>IFERROR(__xludf.DUMMYFUNCTION("""COMPUTED_VALUE"""),"G650-14657-05")</f>
        <v>G650-14657-05</v>
      </c>
      <c r="Q78" s="517" t="str">
        <f>IFERROR(__xludf.DUMMYFUNCTION("""COMPUTED_VALUE"""),"G650-14694-05")</f>
        <v>G650-14694-05</v>
      </c>
      <c r="R78" s="517" t="str">
        <f>IFERROR(__xludf.DUMMYFUNCTION("""COMPUTED_VALUE"""),"G650-14850-03")</f>
        <v>G650-14850-03</v>
      </c>
      <c r="S78" s="517" t="str">
        <f>IFERROR(__xludf.DUMMYFUNCTION("""COMPUTED_VALUE"""),"No")</f>
        <v>No</v>
      </c>
      <c r="T78" s="517" t="str">
        <f>IFERROR(__xludf.DUMMYFUNCTION("""COMPUTED_VALUE"""),"Y")</f>
        <v>Y</v>
      </c>
      <c r="U78" s="517" t="str">
        <f>IFERROR(__xludf.DUMMYFUNCTION("""COMPUTED_VALUE"""),"Y")</f>
        <v>Y</v>
      </c>
      <c r="V78" s="517"/>
    </row>
    <row r="79">
      <c r="A79" s="445">
        <v>76.0</v>
      </c>
      <c r="B79" s="517" t="str">
        <f>IFERROR(__xludf.DUMMYFUNCTION("""COMPUTED_VALUE"""),"MP")</f>
        <v>MP</v>
      </c>
      <c r="C79" s="517">
        <f>IFERROR(__xludf.DUMMYFUNCTION("""COMPUTED_VALUE"""),76.0)</f>
        <v>76</v>
      </c>
      <c r="D79" s="517" t="str">
        <f>IFERROR(__xludf.DUMMYFUNCTION("""COMPUTED_VALUE""")," GK2MP")</f>
        <v> GK2MP</v>
      </c>
      <c r="E79" s="517" t="str">
        <f>IFERROR(__xludf.DUMMYFUNCTION("""COMPUTED_VALUE"""),"CLNRGA10542")</f>
        <v>CLNRGA10542</v>
      </c>
      <c r="F79" s="517" t="str">
        <f>IFERROR(__xludf.DUMMYFUNCTION("""COMPUTED_VALUE"""),"SKU, CLR3, GOOD, SUB6, CA/AU, FL5, FRU")</f>
        <v>SKU, CLR3, GOOD, SUB6, CA/AU, FL5, FRU</v>
      </c>
      <c r="G79" s="517" t="str">
        <f>IFERROR(__xludf.DUMMYFUNCTION("""COMPUTED_VALUE"""),"CLR3")</f>
        <v>CLR3</v>
      </c>
      <c r="H79" s="517" t="str">
        <f>IFERROR(__xludf.DUMMYFUNCTION("""COMPUTED_VALUE"""),"SUB6")</f>
        <v>SUB6</v>
      </c>
      <c r="I79" s="517" t="str">
        <f>IFERROR(__xludf.DUMMYFUNCTION("""COMPUTED_VALUE"""),"128GB")</f>
        <v>128GB</v>
      </c>
      <c r="J79" s="517" t="str">
        <f>IFERROR(__xludf.DUMMYFUNCTION("""COMPUTED_VALUE"""),"SKU, CLR3, GOOD, SUB6")</f>
        <v>SKU, CLR3, GOOD, SUB6</v>
      </c>
      <c r="K79" s="517" t="str">
        <f>IFERROR(__xludf.DUMMYFUNCTION("""COMPUTED_VALUE"""),"G950-15935-12")</f>
        <v>G950-15935-12</v>
      </c>
      <c r="L79" s="517" t="str">
        <f>IFERROR(__xludf.DUMMYFUNCTION("""COMPUTED_VALUE"""),"G710-07738-10")</f>
        <v>G710-07738-10</v>
      </c>
      <c r="M79" s="517" t="str">
        <f>IFERROR(__xludf.DUMMYFUNCTION("""COMPUTED_VALUE"""),"G710-07670-01")</f>
        <v>G710-07670-01</v>
      </c>
      <c r="N79" s="517" t="str">
        <f>IFERROR(__xludf.DUMMYFUNCTION("""COMPUTED_VALUE"""),"G730-09533-03")</f>
        <v>G730-09533-03</v>
      </c>
      <c r="O79" s="517" t="str">
        <f>IFERROR(__xludf.DUMMYFUNCTION("""COMPUTED_VALUE"""),"G710-07800-00")</f>
        <v>G710-07800-00</v>
      </c>
      <c r="P79" s="517" t="str">
        <f>IFERROR(__xludf.DUMMYFUNCTION("""COMPUTED_VALUE"""),"G650-14657-05")</f>
        <v>G650-14657-05</v>
      </c>
      <c r="Q79" s="517" t="str">
        <f>IFERROR(__xludf.DUMMYFUNCTION("""COMPUTED_VALUE"""),"G650-14694-05")</f>
        <v>G650-14694-05</v>
      </c>
      <c r="R79" s="517" t="str">
        <f>IFERROR(__xludf.DUMMYFUNCTION("""COMPUTED_VALUE"""),"G650-14850-03")</f>
        <v>G650-14850-03</v>
      </c>
      <c r="S79" s="517" t="str">
        <f>IFERROR(__xludf.DUMMYFUNCTION("""COMPUTED_VALUE"""),"No")</f>
        <v>No</v>
      </c>
      <c r="T79" s="517" t="str">
        <f>IFERROR(__xludf.DUMMYFUNCTION("""COMPUTED_VALUE"""),"Y")</f>
        <v>Y</v>
      </c>
      <c r="U79" s="517" t="str">
        <f>IFERROR(__xludf.DUMMYFUNCTION("""COMPUTED_VALUE"""),"Y")</f>
        <v>Y</v>
      </c>
      <c r="V79" s="517"/>
    </row>
    <row r="80">
      <c r="A80" s="445">
        <v>77.0</v>
      </c>
      <c r="B80" s="517" t="str">
        <f>IFERROR(__xludf.DUMMYFUNCTION("""COMPUTED_VALUE"""),"MP")</f>
        <v>MP</v>
      </c>
      <c r="C80" s="517">
        <f>IFERROR(__xludf.DUMMYFUNCTION("""COMPUTED_VALUE"""),77.0)</f>
        <v>77</v>
      </c>
      <c r="D80" s="517" t="str">
        <f>IFERROR(__xludf.DUMMYFUNCTION("""COMPUTED_VALUE""")," GK2MP")</f>
        <v> GK2MP</v>
      </c>
      <c r="E80" s="517" t="str">
        <f>IFERROR(__xludf.DUMMYFUNCTION("""COMPUTED_VALUE"""),"CLNRGA10543")</f>
        <v>CLNRGA10543</v>
      </c>
      <c r="F80" s="517" t="str">
        <f>IFERROR(__xludf.DUMMYFUNCTION("""COMPUTED_VALUE"""),"SKU, CLR4, GOOD, SUB6, CA/AU, FL5, FRU")</f>
        <v>SKU, CLR4, GOOD, SUB6, CA/AU, FL5, FRU</v>
      </c>
      <c r="G80" s="517" t="str">
        <f>IFERROR(__xludf.DUMMYFUNCTION("""COMPUTED_VALUE"""),"CLR4")</f>
        <v>CLR4</v>
      </c>
      <c r="H80" s="517" t="str">
        <f>IFERROR(__xludf.DUMMYFUNCTION("""COMPUTED_VALUE"""),"SUB6")</f>
        <v>SUB6</v>
      </c>
      <c r="I80" s="517" t="str">
        <f>IFERROR(__xludf.DUMMYFUNCTION("""COMPUTED_VALUE"""),"128GB")</f>
        <v>128GB</v>
      </c>
      <c r="J80" s="517" t="str">
        <f>IFERROR(__xludf.DUMMYFUNCTION("""COMPUTED_VALUE"""),"SKU, CLR4, GOOD, SUB6")</f>
        <v>SKU, CLR4, GOOD, SUB6</v>
      </c>
      <c r="K80" s="517" t="str">
        <f>IFERROR(__xludf.DUMMYFUNCTION("""COMPUTED_VALUE"""),"G950-15935-13")</f>
        <v>G950-15935-13</v>
      </c>
      <c r="L80" s="517" t="str">
        <f>IFERROR(__xludf.DUMMYFUNCTION("""COMPUTED_VALUE"""),"G710-07738-10")</f>
        <v>G710-07738-10</v>
      </c>
      <c r="M80" s="517" t="str">
        <f>IFERROR(__xludf.DUMMYFUNCTION("""COMPUTED_VALUE"""),"G710-07670-01")</f>
        <v>G710-07670-01</v>
      </c>
      <c r="N80" s="517" t="str">
        <f>IFERROR(__xludf.DUMMYFUNCTION("""COMPUTED_VALUE"""),"G730-09533-04")</f>
        <v>G730-09533-04</v>
      </c>
      <c r="O80" s="517" t="str">
        <f>IFERROR(__xludf.DUMMYFUNCTION("""COMPUTED_VALUE"""),"G710-07800-00")</f>
        <v>G710-07800-00</v>
      </c>
      <c r="P80" s="517" t="str">
        <f>IFERROR(__xludf.DUMMYFUNCTION("""COMPUTED_VALUE"""),"G650-14657-05")</f>
        <v>G650-14657-05</v>
      </c>
      <c r="Q80" s="517" t="str">
        <f>IFERROR(__xludf.DUMMYFUNCTION("""COMPUTED_VALUE"""),"G650-14694-05")</f>
        <v>G650-14694-05</v>
      </c>
      <c r="R80" s="517" t="str">
        <f>IFERROR(__xludf.DUMMYFUNCTION("""COMPUTED_VALUE"""),"G650-14850-03")</f>
        <v>G650-14850-03</v>
      </c>
      <c r="S80" s="517" t="str">
        <f>IFERROR(__xludf.DUMMYFUNCTION("""COMPUTED_VALUE"""),"No")</f>
        <v>No</v>
      </c>
      <c r="T80" s="517" t="str">
        <f>IFERROR(__xludf.DUMMYFUNCTION("""COMPUTED_VALUE"""),"Y")</f>
        <v>Y</v>
      </c>
      <c r="U80" s="517" t="str">
        <f>IFERROR(__xludf.DUMMYFUNCTION("""COMPUTED_VALUE"""),"Y")</f>
        <v>Y</v>
      </c>
      <c r="V80" s="517"/>
    </row>
    <row r="81">
      <c r="A81" s="445">
        <v>78.0</v>
      </c>
      <c r="B81" s="517" t="str">
        <f>IFERROR(__xludf.DUMMYFUNCTION("""COMPUTED_VALUE"""),"MP")</f>
        <v>MP</v>
      </c>
      <c r="C81" s="517">
        <f>IFERROR(__xludf.DUMMYFUNCTION("""COMPUTED_VALUE"""),78.0)</f>
        <v>78</v>
      </c>
      <c r="D81" s="517" t="str">
        <f>IFERROR(__xludf.DUMMYFUNCTION("""COMPUTED_VALUE""")," GK2MP")</f>
        <v> GK2MP</v>
      </c>
      <c r="E81" s="517" t="str">
        <f>IFERROR(__xludf.DUMMYFUNCTION("""COMPUTED_VALUE"""),"CLNRGA10544")</f>
        <v>CLNRGA10544</v>
      </c>
      <c r="F81" s="517" t="str">
        <f>IFERROR(__xludf.DUMMYFUNCTION("""COMPUTED_VALUE"""),"SKU, CLR1, BETTER, SUB6, CA/AU, FL5, FRU")</f>
        <v>SKU, CLR1, BETTER, SUB6, CA/AU, FL5, FRU</v>
      </c>
      <c r="G81" s="517" t="str">
        <f>IFERROR(__xludf.DUMMYFUNCTION("""COMPUTED_VALUE"""),"CLR1")</f>
        <v>CLR1</v>
      </c>
      <c r="H81" s="517" t="str">
        <f>IFERROR(__xludf.DUMMYFUNCTION("""COMPUTED_VALUE"""),"SUB6")</f>
        <v>SUB6</v>
      </c>
      <c r="I81" s="517" t="str">
        <f>IFERROR(__xludf.DUMMYFUNCTION("""COMPUTED_VALUE"""),"256GB")</f>
        <v>256GB</v>
      </c>
      <c r="J81" s="517" t="str">
        <f>IFERROR(__xludf.DUMMYFUNCTION("""COMPUTED_VALUE"""),"SKU, CLR1, BETTER, SUB6")</f>
        <v>SKU, CLR1, BETTER, SUB6</v>
      </c>
      <c r="K81" s="517" t="str">
        <f>IFERROR(__xludf.DUMMYFUNCTION("""COMPUTED_VALUE"""),"G950-15935-14")</f>
        <v>G950-15935-14</v>
      </c>
      <c r="L81" s="517" t="str">
        <f>IFERROR(__xludf.DUMMYFUNCTION("""COMPUTED_VALUE"""),"G710-07738-10")</f>
        <v>G710-07738-10</v>
      </c>
      <c r="M81" s="517" t="str">
        <f>IFERROR(__xludf.DUMMYFUNCTION("""COMPUTED_VALUE"""),"G710-07670-01")</f>
        <v>G710-07670-01</v>
      </c>
      <c r="N81" s="517" t="str">
        <f>IFERROR(__xludf.DUMMYFUNCTION("""COMPUTED_VALUE"""),"G730-09533-01")</f>
        <v>G730-09533-01</v>
      </c>
      <c r="O81" s="517" t="str">
        <f>IFERROR(__xludf.DUMMYFUNCTION("""COMPUTED_VALUE"""),"G710-07800-10")</f>
        <v>G710-07800-10</v>
      </c>
      <c r="P81" s="517" t="str">
        <f>IFERROR(__xludf.DUMMYFUNCTION("""COMPUTED_VALUE"""),"G650-17428-05")</f>
        <v>G650-17428-05</v>
      </c>
      <c r="Q81" s="517" t="str">
        <f>IFERROR(__xludf.DUMMYFUNCTION("""COMPUTED_VALUE"""),"G650-14694-05")</f>
        <v>G650-14694-05</v>
      </c>
      <c r="R81" s="517" t="str">
        <f>IFERROR(__xludf.DUMMYFUNCTION("""COMPUTED_VALUE"""),"G650-14850-03")</f>
        <v>G650-14850-03</v>
      </c>
      <c r="S81" s="517" t="str">
        <f>IFERROR(__xludf.DUMMYFUNCTION("""COMPUTED_VALUE"""),"No")</f>
        <v>No</v>
      </c>
      <c r="T81" s="517" t="str">
        <f>IFERROR(__xludf.DUMMYFUNCTION("""COMPUTED_VALUE"""),"Y")</f>
        <v>Y</v>
      </c>
      <c r="U81" s="517" t="str">
        <f>IFERROR(__xludf.DUMMYFUNCTION("""COMPUTED_VALUE"""),"Y")</f>
        <v>Y</v>
      </c>
      <c r="V81" s="517"/>
    </row>
    <row r="82">
      <c r="A82" s="445">
        <v>79.0</v>
      </c>
      <c r="B82" s="517" t="str">
        <f>IFERROR(__xludf.DUMMYFUNCTION("""COMPUTED_VALUE"""),"MP")</f>
        <v>MP</v>
      </c>
      <c r="C82" s="517">
        <f>IFERROR(__xludf.DUMMYFUNCTION("""COMPUTED_VALUE"""),79.0)</f>
        <v>79</v>
      </c>
      <c r="D82" s="517" t="str">
        <f>IFERROR(__xludf.DUMMYFUNCTION("""COMPUTED_VALUE""")," GK2MP")</f>
        <v> GK2MP</v>
      </c>
      <c r="E82" s="517" t="str">
        <f>IFERROR(__xludf.DUMMYFUNCTION("""COMPUTED_VALUE"""),"CLNRGA10545")</f>
        <v>CLNRGA10545</v>
      </c>
      <c r="F82" s="517" t="str">
        <f>IFERROR(__xludf.DUMMYFUNCTION("""COMPUTED_VALUE"""),"SKU, CLR2, BETTER, SUB6, CA/AU, FL5, FRU")</f>
        <v>SKU, CLR2, BETTER, SUB6, CA/AU, FL5, FRU</v>
      </c>
      <c r="G82" s="517" t="str">
        <f>IFERROR(__xludf.DUMMYFUNCTION("""COMPUTED_VALUE"""),"CLR2")</f>
        <v>CLR2</v>
      </c>
      <c r="H82" s="517" t="str">
        <f>IFERROR(__xludf.DUMMYFUNCTION("""COMPUTED_VALUE"""),"SUB6")</f>
        <v>SUB6</v>
      </c>
      <c r="I82" s="517" t="str">
        <f>IFERROR(__xludf.DUMMYFUNCTION("""COMPUTED_VALUE"""),"256GB")</f>
        <v>256GB</v>
      </c>
      <c r="J82" s="517" t="str">
        <f>IFERROR(__xludf.DUMMYFUNCTION("""COMPUTED_VALUE"""),"SKU, CLR2, BETTER, SUB6")</f>
        <v>SKU, CLR2, BETTER, SUB6</v>
      </c>
      <c r="K82" s="517" t="str">
        <f>IFERROR(__xludf.DUMMYFUNCTION("""COMPUTED_VALUE"""),"G950-15935-15")</f>
        <v>G950-15935-15</v>
      </c>
      <c r="L82" s="517" t="str">
        <f>IFERROR(__xludf.DUMMYFUNCTION("""COMPUTED_VALUE"""),"G710-07738-10")</f>
        <v>G710-07738-10</v>
      </c>
      <c r="M82" s="517" t="str">
        <f>IFERROR(__xludf.DUMMYFUNCTION("""COMPUTED_VALUE"""),"G710-07670-01")</f>
        <v>G710-07670-01</v>
      </c>
      <c r="N82" s="517" t="str">
        <f>IFERROR(__xludf.DUMMYFUNCTION("""COMPUTED_VALUE"""),"G730-09533-02")</f>
        <v>G730-09533-02</v>
      </c>
      <c r="O82" s="517" t="str">
        <f>IFERROR(__xludf.DUMMYFUNCTION("""COMPUTED_VALUE"""),"G710-07800-10")</f>
        <v>G710-07800-10</v>
      </c>
      <c r="P82" s="517" t="str">
        <f>IFERROR(__xludf.DUMMYFUNCTION("""COMPUTED_VALUE"""),"G650-17428-05")</f>
        <v>G650-17428-05</v>
      </c>
      <c r="Q82" s="517" t="str">
        <f>IFERROR(__xludf.DUMMYFUNCTION("""COMPUTED_VALUE"""),"G650-14694-05")</f>
        <v>G650-14694-05</v>
      </c>
      <c r="R82" s="517" t="str">
        <f>IFERROR(__xludf.DUMMYFUNCTION("""COMPUTED_VALUE"""),"G650-14850-03")</f>
        <v>G650-14850-03</v>
      </c>
      <c r="S82" s="517" t="str">
        <f>IFERROR(__xludf.DUMMYFUNCTION("""COMPUTED_VALUE"""),"No")</f>
        <v>No</v>
      </c>
      <c r="T82" s="517" t="str">
        <f>IFERROR(__xludf.DUMMYFUNCTION("""COMPUTED_VALUE"""),"Y")</f>
        <v>Y</v>
      </c>
      <c r="U82" s="517" t="str">
        <f>IFERROR(__xludf.DUMMYFUNCTION("""COMPUTED_VALUE"""),"Y")</f>
        <v>Y</v>
      </c>
      <c r="V82" s="517"/>
    </row>
    <row r="83">
      <c r="A83" s="445">
        <v>80.0</v>
      </c>
      <c r="B83" s="517" t="str">
        <f>IFERROR(__xludf.DUMMYFUNCTION("""COMPUTED_VALUE"""),"MP")</f>
        <v>MP</v>
      </c>
      <c r="C83" s="517">
        <f>IFERROR(__xludf.DUMMYFUNCTION("""COMPUTED_VALUE"""),80.0)</f>
        <v>80</v>
      </c>
      <c r="D83" s="517" t="str">
        <f>IFERROR(__xludf.DUMMYFUNCTION("""COMPUTED_VALUE""")," GK2MP")</f>
        <v> GK2MP</v>
      </c>
      <c r="E83" s="517" t="str">
        <f>IFERROR(__xludf.DUMMYFUNCTION("""COMPUTED_VALUE"""),"CLNRGA10546")</f>
        <v>CLNRGA10546</v>
      </c>
      <c r="F83" s="517" t="str">
        <f>IFERROR(__xludf.DUMMYFUNCTION("""COMPUTED_VALUE"""),"SKU, CLR3, BETTER, SUB6, CA/AU, FL5, FRU")</f>
        <v>SKU, CLR3, BETTER, SUB6, CA/AU, FL5, FRU</v>
      </c>
      <c r="G83" s="517" t="str">
        <f>IFERROR(__xludf.DUMMYFUNCTION("""COMPUTED_VALUE"""),"CLR3")</f>
        <v>CLR3</v>
      </c>
      <c r="H83" s="517" t="str">
        <f>IFERROR(__xludf.DUMMYFUNCTION("""COMPUTED_VALUE"""),"SUB6")</f>
        <v>SUB6</v>
      </c>
      <c r="I83" s="517" t="str">
        <f>IFERROR(__xludf.DUMMYFUNCTION("""COMPUTED_VALUE"""),"256GB")</f>
        <v>256GB</v>
      </c>
      <c r="J83" s="517" t="str">
        <f>IFERROR(__xludf.DUMMYFUNCTION("""COMPUTED_VALUE"""),"SKU, CLR3, BETTER, SUB6")</f>
        <v>SKU, CLR3, BETTER, SUB6</v>
      </c>
      <c r="K83" s="517" t="str">
        <f>IFERROR(__xludf.DUMMYFUNCTION("""COMPUTED_VALUE"""),"G950-15935-16")</f>
        <v>G950-15935-16</v>
      </c>
      <c r="L83" s="517" t="str">
        <f>IFERROR(__xludf.DUMMYFUNCTION("""COMPUTED_VALUE"""),"G710-07738-10")</f>
        <v>G710-07738-10</v>
      </c>
      <c r="M83" s="517" t="str">
        <f>IFERROR(__xludf.DUMMYFUNCTION("""COMPUTED_VALUE"""),"G710-07670-01")</f>
        <v>G710-07670-01</v>
      </c>
      <c r="N83" s="517" t="str">
        <f>IFERROR(__xludf.DUMMYFUNCTION("""COMPUTED_VALUE"""),"G730-09533-03")</f>
        <v>G730-09533-03</v>
      </c>
      <c r="O83" s="517" t="str">
        <f>IFERROR(__xludf.DUMMYFUNCTION("""COMPUTED_VALUE"""),"G710-07800-10")</f>
        <v>G710-07800-10</v>
      </c>
      <c r="P83" s="517" t="str">
        <f>IFERROR(__xludf.DUMMYFUNCTION("""COMPUTED_VALUE"""),"G650-17428-05")</f>
        <v>G650-17428-05</v>
      </c>
      <c r="Q83" s="517" t="str">
        <f>IFERROR(__xludf.DUMMYFUNCTION("""COMPUTED_VALUE"""),"G650-14694-05")</f>
        <v>G650-14694-05</v>
      </c>
      <c r="R83" s="517" t="str">
        <f>IFERROR(__xludf.DUMMYFUNCTION("""COMPUTED_VALUE"""),"G650-14850-03")</f>
        <v>G650-14850-03</v>
      </c>
      <c r="S83" s="517" t="str">
        <f>IFERROR(__xludf.DUMMYFUNCTION("""COMPUTED_VALUE"""),"No")</f>
        <v>No</v>
      </c>
      <c r="T83" s="517" t="str">
        <f>IFERROR(__xludf.DUMMYFUNCTION("""COMPUTED_VALUE"""),"Y")</f>
        <v>Y</v>
      </c>
      <c r="U83" s="517" t="str">
        <f>IFERROR(__xludf.DUMMYFUNCTION("""COMPUTED_VALUE"""),"Y")</f>
        <v>Y</v>
      </c>
      <c r="V83" s="517"/>
    </row>
    <row r="84">
      <c r="A84" s="445">
        <v>81.0</v>
      </c>
      <c r="B84" s="517" t="str">
        <f>IFERROR(__xludf.DUMMYFUNCTION("""COMPUTED_VALUE"""),"MP")</f>
        <v>MP</v>
      </c>
      <c r="C84" s="517">
        <f>IFERROR(__xludf.DUMMYFUNCTION("""COMPUTED_VALUE"""),81.0)</f>
        <v>81</v>
      </c>
      <c r="D84" s="517" t="str">
        <f>IFERROR(__xludf.DUMMYFUNCTION("""COMPUTED_VALUE""")," GK2MP")</f>
        <v> GK2MP</v>
      </c>
      <c r="E84" s="517" t="str">
        <f>IFERROR(__xludf.DUMMYFUNCTION("""COMPUTED_VALUE"""),"CLNRGA10547")</f>
        <v>CLNRGA10547</v>
      </c>
      <c r="F84" s="517" t="str">
        <f>IFERROR(__xludf.DUMMYFUNCTION("""COMPUTED_VALUE"""),"SKU, CLR4, BETTER, SUB6, CA/AU, FL5, FRU")</f>
        <v>SKU, CLR4, BETTER, SUB6, CA/AU, FL5, FRU</v>
      </c>
      <c r="G84" s="517" t="str">
        <f>IFERROR(__xludf.DUMMYFUNCTION("""COMPUTED_VALUE"""),"CLR4")</f>
        <v>CLR4</v>
      </c>
      <c r="H84" s="517" t="str">
        <f>IFERROR(__xludf.DUMMYFUNCTION("""COMPUTED_VALUE"""),"SUB6")</f>
        <v>SUB6</v>
      </c>
      <c r="I84" s="517" t="str">
        <f>IFERROR(__xludf.DUMMYFUNCTION("""COMPUTED_VALUE"""),"256GB")</f>
        <v>256GB</v>
      </c>
      <c r="J84" s="517" t="str">
        <f>IFERROR(__xludf.DUMMYFUNCTION("""COMPUTED_VALUE"""),"SKU, CLR4, BETTER, SUB6")</f>
        <v>SKU, CLR4, BETTER, SUB6</v>
      </c>
      <c r="K84" s="517" t="str">
        <f>IFERROR(__xludf.DUMMYFUNCTION("""COMPUTED_VALUE"""),"G950-15935-17")</f>
        <v>G950-15935-17</v>
      </c>
      <c r="L84" s="517" t="str">
        <f>IFERROR(__xludf.DUMMYFUNCTION("""COMPUTED_VALUE"""),"G710-07738-10")</f>
        <v>G710-07738-10</v>
      </c>
      <c r="M84" s="517" t="str">
        <f>IFERROR(__xludf.DUMMYFUNCTION("""COMPUTED_VALUE"""),"G710-07670-01")</f>
        <v>G710-07670-01</v>
      </c>
      <c r="N84" s="517" t="str">
        <f>IFERROR(__xludf.DUMMYFUNCTION("""COMPUTED_VALUE"""),"G730-09533-04")</f>
        <v>G730-09533-04</v>
      </c>
      <c r="O84" s="517" t="str">
        <f>IFERROR(__xludf.DUMMYFUNCTION("""COMPUTED_VALUE"""),"G710-07800-10")</f>
        <v>G710-07800-10</v>
      </c>
      <c r="P84" s="517" t="str">
        <f>IFERROR(__xludf.DUMMYFUNCTION("""COMPUTED_VALUE"""),"G650-17428-05")</f>
        <v>G650-17428-05</v>
      </c>
      <c r="Q84" s="517" t="str">
        <f>IFERROR(__xludf.DUMMYFUNCTION("""COMPUTED_VALUE"""),"G650-14694-05")</f>
        <v>G650-14694-05</v>
      </c>
      <c r="R84" s="517" t="str">
        <f>IFERROR(__xludf.DUMMYFUNCTION("""COMPUTED_VALUE"""),"G650-14850-03")</f>
        <v>G650-14850-03</v>
      </c>
      <c r="S84" s="517" t="str">
        <f>IFERROR(__xludf.DUMMYFUNCTION("""COMPUTED_VALUE"""),"No")</f>
        <v>No</v>
      </c>
      <c r="T84" s="517" t="str">
        <f>IFERROR(__xludf.DUMMYFUNCTION("""COMPUTED_VALUE"""),"Y")</f>
        <v>Y</v>
      </c>
      <c r="U84" s="517" t="str">
        <f>IFERROR(__xludf.DUMMYFUNCTION("""COMPUTED_VALUE"""),"Y")</f>
        <v>Y</v>
      </c>
      <c r="V84" s="517"/>
    </row>
    <row r="85">
      <c r="A85" s="445">
        <v>82.0</v>
      </c>
      <c r="B85" s="517" t="str">
        <f>IFERROR(__xludf.DUMMYFUNCTION("""COMPUTED_VALUE"""),"MP")</f>
        <v>MP</v>
      </c>
      <c r="C85" s="517">
        <f>IFERROR(__xludf.DUMMYFUNCTION("""COMPUTED_VALUE"""),82.0)</f>
        <v>82</v>
      </c>
      <c r="D85" s="517" t="str">
        <f>IFERROR(__xludf.DUMMYFUNCTION("""COMPUTED_VALUE""")," GK2MP")</f>
        <v> GK2MP</v>
      </c>
      <c r="E85" s="517" t="str">
        <f>IFERROR(__xludf.DUMMYFUNCTION("""COMPUTED_VALUE"""),"CLNRGA10548")</f>
        <v>CLNRGA10548</v>
      </c>
      <c r="F85" s="517" t="str">
        <f>IFERROR(__xludf.DUMMYFUNCTION("""COMPUTED_VALUE"""),"SKU, CLR1, GOOD, SUB6, UK/EU, FL5, FRU")</f>
        <v>SKU, CLR1, GOOD, SUB6, UK/EU, FL5, FRU</v>
      </c>
      <c r="G85" s="517" t="str">
        <f>IFERROR(__xludf.DUMMYFUNCTION("""COMPUTED_VALUE"""),"CLR1")</f>
        <v>CLR1</v>
      </c>
      <c r="H85" s="517" t="str">
        <f>IFERROR(__xludf.DUMMYFUNCTION("""COMPUTED_VALUE"""),"SUB6")</f>
        <v>SUB6</v>
      </c>
      <c r="I85" s="517" t="str">
        <f>IFERROR(__xludf.DUMMYFUNCTION("""COMPUTED_VALUE"""),"128GB")</f>
        <v>128GB</v>
      </c>
      <c r="J85" s="517" t="str">
        <f>IFERROR(__xludf.DUMMYFUNCTION("""COMPUTED_VALUE"""),"SKU, CLR1, GOOD, SUB6")</f>
        <v>SKU, CLR1, GOOD, SUB6</v>
      </c>
      <c r="K85" s="517" t="str">
        <f>IFERROR(__xludf.DUMMYFUNCTION("""COMPUTED_VALUE"""),"G950-15935-10")</f>
        <v>G950-15935-10</v>
      </c>
      <c r="L85" s="517" t="str">
        <f>IFERROR(__xludf.DUMMYFUNCTION("""COMPUTED_VALUE"""),"G710-07738-10")</f>
        <v>G710-07738-10</v>
      </c>
      <c r="M85" s="517" t="str">
        <f>IFERROR(__xludf.DUMMYFUNCTION("""COMPUTED_VALUE"""),"G710-07670-01")</f>
        <v>G710-07670-01</v>
      </c>
      <c r="N85" s="517" t="str">
        <f>IFERROR(__xludf.DUMMYFUNCTION("""COMPUTED_VALUE"""),"G730-09533-01")</f>
        <v>G730-09533-01</v>
      </c>
      <c r="O85" s="517" t="str">
        <f>IFERROR(__xludf.DUMMYFUNCTION("""COMPUTED_VALUE"""),"G710-07800-00")</f>
        <v>G710-07800-00</v>
      </c>
      <c r="P85" s="517" t="str">
        <f>IFERROR(__xludf.DUMMYFUNCTION("""COMPUTED_VALUE"""),"G650-14657-05")</f>
        <v>G650-14657-05</v>
      </c>
      <c r="Q85" s="517" t="str">
        <f>IFERROR(__xludf.DUMMYFUNCTION("""COMPUTED_VALUE"""),"G650-14694-05")</f>
        <v>G650-14694-05</v>
      </c>
      <c r="R85" s="517" t="str">
        <f>IFERROR(__xludf.DUMMYFUNCTION("""COMPUTED_VALUE"""),"G650-14850-03")</f>
        <v>G650-14850-03</v>
      </c>
      <c r="S85" s="517" t="str">
        <f>IFERROR(__xludf.DUMMYFUNCTION("""COMPUTED_VALUE"""),"Yes")</f>
        <v>Yes</v>
      </c>
      <c r="T85" s="517" t="str">
        <f>IFERROR(__xludf.DUMMYFUNCTION("""COMPUTED_VALUE"""),"Y")</f>
        <v>Y</v>
      </c>
      <c r="U85" s="517" t="str">
        <f>IFERROR(__xludf.DUMMYFUNCTION("""COMPUTED_VALUE"""),"Y")</f>
        <v>Y</v>
      </c>
      <c r="V85" s="517"/>
    </row>
    <row r="86">
      <c r="A86" s="445">
        <v>83.0</v>
      </c>
      <c r="B86" s="517" t="str">
        <f>IFERROR(__xludf.DUMMYFUNCTION("""COMPUTED_VALUE"""),"MP")</f>
        <v>MP</v>
      </c>
      <c r="C86" s="517">
        <f>IFERROR(__xludf.DUMMYFUNCTION("""COMPUTED_VALUE"""),83.0)</f>
        <v>83</v>
      </c>
      <c r="D86" s="517" t="str">
        <f>IFERROR(__xludf.DUMMYFUNCTION("""COMPUTED_VALUE""")," GK2MP")</f>
        <v> GK2MP</v>
      </c>
      <c r="E86" s="517" t="str">
        <f>IFERROR(__xludf.DUMMYFUNCTION("""COMPUTED_VALUE"""),"CLNRGA10549")</f>
        <v>CLNRGA10549</v>
      </c>
      <c r="F86" s="517" t="str">
        <f>IFERROR(__xludf.DUMMYFUNCTION("""COMPUTED_VALUE"""),"SKU, CLR2, GOOD, SUB6, UK/EU, FL5, FRU")</f>
        <v>SKU, CLR2, GOOD, SUB6, UK/EU, FL5, FRU</v>
      </c>
      <c r="G86" s="517" t="str">
        <f>IFERROR(__xludf.DUMMYFUNCTION("""COMPUTED_VALUE"""),"CLR2")</f>
        <v>CLR2</v>
      </c>
      <c r="H86" s="517" t="str">
        <f>IFERROR(__xludf.DUMMYFUNCTION("""COMPUTED_VALUE"""),"SUB6")</f>
        <v>SUB6</v>
      </c>
      <c r="I86" s="517" t="str">
        <f>IFERROR(__xludf.DUMMYFUNCTION("""COMPUTED_VALUE"""),"128GB")</f>
        <v>128GB</v>
      </c>
      <c r="J86" s="517" t="str">
        <f>IFERROR(__xludf.DUMMYFUNCTION("""COMPUTED_VALUE"""),"SKU, CLR2, GOOD, SUB6")</f>
        <v>SKU, CLR2, GOOD, SUB6</v>
      </c>
      <c r="K86" s="517" t="str">
        <f>IFERROR(__xludf.DUMMYFUNCTION("""COMPUTED_VALUE"""),"G950-15935-11")</f>
        <v>G950-15935-11</v>
      </c>
      <c r="L86" s="517" t="str">
        <f>IFERROR(__xludf.DUMMYFUNCTION("""COMPUTED_VALUE"""),"G710-07738-10")</f>
        <v>G710-07738-10</v>
      </c>
      <c r="M86" s="517" t="str">
        <f>IFERROR(__xludf.DUMMYFUNCTION("""COMPUTED_VALUE"""),"G710-07670-01")</f>
        <v>G710-07670-01</v>
      </c>
      <c r="N86" s="517" t="str">
        <f>IFERROR(__xludf.DUMMYFUNCTION("""COMPUTED_VALUE"""),"G730-09533-02")</f>
        <v>G730-09533-02</v>
      </c>
      <c r="O86" s="517" t="str">
        <f>IFERROR(__xludf.DUMMYFUNCTION("""COMPUTED_VALUE"""),"G710-07800-00")</f>
        <v>G710-07800-00</v>
      </c>
      <c r="P86" s="517" t="str">
        <f>IFERROR(__xludf.DUMMYFUNCTION("""COMPUTED_VALUE"""),"G650-14657-05")</f>
        <v>G650-14657-05</v>
      </c>
      <c r="Q86" s="517" t="str">
        <f>IFERROR(__xludf.DUMMYFUNCTION("""COMPUTED_VALUE"""),"G650-14694-05")</f>
        <v>G650-14694-05</v>
      </c>
      <c r="R86" s="517" t="str">
        <f>IFERROR(__xludf.DUMMYFUNCTION("""COMPUTED_VALUE"""),"G650-14850-03")</f>
        <v>G650-14850-03</v>
      </c>
      <c r="S86" s="517" t="str">
        <f>IFERROR(__xludf.DUMMYFUNCTION("""COMPUTED_VALUE"""),"Yes")</f>
        <v>Yes</v>
      </c>
      <c r="T86" s="517" t="str">
        <f>IFERROR(__xludf.DUMMYFUNCTION("""COMPUTED_VALUE"""),"Y")</f>
        <v>Y</v>
      </c>
      <c r="U86" s="517" t="str">
        <f>IFERROR(__xludf.DUMMYFUNCTION("""COMPUTED_VALUE"""),"Y")</f>
        <v>Y</v>
      </c>
      <c r="V86" s="517"/>
    </row>
    <row r="87">
      <c r="A87" s="445">
        <v>84.0</v>
      </c>
      <c r="B87" s="517" t="str">
        <f>IFERROR(__xludf.DUMMYFUNCTION("""COMPUTED_VALUE"""),"MP")</f>
        <v>MP</v>
      </c>
      <c r="C87" s="517">
        <f>IFERROR(__xludf.DUMMYFUNCTION("""COMPUTED_VALUE"""),84.0)</f>
        <v>84</v>
      </c>
      <c r="D87" s="517" t="str">
        <f>IFERROR(__xludf.DUMMYFUNCTION("""COMPUTED_VALUE""")," GK2MP")</f>
        <v> GK2MP</v>
      </c>
      <c r="E87" s="517" t="str">
        <f>IFERROR(__xludf.DUMMYFUNCTION("""COMPUTED_VALUE"""),"CLNRGA10550")</f>
        <v>CLNRGA10550</v>
      </c>
      <c r="F87" s="517" t="str">
        <f>IFERROR(__xludf.DUMMYFUNCTION("""COMPUTED_VALUE"""),"SKU, CLR3, GOOD, SUB6, UK/EU, FL5, FRU")</f>
        <v>SKU, CLR3, GOOD, SUB6, UK/EU, FL5, FRU</v>
      </c>
      <c r="G87" s="517" t="str">
        <f>IFERROR(__xludf.DUMMYFUNCTION("""COMPUTED_VALUE"""),"CLR3")</f>
        <v>CLR3</v>
      </c>
      <c r="H87" s="517" t="str">
        <f>IFERROR(__xludf.DUMMYFUNCTION("""COMPUTED_VALUE"""),"SUB6")</f>
        <v>SUB6</v>
      </c>
      <c r="I87" s="517" t="str">
        <f>IFERROR(__xludf.DUMMYFUNCTION("""COMPUTED_VALUE"""),"128GB")</f>
        <v>128GB</v>
      </c>
      <c r="J87" s="517" t="str">
        <f>IFERROR(__xludf.DUMMYFUNCTION("""COMPUTED_VALUE"""),"SKU, CLR3, GOOD, SUB6")</f>
        <v>SKU, CLR3, GOOD, SUB6</v>
      </c>
      <c r="K87" s="517" t="str">
        <f>IFERROR(__xludf.DUMMYFUNCTION("""COMPUTED_VALUE"""),"G950-15935-12")</f>
        <v>G950-15935-12</v>
      </c>
      <c r="L87" s="517" t="str">
        <f>IFERROR(__xludf.DUMMYFUNCTION("""COMPUTED_VALUE"""),"G710-07738-10")</f>
        <v>G710-07738-10</v>
      </c>
      <c r="M87" s="517" t="str">
        <f>IFERROR(__xludf.DUMMYFUNCTION("""COMPUTED_VALUE"""),"G710-07670-01")</f>
        <v>G710-07670-01</v>
      </c>
      <c r="N87" s="517" t="str">
        <f>IFERROR(__xludf.DUMMYFUNCTION("""COMPUTED_VALUE"""),"G730-09533-03")</f>
        <v>G730-09533-03</v>
      </c>
      <c r="O87" s="517" t="str">
        <f>IFERROR(__xludf.DUMMYFUNCTION("""COMPUTED_VALUE"""),"G710-07800-00")</f>
        <v>G710-07800-00</v>
      </c>
      <c r="P87" s="517" t="str">
        <f>IFERROR(__xludf.DUMMYFUNCTION("""COMPUTED_VALUE"""),"G650-14657-05")</f>
        <v>G650-14657-05</v>
      </c>
      <c r="Q87" s="517" t="str">
        <f>IFERROR(__xludf.DUMMYFUNCTION("""COMPUTED_VALUE"""),"G650-14694-05")</f>
        <v>G650-14694-05</v>
      </c>
      <c r="R87" s="517" t="str">
        <f>IFERROR(__xludf.DUMMYFUNCTION("""COMPUTED_VALUE"""),"G650-14850-03")</f>
        <v>G650-14850-03</v>
      </c>
      <c r="S87" s="517" t="str">
        <f>IFERROR(__xludf.DUMMYFUNCTION("""COMPUTED_VALUE"""),"Yes")</f>
        <v>Yes</v>
      </c>
      <c r="T87" s="517" t="str">
        <f>IFERROR(__xludf.DUMMYFUNCTION("""COMPUTED_VALUE"""),"Y")</f>
        <v>Y</v>
      </c>
      <c r="U87" s="517" t="str">
        <f>IFERROR(__xludf.DUMMYFUNCTION("""COMPUTED_VALUE"""),"Y")</f>
        <v>Y</v>
      </c>
      <c r="V87" s="517"/>
    </row>
    <row r="88">
      <c r="A88" s="445">
        <v>85.0</v>
      </c>
      <c r="B88" s="517" t="str">
        <f>IFERROR(__xludf.DUMMYFUNCTION("""COMPUTED_VALUE"""),"MP")</f>
        <v>MP</v>
      </c>
      <c r="C88" s="517">
        <f>IFERROR(__xludf.DUMMYFUNCTION("""COMPUTED_VALUE"""),85.0)</f>
        <v>85</v>
      </c>
      <c r="D88" s="517" t="str">
        <f>IFERROR(__xludf.DUMMYFUNCTION("""COMPUTED_VALUE""")," GK2MP")</f>
        <v> GK2MP</v>
      </c>
      <c r="E88" s="517" t="str">
        <f>IFERROR(__xludf.DUMMYFUNCTION("""COMPUTED_VALUE"""),"CLNRGA10551")</f>
        <v>CLNRGA10551</v>
      </c>
      <c r="F88" s="517" t="str">
        <f>IFERROR(__xludf.DUMMYFUNCTION("""COMPUTED_VALUE"""),"SKU, CLR4, GOOD, SUB6, UK/EU, FL5, FRU")</f>
        <v>SKU, CLR4, GOOD, SUB6, UK/EU, FL5, FRU</v>
      </c>
      <c r="G88" s="517" t="str">
        <f>IFERROR(__xludf.DUMMYFUNCTION("""COMPUTED_VALUE"""),"CLR4")</f>
        <v>CLR4</v>
      </c>
      <c r="H88" s="517" t="str">
        <f>IFERROR(__xludf.DUMMYFUNCTION("""COMPUTED_VALUE"""),"SUB6")</f>
        <v>SUB6</v>
      </c>
      <c r="I88" s="517" t="str">
        <f>IFERROR(__xludf.DUMMYFUNCTION("""COMPUTED_VALUE"""),"128GB")</f>
        <v>128GB</v>
      </c>
      <c r="J88" s="517" t="str">
        <f>IFERROR(__xludf.DUMMYFUNCTION("""COMPUTED_VALUE"""),"SKU, CLR4, GOOD, SUB6")</f>
        <v>SKU, CLR4, GOOD, SUB6</v>
      </c>
      <c r="K88" s="517" t="str">
        <f>IFERROR(__xludf.DUMMYFUNCTION("""COMPUTED_VALUE"""),"G950-15935-13")</f>
        <v>G950-15935-13</v>
      </c>
      <c r="L88" s="517" t="str">
        <f>IFERROR(__xludf.DUMMYFUNCTION("""COMPUTED_VALUE"""),"G710-07738-10")</f>
        <v>G710-07738-10</v>
      </c>
      <c r="M88" s="517" t="str">
        <f>IFERROR(__xludf.DUMMYFUNCTION("""COMPUTED_VALUE"""),"G710-07670-01")</f>
        <v>G710-07670-01</v>
      </c>
      <c r="N88" s="517" t="str">
        <f>IFERROR(__xludf.DUMMYFUNCTION("""COMPUTED_VALUE"""),"G730-09533-04")</f>
        <v>G730-09533-04</v>
      </c>
      <c r="O88" s="517" t="str">
        <f>IFERROR(__xludf.DUMMYFUNCTION("""COMPUTED_VALUE"""),"G710-07800-00")</f>
        <v>G710-07800-00</v>
      </c>
      <c r="P88" s="517" t="str">
        <f>IFERROR(__xludf.DUMMYFUNCTION("""COMPUTED_VALUE"""),"G650-14657-05")</f>
        <v>G650-14657-05</v>
      </c>
      <c r="Q88" s="517" t="str">
        <f>IFERROR(__xludf.DUMMYFUNCTION("""COMPUTED_VALUE"""),"G650-14694-05")</f>
        <v>G650-14694-05</v>
      </c>
      <c r="R88" s="517" t="str">
        <f>IFERROR(__xludf.DUMMYFUNCTION("""COMPUTED_VALUE"""),"G650-14850-03")</f>
        <v>G650-14850-03</v>
      </c>
      <c r="S88" s="517" t="str">
        <f>IFERROR(__xludf.DUMMYFUNCTION("""COMPUTED_VALUE"""),"Yes")</f>
        <v>Yes</v>
      </c>
      <c r="T88" s="517" t="str">
        <f>IFERROR(__xludf.DUMMYFUNCTION("""COMPUTED_VALUE"""),"Y")</f>
        <v>Y</v>
      </c>
      <c r="U88" s="517" t="str">
        <f>IFERROR(__xludf.DUMMYFUNCTION("""COMPUTED_VALUE"""),"Y")</f>
        <v>Y</v>
      </c>
      <c r="V88" s="517"/>
    </row>
    <row r="89">
      <c r="A89" s="445">
        <v>86.0</v>
      </c>
      <c r="B89" s="517" t="str">
        <f>IFERROR(__xludf.DUMMYFUNCTION("""COMPUTED_VALUE"""),"MP")</f>
        <v>MP</v>
      </c>
      <c r="C89" s="517">
        <f>IFERROR(__xludf.DUMMYFUNCTION("""COMPUTED_VALUE"""),86.0)</f>
        <v>86</v>
      </c>
      <c r="D89" s="517" t="str">
        <f>IFERROR(__xludf.DUMMYFUNCTION("""COMPUTED_VALUE""")," GK2MP")</f>
        <v> GK2MP</v>
      </c>
      <c r="E89" s="517" t="str">
        <f>IFERROR(__xludf.DUMMYFUNCTION("""COMPUTED_VALUE"""),"CLNRGA10552")</f>
        <v>CLNRGA10552</v>
      </c>
      <c r="F89" s="517" t="str">
        <f>IFERROR(__xludf.DUMMYFUNCTION("""COMPUTED_VALUE"""),"SKU, CLR1, BETTER, SUB6, UK/EU, FL5, FRU")</f>
        <v>SKU, CLR1, BETTER, SUB6, UK/EU, FL5, FRU</v>
      </c>
      <c r="G89" s="517" t="str">
        <f>IFERROR(__xludf.DUMMYFUNCTION("""COMPUTED_VALUE"""),"CLR1")</f>
        <v>CLR1</v>
      </c>
      <c r="H89" s="517" t="str">
        <f>IFERROR(__xludf.DUMMYFUNCTION("""COMPUTED_VALUE"""),"SUB6")</f>
        <v>SUB6</v>
      </c>
      <c r="I89" s="517" t="str">
        <f>IFERROR(__xludf.DUMMYFUNCTION("""COMPUTED_VALUE"""),"256GB")</f>
        <v>256GB</v>
      </c>
      <c r="J89" s="517" t="str">
        <f>IFERROR(__xludf.DUMMYFUNCTION("""COMPUTED_VALUE"""),"SKU, CLR1, BETTER, SUB6")</f>
        <v>SKU, CLR1, BETTER, SUB6</v>
      </c>
      <c r="K89" s="517" t="str">
        <f>IFERROR(__xludf.DUMMYFUNCTION("""COMPUTED_VALUE"""),"G950-15935-14")</f>
        <v>G950-15935-14</v>
      </c>
      <c r="L89" s="517" t="str">
        <f>IFERROR(__xludf.DUMMYFUNCTION("""COMPUTED_VALUE"""),"G710-07738-10")</f>
        <v>G710-07738-10</v>
      </c>
      <c r="M89" s="517" t="str">
        <f>IFERROR(__xludf.DUMMYFUNCTION("""COMPUTED_VALUE"""),"G710-07670-01")</f>
        <v>G710-07670-01</v>
      </c>
      <c r="N89" s="517" t="str">
        <f>IFERROR(__xludf.DUMMYFUNCTION("""COMPUTED_VALUE"""),"G730-09533-01")</f>
        <v>G730-09533-01</v>
      </c>
      <c r="O89" s="517" t="str">
        <f>IFERROR(__xludf.DUMMYFUNCTION("""COMPUTED_VALUE"""),"G710-07800-10")</f>
        <v>G710-07800-10</v>
      </c>
      <c r="P89" s="517" t="str">
        <f>IFERROR(__xludf.DUMMYFUNCTION("""COMPUTED_VALUE"""),"G650-17428-05")</f>
        <v>G650-17428-05</v>
      </c>
      <c r="Q89" s="517" t="str">
        <f>IFERROR(__xludf.DUMMYFUNCTION("""COMPUTED_VALUE"""),"G650-14694-05")</f>
        <v>G650-14694-05</v>
      </c>
      <c r="R89" s="517" t="str">
        <f>IFERROR(__xludf.DUMMYFUNCTION("""COMPUTED_VALUE"""),"G650-14850-03")</f>
        <v>G650-14850-03</v>
      </c>
      <c r="S89" s="517" t="str">
        <f>IFERROR(__xludf.DUMMYFUNCTION("""COMPUTED_VALUE"""),"Yes")</f>
        <v>Yes</v>
      </c>
      <c r="T89" s="517" t="str">
        <f>IFERROR(__xludf.DUMMYFUNCTION("""COMPUTED_VALUE"""),"Y")</f>
        <v>Y</v>
      </c>
      <c r="U89" s="517" t="str">
        <f>IFERROR(__xludf.DUMMYFUNCTION("""COMPUTED_VALUE"""),"Y")</f>
        <v>Y</v>
      </c>
      <c r="V89" s="517"/>
    </row>
    <row r="90">
      <c r="A90" s="445">
        <v>87.0</v>
      </c>
      <c r="B90" s="517" t="str">
        <f>IFERROR(__xludf.DUMMYFUNCTION("""COMPUTED_VALUE"""),"MP")</f>
        <v>MP</v>
      </c>
      <c r="C90" s="517">
        <f>IFERROR(__xludf.DUMMYFUNCTION("""COMPUTED_VALUE"""),87.0)</f>
        <v>87</v>
      </c>
      <c r="D90" s="517" t="str">
        <f>IFERROR(__xludf.DUMMYFUNCTION("""COMPUTED_VALUE""")," GK2MP")</f>
        <v> GK2MP</v>
      </c>
      <c r="E90" s="517" t="str">
        <f>IFERROR(__xludf.DUMMYFUNCTION("""COMPUTED_VALUE"""),"CLNRGA10553")</f>
        <v>CLNRGA10553</v>
      </c>
      <c r="F90" s="517" t="str">
        <f>IFERROR(__xludf.DUMMYFUNCTION("""COMPUTED_VALUE"""),"SKU, CLR2, BETTER, SUB6, UK/EU, FL5, FRU")</f>
        <v>SKU, CLR2, BETTER, SUB6, UK/EU, FL5, FRU</v>
      </c>
      <c r="G90" s="517" t="str">
        <f>IFERROR(__xludf.DUMMYFUNCTION("""COMPUTED_VALUE"""),"CLR2")</f>
        <v>CLR2</v>
      </c>
      <c r="H90" s="517" t="str">
        <f>IFERROR(__xludf.DUMMYFUNCTION("""COMPUTED_VALUE"""),"SUB6")</f>
        <v>SUB6</v>
      </c>
      <c r="I90" s="517" t="str">
        <f>IFERROR(__xludf.DUMMYFUNCTION("""COMPUTED_VALUE"""),"256GB")</f>
        <v>256GB</v>
      </c>
      <c r="J90" s="517" t="str">
        <f>IFERROR(__xludf.DUMMYFUNCTION("""COMPUTED_VALUE"""),"SKU, CLR2, BETTER, SUB6")</f>
        <v>SKU, CLR2, BETTER, SUB6</v>
      </c>
      <c r="K90" s="517" t="str">
        <f>IFERROR(__xludf.DUMMYFUNCTION("""COMPUTED_VALUE"""),"G950-15935-15")</f>
        <v>G950-15935-15</v>
      </c>
      <c r="L90" s="517" t="str">
        <f>IFERROR(__xludf.DUMMYFUNCTION("""COMPUTED_VALUE"""),"G710-07738-10")</f>
        <v>G710-07738-10</v>
      </c>
      <c r="M90" s="517" t="str">
        <f>IFERROR(__xludf.DUMMYFUNCTION("""COMPUTED_VALUE"""),"G710-07670-01")</f>
        <v>G710-07670-01</v>
      </c>
      <c r="N90" s="517" t="str">
        <f>IFERROR(__xludf.DUMMYFUNCTION("""COMPUTED_VALUE"""),"G730-09533-02")</f>
        <v>G730-09533-02</v>
      </c>
      <c r="O90" s="517" t="str">
        <f>IFERROR(__xludf.DUMMYFUNCTION("""COMPUTED_VALUE"""),"G710-07800-10")</f>
        <v>G710-07800-10</v>
      </c>
      <c r="P90" s="517" t="str">
        <f>IFERROR(__xludf.DUMMYFUNCTION("""COMPUTED_VALUE"""),"G650-17428-05")</f>
        <v>G650-17428-05</v>
      </c>
      <c r="Q90" s="517" t="str">
        <f>IFERROR(__xludf.DUMMYFUNCTION("""COMPUTED_VALUE"""),"G650-14694-05")</f>
        <v>G650-14694-05</v>
      </c>
      <c r="R90" s="517" t="str">
        <f>IFERROR(__xludf.DUMMYFUNCTION("""COMPUTED_VALUE"""),"G650-14850-03")</f>
        <v>G650-14850-03</v>
      </c>
      <c r="S90" s="517" t="str">
        <f>IFERROR(__xludf.DUMMYFUNCTION("""COMPUTED_VALUE"""),"Yes")</f>
        <v>Yes</v>
      </c>
      <c r="T90" s="517" t="str">
        <f>IFERROR(__xludf.DUMMYFUNCTION("""COMPUTED_VALUE"""),"Y")</f>
        <v>Y</v>
      </c>
      <c r="U90" s="517" t="str">
        <f>IFERROR(__xludf.DUMMYFUNCTION("""COMPUTED_VALUE"""),"Y")</f>
        <v>Y</v>
      </c>
      <c r="V90" s="517"/>
    </row>
    <row r="91">
      <c r="A91" s="445">
        <v>88.0</v>
      </c>
      <c r="B91" s="517" t="str">
        <f>IFERROR(__xludf.DUMMYFUNCTION("""COMPUTED_VALUE"""),"MP")</f>
        <v>MP</v>
      </c>
      <c r="C91" s="517">
        <f>IFERROR(__xludf.DUMMYFUNCTION("""COMPUTED_VALUE"""),88.0)</f>
        <v>88</v>
      </c>
      <c r="D91" s="517" t="str">
        <f>IFERROR(__xludf.DUMMYFUNCTION("""COMPUTED_VALUE""")," GK2MP")</f>
        <v> GK2MP</v>
      </c>
      <c r="E91" s="517" t="str">
        <f>IFERROR(__xludf.DUMMYFUNCTION("""COMPUTED_VALUE"""),"CLNRGA10554")</f>
        <v>CLNRGA10554</v>
      </c>
      <c r="F91" s="517" t="str">
        <f>IFERROR(__xludf.DUMMYFUNCTION("""COMPUTED_VALUE"""),"SKU, CLR3, BETTER, SUB6, UK/EU, FL5, FRU")</f>
        <v>SKU, CLR3, BETTER, SUB6, UK/EU, FL5, FRU</v>
      </c>
      <c r="G91" s="517" t="str">
        <f>IFERROR(__xludf.DUMMYFUNCTION("""COMPUTED_VALUE"""),"CLR3")</f>
        <v>CLR3</v>
      </c>
      <c r="H91" s="517" t="str">
        <f>IFERROR(__xludf.DUMMYFUNCTION("""COMPUTED_VALUE"""),"SUB6")</f>
        <v>SUB6</v>
      </c>
      <c r="I91" s="517" t="str">
        <f>IFERROR(__xludf.DUMMYFUNCTION("""COMPUTED_VALUE"""),"256GB")</f>
        <v>256GB</v>
      </c>
      <c r="J91" s="517" t="str">
        <f>IFERROR(__xludf.DUMMYFUNCTION("""COMPUTED_VALUE"""),"SKU, CLR3, BETTER, SUB6")</f>
        <v>SKU, CLR3, BETTER, SUB6</v>
      </c>
      <c r="K91" s="517" t="str">
        <f>IFERROR(__xludf.DUMMYFUNCTION("""COMPUTED_VALUE"""),"G950-15935-16")</f>
        <v>G950-15935-16</v>
      </c>
      <c r="L91" s="517" t="str">
        <f>IFERROR(__xludf.DUMMYFUNCTION("""COMPUTED_VALUE"""),"G710-07738-10")</f>
        <v>G710-07738-10</v>
      </c>
      <c r="M91" s="517" t="str">
        <f>IFERROR(__xludf.DUMMYFUNCTION("""COMPUTED_VALUE"""),"G710-07670-01")</f>
        <v>G710-07670-01</v>
      </c>
      <c r="N91" s="517" t="str">
        <f>IFERROR(__xludf.DUMMYFUNCTION("""COMPUTED_VALUE"""),"G730-09533-03")</f>
        <v>G730-09533-03</v>
      </c>
      <c r="O91" s="517" t="str">
        <f>IFERROR(__xludf.DUMMYFUNCTION("""COMPUTED_VALUE"""),"G710-07800-10")</f>
        <v>G710-07800-10</v>
      </c>
      <c r="P91" s="517" t="str">
        <f>IFERROR(__xludf.DUMMYFUNCTION("""COMPUTED_VALUE"""),"G650-17428-05")</f>
        <v>G650-17428-05</v>
      </c>
      <c r="Q91" s="517" t="str">
        <f>IFERROR(__xludf.DUMMYFUNCTION("""COMPUTED_VALUE"""),"G650-14694-05")</f>
        <v>G650-14694-05</v>
      </c>
      <c r="R91" s="517" t="str">
        <f>IFERROR(__xludf.DUMMYFUNCTION("""COMPUTED_VALUE"""),"G650-14850-03")</f>
        <v>G650-14850-03</v>
      </c>
      <c r="S91" s="517" t="str">
        <f>IFERROR(__xludf.DUMMYFUNCTION("""COMPUTED_VALUE"""),"Yes")</f>
        <v>Yes</v>
      </c>
      <c r="T91" s="517" t="str">
        <f>IFERROR(__xludf.DUMMYFUNCTION("""COMPUTED_VALUE"""),"Y")</f>
        <v>Y</v>
      </c>
      <c r="U91" s="517" t="str">
        <f>IFERROR(__xludf.DUMMYFUNCTION("""COMPUTED_VALUE"""),"Y")</f>
        <v>Y</v>
      </c>
      <c r="V91" s="517"/>
    </row>
    <row r="92">
      <c r="A92" s="445">
        <v>89.0</v>
      </c>
      <c r="B92" s="517" t="str">
        <f>IFERROR(__xludf.DUMMYFUNCTION("""COMPUTED_VALUE"""),"MP")</f>
        <v>MP</v>
      </c>
      <c r="C92" s="517">
        <f>IFERROR(__xludf.DUMMYFUNCTION("""COMPUTED_VALUE"""),89.0)</f>
        <v>89</v>
      </c>
      <c r="D92" s="517" t="str">
        <f>IFERROR(__xludf.DUMMYFUNCTION("""COMPUTED_VALUE""")," GK2MP")</f>
        <v> GK2MP</v>
      </c>
      <c r="E92" s="517" t="str">
        <f>IFERROR(__xludf.DUMMYFUNCTION("""COMPUTED_VALUE"""),"CLNRGA10555")</f>
        <v>CLNRGA10555</v>
      </c>
      <c r="F92" s="517" t="str">
        <f>IFERROR(__xludf.DUMMYFUNCTION("""COMPUTED_VALUE"""),"SKU, CLR4, BETTER, SUB6, UK/EU, FL5, FRU")</f>
        <v>SKU, CLR4, BETTER, SUB6, UK/EU, FL5, FRU</v>
      </c>
      <c r="G92" s="517" t="str">
        <f>IFERROR(__xludf.DUMMYFUNCTION("""COMPUTED_VALUE"""),"CLR4")</f>
        <v>CLR4</v>
      </c>
      <c r="H92" s="517" t="str">
        <f>IFERROR(__xludf.DUMMYFUNCTION("""COMPUTED_VALUE"""),"SUB6")</f>
        <v>SUB6</v>
      </c>
      <c r="I92" s="517" t="str">
        <f>IFERROR(__xludf.DUMMYFUNCTION("""COMPUTED_VALUE"""),"256GB")</f>
        <v>256GB</v>
      </c>
      <c r="J92" s="517" t="str">
        <f>IFERROR(__xludf.DUMMYFUNCTION("""COMPUTED_VALUE"""),"SKU, CLR4, BETTER, SUB6")</f>
        <v>SKU, CLR4, BETTER, SUB6</v>
      </c>
      <c r="K92" s="517" t="str">
        <f>IFERROR(__xludf.DUMMYFUNCTION("""COMPUTED_VALUE"""),"G950-15935-17")</f>
        <v>G950-15935-17</v>
      </c>
      <c r="L92" s="517" t="str">
        <f>IFERROR(__xludf.DUMMYFUNCTION("""COMPUTED_VALUE"""),"G710-07738-10")</f>
        <v>G710-07738-10</v>
      </c>
      <c r="M92" s="517" t="str">
        <f>IFERROR(__xludf.DUMMYFUNCTION("""COMPUTED_VALUE"""),"G710-07670-01")</f>
        <v>G710-07670-01</v>
      </c>
      <c r="N92" s="517" t="str">
        <f>IFERROR(__xludf.DUMMYFUNCTION("""COMPUTED_VALUE"""),"G730-09533-04")</f>
        <v>G730-09533-04</v>
      </c>
      <c r="O92" s="517" t="str">
        <f>IFERROR(__xludf.DUMMYFUNCTION("""COMPUTED_VALUE"""),"G710-07800-10")</f>
        <v>G710-07800-10</v>
      </c>
      <c r="P92" s="517" t="str">
        <f>IFERROR(__xludf.DUMMYFUNCTION("""COMPUTED_VALUE"""),"G650-17428-05")</f>
        <v>G650-17428-05</v>
      </c>
      <c r="Q92" s="517" t="str">
        <f>IFERROR(__xludf.DUMMYFUNCTION("""COMPUTED_VALUE"""),"G650-14694-05")</f>
        <v>G650-14694-05</v>
      </c>
      <c r="R92" s="517" t="str">
        <f>IFERROR(__xludf.DUMMYFUNCTION("""COMPUTED_VALUE"""),"G650-14850-03")</f>
        <v>G650-14850-03</v>
      </c>
      <c r="S92" s="517" t="str">
        <f>IFERROR(__xludf.DUMMYFUNCTION("""COMPUTED_VALUE"""),"Yes")</f>
        <v>Yes</v>
      </c>
      <c r="T92" s="517" t="str">
        <f>IFERROR(__xludf.DUMMYFUNCTION("""COMPUTED_VALUE"""),"Y")</f>
        <v>Y</v>
      </c>
      <c r="U92" s="517" t="str">
        <f>IFERROR(__xludf.DUMMYFUNCTION("""COMPUTED_VALUE"""),"Y")</f>
        <v>Y</v>
      </c>
      <c r="V92" s="517"/>
    </row>
    <row r="93">
      <c r="A93" s="445">
        <v>90.0</v>
      </c>
      <c r="B93" s="517" t="str">
        <f>IFERROR(__xludf.DUMMYFUNCTION("""COMPUTED_VALUE"""),"MP")</f>
        <v>MP</v>
      </c>
      <c r="C93" s="517">
        <f>IFERROR(__xludf.DUMMYFUNCTION("""COMPUTED_VALUE"""),90.0)</f>
        <v>90</v>
      </c>
      <c r="D93" s="517" t="str">
        <f>IFERROR(__xludf.DUMMYFUNCTION("""COMPUTED_VALUE"""),"GLBW0")</f>
        <v>GLBW0</v>
      </c>
      <c r="E93" s="517" t="str">
        <f>IFERROR(__xludf.DUMMYFUNCTION("""COMPUTED_VALUE"""),"GA09744-US-N")</f>
        <v>GA09744-US-N</v>
      </c>
      <c r="F93" s="517" t="str">
        <f>IFERROR(__xludf.DUMMYFUNCTION("""COMPUTED_VALUE"""),"SKU, CLR1, GOOD, MMWAVE, GSTORE, US, PRESS, FL5")</f>
        <v>SKU, CLR1, GOOD, MMWAVE, GSTORE, US, PRESS, FL5</v>
      </c>
      <c r="G93" s="517" t="str">
        <f>IFERROR(__xludf.DUMMYFUNCTION("""COMPUTED_VALUE"""),"CLR1")</f>
        <v>CLR1</v>
      </c>
      <c r="H93" s="517" t="str">
        <f>IFERROR(__xludf.DUMMYFUNCTION("""COMPUTED_VALUE"""),"MMWAVE")</f>
        <v>MMWAVE</v>
      </c>
      <c r="I93" s="517" t="str">
        <f>IFERROR(__xludf.DUMMYFUNCTION("""COMPUTED_VALUE"""),"128GB")</f>
        <v>128GB</v>
      </c>
      <c r="J93" s="517" t="str">
        <f>IFERROR(__xludf.DUMMYFUNCTION("""COMPUTED_VALUE"""),"SKU, CLR1, GOOD, MMWAVE")</f>
        <v>SKU, CLR1, GOOD, MMWAVE</v>
      </c>
      <c r="K93" s="517" t="str">
        <f>IFERROR(__xludf.DUMMYFUNCTION("""COMPUTED_VALUE"""),"G950-15935-00")</f>
        <v>G950-15935-00</v>
      </c>
      <c r="L93" s="517" t="str">
        <f>IFERROR(__xludf.DUMMYFUNCTION("""COMPUTED_VALUE"""),"G710-07738-00")</f>
        <v>G710-07738-00</v>
      </c>
      <c r="M93" s="517" t="str">
        <f>IFERROR(__xludf.DUMMYFUNCTION("""COMPUTED_VALUE"""),"G710-07670-01")</f>
        <v>G710-07670-01</v>
      </c>
      <c r="N93" s="517" t="str">
        <f>IFERROR(__xludf.DUMMYFUNCTION("""COMPUTED_VALUE"""),"G730-09533-01")</f>
        <v>G730-09533-01</v>
      </c>
      <c r="O93" s="517" t="str">
        <f>IFERROR(__xludf.DUMMYFUNCTION("""COMPUTED_VALUE"""),"G710-07800-01")</f>
        <v>G710-07800-01</v>
      </c>
      <c r="P93" s="517" t="str">
        <f>IFERROR(__xludf.DUMMYFUNCTION("""COMPUTED_VALUE"""),"G650-14656-06")</f>
        <v>G650-14656-06</v>
      </c>
      <c r="Q93" s="517" t="str">
        <f>IFERROR(__xludf.DUMMYFUNCTION("""COMPUTED_VALUE"""),"G650-14694-05")</f>
        <v>G650-14694-05</v>
      </c>
      <c r="R93" s="517" t="str">
        <f>IFERROR(__xludf.DUMMYFUNCTION("""COMPUTED_VALUE"""),"G650-14850-03")</f>
        <v>G650-14850-03</v>
      </c>
      <c r="S93" s="517" t="str">
        <f>IFERROR(__xludf.DUMMYFUNCTION("""COMPUTED_VALUE"""),"No")</f>
        <v>No</v>
      </c>
      <c r="T93" s="517" t="str">
        <f>IFERROR(__xludf.DUMMYFUNCTION("""COMPUTED_VALUE"""),"N")</f>
        <v>N</v>
      </c>
      <c r="U93" s="517" t="str">
        <f>IFERROR(__xludf.DUMMYFUNCTION("""COMPUTED_VALUE"""),"Y")</f>
        <v>Y</v>
      </c>
      <c r="V93" s="517"/>
    </row>
    <row r="94">
      <c r="A94" s="445">
        <v>91.0</v>
      </c>
      <c r="B94" s="517" t="str">
        <f>IFERROR(__xludf.DUMMYFUNCTION("""COMPUTED_VALUE"""),"MP")</f>
        <v>MP</v>
      </c>
      <c r="C94" s="517">
        <f>IFERROR(__xludf.DUMMYFUNCTION("""COMPUTED_VALUE"""),91.0)</f>
        <v>91</v>
      </c>
      <c r="D94" s="517" t="str">
        <f>IFERROR(__xludf.DUMMYFUNCTION("""COMPUTED_VALUE"""),"GLBW0")</f>
        <v>GLBW0</v>
      </c>
      <c r="E94" s="517" t="str">
        <f>IFERROR(__xludf.DUMMYFUNCTION("""COMPUTED_VALUE"""),"GA10214-US-N")</f>
        <v>GA10214-US-N</v>
      </c>
      <c r="F94" s="517" t="str">
        <f>IFERROR(__xludf.DUMMYFUNCTION("""COMPUTED_VALUE"""),"SKU, CLR2, GOOD, MMWAVE, GSTORE, US, PRESS, FL5")</f>
        <v>SKU, CLR2, GOOD, MMWAVE, GSTORE, US, PRESS, FL5</v>
      </c>
      <c r="G94" s="517" t="str">
        <f>IFERROR(__xludf.DUMMYFUNCTION("""COMPUTED_VALUE"""),"CLR2")</f>
        <v>CLR2</v>
      </c>
      <c r="H94" s="517" t="str">
        <f>IFERROR(__xludf.DUMMYFUNCTION("""COMPUTED_VALUE"""),"MMWAVE")</f>
        <v>MMWAVE</v>
      </c>
      <c r="I94" s="517" t="str">
        <f>IFERROR(__xludf.DUMMYFUNCTION("""COMPUTED_VALUE"""),"128GB")</f>
        <v>128GB</v>
      </c>
      <c r="J94" s="517" t="str">
        <f>IFERROR(__xludf.DUMMYFUNCTION("""COMPUTED_VALUE"""),"SKU, CLR2, GOOD, MMWAVE")</f>
        <v>SKU, CLR2, GOOD, MMWAVE</v>
      </c>
      <c r="K94" s="517" t="str">
        <f>IFERROR(__xludf.DUMMYFUNCTION("""COMPUTED_VALUE"""),"G950-15935-01")</f>
        <v>G950-15935-01</v>
      </c>
      <c r="L94" s="517" t="str">
        <f>IFERROR(__xludf.DUMMYFUNCTION("""COMPUTED_VALUE"""),"G710-07738-00")</f>
        <v>G710-07738-00</v>
      </c>
      <c r="M94" s="517" t="str">
        <f>IFERROR(__xludf.DUMMYFUNCTION("""COMPUTED_VALUE"""),"G710-07670-01")</f>
        <v>G710-07670-01</v>
      </c>
      <c r="N94" s="517" t="str">
        <f>IFERROR(__xludf.DUMMYFUNCTION("""COMPUTED_VALUE"""),"G730-09533-02")</f>
        <v>G730-09533-02</v>
      </c>
      <c r="O94" s="517" t="str">
        <f>IFERROR(__xludf.DUMMYFUNCTION("""COMPUTED_VALUE"""),"G710-07800-01")</f>
        <v>G710-07800-01</v>
      </c>
      <c r="P94" s="517" t="str">
        <f>IFERROR(__xludf.DUMMYFUNCTION("""COMPUTED_VALUE"""),"G650-14656-06")</f>
        <v>G650-14656-06</v>
      </c>
      <c r="Q94" s="517" t="str">
        <f>IFERROR(__xludf.DUMMYFUNCTION("""COMPUTED_VALUE"""),"G650-14694-05")</f>
        <v>G650-14694-05</v>
      </c>
      <c r="R94" s="517" t="str">
        <f>IFERROR(__xludf.DUMMYFUNCTION("""COMPUTED_VALUE"""),"G650-14850-03")</f>
        <v>G650-14850-03</v>
      </c>
      <c r="S94" s="517" t="str">
        <f>IFERROR(__xludf.DUMMYFUNCTION("""COMPUTED_VALUE"""),"No")</f>
        <v>No</v>
      </c>
      <c r="T94" s="517" t="str">
        <f>IFERROR(__xludf.DUMMYFUNCTION("""COMPUTED_VALUE"""),"N")</f>
        <v>N</v>
      </c>
      <c r="U94" s="517" t="str">
        <f>IFERROR(__xludf.DUMMYFUNCTION("""COMPUTED_VALUE"""),"Y")</f>
        <v>Y</v>
      </c>
      <c r="V94" s="517"/>
    </row>
    <row r="95">
      <c r="A95" s="445">
        <v>92.0</v>
      </c>
      <c r="B95" s="517" t="str">
        <f>IFERROR(__xludf.DUMMYFUNCTION("""COMPUTED_VALUE"""),"MP")</f>
        <v>MP</v>
      </c>
      <c r="C95" s="517">
        <f>IFERROR(__xludf.DUMMYFUNCTION("""COMPUTED_VALUE"""),92.0)</f>
        <v>92</v>
      </c>
      <c r="D95" s="517" t="str">
        <f>IFERROR(__xludf.DUMMYFUNCTION("""COMPUTED_VALUE"""),"GLBW0")</f>
        <v>GLBW0</v>
      </c>
      <c r="E95" s="517" t="str">
        <f>IFERROR(__xludf.DUMMYFUNCTION("""COMPUTED_VALUE"""),"GA10215-US-N")</f>
        <v>GA10215-US-N</v>
      </c>
      <c r="F95" s="517" t="str">
        <f>IFERROR(__xludf.DUMMYFUNCTION("""COMPUTED_VALUE"""),"SKU, CLR3, GOOD, MMWAVE, GSTORE, US, PRESS, FL5")</f>
        <v>SKU, CLR3, GOOD, MMWAVE, GSTORE, US, PRESS, FL5</v>
      </c>
      <c r="G95" s="517" t="str">
        <f>IFERROR(__xludf.DUMMYFUNCTION("""COMPUTED_VALUE"""),"CLR3")</f>
        <v>CLR3</v>
      </c>
      <c r="H95" s="517" t="str">
        <f>IFERROR(__xludf.DUMMYFUNCTION("""COMPUTED_VALUE"""),"MMWAVE")</f>
        <v>MMWAVE</v>
      </c>
      <c r="I95" s="517" t="str">
        <f>IFERROR(__xludf.DUMMYFUNCTION("""COMPUTED_VALUE"""),"128GB")</f>
        <v>128GB</v>
      </c>
      <c r="J95" s="517" t="str">
        <f>IFERROR(__xludf.DUMMYFUNCTION("""COMPUTED_VALUE"""),"SKU, CLR3, GOOD, MMWAVE")</f>
        <v>SKU, CLR3, GOOD, MMWAVE</v>
      </c>
      <c r="K95" s="517" t="str">
        <f>IFERROR(__xludf.DUMMYFUNCTION("""COMPUTED_VALUE"""),"G950-15935-02")</f>
        <v>G950-15935-02</v>
      </c>
      <c r="L95" s="517" t="str">
        <f>IFERROR(__xludf.DUMMYFUNCTION("""COMPUTED_VALUE"""),"G710-07738-00")</f>
        <v>G710-07738-00</v>
      </c>
      <c r="M95" s="517" t="str">
        <f>IFERROR(__xludf.DUMMYFUNCTION("""COMPUTED_VALUE"""),"G710-07670-01")</f>
        <v>G710-07670-01</v>
      </c>
      <c r="N95" s="517" t="str">
        <f>IFERROR(__xludf.DUMMYFUNCTION("""COMPUTED_VALUE"""),"G730-09533-03")</f>
        <v>G730-09533-03</v>
      </c>
      <c r="O95" s="517" t="str">
        <f>IFERROR(__xludf.DUMMYFUNCTION("""COMPUTED_VALUE"""),"G710-07800-01")</f>
        <v>G710-07800-01</v>
      </c>
      <c r="P95" s="517" t="str">
        <f>IFERROR(__xludf.DUMMYFUNCTION("""COMPUTED_VALUE"""),"G650-14656-06")</f>
        <v>G650-14656-06</v>
      </c>
      <c r="Q95" s="517" t="str">
        <f>IFERROR(__xludf.DUMMYFUNCTION("""COMPUTED_VALUE"""),"G650-14694-05")</f>
        <v>G650-14694-05</v>
      </c>
      <c r="R95" s="517" t="str">
        <f>IFERROR(__xludf.DUMMYFUNCTION("""COMPUTED_VALUE"""),"G650-14850-03")</f>
        <v>G650-14850-03</v>
      </c>
      <c r="S95" s="517" t="str">
        <f>IFERROR(__xludf.DUMMYFUNCTION("""COMPUTED_VALUE"""),"No")</f>
        <v>No</v>
      </c>
      <c r="T95" s="517" t="str">
        <f>IFERROR(__xludf.DUMMYFUNCTION("""COMPUTED_VALUE"""),"N")</f>
        <v>N</v>
      </c>
      <c r="U95" s="517" t="str">
        <f>IFERROR(__xludf.DUMMYFUNCTION("""COMPUTED_VALUE"""),"Y")</f>
        <v>Y</v>
      </c>
      <c r="V95" s="517"/>
    </row>
    <row r="96">
      <c r="A96" s="445">
        <v>93.0</v>
      </c>
      <c r="B96" s="517" t="str">
        <f>IFERROR(__xludf.DUMMYFUNCTION("""COMPUTED_VALUE"""),"MP")</f>
        <v>MP</v>
      </c>
      <c r="C96" s="517">
        <f>IFERROR(__xludf.DUMMYFUNCTION("""COMPUTED_VALUE"""),93.0)</f>
        <v>93</v>
      </c>
      <c r="D96" s="517" t="str">
        <f>IFERROR(__xludf.DUMMYFUNCTION("""COMPUTED_VALUE"""),"GLBW0")</f>
        <v>GLBW0</v>
      </c>
      <c r="E96" s="517" t="str">
        <f>IFERROR(__xludf.DUMMYFUNCTION("""COMPUTED_VALUE"""),"GA10216-US-N")</f>
        <v>GA10216-US-N</v>
      </c>
      <c r="F96" s="517" t="str">
        <f>IFERROR(__xludf.DUMMYFUNCTION("""COMPUTED_VALUE"""),"SKU, CLR4, GOOD, MMWAVE, GSTORE, US, PRESS, FL5")</f>
        <v>SKU, CLR4, GOOD, MMWAVE, GSTORE, US, PRESS, FL5</v>
      </c>
      <c r="G96" s="517" t="str">
        <f>IFERROR(__xludf.DUMMYFUNCTION("""COMPUTED_VALUE"""),"CLR4")</f>
        <v>CLR4</v>
      </c>
      <c r="H96" s="517" t="str">
        <f>IFERROR(__xludf.DUMMYFUNCTION("""COMPUTED_VALUE"""),"MMWAVE")</f>
        <v>MMWAVE</v>
      </c>
      <c r="I96" s="517" t="str">
        <f>IFERROR(__xludf.DUMMYFUNCTION("""COMPUTED_VALUE"""),"128GB")</f>
        <v>128GB</v>
      </c>
      <c r="J96" s="517" t="str">
        <f>IFERROR(__xludf.DUMMYFUNCTION("""COMPUTED_VALUE"""),"SKU, CLR4, GOOD, MMWAVE")</f>
        <v>SKU, CLR4, GOOD, MMWAVE</v>
      </c>
      <c r="K96" s="517" t="str">
        <f>IFERROR(__xludf.DUMMYFUNCTION("""COMPUTED_VALUE"""),"G950-15935-03")</f>
        <v>G950-15935-03</v>
      </c>
      <c r="L96" s="517" t="str">
        <f>IFERROR(__xludf.DUMMYFUNCTION("""COMPUTED_VALUE"""),"G710-07738-00")</f>
        <v>G710-07738-00</v>
      </c>
      <c r="M96" s="517" t="str">
        <f>IFERROR(__xludf.DUMMYFUNCTION("""COMPUTED_VALUE"""),"G710-07670-01")</f>
        <v>G710-07670-01</v>
      </c>
      <c r="N96" s="517" t="str">
        <f>IFERROR(__xludf.DUMMYFUNCTION("""COMPUTED_VALUE"""),"G730-09533-04")</f>
        <v>G730-09533-04</v>
      </c>
      <c r="O96" s="517" t="str">
        <f>IFERROR(__xludf.DUMMYFUNCTION("""COMPUTED_VALUE"""),"G710-07800-01")</f>
        <v>G710-07800-01</v>
      </c>
      <c r="P96" s="517" t="str">
        <f>IFERROR(__xludf.DUMMYFUNCTION("""COMPUTED_VALUE"""),"G650-14656-06")</f>
        <v>G650-14656-06</v>
      </c>
      <c r="Q96" s="517" t="str">
        <f>IFERROR(__xludf.DUMMYFUNCTION("""COMPUTED_VALUE"""),"G650-14694-05")</f>
        <v>G650-14694-05</v>
      </c>
      <c r="R96" s="517" t="str">
        <f>IFERROR(__xludf.DUMMYFUNCTION("""COMPUTED_VALUE"""),"G650-14850-03")</f>
        <v>G650-14850-03</v>
      </c>
      <c r="S96" s="517" t="str">
        <f>IFERROR(__xludf.DUMMYFUNCTION("""COMPUTED_VALUE"""),"No")</f>
        <v>No</v>
      </c>
      <c r="T96" s="517" t="str">
        <f>IFERROR(__xludf.DUMMYFUNCTION("""COMPUTED_VALUE"""),"N")</f>
        <v>N</v>
      </c>
      <c r="U96" s="517" t="str">
        <f>IFERROR(__xludf.DUMMYFUNCTION("""COMPUTED_VALUE"""),"Y")</f>
        <v>Y</v>
      </c>
      <c r="V96" s="517"/>
    </row>
    <row r="97">
      <c r="A97" s="445">
        <v>94.0</v>
      </c>
      <c r="B97" s="517" t="str">
        <f>IFERROR(__xludf.DUMMYFUNCTION("""COMPUTED_VALUE"""),"MP")</f>
        <v>MP</v>
      </c>
      <c r="C97" s="517">
        <f>IFERROR(__xludf.DUMMYFUNCTION("""COMPUTED_VALUE"""),94.0)</f>
        <v>94</v>
      </c>
      <c r="D97" s="517" t="str">
        <f>IFERROR(__xludf.DUMMYFUNCTION("""COMPUTED_VALUE"""),"GL066")</f>
        <v>GL066</v>
      </c>
      <c r="E97" s="517" t="str">
        <f>IFERROR(__xludf.DUMMYFUNCTION("""COMPUTED_VALUE"""),"GA09744-JP-N")</f>
        <v>GA09744-JP-N</v>
      </c>
      <c r="F97" s="517" t="str">
        <f>IFERROR(__xludf.DUMMYFUNCTION("""COMPUTED_VALUE"""),"SKU, CLR1, GOOD, SUB6, JP, PRESS, FL5")</f>
        <v>SKU, CLR1, GOOD, SUB6, JP, PRESS, FL5</v>
      </c>
      <c r="G97" s="517" t="str">
        <f>IFERROR(__xludf.DUMMYFUNCTION("""COMPUTED_VALUE"""),"CLR1")</f>
        <v>CLR1</v>
      </c>
      <c r="H97" s="517" t="str">
        <f>IFERROR(__xludf.DUMMYFUNCTION("""COMPUTED_VALUE"""),"SUB6")</f>
        <v>SUB6</v>
      </c>
      <c r="I97" s="517" t="str">
        <f>IFERROR(__xludf.DUMMYFUNCTION("""COMPUTED_VALUE"""),"128GB")</f>
        <v>128GB</v>
      </c>
      <c r="J97" s="517" t="str">
        <f>IFERROR(__xludf.DUMMYFUNCTION("""COMPUTED_VALUE"""),"SKU, CLR1, GOOD, SUB6")</f>
        <v>SKU, CLR1, GOOD, SUB6</v>
      </c>
      <c r="K97" s="517" t="str">
        <f>IFERROR(__xludf.DUMMYFUNCTION("""COMPUTED_VALUE"""),"G950-15935-10")</f>
        <v>G950-15935-10</v>
      </c>
      <c r="L97" s="517" t="str">
        <f>IFERROR(__xludf.DUMMYFUNCTION("""COMPUTED_VALUE"""),"G710-07738-10")</f>
        <v>G710-07738-10</v>
      </c>
      <c r="M97" s="517" t="str">
        <f>IFERROR(__xludf.DUMMYFUNCTION("""COMPUTED_VALUE"""),"G710-07670-01")</f>
        <v>G710-07670-01</v>
      </c>
      <c r="N97" s="517" t="str">
        <f>IFERROR(__xludf.DUMMYFUNCTION("""COMPUTED_VALUE"""),"G730-09533-01")</f>
        <v>G730-09533-01</v>
      </c>
      <c r="O97" s="517" t="str">
        <f>IFERROR(__xludf.DUMMYFUNCTION("""COMPUTED_VALUE"""),"G710-07800-00")</f>
        <v>G710-07800-00</v>
      </c>
      <c r="P97" s="517" t="str">
        <f>IFERROR(__xludf.DUMMYFUNCTION("""COMPUTED_VALUE"""),"G650-14657-05")</f>
        <v>G650-14657-05</v>
      </c>
      <c r="Q97" s="517" t="str">
        <f>IFERROR(__xludf.DUMMYFUNCTION("""COMPUTED_VALUE"""),"G650-14694-05")</f>
        <v>G650-14694-05</v>
      </c>
      <c r="R97" s="517" t="str">
        <f>IFERROR(__xludf.DUMMYFUNCTION("""COMPUTED_VALUE"""),"G650-14850-03")</f>
        <v>G650-14850-03</v>
      </c>
      <c r="S97" s="517" t="str">
        <f>IFERROR(__xludf.DUMMYFUNCTION("""COMPUTED_VALUE"""),"No")</f>
        <v>No</v>
      </c>
      <c r="T97" s="517" t="str">
        <f>IFERROR(__xludf.DUMMYFUNCTION("""COMPUTED_VALUE"""),"Y")</f>
        <v>Y</v>
      </c>
      <c r="U97" s="517" t="str">
        <f>IFERROR(__xludf.DUMMYFUNCTION("""COMPUTED_VALUE"""),"Y")</f>
        <v>Y</v>
      </c>
      <c r="V97" s="517"/>
    </row>
    <row r="98">
      <c r="A98" s="445">
        <v>95.0</v>
      </c>
      <c r="B98" s="517" t="str">
        <f>IFERROR(__xludf.DUMMYFUNCTION("""COMPUTED_VALUE"""),"MP")</f>
        <v>MP</v>
      </c>
      <c r="C98" s="517">
        <f>IFERROR(__xludf.DUMMYFUNCTION("""COMPUTED_VALUE"""),95.0)</f>
        <v>95</v>
      </c>
      <c r="D98" s="517" t="str">
        <f>IFERROR(__xludf.DUMMYFUNCTION("""COMPUTED_VALUE"""),"GL066")</f>
        <v>GL066</v>
      </c>
      <c r="E98" s="517" t="str">
        <f>IFERROR(__xludf.DUMMYFUNCTION("""COMPUTED_VALUE"""),"GA10214-JP-N")</f>
        <v>GA10214-JP-N</v>
      </c>
      <c r="F98" s="517" t="str">
        <f>IFERROR(__xludf.DUMMYFUNCTION("""COMPUTED_VALUE"""),"SKU, CLR2, GOOD, SUB6, JP, PRESS, FL5")</f>
        <v>SKU, CLR2, GOOD, SUB6, JP, PRESS, FL5</v>
      </c>
      <c r="G98" s="517" t="str">
        <f>IFERROR(__xludf.DUMMYFUNCTION("""COMPUTED_VALUE"""),"CLR2")</f>
        <v>CLR2</v>
      </c>
      <c r="H98" s="517" t="str">
        <f>IFERROR(__xludf.DUMMYFUNCTION("""COMPUTED_VALUE"""),"SUB6")</f>
        <v>SUB6</v>
      </c>
      <c r="I98" s="517" t="str">
        <f>IFERROR(__xludf.DUMMYFUNCTION("""COMPUTED_VALUE"""),"128GB")</f>
        <v>128GB</v>
      </c>
      <c r="J98" s="517" t="str">
        <f>IFERROR(__xludf.DUMMYFUNCTION("""COMPUTED_VALUE"""),"SKU, CLR2, GOOD, SUB6")</f>
        <v>SKU, CLR2, GOOD, SUB6</v>
      </c>
      <c r="K98" s="517" t="str">
        <f>IFERROR(__xludf.DUMMYFUNCTION("""COMPUTED_VALUE"""),"G950-15935-11")</f>
        <v>G950-15935-11</v>
      </c>
      <c r="L98" s="517" t="str">
        <f>IFERROR(__xludf.DUMMYFUNCTION("""COMPUTED_VALUE"""),"G710-07738-10")</f>
        <v>G710-07738-10</v>
      </c>
      <c r="M98" s="517" t="str">
        <f>IFERROR(__xludf.DUMMYFUNCTION("""COMPUTED_VALUE"""),"G710-07670-01")</f>
        <v>G710-07670-01</v>
      </c>
      <c r="N98" s="517" t="str">
        <f>IFERROR(__xludf.DUMMYFUNCTION("""COMPUTED_VALUE"""),"G730-09533-02")</f>
        <v>G730-09533-02</v>
      </c>
      <c r="O98" s="517" t="str">
        <f>IFERROR(__xludf.DUMMYFUNCTION("""COMPUTED_VALUE"""),"G710-07800-00")</f>
        <v>G710-07800-00</v>
      </c>
      <c r="P98" s="517" t="str">
        <f>IFERROR(__xludf.DUMMYFUNCTION("""COMPUTED_VALUE"""),"G650-14657-05")</f>
        <v>G650-14657-05</v>
      </c>
      <c r="Q98" s="517" t="str">
        <f>IFERROR(__xludf.DUMMYFUNCTION("""COMPUTED_VALUE"""),"G650-14694-05")</f>
        <v>G650-14694-05</v>
      </c>
      <c r="R98" s="517" t="str">
        <f>IFERROR(__xludf.DUMMYFUNCTION("""COMPUTED_VALUE"""),"G650-14850-03")</f>
        <v>G650-14850-03</v>
      </c>
      <c r="S98" s="517" t="str">
        <f>IFERROR(__xludf.DUMMYFUNCTION("""COMPUTED_VALUE"""),"No")</f>
        <v>No</v>
      </c>
      <c r="T98" s="517" t="str">
        <f>IFERROR(__xludf.DUMMYFUNCTION("""COMPUTED_VALUE"""),"Y")</f>
        <v>Y</v>
      </c>
      <c r="U98" s="517" t="str">
        <f>IFERROR(__xludf.DUMMYFUNCTION("""COMPUTED_VALUE"""),"Y")</f>
        <v>Y</v>
      </c>
      <c r="V98" s="517"/>
    </row>
    <row r="99">
      <c r="A99" s="445">
        <v>96.0</v>
      </c>
      <c r="B99" s="517" t="str">
        <f>IFERROR(__xludf.DUMMYFUNCTION("""COMPUTED_VALUE"""),"MP")</f>
        <v>MP</v>
      </c>
      <c r="C99" s="517">
        <f>IFERROR(__xludf.DUMMYFUNCTION("""COMPUTED_VALUE"""),96.0)</f>
        <v>96</v>
      </c>
      <c r="D99" s="517" t="str">
        <f>IFERROR(__xludf.DUMMYFUNCTION("""COMPUTED_VALUE"""),"GL066")</f>
        <v>GL066</v>
      </c>
      <c r="E99" s="517" t="str">
        <f>IFERROR(__xludf.DUMMYFUNCTION("""COMPUTED_VALUE"""),"GA10215-JP-N")</f>
        <v>GA10215-JP-N</v>
      </c>
      <c r="F99" s="517" t="str">
        <f>IFERROR(__xludf.DUMMYFUNCTION("""COMPUTED_VALUE"""),"SKU, CLR3, GOOD, SUB6, JP, PRESS, FL5")</f>
        <v>SKU, CLR3, GOOD, SUB6, JP, PRESS, FL5</v>
      </c>
      <c r="G99" s="517" t="str">
        <f>IFERROR(__xludf.DUMMYFUNCTION("""COMPUTED_VALUE"""),"CLR3")</f>
        <v>CLR3</v>
      </c>
      <c r="H99" s="517" t="str">
        <f>IFERROR(__xludf.DUMMYFUNCTION("""COMPUTED_VALUE"""),"SUB6")</f>
        <v>SUB6</v>
      </c>
      <c r="I99" s="517" t="str">
        <f>IFERROR(__xludf.DUMMYFUNCTION("""COMPUTED_VALUE"""),"128GB")</f>
        <v>128GB</v>
      </c>
      <c r="J99" s="517" t="str">
        <f>IFERROR(__xludf.DUMMYFUNCTION("""COMPUTED_VALUE"""),"SKU, CLR3, GOOD, SUB6")</f>
        <v>SKU, CLR3, GOOD, SUB6</v>
      </c>
      <c r="K99" s="517" t="str">
        <f>IFERROR(__xludf.DUMMYFUNCTION("""COMPUTED_VALUE"""),"G950-15935-12")</f>
        <v>G950-15935-12</v>
      </c>
      <c r="L99" s="517" t="str">
        <f>IFERROR(__xludf.DUMMYFUNCTION("""COMPUTED_VALUE"""),"G710-07738-10")</f>
        <v>G710-07738-10</v>
      </c>
      <c r="M99" s="517" t="str">
        <f>IFERROR(__xludf.DUMMYFUNCTION("""COMPUTED_VALUE"""),"G710-07670-01")</f>
        <v>G710-07670-01</v>
      </c>
      <c r="N99" s="517" t="str">
        <f>IFERROR(__xludf.DUMMYFUNCTION("""COMPUTED_VALUE"""),"G730-09533-03")</f>
        <v>G730-09533-03</v>
      </c>
      <c r="O99" s="517" t="str">
        <f>IFERROR(__xludf.DUMMYFUNCTION("""COMPUTED_VALUE"""),"G710-07800-00")</f>
        <v>G710-07800-00</v>
      </c>
      <c r="P99" s="517" t="str">
        <f>IFERROR(__xludf.DUMMYFUNCTION("""COMPUTED_VALUE"""),"G650-14657-05")</f>
        <v>G650-14657-05</v>
      </c>
      <c r="Q99" s="517" t="str">
        <f>IFERROR(__xludf.DUMMYFUNCTION("""COMPUTED_VALUE"""),"G650-14694-05")</f>
        <v>G650-14694-05</v>
      </c>
      <c r="R99" s="517" t="str">
        <f>IFERROR(__xludf.DUMMYFUNCTION("""COMPUTED_VALUE"""),"G650-14850-03")</f>
        <v>G650-14850-03</v>
      </c>
      <c r="S99" s="517" t="str">
        <f>IFERROR(__xludf.DUMMYFUNCTION("""COMPUTED_VALUE"""),"No")</f>
        <v>No</v>
      </c>
      <c r="T99" s="517" t="str">
        <f>IFERROR(__xludf.DUMMYFUNCTION("""COMPUTED_VALUE"""),"Y")</f>
        <v>Y</v>
      </c>
      <c r="U99" s="517" t="str">
        <f>IFERROR(__xludf.DUMMYFUNCTION("""COMPUTED_VALUE"""),"Y")</f>
        <v>Y</v>
      </c>
      <c r="V99" s="517"/>
    </row>
    <row r="100">
      <c r="A100" s="445">
        <v>97.0</v>
      </c>
      <c r="B100" s="517" t="str">
        <f>IFERROR(__xludf.DUMMYFUNCTION("""COMPUTED_VALUE"""),"MP")</f>
        <v>MP</v>
      </c>
      <c r="C100" s="517">
        <f>IFERROR(__xludf.DUMMYFUNCTION("""COMPUTED_VALUE"""),97.0)</f>
        <v>97</v>
      </c>
      <c r="D100" s="517" t="str">
        <f>IFERROR(__xludf.DUMMYFUNCTION("""COMPUTED_VALUE"""),"GL066")</f>
        <v>GL066</v>
      </c>
      <c r="E100" s="517" t="str">
        <f>IFERROR(__xludf.DUMMYFUNCTION("""COMPUTED_VALUE"""),"GA10216-JP-N")</f>
        <v>GA10216-JP-N</v>
      </c>
      <c r="F100" s="517" t="str">
        <f>IFERROR(__xludf.DUMMYFUNCTION("""COMPUTED_VALUE"""),"SKU, CLR4, GOOD, SUB6, JP, PRESS, FL5")</f>
        <v>SKU, CLR4, GOOD, SUB6, JP, PRESS, FL5</v>
      </c>
      <c r="G100" s="517" t="str">
        <f>IFERROR(__xludf.DUMMYFUNCTION("""COMPUTED_VALUE"""),"CLR4")</f>
        <v>CLR4</v>
      </c>
      <c r="H100" s="517" t="str">
        <f>IFERROR(__xludf.DUMMYFUNCTION("""COMPUTED_VALUE"""),"SUB6")</f>
        <v>SUB6</v>
      </c>
      <c r="I100" s="517" t="str">
        <f>IFERROR(__xludf.DUMMYFUNCTION("""COMPUTED_VALUE"""),"128GB")</f>
        <v>128GB</v>
      </c>
      <c r="J100" s="517" t="str">
        <f>IFERROR(__xludf.DUMMYFUNCTION("""COMPUTED_VALUE"""),"SKU, CLR4, GOOD, SUB6")</f>
        <v>SKU, CLR4, GOOD, SUB6</v>
      </c>
      <c r="K100" s="517" t="str">
        <f>IFERROR(__xludf.DUMMYFUNCTION("""COMPUTED_VALUE"""),"G950-15935-13")</f>
        <v>G950-15935-13</v>
      </c>
      <c r="L100" s="517" t="str">
        <f>IFERROR(__xludf.DUMMYFUNCTION("""COMPUTED_VALUE"""),"G710-07738-10")</f>
        <v>G710-07738-10</v>
      </c>
      <c r="M100" s="517" t="str">
        <f>IFERROR(__xludf.DUMMYFUNCTION("""COMPUTED_VALUE"""),"G710-07670-01")</f>
        <v>G710-07670-01</v>
      </c>
      <c r="N100" s="517" t="str">
        <f>IFERROR(__xludf.DUMMYFUNCTION("""COMPUTED_VALUE"""),"G730-09533-04")</f>
        <v>G730-09533-04</v>
      </c>
      <c r="O100" s="517" t="str">
        <f>IFERROR(__xludf.DUMMYFUNCTION("""COMPUTED_VALUE"""),"G710-07800-00")</f>
        <v>G710-07800-00</v>
      </c>
      <c r="P100" s="517" t="str">
        <f>IFERROR(__xludf.DUMMYFUNCTION("""COMPUTED_VALUE"""),"G650-14657-05")</f>
        <v>G650-14657-05</v>
      </c>
      <c r="Q100" s="517" t="str">
        <f>IFERROR(__xludf.DUMMYFUNCTION("""COMPUTED_VALUE"""),"G650-14694-05")</f>
        <v>G650-14694-05</v>
      </c>
      <c r="R100" s="517" t="str">
        <f>IFERROR(__xludf.DUMMYFUNCTION("""COMPUTED_VALUE"""),"G650-14850-03")</f>
        <v>G650-14850-03</v>
      </c>
      <c r="S100" s="517" t="str">
        <f>IFERROR(__xludf.DUMMYFUNCTION("""COMPUTED_VALUE"""),"No")</f>
        <v>No</v>
      </c>
      <c r="T100" s="517" t="str">
        <f>IFERROR(__xludf.DUMMYFUNCTION("""COMPUTED_VALUE"""),"Y")</f>
        <v>Y</v>
      </c>
      <c r="U100" s="517" t="str">
        <f>IFERROR(__xludf.DUMMYFUNCTION("""COMPUTED_VALUE"""),"Y")</f>
        <v>Y</v>
      </c>
      <c r="V100" s="517"/>
    </row>
    <row r="101">
      <c r="A101" s="445">
        <v>98.0</v>
      </c>
      <c r="B101" s="517" t="str">
        <f>IFERROR(__xludf.DUMMYFUNCTION("""COMPUTED_VALUE"""),"MP")</f>
        <v>MP</v>
      </c>
      <c r="C101" s="517">
        <f>IFERROR(__xludf.DUMMYFUNCTION("""COMPUTED_VALUE"""),98.0)</f>
        <v>98</v>
      </c>
      <c r="D101" s="517" t="str">
        <f>IFERROR(__xludf.DUMMYFUNCTION("""COMPUTED_VALUE""")," GK2MP")</f>
        <v> GK2MP</v>
      </c>
      <c r="E101" s="517" t="str">
        <f>IFERROR(__xludf.DUMMYFUNCTION("""COMPUTED_VALUE"""),"GA09744-CA-N")</f>
        <v>GA09744-CA-N</v>
      </c>
      <c r="F101" s="517" t="str">
        <f>IFERROR(__xludf.DUMMYFUNCTION("""COMPUTED_VALUE"""),"SKU, CLR1, GOOD, SUB6, CA/TW/SG/MY/AU/MX, PRESS, FL5")</f>
        <v>SKU, CLR1, GOOD, SUB6, CA/TW/SG/MY/AU/MX, PRESS, FL5</v>
      </c>
      <c r="G101" s="517" t="str">
        <f>IFERROR(__xludf.DUMMYFUNCTION("""COMPUTED_VALUE"""),"CLR1")</f>
        <v>CLR1</v>
      </c>
      <c r="H101" s="517" t="str">
        <f>IFERROR(__xludf.DUMMYFUNCTION("""COMPUTED_VALUE"""),"SUB6")</f>
        <v>SUB6</v>
      </c>
      <c r="I101" s="517" t="str">
        <f>IFERROR(__xludf.DUMMYFUNCTION("""COMPUTED_VALUE"""),"128GB")</f>
        <v>128GB</v>
      </c>
      <c r="J101" s="517" t="str">
        <f>IFERROR(__xludf.DUMMYFUNCTION("""COMPUTED_VALUE"""),"SKU, CLR1, GOOD, SUB6")</f>
        <v>SKU, CLR1, GOOD, SUB6</v>
      </c>
      <c r="K101" s="517" t="str">
        <f>IFERROR(__xludf.DUMMYFUNCTION("""COMPUTED_VALUE"""),"G950-15935-10")</f>
        <v>G950-15935-10</v>
      </c>
      <c r="L101" s="517" t="str">
        <f>IFERROR(__xludf.DUMMYFUNCTION("""COMPUTED_VALUE"""),"G710-07738-10")</f>
        <v>G710-07738-10</v>
      </c>
      <c r="M101" s="517" t="str">
        <f>IFERROR(__xludf.DUMMYFUNCTION("""COMPUTED_VALUE"""),"G710-07670-01")</f>
        <v>G710-07670-01</v>
      </c>
      <c r="N101" s="517" t="str">
        <f>IFERROR(__xludf.DUMMYFUNCTION("""COMPUTED_VALUE"""),"G730-09533-01")</f>
        <v>G730-09533-01</v>
      </c>
      <c r="O101" s="517" t="str">
        <f>IFERROR(__xludf.DUMMYFUNCTION("""COMPUTED_VALUE"""),"G710-07800-00")</f>
        <v>G710-07800-00</v>
      </c>
      <c r="P101" s="517" t="str">
        <f>IFERROR(__xludf.DUMMYFUNCTION("""COMPUTED_VALUE"""),"G650-14657-05")</f>
        <v>G650-14657-05</v>
      </c>
      <c r="Q101" s="517" t="str">
        <f>IFERROR(__xludf.DUMMYFUNCTION("""COMPUTED_VALUE"""),"G650-14694-05")</f>
        <v>G650-14694-05</v>
      </c>
      <c r="R101" s="517" t="str">
        <f>IFERROR(__xludf.DUMMYFUNCTION("""COMPUTED_VALUE"""),"G650-14850-03")</f>
        <v>G650-14850-03</v>
      </c>
      <c r="S101" s="517" t="str">
        <f>IFERROR(__xludf.DUMMYFUNCTION("""COMPUTED_VALUE"""),"No")</f>
        <v>No</v>
      </c>
      <c r="T101" s="517" t="str">
        <f>IFERROR(__xludf.DUMMYFUNCTION("""COMPUTED_VALUE"""),"Y")</f>
        <v>Y</v>
      </c>
      <c r="U101" s="517" t="str">
        <f>IFERROR(__xludf.DUMMYFUNCTION("""COMPUTED_VALUE"""),"Y")</f>
        <v>Y</v>
      </c>
      <c r="V101" s="517"/>
    </row>
    <row r="102">
      <c r="A102" s="445">
        <v>99.0</v>
      </c>
      <c r="B102" s="517" t="str">
        <f>IFERROR(__xludf.DUMMYFUNCTION("""COMPUTED_VALUE"""),"MP")</f>
        <v>MP</v>
      </c>
      <c r="C102" s="517">
        <f>IFERROR(__xludf.DUMMYFUNCTION("""COMPUTED_VALUE"""),99.0)</f>
        <v>99</v>
      </c>
      <c r="D102" s="517" t="str">
        <f>IFERROR(__xludf.DUMMYFUNCTION("""COMPUTED_VALUE""")," GK2MP")</f>
        <v> GK2MP</v>
      </c>
      <c r="E102" s="517" t="str">
        <f>IFERROR(__xludf.DUMMYFUNCTION("""COMPUTED_VALUE"""),"GA10214-CA-N")</f>
        <v>GA10214-CA-N</v>
      </c>
      <c r="F102" s="517" t="str">
        <f>IFERROR(__xludf.DUMMYFUNCTION("""COMPUTED_VALUE"""),"SKU, CLR2, GOOD, SUB6, CA/TW/SG/MY/AU/MX, PRESS, FL5")</f>
        <v>SKU, CLR2, GOOD, SUB6, CA/TW/SG/MY/AU/MX, PRESS, FL5</v>
      </c>
      <c r="G102" s="517" t="str">
        <f>IFERROR(__xludf.DUMMYFUNCTION("""COMPUTED_VALUE"""),"CLR2")</f>
        <v>CLR2</v>
      </c>
      <c r="H102" s="517" t="str">
        <f>IFERROR(__xludf.DUMMYFUNCTION("""COMPUTED_VALUE"""),"SUB6")</f>
        <v>SUB6</v>
      </c>
      <c r="I102" s="517" t="str">
        <f>IFERROR(__xludf.DUMMYFUNCTION("""COMPUTED_VALUE"""),"128GB")</f>
        <v>128GB</v>
      </c>
      <c r="J102" s="517" t="str">
        <f>IFERROR(__xludf.DUMMYFUNCTION("""COMPUTED_VALUE"""),"SKU, CLR2, GOOD, SUB6")</f>
        <v>SKU, CLR2, GOOD, SUB6</v>
      </c>
      <c r="K102" s="517" t="str">
        <f>IFERROR(__xludf.DUMMYFUNCTION("""COMPUTED_VALUE"""),"G950-15935-11")</f>
        <v>G950-15935-11</v>
      </c>
      <c r="L102" s="517" t="str">
        <f>IFERROR(__xludf.DUMMYFUNCTION("""COMPUTED_VALUE"""),"G710-07738-10")</f>
        <v>G710-07738-10</v>
      </c>
      <c r="M102" s="517" t="str">
        <f>IFERROR(__xludf.DUMMYFUNCTION("""COMPUTED_VALUE"""),"G710-07670-01")</f>
        <v>G710-07670-01</v>
      </c>
      <c r="N102" s="517" t="str">
        <f>IFERROR(__xludf.DUMMYFUNCTION("""COMPUTED_VALUE"""),"G730-09533-02")</f>
        <v>G730-09533-02</v>
      </c>
      <c r="O102" s="517" t="str">
        <f>IFERROR(__xludf.DUMMYFUNCTION("""COMPUTED_VALUE"""),"G710-07800-00")</f>
        <v>G710-07800-00</v>
      </c>
      <c r="P102" s="517" t="str">
        <f>IFERROR(__xludf.DUMMYFUNCTION("""COMPUTED_VALUE"""),"G650-14657-05")</f>
        <v>G650-14657-05</v>
      </c>
      <c r="Q102" s="517" t="str">
        <f>IFERROR(__xludf.DUMMYFUNCTION("""COMPUTED_VALUE"""),"G650-14694-05")</f>
        <v>G650-14694-05</v>
      </c>
      <c r="R102" s="517" t="str">
        <f>IFERROR(__xludf.DUMMYFUNCTION("""COMPUTED_VALUE"""),"G650-14850-03")</f>
        <v>G650-14850-03</v>
      </c>
      <c r="S102" s="517" t="str">
        <f>IFERROR(__xludf.DUMMYFUNCTION("""COMPUTED_VALUE"""),"No")</f>
        <v>No</v>
      </c>
      <c r="T102" s="517" t="str">
        <f>IFERROR(__xludf.DUMMYFUNCTION("""COMPUTED_VALUE"""),"Y")</f>
        <v>Y</v>
      </c>
      <c r="U102" s="517" t="str">
        <f>IFERROR(__xludf.DUMMYFUNCTION("""COMPUTED_VALUE"""),"Y")</f>
        <v>Y</v>
      </c>
      <c r="V102" s="517"/>
    </row>
    <row r="103">
      <c r="A103" s="445">
        <v>100.0</v>
      </c>
      <c r="B103" s="517" t="str">
        <f>IFERROR(__xludf.DUMMYFUNCTION("""COMPUTED_VALUE"""),"MP")</f>
        <v>MP</v>
      </c>
      <c r="C103" s="517">
        <f>IFERROR(__xludf.DUMMYFUNCTION("""COMPUTED_VALUE"""),100.0)</f>
        <v>100</v>
      </c>
      <c r="D103" s="517" t="str">
        <f>IFERROR(__xludf.DUMMYFUNCTION("""COMPUTED_VALUE""")," GK2MP")</f>
        <v> GK2MP</v>
      </c>
      <c r="E103" s="517" t="str">
        <f>IFERROR(__xludf.DUMMYFUNCTION("""COMPUTED_VALUE"""),"GA10215-CA-N")</f>
        <v>GA10215-CA-N</v>
      </c>
      <c r="F103" s="517" t="str">
        <f>IFERROR(__xludf.DUMMYFUNCTION("""COMPUTED_VALUE"""),"SKU, CLR3, GOOD, SUB6, CA/TW/SG/MY/AU/MX, PRESS, FL5")</f>
        <v>SKU, CLR3, GOOD, SUB6, CA/TW/SG/MY/AU/MX, PRESS, FL5</v>
      </c>
      <c r="G103" s="517" t="str">
        <f>IFERROR(__xludf.DUMMYFUNCTION("""COMPUTED_VALUE"""),"CLR3")</f>
        <v>CLR3</v>
      </c>
      <c r="H103" s="517" t="str">
        <f>IFERROR(__xludf.DUMMYFUNCTION("""COMPUTED_VALUE"""),"SUB6")</f>
        <v>SUB6</v>
      </c>
      <c r="I103" s="517" t="str">
        <f>IFERROR(__xludf.DUMMYFUNCTION("""COMPUTED_VALUE"""),"128GB")</f>
        <v>128GB</v>
      </c>
      <c r="J103" s="517" t="str">
        <f>IFERROR(__xludf.DUMMYFUNCTION("""COMPUTED_VALUE"""),"SKU, CLR3, GOOD, SUB6")</f>
        <v>SKU, CLR3, GOOD, SUB6</v>
      </c>
      <c r="K103" s="517" t="str">
        <f>IFERROR(__xludf.DUMMYFUNCTION("""COMPUTED_VALUE"""),"G950-15935-12")</f>
        <v>G950-15935-12</v>
      </c>
      <c r="L103" s="517" t="str">
        <f>IFERROR(__xludf.DUMMYFUNCTION("""COMPUTED_VALUE"""),"G710-07738-10")</f>
        <v>G710-07738-10</v>
      </c>
      <c r="M103" s="517" t="str">
        <f>IFERROR(__xludf.DUMMYFUNCTION("""COMPUTED_VALUE"""),"G710-07670-01")</f>
        <v>G710-07670-01</v>
      </c>
      <c r="N103" s="517" t="str">
        <f>IFERROR(__xludf.DUMMYFUNCTION("""COMPUTED_VALUE"""),"G730-09533-03")</f>
        <v>G730-09533-03</v>
      </c>
      <c r="O103" s="517" t="str">
        <f>IFERROR(__xludf.DUMMYFUNCTION("""COMPUTED_VALUE"""),"G710-07800-00")</f>
        <v>G710-07800-00</v>
      </c>
      <c r="P103" s="517" t="str">
        <f>IFERROR(__xludf.DUMMYFUNCTION("""COMPUTED_VALUE"""),"G650-14657-05")</f>
        <v>G650-14657-05</v>
      </c>
      <c r="Q103" s="517" t="str">
        <f>IFERROR(__xludf.DUMMYFUNCTION("""COMPUTED_VALUE"""),"G650-14694-05")</f>
        <v>G650-14694-05</v>
      </c>
      <c r="R103" s="517" t="str">
        <f>IFERROR(__xludf.DUMMYFUNCTION("""COMPUTED_VALUE"""),"G650-14850-03")</f>
        <v>G650-14850-03</v>
      </c>
      <c r="S103" s="517" t="str">
        <f>IFERROR(__xludf.DUMMYFUNCTION("""COMPUTED_VALUE"""),"No")</f>
        <v>No</v>
      </c>
      <c r="T103" s="517" t="str">
        <f>IFERROR(__xludf.DUMMYFUNCTION("""COMPUTED_VALUE"""),"Y")</f>
        <v>Y</v>
      </c>
      <c r="U103" s="517" t="str">
        <f>IFERROR(__xludf.DUMMYFUNCTION("""COMPUTED_VALUE"""),"Y")</f>
        <v>Y</v>
      </c>
      <c r="V103" s="517"/>
    </row>
    <row r="104">
      <c r="A104" s="445">
        <v>101.0</v>
      </c>
      <c r="B104" s="517" t="str">
        <f>IFERROR(__xludf.DUMMYFUNCTION("""COMPUTED_VALUE"""),"MP")</f>
        <v>MP</v>
      </c>
      <c r="C104" s="517">
        <f>IFERROR(__xludf.DUMMYFUNCTION("""COMPUTED_VALUE"""),101.0)</f>
        <v>101</v>
      </c>
      <c r="D104" s="517" t="str">
        <f>IFERROR(__xludf.DUMMYFUNCTION("""COMPUTED_VALUE""")," GK2MP")</f>
        <v> GK2MP</v>
      </c>
      <c r="E104" s="517" t="str">
        <f>IFERROR(__xludf.DUMMYFUNCTION("""COMPUTED_VALUE"""),"GA10216-CA-N")</f>
        <v>GA10216-CA-N</v>
      </c>
      <c r="F104" s="517" t="str">
        <f>IFERROR(__xludf.DUMMYFUNCTION("""COMPUTED_VALUE"""),"SKU, CLR4, GOOD, SUB6, CA/TW/SG/MY/AU/MX, PRESS, FL5")</f>
        <v>SKU, CLR4, GOOD, SUB6, CA/TW/SG/MY/AU/MX, PRESS, FL5</v>
      </c>
      <c r="G104" s="517" t="str">
        <f>IFERROR(__xludf.DUMMYFUNCTION("""COMPUTED_VALUE"""),"CLR4")</f>
        <v>CLR4</v>
      </c>
      <c r="H104" s="517" t="str">
        <f>IFERROR(__xludf.DUMMYFUNCTION("""COMPUTED_VALUE"""),"SUB6")</f>
        <v>SUB6</v>
      </c>
      <c r="I104" s="517" t="str">
        <f>IFERROR(__xludf.DUMMYFUNCTION("""COMPUTED_VALUE"""),"128GB")</f>
        <v>128GB</v>
      </c>
      <c r="J104" s="517" t="str">
        <f>IFERROR(__xludf.DUMMYFUNCTION("""COMPUTED_VALUE"""),"SKU, CLR4, GOOD, SUB6")</f>
        <v>SKU, CLR4, GOOD, SUB6</v>
      </c>
      <c r="K104" s="517" t="str">
        <f>IFERROR(__xludf.DUMMYFUNCTION("""COMPUTED_VALUE"""),"G950-15935-13")</f>
        <v>G950-15935-13</v>
      </c>
      <c r="L104" s="517" t="str">
        <f>IFERROR(__xludf.DUMMYFUNCTION("""COMPUTED_VALUE"""),"G710-07738-10")</f>
        <v>G710-07738-10</v>
      </c>
      <c r="M104" s="517" t="str">
        <f>IFERROR(__xludf.DUMMYFUNCTION("""COMPUTED_VALUE"""),"G710-07670-01")</f>
        <v>G710-07670-01</v>
      </c>
      <c r="N104" s="517" t="str">
        <f>IFERROR(__xludf.DUMMYFUNCTION("""COMPUTED_VALUE"""),"G730-09533-04")</f>
        <v>G730-09533-04</v>
      </c>
      <c r="O104" s="517" t="str">
        <f>IFERROR(__xludf.DUMMYFUNCTION("""COMPUTED_VALUE"""),"G710-07800-00")</f>
        <v>G710-07800-00</v>
      </c>
      <c r="P104" s="517" t="str">
        <f>IFERROR(__xludf.DUMMYFUNCTION("""COMPUTED_VALUE"""),"G650-14657-05")</f>
        <v>G650-14657-05</v>
      </c>
      <c r="Q104" s="517" t="str">
        <f>IFERROR(__xludf.DUMMYFUNCTION("""COMPUTED_VALUE"""),"G650-14694-05")</f>
        <v>G650-14694-05</v>
      </c>
      <c r="R104" s="517" t="str">
        <f>IFERROR(__xludf.DUMMYFUNCTION("""COMPUTED_VALUE"""),"G650-14850-03")</f>
        <v>G650-14850-03</v>
      </c>
      <c r="S104" s="517" t="str">
        <f>IFERROR(__xludf.DUMMYFUNCTION("""COMPUTED_VALUE"""),"No")</f>
        <v>No</v>
      </c>
      <c r="T104" s="517" t="str">
        <f>IFERROR(__xludf.DUMMYFUNCTION("""COMPUTED_VALUE"""),"Y")</f>
        <v>Y</v>
      </c>
      <c r="U104" s="517" t="str">
        <f>IFERROR(__xludf.DUMMYFUNCTION("""COMPUTED_VALUE"""),"Y")</f>
        <v>Y</v>
      </c>
      <c r="V104" s="517"/>
    </row>
    <row r="105">
      <c r="A105" s="445">
        <v>102.0</v>
      </c>
      <c r="B105" s="517" t="str">
        <f>IFERROR(__xludf.DUMMYFUNCTION("""COMPUTED_VALUE"""),"MP")</f>
        <v>MP</v>
      </c>
      <c r="C105" s="517">
        <f>IFERROR(__xludf.DUMMYFUNCTION("""COMPUTED_VALUE"""),102.0)</f>
        <v>102</v>
      </c>
      <c r="D105" s="517" t="str">
        <f>IFERROR(__xludf.DUMMYFUNCTION("""COMPUTED_VALUE""")," GK2MP")</f>
        <v> GK2MP</v>
      </c>
      <c r="E105" s="517" t="str">
        <f>IFERROR(__xludf.DUMMYFUNCTION("""COMPUTED_VALUE"""),"GA09744-GB-N")</f>
        <v>GA09744-GB-N</v>
      </c>
      <c r="F105" s="517" t="str">
        <f>IFERROR(__xludf.DUMMYFUNCTION("""COMPUTED_VALUE"""),"SKU, CLR1, GOOD, SUB6, UK/EU, PRESS, FL5")</f>
        <v>SKU, CLR1, GOOD, SUB6, UK/EU, PRESS, FL5</v>
      </c>
      <c r="G105" s="517" t="str">
        <f>IFERROR(__xludf.DUMMYFUNCTION("""COMPUTED_VALUE"""),"CLR1")</f>
        <v>CLR1</v>
      </c>
      <c r="H105" s="517" t="str">
        <f>IFERROR(__xludf.DUMMYFUNCTION("""COMPUTED_VALUE"""),"SUB6")</f>
        <v>SUB6</v>
      </c>
      <c r="I105" s="517" t="str">
        <f>IFERROR(__xludf.DUMMYFUNCTION("""COMPUTED_VALUE"""),"128GB")</f>
        <v>128GB</v>
      </c>
      <c r="J105" s="517" t="str">
        <f>IFERROR(__xludf.DUMMYFUNCTION("""COMPUTED_VALUE"""),"SKU, CLR1, GOOD, SUB6")</f>
        <v>SKU, CLR1, GOOD, SUB6</v>
      </c>
      <c r="K105" s="517" t="str">
        <f>IFERROR(__xludf.DUMMYFUNCTION("""COMPUTED_VALUE"""),"G950-15935-10")</f>
        <v>G950-15935-10</v>
      </c>
      <c r="L105" s="517" t="str">
        <f>IFERROR(__xludf.DUMMYFUNCTION("""COMPUTED_VALUE"""),"G710-07738-10")</f>
        <v>G710-07738-10</v>
      </c>
      <c r="M105" s="517" t="str">
        <f>IFERROR(__xludf.DUMMYFUNCTION("""COMPUTED_VALUE"""),"G710-07670-01")</f>
        <v>G710-07670-01</v>
      </c>
      <c r="N105" s="517" t="str">
        <f>IFERROR(__xludf.DUMMYFUNCTION("""COMPUTED_VALUE"""),"G730-09533-01")</f>
        <v>G730-09533-01</v>
      </c>
      <c r="O105" s="517" t="str">
        <f>IFERROR(__xludf.DUMMYFUNCTION("""COMPUTED_VALUE"""),"G710-07800-00")</f>
        <v>G710-07800-00</v>
      </c>
      <c r="P105" s="517" t="str">
        <f>IFERROR(__xludf.DUMMYFUNCTION("""COMPUTED_VALUE"""),"G650-14657-05")</f>
        <v>G650-14657-05</v>
      </c>
      <c r="Q105" s="517" t="str">
        <f>IFERROR(__xludf.DUMMYFUNCTION("""COMPUTED_VALUE"""),"G650-14694-05")</f>
        <v>G650-14694-05</v>
      </c>
      <c r="R105" s="517" t="str">
        <f>IFERROR(__xludf.DUMMYFUNCTION("""COMPUTED_VALUE"""),"G650-14850-03")</f>
        <v>G650-14850-03</v>
      </c>
      <c r="S105" s="517" t="str">
        <f>IFERROR(__xludf.DUMMYFUNCTION("""COMPUTED_VALUE"""),"Yes")</f>
        <v>Yes</v>
      </c>
      <c r="T105" s="517" t="str">
        <f>IFERROR(__xludf.DUMMYFUNCTION("""COMPUTED_VALUE"""),"Y")</f>
        <v>Y</v>
      </c>
      <c r="U105" s="517" t="str">
        <f>IFERROR(__xludf.DUMMYFUNCTION("""COMPUTED_VALUE"""),"Y")</f>
        <v>Y</v>
      </c>
      <c r="V105" s="517"/>
    </row>
    <row r="106">
      <c r="A106" s="445">
        <v>103.0</v>
      </c>
      <c r="B106" s="517" t="str">
        <f>IFERROR(__xludf.DUMMYFUNCTION("""COMPUTED_VALUE"""),"MP")</f>
        <v>MP</v>
      </c>
      <c r="C106" s="517">
        <f>IFERROR(__xludf.DUMMYFUNCTION("""COMPUTED_VALUE"""),103.0)</f>
        <v>103</v>
      </c>
      <c r="D106" s="517" t="str">
        <f>IFERROR(__xludf.DUMMYFUNCTION("""COMPUTED_VALUE""")," GK2MP")</f>
        <v> GK2MP</v>
      </c>
      <c r="E106" s="517" t="str">
        <f>IFERROR(__xludf.DUMMYFUNCTION("""COMPUTED_VALUE"""),"GA10214-GB-N")</f>
        <v>GA10214-GB-N</v>
      </c>
      <c r="F106" s="517" t="str">
        <f>IFERROR(__xludf.DUMMYFUNCTION("""COMPUTED_VALUE"""),"SKU, CLR2, GOOD, SUB6, EU/UK, PRESS, FL5")</f>
        <v>SKU, CLR2, GOOD, SUB6, EU/UK, PRESS, FL5</v>
      </c>
      <c r="G106" s="517" t="str">
        <f>IFERROR(__xludf.DUMMYFUNCTION("""COMPUTED_VALUE"""),"CLR2")</f>
        <v>CLR2</v>
      </c>
      <c r="H106" s="517" t="str">
        <f>IFERROR(__xludf.DUMMYFUNCTION("""COMPUTED_VALUE"""),"SUB6")</f>
        <v>SUB6</v>
      </c>
      <c r="I106" s="517" t="str">
        <f>IFERROR(__xludf.DUMMYFUNCTION("""COMPUTED_VALUE"""),"128GB")</f>
        <v>128GB</v>
      </c>
      <c r="J106" s="517" t="str">
        <f>IFERROR(__xludf.DUMMYFUNCTION("""COMPUTED_VALUE"""),"SKU, CLR2, GOOD, SUB6")</f>
        <v>SKU, CLR2, GOOD, SUB6</v>
      </c>
      <c r="K106" s="517" t="str">
        <f>IFERROR(__xludf.DUMMYFUNCTION("""COMPUTED_VALUE"""),"G950-15935-11")</f>
        <v>G950-15935-11</v>
      </c>
      <c r="L106" s="517" t="str">
        <f>IFERROR(__xludf.DUMMYFUNCTION("""COMPUTED_VALUE"""),"G710-07738-10")</f>
        <v>G710-07738-10</v>
      </c>
      <c r="M106" s="517" t="str">
        <f>IFERROR(__xludf.DUMMYFUNCTION("""COMPUTED_VALUE"""),"G710-07670-01")</f>
        <v>G710-07670-01</v>
      </c>
      <c r="N106" s="517" t="str">
        <f>IFERROR(__xludf.DUMMYFUNCTION("""COMPUTED_VALUE"""),"G730-09533-02")</f>
        <v>G730-09533-02</v>
      </c>
      <c r="O106" s="517" t="str">
        <f>IFERROR(__xludf.DUMMYFUNCTION("""COMPUTED_VALUE"""),"G710-07800-00")</f>
        <v>G710-07800-00</v>
      </c>
      <c r="P106" s="517" t="str">
        <f>IFERROR(__xludf.DUMMYFUNCTION("""COMPUTED_VALUE"""),"G650-14657-05")</f>
        <v>G650-14657-05</v>
      </c>
      <c r="Q106" s="517" t="str">
        <f>IFERROR(__xludf.DUMMYFUNCTION("""COMPUTED_VALUE"""),"G650-14694-05")</f>
        <v>G650-14694-05</v>
      </c>
      <c r="R106" s="517" t="str">
        <f>IFERROR(__xludf.DUMMYFUNCTION("""COMPUTED_VALUE"""),"G650-14850-03")</f>
        <v>G650-14850-03</v>
      </c>
      <c r="S106" s="517" t="str">
        <f>IFERROR(__xludf.DUMMYFUNCTION("""COMPUTED_VALUE"""),"Yes")</f>
        <v>Yes</v>
      </c>
      <c r="T106" s="517" t="str">
        <f>IFERROR(__xludf.DUMMYFUNCTION("""COMPUTED_VALUE"""),"Y")</f>
        <v>Y</v>
      </c>
      <c r="U106" s="517" t="str">
        <f>IFERROR(__xludf.DUMMYFUNCTION("""COMPUTED_VALUE"""),"Y")</f>
        <v>Y</v>
      </c>
      <c r="V106" s="517"/>
    </row>
    <row r="107">
      <c r="A107" s="445">
        <v>104.0</v>
      </c>
      <c r="B107" s="517" t="str">
        <f>IFERROR(__xludf.DUMMYFUNCTION("""COMPUTED_VALUE"""),"MP")</f>
        <v>MP</v>
      </c>
      <c r="C107" s="517">
        <f>IFERROR(__xludf.DUMMYFUNCTION("""COMPUTED_VALUE"""),104.0)</f>
        <v>104</v>
      </c>
      <c r="D107" s="517" t="str">
        <f>IFERROR(__xludf.DUMMYFUNCTION("""COMPUTED_VALUE""")," GK2MP")</f>
        <v> GK2MP</v>
      </c>
      <c r="E107" s="517" t="str">
        <f>IFERROR(__xludf.DUMMYFUNCTION("""COMPUTED_VALUE"""),"GA10215-GB-N")</f>
        <v>GA10215-GB-N</v>
      </c>
      <c r="F107" s="517" t="str">
        <f>IFERROR(__xludf.DUMMYFUNCTION("""COMPUTED_VALUE"""),"SKU, CLR3, GOOD, SUB6, EU/UK, PRESS, FL5")</f>
        <v>SKU, CLR3, GOOD, SUB6, EU/UK, PRESS, FL5</v>
      </c>
      <c r="G107" s="517" t="str">
        <f>IFERROR(__xludf.DUMMYFUNCTION("""COMPUTED_VALUE"""),"CLR3")</f>
        <v>CLR3</v>
      </c>
      <c r="H107" s="517" t="str">
        <f>IFERROR(__xludf.DUMMYFUNCTION("""COMPUTED_VALUE"""),"SUB6")</f>
        <v>SUB6</v>
      </c>
      <c r="I107" s="517" t="str">
        <f>IFERROR(__xludf.DUMMYFUNCTION("""COMPUTED_VALUE"""),"128GB")</f>
        <v>128GB</v>
      </c>
      <c r="J107" s="517" t="str">
        <f>IFERROR(__xludf.DUMMYFUNCTION("""COMPUTED_VALUE"""),"SKU, CLR3, GOOD, SUB6")</f>
        <v>SKU, CLR3, GOOD, SUB6</v>
      </c>
      <c r="K107" s="517" t="str">
        <f>IFERROR(__xludf.DUMMYFUNCTION("""COMPUTED_VALUE"""),"G950-15935-12")</f>
        <v>G950-15935-12</v>
      </c>
      <c r="L107" s="517" t="str">
        <f>IFERROR(__xludf.DUMMYFUNCTION("""COMPUTED_VALUE"""),"G710-07738-10")</f>
        <v>G710-07738-10</v>
      </c>
      <c r="M107" s="517" t="str">
        <f>IFERROR(__xludf.DUMMYFUNCTION("""COMPUTED_VALUE"""),"G710-07670-01")</f>
        <v>G710-07670-01</v>
      </c>
      <c r="N107" s="517" t="str">
        <f>IFERROR(__xludf.DUMMYFUNCTION("""COMPUTED_VALUE"""),"G730-09533-03")</f>
        <v>G730-09533-03</v>
      </c>
      <c r="O107" s="517" t="str">
        <f>IFERROR(__xludf.DUMMYFUNCTION("""COMPUTED_VALUE"""),"G710-07800-00")</f>
        <v>G710-07800-00</v>
      </c>
      <c r="P107" s="517" t="str">
        <f>IFERROR(__xludf.DUMMYFUNCTION("""COMPUTED_VALUE"""),"G650-14657-05")</f>
        <v>G650-14657-05</v>
      </c>
      <c r="Q107" s="517" t="str">
        <f>IFERROR(__xludf.DUMMYFUNCTION("""COMPUTED_VALUE"""),"G650-14694-05")</f>
        <v>G650-14694-05</v>
      </c>
      <c r="R107" s="517" t="str">
        <f>IFERROR(__xludf.DUMMYFUNCTION("""COMPUTED_VALUE"""),"G650-14850-03")</f>
        <v>G650-14850-03</v>
      </c>
      <c r="S107" s="517" t="str">
        <f>IFERROR(__xludf.DUMMYFUNCTION("""COMPUTED_VALUE"""),"Yes")</f>
        <v>Yes</v>
      </c>
      <c r="T107" s="517" t="str">
        <f>IFERROR(__xludf.DUMMYFUNCTION("""COMPUTED_VALUE"""),"Y")</f>
        <v>Y</v>
      </c>
      <c r="U107" s="517" t="str">
        <f>IFERROR(__xludf.DUMMYFUNCTION("""COMPUTED_VALUE"""),"Y")</f>
        <v>Y</v>
      </c>
      <c r="V107" s="517"/>
    </row>
    <row r="108">
      <c r="A108" s="445">
        <v>105.0</v>
      </c>
      <c r="B108" s="517" t="str">
        <f>IFERROR(__xludf.DUMMYFUNCTION("""COMPUTED_VALUE"""),"MP")</f>
        <v>MP</v>
      </c>
      <c r="C108" s="517">
        <f>IFERROR(__xludf.DUMMYFUNCTION("""COMPUTED_VALUE"""),105.0)</f>
        <v>105</v>
      </c>
      <c r="D108" s="517" t="str">
        <f>IFERROR(__xludf.DUMMYFUNCTION("""COMPUTED_VALUE""")," GK2MP")</f>
        <v> GK2MP</v>
      </c>
      <c r="E108" s="517" t="str">
        <f>IFERROR(__xludf.DUMMYFUNCTION("""COMPUTED_VALUE"""),"GA10216-GB-N")</f>
        <v>GA10216-GB-N</v>
      </c>
      <c r="F108" s="517" t="str">
        <f>IFERROR(__xludf.DUMMYFUNCTION("""COMPUTED_VALUE"""),"SKU, CLR4, GOOD, SUB6, EU/UK, PRESS, FL5")</f>
        <v>SKU, CLR4, GOOD, SUB6, EU/UK, PRESS, FL5</v>
      </c>
      <c r="G108" s="517" t="str">
        <f>IFERROR(__xludf.DUMMYFUNCTION("""COMPUTED_VALUE"""),"CLR4")</f>
        <v>CLR4</v>
      </c>
      <c r="H108" s="517" t="str">
        <f>IFERROR(__xludf.DUMMYFUNCTION("""COMPUTED_VALUE"""),"SUB6")</f>
        <v>SUB6</v>
      </c>
      <c r="I108" s="517" t="str">
        <f>IFERROR(__xludf.DUMMYFUNCTION("""COMPUTED_VALUE"""),"128GB")</f>
        <v>128GB</v>
      </c>
      <c r="J108" s="517" t="str">
        <f>IFERROR(__xludf.DUMMYFUNCTION("""COMPUTED_VALUE"""),"SKU, CLR4, GOOD, SUB6")</f>
        <v>SKU, CLR4, GOOD, SUB6</v>
      </c>
      <c r="K108" s="517" t="str">
        <f>IFERROR(__xludf.DUMMYFUNCTION("""COMPUTED_VALUE"""),"G950-15935-13")</f>
        <v>G950-15935-13</v>
      </c>
      <c r="L108" s="517" t="str">
        <f>IFERROR(__xludf.DUMMYFUNCTION("""COMPUTED_VALUE"""),"G710-07738-10")</f>
        <v>G710-07738-10</v>
      </c>
      <c r="M108" s="517" t="str">
        <f>IFERROR(__xludf.DUMMYFUNCTION("""COMPUTED_VALUE"""),"G710-07670-01")</f>
        <v>G710-07670-01</v>
      </c>
      <c r="N108" s="517" t="str">
        <f>IFERROR(__xludf.DUMMYFUNCTION("""COMPUTED_VALUE"""),"G730-09533-04")</f>
        <v>G730-09533-04</v>
      </c>
      <c r="O108" s="517" t="str">
        <f>IFERROR(__xludf.DUMMYFUNCTION("""COMPUTED_VALUE"""),"G710-07800-00")</f>
        <v>G710-07800-00</v>
      </c>
      <c r="P108" s="517" t="str">
        <f>IFERROR(__xludf.DUMMYFUNCTION("""COMPUTED_VALUE"""),"G650-14657-05")</f>
        <v>G650-14657-05</v>
      </c>
      <c r="Q108" s="517" t="str">
        <f>IFERROR(__xludf.DUMMYFUNCTION("""COMPUTED_VALUE"""),"G650-14694-05")</f>
        <v>G650-14694-05</v>
      </c>
      <c r="R108" s="517" t="str">
        <f>IFERROR(__xludf.DUMMYFUNCTION("""COMPUTED_VALUE"""),"G650-14850-03")</f>
        <v>G650-14850-03</v>
      </c>
      <c r="S108" s="517" t="str">
        <f>IFERROR(__xludf.DUMMYFUNCTION("""COMPUTED_VALUE"""),"Yes")</f>
        <v>Yes</v>
      </c>
      <c r="T108" s="517" t="str">
        <f>IFERROR(__xludf.DUMMYFUNCTION("""COMPUTED_VALUE"""),"Y")</f>
        <v>Y</v>
      </c>
      <c r="U108" s="517" t="str">
        <f>IFERROR(__xludf.DUMMYFUNCTION("""COMPUTED_VALUE"""),"Y")</f>
        <v>Y</v>
      </c>
      <c r="V108" s="517"/>
    </row>
    <row r="109">
      <c r="A109" s="445">
        <v>106.0</v>
      </c>
      <c r="B109" s="517" t="str">
        <f>IFERROR(__xludf.DUMMYFUNCTION("""COMPUTED_VALUE"""),"MP")</f>
        <v>MP</v>
      </c>
      <c r="C109" s="517">
        <f>IFERROR(__xludf.DUMMYFUNCTION("""COMPUTED_VALUE"""),106.0)</f>
        <v>106</v>
      </c>
      <c r="D109" s="517" t="str">
        <f>IFERROR(__xludf.DUMMYFUNCTION("""COMPUTED_VALUE"""),"GLBW0")</f>
        <v>GLBW0</v>
      </c>
      <c r="E109" s="517" t="str">
        <f>IFERROR(__xludf.DUMMYFUNCTION("""COMPUTED_VALUE"""),"GA10771-US")</f>
        <v>GA10771-US</v>
      </c>
      <c r="F109" s="517" t="str">
        <f>IFERROR(__xludf.DUMMYFUNCTION("""COMPUTED_VALUE"""),"SKU, CLR1, GOOD, MMWAVE, TMO, US, DEMO, FL5")</f>
        <v>SKU, CLR1, GOOD, MMWAVE, TMO, US, DEMO, FL5</v>
      </c>
      <c r="G109" s="517" t="str">
        <f>IFERROR(__xludf.DUMMYFUNCTION("""COMPUTED_VALUE"""),"CLR1")</f>
        <v>CLR1</v>
      </c>
      <c r="H109" s="517" t="str">
        <f>IFERROR(__xludf.DUMMYFUNCTION("""COMPUTED_VALUE"""),"MMWAVE")</f>
        <v>MMWAVE</v>
      </c>
      <c r="I109" s="517" t="str">
        <f>IFERROR(__xludf.DUMMYFUNCTION("""COMPUTED_VALUE"""),"128GB")</f>
        <v>128GB</v>
      </c>
      <c r="J109" s="517" t="str">
        <f>IFERROR(__xludf.DUMMYFUNCTION("""COMPUTED_VALUE"""),"SKU, CLR1, GOOD, MMWAVE")</f>
        <v>SKU, CLR1, GOOD, MMWAVE</v>
      </c>
      <c r="K109" s="517" t="str">
        <f>IFERROR(__xludf.DUMMYFUNCTION("""COMPUTED_VALUE"""),"G950-15935-00")</f>
        <v>G950-15935-00</v>
      </c>
      <c r="L109" s="517" t="str">
        <f>IFERROR(__xludf.DUMMYFUNCTION("""COMPUTED_VALUE"""),"G710-07738-00")</f>
        <v>G710-07738-00</v>
      </c>
      <c r="M109" s="517" t="str">
        <f>IFERROR(__xludf.DUMMYFUNCTION("""COMPUTED_VALUE"""),"G710-07670-01")</f>
        <v>G710-07670-01</v>
      </c>
      <c r="N109" s="517" t="str">
        <f>IFERROR(__xludf.DUMMYFUNCTION("""COMPUTED_VALUE"""),"G730-09533-01")</f>
        <v>G730-09533-01</v>
      </c>
      <c r="O109" s="517" t="str">
        <f>IFERROR(__xludf.DUMMYFUNCTION("""COMPUTED_VALUE"""),"G710-07800-01")</f>
        <v>G710-07800-01</v>
      </c>
      <c r="P109" s="517" t="str">
        <f>IFERROR(__xludf.DUMMYFUNCTION("""COMPUTED_VALUE"""),"G650-14656-06")</f>
        <v>G650-14656-06</v>
      </c>
      <c r="Q109" s="517" t="str">
        <f>IFERROR(__xludf.DUMMYFUNCTION("""COMPUTED_VALUE"""),"G650-14694-05")</f>
        <v>G650-14694-05</v>
      </c>
      <c r="R109" s="517" t="str">
        <f>IFERROR(__xludf.DUMMYFUNCTION("""COMPUTED_VALUE"""),"G650-14850-03")</f>
        <v>G650-14850-03</v>
      </c>
      <c r="S109" s="517" t="str">
        <f>IFERROR(__xludf.DUMMYFUNCTION("""COMPUTED_VALUE"""),"No")</f>
        <v>No</v>
      </c>
      <c r="T109" s="517" t="str">
        <f>IFERROR(__xludf.DUMMYFUNCTION("""COMPUTED_VALUE"""),"N")</f>
        <v>N</v>
      </c>
      <c r="U109" s="517" t="str">
        <f>IFERROR(__xludf.DUMMYFUNCTION("""COMPUTED_VALUE"""),"Y")</f>
        <v>Y</v>
      </c>
      <c r="V109" s="517"/>
    </row>
    <row r="110">
      <c r="A110" s="445">
        <v>107.0</v>
      </c>
      <c r="B110" s="517" t="str">
        <f>IFERROR(__xludf.DUMMYFUNCTION("""COMPUTED_VALUE"""),"MP")</f>
        <v>MP</v>
      </c>
      <c r="C110" s="517">
        <f>IFERROR(__xludf.DUMMYFUNCTION("""COMPUTED_VALUE"""),107.0)</f>
        <v>107</v>
      </c>
      <c r="D110" s="517" t="str">
        <f>IFERROR(__xludf.DUMMYFUNCTION("""COMPUTED_VALUE"""),"GLBW0")</f>
        <v>GLBW0</v>
      </c>
      <c r="E110" s="517" t="str">
        <f>IFERROR(__xludf.DUMMYFUNCTION("""COMPUTED_VALUE"""),"GA10772-US")</f>
        <v>GA10772-US</v>
      </c>
      <c r="F110" s="517" t="str">
        <f>IFERROR(__xludf.DUMMYFUNCTION("""COMPUTED_VALUE"""),"SKU, CLR4, GOOD, MMWAVE, Tmobile, US, DEMO, FL5")</f>
        <v>SKU, CLR4, GOOD, MMWAVE, Tmobile, US, DEMO, FL5</v>
      </c>
      <c r="G110" s="517" t="str">
        <f>IFERROR(__xludf.DUMMYFUNCTION("""COMPUTED_VALUE"""),"CLR4")</f>
        <v>CLR4</v>
      </c>
      <c r="H110" s="517" t="str">
        <f>IFERROR(__xludf.DUMMYFUNCTION("""COMPUTED_VALUE"""),"MMWAVE")</f>
        <v>MMWAVE</v>
      </c>
      <c r="I110" s="517" t="str">
        <f>IFERROR(__xludf.DUMMYFUNCTION("""COMPUTED_VALUE"""),"128GB")</f>
        <v>128GB</v>
      </c>
      <c r="J110" s="517" t="str">
        <f>IFERROR(__xludf.DUMMYFUNCTION("""COMPUTED_VALUE"""),"SKU, CLR4, GOOD, MMWAVE")</f>
        <v>SKU, CLR4, GOOD, MMWAVE</v>
      </c>
      <c r="K110" s="517" t="str">
        <f>IFERROR(__xludf.DUMMYFUNCTION("""COMPUTED_VALUE"""),"G950-15935-03")</f>
        <v>G950-15935-03</v>
      </c>
      <c r="L110" s="517" t="str">
        <f>IFERROR(__xludf.DUMMYFUNCTION("""COMPUTED_VALUE"""),"G710-07738-00")</f>
        <v>G710-07738-00</v>
      </c>
      <c r="M110" s="517" t="str">
        <f>IFERROR(__xludf.DUMMYFUNCTION("""COMPUTED_VALUE"""),"G710-07670-01")</f>
        <v>G710-07670-01</v>
      </c>
      <c r="N110" s="517" t="str">
        <f>IFERROR(__xludf.DUMMYFUNCTION("""COMPUTED_VALUE"""),"G730-09533-04")</f>
        <v>G730-09533-04</v>
      </c>
      <c r="O110" s="517" t="str">
        <f>IFERROR(__xludf.DUMMYFUNCTION("""COMPUTED_VALUE"""),"G710-07800-01")</f>
        <v>G710-07800-01</v>
      </c>
      <c r="P110" s="517" t="str">
        <f>IFERROR(__xludf.DUMMYFUNCTION("""COMPUTED_VALUE"""),"G650-14656-06")</f>
        <v>G650-14656-06</v>
      </c>
      <c r="Q110" s="517" t="str">
        <f>IFERROR(__xludf.DUMMYFUNCTION("""COMPUTED_VALUE"""),"G650-14694-05")</f>
        <v>G650-14694-05</v>
      </c>
      <c r="R110" s="517" t="str">
        <f>IFERROR(__xludf.DUMMYFUNCTION("""COMPUTED_VALUE"""),"G650-14850-03")</f>
        <v>G650-14850-03</v>
      </c>
      <c r="S110" s="517" t="str">
        <f>IFERROR(__xludf.DUMMYFUNCTION("""COMPUTED_VALUE"""),"No")</f>
        <v>No</v>
      </c>
      <c r="T110" s="517" t="str">
        <f>IFERROR(__xludf.DUMMYFUNCTION("""COMPUTED_VALUE"""),"N")</f>
        <v>N</v>
      </c>
      <c r="U110" s="517" t="str">
        <f>IFERROR(__xludf.DUMMYFUNCTION("""COMPUTED_VALUE"""),"Y")</f>
        <v>Y</v>
      </c>
      <c r="V110" s="517"/>
    </row>
    <row r="111">
      <c r="A111" s="445">
        <v>108.0</v>
      </c>
      <c r="B111" s="517" t="str">
        <f>IFERROR(__xludf.DUMMYFUNCTION("""COMPUTED_VALUE"""),"MP")</f>
        <v>MP</v>
      </c>
      <c r="C111" s="517">
        <f>IFERROR(__xludf.DUMMYFUNCTION("""COMPUTED_VALUE"""),108.0)</f>
        <v>108</v>
      </c>
      <c r="D111" s="517" t="str">
        <f>IFERROR(__xludf.DUMMYFUNCTION("""COMPUTED_VALUE"""),"GLBW0")</f>
        <v>GLBW0</v>
      </c>
      <c r="E111" s="517" t="str">
        <f>IFERROR(__xludf.DUMMYFUNCTION("""COMPUTED_VALUE"""),"GA10773-US")</f>
        <v>GA10773-US</v>
      </c>
      <c r="F111" s="517" t="str">
        <f>IFERROR(__xludf.DUMMYFUNCTION("""COMPUTED_VALUE"""),"SKU, CLR1, GOOD, MMWAVE, AT&amp;T, US, DEMO, FL5")</f>
        <v>SKU, CLR1, GOOD, MMWAVE, AT&amp;T, US, DEMO, FL5</v>
      </c>
      <c r="G111" s="517" t="str">
        <f>IFERROR(__xludf.DUMMYFUNCTION("""COMPUTED_VALUE"""),"CLR1")</f>
        <v>CLR1</v>
      </c>
      <c r="H111" s="517" t="str">
        <f>IFERROR(__xludf.DUMMYFUNCTION("""COMPUTED_VALUE"""),"MMWAVE")</f>
        <v>MMWAVE</v>
      </c>
      <c r="I111" s="517" t="str">
        <f>IFERROR(__xludf.DUMMYFUNCTION("""COMPUTED_VALUE"""),"128GB")</f>
        <v>128GB</v>
      </c>
      <c r="J111" s="517" t="str">
        <f>IFERROR(__xludf.DUMMYFUNCTION("""COMPUTED_VALUE"""),"SKU, CLR1, GOOD, MMWAVE")</f>
        <v>SKU, CLR1, GOOD, MMWAVE</v>
      </c>
      <c r="K111" s="517" t="str">
        <f>IFERROR(__xludf.DUMMYFUNCTION("""COMPUTED_VALUE"""),"G950-15935-00")</f>
        <v>G950-15935-00</v>
      </c>
      <c r="L111" s="517" t="str">
        <f>IFERROR(__xludf.DUMMYFUNCTION("""COMPUTED_VALUE"""),"G710-07738-00")</f>
        <v>G710-07738-00</v>
      </c>
      <c r="M111" s="517" t="str">
        <f>IFERROR(__xludf.DUMMYFUNCTION("""COMPUTED_VALUE"""),"G710-07670-01")</f>
        <v>G710-07670-01</v>
      </c>
      <c r="N111" s="517" t="str">
        <f>IFERROR(__xludf.DUMMYFUNCTION("""COMPUTED_VALUE"""),"G730-09533-01")</f>
        <v>G730-09533-01</v>
      </c>
      <c r="O111" s="517" t="str">
        <f>IFERROR(__xludf.DUMMYFUNCTION("""COMPUTED_VALUE"""),"G710-07800-01")</f>
        <v>G710-07800-01</v>
      </c>
      <c r="P111" s="517" t="str">
        <f>IFERROR(__xludf.DUMMYFUNCTION("""COMPUTED_VALUE"""),"G650-14656-06")</f>
        <v>G650-14656-06</v>
      </c>
      <c r="Q111" s="517" t="str">
        <f>IFERROR(__xludf.DUMMYFUNCTION("""COMPUTED_VALUE"""),"G650-14694-05")</f>
        <v>G650-14694-05</v>
      </c>
      <c r="R111" s="517" t="str">
        <f>IFERROR(__xludf.DUMMYFUNCTION("""COMPUTED_VALUE"""),"G650-14850-03")</f>
        <v>G650-14850-03</v>
      </c>
      <c r="S111" s="517" t="str">
        <f>IFERROR(__xludf.DUMMYFUNCTION("""COMPUTED_VALUE"""),"No")</f>
        <v>No</v>
      </c>
      <c r="T111" s="517" t="str">
        <f>IFERROR(__xludf.DUMMYFUNCTION("""COMPUTED_VALUE"""),"N")</f>
        <v>N</v>
      </c>
      <c r="U111" s="517" t="str">
        <f>IFERROR(__xludf.DUMMYFUNCTION("""COMPUTED_VALUE"""),"Y")</f>
        <v>Y</v>
      </c>
      <c r="V111" s="517"/>
    </row>
    <row r="112">
      <c r="A112" s="445">
        <v>109.0</v>
      </c>
      <c r="B112" s="517" t="str">
        <f>IFERROR(__xludf.DUMMYFUNCTION("""COMPUTED_VALUE"""),"MP")</f>
        <v>MP</v>
      </c>
      <c r="C112" s="517">
        <f>IFERROR(__xludf.DUMMYFUNCTION("""COMPUTED_VALUE"""),109.0)</f>
        <v>109</v>
      </c>
      <c r="D112" s="517" t="str">
        <f>IFERROR(__xludf.DUMMYFUNCTION("""COMPUTED_VALUE"""),"GLBW0")</f>
        <v>GLBW0</v>
      </c>
      <c r="E112" s="517" t="str">
        <f>IFERROR(__xludf.DUMMYFUNCTION("""COMPUTED_VALUE"""),"GA10774-US")</f>
        <v>GA10774-US</v>
      </c>
      <c r="F112" s="517" t="str">
        <f>IFERROR(__xludf.DUMMYFUNCTION("""COMPUTED_VALUE"""),"SKU, CLR4, GOOD, MMWAVE, AT&amp;T, US, DEMO, FL5")</f>
        <v>SKU, CLR4, GOOD, MMWAVE, AT&amp;T, US, DEMO, FL5</v>
      </c>
      <c r="G112" s="517" t="str">
        <f>IFERROR(__xludf.DUMMYFUNCTION("""COMPUTED_VALUE"""),"CLR4")</f>
        <v>CLR4</v>
      </c>
      <c r="H112" s="517" t="str">
        <f>IFERROR(__xludf.DUMMYFUNCTION("""COMPUTED_VALUE"""),"MMWAVE")</f>
        <v>MMWAVE</v>
      </c>
      <c r="I112" s="517" t="str">
        <f>IFERROR(__xludf.DUMMYFUNCTION("""COMPUTED_VALUE"""),"128GB")</f>
        <v>128GB</v>
      </c>
      <c r="J112" s="517" t="str">
        <f>IFERROR(__xludf.DUMMYFUNCTION("""COMPUTED_VALUE"""),"SKU, CLR4, GOOD, MMWAVE")</f>
        <v>SKU, CLR4, GOOD, MMWAVE</v>
      </c>
      <c r="K112" s="517" t="str">
        <f>IFERROR(__xludf.DUMMYFUNCTION("""COMPUTED_VALUE"""),"G950-15935-03")</f>
        <v>G950-15935-03</v>
      </c>
      <c r="L112" s="517" t="str">
        <f>IFERROR(__xludf.DUMMYFUNCTION("""COMPUTED_VALUE"""),"G710-07738-00")</f>
        <v>G710-07738-00</v>
      </c>
      <c r="M112" s="517" t="str">
        <f>IFERROR(__xludf.DUMMYFUNCTION("""COMPUTED_VALUE"""),"G710-07670-01")</f>
        <v>G710-07670-01</v>
      </c>
      <c r="N112" s="517" t="str">
        <f>IFERROR(__xludf.DUMMYFUNCTION("""COMPUTED_VALUE"""),"G730-09533-04")</f>
        <v>G730-09533-04</v>
      </c>
      <c r="O112" s="517" t="str">
        <f>IFERROR(__xludf.DUMMYFUNCTION("""COMPUTED_VALUE"""),"G710-07800-01")</f>
        <v>G710-07800-01</v>
      </c>
      <c r="P112" s="517" t="str">
        <f>IFERROR(__xludf.DUMMYFUNCTION("""COMPUTED_VALUE"""),"G650-14656-06")</f>
        <v>G650-14656-06</v>
      </c>
      <c r="Q112" s="517" t="str">
        <f>IFERROR(__xludf.DUMMYFUNCTION("""COMPUTED_VALUE"""),"G650-14694-05")</f>
        <v>G650-14694-05</v>
      </c>
      <c r="R112" s="517" t="str">
        <f>IFERROR(__xludf.DUMMYFUNCTION("""COMPUTED_VALUE"""),"G650-14850-03")</f>
        <v>G650-14850-03</v>
      </c>
      <c r="S112" s="517" t="str">
        <f>IFERROR(__xludf.DUMMYFUNCTION("""COMPUTED_VALUE"""),"No")</f>
        <v>No</v>
      </c>
      <c r="T112" s="517" t="str">
        <f>IFERROR(__xludf.DUMMYFUNCTION("""COMPUTED_VALUE"""),"N")</f>
        <v>N</v>
      </c>
      <c r="U112" s="517" t="str">
        <f>IFERROR(__xludf.DUMMYFUNCTION("""COMPUTED_VALUE"""),"Y")</f>
        <v>Y</v>
      </c>
      <c r="V112" s="517"/>
    </row>
    <row r="113">
      <c r="A113" s="445">
        <v>110.0</v>
      </c>
      <c r="B113" s="517" t="str">
        <f>IFERROR(__xludf.DUMMYFUNCTION("""COMPUTED_VALUE"""),"MP")</f>
        <v>MP</v>
      </c>
      <c r="C113" s="517">
        <f>IFERROR(__xludf.DUMMYFUNCTION("""COMPUTED_VALUE"""),110.0)</f>
        <v>110</v>
      </c>
      <c r="D113" s="517" t="str">
        <f>IFERROR(__xludf.DUMMYFUNCTION("""COMPUTED_VALUE"""),"GLBW0")</f>
        <v>GLBW0</v>
      </c>
      <c r="E113" s="517" t="str">
        <f>IFERROR(__xludf.DUMMYFUNCTION("""COMPUTED_VALUE"""),"GA10775-US")</f>
        <v>GA10775-US</v>
      </c>
      <c r="F113" s="517" t="str">
        <f>IFERROR(__xludf.DUMMYFUNCTION("""COMPUTED_VALUE"""),"SKU, CLR1, GOOD, MMWAVE, GSTORE, US, DEMO, FL5")</f>
        <v>SKU, CLR1, GOOD, MMWAVE, GSTORE, US, DEMO, FL5</v>
      </c>
      <c r="G113" s="517" t="str">
        <f>IFERROR(__xludf.DUMMYFUNCTION("""COMPUTED_VALUE"""),"CLR1")</f>
        <v>CLR1</v>
      </c>
      <c r="H113" s="517" t="str">
        <f>IFERROR(__xludf.DUMMYFUNCTION("""COMPUTED_VALUE"""),"MMWAVE")</f>
        <v>MMWAVE</v>
      </c>
      <c r="I113" s="517" t="str">
        <f>IFERROR(__xludf.DUMMYFUNCTION("""COMPUTED_VALUE"""),"128GB")</f>
        <v>128GB</v>
      </c>
      <c r="J113" s="517" t="str">
        <f>IFERROR(__xludf.DUMMYFUNCTION("""COMPUTED_VALUE"""),"SKU, CLR1, GOOD, MMWAVE")</f>
        <v>SKU, CLR1, GOOD, MMWAVE</v>
      </c>
      <c r="K113" s="517" t="str">
        <f>IFERROR(__xludf.DUMMYFUNCTION("""COMPUTED_VALUE"""),"G950-15935-00")</f>
        <v>G950-15935-00</v>
      </c>
      <c r="L113" s="517" t="str">
        <f>IFERROR(__xludf.DUMMYFUNCTION("""COMPUTED_VALUE"""),"G710-07738-00")</f>
        <v>G710-07738-00</v>
      </c>
      <c r="M113" s="517" t="str">
        <f>IFERROR(__xludf.DUMMYFUNCTION("""COMPUTED_VALUE"""),"G710-07670-01")</f>
        <v>G710-07670-01</v>
      </c>
      <c r="N113" s="517" t="str">
        <f>IFERROR(__xludf.DUMMYFUNCTION("""COMPUTED_VALUE"""),"G730-09533-01")</f>
        <v>G730-09533-01</v>
      </c>
      <c r="O113" s="517" t="str">
        <f>IFERROR(__xludf.DUMMYFUNCTION("""COMPUTED_VALUE"""),"G710-07800-01")</f>
        <v>G710-07800-01</v>
      </c>
      <c r="P113" s="517" t="str">
        <f>IFERROR(__xludf.DUMMYFUNCTION("""COMPUTED_VALUE"""),"G650-14656-06")</f>
        <v>G650-14656-06</v>
      </c>
      <c r="Q113" s="517" t="str">
        <f>IFERROR(__xludf.DUMMYFUNCTION("""COMPUTED_VALUE"""),"G650-14694-05")</f>
        <v>G650-14694-05</v>
      </c>
      <c r="R113" s="517" t="str">
        <f>IFERROR(__xludf.DUMMYFUNCTION("""COMPUTED_VALUE"""),"G650-14850-03")</f>
        <v>G650-14850-03</v>
      </c>
      <c r="S113" s="517" t="str">
        <f>IFERROR(__xludf.DUMMYFUNCTION("""COMPUTED_VALUE"""),"No")</f>
        <v>No</v>
      </c>
      <c r="T113" s="517" t="str">
        <f>IFERROR(__xludf.DUMMYFUNCTION("""COMPUTED_VALUE"""),"N")</f>
        <v>N</v>
      </c>
      <c r="U113" s="517" t="str">
        <f>IFERROR(__xludf.DUMMYFUNCTION("""COMPUTED_VALUE"""),"Y")</f>
        <v>Y</v>
      </c>
      <c r="V113" s="517"/>
    </row>
    <row r="114">
      <c r="A114" s="445">
        <v>111.0</v>
      </c>
      <c r="B114" s="517" t="str">
        <f>IFERROR(__xludf.DUMMYFUNCTION("""COMPUTED_VALUE"""),"MP")</f>
        <v>MP</v>
      </c>
      <c r="C114" s="517">
        <f>IFERROR(__xludf.DUMMYFUNCTION("""COMPUTED_VALUE"""),111.0)</f>
        <v>111</v>
      </c>
      <c r="D114" s="517" t="str">
        <f>IFERROR(__xludf.DUMMYFUNCTION("""COMPUTED_VALUE"""),"GLBW0")</f>
        <v>GLBW0</v>
      </c>
      <c r="E114" s="517" t="str">
        <f>IFERROR(__xludf.DUMMYFUNCTION("""COMPUTED_VALUE"""),"GA10776-US")</f>
        <v>GA10776-US</v>
      </c>
      <c r="F114" s="517" t="str">
        <f>IFERROR(__xludf.DUMMYFUNCTION("""COMPUTED_VALUE"""),"SKU, CLR4, GOOD, MMWAVE, GSTORE, US, DEMO, FL5")</f>
        <v>SKU, CLR4, GOOD, MMWAVE, GSTORE, US, DEMO, FL5</v>
      </c>
      <c r="G114" s="517" t="str">
        <f>IFERROR(__xludf.DUMMYFUNCTION("""COMPUTED_VALUE"""),"CLR4")</f>
        <v>CLR4</v>
      </c>
      <c r="H114" s="517" t="str">
        <f>IFERROR(__xludf.DUMMYFUNCTION("""COMPUTED_VALUE"""),"MMWAVE")</f>
        <v>MMWAVE</v>
      </c>
      <c r="I114" s="517" t="str">
        <f>IFERROR(__xludf.DUMMYFUNCTION("""COMPUTED_VALUE"""),"128GB")</f>
        <v>128GB</v>
      </c>
      <c r="J114" s="517" t="str">
        <f>IFERROR(__xludf.DUMMYFUNCTION("""COMPUTED_VALUE"""),"SKU, CLR4, GOOD, MMWAVE")</f>
        <v>SKU, CLR4, GOOD, MMWAVE</v>
      </c>
      <c r="K114" s="517" t="str">
        <f>IFERROR(__xludf.DUMMYFUNCTION("""COMPUTED_VALUE"""),"G950-15935-03")</f>
        <v>G950-15935-03</v>
      </c>
      <c r="L114" s="517" t="str">
        <f>IFERROR(__xludf.DUMMYFUNCTION("""COMPUTED_VALUE"""),"G710-07738-00")</f>
        <v>G710-07738-00</v>
      </c>
      <c r="M114" s="517" t="str">
        <f>IFERROR(__xludf.DUMMYFUNCTION("""COMPUTED_VALUE"""),"G710-07670-01")</f>
        <v>G710-07670-01</v>
      </c>
      <c r="N114" s="517" t="str">
        <f>IFERROR(__xludf.DUMMYFUNCTION("""COMPUTED_VALUE"""),"G730-09533-04")</f>
        <v>G730-09533-04</v>
      </c>
      <c r="O114" s="517" t="str">
        <f>IFERROR(__xludf.DUMMYFUNCTION("""COMPUTED_VALUE"""),"G710-07800-01")</f>
        <v>G710-07800-01</v>
      </c>
      <c r="P114" s="517" t="str">
        <f>IFERROR(__xludf.DUMMYFUNCTION("""COMPUTED_VALUE"""),"G650-14656-06")</f>
        <v>G650-14656-06</v>
      </c>
      <c r="Q114" s="517" t="str">
        <f>IFERROR(__xludf.DUMMYFUNCTION("""COMPUTED_VALUE"""),"G650-14694-05")</f>
        <v>G650-14694-05</v>
      </c>
      <c r="R114" s="517" t="str">
        <f>IFERROR(__xludf.DUMMYFUNCTION("""COMPUTED_VALUE"""),"G650-14850-03")</f>
        <v>G650-14850-03</v>
      </c>
      <c r="S114" s="517" t="str">
        <f>IFERROR(__xludf.DUMMYFUNCTION("""COMPUTED_VALUE"""),"No")</f>
        <v>No</v>
      </c>
      <c r="T114" s="517" t="str">
        <f>IFERROR(__xludf.DUMMYFUNCTION("""COMPUTED_VALUE"""),"N")</f>
        <v>N</v>
      </c>
      <c r="U114" s="517" t="str">
        <f>IFERROR(__xludf.DUMMYFUNCTION("""COMPUTED_VALUE"""),"Y")</f>
        <v>Y</v>
      </c>
      <c r="V114" s="517"/>
    </row>
    <row r="115">
      <c r="A115" s="445">
        <v>112.0</v>
      </c>
      <c r="B115" s="517" t="str">
        <f>IFERROR(__xludf.DUMMYFUNCTION("""COMPUTED_VALUE"""),"MP")</f>
        <v>MP</v>
      </c>
      <c r="C115" s="517">
        <f>IFERROR(__xludf.DUMMYFUNCTION("""COMPUTED_VALUE"""),112.0)</f>
        <v>112</v>
      </c>
      <c r="D115" s="517" t="str">
        <f>IFERROR(__xludf.DUMMYFUNCTION("""COMPUTED_VALUE"""),"GL066")</f>
        <v>GL066</v>
      </c>
      <c r="E115" s="517" t="str">
        <f>IFERROR(__xludf.DUMMYFUNCTION("""COMPUTED_VALUE"""),"GA10775-JP")</f>
        <v>GA10775-JP</v>
      </c>
      <c r="F115" s="517" t="str">
        <f>IFERROR(__xludf.DUMMYFUNCTION("""COMPUTED_VALUE"""),"SKU, CLR1, GOOD, SUB6, JP, DEMO, FL5")</f>
        <v>SKU, CLR1, GOOD, SUB6, JP, DEMO, FL5</v>
      </c>
      <c r="G115" s="517" t="str">
        <f>IFERROR(__xludf.DUMMYFUNCTION("""COMPUTED_VALUE"""),"CLR1")</f>
        <v>CLR1</v>
      </c>
      <c r="H115" s="517" t="str">
        <f>IFERROR(__xludf.DUMMYFUNCTION("""COMPUTED_VALUE"""),"SUB6")</f>
        <v>SUB6</v>
      </c>
      <c r="I115" s="517" t="str">
        <f>IFERROR(__xludf.DUMMYFUNCTION("""COMPUTED_VALUE"""),"128GB")</f>
        <v>128GB</v>
      </c>
      <c r="J115" s="517" t="str">
        <f>IFERROR(__xludf.DUMMYFUNCTION("""COMPUTED_VALUE"""),"SKU, CLR1, GOOD, SUB6")</f>
        <v>SKU, CLR1, GOOD, SUB6</v>
      </c>
      <c r="K115" s="517" t="str">
        <f>IFERROR(__xludf.DUMMYFUNCTION("""COMPUTED_VALUE"""),"G950-15935-10")</f>
        <v>G950-15935-10</v>
      </c>
      <c r="L115" s="517" t="str">
        <f>IFERROR(__xludf.DUMMYFUNCTION("""COMPUTED_VALUE"""),"G710-07738-10")</f>
        <v>G710-07738-10</v>
      </c>
      <c r="M115" s="517" t="str">
        <f>IFERROR(__xludf.DUMMYFUNCTION("""COMPUTED_VALUE"""),"G710-07670-01")</f>
        <v>G710-07670-01</v>
      </c>
      <c r="N115" s="517" t="str">
        <f>IFERROR(__xludf.DUMMYFUNCTION("""COMPUTED_VALUE"""),"G730-09533-01")</f>
        <v>G730-09533-01</v>
      </c>
      <c r="O115" s="517" t="str">
        <f>IFERROR(__xludf.DUMMYFUNCTION("""COMPUTED_VALUE"""),"G710-07800-00")</f>
        <v>G710-07800-00</v>
      </c>
      <c r="P115" s="517" t="str">
        <f>IFERROR(__xludf.DUMMYFUNCTION("""COMPUTED_VALUE"""),"G650-14657-05")</f>
        <v>G650-14657-05</v>
      </c>
      <c r="Q115" s="517" t="str">
        <f>IFERROR(__xludf.DUMMYFUNCTION("""COMPUTED_VALUE"""),"G650-14694-05")</f>
        <v>G650-14694-05</v>
      </c>
      <c r="R115" s="517" t="str">
        <f>IFERROR(__xludf.DUMMYFUNCTION("""COMPUTED_VALUE"""),"G650-14850-03")</f>
        <v>G650-14850-03</v>
      </c>
      <c r="S115" s="517" t="str">
        <f>IFERROR(__xludf.DUMMYFUNCTION("""COMPUTED_VALUE"""),"No")</f>
        <v>No</v>
      </c>
      <c r="T115" s="517" t="str">
        <f>IFERROR(__xludf.DUMMYFUNCTION("""COMPUTED_VALUE"""),"Y")</f>
        <v>Y</v>
      </c>
      <c r="U115" s="517" t="str">
        <f>IFERROR(__xludf.DUMMYFUNCTION("""COMPUTED_VALUE"""),"Y")</f>
        <v>Y</v>
      </c>
      <c r="V115" s="517"/>
    </row>
    <row r="116">
      <c r="A116" s="445">
        <v>113.0</v>
      </c>
      <c r="B116" s="517" t="str">
        <f>IFERROR(__xludf.DUMMYFUNCTION("""COMPUTED_VALUE"""),"MP")</f>
        <v>MP</v>
      </c>
      <c r="C116" s="517">
        <f>IFERROR(__xludf.DUMMYFUNCTION("""COMPUTED_VALUE"""),113.0)</f>
        <v>113</v>
      </c>
      <c r="D116" s="517" t="str">
        <f>IFERROR(__xludf.DUMMYFUNCTION("""COMPUTED_VALUE"""),"GL066")</f>
        <v>GL066</v>
      </c>
      <c r="E116" s="517" t="str">
        <f>IFERROR(__xludf.DUMMYFUNCTION("""COMPUTED_VALUE"""),"GA10776-JP")</f>
        <v>GA10776-JP</v>
      </c>
      <c r="F116" s="517" t="str">
        <f>IFERROR(__xludf.DUMMYFUNCTION("""COMPUTED_VALUE"""),"SKU, CLR4, GOOD, SUB6, JP, DEMO, FL5")</f>
        <v>SKU, CLR4, GOOD, SUB6, JP, DEMO, FL5</v>
      </c>
      <c r="G116" s="517" t="str">
        <f>IFERROR(__xludf.DUMMYFUNCTION("""COMPUTED_VALUE"""),"CLR4")</f>
        <v>CLR4</v>
      </c>
      <c r="H116" s="517" t="str">
        <f>IFERROR(__xludf.DUMMYFUNCTION("""COMPUTED_VALUE"""),"SUB6")</f>
        <v>SUB6</v>
      </c>
      <c r="I116" s="517" t="str">
        <f>IFERROR(__xludf.DUMMYFUNCTION("""COMPUTED_VALUE"""),"128GB")</f>
        <v>128GB</v>
      </c>
      <c r="J116" s="517" t="str">
        <f>IFERROR(__xludf.DUMMYFUNCTION("""COMPUTED_VALUE"""),"SKU, CLR4, GOOD, SUB6")</f>
        <v>SKU, CLR4, GOOD, SUB6</v>
      </c>
      <c r="K116" s="517" t="str">
        <f>IFERROR(__xludf.DUMMYFUNCTION("""COMPUTED_VALUE"""),"G950-15935-13")</f>
        <v>G950-15935-13</v>
      </c>
      <c r="L116" s="517" t="str">
        <f>IFERROR(__xludf.DUMMYFUNCTION("""COMPUTED_VALUE"""),"G710-07738-10")</f>
        <v>G710-07738-10</v>
      </c>
      <c r="M116" s="517" t="str">
        <f>IFERROR(__xludf.DUMMYFUNCTION("""COMPUTED_VALUE"""),"G710-07670-01")</f>
        <v>G710-07670-01</v>
      </c>
      <c r="N116" s="517" t="str">
        <f>IFERROR(__xludf.DUMMYFUNCTION("""COMPUTED_VALUE"""),"G730-09533-04")</f>
        <v>G730-09533-04</v>
      </c>
      <c r="O116" s="517" t="str">
        <f>IFERROR(__xludf.DUMMYFUNCTION("""COMPUTED_VALUE"""),"G710-07800-00")</f>
        <v>G710-07800-00</v>
      </c>
      <c r="P116" s="517" t="str">
        <f>IFERROR(__xludf.DUMMYFUNCTION("""COMPUTED_VALUE"""),"G650-14657-05")</f>
        <v>G650-14657-05</v>
      </c>
      <c r="Q116" s="517" t="str">
        <f>IFERROR(__xludf.DUMMYFUNCTION("""COMPUTED_VALUE"""),"G650-14694-05")</f>
        <v>G650-14694-05</v>
      </c>
      <c r="R116" s="517" t="str">
        <f>IFERROR(__xludf.DUMMYFUNCTION("""COMPUTED_VALUE"""),"G650-14850-03")</f>
        <v>G650-14850-03</v>
      </c>
      <c r="S116" s="517" t="str">
        <f>IFERROR(__xludf.DUMMYFUNCTION("""COMPUTED_VALUE"""),"No")</f>
        <v>No</v>
      </c>
      <c r="T116" s="517" t="str">
        <f>IFERROR(__xludf.DUMMYFUNCTION("""COMPUTED_VALUE"""),"Y")</f>
        <v>Y</v>
      </c>
      <c r="U116" s="517" t="str">
        <f>IFERROR(__xludf.DUMMYFUNCTION("""COMPUTED_VALUE"""),"Y")</f>
        <v>Y</v>
      </c>
      <c r="V116" s="517"/>
    </row>
    <row r="117">
      <c r="A117" s="445">
        <v>114.0</v>
      </c>
      <c r="B117" s="517" t="str">
        <f>IFERROR(__xludf.DUMMYFUNCTION("""COMPUTED_VALUE"""),"MP")</f>
        <v>MP</v>
      </c>
      <c r="C117" s="517">
        <f>IFERROR(__xludf.DUMMYFUNCTION("""COMPUTED_VALUE"""),114.0)</f>
        <v>114</v>
      </c>
      <c r="D117" s="517" t="str">
        <f>IFERROR(__xludf.DUMMYFUNCTION("""COMPUTED_VALUE""")," GK2MP")</f>
        <v> GK2MP</v>
      </c>
      <c r="E117" s="517" t="str">
        <f>IFERROR(__xludf.DUMMYFUNCTION("""COMPUTED_VALUE"""),"GA10775-CA")</f>
        <v>GA10775-CA</v>
      </c>
      <c r="F117" s="517" t="str">
        <f>IFERROR(__xludf.DUMMYFUNCTION("""COMPUTED_VALUE"""),"SKU, CLR1, GOOD, SUB6, CA/TW/SG/MY/AU/MX, DEMO, FL5")</f>
        <v>SKU, CLR1, GOOD, SUB6, CA/TW/SG/MY/AU/MX, DEMO, FL5</v>
      </c>
      <c r="G117" s="517" t="str">
        <f>IFERROR(__xludf.DUMMYFUNCTION("""COMPUTED_VALUE"""),"CLR1")</f>
        <v>CLR1</v>
      </c>
      <c r="H117" s="517" t="str">
        <f>IFERROR(__xludf.DUMMYFUNCTION("""COMPUTED_VALUE"""),"SUB6")</f>
        <v>SUB6</v>
      </c>
      <c r="I117" s="517" t="str">
        <f>IFERROR(__xludf.DUMMYFUNCTION("""COMPUTED_VALUE"""),"128GB")</f>
        <v>128GB</v>
      </c>
      <c r="J117" s="517" t="str">
        <f>IFERROR(__xludf.DUMMYFUNCTION("""COMPUTED_VALUE"""),"SKU, CLR1, GOOD, SUB6")</f>
        <v>SKU, CLR1, GOOD, SUB6</v>
      </c>
      <c r="K117" s="517" t="str">
        <f>IFERROR(__xludf.DUMMYFUNCTION("""COMPUTED_VALUE"""),"G950-15935-10")</f>
        <v>G950-15935-10</v>
      </c>
      <c r="L117" s="517" t="str">
        <f>IFERROR(__xludf.DUMMYFUNCTION("""COMPUTED_VALUE"""),"G710-07738-10")</f>
        <v>G710-07738-10</v>
      </c>
      <c r="M117" s="517" t="str">
        <f>IFERROR(__xludf.DUMMYFUNCTION("""COMPUTED_VALUE"""),"G710-07670-01")</f>
        <v>G710-07670-01</v>
      </c>
      <c r="N117" s="517" t="str">
        <f>IFERROR(__xludf.DUMMYFUNCTION("""COMPUTED_VALUE"""),"G730-09533-01")</f>
        <v>G730-09533-01</v>
      </c>
      <c r="O117" s="517" t="str">
        <f>IFERROR(__xludf.DUMMYFUNCTION("""COMPUTED_VALUE"""),"G710-07800-00")</f>
        <v>G710-07800-00</v>
      </c>
      <c r="P117" s="517" t="str">
        <f>IFERROR(__xludf.DUMMYFUNCTION("""COMPUTED_VALUE"""),"G650-14657-05")</f>
        <v>G650-14657-05</v>
      </c>
      <c r="Q117" s="517" t="str">
        <f>IFERROR(__xludf.DUMMYFUNCTION("""COMPUTED_VALUE"""),"G650-14694-05")</f>
        <v>G650-14694-05</v>
      </c>
      <c r="R117" s="517" t="str">
        <f>IFERROR(__xludf.DUMMYFUNCTION("""COMPUTED_VALUE"""),"G650-14850-03")</f>
        <v>G650-14850-03</v>
      </c>
      <c r="S117" s="517" t="str">
        <f>IFERROR(__xludf.DUMMYFUNCTION("""COMPUTED_VALUE"""),"No")</f>
        <v>No</v>
      </c>
      <c r="T117" s="517" t="str">
        <f>IFERROR(__xludf.DUMMYFUNCTION("""COMPUTED_VALUE"""),"Y")</f>
        <v>Y</v>
      </c>
      <c r="U117" s="517" t="str">
        <f>IFERROR(__xludf.DUMMYFUNCTION("""COMPUTED_VALUE"""),"Y")</f>
        <v>Y</v>
      </c>
      <c r="V117" s="517"/>
    </row>
    <row r="118">
      <c r="A118" s="445">
        <v>115.0</v>
      </c>
      <c r="B118" s="517" t="str">
        <f>IFERROR(__xludf.DUMMYFUNCTION("""COMPUTED_VALUE"""),"MP")</f>
        <v>MP</v>
      </c>
      <c r="C118" s="517">
        <f>IFERROR(__xludf.DUMMYFUNCTION("""COMPUTED_VALUE"""),115.0)</f>
        <v>115</v>
      </c>
      <c r="D118" s="517" t="str">
        <f>IFERROR(__xludf.DUMMYFUNCTION("""COMPUTED_VALUE""")," GK2MP")</f>
        <v> GK2MP</v>
      </c>
      <c r="E118" s="517" t="str">
        <f>IFERROR(__xludf.DUMMYFUNCTION("""COMPUTED_VALUE"""),"GA10776-CA")</f>
        <v>GA10776-CA</v>
      </c>
      <c r="F118" s="517" t="str">
        <f>IFERROR(__xludf.DUMMYFUNCTION("""COMPUTED_VALUE"""),"SKU, CLR4, GOOD, SUB6, CA/TW/SG/MY/AU/MX, DEMO, FL5")</f>
        <v>SKU, CLR4, GOOD, SUB6, CA/TW/SG/MY/AU/MX, DEMO, FL5</v>
      </c>
      <c r="G118" s="517" t="str">
        <f>IFERROR(__xludf.DUMMYFUNCTION("""COMPUTED_VALUE"""),"CLR4")</f>
        <v>CLR4</v>
      </c>
      <c r="H118" s="517" t="str">
        <f>IFERROR(__xludf.DUMMYFUNCTION("""COMPUTED_VALUE"""),"SUB6")</f>
        <v>SUB6</v>
      </c>
      <c r="I118" s="517" t="str">
        <f>IFERROR(__xludf.DUMMYFUNCTION("""COMPUTED_VALUE"""),"128GB")</f>
        <v>128GB</v>
      </c>
      <c r="J118" s="517" t="str">
        <f>IFERROR(__xludf.DUMMYFUNCTION("""COMPUTED_VALUE"""),"SKU, CLR4, GOOD, SUB6")</f>
        <v>SKU, CLR4, GOOD, SUB6</v>
      </c>
      <c r="K118" s="517" t="str">
        <f>IFERROR(__xludf.DUMMYFUNCTION("""COMPUTED_VALUE"""),"G950-15935-13")</f>
        <v>G950-15935-13</v>
      </c>
      <c r="L118" s="517" t="str">
        <f>IFERROR(__xludf.DUMMYFUNCTION("""COMPUTED_VALUE"""),"G710-07738-10")</f>
        <v>G710-07738-10</v>
      </c>
      <c r="M118" s="517" t="str">
        <f>IFERROR(__xludf.DUMMYFUNCTION("""COMPUTED_VALUE"""),"G710-07670-01")</f>
        <v>G710-07670-01</v>
      </c>
      <c r="N118" s="517" t="str">
        <f>IFERROR(__xludf.DUMMYFUNCTION("""COMPUTED_VALUE"""),"G730-09533-04")</f>
        <v>G730-09533-04</v>
      </c>
      <c r="O118" s="517" t="str">
        <f>IFERROR(__xludf.DUMMYFUNCTION("""COMPUTED_VALUE"""),"G710-07800-00")</f>
        <v>G710-07800-00</v>
      </c>
      <c r="P118" s="517" t="str">
        <f>IFERROR(__xludf.DUMMYFUNCTION("""COMPUTED_VALUE"""),"G650-14657-05")</f>
        <v>G650-14657-05</v>
      </c>
      <c r="Q118" s="517" t="str">
        <f>IFERROR(__xludf.DUMMYFUNCTION("""COMPUTED_VALUE"""),"G650-14694-05")</f>
        <v>G650-14694-05</v>
      </c>
      <c r="R118" s="517" t="str">
        <f>IFERROR(__xludf.DUMMYFUNCTION("""COMPUTED_VALUE"""),"G650-14850-03")</f>
        <v>G650-14850-03</v>
      </c>
      <c r="S118" s="517" t="str">
        <f>IFERROR(__xludf.DUMMYFUNCTION("""COMPUTED_VALUE"""),"No")</f>
        <v>No</v>
      </c>
      <c r="T118" s="517" t="str">
        <f>IFERROR(__xludf.DUMMYFUNCTION("""COMPUTED_VALUE"""),"Y")</f>
        <v>Y</v>
      </c>
      <c r="U118" s="517" t="str">
        <f>IFERROR(__xludf.DUMMYFUNCTION("""COMPUTED_VALUE"""),"Y")</f>
        <v>Y</v>
      </c>
      <c r="V118" s="517"/>
    </row>
    <row r="119">
      <c r="A119" s="445">
        <v>116.0</v>
      </c>
      <c r="B119" s="517" t="str">
        <f>IFERROR(__xludf.DUMMYFUNCTION("""COMPUTED_VALUE"""),"MP")</f>
        <v>MP</v>
      </c>
      <c r="C119" s="517">
        <f>IFERROR(__xludf.DUMMYFUNCTION("""COMPUTED_VALUE"""),116.0)</f>
        <v>116</v>
      </c>
      <c r="D119" s="517" t="str">
        <f>IFERROR(__xludf.DUMMYFUNCTION("""COMPUTED_VALUE""")," GK2MP")</f>
        <v> GK2MP</v>
      </c>
      <c r="E119" s="517" t="str">
        <f>IFERROR(__xludf.DUMMYFUNCTION("""COMPUTED_VALUE"""),"GA10775-GB")</f>
        <v>GA10775-GB</v>
      </c>
      <c r="F119" s="517" t="str">
        <f>IFERROR(__xludf.DUMMYFUNCTION("""COMPUTED_VALUE"""),"SKU, CLR1, GOOD, SUB6, UK/EU, DEMO, FL5")</f>
        <v>SKU, CLR1, GOOD, SUB6, UK/EU, DEMO, FL5</v>
      </c>
      <c r="G119" s="517" t="str">
        <f>IFERROR(__xludf.DUMMYFUNCTION("""COMPUTED_VALUE"""),"CLR1")</f>
        <v>CLR1</v>
      </c>
      <c r="H119" s="517" t="str">
        <f>IFERROR(__xludf.DUMMYFUNCTION("""COMPUTED_VALUE"""),"SUB6")</f>
        <v>SUB6</v>
      </c>
      <c r="I119" s="517" t="str">
        <f>IFERROR(__xludf.DUMMYFUNCTION("""COMPUTED_VALUE"""),"128GB")</f>
        <v>128GB</v>
      </c>
      <c r="J119" s="517" t="str">
        <f>IFERROR(__xludf.DUMMYFUNCTION("""COMPUTED_VALUE"""),"SKU, CLR1, GOOD, SUB6")</f>
        <v>SKU, CLR1, GOOD, SUB6</v>
      </c>
      <c r="K119" s="517" t="str">
        <f>IFERROR(__xludf.DUMMYFUNCTION("""COMPUTED_VALUE"""),"G950-15935-10")</f>
        <v>G950-15935-10</v>
      </c>
      <c r="L119" s="517" t="str">
        <f>IFERROR(__xludf.DUMMYFUNCTION("""COMPUTED_VALUE"""),"G710-07738-10")</f>
        <v>G710-07738-10</v>
      </c>
      <c r="M119" s="517" t="str">
        <f>IFERROR(__xludf.DUMMYFUNCTION("""COMPUTED_VALUE"""),"G710-07670-01")</f>
        <v>G710-07670-01</v>
      </c>
      <c r="N119" s="517" t="str">
        <f>IFERROR(__xludf.DUMMYFUNCTION("""COMPUTED_VALUE"""),"G730-09533-01")</f>
        <v>G730-09533-01</v>
      </c>
      <c r="O119" s="517" t="str">
        <f>IFERROR(__xludf.DUMMYFUNCTION("""COMPUTED_VALUE"""),"G710-07800-00")</f>
        <v>G710-07800-00</v>
      </c>
      <c r="P119" s="517" t="str">
        <f>IFERROR(__xludf.DUMMYFUNCTION("""COMPUTED_VALUE"""),"G650-14657-05")</f>
        <v>G650-14657-05</v>
      </c>
      <c r="Q119" s="517" t="str">
        <f>IFERROR(__xludf.DUMMYFUNCTION("""COMPUTED_VALUE"""),"G650-14694-05")</f>
        <v>G650-14694-05</v>
      </c>
      <c r="R119" s="517" t="str">
        <f>IFERROR(__xludf.DUMMYFUNCTION("""COMPUTED_VALUE"""),"G650-14850-03")</f>
        <v>G650-14850-03</v>
      </c>
      <c r="S119" s="517" t="str">
        <f>IFERROR(__xludf.DUMMYFUNCTION("""COMPUTED_VALUE"""),"Yes")</f>
        <v>Yes</v>
      </c>
      <c r="T119" s="517" t="str">
        <f>IFERROR(__xludf.DUMMYFUNCTION("""COMPUTED_VALUE"""),"Y")</f>
        <v>Y</v>
      </c>
      <c r="U119" s="517" t="str">
        <f>IFERROR(__xludf.DUMMYFUNCTION("""COMPUTED_VALUE"""),"Y")</f>
        <v>Y</v>
      </c>
      <c r="V119" s="517"/>
    </row>
    <row r="120">
      <c r="A120" s="445">
        <v>117.0</v>
      </c>
      <c r="B120" s="517" t="str">
        <f>IFERROR(__xludf.DUMMYFUNCTION("""COMPUTED_VALUE"""),"MP")</f>
        <v>MP</v>
      </c>
      <c r="C120" s="517">
        <f>IFERROR(__xludf.DUMMYFUNCTION("""COMPUTED_VALUE"""),117.0)</f>
        <v>117</v>
      </c>
      <c r="D120" s="517" t="str">
        <f>IFERROR(__xludf.DUMMYFUNCTION("""COMPUTED_VALUE""")," GK2MP")</f>
        <v> GK2MP</v>
      </c>
      <c r="E120" s="517" t="str">
        <f>IFERROR(__xludf.DUMMYFUNCTION("""COMPUTED_VALUE"""),"GA10776-GB")</f>
        <v>GA10776-GB</v>
      </c>
      <c r="F120" s="517" t="str">
        <f>IFERROR(__xludf.DUMMYFUNCTION("""COMPUTED_VALUE"""),"SKU, CLR4, GOOD, SUB6, EU/UK, DEMO, FL5")</f>
        <v>SKU, CLR4, GOOD, SUB6, EU/UK, DEMO, FL5</v>
      </c>
      <c r="G120" s="517" t="str">
        <f>IFERROR(__xludf.DUMMYFUNCTION("""COMPUTED_VALUE"""),"CLR4")</f>
        <v>CLR4</v>
      </c>
      <c r="H120" s="517" t="str">
        <f>IFERROR(__xludf.DUMMYFUNCTION("""COMPUTED_VALUE"""),"SUB6")</f>
        <v>SUB6</v>
      </c>
      <c r="I120" s="517" t="str">
        <f>IFERROR(__xludf.DUMMYFUNCTION("""COMPUTED_VALUE"""),"128GB")</f>
        <v>128GB</v>
      </c>
      <c r="J120" s="517" t="str">
        <f>IFERROR(__xludf.DUMMYFUNCTION("""COMPUTED_VALUE"""),"SKU, CLR4, GOOD, SUB6")</f>
        <v>SKU, CLR4, GOOD, SUB6</v>
      </c>
      <c r="K120" s="517" t="str">
        <f>IFERROR(__xludf.DUMMYFUNCTION("""COMPUTED_VALUE"""),"G950-15935-13")</f>
        <v>G950-15935-13</v>
      </c>
      <c r="L120" s="517" t="str">
        <f>IFERROR(__xludf.DUMMYFUNCTION("""COMPUTED_VALUE"""),"G710-07738-10")</f>
        <v>G710-07738-10</v>
      </c>
      <c r="M120" s="517" t="str">
        <f>IFERROR(__xludf.DUMMYFUNCTION("""COMPUTED_VALUE"""),"G710-07670-01")</f>
        <v>G710-07670-01</v>
      </c>
      <c r="N120" s="517" t="str">
        <f>IFERROR(__xludf.DUMMYFUNCTION("""COMPUTED_VALUE"""),"G730-09533-04")</f>
        <v>G730-09533-04</v>
      </c>
      <c r="O120" s="517" t="str">
        <f>IFERROR(__xludf.DUMMYFUNCTION("""COMPUTED_VALUE"""),"G710-07800-00")</f>
        <v>G710-07800-00</v>
      </c>
      <c r="P120" s="517" t="str">
        <f>IFERROR(__xludf.DUMMYFUNCTION("""COMPUTED_VALUE"""),"G650-14657-05")</f>
        <v>G650-14657-05</v>
      </c>
      <c r="Q120" s="517" t="str">
        <f>IFERROR(__xludf.DUMMYFUNCTION("""COMPUTED_VALUE"""),"G650-14694-05")</f>
        <v>G650-14694-05</v>
      </c>
      <c r="R120" s="517" t="str">
        <f>IFERROR(__xludf.DUMMYFUNCTION("""COMPUTED_VALUE"""),"G650-14850-03")</f>
        <v>G650-14850-03</v>
      </c>
      <c r="S120" s="517" t="str">
        <f>IFERROR(__xludf.DUMMYFUNCTION("""COMPUTED_VALUE"""),"Yes")</f>
        <v>Yes</v>
      </c>
      <c r="T120" s="517" t="str">
        <f>IFERROR(__xludf.DUMMYFUNCTION("""COMPUTED_VALUE"""),"Y")</f>
        <v>Y</v>
      </c>
      <c r="U120" s="517" t="str">
        <f>IFERROR(__xludf.DUMMYFUNCTION("""COMPUTED_VALUE"""),"Y")</f>
        <v>Y</v>
      </c>
      <c r="V120" s="517"/>
    </row>
    <row r="121">
      <c r="A121" s="445">
        <v>118.0</v>
      </c>
      <c r="B121" s="517" t="str">
        <f>IFERROR(__xludf.DUMMYFUNCTION("""COMPUTED_VALUE"""),"MP")</f>
        <v>MP</v>
      </c>
      <c r="C121" s="517">
        <f>IFERROR(__xludf.DUMMYFUNCTION("""COMPUTED_VALUE"""),118.0)</f>
        <v>118</v>
      </c>
      <c r="D121" s="517" t="str">
        <f>IFERROR(__xludf.DUMMYFUNCTION("""COMPUTED_VALUE""")," GK2MP")</f>
        <v> GK2MP</v>
      </c>
      <c r="E121" s="517" t="str">
        <f>IFERROR(__xludf.DUMMYFUNCTION("""COMPUTED_VALUE"""),"GA10777-IN")</f>
        <v>GA10777-IN</v>
      </c>
      <c r="F121" s="517" t="str">
        <f>IFERROR(__xludf.DUMMYFUNCTION("""COMPUTED_VALUE"""),"SKU, CLR1, BETTER, SUB6, IN, DEMO, FL5")</f>
        <v>SKU, CLR1, BETTER, SUB6, IN, DEMO, FL5</v>
      </c>
      <c r="G121" s="517" t="str">
        <f>IFERROR(__xludf.DUMMYFUNCTION("""COMPUTED_VALUE"""),"CLR1")</f>
        <v>CLR1</v>
      </c>
      <c r="H121" s="517" t="str">
        <f>IFERROR(__xludf.DUMMYFUNCTION("""COMPUTED_VALUE"""),"SUB6")</f>
        <v>SUB6</v>
      </c>
      <c r="I121" s="517" t="str">
        <f>IFERROR(__xludf.DUMMYFUNCTION("""COMPUTED_VALUE"""),"256GB")</f>
        <v>256GB</v>
      </c>
      <c r="J121" s="517" t="str">
        <f>IFERROR(__xludf.DUMMYFUNCTION("""COMPUTED_VALUE"""),"SKU, CLR1, BETTER, SUB6")</f>
        <v>SKU, CLR1, BETTER, SUB6</v>
      </c>
      <c r="K121" s="517" t="str">
        <f>IFERROR(__xludf.DUMMYFUNCTION("""COMPUTED_VALUE"""),"G950-15935-14")</f>
        <v>G950-15935-14</v>
      </c>
      <c r="L121" s="517" t="str">
        <f>IFERROR(__xludf.DUMMYFUNCTION("""COMPUTED_VALUE"""),"G710-07738-10")</f>
        <v>G710-07738-10</v>
      </c>
      <c r="M121" s="517" t="str">
        <f>IFERROR(__xludf.DUMMYFUNCTION("""COMPUTED_VALUE"""),"G710-07670-01")</f>
        <v>G710-07670-01</v>
      </c>
      <c r="N121" s="517" t="str">
        <f>IFERROR(__xludf.DUMMYFUNCTION("""COMPUTED_VALUE"""),"G730-09533-01")</f>
        <v>G730-09533-01</v>
      </c>
      <c r="O121" s="517" t="str">
        <f>IFERROR(__xludf.DUMMYFUNCTION("""COMPUTED_VALUE"""),"G710-07800-10")</f>
        <v>G710-07800-10</v>
      </c>
      <c r="P121" s="517" t="str">
        <f>IFERROR(__xludf.DUMMYFUNCTION("""COMPUTED_VALUE"""),"G650-17428-05")</f>
        <v>G650-17428-05</v>
      </c>
      <c r="Q121" s="517" t="str">
        <f>IFERROR(__xludf.DUMMYFUNCTION("""COMPUTED_VALUE"""),"G650-14694-06")</f>
        <v>G650-14694-06</v>
      </c>
      <c r="R121" s="517" t="str">
        <f>IFERROR(__xludf.DUMMYFUNCTION("""COMPUTED_VALUE"""),"G650-14850-04")</f>
        <v>G650-14850-04</v>
      </c>
      <c r="S121" s="517" t="str">
        <f>IFERROR(__xludf.DUMMYFUNCTION("""COMPUTED_VALUE"""),"No but has COO")</f>
        <v>No but has COO</v>
      </c>
      <c r="T121" s="517" t="str">
        <f>IFERROR(__xludf.DUMMYFUNCTION("""COMPUTED_VALUE"""),"Y")</f>
        <v>Y</v>
      </c>
      <c r="U121" s="517" t="str">
        <f>IFERROR(__xludf.DUMMYFUNCTION("""COMPUTED_VALUE"""),"Y")</f>
        <v>Y</v>
      </c>
      <c r="V121" s="517"/>
    </row>
    <row r="122">
      <c r="A122" s="445">
        <v>119.0</v>
      </c>
      <c r="B122" s="517" t="str">
        <f>IFERROR(__xludf.DUMMYFUNCTION("""COMPUTED_VALUE"""),"MP")</f>
        <v>MP</v>
      </c>
      <c r="C122" s="517">
        <f>IFERROR(__xludf.DUMMYFUNCTION("""COMPUTED_VALUE"""),119.0)</f>
        <v>119</v>
      </c>
      <c r="D122" s="517" t="str">
        <f>IFERROR(__xludf.DUMMYFUNCTION("""COMPUTED_VALUE""")," GK2MP")</f>
        <v> GK2MP</v>
      </c>
      <c r="E122" s="517" t="str">
        <f>IFERROR(__xludf.DUMMYFUNCTION("""COMPUTED_VALUE"""),"GA10778-IN")</f>
        <v>GA10778-IN</v>
      </c>
      <c r="F122" s="517" t="str">
        <f>IFERROR(__xludf.DUMMYFUNCTION("""COMPUTED_VALUE"""),"SKU, CLR4, BETTER, SUB6, IN, DEMO, FL5")</f>
        <v>SKU, CLR4, BETTER, SUB6, IN, DEMO, FL5</v>
      </c>
      <c r="G122" s="517" t="str">
        <f>IFERROR(__xludf.DUMMYFUNCTION("""COMPUTED_VALUE"""),"CLR4")</f>
        <v>CLR4</v>
      </c>
      <c r="H122" s="517" t="str">
        <f>IFERROR(__xludf.DUMMYFUNCTION("""COMPUTED_VALUE"""),"SUB6")</f>
        <v>SUB6</v>
      </c>
      <c r="I122" s="517" t="str">
        <f>IFERROR(__xludf.DUMMYFUNCTION("""COMPUTED_VALUE"""),"256GB")</f>
        <v>256GB</v>
      </c>
      <c r="J122" s="517" t="str">
        <f>IFERROR(__xludf.DUMMYFUNCTION("""COMPUTED_VALUE"""),"SKU, CLR4, BETTER, SUB6")</f>
        <v>SKU, CLR4, BETTER, SUB6</v>
      </c>
      <c r="K122" s="517" t="str">
        <f>IFERROR(__xludf.DUMMYFUNCTION("""COMPUTED_VALUE"""),"G950-15935-17")</f>
        <v>G950-15935-17</v>
      </c>
      <c r="L122" s="517" t="str">
        <f>IFERROR(__xludf.DUMMYFUNCTION("""COMPUTED_VALUE"""),"G710-07738-10")</f>
        <v>G710-07738-10</v>
      </c>
      <c r="M122" s="517" t="str">
        <f>IFERROR(__xludf.DUMMYFUNCTION("""COMPUTED_VALUE"""),"G710-07670-01")</f>
        <v>G710-07670-01</v>
      </c>
      <c r="N122" s="517" t="str">
        <f>IFERROR(__xludf.DUMMYFUNCTION("""COMPUTED_VALUE"""),"G730-09533-04")</f>
        <v>G730-09533-04</v>
      </c>
      <c r="O122" s="517" t="str">
        <f>IFERROR(__xludf.DUMMYFUNCTION("""COMPUTED_VALUE"""),"G710-07800-10")</f>
        <v>G710-07800-10</v>
      </c>
      <c r="P122" s="517" t="str">
        <f>IFERROR(__xludf.DUMMYFUNCTION("""COMPUTED_VALUE"""),"G650-17428-05")</f>
        <v>G650-17428-05</v>
      </c>
      <c r="Q122" s="517" t="str">
        <f>IFERROR(__xludf.DUMMYFUNCTION("""COMPUTED_VALUE"""),"G650-14694-07")</f>
        <v>G650-14694-07</v>
      </c>
      <c r="R122" s="517" t="str">
        <f>IFERROR(__xludf.DUMMYFUNCTION("""COMPUTED_VALUE"""),"G650-14850-05")</f>
        <v>G650-14850-05</v>
      </c>
      <c r="S122" s="517" t="str">
        <f>IFERROR(__xludf.DUMMYFUNCTION("""COMPUTED_VALUE"""),"No but has COO")</f>
        <v>No but has COO</v>
      </c>
      <c r="T122" s="517" t="str">
        <f>IFERROR(__xludf.DUMMYFUNCTION("""COMPUTED_VALUE"""),"Y")</f>
        <v>Y</v>
      </c>
      <c r="U122" s="517" t="str">
        <f>IFERROR(__xludf.DUMMYFUNCTION("""COMPUTED_VALUE"""),"Y")</f>
        <v>Y</v>
      </c>
      <c r="V122" s="517"/>
    </row>
    <row r="123">
      <c r="A123" s="445">
        <v>120.0</v>
      </c>
      <c r="B123" s="517"/>
      <c r="C123" s="517"/>
      <c r="D123" s="517"/>
      <c r="E123" s="517"/>
      <c r="F123" s="517"/>
      <c r="G123" s="517"/>
      <c r="H123" s="517"/>
      <c r="I123" s="517"/>
      <c r="J123" s="517"/>
      <c r="K123" s="517"/>
      <c r="L123" s="517"/>
      <c r="M123" s="517"/>
      <c r="N123" s="517"/>
      <c r="O123" s="517"/>
      <c r="P123" s="517"/>
      <c r="Q123" s="517"/>
      <c r="R123" s="517"/>
      <c r="S123" s="517"/>
      <c r="T123" s="517"/>
      <c r="U123" s="517"/>
      <c r="V123" s="517"/>
    </row>
    <row r="124">
      <c r="A124" s="445">
        <v>121.0</v>
      </c>
      <c r="B124" s="517"/>
      <c r="C124" s="517"/>
      <c r="D124" s="517"/>
      <c r="E124" s="517"/>
      <c r="F124" s="517"/>
      <c r="G124" s="517"/>
      <c r="H124" s="517"/>
      <c r="I124" s="517"/>
      <c r="J124" s="517"/>
      <c r="K124" s="517"/>
      <c r="L124" s="517"/>
      <c r="M124" s="517"/>
      <c r="N124" s="517"/>
      <c r="O124" s="517"/>
      <c r="P124" s="517"/>
      <c r="Q124" s="517"/>
      <c r="R124" s="517"/>
      <c r="S124" s="517"/>
      <c r="T124" s="517"/>
      <c r="U124" s="517"/>
      <c r="V124" s="517"/>
    </row>
    <row r="125">
      <c r="A125" s="445">
        <v>122.0</v>
      </c>
      <c r="B125" s="517"/>
      <c r="C125" s="517"/>
      <c r="D125" s="517"/>
      <c r="E125" s="517"/>
      <c r="F125" s="517"/>
      <c r="G125" s="517"/>
      <c r="H125" s="517"/>
      <c r="I125" s="517"/>
      <c r="J125" s="517"/>
      <c r="K125" s="517"/>
      <c r="L125" s="517"/>
      <c r="M125" s="517"/>
      <c r="N125" s="517"/>
      <c r="O125" s="517"/>
      <c r="P125" s="517"/>
      <c r="Q125" s="517"/>
      <c r="R125" s="517"/>
      <c r="S125" s="517"/>
      <c r="T125" s="517"/>
      <c r="U125" s="517"/>
      <c r="V125" s="517"/>
    </row>
    <row r="126">
      <c r="A126" s="445">
        <v>123.0</v>
      </c>
      <c r="B126" s="517"/>
      <c r="C126" s="517"/>
      <c r="D126" s="517"/>
      <c r="E126" s="517"/>
      <c r="F126" s="517"/>
      <c r="G126" s="517"/>
      <c r="H126" s="517"/>
      <c r="I126" s="517"/>
      <c r="J126" s="517"/>
      <c r="K126" s="517"/>
      <c r="L126" s="517"/>
      <c r="M126" s="517"/>
      <c r="N126" s="517"/>
      <c r="O126" s="517"/>
      <c r="P126" s="517"/>
      <c r="Q126" s="517"/>
      <c r="R126" s="517"/>
      <c r="S126" s="517"/>
      <c r="T126" s="517"/>
      <c r="U126" s="517"/>
      <c r="V126" s="517"/>
    </row>
    <row r="127">
      <c r="A127" s="445">
        <v>124.0</v>
      </c>
      <c r="B127" s="517"/>
      <c r="C127" s="517"/>
      <c r="D127" s="517"/>
      <c r="E127" s="517"/>
      <c r="F127" s="517"/>
      <c r="G127" s="517"/>
      <c r="H127" s="517"/>
      <c r="I127" s="517"/>
      <c r="J127" s="517"/>
      <c r="K127" s="517"/>
      <c r="L127" s="517"/>
      <c r="M127" s="517"/>
      <c r="N127" s="517"/>
      <c r="O127" s="517"/>
      <c r="P127" s="517"/>
      <c r="Q127" s="517"/>
      <c r="R127" s="517"/>
      <c r="S127" s="517"/>
      <c r="T127" s="517"/>
      <c r="U127" s="517"/>
      <c r="V127" s="517"/>
    </row>
    <row r="128">
      <c r="A128" s="445">
        <v>125.0</v>
      </c>
      <c r="B128" s="517"/>
      <c r="C128" s="517"/>
      <c r="D128" s="517"/>
      <c r="E128" s="517"/>
      <c r="F128" s="517"/>
      <c r="G128" s="517"/>
      <c r="H128" s="517"/>
      <c r="I128" s="517"/>
      <c r="J128" s="517"/>
      <c r="K128" s="517"/>
      <c r="L128" s="517"/>
      <c r="M128" s="517"/>
      <c r="N128" s="517"/>
      <c r="O128" s="517"/>
      <c r="P128" s="517"/>
      <c r="Q128" s="517"/>
      <c r="R128" s="517"/>
      <c r="S128" s="517"/>
      <c r="T128" s="517"/>
      <c r="U128" s="517"/>
      <c r="V128" s="517"/>
    </row>
    <row r="129">
      <c r="A129" s="445">
        <v>126.0</v>
      </c>
      <c r="B129" s="517"/>
      <c r="C129" s="517"/>
      <c r="D129" s="517"/>
      <c r="E129" s="517"/>
      <c r="F129" s="517"/>
      <c r="G129" s="517"/>
      <c r="H129" s="517"/>
      <c r="I129" s="517"/>
      <c r="J129" s="517"/>
      <c r="K129" s="517"/>
      <c r="L129" s="517"/>
      <c r="M129" s="517"/>
      <c r="N129" s="517"/>
      <c r="O129" s="517"/>
      <c r="P129" s="517"/>
      <c r="Q129" s="517"/>
      <c r="R129" s="517"/>
      <c r="S129" s="517"/>
      <c r="T129" s="517"/>
      <c r="U129" s="517"/>
      <c r="V129" s="517"/>
    </row>
    <row r="130">
      <c r="B130" s="517"/>
      <c r="C130" s="517"/>
      <c r="D130" s="517"/>
      <c r="E130" s="517"/>
      <c r="F130" s="517"/>
      <c r="G130" s="517"/>
      <c r="H130" s="517"/>
      <c r="I130" s="517"/>
      <c r="J130" s="517"/>
      <c r="K130" s="517"/>
      <c r="L130" s="517"/>
      <c r="M130" s="517"/>
      <c r="N130" s="517"/>
      <c r="O130" s="517"/>
      <c r="P130" s="517"/>
      <c r="Q130" s="517"/>
      <c r="R130" s="517"/>
      <c r="S130" s="517"/>
      <c r="T130" s="517"/>
      <c r="U130" s="517"/>
      <c r="V130" s="517"/>
    </row>
    <row r="131">
      <c r="B131" s="517"/>
      <c r="C131" s="517"/>
      <c r="D131" s="517"/>
      <c r="E131" s="517"/>
      <c r="F131" s="517"/>
      <c r="G131" s="517"/>
      <c r="H131" s="517"/>
      <c r="I131" s="517"/>
      <c r="J131" s="517"/>
      <c r="K131" s="517"/>
      <c r="L131" s="517"/>
      <c r="M131" s="517"/>
      <c r="N131" s="517"/>
      <c r="O131" s="517"/>
      <c r="P131" s="517"/>
      <c r="Q131" s="517"/>
      <c r="R131" s="517"/>
      <c r="S131" s="517"/>
      <c r="T131" s="517"/>
      <c r="U131" s="517"/>
      <c r="V131" s="517"/>
    </row>
    <row r="132">
      <c r="B132" s="517"/>
      <c r="C132" s="517"/>
      <c r="D132" s="517"/>
      <c r="E132" s="517"/>
      <c r="F132" s="517"/>
      <c r="G132" s="517"/>
      <c r="H132" s="517"/>
      <c r="I132" s="517"/>
      <c r="J132" s="517"/>
      <c r="K132" s="517"/>
      <c r="L132" s="517"/>
      <c r="M132" s="517"/>
      <c r="N132" s="517"/>
      <c r="O132" s="517"/>
      <c r="P132" s="517"/>
      <c r="Q132" s="517"/>
      <c r="R132" s="517"/>
      <c r="S132" s="517"/>
      <c r="T132" s="517"/>
      <c r="U132" s="517"/>
      <c r="V132" s="517"/>
    </row>
    <row r="133">
      <c r="B133" s="517"/>
      <c r="C133" s="517"/>
      <c r="D133" s="517"/>
      <c r="E133" s="517"/>
      <c r="F133" s="517"/>
      <c r="G133" s="517"/>
      <c r="H133" s="517"/>
      <c r="I133" s="517"/>
      <c r="J133" s="517"/>
      <c r="K133" s="517"/>
      <c r="L133" s="517"/>
      <c r="M133" s="517"/>
      <c r="N133" s="517"/>
      <c r="O133" s="517"/>
      <c r="P133" s="517"/>
      <c r="Q133" s="517"/>
      <c r="R133" s="517"/>
      <c r="S133" s="517"/>
      <c r="T133" s="517"/>
      <c r="U133" s="517"/>
      <c r="V133" s="517"/>
    </row>
    <row r="134">
      <c r="B134" s="517"/>
      <c r="C134" s="517"/>
      <c r="D134" s="517"/>
      <c r="E134" s="517"/>
      <c r="F134" s="517"/>
      <c r="G134" s="517"/>
      <c r="H134" s="517"/>
      <c r="I134" s="517"/>
      <c r="J134" s="517"/>
      <c r="K134" s="517"/>
      <c r="L134" s="517"/>
      <c r="M134" s="517"/>
      <c r="N134" s="517"/>
      <c r="O134" s="517"/>
      <c r="P134" s="517"/>
      <c r="Q134" s="517"/>
      <c r="R134" s="517"/>
      <c r="S134" s="517"/>
      <c r="T134" s="517"/>
      <c r="U134" s="517"/>
      <c r="V134" s="517"/>
    </row>
    <row r="135">
      <c r="B135" s="517"/>
      <c r="C135" s="517"/>
      <c r="D135" s="517"/>
      <c r="E135" s="517"/>
      <c r="F135" s="517"/>
      <c r="G135" s="517"/>
      <c r="H135" s="517"/>
      <c r="I135" s="517"/>
      <c r="J135" s="517"/>
      <c r="K135" s="517"/>
      <c r="L135" s="517"/>
      <c r="M135" s="517"/>
      <c r="N135" s="517"/>
      <c r="O135" s="517"/>
      <c r="P135" s="517"/>
      <c r="Q135" s="517"/>
      <c r="R135" s="517"/>
      <c r="S135" s="517"/>
      <c r="T135" s="517"/>
      <c r="U135" s="517"/>
      <c r="V135" s="517"/>
    </row>
    <row r="136">
      <c r="B136" s="517"/>
      <c r="C136" s="517"/>
      <c r="D136" s="517"/>
      <c r="E136" s="517"/>
      <c r="F136" s="517"/>
      <c r="G136" s="517"/>
      <c r="H136" s="517"/>
      <c r="I136" s="517"/>
      <c r="J136" s="517"/>
      <c r="K136" s="517"/>
      <c r="L136" s="517"/>
      <c r="M136" s="517"/>
      <c r="N136" s="517"/>
      <c r="O136" s="517"/>
      <c r="P136" s="517"/>
      <c r="Q136" s="517"/>
      <c r="R136" s="517"/>
      <c r="S136" s="517"/>
      <c r="T136" s="517"/>
      <c r="U136" s="517"/>
      <c r="V136" s="517"/>
    </row>
    <row r="137">
      <c r="B137" s="517"/>
      <c r="C137" s="517"/>
      <c r="D137" s="517"/>
      <c r="E137" s="517"/>
      <c r="F137" s="517"/>
      <c r="G137" s="517"/>
      <c r="H137" s="517"/>
      <c r="I137" s="517"/>
      <c r="J137" s="517"/>
      <c r="K137" s="517"/>
      <c r="L137" s="517"/>
      <c r="M137" s="517"/>
      <c r="N137" s="517"/>
      <c r="O137" s="517"/>
      <c r="P137" s="517"/>
      <c r="Q137" s="517"/>
      <c r="R137" s="517"/>
      <c r="S137" s="517"/>
      <c r="T137" s="517"/>
      <c r="U137" s="517"/>
      <c r="V137" s="517"/>
    </row>
    <row r="138">
      <c r="B138" s="517"/>
      <c r="C138" s="517"/>
      <c r="D138" s="517"/>
      <c r="E138" s="517"/>
      <c r="F138" s="517"/>
      <c r="G138" s="517"/>
      <c r="H138" s="517"/>
      <c r="I138" s="517"/>
      <c r="J138" s="517"/>
      <c r="K138" s="517"/>
      <c r="L138" s="517"/>
      <c r="M138" s="517"/>
      <c r="N138" s="517"/>
      <c r="O138" s="517"/>
      <c r="P138" s="517"/>
      <c r="Q138" s="517"/>
      <c r="R138" s="517"/>
      <c r="S138" s="517"/>
      <c r="T138" s="517"/>
      <c r="U138" s="517"/>
      <c r="V138" s="517"/>
    </row>
    <row r="139">
      <c r="B139" s="517"/>
      <c r="C139" s="517"/>
      <c r="D139" s="517"/>
      <c r="E139" s="517"/>
      <c r="F139" s="517"/>
      <c r="G139" s="517"/>
      <c r="H139" s="517"/>
      <c r="I139" s="517"/>
      <c r="J139" s="517"/>
      <c r="K139" s="517"/>
      <c r="L139" s="517"/>
      <c r="M139" s="517"/>
      <c r="N139" s="517"/>
      <c r="O139" s="517"/>
      <c r="P139" s="517"/>
      <c r="Q139" s="517"/>
      <c r="R139" s="517"/>
      <c r="S139" s="517"/>
      <c r="T139" s="517"/>
      <c r="U139" s="517"/>
      <c r="V139" s="517"/>
    </row>
    <row r="140">
      <c r="B140" s="517"/>
      <c r="C140" s="517"/>
      <c r="D140" s="517"/>
      <c r="E140" s="517"/>
      <c r="F140" s="517"/>
      <c r="G140" s="517"/>
      <c r="H140" s="517"/>
      <c r="I140" s="517"/>
      <c r="J140" s="517"/>
      <c r="K140" s="517"/>
      <c r="L140" s="517"/>
      <c r="M140" s="517"/>
      <c r="N140" s="517"/>
      <c r="O140" s="517"/>
      <c r="P140" s="517"/>
      <c r="Q140" s="517"/>
      <c r="R140" s="517"/>
      <c r="S140" s="517"/>
      <c r="T140" s="517"/>
      <c r="U140" s="517"/>
      <c r="V140" s="517"/>
    </row>
    <row r="141">
      <c r="B141" s="517"/>
      <c r="C141" s="517"/>
      <c r="D141" s="517"/>
      <c r="E141" s="517"/>
      <c r="F141" s="517"/>
      <c r="G141" s="517"/>
      <c r="H141" s="517"/>
      <c r="I141" s="517"/>
      <c r="J141" s="517"/>
      <c r="K141" s="517"/>
      <c r="L141" s="517"/>
      <c r="M141" s="517"/>
      <c r="N141" s="517"/>
      <c r="O141" s="517"/>
      <c r="P141" s="517"/>
      <c r="Q141" s="517"/>
      <c r="R141" s="517"/>
      <c r="S141" s="517"/>
      <c r="T141" s="517"/>
      <c r="U141" s="517"/>
      <c r="V141" s="517"/>
    </row>
    <row r="142">
      <c r="B142" s="517"/>
      <c r="C142" s="517"/>
      <c r="D142" s="517"/>
      <c r="E142" s="517"/>
      <c r="F142" s="517"/>
      <c r="G142" s="517"/>
      <c r="H142" s="517"/>
      <c r="I142" s="517"/>
      <c r="J142" s="517"/>
      <c r="K142" s="517"/>
      <c r="L142" s="517"/>
      <c r="M142" s="517"/>
      <c r="N142" s="517"/>
      <c r="O142" s="517"/>
      <c r="P142" s="517"/>
      <c r="Q142" s="517"/>
      <c r="R142" s="517"/>
      <c r="S142" s="517"/>
      <c r="T142" s="517"/>
      <c r="U142" s="517"/>
      <c r="V142" s="517"/>
    </row>
    <row r="143">
      <c r="B143" s="517"/>
      <c r="C143" s="517"/>
      <c r="D143" s="517"/>
      <c r="E143" s="517"/>
      <c r="F143" s="517"/>
      <c r="G143" s="517"/>
      <c r="H143" s="517"/>
      <c r="I143" s="517"/>
      <c r="J143" s="517"/>
      <c r="K143" s="517"/>
      <c r="L143" s="517"/>
      <c r="M143" s="517"/>
      <c r="N143" s="517"/>
      <c r="O143" s="517"/>
      <c r="P143" s="517"/>
      <c r="Q143" s="517"/>
      <c r="R143" s="517"/>
      <c r="S143" s="517"/>
      <c r="T143" s="517"/>
      <c r="U143" s="517"/>
      <c r="V143" s="517"/>
    </row>
    <row r="144">
      <c r="B144" s="517"/>
      <c r="C144" s="517"/>
      <c r="D144" s="517"/>
      <c r="E144" s="517"/>
      <c r="F144" s="517"/>
      <c r="G144" s="517"/>
      <c r="H144" s="517"/>
      <c r="I144" s="517"/>
      <c r="J144" s="517"/>
      <c r="K144" s="517"/>
      <c r="L144" s="517"/>
      <c r="M144" s="517"/>
      <c r="N144" s="517"/>
      <c r="O144" s="517"/>
      <c r="P144" s="517"/>
      <c r="Q144" s="517"/>
      <c r="R144" s="517"/>
      <c r="S144" s="517"/>
      <c r="T144" s="517"/>
      <c r="U144" s="517"/>
      <c r="V144" s="517"/>
    </row>
    <row r="145">
      <c r="B145" s="517"/>
      <c r="C145" s="517"/>
      <c r="D145" s="517"/>
      <c r="E145" s="517"/>
      <c r="F145" s="517"/>
      <c r="G145" s="517"/>
      <c r="H145" s="517"/>
      <c r="I145" s="517"/>
      <c r="J145" s="517"/>
      <c r="K145" s="517"/>
      <c r="L145" s="517"/>
      <c r="M145" s="517"/>
      <c r="N145" s="517"/>
      <c r="O145" s="517"/>
      <c r="P145" s="517"/>
      <c r="Q145" s="517"/>
      <c r="R145" s="517"/>
      <c r="S145" s="517"/>
      <c r="T145" s="517"/>
      <c r="U145" s="517"/>
      <c r="V145" s="517"/>
    </row>
    <row r="146">
      <c r="B146" s="517"/>
      <c r="C146" s="517"/>
      <c r="D146" s="517"/>
      <c r="E146" s="517"/>
      <c r="F146" s="517"/>
      <c r="G146" s="517"/>
      <c r="H146" s="517"/>
      <c r="I146" s="517"/>
      <c r="J146" s="517"/>
      <c r="K146" s="517"/>
      <c r="L146" s="517"/>
      <c r="M146" s="517"/>
      <c r="N146" s="517"/>
      <c r="O146" s="517"/>
      <c r="P146" s="517"/>
      <c r="Q146" s="517"/>
      <c r="R146" s="517"/>
      <c r="S146" s="517"/>
      <c r="T146" s="517"/>
      <c r="U146" s="517"/>
      <c r="V146" s="517"/>
    </row>
    <row r="147">
      <c r="B147" s="517"/>
      <c r="C147" s="517"/>
      <c r="D147" s="517"/>
      <c r="E147" s="517"/>
      <c r="F147" s="517"/>
      <c r="G147" s="517"/>
      <c r="H147" s="517"/>
      <c r="I147" s="517"/>
      <c r="J147" s="517"/>
      <c r="K147" s="517"/>
      <c r="L147" s="517"/>
      <c r="M147" s="517"/>
      <c r="N147" s="517"/>
      <c r="O147" s="517"/>
      <c r="P147" s="517"/>
      <c r="Q147" s="517"/>
      <c r="R147" s="517"/>
      <c r="S147" s="517"/>
      <c r="T147" s="517"/>
      <c r="U147" s="517"/>
      <c r="V147" s="517"/>
    </row>
    <row r="148">
      <c r="B148" s="517"/>
      <c r="C148" s="517"/>
      <c r="D148" s="517"/>
      <c r="E148" s="517"/>
      <c r="F148" s="517"/>
      <c r="G148" s="517"/>
      <c r="H148" s="517"/>
      <c r="I148" s="517"/>
      <c r="J148" s="517"/>
      <c r="K148" s="517"/>
      <c r="L148" s="517"/>
      <c r="M148" s="517"/>
      <c r="N148" s="517"/>
      <c r="O148" s="517"/>
      <c r="P148" s="517"/>
      <c r="Q148" s="517"/>
      <c r="R148" s="517"/>
      <c r="S148" s="517"/>
      <c r="T148" s="517"/>
      <c r="U148" s="517"/>
      <c r="V148" s="517"/>
    </row>
    <row r="149">
      <c r="B149" s="517"/>
      <c r="C149" s="517"/>
      <c r="D149" s="517"/>
      <c r="E149" s="517"/>
      <c r="F149" s="517"/>
      <c r="G149" s="517"/>
      <c r="H149" s="517"/>
      <c r="I149" s="517"/>
      <c r="J149" s="517"/>
      <c r="K149" s="517"/>
      <c r="L149" s="517"/>
      <c r="M149" s="517"/>
      <c r="N149" s="517"/>
      <c r="O149" s="517"/>
      <c r="P149" s="517"/>
      <c r="Q149" s="517"/>
      <c r="R149" s="517"/>
      <c r="S149" s="517"/>
      <c r="T149" s="517"/>
      <c r="U149" s="517"/>
      <c r="V149" s="517"/>
    </row>
    <row r="150">
      <c r="B150" s="517"/>
      <c r="C150" s="517"/>
      <c r="D150" s="517"/>
      <c r="E150" s="517"/>
      <c r="F150" s="517"/>
      <c r="G150" s="517"/>
      <c r="H150" s="517"/>
      <c r="I150" s="517"/>
      <c r="J150" s="517"/>
      <c r="K150" s="517"/>
      <c r="L150" s="517"/>
      <c r="M150" s="517"/>
      <c r="N150" s="517"/>
      <c r="O150" s="517"/>
      <c r="P150" s="517"/>
      <c r="Q150" s="517"/>
      <c r="R150" s="517"/>
      <c r="S150" s="517"/>
      <c r="T150" s="517"/>
      <c r="U150" s="517"/>
      <c r="V150" s="517"/>
    </row>
    <row r="151">
      <c r="B151" s="517"/>
      <c r="C151" s="517"/>
      <c r="D151" s="517"/>
      <c r="E151" s="517"/>
      <c r="F151" s="517"/>
      <c r="G151" s="517"/>
      <c r="H151" s="517"/>
      <c r="I151" s="517"/>
      <c r="J151" s="517"/>
      <c r="K151" s="517"/>
      <c r="L151" s="517"/>
      <c r="M151" s="517"/>
      <c r="N151" s="517"/>
      <c r="O151" s="517"/>
      <c r="P151" s="517"/>
      <c r="Q151" s="517"/>
      <c r="R151" s="517"/>
      <c r="S151" s="517"/>
      <c r="T151" s="517"/>
      <c r="U151" s="517"/>
      <c r="V151" s="517"/>
    </row>
    <row r="152">
      <c r="B152" s="517"/>
      <c r="C152" s="517"/>
      <c r="D152" s="517"/>
      <c r="E152" s="517"/>
      <c r="F152" s="517"/>
      <c r="G152" s="517"/>
      <c r="H152" s="517"/>
      <c r="I152" s="517"/>
      <c r="J152" s="517"/>
      <c r="K152" s="517"/>
      <c r="L152" s="517"/>
      <c r="M152" s="517"/>
      <c r="N152" s="517"/>
      <c r="O152" s="517"/>
      <c r="P152" s="517"/>
      <c r="Q152" s="517"/>
      <c r="R152" s="517"/>
      <c r="S152" s="517"/>
      <c r="T152" s="517"/>
      <c r="U152" s="517"/>
      <c r="V152" s="517"/>
    </row>
    <row r="153">
      <c r="B153" s="517"/>
      <c r="C153" s="517"/>
      <c r="D153" s="517"/>
      <c r="E153" s="517"/>
      <c r="F153" s="517"/>
      <c r="G153" s="517"/>
      <c r="H153" s="517"/>
      <c r="I153" s="517"/>
      <c r="J153" s="517"/>
      <c r="K153" s="517"/>
      <c r="L153" s="517"/>
      <c r="M153" s="517"/>
      <c r="N153" s="517"/>
      <c r="O153" s="517"/>
      <c r="P153" s="517"/>
      <c r="Q153" s="517"/>
      <c r="R153" s="517"/>
      <c r="S153" s="517"/>
      <c r="T153" s="517"/>
      <c r="U153" s="517"/>
      <c r="V153" s="517"/>
    </row>
    <row r="154">
      <c r="B154" s="517"/>
      <c r="C154" s="517"/>
      <c r="D154" s="517"/>
      <c r="E154" s="517"/>
      <c r="F154" s="517"/>
      <c r="G154" s="517"/>
      <c r="H154" s="517"/>
      <c r="I154" s="517"/>
      <c r="J154" s="517"/>
      <c r="K154" s="517"/>
      <c r="L154" s="517"/>
      <c r="M154" s="517"/>
      <c r="N154" s="517"/>
      <c r="O154" s="517"/>
      <c r="P154" s="517"/>
      <c r="Q154" s="517"/>
      <c r="R154" s="517"/>
      <c r="S154" s="517"/>
      <c r="T154" s="517"/>
      <c r="U154" s="517"/>
      <c r="V154" s="517"/>
    </row>
    <row r="155">
      <c r="B155" s="517"/>
      <c r="C155" s="517"/>
      <c r="D155" s="517"/>
      <c r="E155" s="517"/>
      <c r="F155" s="517"/>
      <c r="G155" s="517"/>
      <c r="H155" s="517"/>
      <c r="I155" s="517"/>
      <c r="J155" s="517"/>
      <c r="K155" s="517"/>
      <c r="L155" s="517"/>
      <c r="M155" s="517"/>
      <c r="N155" s="517"/>
      <c r="O155" s="517"/>
      <c r="P155" s="517"/>
      <c r="Q155" s="517"/>
      <c r="R155" s="517"/>
      <c r="S155" s="517"/>
      <c r="T155" s="517"/>
      <c r="U155" s="517"/>
      <c r="V155" s="517"/>
    </row>
    <row r="156">
      <c r="B156" s="517"/>
      <c r="C156" s="517"/>
      <c r="D156" s="517"/>
      <c r="E156" s="517"/>
      <c r="F156" s="517"/>
      <c r="G156" s="517"/>
      <c r="H156" s="517"/>
      <c r="I156" s="517"/>
      <c r="J156" s="517"/>
      <c r="K156" s="517"/>
      <c r="L156" s="517"/>
      <c r="M156" s="517"/>
      <c r="N156" s="517"/>
      <c r="O156" s="517"/>
      <c r="P156" s="517"/>
      <c r="Q156" s="517"/>
      <c r="R156" s="517"/>
      <c r="S156" s="517"/>
      <c r="T156" s="517"/>
      <c r="U156" s="517"/>
      <c r="V156" s="517"/>
    </row>
    <row r="157">
      <c r="B157" s="517"/>
      <c r="C157" s="517"/>
      <c r="D157" s="517"/>
      <c r="E157" s="517"/>
      <c r="F157" s="517"/>
      <c r="G157" s="517"/>
      <c r="H157" s="517"/>
      <c r="I157" s="517"/>
      <c r="J157" s="517"/>
      <c r="K157" s="517"/>
      <c r="L157" s="517"/>
      <c r="M157" s="517"/>
      <c r="N157" s="517"/>
      <c r="O157" s="517"/>
      <c r="P157" s="517"/>
      <c r="Q157" s="517"/>
      <c r="R157" s="517"/>
      <c r="S157" s="517"/>
      <c r="T157" s="517"/>
      <c r="U157" s="517"/>
      <c r="V157" s="517"/>
    </row>
    <row r="158">
      <c r="B158" s="517"/>
      <c r="C158" s="517"/>
      <c r="D158" s="517"/>
      <c r="E158" s="517"/>
      <c r="F158" s="517"/>
      <c r="G158" s="517"/>
      <c r="H158" s="517"/>
      <c r="I158" s="517"/>
      <c r="J158" s="517"/>
      <c r="K158" s="517"/>
      <c r="L158" s="517"/>
      <c r="M158" s="517"/>
      <c r="N158" s="517"/>
      <c r="O158" s="517"/>
      <c r="P158" s="517"/>
      <c r="Q158" s="517"/>
      <c r="R158" s="517"/>
      <c r="S158" s="517"/>
      <c r="T158" s="517"/>
      <c r="U158" s="517"/>
      <c r="V158" s="517"/>
    </row>
    <row r="159">
      <c r="B159" s="517"/>
      <c r="C159" s="517"/>
      <c r="D159" s="517"/>
      <c r="E159" s="517"/>
      <c r="F159" s="517"/>
      <c r="G159" s="517"/>
      <c r="H159" s="517"/>
      <c r="I159" s="517"/>
      <c r="J159" s="517"/>
      <c r="K159" s="517"/>
      <c r="L159" s="517"/>
      <c r="M159" s="517"/>
      <c r="N159" s="517"/>
      <c r="O159" s="517"/>
      <c r="P159" s="517"/>
      <c r="Q159" s="517"/>
      <c r="R159" s="517"/>
      <c r="S159" s="517"/>
      <c r="T159" s="517"/>
      <c r="U159" s="517"/>
      <c r="V159" s="517"/>
    </row>
    <row r="160">
      <c r="B160" s="517"/>
      <c r="C160" s="517"/>
      <c r="D160" s="517"/>
      <c r="E160" s="517"/>
      <c r="F160" s="517"/>
      <c r="G160" s="517"/>
      <c r="H160" s="517"/>
      <c r="I160" s="517"/>
      <c r="J160" s="517"/>
      <c r="K160" s="517"/>
      <c r="L160" s="517"/>
      <c r="M160" s="517"/>
      <c r="N160" s="517"/>
      <c r="O160" s="517"/>
      <c r="P160" s="517"/>
      <c r="Q160" s="517"/>
      <c r="R160" s="517"/>
      <c r="S160" s="517"/>
      <c r="T160" s="517"/>
      <c r="U160" s="517"/>
      <c r="V160" s="517"/>
    </row>
    <row r="161">
      <c r="B161" s="517"/>
      <c r="C161" s="517"/>
      <c r="D161" s="517"/>
      <c r="E161" s="517"/>
      <c r="F161" s="517"/>
      <c r="G161" s="517"/>
      <c r="H161" s="517"/>
      <c r="I161" s="517"/>
      <c r="J161" s="517"/>
      <c r="K161" s="517"/>
      <c r="L161" s="517"/>
      <c r="M161" s="517"/>
      <c r="N161" s="517"/>
      <c r="O161" s="517"/>
      <c r="P161" s="517"/>
      <c r="Q161" s="517"/>
      <c r="R161" s="517"/>
      <c r="S161" s="517"/>
      <c r="T161" s="517"/>
      <c r="U161" s="517"/>
      <c r="V161" s="517"/>
    </row>
    <row r="162">
      <c r="B162" s="517"/>
      <c r="C162" s="517"/>
      <c r="D162" s="517"/>
      <c r="E162" s="517"/>
      <c r="F162" s="517"/>
      <c r="G162" s="517"/>
      <c r="H162" s="517"/>
      <c r="I162" s="517"/>
      <c r="J162" s="517"/>
      <c r="K162" s="517"/>
      <c r="L162" s="517"/>
      <c r="M162" s="517"/>
      <c r="N162" s="517"/>
      <c r="O162" s="517"/>
      <c r="P162" s="517"/>
      <c r="Q162" s="517"/>
      <c r="R162" s="517"/>
      <c r="S162" s="517"/>
      <c r="T162" s="517"/>
      <c r="U162" s="517"/>
      <c r="V162" s="517"/>
    </row>
    <row r="163">
      <c r="B163" s="517"/>
      <c r="C163" s="517"/>
      <c r="D163" s="517"/>
      <c r="E163" s="517"/>
      <c r="F163" s="517"/>
      <c r="G163" s="517"/>
      <c r="H163" s="517"/>
      <c r="I163" s="517"/>
      <c r="J163" s="517"/>
      <c r="K163" s="517"/>
      <c r="L163" s="517"/>
      <c r="M163" s="517"/>
      <c r="N163" s="517"/>
      <c r="O163" s="517"/>
      <c r="P163" s="517"/>
      <c r="Q163" s="517"/>
      <c r="R163" s="517"/>
      <c r="S163" s="517"/>
      <c r="T163" s="517"/>
      <c r="U163" s="517"/>
      <c r="V163" s="517"/>
    </row>
    <row r="164">
      <c r="B164" s="517"/>
      <c r="C164" s="517"/>
      <c r="D164" s="517"/>
      <c r="E164" s="517"/>
      <c r="F164" s="517"/>
      <c r="G164" s="517"/>
      <c r="H164" s="517"/>
      <c r="I164" s="517"/>
      <c r="J164" s="517"/>
      <c r="K164" s="517"/>
      <c r="L164" s="517"/>
      <c r="M164" s="517"/>
      <c r="N164" s="517"/>
      <c r="O164" s="517"/>
      <c r="P164" s="517"/>
      <c r="Q164" s="517"/>
      <c r="R164" s="517"/>
      <c r="S164" s="517"/>
      <c r="T164" s="517"/>
      <c r="U164" s="517"/>
      <c r="V164" s="517"/>
    </row>
    <row r="165">
      <c r="B165" s="517"/>
      <c r="C165" s="517"/>
      <c r="D165" s="517"/>
      <c r="E165" s="517"/>
      <c r="F165" s="517"/>
      <c r="G165" s="517"/>
      <c r="H165" s="517"/>
      <c r="I165" s="517"/>
      <c r="J165" s="517"/>
      <c r="K165" s="517"/>
      <c r="L165" s="517"/>
      <c r="M165" s="517"/>
      <c r="N165" s="517"/>
      <c r="O165" s="517"/>
      <c r="P165" s="517"/>
      <c r="Q165" s="517"/>
      <c r="R165" s="517"/>
      <c r="S165" s="517"/>
      <c r="T165" s="517"/>
      <c r="U165" s="517"/>
      <c r="V165" s="517"/>
    </row>
    <row r="166">
      <c r="B166" s="517"/>
      <c r="C166" s="517"/>
      <c r="D166" s="517"/>
      <c r="E166" s="517"/>
      <c r="F166" s="517"/>
      <c r="G166" s="517"/>
      <c r="H166" s="517"/>
      <c r="I166" s="517"/>
      <c r="J166" s="517"/>
      <c r="K166" s="517"/>
      <c r="L166" s="517"/>
      <c r="M166" s="517"/>
      <c r="N166" s="517"/>
      <c r="O166" s="517"/>
      <c r="P166" s="517"/>
      <c r="Q166" s="517"/>
      <c r="R166" s="517"/>
      <c r="S166" s="517"/>
      <c r="T166" s="517"/>
      <c r="U166" s="517"/>
      <c r="V166" s="517"/>
    </row>
    <row r="167">
      <c r="B167" s="517"/>
      <c r="C167" s="517"/>
      <c r="D167" s="517"/>
      <c r="E167" s="517"/>
      <c r="F167" s="517"/>
      <c r="G167" s="517"/>
      <c r="H167" s="517"/>
      <c r="I167" s="517"/>
      <c r="J167" s="517"/>
      <c r="K167" s="517"/>
      <c r="L167" s="517"/>
      <c r="M167" s="517"/>
      <c r="N167" s="517"/>
      <c r="O167" s="517"/>
      <c r="P167" s="517"/>
      <c r="Q167" s="517"/>
      <c r="R167" s="517"/>
      <c r="S167" s="517"/>
      <c r="T167" s="517"/>
      <c r="U167" s="517"/>
      <c r="V167" s="517"/>
    </row>
    <row r="168">
      <c r="B168" s="517"/>
      <c r="C168" s="517"/>
      <c r="D168" s="517"/>
      <c r="E168" s="517"/>
      <c r="F168" s="517"/>
      <c r="G168" s="517"/>
      <c r="H168" s="517"/>
      <c r="I168" s="517"/>
      <c r="J168" s="517"/>
      <c r="K168" s="517"/>
      <c r="L168" s="517"/>
      <c r="M168" s="517"/>
      <c r="N168" s="517"/>
      <c r="O168" s="517"/>
      <c r="P168" s="517"/>
      <c r="Q168" s="517"/>
      <c r="R168" s="517"/>
      <c r="S168" s="517"/>
      <c r="T168" s="517"/>
      <c r="U168" s="517"/>
      <c r="V168" s="517"/>
    </row>
    <row r="169">
      <c r="B169" s="517"/>
      <c r="C169" s="517"/>
      <c r="D169" s="517"/>
      <c r="E169" s="517"/>
      <c r="F169" s="517"/>
      <c r="G169" s="517"/>
      <c r="H169" s="517"/>
      <c r="I169" s="517"/>
      <c r="J169" s="517"/>
      <c r="K169" s="517"/>
      <c r="L169" s="517"/>
      <c r="M169" s="517"/>
      <c r="N169" s="517"/>
      <c r="O169" s="517"/>
      <c r="P169" s="517"/>
      <c r="Q169" s="517"/>
      <c r="R169" s="517"/>
      <c r="S169" s="517"/>
      <c r="T169" s="517"/>
      <c r="U169" s="517"/>
      <c r="V169" s="517"/>
    </row>
    <row r="170">
      <c r="B170" s="517"/>
      <c r="C170" s="517"/>
      <c r="D170" s="517"/>
      <c r="E170" s="517"/>
      <c r="F170" s="517"/>
      <c r="G170" s="517"/>
      <c r="H170" s="517"/>
      <c r="I170" s="517"/>
      <c r="J170" s="517"/>
      <c r="K170" s="517"/>
      <c r="L170" s="517"/>
      <c r="M170" s="517"/>
      <c r="N170" s="517"/>
      <c r="O170" s="517"/>
      <c r="P170" s="517"/>
      <c r="Q170" s="517"/>
      <c r="R170" s="517"/>
      <c r="S170" s="517"/>
      <c r="T170" s="517"/>
      <c r="U170" s="517"/>
      <c r="V170" s="517"/>
    </row>
    <row r="171">
      <c r="B171" s="517"/>
      <c r="C171" s="517"/>
      <c r="D171" s="517"/>
      <c r="E171" s="517"/>
      <c r="F171" s="517"/>
      <c r="G171" s="517"/>
      <c r="H171" s="517"/>
      <c r="I171" s="517"/>
      <c r="J171" s="517"/>
      <c r="K171" s="517"/>
      <c r="L171" s="517"/>
      <c r="M171" s="517"/>
      <c r="N171" s="517"/>
      <c r="O171" s="517"/>
      <c r="P171" s="517"/>
      <c r="Q171" s="517"/>
      <c r="R171" s="517"/>
      <c r="S171" s="517"/>
      <c r="T171" s="517"/>
      <c r="U171" s="517"/>
      <c r="V171" s="517"/>
    </row>
    <row r="172">
      <c r="B172" s="517"/>
      <c r="C172" s="517"/>
      <c r="D172" s="517"/>
      <c r="E172" s="517"/>
      <c r="F172" s="517"/>
      <c r="G172" s="517"/>
      <c r="H172" s="517"/>
      <c r="I172" s="517"/>
      <c r="J172" s="517"/>
      <c r="K172" s="517"/>
      <c r="L172" s="517"/>
      <c r="M172" s="517"/>
      <c r="N172" s="517"/>
      <c r="O172" s="517"/>
      <c r="P172" s="517"/>
      <c r="Q172" s="517"/>
      <c r="R172" s="517"/>
      <c r="S172" s="517"/>
      <c r="T172" s="517"/>
      <c r="U172" s="517"/>
      <c r="V172" s="517"/>
    </row>
    <row r="173">
      <c r="B173" s="517"/>
      <c r="C173" s="517"/>
      <c r="D173" s="517"/>
      <c r="E173" s="517"/>
      <c r="F173" s="517"/>
      <c r="G173" s="517"/>
      <c r="H173" s="517"/>
      <c r="I173" s="517"/>
      <c r="J173" s="517"/>
      <c r="K173" s="517"/>
      <c r="L173" s="517"/>
      <c r="M173" s="517"/>
      <c r="N173" s="517"/>
      <c r="O173" s="517"/>
      <c r="P173" s="517"/>
      <c r="Q173" s="517"/>
      <c r="R173" s="517"/>
      <c r="S173" s="517"/>
      <c r="T173" s="517"/>
      <c r="U173" s="517"/>
      <c r="V173" s="517"/>
    </row>
    <row r="174">
      <c r="B174" s="517"/>
      <c r="C174" s="517"/>
      <c r="D174" s="517"/>
      <c r="E174" s="517"/>
      <c r="F174" s="517"/>
      <c r="G174" s="517"/>
      <c r="H174" s="517"/>
      <c r="I174" s="517"/>
      <c r="J174" s="517"/>
      <c r="K174" s="517"/>
      <c r="L174" s="517"/>
      <c r="M174" s="517"/>
      <c r="N174" s="517"/>
      <c r="O174" s="517"/>
      <c r="P174" s="517"/>
      <c r="Q174" s="517"/>
      <c r="R174" s="517"/>
      <c r="S174" s="517"/>
      <c r="T174" s="517"/>
      <c r="U174" s="517"/>
      <c r="V174" s="517"/>
    </row>
    <row r="175">
      <c r="B175" s="517"/>
      <c r="C175" s="517"/>
      <c r="D175" s="517"/>
      <c r="E175" s="517"/>
      <c r="F175" s="517"/>
      <c r="G175" s="517"/>
      <c r="H175" s="517"/>
      <c r="I175" s="517"/>
      <c r="J175" s="517"/>
      <c r="K175" s="517"/>
      <c r="L175" s="517"/>
      <c r="M175" s="517"/>
      <c r="N175" s="517"/>
      <c r="O175" s="517"/>
      <c r="P175" s="517"/>
      <c r="Q175" s="517"/>
      <c r="R175" s="517"/>
      <c r="S175" s="517"/>
      <c r="T175" s="517"/>
      <c r="U175" s="517"/>
      <c r="V175" s="517"/>
    </row>
    <row r="176">
      <c r="B176" s="517"/>
      <c r="C176" s="517"/>
      <c r="D176" s="517"/>
      <c r="E176" s="517"/>
      <c r="F176" s="517"/>
      <c r="G176" s="517"/>
      <c r="H176" s="517"/>
      <c r="I176" s="517"/>
      <c r="J176" s="517"/>
      <c r="K176" s="517"/>
      <c r="L176" s="517"/>
      <c r="M176" s="517"/>
      <c r="N176" s="517"/>
      <c r="O176" s="517"/>
      <c r="P176" s="517"/>
      <c r="Q176" s="517"/>
      <c r="R176" s="517"/>
      <c r="S176" s="517"/>
      <c r="T176" s="517"/>
      <c r="U176" s="517"/>
      <c r="V176" s="517"/>
    </row>
    <row r="177">
      <c r="B177" s="517"/>
      <c r="C177" s="517"/>
      <c r="D177" s="517"/>
      <c r="E177" s="517"/>
      <c r="F177" s="517"/>
      <c r="G177" s="517"/>
      <c r="H177" s="517"/>
      <c r="I177" s="517"/>
      <c r="J177" s="517"/>
      <c r="K177" s="517"/>
      <c r="L177" s="517"/>
      <c r="M177" s="517"/>
      <c r="N177" s="517"/>
      <c r="O177" s="517"/>
      <c r="P177" s="517"/>
      <c r="Q177" s="517"/>
      <c r="R177" s="517"/>
      <c r="S177" s="517"/>
      <c r="T177" s="517"/>
      <c r="U177" s="517"/>
      <c r="V177" s="517"/>
    </row>
    <row r="178">
      <c r="B178" s="517"/>
      <c r="C178" s="517"/>
      <c r="D178" s="517"/>
      <c r="E178" s="517"/>
      <c r="F178" s="517"/>
      <c r="G178" s="517"/>
      <c r="H178" s="517"/>
      <c r="I178" s="517"/>
      <c r="J178" s="517"/>
      <c r="K178" s="517"/>
      <c r="L178" s="517"/>
      <c r="M178" s="517"/>
      <c r="N178" s="517"/>
      <c r="O178" s="517"/>
      <c r="P178" s="517"/>
      <c r="Q178" s="517"/>
      <c r="R178" s="517"/>
      <c r="S178" s="517"/>
      <c r="T178" s="517"/>
      <c r="U178" s="517"/>
      <c r="V178" s="517"/>
    </row>
    <row r="179">
      <c r="B179" s="517"/>
      <c r="C179" s="517"/>
      <c r="D179" s="517"/>
      <c r="E179" s="517"/>
      <c r="F179" s="517"/>
      <c r="G179" s="517"/>
      <c r="H179" s="517"/>
      <c r="I179" s="517"/>
      <c r="J179" s="517"/>
      <c r="K179" s="517"/>
      <c r="L179" s="517"/>
      <c r="M179" s="517"/>
      <c r="N179" s="517"/>
      <c r="O179" s="517"/>
      <c r="P179" s="517"/>
      <c r="Q179" s="517"/>
      <c r="R179" s="517"/>
      <c r="S179" s="517"/>
      <c r="T179" s="517"/>
      <c r="U179" s="517"/>
      <c r="V179" s="517"/>
    </row>
    <row r="180">
      <c r="B180" s="517"/>
      <c r="C180" s="517"/>
      <c r="D180" s="517"/>
      <c r="E180" s="517"/>
      <c r="F180" s="517"/>
      <c r="G180" s="517"/>
      <c r="H180" s="517"/>
      <c r="I180" s="517"/>
      <c r="J180" s="517"/>
      <c r="K180" s="517"/>
      <c r="L180" s="517"/>
      <c r="M180" s="517"/>
      <c r="N180" s="517"/>
      <c r="O180" s="517"/>
      <c r="P180" s="517"/>
      <c r="Q180" s="517"/>
      <c r="R180" s="517"/>
      <c r="S180" s="517"/>
      <c r="T180" s="517"/>
      <c r="U180" s="517"/>
      <c r="V180" s="517"/>
    </row>
    <row r="181">
      <c r="B181" s="517"/>
      <c r="C181" s="517"/>
      <c r="D181" s="517"/>
      <c r="E181" s="517"/>
      <c r="F181" s="517"/>
      <c r="G181" s="517"/>
      <c r="H181" s="517"/>
      <c r="I181" s="517"/>
      <c r="J181" s="517"/>
      <c r="K181" s="517"/>
      <c r="L181" s="517"/>
      <c r="M181" s="517"/>
      <c r="N181" s="517"/>
      <c r="O181" s="517"/>
      <c r="P181" s="517"/>
      <c r="Q181" s="517"/>
      <c r="R181" s="517"/>
      <c r="S181" s="517"/>
      <c r="T181" s="517"/>
      <c r="U181" s="517"/>
      <c r="V181" s="517"/>
    </row>
    <row r="182">
      <c r="B182" s="517"/>
      <c r="C182" s="517"/>
      <c r="D182" s="517"/>
      <c r="E182" s="517"/>
      <c r="F182" s="517"/>
      <c r="G182" s="517"/>
      <c r="H182" s="517"/>
      <c r="I182" s="517"/>
      <c r="J182" s="517"/>
      <c r="K182" s="517"/>
      <c r="L182" s="517"/>
      <c r="M182" s="517"/>
      <c r="N182" s="517"/>
      <c r="O182" s="517"/>
      <c r="P182" s="517"/>
      <c r="Q182" s="517"/>
      <c r="R182" s="517"/>
      <c r="S182" s="517"/>
      <c r="T182" s="517"/>
      <c r="U182" s="517"/>
      <c r="V182" s="517"/>
    </row>
    <row r="183">
      <c r="B183" s="517"/>
      <c r="C183" s="517"/>
      <c r="D183" s="517"/>
      <c r="E183" s="517"/>
      <c r="F183" s="517"/>
      <c r="G183" s="517"/>
      <c r="H183" s="517"/>
      <c r="I183" s="517"/>
      <c r="J183" s="517"/>
      <c r="K183" s="517"/>
      <c r="L183" s="517"/>
      <c r="M183" s="517"/>
      <c r="N183" s="517"/>
      <c r="O183" s="517"/>
      <c r="P183" s="517"/>
      <c r="Q183" s="517"/>
      <c r="R183" s="517"/>
      <c r="S183" s="517"/>
      <c r="T183" s="517"/>
      <c r="U183" s="517"/>
      <c r="V183" s="517"/>
    </row>
    <row r="184">
      <c r="B184" s="517"/>
      <c r="C184" s="517"/>
      <c r="D184" s="517"/>
      <c r="E184" s="517"/>
      <c r="F184" s="517"/>
      <c r="G184" s="517"/>
      <c r="H184" s="517"/>
      <c r="I184" s="517"/>
      <c r="J184" s="517"/>
      <c r="K184" s="517"/>
      <c r="L184" s="517"/>
      <c r="M184" s="517"/>
      <c r="N184" s="517"/>
      <c r="O184" s="517"/>
      <c r="P184" s="517"/>
      <c r="Q184" s="517"/>
      <c r="R184" s="517"/>
      <c r="S184" s="517"/>
      <c r="T184" s="517"/>
      <c r="U184" s="517"/>
      <c r="V184" s="517"/>
    </row>
    <row r="185">
      <c r="B185" s="517"/>
      <c r="C185" s="517"/>
      <c r="D185" s="517"/>
      <c r="E185" s="517"/>
      <c r="F185" s="517"/>
      <c r="G185" s="517"/>
      <c r="H185" s="517"/>
      <c r="I185" s="517"/>
      <c r="J185" s="517"/>
      <c r="K185" s="517"/>
      <c r="L185" s="517"/>
      <c r="M185" s="517"/>
      <c r="N185" s="517"/>
      <c r="O185" s="517"/>
      <c r="P185" s="517"/>
      <c r="Q185" s="517"/>
      <c r="R185" s="517"/>
      <c r="S185" s="517"/>
      <c r="T185" s="517"/>
      <c r="U185" s="517"/>
      <c r="V185" s="517"/>
    </row>
    <row r="186">
      <c r="B186" s="517"/>
      <c r="C186" s="517"/>
      <c r="D186" s="517"/>
      <c r="E186" s="517"/>
      <c r="F186" s="517"/>
      <c r="G186" s="517"/>
      <c r="H186" s="517"/>
      <c r="I186" s="517"/>
      <c r="J186" s="517"/>
      <c r="K186" s="517"/>
      <c r="L186" s="517"/>
      <c r="M186" s="517"/>
      <c r="N186" s="517"/>
      <c r="O186" s="517"/>
      <c r="P186" s="517"/>
      <c r="Q186" s="517"/>
      <c r="R186" s="517"/>
      <c r="S186" s="517"/>
      <c r="T186" s="517"/>
      <c r="U186" s="517"/>
      <c r="V186" s="517"/>
    </row>
    <row r="187">
      <c r="B187" s="517"/>
      <c r="C187" s="517"/>
      <c r="D187" s="517"/>
      <c r="E187" s="517"/>
      <c r="F187" s="517"/>
      <c r="G187" s="517"/>
      <c r="H187" s="517"/>
      <c r="I187" s="517"/>
      <c r="J187" s="517"/>
      <c r="K187" s="517"/>
      <c r="L187" s="517"/>
      <c r="M187" s="517"/>
      <c r="N187" s="517"/>
      <c r="O187" s="517"/>
      <c r="P187" s="517"/>
      <c r="Q187" s="517"/>
      <c r="R187" s="517"/>
      <c r="S187" s="517"/>
      <c r="T187" s="517"/>
      <c r="U187" s="517"/>
      <c r="V187" s="517"/>
    </row>
    <row r="188">
      <c r="B188" s="517"/>
      <c r="C188" s="517"/>
      <c r="D188" s="517"/>
      <c r="E188" s="517"/>
      <c r="F188" s="517"/>
      <c r="G188" s="517"/>
      <c r="H188" s="517"/>
      <c r="I188" s="517"/>
      <c r="J188" s="517"/>
      <c r="K188" s="517"/>
      <c r="L188" s="517"/>
      <c r="M188" s="517"/>
      <c r="N188" s="517"/>
      <c r="O188" s="517"/>
      <c r="P188" s="517"/>
      <c r="Q188" s="517"/>
      <c r="R188" s="517"/>
      <c r="S188" s="517"/>
      <c r="T188" s="517"/>
      <c r="U188" s="517"/>
      <c r="V188" s="517"/>
    </row>
    <row r="189">
      <c r="B189" s="517"/>
      <c r="C189" s="517"/>
      <c r="D189" s="517"/>
      <c r="E189" s="517"/>
      <c r="F189" s="517"/>
      <c r="G189" s="517"/>
      <c r="H189" s="517"/>
      <c r="I189" s="517"/>
      <c r="J189" s="517"/>
      <c r="K189" s="517"/>
      <c r="L189" s="517"/>
      <c r="M189" s="517"/>
      <c r="N189" s="517"/>
      <c r="O189" s="517"/>
      <c r="P189" s="517"/>
      <c r="Q189" s="517"/>
      <c r="R189" s="517"/>
      <c r="S189" s="517"/>
      <c r="T189" s="517"/>
      <c r="U189" s="517"/>
      <c r="V189" s="517"/>
    </row>
    <row r="190">
      <c r="B190" s="517"/>
      <c r="C190" s="517"/>
      <c r="D190" s="517"/>
      <c r="E190" s="517"/>
      <c r="F190" s="517"/>
      <c r="G190" s="517"/>
      <c r="H190" s="517"/>
      <c r="I190" s="517"/>
      <c r="J190" s="517"/>
      <c r="K190" s="517"/>
      <c r="L190" s="517"/>
      <c r="M190" s="517"/>
      <c r="N190" s="517"/>
      <c r="O190" s="517"/>
      <c r="P190" s="517"/>
      <c r="Q190" s="517"/>
      <c r="R190" s="517"/>
      <c r="S190" s="517"/>
      <c r="T190" s="517"/>
      <c r="U190" s="517"/>
      <c r="V190" s="517"/>
    </row>
    <row r="191">
      <c r="B191" s="517"/>
      <c r="C191" s="517"/>
      <c r="D191" s="517"/>
      <c r="E191" s="517"/>
      <c r="F191" s="517"/>
      <c r="G191" s="517"/>
      <c r="H191" s="517"/>
      <c r="I191" s="517"/>
      <c r="J191" s="517"/>
      <c r="K191" s="517"/>
      <c r="L191" s="517"/>
      <c r="M191" s="517"/>
      <c r="N191" s="517"/>
      <c r="O191" s="517"/>
      <c r="P191" s="517"/>
      <c r="Q191" s="517"/>
      <c r="R191" s="517"/>
      <c r="S191" s="517"/>
      <c r="T191" s="517"/>
      <c r="U191" s="517"/>
      <c r="V191" s="517"/>
    </row>
    <row r="192">
      <c r="B192" s="517"/>
      <c r="C192" s="517"/>
      <c r="D192" s="517"/>
      <c r="E192" s="517"/>
      <c r="F192" s="517"/>
      <c r="G192" s="517"/>
      <c r="H192" s="517"/>
      <c r="I192" s="517"/>
      <c r="J192" s="517"/>
      <c r="K192" s="517"/>
      <c r="L192" s="517"/>
      <c r="M192" s="517"/>
      <c r="N192" s="517"/>
      <c r="O192" s="517"/>
      <c r="P192" s="517"/>
      <c r="Q192" s="517"/>
      <c r="R192" s="517"/>
      <c r="S192" s="517"/>
      <c r="T192" s="517"/>
      <c r="U192" s="517"/>
      <c r="V192" s="517"/>
    </row>
    <row r="193">
      <c r="B193" s="517"/>
      <c r="C193" s="517"/>
      <c r="D193" s="517"/>
      <c r="E193" s="517"/>
      <c r="F193" s="517"/>
      <c r="G193" s="517"/>
      <c r="H193" s="517"/>
      <c r="I193" s="517"/>
      <c r="J193" s="517"/>
      <c r="K193" s="517"/>
      <c r="L193" s="517"/>
      <c r="M193" s="517"/>
      <c r="N193" s="517"/>
      <c r="O193" s="517"/>
      <c r="P193" s="517"/>
      <c r="Q193" s="517"/>
      <c r="R193" s="517"/>
      <c r="S193" s="517"/>
      <c r="T193" s="517"/>
      <c r="U193" s="517"/>
      <c r="V193" s="517"/>
    </row>
    <row r="194">
      <c r="B194" s="517"/>
      <c r="C194" s="517"/>
      <c r="D194" s="517"/>
      <c r="E194" s="517"/>
      <c r="F194" s="517"/>
      <c r="G194" s="517"/>
      <c r="H194" s="517"/>
      <c r="I194" s="517"/>
      <c r="J194" s="517"/>
      <c r="K194" s="517"/>
      <c r="L194" s="517"/>
      <c r="M194" s="517"/>
      <c r="N194" s="517"/>
      <c r="O194" s="517"/>
      <c r="P194" s="517"/>
      <c r="Q194" s="517"/>
      <c r="R194" s="517"/>
      <c r="S194" s="517"/>
      <c r="T194" s="517"/>
      <c r="U194" s="517"/>
      <c r="V194" s="517"/>
    </row>
    <row r="195">
      <c r="B195" s="517"/>
      <c r="C195" s="517"/>
      <c r="D195" s="517"/>
      <c r="E195" s="517"/>
      <c r="F195" s="517"/>
      <c r="G195" s="517"/>
      <c r="H195" s="517"/>
      <c r="I195" s="517"/>
      <c r="J195" s="517"/>
      <c r="K195" s="517"/>
      <c r="L195" s="517"/>
      <c r="M195" s="517"/>
      <c r="N195" s="517"/>
      <c r="O195" s="517"/>
      <c r="P195" s="517"/>
      <c r="Q195" s="517"/>
      <c r="R195" s="517"/>
      <c r="S195" s="517"/>
      <c r="T195" s="517"/>
      <c r="U195" s="517"/>
      <c r="V195" s="517"/>
    </row>
    <row r="196">
      <c r="B196" s="517"/>
      <c r="C196" s="517"/>
      <c r="D196" s="517"/>
      <c r="E196" s="517"/>
      <c r="F196" s="517"/>
      <c r="G196" s="517"/>
      <c r="H196" s="517"/>
      <c r="I196" s="517"/>
      <c r="J196" s="517"/>
      <c r="K196" s="517"/>
      <c r="L196" s="517"/>
      <c r="M196" s="517"/>
      <c r="N196" s="517"/>
      <c r="O196" s="517"/>
      <c r="P196" s="517"/>
      <c r="Q196" s="517"/>
      <c r="R196" s="517"/>
      <c r="S196" s="517"/>
      <c r="T196" s="517"/>
      <c r="U196" s="517"/>
      <c r="V196" s="517"/>
    </row>
    <row r="197">
      <c r="B197" s="517"/>
      <c r="C197" s="517"/>
      <c r="D197" s="517"/>
      <c r="E197" s="517"/>
      <c r="F197" s="517"/>
      <c r="G197" s="517"/>
      <c r="H197" s="517"/>
      <c r="I197" s="517"/>
      <c r="J197" s="517"/>
      <c r="K197" s="517"/>
      <c r="L197" s="517"/>
      <c r="M197" s="517"/>
      <c r="N197" s="517"/>
      <c r="O197" s="517"/>
      <c r="P197" s="517"/>
      <c r="Q197" s="517"/>
      <c r="R197" s="517"/>
      <c r="S197" s="517"/>
      <c r="T197" s="517"/>
      <c r="U197" s="517"/>
      <c r="V197" s="517"/>
    </row>
    <row r="198">
      <c r="B198" s="517"/>
      <c r="C198" s="517"/>
      <c r="D198" s="517"/>
      <c r="E198" s="517"/>
      <c r="F198" s="517"/>
      <c r="G198" s="517"/>
      <c r="H198" s="517"/>
      <c r="I198" s="517"/>
      <c r="J198" s="517"/>
      <c r="K198" s="517"/>
      <c r="L198" s="517"/>
      <c r="M198" s="517"/>
      <c r="N198" s="517"/>
      <c r="O198" s="517"/>
      <c r="P198" s="517"/>
      <c r="Q198" s="517"/>
      <c r="R198" s="517"/>
      <c r="S198" s="517"/>
      <c r="T198" s="517"/>
      <c r="U198" s="517"/>
      <c r="V198" s="517"/>
    </row>
    <row r="199">
      <c r="B199" s="517"/>
      <c r="C199" s="517"/>
      <c r="D199" s="517"/>
      <c r="E199" s="517"/>
      <c r="F199" s="517"/>
      <c r="G199" s="517"/>
      <c r="H199" s="517"/>
      <c r="I199" s="517"/>
      <c r="J199" s="517"/>
      <c r="K199" s="517"/>
      <c r="L199" s="517"/>
      <c r="M199" s="517"/>
      <c r="N199" s="517"/>
      <c r="O199" s="517"/>
      <c r="P199" s="517"/>
      <c r="Q199" s="517"/>
      <c r="R199" s="517"/>
      <c r="S199" s="517"/>
      <c r="T199" s="517"/>
      <c r="U199" s="517"/>
      <c r="V199" s="517"/>
    </row>
    <row r="200">
      <c r="B200" s="517"/>
      <c r="C200" s="517"/>
      <c r="D200" s="517"/>
      <c r="E200" s="517"/>
      <c r="F200" s="517"/>
      <c r="G200" s="517"/>
      <c r="H200" s="517"/>
      <c r="I200" s="517"/>
      <c r="J200" s="517"/>
      <c r="K200" s="517"/>
      <c r="L200" s="517"/>
      <c r="M200" s="517"/>
      <c r="N200" s="517"/>
      <c r="O200" s="517"/>
      <c r="P200" s="517"/>
      <c r="Q200" s="517"/>
      <c r="R200" s="517"/>
      <c r="S200" s="517"/>
      <c r="T200" s="517"/>
      <c r="U200" s="517"/>
      <c r="V200" s="517"/>
    </row>
    <row r="201">
      <c r="B201" s="517"/>
      <c r="C201" s="517"/>
      <c r="D201" s="517"/>
      <c r="E201" s="517"/>
      <c r="F201" s="517"/>
      <c r="G201" s="517"/>
      <c r="H201" s="517"/>
      <c r="I201" s="517"/>
      <c r="J201" s="517"/>
      <c r="K201" s="517"/>
      <c r="L201" s="517"/>
      <c r="M201" s="517"/>
      <c r="N201" s="517"/>
      <c r="O201" s="517"/>
      <c r="P201" s="517"/>
      <c r="Q201" s="517"/>
      <c r="R201" s="517"/>
      <c r="S201" s="517"/>
      <c r="T201" s="517"/>
      <c r="U201" s="517"/>
      <c r="V201" s="517"/>
    </row>
    <row r="202">
      <c r="B202" s="517"/>
      <c r="C202" s="517"/>
      <c r="D202" s="517"/>
      <c r="E202" s="517"/>
      <c r="F202" s="517"/>
      <c r="G202" s="517"/>
      <c r="H202" s="517"/>
      <c r="I202" s="517"/>
      <c r="J202" s="517"/>
      <c r="K202" s="517"/>
      <c r="L202" s="517"/>
      <c r="M202" s="517"/>
      <c r="N202" s="517"/>
      <c r="O202" s="517"/>
      <c r="P202" s="517"/>
      <c r="Q202" s="517"/>
      <c r="R202" s="517"/>
      <c r="S202" s="517"/>
      <c r="T202" s="517"/>
      <c r="U202" s="517"/>
      <c r="V202" s="517"/>
    </row>
    <row r="203">
      <c r="B203" s="517"/>
      <c r="C203" s="517"/>
      <c r="D203" s="517"/>
      <c r="E203" s="517"/>
      <c r="F203" s="517"/>
      <c r="G203" s="517"/>
      <c r="H203" s="517"/>
      <c r="I203" s="517"/>
      <c r="J203" s="517"/>
      <c r="K203" s="517"/>
      <c r="L203" s="517"/>
      <c r="M203" s="517"/>
      <c r="N203" s="517"/>
      <c r="O203" s="517"/>
      <c r="P203" s="517"/>
      <c r="Q203" s="517"/>
      <c r="R203" s="517"/>
      <c r="S203" s="517"/>
      <c r="T203" s="517"/>
      <c r="U203" s="517"/>
      <c r="V203" s="517"/>
    </row>
    <row r="204">
      <c r="B204" s="517"/>
      <c r="C204" s="517"/>
      <c r="D204" s="517"/>
      <c r="E204" s="517"/>
      <c r="F204" s="517"/>
      <c r="G204" s="517"/>
      <c r="H204" s="517"/>
      <c r="I204" s="517"/>
      <c r="J204" s="517"/>
      <c r="K204" s="517"/>
      <c r="L204" s="517"/>
      <c r="M204" s="517"/>
      <c r="N204" s="517"/>
      <c r="O204" s="517"/>
      <c r="P204" s="517"/>
      <c r="Q204" s="517"/>
      <c r="R204" s="517"/>
      <c r="S204" s="517"/>
      <c r="T204" s="517"/>
      <c r="U204" s="517"/>
      <c r="V204" s="517"/>
    </row>
    <row r="205">
      <c r="B205" s="517"/>
      <c r="C205" s="517"/>
      <c r="D205" s="517"/>
      <c r="E205" s="517"/>
      <c r="F205" s="517"/>
      <c r="G205" s="517"/>
      <c r="H205" s="517"/>
      <c r="I205" s="517"/>
      <c r="J205" s="517"/>
      <c r="K205" s="517"/>
      <c r="L205" s="517"/>
      <c r="M205" s="517"/>
      <c r="N205" s="517"/>
      <c r="O205" s="517"/>
      <c r="P205" s="517"/>
      <c r="Q205" s="517"/>
      <c r="R205" s="517"/>
      <c r="S205" s="517"/>
      <c r="T205" s="517"/>
      <c r="U205" s="517"/>
      <c r="V205" s="517"/>
    </row>
    <row r="206">
      <c r="B206" s="517"/>
      <c r="C206" s="517"/>
      <c r="D206" s="517"/>
      <c r="E206" s="517"/>
      <c r="F206" s="517"/>
      <c r="G206" s="517"/>
      <c r="H206" s="517"/>
      <c r="I206" s="517"/>
      <c r="J206" s="517"/>
      <c r="K206" s="517"/>
      <c r="L206" s="517"/>
      <c r="M206" s="517"/>
      <c r="N206" s="517"/>
      <c r="O206" s="517"/>
      <c r="P206" s="517"/>
      <c r="Q206" s="517"/>
      <c r="R206" s="517"/>
      <c r="S206" s="517"/>
      <c r="T206" s="517"/>
      <c r="U206" s="517"/>
      <c r="V206" s="517"/>
    </row>
    <row r="207">
      <c r="B207" s="517"/>
      <c r="C207" s="517"/>
      <c r="D207" s="517"/>
      <c r="E207" s="517"/>
      <c r="F207" s="517"/>
      <c r="G207" s="517"/>
      <c r="H207" s="517"/>
      <c r="I207" s="517"/>
      <c r="J207" s="517"/>
      <c r="K207" s="517"/>
      <c r="L207" s="517"/>
      <c r="M207" s="517"/>
      <c r="N207" s="517"/>
      <c r="O207" s="517"/>
      <c r="P207" s="517"/>
      <c r="Q207" s="517"/>
      <c r="R207" s="517"/>
      <c r="S207" s="517"/>
      <c r="T207" s="517"/>
      <c r="U207" s="517"/>
      <c r="V207" s="517"/>
    </row>
    <row r="208">
      <c r="B208" s="517"/>
      <c r="C208" s="517"/>
      <c r="D208" s="517"/>
      <c r="E208" s="517"/>
      <c r="F208" s="517"/>
      <c r="G208" s="517"/>
      <c r="H208" s="517"/>
      <c r="I208" s="517"/>
      <c r="J208" s="517"/>
      <c r="K208" s="517"/>
      <c r="L208" s="517"/>
      <c r="M208" s="517"/>
      <c r="N208" s="517"/>
      <c r="O208" s="517"/>
      <c r="P208" s="517"/>
      <c r="Q208" s="517"/>
      <c r="R208" s="517"/>
      <c r="S208" s="517"/>
      <c r="T208" s="517"/>
      <c r="U208" s="517"/>
      <c r="V208" s="517"/>
    </row>
    <row r="209">
      <c r="B209" s="517"/>
      <c r="C209" s="517"/>
      <c r="D209" s="517"/>
      <c r="E209" s="517"/>
      <c r="F209" s="517"/>
      <c r="G209" s="517"/>
      <c r="H209" s="517"/>
      <c r="I209" s="517"/>
      <c r="J209" s="517"/>
      <c r="K209" s="517"/>
      <c r="L209" s="517"/>
      <c r="M209" s="517"/>
      <c r="N209" s="517"/>
      <c r="O209" s="517"/>
      <c r="P209" s="517"/>
      <c r="Q209" s="517"/>
      <c r="R209" s="517"/>
      <c r="S209" s="517"/>
      <c r="T209" s="517"/>
      <c r="U209" s="517"/>
      <c r="V209" s="517"/>
    </row>
    <row r="210">
      <c r="B210" s="517"/>
      <c r="C210" s="517"/>
      <c r="D210" s="517"/>
      <c r="E210" s="517"/>
      <c r="F210" s="517"/>
      <c r="G210" s="517"/>
      <c r="H210" s="517"/>
      <c r="I210" s="517"/>
      <c r="J210" s="517"/>
      <c r="K210" s="517"/>
      <c r="L210" s="517"/>
      <c r="M210" s="517"/>
      <c r="N210" s="517"/>
      <c r="O210" s="517"/>
      <c r="P210" s="517"/>
      <c r="Q210" s="517"/>
      <c r="R210" s="517"/>
      <c r="S210" s="517"/>
      <c r="T210" s="517"/>
      <c r="U210" s="517"/>
      <c r="V210" s="517"/>
    </row>
    <row r="211">
      <c r="B211" s="517"/>
      <c r="C211" s="517"/>
      <c r="D211" s="517"/>
      <c r="E211" s="517"/>
      <c r="F211" s="517"/>
      <c r="G211" s="517"/>
      <c r="H211" s="517"/>
      <c r="I211" s="517"/>
      <c r="J211" s="517"/>
      <c r="K211" s="517"/>
      <c r="L211" s="517"/>
      <c r="M211" s="517"/>
      <c r="N211" s="517"/>
      <c r="O211" s="517"/>
      <c r="P211" s="517"/>
      <c r="Q211" s="517"/>
      <c r="R211" s="517"/>
      <c r="S211" s="517"/>
      <c r="T211" s="517"/>
      <c r="U211" s="517"/>
      <c r="V211" s="517"/>
    </row>
    <row r="212">
      <c r="B212" s="517"/>
      <c r="C212" s="517"/>
      <c r="D212" s="517"/>
      <c r="E212" s="517"/>
      <c r="F212" s="517"/>
      <c r="G212" s="517"/>
      <c r="H212" s="517"/>
      <c r="I212" s="517"/>
      <c r="J212" s="517"/>
      <c r="K212" s="517"/>
      <c r="L212" s="517"/>
      <c r="M212" s="517"/>
      <c r="N212" s="517"/>
      <c r="O212" s="517"/>
      <c r="P212" s="517"/>
      <c r="Q212" s="517"/>
      <c r="R212" s="517"/>
      <c r="S212" s="517"/>
      <c r="T212" s="517"/>
      <c r="U212" s="517"/>
      <c r="V212" s="517"/>
    </row>
    <row r="213">
      <c r="B213" s="517"/>
      <c r="C213" s="517"/>
      <c r="D213" s="517"/>
      <c r="E213" s="517"/>
      <c r="F213" s="517"/>
      <c r="G213" s="517"/>
      <c r="H213" s="517"/>
      <c r="I213" s="517"/>
      <c r="J213" s="517"/>
      <c r="K213" s="517"/>
      <c r="L213" s="517"/>
      <c r="M213" s="517"/>
      <c r="N213" s="517"/>
      <c r="O213" s="517"/>
      <c r="P213" s="517"/>
      <c r="Q213" s="517"/>
      <c r="R213" s="517"/>
      <c r="S213" s="517"/>
      <c r="T213" s="517"/>
      <c r="U213" s="517"/>
      <c r="V213" s="517"/>
    </row>
    <row r="214">
      <c r="B214" s="517"/>
      <c r="C214" s="517"/>
      <c r="D214" s="517"/>
      <c r="E214" s="517"/>
      <c r="F214" s="517"/>
      <c r="G214" s="517"/>
      <c r="H214" s="517"/>
      <c r="I214" s="517"/>
      <c r="J214" s="517"/>
      <c r="K214" s="517"/>
      <c r="L214" s="517"/>
      <c r="M214" s="517"/>
      <c r="N214" s="517"/>
      <c r="O214" s="517"/>
      <c r="P214" s="517"/>
      <c r="Q214" s="517"/>
      <c r="R214" s="517"/>
      <c r="S214" s="517"/>
      <c r="T214" s="517"/>
      <c r="U214" s="517"/>
      <c r="V214" s="517"/>
    </row>
    <row r="215">
      <c r="B215" s="517"/>
      <c r="C215" s="517"/>
      <c r="D215" s="517"/>
      <c r="E215" s="517"/>
      <c r="F215" s="517"/>
      <c r="G215" s="517"/>
      <c r="H215" s="517"/>
      <c r="I215" s="517"/>
      <c r="J215" s="517"/>
      <c r="K215" s="517"/>
      <c r="L215" s="517"/>
      <c r="M215" s="517"/>
      <c r="N215" s="517"/>
      <c r="O215" s="517"/>
      <c r="P215" s="517"/>
      <c r="Q215" s="517"/>
      <c r="R215" s="517"/>
      <c r="S215" s="517"/>
      <c r="T215" s="517"/>
      <c r="U215" s="517"/>
      <c r="V215" s="517"/>
    </row>
    <row r="216">
      <c r="B216" s="517"/>
      <c r="C216" s="517"/>
      <c r="D216" s="517"/>
      <c r="E216" s="517"/>
      <c r="F216" s="517"/>
      <c r="G216" s="517"/>
      <c r="H216" s="517"/>
      <c r="I216" s="517"/>
      <c r="J216" s="517"/>
      <c r="K216" s="517"/>
      <c r="L216" s="517"/>
      <c r="M216" s="517"/>
      <c r="N216" s="517"/>
      <c r="O216" s="517"/>
      <c r="P216" s="517"/>
      <c r="Q216" s="517"/>
      <c r="R216" s="517"/>
      <c r="S216" s="517"/>
      <c r="T216" s="517"/>
      <c r="U216" s="517"/>
      <c r="V216" s="517"/>
    </row>
    <row r="217">
      <c r="B217" s="517"/>
      <c r="C217" s="517"/>
      <c r="D217" s="517"/>
      <c r="E217" s="517"/>
      <c r="F217" s="517"/>
      <c r="G217" s="517"/>
      <c r="H217" s="517"/>
      <c r="I217" s="517"/>
      <c r="J217" s="517"/>
      <c r="K217" s="517"/>
      <c r="L217" s="517"/>
      <c r="M217" s="517"/>
      <c r="N217" s="517"/>
      <c r="O217" s="517"/>
      <c r="P217" s="517"/>
      <c r="Q217" s="517"/>
      <c r="R217" s="517"/>
      <c r="S217" s="517"/>
      <c r="T217" s="517"/>
      <c r="U217" s="517"/>
      <c r="V217" s="517"/>
    </row>
    <row r="218">
      <c r="B218" s="517"/>
      <c r="C218" s="517"/>
      <c r="D218" s="517"/>
      <c r="E218" s="517"/>
      <c r="F218" s="517"/>
      <c r="G218" s="517"/>
      <c r="H218" s="517"/>
      <c r="I218" s="517"/>
      <c r="J218" s="517"/>
      <c r="K218" s="517"/>
      <c r="L218" s="517"/>
      <c r="M218" s="517"/>
      <c r="N218" s="517"/>
      <c r="O218" s="517"/>
      <c r="P218" s="517"/>
      <c r="Q218" s="517"/>
      <c r="R218" s="517"/>
      <c r="S218" s="517"/>
      <c r="T218" s="517"/>
      <c r="U218" s="517"/>
      <c r="V218" s="517"/>
    </row>
    <row r="219">
      <c r="B219" s="517"/>
      <c r="C219" s="517"/>
      <c r="D219" s="517"/>
      <c r="E219" s="517"/>
      <c r="F219" s="517"/>
      <c r="G219" s="517"/>
      <c r="H219" s="517"/>
      <c r="I219" s="517"/>
      <c r="J219" s="517"/>
      <c r="K219" s="517"/>
      <c r="L219" s="517"/>
      <c r="M219" s="517"/>
      <c r="N219" s="517"/>
      <c r="O219" s="517"/>
      <c r="P219" s="517"/>
      <c r="Q219" s="517"/>
      <c r="R219" s="517"/>
      <c r="S219" s="517"/>
      <c r="T219" s="517"/>
      <c r="U219" s="517"/>
      <c r="V219" s="517"/>
    </row>
    <row r="220">
      <c r="B220" s="517"/>
      <c r="C220" s="517"/>
      <c r="D220" s="517"/>
      <c r="E220" s="517"/>
      <c r="F220" s="517"/>
      <c r="G220" s="517"/>
      <c r="H220" s="517"/>
      <c r="I220" s="517"/>
      <c r="J220" s="517"/>
      <c r="K220" s="517"/>
      <c r="L220" s="517"/>
      <c r="M220" s="517"/>
      <c r="N220" s="517"/>
      <c r="O220" s="517"/>
      <c r="P220" s="517"/>
      <c r="Q220" s="517"/>
      <c r="R220" s="517"/>
      <c r="S220" s="517"/>
      <c r="T220" s="517"/>
      <c r="U220" s="517"/>
      <c r="V220" s="517"/>
    </row>
    <row r="221">
      <c r="B221" s="517"/>
      <c r="C221" s="517"/>
      <c r="D221" s="517"/>
      <c r="E221" s="517"/>
      <c r="F221" s="517"/>
      <c r="G221" s="517"/>
      <c r="H221" s="517"/>
      <c r="I221" s="517"/>
      <c r="J221" s="517"/>
      <c r="K221" s="517"/>
      <c r="L221" s="517"/>
      <c r="M221" s="517"/>
      <c r="N221" s="517"/>
      <c r="O221" s="517"/>
      <c r="P221" s="517"/>
      <c r="Q221" s="517"/>
      <c r="R221" s="517"/>
      <c r="S221" s="517"/>
      <c r="T221" s="517"/>
      <c r="U221" s="517"/>
      <c r="V221" s="517"/>
    </row>
    <row r="222">
      <c r="B222" s="517"/>
      <c r="C222" s="517"/>
      <c r="D222" s="517"/>
      <c r="E222" s="517"/>
      <c r="F222" s="517"/>
      <c r="G222" s="517"/>
      <c r="H222" s="517"/>
      <c r="I222" s="517"/>
      <c r="J222" s="517"/>
      <c r="K222" s="517"/>
      <c r="L222" s="517"/>
      <c r="M222" s="517"/>
      <c r="N222" s="517"/>
      <c r="O222" s="517"/>
      <c r="P222" s="517"/>
      <c r="Q222" s="517"/>
      <c r="R222" s="517"/>
      <c r="S222" s="517"/>
      <c r="T222" s="517"/>
      <c r="U222" s="517"/>
      <c r="V222" s="517"/>
    </row>
    <row r="223">
      <c r="B223" s="517"/>
      <c r="C223" s="517"/>
      <c r="D223" s="517"/>
      <c r="E223" s="517"/>
      <c r="F223" s="517"/>
      <c r="G223" s="517"/>
      <c r="H223" s="517"/>
      <c r="I223" s="517"/>
      <c r="J223" s="517"/>
      <c r="K223" s="517"/>
      <c r="L223" s="517"/>
      <c r="M223" s="517"/>
      <c r="N223" s="517"/>
      <c r="O223" s="517"/>
      <c r="P223" s="517"/>
      <c r="Q223" s="517"/>
      <c r="R223" s="517"/>
      <c r="S223" s="517"/>
      <c r="T223" s="517"/>
      <c r="U223" s="517"/>
      <c r="V223" s="517"/>
    </row>
    <row r="224">
      <c r="B224" s="517"/>
      <c r="C224" s="517"/>
      <c r="D224" s="517"/>
      <c r="E224" s="517"/>
      <c r="F224" s="517"/>
      <c r="G224" s="517"/>
      <c r="H224" s="517"/>
      <c r="I224" s="517"/>
      <c r="J224" s="517"/>
      <c r="K224" s="517"/>
      <c r="L224" s="517"/>
      <c r="M224" s="517"/>
      <c r="N224" s="517"/>
      <c r="O224" s="517"/>
      <c r="P224" s="517"/>
      <c r="Q224" s="517"/>
      <c r="R224" s="517"/>
      <c r="S224" s="517"/>
      <c r="T224" s="517"/>
      <c r="U224" s="517"/>
      <c r="V224" s="517"/>
    </row>
    <row r="225">
      <c r="B225" s="517"/>
      <c r="C225" s="517"/>
      <c r="D225" s="517"/>
      <c r="E225" s="517"/>
      <c r="F225" s="517"/>
      <c r="G225" s="517"/>
      <c r="H225" s="517"/>
      <c r="I225" s="517"/>
      <c r="J225" s="517"/>
      <c r="K225" s="517"/>
      <c r="L225" s="517"/>
      <c r="M225" s="517"/>
      <c r="N225" s="517"/>
      <c r="O225" s="517"/>
      <c r="P225" s="517"/>
      <c r="Q225" s="517"/>
      <c r="R225" s="517"/>
      <c r="S225" s="517"/>
      <c r="T225" s="517"/>
      <c r="U225" s="517"/>
      <c r="V225" s="517"/>
    </row>
    <row r="226">
      <c r="B226" s="517"/>
      <c r="C226" s="517"/>
      <c r="D226" s="517"/>
      <c r="E226" s="517"/>
      <c r="F226" s="517"/>
      <c r="G226" s="517"/>
      <c r="H226" s="517"/>
      <c r="I226" s="517"/>
      <c r="J226" s="517"/>
      <c r="K226" s="517"/>
      <c r="L226" s="517"/>
      <c r="M226" s="517"/>
      <c r="N226" s="517"/>
      <c r="O226" s="517"/>
      <c r="P226" s="517"/>
      <c r="Q226" s="517"/>
      <c r="R226" s="517"/>
      <c r="S226" s="517"/>
      <c r="T226" s="517"/>
      <c r="U226" s="517"/>
      <c r="V226" s="517"/>
    </row>
    <row r="227">
      <c r="B227" s="517"/>
      <c r="C227" s="517"/>
      <c r="D227" s="517"/>
      <c r="E227" s="517"/>
      <c r="F227" s="517"/>
      <c r="G227" s="517"/>
      <c r="H227" s="517"/>
      <c r="I227" s="517"/>
      <c r="J227" s="517"/>
      <c r="K227" s="517"/>
      <c r="L227" s="517"/>
      <c r="M227" s="517"/>
      <c r="N227" s="517"/>
      <c r="O227" s="517"/>
      <c r="P227" s="517"/>
      <c r="Q227" s="517"/>
      <c r="R227" s="517"/>
      <c r="S227" s="517"/>
      <c r="T227" s="517"/>
      <c r="U227" s="517"/>
      <c r="V227" s="517"/>
    </row>
    <row r="228">
      <c r="B228" s="517"/>
      <c r="C228" s="517"/>
      <c r="D228" s="517"/>
      <c r="E228" s="517"/>
      <c r="F228" s="517"/>
      <c r="G228" s="517"/>
      <c r="H228" s="517"/>
      <c r="I228" s="517"/>
      <c r="J228" s="517"/>
      <c r="K228" s="517"/>
      <c r="L228" s="517"/>
      <c r="M228" s="517"/>
      <c r="N228" s="517"/>
      <c r="O228" s="517"/>
      <c r="P228" s="517"/>
      <c r="Q228" s="517"/>
      <c r="R228" s="517"/>
      <c r="S228" s="517"/>
      <c r="T228" s="517"/>
      <c r="U228" s="517"/>
      <c r="V228" s="517"/>
    </row>
    <row r="229">
      <c r="B229" s="517"/>
      <c r="C229" s="517"/>
      <c r="D229" s="517"/>
      <c r="E229" s="517"/>
      <c r="F229" s="517"/>
      <c r="G229" s="517"/>
      <c r="H229" s="517"/>
      <c r="I229" s="517"/>
      <c r="J229" s="517"/>
      <c r="K229" s="517"/>
      <c r="L229" s="517"/>
      <c r="M229" s="517"/>
      <c r="N229" s="517"/>
      <c r="O229" s="517"/>
      <c r="P229" s="517"/>
      <c r="Q229" s="517"/>
      <c r="R229" s="517"/>
      <c r="S229" s="517"/>
      <c r="T229" s="517"/>
      <c r="U229" s="517"/>
      <c r="V229" s="517"/>
    </row>
    <row r="230">
      <c r="B230" s="517"/>
      <c r="C230" s="517"/>
      <c r="D230" s="517"/>
      <c r="E230" s="517"/>
      <c r="F230" s="517"/>
      <c r="G230" s="517"/>
      <c r="H230" s="517"/>
      <c r="I230" s="517"/>
      <c r="J230" s="517"/>
      <c r="K230" s="517"/>
      <c r="L230" s="517"/>
      <c r="M230" s="517"/>
      <c r="N230" s="517"/>
      <c r="O230" s="517"/>
      <c r="P230" s="517"/>
      <c r="Q230" s="517"/>
      <c r="R230" s="517"/>
      <c r="S230" s="517"/>
      <c r="T230" s="517"/>
      <c r="U230" s="517"/>
      <c r="V230" s="517"/>
    </row>
    <row r="231">
      <c r="B231" s="517"/>
      <c r="C231" s="517"/>
      <c r="D231" s="517"/>
      <c r="E231" s="517"/>
      <c r="F231" s="517"/>
      <c r="G231" s="517"/>
      <c r="H231" s="517"/>
      <c r="I231" s="517"/>
      <c r="J231" s="517"/>
      <c r="K231" s="517"/>
      <c r="L231" s="517"/>
      <c r="M231" s="517"/>
      <c r="N231" s="517"/>
      <c r="O231" s="517"/>
      <c r="P231" s="517"/>
      <c r="Q231" s="517"/>
      <c r="R231" s="517"/>
      <c r="S231" s="517"/>
      <c r="T231" s="517"/>
      <c r="U231" s="517"/>
      <c r="V231" s="517"/>
    </row>
    <row r="232">
      <c r="B232" s="517"/>
      <c r="C232" s="517"/>
      <c r="D232" s="517"/>
      <c r="E232" s="517"/>
      <c r="F232" s="517"/>
      <c r="G232" s="517"/>
      <c r="H232" s="517"/>
      <c r="I232" s="517"/>
      <c r="J232" s="517"/>
      <c r="K232" s="517"/>
      <c r="L232" s="517"/>
      <c r="M232" s="517"/>
      <c r="N232" s="517"/>
      <c r="O232" s="517"/>
      <c r="P232" s="517"/>
      <c r="Q232" s="517"/>
      <c r="R232" s="517"/>
      <c r="S232" s="517"/>
      <c r="T232" s="517"/>
      <c r="U232" s="517"/>
      <c r="V232" s="517"/>
    </row>
    <row r="233">
      <c r="B233" s="517"/>
      <c r="C233" s="517"/>
      <c r="D233" s="517"/>
      <c r="E233" s="517"/>
      <c r="F233" s="517"/>
      <c r="G233" s="517"/>
      <c r="H233" s="517"/>
      <c r="I233" s="517"/>
      <c r="J233" s="517"/>
      <c r="K233" s="517"/>
      <c r="L233" s="517"/>
      <c r="M233" s="517"/>
      <c r="N233" s="517"/>
      <c r="O233" s="517"/>
      <c r="P233" s="517"/>
      <c r="Q233" s="517"/>
      <c r="R233" s="517"/>
      <c r="S233" s="517"/>
      <c r="T233" s="517"/>
      <c r="U233" s="517"/>
      <c r="V233" s="517"/>
    </row>
    <row r="234">
      <c r="B234" s="517"/>
      <c r="C234" s="517"/>
      <c r="D234" s="517"/>
      <c r="E234" s="517"/>
      <c r="F234" s="517"/>
      <c r="G234" s="517"/>
      <c r="H234" s="517"/>
      <c r="I234" s="517"/>
      <c r="J234" s="517"/>
      <c r="K234" s="517"/>
      <c r="L234" s="517"/>
      <c r="M234" s="517"/>
      <c r="N234" s="517"/>
      <c r="O234" s="517"/>
      <c r="P234" s="517"/>
      <c r="Q234" s="517"/>
      <c r="R234" s="517"/>
      <c r="S234" s="517"/>
      <c r="T234" s="517"/>
      <c r="U234" s="517"/>
      <c r="V234" s="517"/>
    </row>
    <row r="235">
      <c r="B235" s="517"/>
      <c r="C235" s="517"/>
      <c r="D235" s="517"/>
      <c r="E235" s="517"/>
      <c r="F235" s="517"/>
      <c r="G235" s="517"/>
      <c r="H235" s="517"/>
      <c r="I235" s="517"/>
      <c r="J235" s="517"/>
      <c r="K235" s="517"/>
      <c r="L235" s="517"/>
      <c r="M235" s="517"/>
      <c r="N235" s="517"/>
      <c r="O235" s="517"/>
      <c r="P235" s="517"/>
      <c r="Q235" s="517"/>
      <c r="R235" s="517"/>
      <c r="S235" s="517"/>
      <c r="T235" s="517"/>
      <c r="U235" s="517"/>
      <c r="V235" s="517"/>
    </row>
    <row r="236">
      <c r="B236" s="517"/>
      <c r="C236" s="517"/>
      <c r="D236" s="517"/>
      <c r="E236" s="517"/>
      <c r="F236" s="517"/>
      <c r="G236" s="517"/>
      <c r="H236" s="517"/>
      <c r="I236" s="517"/>
      <c r="J236" s="517"/>
      <c r="K236" s="517"/>
      <c r="L236" s="517"/>
      <c r="M236" s="517"/>
      <c r="N236" s="517"/>
      <c r="O236" s="517"/>
      <c r="P236" s="517"/>
      <c r="Q236" s="517"/>
      <c r="R236" s="517"/>
      <c r="S236" s="517"/>
      <c r="T236" s="517"/>
      <c r="U236" s="517"/>
      <c r="V236" s="517"/>
    </row>
    <row r="237">
      <c r="B237" s="517"/>
      <c r="C237" s="517"/>
      <c r="D237" s="517"/>
      <c r="E237" s="517"/>
      <c r="F237" s="517"/>
      <c r="G237" s="517"/>
      <c r="H237" s="517"/>
      <c r="I237" s="517"/>
      <c r="J237" s="517"/>
      <c r="K237" s="517"/>
      <c r="L237" s="517"/>
      <c r="M237" s="517"/>
      <c r="N237" s="517"/>
      <c r="O237" s="517"/>
      <c r="P237" s="517"/>
      <c r="Q237" s="517"/>
      <c r="R237" s="517"/>
      <c r="S237" s="517"/>
      <c r="T237" s="517"/>
      <c r="U237" s="517"/>
      <c r="V237" s="517"/>
    </row>
    <row r="238">
      <c r="B238" s="517"/>
      <c r="C238" s="517"/>
      <c r="D238" s="517"/>
      <c r="E238" s="517"/>
      <c r="F238" s="517"/>
      <c r="G238" s="517"/>
      <c r="H238" s="517"/>
      <c r="I238" s="517"/>
      <c r="J238" s="517"/>
      <c r="K238" s="517"/>
      <c r="L238" s="517"/>
      <c r="M238" s="517"/>
      <c r="N238" s="517"/>
      <c r="O238" s="517"/>
      <c r="P238" s="517"/>
      <c r="Q238" s="517"/>
      <c r="R238" s="517"/>
      <c r="S238" s="517"/>
      <c r="T238" s="517"/>
      <c r="U238" s="517"/>
      <c r="V238" s="517"/>
    </row>
    <row r="239">
      <c r="B239" s="517"/>
      <c r="C239" s="517"/>
      <c r="D239" s="517"/>
      <c r="E239" s="517"/>
      <c r="F239" s="517"/>
      <c r="G239" s="517"/>
      <c r="H239" s="517"/>
      <c r="I239" s="517"/>
      <c r="J239" s="517"/>
      <c r="K239" s="517"/>
      <c r="L239" s="517"/>
      <c r="M239" s="517"/>
      <c r="N239" s="517"/>
      <c r="O239" s="517"/>
      <c r="P239" s="517"/>
      <c r="Q239" s="517"/>
      <c r="R239" s="517"/>
      <c r="S239" s="517"/>
      <c r="T239" s="517"/>
      <c r="U239" s="517"/>
      <c r="V239" s="517"/>
    </row>
    <row r="240">
      <c r="B240" s="517"/>
      <c r="C240" s="517"/>
      <c r="D240" s="517"/>
      <c r="E240" s="517"/>
      <c r="F240" s="517"/>
      <c r="G240" s="517"/>
      <c r="H240" s="517"/>
      <c r="I240" s="517"/>
      <c r="J240" s="517"/>
      <c r="K240" s="517"/>
      <c r="L240" s="517"/>
      <c r="M240" s="517"/>
      <c r="N240" s="517"/>
      <c r="O240" s="517"/>
      <c r="P240" s="517"/>
      <c r="Q240" s="517"/>
      <c r="R240" s="517"/>
      <c r="S240" s="517"/>
      <c r="T240" s="517"/>
      <c r="U240" s="517"/>
      <c r="V240" s="517"/>
    </row>
    <row r="241">
      <c r="B241" s="517"/>
      <c r="C241" s="517"/>
      <c r="D241" s="517"/>
      <c r="E241" s="517"/>
      <c r="F241" s="517"/>
      <c r="G241" s="517"/>
      <c r="H241" s="517"/>
      <c r="I241" s="517"/>
      <c r="J241" s="517"/>
      <c r="K241" s="517"/>
      <c r="L241" s="517"/>
      <c r="M241" s="517"/>
      <c r="N241" s="517"/>
      <c r="O241" s="517"/>
      <c r="P241" s="517"/>
      <c r="Q241" s="517"/>
      <c r="R241" s="517"/>
      <c r="S241" s="517"/>
      <c r="T241" s="517"/>
      <c r="U241" s="517"/>
      <c r="V241" s="517"/>
    </row>
    <row r="242">
      <c r="B242" s="517"/>
      <c r="C242" s="517"/>
      <c r="D242" s="517"/>
      <c r="E242" s="517"/>
      <c r="F242" s="517"/>
      <c r="G242" s="517"/>
      <c r="H242" s="517"/>
      <c r="I242" s="517"/>
      <c r="J242" s="517"/>
      <c r="K242" s="517"/>
      <c r="L242" s="517"/>
      <c r="M242" s="517"/>
      <c r="N242" s="517"/>
      <c r="O242" s="517"/>
      <c r="P242" s="517"/>
      <c r="Q242" s="517"/>
      <c r="R242" s="517"/>
      <c r="S242" s="517"/>
      <c r="T242" s="517"/>
      <c r="U242" s="517"/>
      <c r="V242" s="517"/>
    </row>
    <row r="243">
      <c r="B243" s="517"/>
      <c r="C243" s="517"/>
      <c r="D243" s="517"/>
      <c r="E243" s="517"/>
      <c r="F243" s="517"/>
      <c r="G243" s="517"/>
      <c r="H243" s="517"/>
      <c r="I243" s="517"/>
      <c r="J243" s="517"/>
      <c r="K243" s="517"/>
      <c r="L243" s="517"/>
      <c r="M243" s="517"/>
      <c r="N243" s="517"/>
      <c r="O243" s="517"/>
      <c r="P243" s="517"/>
      <c r="Q243" s="517"/>
      <c r="R243" s="517"/>
      <c r="S243" s="517"/>
      <c r="T243" s="517"/>
      <c r="U243" s="517"/>
      <c r="V243" s="517"/>
    </row>
    <row r="244">
      <c r="B244" s="517"/>
      <c r="C244" s="517"/>
      <c r="D244" s="517"/>
      <c r="E244" s="517"/>
      <c r="F244" s="517"/>
      <c r="G244" s="517"/>
      <c r="H244" s="517"/>
      <c r="I244" s="517"/>
      <c r="J244" s="517"/>
      <c r="K244" s="517"/>
      <c r="L244" s="517"/>
      <c r="M244" s="517"/>
      <c r="N244" s="517"/>
      <c r="O244" s="517"/>
      <c r="P244" s="517"/>
      <c r="Q244" s="517"/>
      <c r="R244" s="517"/>
      <c r="S244" s="517"/>
      <c r="T244" s="517"/>
      <c r="U244" s="517"/>
      <c r="V244" s="517"/>
    </row>
    <row r="245">
      <c r="B245" s="517"/>
      <c r="C245" s="517"/>
      <c r="D245" s="517"/>
      <c r="E245" s="517"/>
      <c r="F245" s="517"/>
      <c r="G245" s="517"/>
      <c r="H245" s="517"/>
      <c r="I245" s="517"/>
      <c r="J245" s="517"/>
      <c r="K245" s="517"/>
      <c r="L245" s="517"/>
      <c r="M245" s="517"/>
      <c r="N245" s="517"/>
      <c r="O245" s="517"/>
      <c r="P245" s="517"/>
      <c r="Q245" s="517"/>
      <c r="R245" s="517"/>
      <c r="S245" s="517"/>
      <c r="T245" s="517"/>
      <c r="U245" s="517"/>
      <c r="V245" s="517"/>
    </row>
    <row r="246">
      <c r="B246" s="517"/>
      <c r="C246" s="517"/>
      <c r="D246" s="517"/>
      <c r="E246" s="517"/>
      <c r="F246" s="517"/>
      <c r="G246" s="517"/>
      <c r="H246" s="517"/>
      <c r="I246" s="517"/>
      <c r="J246" s="517"/>
      <c r="K246" s="517"/>
      <c r="L246" s="517"/>
      <c r="M246" s="517"/>
      <c r="N246" s="517"/>
      <c r="O246" s="517"/>
      <c r="P246" s="517"/>
      <c r="Q246" s="517"/>
      <c r="R246" s="517"/>
      <c r="S246" s="517"/>
      <c r="T246" s="517"/>
      <c r="U246" s="517"/>
      <c r="V246" s="517"/>
    </row>
    <row r="247">
      <c r="B247" s="517"/>
      <c r="C247" s="517"/>
      <c r="D247" s="517"/>
      <c r="E247" s="517"/>
      <c r="F247" s="517"/>
      <c r="G247" s="517"/>
      <c r="H247" s="517"/>
      <c r="I247" s="517"/>
      <c r="J247" s="517"/>
      <c r="K247" s="517"/>
      <c r="L247" s="517"/>
      <c r="M247" s="517"/>
      <c r="N247" s="517"/>
      <c r="O247" s="517"/>
      <c r="P247" s="517"/>
      <c r="Q247" s="517"/>
      <c r="R247" s="517"/>
      <c r="S247" s="517"/>
      <c r="T247" s="517"/>
      <c r="U247" s="517"/>
      <c r="V247" s="517"/>
    </row>
    <row r="248">
      <c r="B248" s="517"/>
      <c r="C248" s="517"/>
      <c r="D248" s="517"/>
      <c r="E248" s="517"/>
      <c r="F248" s="517"/>
      <c r="G248" s="517"/>
      <c r="H248" s="517"/>
      <c r="I248" s="517"/>
      <c r="J248" s="517"/>
      <c r="K248" s="517"/>
      <c r="L248" s="517"/>
      <c r="M248" s="517"/>
      <c r="N248" s="517"/>
      <c r="O248" s="517"/>
      <c r="P248" s="517"/>
      <c r="Q248" s="517"/>
      <c r="R248" s="517"/>
      <c r="S248" s="517"/>
      <c r="T248" s="517"/>
      <c r="U248" s="517"/>
      <c r="V248" s="517"/>
    </row>
    <row r="249">
      <c r="B249" s="517"/>
      <c r="C249" s="517"/>
      <c r="D249" s="517"/>
      <c r="E249" s="517"/>
      <c r="F249" s="517"/>
      <c r="G249" s="517"/>
      <c r="H249" s="517"/>
      <c r="I249" s="517"/>
      <c r="J249" s="517"/>
      <c r="K249" s="517"/>
      <c r="L249" s="517"/>
      <c r="M249" s="517"/>
      <c r="N249" s="517"/>
      <c r="O249" s="517"/>
      <c r="P249" s="517"/>
      <c r="Q249" s="517"/>
      <c r="R249" s="517"/>
      <c r="S249" s="517"/>
      <c r="T249" s="517"/>
      <c r="U249" s="517"/>
      <c r="V249" s="517"/>
    </row>
    <row r="250">
      <c r="B250" s="517"/>
      <c r="C250" s="517"/>
      <c r="D250" s="517"/>
      <c r="E250" s="517"/>
      <c r="F250" s="517"/>
      <c r="G250" s="517"/>
      <c r="H250" s="517"/>
      <c r="I250" s="517"/>
      <c r="J250" s="517"/>
      <c r="K250" s="517"/>
      <c r="L250" s="517"/>
      <c r="M250" s="517"/>
      <c r="N250" s="517"/>
      <c r="O250" s="517"/>
      <c r="P250" s="517"/>
      <c r="Q250" s="517"/>
      <c r="R250" s="517"/>
      <c r="S250" s="517"/>
      <c r="T250" s="517"/>
      <c r="U250" s="517"/>
      <c r="V250" s="517"/>
    </row>
    <row r="251">
      <c r="B251" s="517"/>
      <c r="C251" s="517"/>
      <c r="D251" s="517"/>
      <c r="E251" s="517"/>
      <c r="F251" s="517"/>
      <c r="G251" s="517"/>
      <c r="H251" s="517"/>
      <c r="I251" s="517"/>
      <c r="J251" s="517"/>
      <c r="K251" s="517"/>
      <c r="L251" s="517"/>
      <c r="M251" s="517"/>
      <c r="N251" s="517"/>
      <c r="O251" s="517"/>
      <c r="P251" s="517"/>
      <c r="Q251" s="517"/>
      <c r="R251" s="517"/>
      <c r="S251" s="517"/>
      <c r="T251" s="517"/>
      <c r="U251" s="517"/>
      <c r="V251" s="517"/>
    </row>
    <row r="252">
      <c r="B252" s="517"/>
      <c r="C252" s="517"/>
      <c r="D252" s="517"/>
      <c r="E252" s="517"/>
      <c r="F252" s="517"/>
      <c r="G252" s="517"/>
      <c r="H252" s="517"/>
      <c r="I252" s="517"/>
      <c r="J252" s="517"/>
      <c r="K252" s="517"/>
      <c r="L252" s="517"/>
      <c r="M252" s="517"/>
      <c r="N252" s="517"/>
      <c r="O252" s="517"/>
      <c r="P252" s="517"/>
      <c r="Q252" s="517"/>
      <c r="R252" s="517"/>
      <c r="S252" s="517"/>
      <c r="T252" s="517"/>
      <c r="U252" s="517"/>
      <c r="V252" s="517"/>
    </row>
    <row r="253">
      <c r="B253" s="517"/>
      <c r="C253" s="517"/>
      <c r="D253" s="517"/>
      <c r="E253" s="517"/>
      <c r="F253" s="517"/>
      <c r="G253" s="517"/>
      <c r="H253" s="517"/>
      <c r="I253" s="517"/>
      <c r="J253" s="517"/>
      <c r="K253" s="517"/>
      <c r="L253" s="517"/>
      <c r="M253" s="517"/>
      <c r="N253" s="517"/>
      <c r="O253" s="517"/>
      <c r="P253" s="517"/>
      <c r="Q253" s="517"/>
      <c r="R253" s="517"/>
      <c r="S253" s="517"/>
      <c r="T253" s="517"/>
      <c r="U253" s="517"/>
      <c r="V253" s="517"/>
    </row>
    <row r="254">
      <c r="B254" s="517"/>
      <c r="C254" s="517"/>
      <c r="D254" s="517"/>
      <c r="E254" s="517"/>
      <c r="F254" s="517"/>
      <c r="G254" s="517"/>
      <c r="H254" s="517"/>
      <c r="I254" s="517"/>
      <c r="J254" s="517"/>
      <c r="K254" s="517"/>
      <c r="L254" s="517"/>
      <c r="M254" s="517"/>
      <c r="N254" s="517"/>
      <c r="O254" s="517"/>
      <c r="P254" s="517"/>
      <c r="Q254" s="517"/>
      <c r="R254" s="517"/>
      <c r="S254" s="517"/>
      <c r="T254" s="517"/>
      <c r="U254" s="517"/>
      <c r="V254" s="517"/>
    </row>
    <row r="255">
      <c r="B255" s="517"/>
      <c r="C255" s="517"/>
      <c r="D255" s="517"/>
      <c r="E255" s="517"/>
      <c r="F255" s="517"/>
      <c r="G255" s="517"/>
      <c r="H255" s="517"/>
      <c r="I255" s="517"/>
      <c r="J255" s="517"/>
      <c r="K255" s="517"/>
      <c r="L255" s="517"/>
      <c r="M255" s="517"/>
      <c r="N255" s="517"/>
      <c r="O255" s="517"/>
      <c r="P255" s="517"/>
      <c r="Q255" s="517"/>
      <c r="R255" s="517"/>
      <c r="S255" s="517"/>
      <c r="T255" s="517"/>
      <c r="U255" s="517"/>
      <c r="V255" s="517"/>
    </row>
    <row r="256">
      <c r="B256" s="517"/>
      <c r="C256" s="517"/>
      <c r="D256" s="517"/>
      <c r="E256" s="517"/>
      <c r="F256" s="517"/>
      <c r="G256" s="517"/>
      <c r="H256" s="517"/>
      <c r="I256" s="517"/>
      <c r="J256" s="517"/>
      <c r="K256" s="517"/>
      <c r="L256" s="517"/>
      <c r="M256" s="517"/>
      <c r="N256" s="517"/>
      <c r="O256" s="517"/>
      <c r="P256" s="517"/>
      <c r="Q256" s="517"/>
      <c r="R256" s="517"/>
      <c r="S256" s="517"/>
      <c r="T256" s="517"/>
      <c r="U256" s="517"/>
      <c r="V256" s="517"/>
    </row>
    <row r="257">
      <c r="B257" s="517"/>
      <c r="C257" s="517"/>
      <c r="D257" s="517"/>
      <c r="E257" s="517"/>
      <c r="F257" s="517"/>
      <c r="G257" s="517"/>
      <c r="H257" s="517"/>
      <c r="I257" s="517"/>
      <c r="J257" s="517"/>
      <c r="K257" s="517"/>
      <c r="L257" s="517"/>
      <c r="M257" s="517"/>
      <c r="N257" s="517"/>
      <c r="O257" s="517"/>
      <c r="P257" s="517"/>
      <c r="Q257" s="517"/>
      <c r="R257" s="517"/>
      <c r="S257" s="517"/>
      <c r="T257" s="517"/>
      <c r="U257" s="517"/>
      <c r="V257" s="517"/>
    </row>
    <row r="258">
      <c r="B258" s="517"/>
      <c r="C258" s="517"/>
      <c r="D258" s="517"/>
      <c r="E258" s="517"/>
      <c r="F258" s="517"/>
      <c r="G258" s="517"/>
      <c r="H258" s="517"/>
      <c r="I258" s="517"/>
      <c r="J258" s="517"/>
      <c r="K258" s="517"/>
      <c r="L258" s="517"/>
      <c r="M258" s="517"/>
      <c r="N258" s="517"/>
      <c r="O258" s="517"/>
      <c r="P258" s="517"/>
      <c r="Q258" s="517"/>
      <c r="R258" s="517"/>
      <c r="S258" s="517"/>
      <c r="T258" s="517"/>
      <c r="U258" s="517"/>
      <c r="V258" s="517"/>
    </row>
    <row r="259">
      <c r="B259" s="517"/>
      <c r="C259" s="517"/>
      <c r="D259" s="517"/>
      <c r="E259" s="517"/>
      <c r="F259" s="517"/>
      <c r="G259" s="517"/>
      <c r="H259" s="517"/>
      <c r="I259" s="517"/>
      <c r="J259" s="517"/>
      <c r="K259" s="517"/>
      <c r="L259" s="517"/>
      <c r="M259" s="517"/>
      <c r="N259" s="517"/>
      <c r="O259" s="517"/>
      <c r="P259" s="517"/>
      <c r="Q259" s="517"/>
      <c r="R259" s="517"/>
      <c r="S259" s="517"/>
      <c r="T259" s="517"/>
      <c r="U259" s="517"/>
      <c r="V259" s="517"/>
    </row>
    <row r="260">
      <c r="B260" s="517"/>
      <c r="C260" s="517"/>
      <c r="D260" s="517"/>
      <c r="E260" s="517"/>
      <c r="F260" s="517"/>
      <c r="G260" s="517"/>
      <c r="H260" s="517"/>
      <c r="I260" s="517"/>
      <c r="J260" s="517"/>
      <c r="K260" s="517"/>
      <c r="L260" s="517"/>
      <c r="M260" s="517"/>
      <c r="N260" s="517"/>
      <c r="O260" s="517"/>
      <c r="P260" s="517"/>
      <c r="Q260" s="517"/>
      <c r="R260" s="517"/>
      <c r="S260" s="517"/>
      <c r="T260" s="517"/>
      <c r="U260" s="517"/>
      <c r="V260" s="517"/>
    </row>
    <row r="261">
      <c r="B261" s="517"/>
      <c r="C261" s="517"/>
      <c r="D261" s="517"/>
      <c r="E261" s="517"/>
      <c r="F261" s="517"/>
      <c r="G261" s="517"/>
      <c r="H261" s="517"/>
      <c r="I261" s="517"/>
      <c r="J261" s="517"/>
      <c r="K261" s="517"/>
      <c r="L261" s="517"/>
      <c r="M261" s="517"/>
      <c r="N261" s="517"/>
      <c r="O261" s="517"/>
      <c r="P261" s="517"/>
      <c r="Q261" s="517"/>
      <c r="R261" s="517"/>
      <c r="S261" s="517"/>
      <c r="T261" s="517"/>
      <c r="U261" s="517"/>
      <c r="V261" s="517"/>
    </row>
    <row r="262">
      <c r="B262" s="517"/>
      <c r="C262" s="517"/>
      <c r="D262" s="517"/>
      <c r="E262" s="517"/>
      <c r="F262" s="517"/>
      <c r="G262" s="517"/>
      <c r="H262" s="517"/>
      <c r="I262" s="517"/>
      <c r="J262" s="517"/>
      <c r="K262" s="517"/>
      <c r="L262" s="517"/>
      <c r="M262" s="517"/>
      <c r="N262" s="517"/>
      <c r="O262" s="517"/>
      <c r="P262" s="517"/>
      <c r="Q262" s="517"/>
      <c r="R262" s="517"/>
      <c r="S262" s="517"/>
      <c r="T262" s="517"/>
      <c r="U262" s="517"/>
      <c r="V262" s="517"/>
    </row>
    <row r="263">
      <c r="B263" s="517"/>
      <c r="C263" s="517"/>
      <c r="D263" s="517"/>
      <c r="E263" s="517"/>
      <c r="F263" s="517"/>
      <c r="G263" s="517"/>
      <c r="H263" s="517"/>
      <c r="I263" s="517"/>
      <c r="J263" s="517"/>
      <c r="K263" s="517"/>
      <c r="L263" s="517"/>
      <c r="M263" s="517"/>
      <c r="N263" s="517"/>
      <c r="O263" s="517"/>
      <c r="P263" s="517"/>
      <c r="Q263" s="517"/>
      <c r="R263" s="517"/>
      <c r="S263" s="517"/>
      <c r="T263" s="517"/>
      <c r="U263" s="517"/>
      <c r="V263" s="517"/>
    </row>
    <row r="264">
      <c r="B264" s="517"/>
      <c r="C264" s="517"/>
      <c r="D264" s="517"/>
      <c r="E264" s="517"/>
      <c r="F264" s="517"/>
      <c r="G264" s="517"/>
      <c r="H264" s="517"/>
      <c r="I264" s="517"/>
      <c r="J264" s="517"/>
      <c r="K264" s="517"/>
      <c r="L264" s="517"/>
      <c r="M264" s="517"/>
      <c r="N264" s="517"/>
      <c r="O264" s="517"/>
      <c r="P264" s="517"/>
      <c r="Q264" s="517"/>
      <c r="R264" s="517"/>
      <c r="S264" s="517"/>
      <c r="T264" s="517"/>
      <c r="U264" s="517"/>
      <c r="V264" s="517"/>
    </row>
    <row r="265">
      <c r="B265" s="517"/>
      <c r="C265" s="517"/>
      <c r="D265" s="517"/>
      <c r="E265" s="517"/>
      <c r="F265" s="517"/>
      <c r="G265" s="517"/>
      <c r="H265" s="517"/>
      <c r="I265" s="517"/>
      <c r="J265" s="517"/>
      <c r="K265" s="517"/>
      <c r="L265" s="517"/>
      <c r="M265" s="517"/>
      <c r="N265" s="517"/>
      <c r="O265" s="517"/>
      <c r="P265" s="517"/>
      <c r="Q265" s="517"/>
      <c r="R265" s="517"/>
      <c r="S265" s="517"/>
      <c r="T265" s="517"/>
      <c r="U265" s="517"/>
      <c r="V265" s="517"/>
    </row>
    <row r="266">
      <c r="B266" s="517"/>
      <c r="C266" s="517"/>
      <c r="D266" s="517"/>
      <c r="E266" s="517"/>
      <c r="F266" s="517"/>
      <c r="G266" s="517"/>
      <c r="H266" s="517"/>
      <c r="I266" s="517"/>
      <c r="J266" s="517"/>
      <c r="K266" s="517"/>
      <c r="L266" s="517"/>
      <c r="M266" s="517"/>
      <c r="N266" s="517"/>
      <c r="O266" s="517"/>
      <c r="P266" s="517"/>
      <c r="Q266" s="517"/>
      <c r="R266" s="517"/>
      <c r="S266" s="517"/>
      <c r="T266" s="517"/>
      <c r="U266" s="517"/>
      <c r="V266" s="517"/>
    </row>
    <row r="267">
      <c r="B267" s="517"/>
      <c r="C267" s="517"/>
      <c r="D267" s="517"/>
      <c r="E267" s="517"/>
      <c r="F267" s="517"/>
      <c r="G267" s="517"/>
      <c r="H267" s="517"/>
      <c r="I267" s="517"/>
      <c r="J267" s="517"/>
      <c r="K267" s="517"/>
      <c r="L267" s="517"/>
      <c r="M267" s="517"/>
      <c r="N267" s="517"/>
      <c r="O267" s="517"/>
      <c r="P267" s="517"/>
      <c r="Q267" s="517"/>
      <c r="R267" s="517"/>
      <c r="S267" s="517"/>
      <c r="T267" s="517"/>
      <c r="U267" s="517"/>
      <c r="V267" s="517"/>
    </row>
    <row r="268">
      <c r="B268" s="517"/>
      <c r="C268" s="517"/>
      <c r="D268" s="517"/>
      <c r="E268" s="517"/>
      <c r="F268" s="517"/>
      <c r="G268" s="517"/>
      <c r="H268" s="517"/>
      <c r="I268" s="517"/>
      <c r="J268" s="517"/>
      <c r="K268" s="517"/>
      <c r="L268" s="517"/>
      <c r="M268" s="517"/>
      <c r="N268" s="517"/>
      <c r="O268" s="517"/>
      <c r="P268" s="517"/>
      <c r="Q268" s="517"/>
      <c r="R268" s="517"/>
      <c r="S268" s="517"/>
      <c r="T268" s="517"/>
      <c r="U268" s="517"/>
      <c r="V268" s="517"/>
    </row>
    <row r="269">
      <c r="B269" s="517"/>
      <c r="C269" s="517"/>
      <c r="D269" s="517"/>
      <c r="E269" s="517"/>
      <c r="F269" s="517"/>
      <c r="G269" s="517"/>
      <c r="H269" s="517"/>
      <c r="I269" s="517"/>
      <c r="J269" s="517"/>
      <c r="K269" s="517"/>
      <c r="L269" s="517"/>
      <c r="M269" s="517"/>
      <c r="N269" s="517"/>
      <c r="O269" s="517"/>
      <c r="P269" s="517"/>
      <c r="Q269" s="517"/>
      <c r="R269" s="517"/>
      <c r="S269" s="517"/>
      <c r="T269" s="517"/>
      <c r="U269" s="517"/>
      <c r="V269" s="517"/>
    </row>
    <row r="270">
      <c r="B270" s="517"/>
      <c r="C270" s="517"/>
      <c r="D270" s="517"/>
      <c r="E270" s="517"/>
      <c r="F270" s="517"/>
      <c r="G270" s="517"/>
      <c r="H270" s="517"/>
      <c r="I270" s="517"/>
      <c r="J270" s="517"/>
      <c r="K270" s="517"/>
      <c r="L270" s="517"/>
      <c r="M270" s="517"/>
      <c r="N270" s="517"/>
      <c r="O270" s="517"/>
      <c r="P270" s="517"/>
      <c r="Q270" s="517"/>
      <c r="R270" s="517"/>
      <c r="S270" s="517"/>
      <c r="T270" s="517"/>
      <c r="U270" s="517"/>
      <c r="V270" s="517"/>
    </row>
    <row r="271">
      <c r="B271" s="517"/>
      <c r="C271" s="517"/>
      <c r="D271" s="517"/>
      <c r="E271" s="517"/>
      <c r="F271" s="517"/>
      <c r="G271" s="517"/>
      <c r="H271" s="517"/>
      <c r="I271" s="517"/>
      <c r="J271" s="517"/>
      <c r="K271" s="517"/>
      <c r="L271" s="517"/>
      <c r="M271" s="517"/>
      <c r="N271" s="517"/>
      <c r="O271" s="517"/>
      <c r="P271" s="517"/>
      <c r="Q271" s="517"/>
      <c r="R271" s="517"/>
      <c r="S271" s="517"/>
      <c r="T271" s="517"/>
      <c r="U271" s="517"/>
      <c r="V271" s="517"/>
    </row>
    <row r="272">
      <c r="B272" s="517"/>
      <c r="C272" s="517"/>
      <c r="D272" s="517"/>
      <c r="E272" s="517"/>
      <c r="F272" s="517"/>
      <c r="G272" s="517"/>
      <c r="H272" s="517"/>
      <c r="I272" s="517"/>
      <c r="J272" s="517"/>
      <c r="K272" s="517"/>
      <c r="L272" s="517"/>
      <c r="M272" s="517"/>
      <c r="N272" s="517"/>
      <c r="O272" s="517"/>
      <c r="P272" s="517"/>
      <c r="Q272" s="517"/>
      <c r="R272" s="517"/>
      <c r="S272" s="517"/>
      <c r="T272" s="517"/>
      <c r="U272" s="517"/>
      <c r="V272" s="517"/>
    </row>
    <row r="273">
      <c r="B273" s="517"/>
      <c r="C273" s="517"/>
      <c r="D273" s="517"/>
      <c r="E273" s="517"/>
      <c r="F273" s="517"/>
      <c r="G273" s="517"/>
      <c r="H273" s="517"/>
      <c r="I273" s="517"/>
      <c r="J273" s="517"/>
      <c r="K273" s="517"/>
      <c r="L273" s="517"/>
      <c r="M273" s="517"/>
      <c r="N273" s="517"/>
      <c r="O273" s="517"/>
      <c r="P273" s="517"/>
      <c r="Q273" s="517"/>
      <c r="R273" s="517"/>
      <c r="S273" s="517"/>
      <c r="T273" s="517"/>
      <c r="U273" s="517"/>
      <c r="V273" s="517"/>
    </row>
    <row r="274">
      <c r="B274" s="517"/>
      <c r="C274" s="517"/>
      <c r="D274" s="517"/>
      <c r="E274" s="517"/>
      <c r="F274" s="517"/>
      <c r="G274" s="517"/>
      <c r="H274" s="517"/>
      <c r="I274" s="517"/>
      <c r="J274" s="517"/>
      <c r="K274" s="517"/>
      <c r="L274" s="517"/>
      <c r="M274" s="517"/>
      <c r="N274" s="517"/>
      <c r="O274" s="517"/>
      <c r="P274" s="517"/>
      <c r="Q274" s="517"/>
      <c r="R274" s="517"/>
      <c r="S274" s="517"/>
      <c r="T274" s="517"/>
      <c r="U274" s="517"/>
      <c r="V274" s="517"/>
    </row>
    <row r="275">
      <c r="B275" s="517"/>
      <c r="C275" s="517"/>
      <c r="D275" s="517"/>
      <c r="E275" s="517"/>
      <c r="F275" s="517"/>
      <c r="G275" s="517"/>
      <c r="H275" s="517"/>
      <c r="I275" s="517"/>
      <c r="J275" s="517"/>
      <c r="K275" s="517"/>
      <c r="L275" s="517"/>
      <c r="M275" s="517"/>
      <c r="N275" s="517"/>
      <c r="O275" s="517"/>
      <c r="P275" s="517"/>
      <c r="Q275" s="517"/>
      <c r="R275" s="517"/>
      <c r="S275" s="517"/>
      <c r="T275" s="517"/>
      <c r="U275" s="517"/>
      <c r="V275" s="517"/>
    </row>
    <row r="276">
      <c r="B276" s="517"/>
      <c r="C276" s="517"/>
      <c r="D276" s="517"/>
      <c r="E276" s="517"/>
      <c r="F276" s="517"/>
      <c r="G276" s="517"/>
      <c r="H276" s="517"/>
      <c r="I276" s="517"/>
      <c r="J276" s="517"/>
      <c r="K276" s="517"/>
      <c r="L276" s="517"/>
      <c r="M276" s="517"/>
      <c r="N276" s="517"/>
      <c r="O276" s="517"/>
      <c r="P276" s="517"/>
      <c r="Q276" s="517"/>
      <c r="R276" s="517"/>
      <c r="S276" s="517"/>
      <c r="T276" s="517"/>
      <c r="U276" s="517"/>
      <c r="V276" s="517"/>
    </row>
    <row r="277">
      <c r="B277" s="517"/>
      <c r="C277" s="517"/>
      <c r="D277" s="517"/>
      <c r="E277" s="517"/>
      <c r="F277" s="517"/>
      <c r="G277" s="517"/>
      <c r="H277" s="517"/>
      <c r="I277" s="517"/>
      <c r="J277" s="517"/>
      <c r="K277" s="517"/>
      <c r="L277" s="517"/>
      <c r="M277" s="517"/>
      <c r="N277" s="517"/>
      <c r="O277" s="517"/>
      <c r="P277" s="517"/>
      <c r="Q277" s="517"/>
      <c r="R277" s="517"/>
      <c r="S277" s="517"/>
      <c r="T277" s="517"/>
      <c r="U277" s="517"/>
      <c r="V277" s="517"/>
    </row>
    <row r="278">
      <c r="B278" s="517"/>
      <c r="C278" s="517"/>
      <c r="D278" s="517"/>
      <c r="E278" s="517"/>
      <c r="F278" s="517"/>
      <c r="G278" s="517"/>
      <c r="H278" s="517"/>
      <c r="I278" s="517"/>
      <c r="J278" s="517"/>
      <c r="K278" s="517"/>
      <c r="L278" s="517"/>
      <c r="M278" s="517"/>
      <c r="N278" s="517"/>
      <c r="O278" s="517"/>
      <c r="P278" s="517"/>
      <c r="Q278" s="517"/>
      <c r="R278" s="517"/>
      <c r="S278" s="517"/>
      <c r="T278" s="517"/>
      <c r="U278" s="517"/>
      <c r="V278" s="517"/>
    </row>
    <row r="279">
      <c r="B279" s="517"/>
      <c r="C279" s="517"/>
      <c r="D279" s="517"/>
      <c r="E279" s="517"/>
      <c r="F279" s="517"/>
      <c r="G279" s="517"/>
      <c r="H279" s="517"/>
      <c r="I279" s="517"/>
      <c r="J279" s="517"/>
      <c r="K279" s="517"/>
      <c r="L279" s="517"/>
      <c r="M279" s="517"/>
      <c r="N279" s="517"/>
      <c r="O279" s="517"/>
      <c r="P279" s="517"/>
      <c r="Q279" s="517"/>
      <c r="R279" s="517"/>
      <c r="S279" s="517"/>
      <c r="T279" s="517"/>
      <c r="U279" s="517"/>
      <c r="V279" s="517"/>
    </row>
    <row r="280">
      <c r="B280" s="517"/>
      <c r="C280" s="517"/>
      <c r="D280" s="517"/>
      <c r="E280" s="517"/>
      <c r="F280" s="517"/>
      <c r="G280" s="517"/>
      <c r="H280" s="517"/>
      <c r="I280" s="517"/>
      <c r="J280" s="517"/>
      <c r="K280" s="517"/>
      <c r="L280" s="517"/>
      <c r="M280" s="517"/>
      <c r="N280" s="517"/>
      <c r="O280" s="517"/>
      <c r="P280" s="517"/>
      <c r="Q280" s="517"/>
      <c r="R280" s="517"/>
      <c r="S280" s="517"/>
      <c r="T280" s="517"/>
      <c r="U280" s="517"/>
      <c r="V280" s="517"/>
    </row>
    <row r="281">
      <c r="B281" s="517"/>
      <c r="C281" s="517"/>
      <c r="D281" s="517"/>
      <c r="E281" s="517"/>
      <c r="F281" s="517"/>
      <c r="G281" s="517"/>
      <c r="H281" s="517"/>
      <c r="I281" s="517"/>
      <c r="J281" s="517"/>
      <c r="K281" s="517"/>
      <c r="L281" s="517"/>
      <c r="M281" s="517"/>
      <c r="N281" s="517"/>
      <c r="O281" s="517"/>
      <c r="P281" s="517"/>
      <c r="Q281" s="517"/>
      <c r="R281" s="517"/>
      <c r="S281" s="517"/>
      <c r="T281" s="517"/>
      <c r="U281" s="517"/>
      <c r="V281" s="517"/>
    </row>
    <row r="282">
      <c r="B282" s="517"/>
      <c r="C282" s="517"/>
      <c r="D282" s="517"/>
      <c r="E282" s="517"/>
      <c r="F282" s="517"/>
      <c r="G282" s="517"/>
      <c r="H282" s="517"/>
      <c r="I282" s="517"/>
      <c r="J282" s="517"/>
      <c r="K282" s="517"/>
      <c r="L282" s="517"/>
      <c r="M282" s="517"/>
      <c r="N282" s="517"/>
      <c r="O282" s="517"/>
      <c r="P282" s="517"/>
      <c r="Q282" s="517"/>
      <c r="R282" s="517"/>
      <c r="S282" s="517"/>
      <c r="T282" s="517"/>
      <c r="U282" s="517"/>
      <c r="V282" s="517"/>
    </row>
    <row r="283">
      <c r="B283" s="517"/>
      <c r="C283" s="517"/>
      <c r="D283" s="517"/>
      <c r="E283" s="517"/>
      <c r="F283" s="517"/>
      <c r="G283" s="517"/>
      <c r="H283" s="517"/>
      <c r="I283" s="517"/>
      <c r="J283" s="517"/>
      <c r="K283" s="517"/>
      <c r="L283" s="517"/>
      <c r="M283" s="517"/>
      <c r="N283" s="517"/>
      <c r="O283" s="517"/>
      <c r="P283" s="517"/>
      <c r="Q283" s="517"/>
      <c r="R283" s="517"/>
      <c r="S283" s="517"/>
      <c r="T283" s="517"/>
      <c r="U283" s="517"/>
      <c r="V283" s="517"/>
    </row>
    <row r="284">
      <c r="B284" s="517"/>
      <c r="C284" s="517"/>
      <c r="D284" s="517"/>
      <c r="E284" s="517"/>
      <c r="F284" s="517"/>
      <c r="G284" s="517"/>
      <c r="H284" s="517"/>
      <c r="I284" s="517"/>
      <c r="J284" s="517"/>
      <c r="K284" s="517"/>
      <c r="L284" s="517"/>
      <c r="M284" s="517"/>
      <c r="N284" s="517"/>
      <c r="O284" s="517"/>
      <c r="P284" s="517"/>
      <c r="Q284" s="517"/>
      <c r="R284" s="517"/>
      <c r="S284" s="517"/>
      <c r="T284" s="517"/>
      <c r="U284" s="517"/>
      <c r="V284" s="517"/>
    </row>
    <row r="285">
      <c r="B285" s="517"/>
      <c r="C285" s="517"/>
      <c r="D285" s="517"/>
      <c r="E285" s="517"/>
      <c r="F285" s="517"/>
      <c r="G285" s="517"/>
      <c r="H285" s="517"/>
      <c r="I285" s="517"/>
      <c r="J285" s="517"/>
      <c r="K285" s="517"/>
      <c r="L285" s="517"/>
      <c r="M285" s="517"/>
      <c r="N285" s="517"/>
      <c r="O285" s="517"/>
      <c r="P285" s="517"/>
      <c r="Q285" s="517"/>
      <c r="R285" s="517"/>
      <c r="S285" s="517"/>
      <c r="T285" s="517"/>
      <c r="U285" s="517"/>
      <c r="V285" s="517"/>
    </row>
    <row r="286">
      <c r="B286" s="517"/>
      <c r="C286" s="517"/>
      <c r="D286" s="517"/>
      <c r="E286" s="517"/>
      <c r="F286" s="517"/>
      <c r="G286" s="517"/>
      <c r="H286" s="517"/>
      <c r="I286" s="517"/>
      <c r="J286" s="517"/>
      <c r="K286" s="517"/>
      <c r="L286" s="517"/>
      <c r="M286" s="517"/>
      <c r="N286" s="517"/>
      <c r="O286" s="517"/>
      <c r="P286" s="517"/>
      <c r="Q286" s="517"/>
      <c r="R286" s="517"/>
      <c r="S286" s="517"/>
      <c r="T286" s="517"/>
      <c r="U286" s="517"/>
      <c r="V286" s="517"/>
    </row>
    <row r="287">
      <c r="B287" s="517"/>
      <c r="C287" s="517"/>
      <c r="D287" s="517"/>
      <c r="E287" s="517"/>
      <c r="F287" s="517"/>
      <c r="G287" s="517"/>
      <c r="H287" s="517"/>
      <c r="I287" s="517"/>
      <c r="J287" s="517"/>
      <c r="K287" s="517"/>
      <c r="L287" s="517"/>
      <c r="M287" s="517"/>
      <c r="N287" s="517"/>
      <c r="O287" s="517"/>
      <c r="P287" s="517"/>
      <c r="Q287" s="517"/>
      <c r="R287" s="517"/>
      <c r="S287" s="517"/>
      <c r="T287" s="517"/>
      <c r="U287" s="517"/>
      <c r="V287" s="517"/>
    </row>
    <row r="288">
      <c r="B288" s="517"/>
      <c r="C288" s="517"/>
      <c r="D288" s="517"/>
      <c r="E288" s="517"/>
      <c r="F288" s="517"/>
      <c r="G288" s="517"/>
      <c r="H288" s="517"/>
      <c r="I288" s="517"/>
      <c r="J288" s="517"/>
      <c r="K288" s="517"/>
      <c r="L288" s="517"/>
      <c r="M288" s="517"/>
      <c r="N288" s="517"/>
      <c r="O288" s="517"/>
      <c r="P288" s="517"/>
      <c r="Q288" s="517"/>
      <c r="R288" s="517"/>
      <c r="S288" s="517"/>
      <c r="T288" s="517"/>
      <c r="U288" s="517"/>
      <c r="V288" s="517"/>
    </row>
    <row r="289">
      <c r="B289" s="517"/>
      <c r="C289" s="517"/>
      <c r="D289" s="517"/>
      <c r="E289" s="517"/>
      <c r="F289" s="517"/>
      <c r="G289" s="517"/>
      <c r="H289" s="517"/>
      <c r="I289" s="517"/>
      <c r="J289" s="517"/>
      <c r="K289" s="517"/>
      <c r="L289" s="517"/>
      <c r="M289" s="517"/>
      <c r="N289" s="517"/>
      <c r="O289" s="517"/>
      <c r="P289" s="517"/>
      <c r="Q289" s="517"/>
      <c r="R289" s="517"/>
      <c r="S289" s="517"/>
      <c r="T289" s="517"/>
      <c r="U289" s="517"/>
      <c r="V289" s="517"/>
    </row>
    <row r="290">
      <c r="B290" s="517"/>
      <c r="C290" s="517"/>
      <c r="D290" s="517"/>
      <c r="E290" s="517"/>
      <c r="F290" s="517"/>
      <c r="G290" s="517"/>
      <c r="H290" s="517"/>
      <c r="I290" s="517"/>
      <c r="J290" s="517"/>
      <c r="K290" s="517"/>
      <c r="L290" s="517"/>
      <c r="M290" s="517"/>
      <c r="N290" s="517"/>
      <c r="O290" s="517"/>
      <c r="P290" s="517"/>
      <c r="Q290" s="517"/>
      <c r="R290" s="517"/>
      <c r="S290" s="517"/>
      <c r="T290" s="517"/>
      <c r="U290" s="517"/>
      <c r="V290" s="517"/>
    </row>
    <row r="291">
      <c r="B291" s="517"/>
      <c r="C291" s="517"/>
      <c r="D291" s="517"/>
      <c r="E291" s="517"/>
      <c r="F291" s="517"/>
      <c r="G291" s="517"/>
      <c r="H291" s="517"/>
      <c r="I291" s="517"/>
      <c r="J291" s="517"/>
      <c r="K291" s="517"/>
      <c r="L291" s="517"/>
      <c r="M291" s="517"/>
      <c r="N291" s="517"/>
      <c r="O291" s="517"/>
      <c r="P291" s="517"/>
      <c r="Q291" s="517"/>
      <c r="R291" s="517"/>
      <c r="S291" s="517"/>
      <c r="T291" s="517"/>
      <c r="U291" s="517"/>
      <c r="V291" s="517"/>
    </row>
    <row r="292">
      <c r="B292" s="517"/>
      <c r="C292" s="517"/>
      <c r="D292" s="517"/>
      <c r="E292" s="517"/>
      <c r="F292" s="517"/>
      <c r="G292" s="517"/>
      <c r="H292" s="517"/>
      <c r="I292" s="517"/>
      <c r="J292" s="517"/>
      <c r="K292" s="517"/>
      <c r="L292" s="517"/>
      <c r="M292" s="517"/>
      <c r="N292" s="517"/>
      <c r="O292" s="517"/>
      <c r="P292" s="517"/>
      <c r="Q292" s="517"/>
      <c r="R292" s="517"/>
      <c r="S292" s="517"/>
      <c r="T292" s="517"/>
      <c r="U292" s="517"/>
      <c r="V292" s="517"/>
    </row>
    <row r="293">
      <c r="B293" s="517"/>
      <c r="C293" s="517"/>
      <c r="D293" s="517"/>
      <c r="E293" s="517"/>
      <c r="F293" s="517"/>
      <c r="G293" s="517"/>
      <c r="H293" s="517"/>
      <c r="I293" s="517"/>
      <c r="J293" s="517"/>
      <c r="K293" s="517"/>
      <c r="L293" s="517"/>
      <c r="M293" s="517"/>
      <c r="N293" s="517"/>
      <c r="O293" s="517"/>
      <c r="P293" s="517"/>
      <c r="Q293" s="517"/>
      <c r="R293" s="517"/>
      <c r="S293" s="517"/>
      <c r="T293" s="517"/>
      <c r="U293" s="517"/>
      <c r="V293" s="517"/>
    </row>
    <row r="294">
      <c r="B294" s="517"/>
      <c r="C294" s="517"/>
      <c r="D294" s="517"/>
      <c r="E294" s="517"/>
      <c r="F294" s="517"/>
      <c r="G294" s="517"/>
      <c r="H294" s="517"/>
      <c r="I294" s="517"/>
      <c r="J294" s="517"/>
      <c r="K294" s="517"/>
      <c r="L294" s="517"/>
      <c r="M294" s="517"/>
      <c r="N294" s="517"/>
      <c r="O294" s="517"/>
      <c r="P294" s="517"/>
      <c r="Q294" s="517"/>
      <c r="R294" s="517"/>
      <c r="S294" s="517"/>
      <c r="T294" s="517"/>
      <c r="U294" s="517"/>
      <c r="V294" s="517"/>
    </row>
    <row r="295">
      <c r="B295" s="517"/>
      <c r="C295" s="517"/>
      <c r="D295" s="517"/>
      <c r="E295" s="517"/>
      <c r="F295" s="517"/>
      <c r="G295" s="517"/>
      <c r="H295" s="517"/>
      <c r="I295" s="517"/>
      <c r="J295" s="517"/>
      <c r="K295" s="517"/>
      <c r="L295" s="517"/>
      <c r="M295" s="517"/>
      <c r="N295" s="517"/>
      <c r="O295" s="517"/>
      <c r="P295" s="517"/>
      <c r="Q295" s="517"/>
      <c r="R295" s="517"/>
      <c r="S295" s="517"/>
      <c r="T295" s="517"/>
      <c r="U295" s="517"/>
      <c r="V295" s="517"/>
    </row>
    <row r="296">
      <c r="B296" s="517"/>
      <c r="C296" s="517"/>
      <c r="D296" s="517"/>
      <c r="E296" s="517"/>
      <c r="F296" s="517"/>
      <c r="G296" s="517"/>
      <c r="H296" s="517"/>
      <c r="I296" s="517"/>
      <c r="J296" s="517"/>
      <c r="K296" s="517"/>
      <c r="L296" s="517"/>
      <c r="M296" s="517"/>
      <c r="N296" s="517"/>
      <c r="O296" s="517"/>
      <c r="P296" s="517"/>
      <c r="Q296" s="517"/>
      <c r="R296" s="517"/>
      <c r="S296" s="517"/>
      <c r="T296" s="517"/>
      <c r="U296" s="517"/>
      <c r="V296" s="517"/>
    </row>
    <row r="297">
      <c r="B297" s="517"/>
      <c r="C297" s="517"/>
      <c r="D297" s="517"/>
      <c r="E297" s="517"/>
      <c r="F297" s="517"/>
      <c r="G297" s="517"/>
      <c r="H297" s="517"/>
      <c r="I297" s="517"/>
      <c r="J297" s="517"/>
      <c r="K297" s="517"/>
      <c r="L297" s="517"/>
      <c r="M297" s="517"/>
      <c r="N297" s="517"/>
      <c r="O297" s="517"/>
      <c r="P297" s="517"/>
      <c r="Q297" s="517"/>
      <c r="R297" s="517"/>
      <c r="S297" s="517"/>
      <c r="T297" s="517"/>
      <c r="U297" s="517"/>
      <c r="V297" s="517"/>
    </row>
    <row r="298">
      <c r="B298" s="517"/>
      <c r="C298" s="517"/>
      <c r="D298" s="517"/>
      <c r="E298" s="517"/>
      <c r="F298" s="517"/>
      <c r="G298" s="517"/>
      <c r="H298" s="517"/>
      <c r="I298" s="517"/>
      <c r="J298" s="517"/>
      <c r="K298" s="517"/>
      <c r="L298" s="517"/>
      <c r="M298" s="517"/>
      <c r="N298" s="517"/>
      <c r="O298" s="517"/>
      <c r="P298" s="517"/>
      <c r="Q298" s="517"/>
      <c r="R298" s="517"/>
      <c r="S298" s="517"/>
      <c r="T298" s="517"/>
      <c r="U298" s="517"/>
      <c r="V298" s="517"/>
    </row>
    <row r="299">
      <c r="B299" s="517"/>
      <c r="C299" s="517"/>
      <c r="D299" s="517"/>
      <c r="E299" s="517"/>
      <c r="F299" s="517"/>
      <c r="G299" s="517"/>
      <c r="H299" s="517"/>
      <c r="I299" s="517"/>
      <c r="J299" s="517"/>
      <c r="K299" s="517"/>
      <c r="L299" s="517"/>
      <c r="M299" s="517"/>
      <c r="N299" s="517"/>
      <c r="O299" s="517"/>
      <c r="P299" s="517"/>
      <c r="Q299" s="517"/>
      <c r="R299" s="517"/>
      <c r="S299" s="517"/>
      <c r="T299" s="517"/>
      <c r="U299" s="517"/>
      <c r="V299" s="517"/>
    </row>
    <row r="300">
      <c r="B300" s="517"/>
      <c r="C300" s="517"/>
      <c r="D300" s="517"/>
      <c r="E300" s="517"/>
      <c r="F300" s="517"/>
      <c r="G300" s="517"/>
      <c r="H300" s="517"/>
      <c r="I300" s="517"/>
      <c r="J300" s="517"/>
      <c r="K300" s="517"/>
      <c r="L300" s="517"/>
      <c r="M300" s="517"/>
      <c r="N300" s="517"/>
      <c r="O300" s="517"/>
      <c r="P300" s="517"/>
      <c r="Q300" s="517"/>
      <c r="R300" s="517"/>
      <c r="S300" s="517"/>
      <c r="T300" s="517"/>
      <c r="U300" s="517"/>
      <c r="V300" s="517"/>
    </row>
    <row r="301">
      <c r="B301" s="517"/>
      <c r="C301" s="517"/>
      <c r="D301" s="517"/>
      <c r="E301" s="517"/>
      <c r="F301" s="517"/>
      <c r="G301" s="517"/>
      <c r="H301" s="517"/>
      <c r="I301" s="517"/>
      <c r="J301" s="517"/>
      <c r="K301" s="517"/>
      <c r="L301" s="517"/>
      <c r="M301" s="517"/>
      <c r="N301" s="517"/>
      <c r="O301" s="517"/>
      <c r="P301" s="517"/>
      <c r="Q301" s="517"/>
      <c r="R301" s="517"/>
      <c r="S301" s="517"/>
      <c r="T301" s="517"/>
      <c r="U301" s="517"/>
      <c r="V301" s="517"/>
    </row>
    <row r="302">
      <c r="B302" s="517"/>
      <c r="C302" s="517"/>
      <c r="D302" s="517"/>
      <c r="E302" s="517"/>
      <c r="F302" s="517"/>
      <c r="G302" s="517"/>
      <c r="H302" s="517"/>
      <c r="I302" s="517"/>
      <c r="J302" s="517"/>
      <c r="K302" s="517"/>
      <c r="L302" s="517"/>
      <c r="M302" s="517"/>
      <c r="N302" s="517"/>
      <c r="O302" s="517"/>
      <c r="P302" s="517"/>
      <c r="Q302" s="517"/>
      <c r="R302" s="517"/>
      <c r="S302" s="517"/>
      <c r="T302" s="517"/>
      <c r="U302" s="517"/>
      <c r="V302" s="517"/>
    </row>
  </sheetData>
  <autoFilter ref="$A$3:$AN$129"/>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cols>
    <col customWidth="1" min="1" max="1" width="2.63"/>
    <col customWidth="1" min="2" max="2" width="9.0"/>
  </cols>
  <sheetData>
    <row r="4">
      <c r="B4" s="517" t="str">
        <f>IFERROR(__xludf.DUMMYFUNCTION("importrange(""https://docs.google.com/spreadsheets/d/1LJ7gQkkxqUTA9m8JIe3s51mtZ7qFu6YhdvM2Qxgf86U/edit?gid=488190159#gid=488190159"",""FL5_POR_EAN &amp; UPC &amp; cSKU!B11:T212"")"),"#")</f>
        <v>#</v>
      </c>
      <c r="C4" s="517" t="str">
        <f>IFERROR(__xludf.DUMMYFUNCTION("""COMPUTED_VALUE"""),"Purpose")</f>
        <v>Purpose</v>
      </c>
      <c r="D4" s="517" t="str">
        <f>IFERROR(__xludf.DUMMYFUNCTION("""COMPUTED_VALUE"""),"Packout 
Type")</f>
        <v>Packout 
Type</v>
      </c>
      <c r="E4" s="517" t="str">
        <f>IFERROR(__xludf.DUMMYFUNCTION("""COMPUTED_VALUE"""),"Sales SKU")</f>
        <v>Sales SKU</v>
      </c>
      <c r="F4" s="517" t="str">
        <f>IFERROR(__xludf.DUMMYFUNCTION("""COMPUTED_VALUE"""),"SKU Name")</f>
        <v>SKU Name</v>
      </c>
      <c r="G4" s="517" t="str">
        <f>IFERROR(__xludf.DUMMYFUNCTION("""COMPUTED_VALUE"""),"P-SKU")</f>
        <v>P-SKU</v>
      </c>
      <c r="H4" s="517" t="str">
        <f>IFERROR(__xludf.DUMMYFUNCTION("""COMPUTED_VALUE"""),"RF Type")</f>
        <v>RF Type</v>
      </c>
      <c r="I4" s="517" t="str">
        <f>IFERROR(__xludf.DUMMYFUNCTION("""COMPUTED_VALUE"""),"Color Key")</f>
        <v>Color Key</v>
      </c>
      <c r="J4" s="517" t="str">
        <f>IFERROR(__xludf.DUMMYFUNCTION("""COMPUTED_VALUE"""),"Color Name")</f>
        <v>Color Name</v>
      </c>
      <c r="K4" s="517" t="str">
        <f>IFERROR(__xludf.DUMMYFUNCTION("""COMPUTED_VALUE"""),"Color ID")</f>
        <v>Color ID</v>
      </c>
      <c r="L4" s="517" t="str">
        <f>IFERROR(__xludf.DUMMYFUNCTION("""COMPUTED_VALUE"""),"Model#
產品型號#")</f>
        <v>Model#
產品型號#</v>
      </c>
      <c r="M4" s="517" t="str">
        <f>IFERROR(__xludf.DUMMYFUNCTION("""COMPUTED_VALUE"""),"TAC Region
出貨地")</f>
        <v>TAC Region
出貨地</v>
      </c>
      <c r="N4" s="517" t="str">
        <f>IFERROR(__xludf.DUMMYFUNCTION("""COMPUTED_VALUE"""),"Description _20250407 (From zNEXT)
(關務備案內容)")</f>
        <v>Description _20250407 (From zNEXT)
(關務備案內容)</v>
      </c>
      <c r="O4" s="517" t="str">
        <f>IFERROR(__xludf.DUMMYFUNCTION("""COMPUTED_VALUE"""),"WCC
[WiFi Country Code]")</f>
        <v>WCC
[WiFi Country Code]</v>
      </c>
      <c r="P4" s="517" t="str">
        <f>IFERROR(__xludf.DUMMYFUNCTION("""COMPUTED_VALUE"""),"UFS")</f>
        <v>UFS</v>
      </c>
      <c r="Q4" s="518" t="str">
        <f>IFERROR(__xludf.DUMMYFUNCTION("""COMPUTED_VALUE"""),"cSKU
(Carrier SKU)")</f>
        <v>cSKU
(Carrier SKU)</v>
      </c>
      <c r="R4" s="535" t="str">
        <f>IFERROR(__xludf.DUMMYFUNCTION("""COMPUTED_VALUE"""),"UPC Code-12")</f>
        <v>UPC Code-12</v>
      </c>
      <c r="S4" s="535" t="str">
        <f>IFERROR(__xludf.DUMMYFUNCTION("""COMPUTED_VALUE"""),"EAN Code-13")</f>
        <v>EAN Code-13</v>
      </c>
      <c r="T4" s="518" t="str">
        <f>IFERROR(__xludf.DUMMYFUNCTION("""COMPUTED_VALUE"""),"Stage")</f>
        <v>Stage</v>
      </c>
    </row>
    <row r="5">
      <c r="B5" s="517">
        <f>IFERROR(__xludf.DUMMYFUNCTION("""COMPUTED_VALUE"""),1.0)</f>
        <v>1</v>
      </c>
      <c r="C5" s="517" t="str">
        <f>IFERROR(__xludf.DUMMYFUNCTION("""COMPUTED_VALUE"""),"Pristine")</f>
        <v>Pristine</v>
      </c>
      <c r="D5" s="517" t="str">
        <f>IFERROR(__xludf.DUMMYFUNCTION("""COMPUTED_VALUE"""),"Retail Pack")</f>
        <v>Retail Pack</v>
      </c>
      <c r="E5" s="517" t="str">
        <f>IFERROR(__xludf.DUMMYFUNCTION("""COMPUTED_VALUE"""),"GA09425-US")</f>
        <v>GA09425-US</v>
      </c>
      <c r="F5" s="517" t="str">
        <f>IFERROR(__xludf.DUMMYFUNCTION("""COMPUTED_VALUE"""),"VZW, US")</f>
        <v>VZW, US</v>
      </c>
      <c r="G5" s="517" t="str">
        <f>IFERROR(__xludf.DUMMYFUNCTION("""COMPUTED_VALUE"""),"UVZ")</f>
        <v>UVZ</v>
      </c>
      <c r="H5" s="517" t="str">
        <f>IFERROR(__xludf.DUMMYFUNCTION("""COMPUTED_VALUE"""),"mmWave")</f>
        <v>mmWave</v>
      </c>
      <c r="I5" s="517" t="str">
        <f>IFERROR(__xludf.DUMMYFUNCTION("""COMPUTED_VALUE"""),"CLR1")</f>
        <v>CLR1</v>
      </c>
      <c r="J5" s="517" t="str">
        <f>IFERROR(__xludf.DUMMYFUNCTION("""COMPUTED_VALUE"""),"Midnight Haze")</f>
        <v>Midnight Haze</v>
      </c>
      <c r="K5" s="517" t="str">
        <f>IFERROR(__xludf.DUMMYFUNCTION("""COMPUTED_VALUE"""),"BLK")</f>
        <v>BLK</v>
      </c>
      <c r="L5" s="517" t="str">
        <f>IFERROR(__xludf.DUMMYFUNCTION("""COMPUTED_VALUE"""),"GLBW0")</f>
        <v>GLBW0</v>
      </c>
      <c r="M5" s="517" t="str">
        <f>IFERROR(__xludf.DUMMYFUNCTION("""COMPUTED_VALUE"""),"VZW")</f>
        <v>VZW</v>
      </c>
      <c r="N5" s="517" t="str">
        <f>IFERROR(__xludf.DUMMYFUNCTION("""COMPUTED_VALUE"""),"SKU, CLR1, GOOD, MMWAVE, VZW, US, FL5")</f>
        <v>SKU, CLR1, GOOD, MMWAVE, VZW, US, FL5</v>
      </c>
      <c r="O5" s="517" t="str">
        <f>IFERROR(__xludf.DUMMYFUNCTION("""COMPUTED_VALUE"""),"US")</f>
        <v>US</v>
      </c>
      <c r="P5" s="517" t="str">
        <f>IFERROR(__xludf.DUMMYFUNCTION("""COMPUTED_VALUE"""),"128GB")</f>
        <v>128GB</v>
      </c>
      <c r="Q5" s="517"/>
      <c r="R5" s="518" t="str">
        <f>IFERROR(__xludf.DUMMYFUNCTION("""COMPUTED_VALUE"""),"840353926844")</f>
        <v>840353926844</v>
      </c>
      <c r="S5" s="518" t="str">
        <f>IFERROR(__xludf.DUMMYFUNCTION("""COMPUTED_VALUE"""),"0840353926844")</f>
        <v>0840353926844</v>
      </c>
      <c r="T5" s="517" t="str">
        <f>IFERROR(__xludf.DUMMYFUNCTION("""COMPUTED_VALUE"""),"MP")</f>
        <v>MP</v>
      </c>
    </row>
    <row r="6">
      <c r="B6" s="517">
        <f>IFERROR(__xludf.DUMMYFUNCTION("""COMPUTED_VALUE"""),2.0)</f>
        <v>2</v>
      </c>
      <c r="C6" s="517" t="str">
        <f>IFERROR(__xludf.DUMMYFUNCTION("""COMPUTED_VALUE"""),"Pristine")</f>
        <v>Pristine</v>
      </c>
      <c r="D6" s="517" t="str">
        <f>IFERROR(__xludf.DUMMYFUNCTION("""COMPUTED_VALUE"""),"Retail Pack")</f>
        <v>Retail Pack</v>
      </c>
      <c r="E6" s="517" t="str">
        <f>IFERROR(__xludf.DUMMYFUNCTION("""COMPUTED_VALUE"""),"GA10238-US")</f>
        <v>GA10238-US</v>
      </c>
      <c r="F6" s="517" t="str">
        <f>IFERROR(__xludf.DUMMYFUNCTION("""COMPUTED_VALUE"""),"VZW, US")</f>
        <v>VZW, US</v>
      </c>
      <c r="G6" s="517" t="str">
        <f>IFERROR(__xludf.DUMMYFUNCTION("""COMPUTED_VALUE"""),"UVZ")</f>
        <v>UVZ</v>
      </c>
      <c r="H6" s="517" t="str">
        <f>IFERROR(__xludf.DUMMYFUNCTION("""COMPUTED_VALUE"""),"mmWave")</f>
        <v>mmWave</v>
      </c>
      <c r="I6" s="517" t="str">
        <f>IFERROR(__xludf.DUMMYFUNCTION("""COMPUTED_VALUE"""),"CLR2")</f>
        <v>CLR2</v>
      </c>
      <c r="J6" s="517" t="str">
        <f>IFERROR(__xludf.DUMMYFUNCTION("""COMPUTED_VALUE"""),"Iris")</f>
        <v>Iris</v>
      </c>
      <c r="K6" s="517" t="str">
        <f>IFERROR(__xludf.DUMMYFUNCTION("""COMPUTED_VALUE"""),"PPL")</f>
        <v>PPL</v>
      </c>
      <c r="L6" s="517" t="str">
        <f>IFERROR(__xludf.DUMMYFUNCTION("""COMPUTED_VALUE"""),"GLBW0")</f>
        <v>GLBW0</v>
      </c>
      <c r="M6" s="517" t="str">
        <f>IFERROR(__xludf.DUMMYFUNCTION("""COMPUTED_VALUE"""),"VZW")</f>
        <v>VZW</v>
      </c>
      <c r="N6" s="517" t="str">
        <f>IFERROR(__xludf.DUMMYFUNCTION("""COMPUTED_VALUE"""),"SKU, CLR2, GOOD, MMWAVE, VZW, US, FL5")</f>
        <v>SKU, CLR2, GOOD, MMWAVE, VZW, US, FL5</v>
      </c>
      <c r="O6" s="517" t="str">
        <f>IFERROR(__xludf.DUMMYFUNCTION("""COMPUTED_VALUE"""),"US")</f>
        <v>US</v>
      </c>
      <c r="P6" s="517" t="str">
        <f>IFERROR(__xludf.DUMMYFUNCTION("""COMPUTED_VALUE"""),"128GB")</f>
        <v>128GB</v>
      </c>
      <c r="Q6" s="517"/>
      <c r="R6" s="518" t="str">
        <f>IFERROR(__xludf.DUMMYFUNCTION("""COMPUTED_VALUE"""),"840353926851")</f>
        <v>840353926851</v>
      </c>
      <c r="S6" s="518" t="str">
        <f>IFERROR(__xludf.DUMMYFUNCTION("""COMPUTED_VALUE"""),"0840353926851")</f>
        <v>0840353926851</v>
      </c>
      <c r="T6" s="517" t="str">
        <f>IFERROR(__xludf.DUMMYFUNCTION("""COMPUTED_VALUE"""),"MP")</f>
        <v>MP</v>
      </c>
    </row>
    <row r="7">
      <c r="B7" s="517">
        <f>IFERROR(__xludf.DUMMYFUNCTION("""COMPUTED_VALUE"""),3.0)</f>
        <v>3</v>
      </c>
      <c r="C7" s="517" t="str">
        <f>IFERROR(__xludf.DUMMYFUNCTION("""COMPUTED_VALUE"""),"Pristine")</f>
        <v>Pristine</v>
      </c>
      <c r="D7" s="517" t="str">
        <f>IFERROR(__xludf.DUMMYFUNCTION("""COMPUTED_VALUE"""),"Retail Pack")</f>
        <v>Retail Pack</v>
      </c>
      <c r="E7" s="517" t="str">
        <f>IFERROR(__xludf.DUMMYFUNCTION("""COMPUTED_VALUE"""),"GA10239-US")</f>
        <v>GA10239-US</v>
      </c>
      <c r="F7" s="517" t="str">
        <f>IFERROR(__xludf.DUMMYFUNCTION("""COMPUTED_VALUE"""),"VZW, US")</f>
        <v>VZW, US</v>
      </c>
      <c r="G7" s="517" t="str">
        <f>IFERROR(__xludf.DUMMYFUNCTION("""COMPUTED_VALUE"""),"UVZ")</f>
        <v>UVZ</v>
      </c>
      <c r="H7" s="517" t="str">
        <f>IFERROR(__xludf.DUMMYFUNCTION("""COMPUTED_VALUE"""),"mmWave")</f>
        <v>mmWave</v>
      </c>
      <c r="I7" s="517" t="str">
        <f>IFERROR(__xludf.DUMMYFUNCTION("""COMPUTED_VALUE"""),"CLR3")</f>
        <v>CLR3</v>
      </c>
      <c r="J7" s="517" t="str">
        <f>IFERROR(__xludf.DUMMYFUNCTION("""COMPUTED_VALUE"""),"Limoncello Midtone")</f>
        <v>Limoncello Midtone</v>
      </c>
      <c r="K7" s="517" t="str">
        <f>IFERROR(__xludf.DUMMYFUNCTION("""COMPUTED_VALUE"""),"YEL")</f>
        <v>YEL</v>
      </c>
      <c r="L7" s="517" t="str">
        <f>IFERROR(__xludf.DUMMYFUNCTION("""COMPUTED_VALUE"""),"GLBW0")</f>
        <v>GLBW0</v>
      </c>
      <c r="M7" s="517" t="str">
        <f>IFERROR(__xludf.DUMMYFUNCTION("""COMPUTED_VALUE"""),"VZW")</f>
        <v>VZW</v>
      </c>
      <c r="N7" s="517" t="str">
        <f>IFERROR(__xludf.DUMMYFUNCTION("""COMPUTED_VALUE"""),"SKU, CLR3, GOOD, MMWAVE, VZW, US, FL5")</f>
        <v>SKU, CLR3, GOOD, MMWAVE, VZW, US, FL5</v>
      </c>
      <c r="O7" s="517" t="str">
        <f>IFERROR(__xludf.DUMMYFUNCTION("""COMPUTED_VALUE"""),"US")</f>
        <v>US</v>
      </c>
      <c r="P7" s="517" t="str">
        <f>IFERROR(__xludf.DUMMYFUNCTION("""COMPUTED_VALUE"""),"128GB")</f>
        <v>128GB</v>
      </c>
      <c r="Q7" s="517"/>
      <c r="R7" s="518" t="str">
        <f>IFERROR(__xludf.DUMMYFUNCTION("""COMPUTED_VALUE"""),"840353926875")</f>
        <v>840353926875</v>
      </c>
      <c r="S7" s="518" t="str">
        <f>IFERROR(__xludf.DUMMYFUNCTION("""COMPUTED_VALUE"""),"0840353926875")</f>
        <v>0840353926875</v>
      </c>
      <c r="T7" s="517" t="str">
        <f>IFERROR(__xludf.DUMMYFUNCTION("""COMPUTED_VALUE"""),"PVT/MP")</f>
        <v>PVT/MP</v>
      </c>
    </row>
    <row r="8">
      <c r="B8" s="517">
        <f>IFERROR(__xludf.DUMMYFUNCTION("""COMPUTED_VALUE"""),4.0)</f>
        <v>4</v>
      </c>
      <c r="C8" s="517" t="str">
        <f>IFERROR(__xludf.DUMMYFUNCTION("""COMPUTED_VALUE"""),"Pristine")</f>
        <v>Pristine</v>
      </c>
      <c r="D8" s="517" t="str">
        <f>IFERROR(__xludf.DUMMYFUNCTION("""COMPUTED_VALUE"""),"Retail Pack")</f>
        <v>Retail Pack</v>
      </c>
      <c r="E8" s="517" t="str">
        <f>IFERROR(__xludf.DUMMYFUNCTION("""COMPUTED_VALUE"""),"GA10240-US")</f>
        <v>GA10240-US</v>
      </c>
      <c r="F8" s="517" t="str">
        <f>IFERROR(__xludf.DUMMYFUNCTION("""COMPUTED_VALUE"""),"VZW, US")</f>
        <v>VZW, US</v>
      </c>
      <c r="G8" s="517" t="str">
        <f>IFERROR(__xludf.DUMMYFUNCTION("""COMPUTED_VALUE"""),"UVZ")</f>
        <v>UVZ</v>
      </c>
      <c r="H8" s="517" t="str">
        <f>IFERROR(__xludf.DUMMYFUNCTION("""COMPUTED_VALUE"""),"mmWave")</f>
        <v>mmWave</v>
      </c>
      <c r="I8" s="517" t="str">
        <f>IFERROR(__xludf.DUMMYFUNCTION("""COMPUTED_VALUE"""),"CLR4")</f>
        <v>CLR4</v>
      </c>
      <c r="J8" s="517" t="str">
        <f>IFERROR(__xludf.DUMMYFUNCTION("""COMPUTED_VALUE"""),"Ultra Blue")</f>
        <v>Ultra Blue</v>
      </c>
      <c r="K8" s="517" t="str">
        <f>IFERROR(__xludf.DUMMYFUNCTION("""COMPUTED_VALUE"""),"BUE")</f>
        <v>BUE</v>
      </c>
      <c r="L8" s="517" t="str">
        <f>IFERROR(__xludf.DUMMYFUNCTION("""COMPUTED_VALUE"""),"GLBW0")</f>
        <v>GLBW0</v>
      </c>
      <c r="M8" s="517" t="str">
        <f>IFERROR(__xludf.DUMMYFUNCTION("""COMPUTED_VALUE"""),"VZW")</f>
        <v>VZW</v>
      </c>
      <c r="N8" s="517" t="str">
        <f>IFERROR(__xludf.DUMMYFUNCTION("""COMPUTED_VALUE"""),"SKU, CLR4, GOOD, MMWAVE, VZW, US, FL5")</f>
        <v>SKU, CLR4, GOOD, MMWAVE, VZW, US, FL5</v>
      </c>
      <c r="O8" s="517" t="str">
        <f>IFERROR(__xludf.DUMMYFUNCTION("""COMPUTED_VALUE"""),"US")</f>
        <v>US</v>
      </c>
      <c r="P8" s="517" t="str">
        <f>IFERROR(__xludf.DUMMYFUNCTION("""COMPUTED_VALUE"""),"128GB")</f>
        <v>128GB</v>
      </c>
      <c r="Q8" s="517"/>
      <c r="R8" s="518" t="str">
        <f>IFERROR(__xludf.DUMMYFUNCTION("""COMPUTED_VALUE"""),"840353926868")</f>
        <v>840353926868</v>
      </c>
      <c r="S8" s="518" t="str">
        <f>IFERROR(__xludf.DUMMYFUNCTION("""COMPUTED_VALUE"""),"0840353926868")</f>
        <v>0840353926868</v>
      </c>
      <c r="T8" s="517" t="str">
        <f>IFERROR(__xludf.DUMMYFUNCTION("""COMPUTED_VALUE"""),"PVT/MP")</f>
        <v>PVT/MP</v>
      </c>
    </row>
    <row r="9">
      <c r="B9" s="517">
        <f>IFERROR(__xludf.DUMMYFUNCTION("""COMPUTED_VALUE"""),5.0)</f>
        <v>5</v>
      </c>
      <c r="C9" s="517" t="str">
        <f>IFERROR(__xludf.DUMMYFUNCTION("""COMPUTED_VALUE"""),"Pristine")</f>
        <v>Pristine</v>
      </c>
      <c r="D9" s="517" t="str">
        <f>IFERROR(__xludf.DUMMYFUNCTION("""COMPUTED_VALUE"""),"Retail Pack")</f>
        <v>Retail Pack</v>
      </c>
      <c r="E9" s="517" t="str">
        <f>IFERROR(__xludf.DUMMYFUNCTION("""COMPUTED_VALUE"""),"GA09861-US")</f>
        <v>GA09861-US</v>
      </c>
      <c r="F9" s="517" t="str">
        <f>IFERROR(__xludf.DUMMYFUNCTION("""COMPUTED_VALUE"""),"AT&amp;T, US")</f>
        <v>AT&amp;T, US</v>
      </c>
      <c r="G9" s="517" t="str">
        <f>IFERROR(__xludf.DUMMYFUNCTION("""COMPUTED_VALUE"""),"UAT")</f>
        <v>UAT</v>
      </c>
      <c r="H9" s="517" t="str">
        <f>IFERROR(__xludf.DUMMYFUNCTION("""COMPUTED_VALUE"""),"mmWave")</f>
        <v>mmWave</v>
      </c>
      <c r="I9" s="517" t="str">
        <f>IFERROR(__xludf.DUMMYFUNCTION("""COMPUTED_VALUE"""),"CLR1")</f>
        <v>CLR1</v>
      </c>
      <c r="J9" s="517" t="str">
        <f>IFERROR(__xludf.DUMMYFUNCTION("""COMPUTED_VALUE"""),"Midnight Haze")</f>
        <v>Midnight Haze</v>
      </c>
      <c r="K9" s="517" t="str">
        <f>IFERROR(__xludf.DUMMYFUNCTION("""COMPUTED_VALUE"""),"BLK")</f>
        <v>BLK</v>
      </c>
      <c r="L9" s="517" t="str">
        <f>IFERROR(__xludf.DUMMYFUNCTION("""COMPUTED_VALUE"""),"GLBW0")</f>
        <v>GLBW0</v>
      </c>
      <c r="M9" s="517" t="str">
        <f>IFERROR(__xludf.DUMMYFUNCTION("""COMPUTED_VALUE"""),"ATT")</f>
        <v>ATT</v>
      </c>
      <c r="N9" s="517" t="str">
        <f>IFERROR(__xludf.DUMMYFUNCTION("""COMPUTED_VALUE"""),"SKU, CLR1, GOOD, MMWAVE, AT&amp;T, US, FL5")</f>
        <v>SKU, CLR1, GOOD, MMWAVE, AT&amp;T, US, FL5</v>
      </c>
      <c r="O9" s="517" t="str">
        <f>IFERROR(__xludf.DUMMYFUNCTION("""COMPUTED_VALUE"""),"US")</f>
        <v>US</v>
      </c>
      <c r="P9" s="517" t="str">
        <f>IFERROR(__xludf.DUMMYFUNCTION("""COMPUTED_VALUE"""),"128GB")</f>
        <v>128GB</v>
      </c>
      <c r="Q9" s="518" t="str">
        <f>IFERROR(__xludf.DUMMYFUNCTION("""COMPUTED_VALUE"""),"TBD")</f>
        <v>TBD</v>
      </c>
      <c r="R9" s="518" t="str">
        <f>IFERROR(__xludf.DUMMYFUNCTION("""COMPUTED_VALUE"""),"840353926400")</f>
        <v>840353926400</v>
      </c>
      <c r="S9" s="518" t="str">
        <f>IFERROR(__xludf.DUMMYFUNCTION("""COMPUTED_VALUE"""),"0840353926400")</f>
        <v>0840353926400</v>
      </c>
      <c r="T9" s="517" t="str">
        <f>IFERROR(__xludf.DUMMYFUNCTION("""COMPUTED_VALUE"""),"PVT/MP")</f>
        <v>PVT/MP</v>
      </c>
    </row>
    <row r="10">
      <c r="B10" s="517">
        <f>IFERROR(__xludf.DUMMYFUNCTION("""COMPUTED_VALUE"""),6.0)</f>
        <v>6</v>
      </c>
      <c r="C10" s="517" t="str">
        <f>IFERROR(__xludf.DUMMYFUNCTION("""COMPUTED_VALUE"""),"Pristine")</f>
        <v>Pristine</v>
      </c>
      <c r="D10" s="517" t="str">
        <f>IFERROR(__xludf.DUMMYFUNCTION("""COMPUTED_VALUE"""),"Retail Pack")</f>
        <v>Retail Pack</v>
      </c>
      <c r="E10" s="517" t="str">
        <f>IFERROR(__xludf.DUMMYFUNCTION("""COMPUTED_VALUE"""),"GA10246-US")</f>
        <v>GA10246-US</v>
      </c>
      <c r="F10" s="517" t="str">
        <f>IFERROR(__xludf.DUMMYFUNCTION("""COMPUTED_VALUE"""),"AT&amp;T, US")</f>
        <v>AT&amp;T, US</v>
      </c>
      <c r="G10" s="517" t="str">
        <f>IFERROR(__xludf.DUMMYFUNCTION("""COMPUTED_VALUE"""),"UAT")</f>
        <v>UAT</v>
      </c>
      <c r="H10" s="517" t="str">
        <f>IFERROR(__xludf.DUMMYFUNCTION("""COMPUTED_VALUE"""),"mmWave")</f>
        <v>mmWave</v>
      </c>
      <c r="I10" s="517" t="str">
        <f>IFERROR(__xludf.DUMMYFUNCTION("""COMPUTED_VALUE"""),"CLR4")</f>
        <v>CLR4</v>
      </c>
      <c r="J10" s="517" t="str">
        <f>IFERROR(__xludf.DUMMYFUNCTION("""COMPUTED_VALUE"""),"Ultra Blue")</f>
        <v>Ultra Blue</v>
      </c>
      <c r="K10" s="517" t="str">
        <f>IFERROR(__xludf.DUMMYFUNCTION("""COMPUTED_VALUE"""),"BUE")</f>
        <v>BUE</v>
      </c>
      <c r="L10" s="517" t="str">
        <f>IFERROR(__xludf.DUMMYFUNCTION("""COMPUTED_VALUE"""),"GLBW0")</f>
        <v>GLBW0</v>
      </c>
      <c r="M10" s="517" t="str">
        <f>IFERROR(__xludf.DUMMYFUNCTION("""COMPUTED_VALUE"""),"ATT")</f>
        <v>ATT</v>
      </c>
      <c r="N10" s="517" t="str">
        <f>IFERROR(__xludf.DUMMYFUNCTION("""COMPUTED_VALUE"""),"SKU, CLR4, GOOD, MMWAVE, AT&amp;T, US, FL5")</f>
        <v>SKU, CLR4, GOOD, MMWAVE, AT&amp;T, US, FL5</v>
      </c>
      <c r="O10" s="517" t="str">
        <f>IFERROR(__xludf.DUMMYFUNCTION("""COMPUTED_VALUE"""),"US")</f>
        <v>US</v>
      </c>
      <c r="P10" s="517" t="str">
        <f>IFERROR(__xludf.DUMMYFUNCTION("""COMPUTED_VALUE"""),"128GB")</f>
        <v>128GB</v>
      </c>
      <c r="Q10" s="518" t="str">
        <f>IFERROR(__xludf.DUMMYFUNCTION("""COMPUTED_VALUE"""),"TBD")</f>
        <v>TBD</v>
      </c>
      <c r="R10" s="518" t="str">
        <f>IFERROR(__xludf.DUMMYFUNCTION("""COMPUTED_VALUE"""),"840353926431")</f>
        <v>840353926431</v>
      </c>
      <c r="S10" s="518" t="str">
        <f>IFERROR(__xludf.DUMMYFUNCTION("""COMPUTED_VALUE"""),"0840353926431")</f>
        <v>0840353926431</v>
      </c>
      <c r="T10" s="517" t="str">
        <f>IFERROR(__xludf.DUMMYFUNCTION("""COMPUTED_VALUE"""),"MP")</f>
        <v>MP</v>
      </c>
    </row>
    <row r="11">
      <c r="B11" s="517">
        <f>IFERROR(__xludf.DUMMYFUNCTION("""COMPUTED_VALUE"""),7.0)</f>
        <v>7</v>
      </c>
      <c r="C11" s="517" t="str">
        <f>IFERROR(__xludf.DUMMYFUNCTION("""COMPUTED_VALUE"""),"Pristine")</f>
        <v>Pristine</v>
      </c>
      <c r="D11" s="517" t="str">
        <f>IFERROR(__xludf.DUMMYFUNCTION("""COMPUTED_VALUE"""),"Retail Pack")</f>
        <v>Retail Pack</v>
      </c>
      <c r="E11" s="517" t="str">
        <f>IFERROR(__xludf.DUMMYFUNCTION("""COMPUTED_VALUE"""),"GA09862-US")</f>
        <v>GA09862-US</v>
      </c>
      <c r="F11" s="517" t="str">
        <f>IFERROR(__xludf.DUMMYFUNCTION("""COMPUTED_VALUE"""),"TMO, US")</f>
        <v>TMO, US</v>
      </c>
      <c r="G11" s="517" t="str">
        <f>IFERROR(__xludf.DUMMYFUNCTION("""COMPUTED_VALUE"""),"UTM")</f>
        <v>UTM</v>
      </c>
      <c r="H11" s="517" t="str">
        <f>IFERROR(__xludf.DUMMYFUNCTION("""COMPUTED_VALUE"""),"mmWave")</f>
        <v>mmWave</v>
      </c>
      <c r="I11" s="517" t="str">
        <f>IFERROR(__xludf.DUMMYFUNCTION("""COMPUTED_VALUE"""),"CLR1")</f>
        <v>CLR1</v>
      </c>
      <c r="J11" s="517" t="str">
        <f>IFERROR(__xludf.DUMMYFUNCTION("""COMPUTED_VALUE"""),"Midnight Haze")</f>
        <v>Midnight Haze</v>
      </c>
      <c r="K11" s="517" t="str">
        <f>IFERROR(__xludf.DUMMYFUNCTION("""COMPUTED_VALUE"""),"BLK")</f>
        <v>BLK</v>
      </c>
      <c r="L11" s="517" t="str">
        <f>IFERROR(__xludf.DUMMYFUNCTION("""COMPUTED_VALUE"""),"GLBW0")</f>
        <v>GLBW0</v>
      </c>
      <c r="M11" s="517" t="str">
        <f>IFERROR(__xludf.DUMMYFUNCTION("""COMPUTED_VALUE"""),"TMO")</f>
        <v>TMO</v>
      </c>
      <c r="N11" s="517" t="str">
        <f>IFERROR(__xludf.DUMMYFUNCTION("""COMPUTED_VALUE"""),"SKU, CLR1, GOOD, MMWAVE, TMO, US, FL5")</f>
        <v>SKU, CLR1, GOOD, MMWAVE, TMO, US, FL5</v>
      </c>
      <c r="O11" s="517" t="str">
        <f>IFERROR(__xludf.DUMMYFUNCTION("""COMPUTED_VALUE"""),"US")</f>
        <v>US</v>
      </c>
      <c r="P11" s="517" t="str">
        <f>IFERROR(__xludf.DUMMYFUNCTION("""COMPUTED_VALUE"""),"128GB")</f>
        <v>128GB</v>
      </c>
      <c r="Q11" s="518" t="str">
        <f>IFERROR(__xludf.DUMMYFUNCTION("""COMPUTED_VALUE"""),"TBD")</f>
        <v>TBD</v>
      </c>
      <c r="R11" s="518" t="str">
        <f>IFERROR(__xludf.DUMMYFUNCTION("""COMPUTED_VALUE"""),"840353926684")</f>
        <v>840353926684</v>
      </c>
      <c r="S11" s="518" t="str">
        <f>IFERROR(__xludf.DUMMYFUNCTION("""COMPUTED_VALUE"""),"0840353926684")</f>
        <v>0840353926684</v>
      </c>
      <c r="T11" s="517" t="str">
        <f>IFERROR(__xludf.DUMMYFUNCTION("""COMPUTED_VALUE"""),"PVT/MP")</f>
        <v>PVT/MP</v>
      </c>
    </row>
    <row r="12">
      <c r="B12" s="517">
        <f>IFERROR(__xludf.DUMMYFUNCTION("""COMPUTED_VALUE"""),8.0)</f>
        <v>8</v>
      </c>
      <c r="C12" s="517" t="str">
        <f>IFERROR(__xludf.DUMMYFUNCTION("""COMPUTED_VALUE"""),"Pristine")</f>
        <v>Pristine</v>
      </c>
      <c r="D12" s="517" t="str">
        <f>IFERROR(__xludf.DUMMYFUNCTION("""COMPUTED_VALUE"""),"Retail Pack")</f>
        <v>Retail Pack</v>
      </c>
      <c r="E12" s="517" t="str">
        <f>IFERROR(__xludf.DUMMYFUNCTION("""COMPUTED_VALUE"""),"GA10252-US")</f>
        <v>GA10252-US</v>
      </c>
      <c r="F12" s="517" t="str">
        <f>IFERROR(__xludf.DUMMYFUNCTION("""COMPUTED_VALUE"""),"TMO, US")</f>
        <v>TMO, US</v>
      </c>
      <c r="G12" s="517" t="str">
        <f>IFERROR(__xludf.DUMMYFUNCTION("""COMPUTED_VALUE"""),"UTM")</f>
        <v>UTM</v>
      </c>
      <c r="H12" s="517" t="str">
        <f>IFERROR(__xludf.DUMMYFUNCTION("""COMPUTED_VALUE"""),"mmWave")</f>
        <v>mmWave</v>
      </c>
      <c r="I12" s="517" t="str">
        <f>IFERROR(__xludf.DUMMYFUNCTION("""COMPUTED_VALUE"""),"CLR4")</f>
        <v>CLR4</v>
      </c>
      <c r="J12" s="517" t="str">
        <f>IFERROR(__xludf.DUMMYFUNCTION("""COMPUTED_VALUE"""),"Ultra Blue")</f>
        <v>Ultra Blue</v>
      </c>
      <c r="K12" s="517" t="str">
        <f>IFERROR(__xludf.DUMMYFUNCTION("""COMPUTED_VALUE"""),"BUE")</f>
        <v>BUE</v>
      </c>
      <c r="L12" s="517" t="str">
        <f>IFERROR(__xludf.DUMMYFUNCTION("""COMPUTED_VALUE"""),"GLBW0")</f>
        <v>GLBW0</v>
      </c>
      <c r="M12" s="517" t="str">
        <f>IFERROR(__xludf.DUMMYFUNCTION("""COMPUTED_VALUE"""),"TMO")</f>
        <v>TMO</v>
      </c>
      <c r="N12" s="517" t="str">
        <f>IFERROR(__xludf.DUMMYFUNCTION("""COMPUTED_VALUE"""),"SKU, CLR4, GOOD, MMWAVE, Tmobile, US, FL5")</f>
        <v>SKU, CLR4, GOOD, MMWAVE, Tmobile, US, FL5</v>
      </c>
      <c r="O12" s="517" t="str">
        <f>IFERROR(__xludf.DUMMYFUNCTION("""COMPUTED_VALUE"""),"US")</f>
        <v>US</v>
      </c>
      <c r="P12" s="517" t="str">
        <f>IFERROR(__xludf.DUMMYFUNCTION("""COMPUTED_VALUE"""),"128GB")</f>
        <v>128GB</v>
      </c>
      <c r="Q12" s="518" t="str">
        <f>IFERROR(__xludf.DUMMYFUNCTION("""COMPUTED_VALUE"""),"TBD")</f>
        <v>TBD</v>
      </c>
      <c r="R12" s="518" t="str">
        <f>IFERROR(__xludf.DUMMYFUNCTION("""COMPUTED_VALUE"""),"840353926691")</f>
        <v>840353926691</v>
      </c>
      <c r="S12" s="518" t="str">
        <f>IFERROR(__xludf.DUMMYFUNCTION("""COMPUTED_VALUE"""),"0840353926691")</f>
        <v>0840353926691</v>
      </c>
      <c r="T12" s="517" t="str">
        <f>IFERROR(__xludf.DUMMYFUNCTION("""COMPUTED_VALUE"""),"MP")</f>
        <v>MP</v>
      </c>
    </row>
    <row r="13">
      <c r="B13" s="517">
        <f>IFERROR(__xludf.DUMMYFUNCTION("""COMPUTED_VALUE"""),9.0)</f>
        <v>9</v>
      </c>
      <c r="C13" s="517" t="str">
        <f>IFERROR(__xludf.DUMMYFUNCTION("""COMPUTED_VALUE"""),"Pristine")</f>
        <v>Pristine</v>
      </c>
      <c r="D13" s="517" t="str">
        <f>IFERROR(__xludf.DUMMYFUNCTION("""COMPUTED_VALUE"""),"Retail Pack")</f>
        <v>Retail Pack</v>
      </c>
      <c r="E13" s="517" t="str">
        <f>IFERROR(__xludf.DUMMYFUNCTION("""COMPUTED_VALUE"""),"GA09744-US")</f>
        <v>GA09744-US</v>
      </c>
      <c r="F13" s="517" t="str">
        <f>IFERROR(__xludf.DUMMYFUNCTION("""COMPUTED_VALUE"""),"GSTORE, US")</f>
        <v>GSTORE, US</v>
      </c>
      <c r="G13" s="517" t="str">
        <f>IFERROR(__xludf.DUMMYFUNCTION("""COMPUTED_VALUE"""),"UGS")</f>
        <v>UGS</v>
      </c>
      <c r="H13" s="517" t="str">
        <f>IFERROR(__xludf.DUMMYFUNCTION("""COMPUTED_VALUE"""),"mmWave")</f>
        <v>mmWave</v>
      </c>
      <c r="I13" s="517" t="str">
        <f>IFERROR(__xludf.DUMMYFUNCTION("""COMPUTED_VALUE"""),"CLR1")</f>
        <v>CLR1</v>
      </c>
      <c r="J13" s="517" t="str">
        <f>IFERROR(__xludf.DUMMYFUNCTION("""COMPUTED_VALUE"""),"Midnight Haze")</f>
        <v>Midnight Haze</v>
      </c>
      <c r="K13" s="517" t="str">
        <f>IFERROR(__xludf.DUMMYFUNCTION("""COMPUTED_VALUE"""),"BLK")</f>
        <v>BLK</v>
      </c>
      <c r="L13" s="517" t="str">
        <f>IFERROR(__xludf.DUMMYFUNCTION("""COMPUTED_VALUE"""),"GLBW0")</f>
        <v>GLBW0</v>
      </c>
      <c r="M13" s="517" t="str">
        <f>IFERROR(__xludf.DUMMYFUNCTION("""COMPUTED_VALUE"""),"NA")</f>
        <v>NA</v>
      </c>
      <c r="N13" s="517" t="str">
        <f>IFERROR(__xludf.DUMMYFUNCTION("""COMPUTED_VALUE"""),"SKU, CLR1, GOOD, MMWAVE, GSTORE, US, FL5")</f>
        <v>SKU, CLR1, GOOD, MMWAVE, GSTORE, US, FL5</v>
      </c>
      <c r="O13" s="517">
        <f>IFERROR(__xludf.DUMMYFUNCTION("""COMPUTED_VALUE"""),0.0)</f>
        <v>0</v>
      </c>
      <c r="P13" s="517" t="str">
        <f>IFERROR(__xludf.DUMMYFUNCTION("""COMPUTED_VALUE"""),"128GB")</f>
        <v>128GB</v>
      </c>
      <c r="Q13" s="517"/>
      <c r="R13" s="518" t="str">
        <f>IFERROR(__xludf.DUMMYFUNCTION("""COMPUTED_VALUE"""),"840353926769")</f>
        <v>840353926769</v>
      </c>
      <c r="S13" s="518" t="str">
        <f>IFERROR(__xludf.DUMMYFUNCTION("""COMPUTED_VALUE"""),"0840353926769")</f>
        <v>0840353926769</v>
      </c>
      <c r="T13" s="517" t="str">
        <f>IFERROR(__xludf.DUMMYFUNCTION("""COMPUTED_VALUE"""),"PVT/MP")</f>
        <v>PVT/MP</v>
      </c>
    </row>
    <row r="14">
      <c r="B14" s="517">
        <f>IFERROR(__xludf.DUMMYFUNCTION("""COMPUTED_VALUE"""),10.0)</f>
        <v>10</v>
      </c>
      <c r="C14" s="517" t="str">
        <f>IFERROR(__xludf.DUMMYFUNCTION("""COMPUTED_VALUE"""),"Pristine")</f>
        <v>Pristine</v>
      </c>
      <c r="D14" s="517" t="str">
        <f>IFERROR(__xludf.DUMMYFUNCTION("""COMPUTED_VALUE"""),"Retail Pack")</f>
        <v>Retail Pack</v>
      </c>
      <c r="E14" s="517" t="str">
        <f>IFERROR(__xludf.DUMMYFUNCTION("""COMPUTED_VALUE"""),"GA10214-US")</f>
        <v>GA10214-US</v>
      </c>
      <c r="F14" s="517" t="str">
        <f>IFERROR(__xludf.DUMMYFUNCTION("""COMPUTED_VALUE"""),"GSTORE, US")</f>
        <v>GSTORE, US</v>
      </c>
      <c r="G14" s="517" t="str">
        <f>IFERROR(__xludf.DUMMYFUNCTION("""COMPUTED_VALUE"""),"UGS")</f>
        <v>UGS</v>
      </c>
      <c r="H14" s="517" t="str">
        <f>IFERROR(__xludf.DUMMYFUNCTION("""COMPUTED_VALUE"""),"mmWave")</f>
        <v>mmWave</v>
      </c>
      <c r="I14" s="517" t="str">
        <f>IFERROR(__xludf.DUMMYFUNCTION("""COMPUTED_VALUE"""),"CLR2")</f>
        <v>CLR2</v>
      </c>
      <c r="J14" s="517" t="str">
        <f>IFERROR(__xludf.DUMMYFUNCTION("""COMPUTED_VALUE"""),"Iris")</f>
        <v>Iris</v>
      </c>
      <c r="K14" s="517" t="str">
        <f>IFERROR(__xludf.DUMMYFUNCTION("""COMPUTED_VALUE"""),"PPL")</f>
        <v>PPL</v>
      </c>
      <c r="L14" s="517" t="str">
        <f>IFERROR(__xludf.DUMMYFUNCTION("""COMPUTED_VALUE"""),"GLBW0")</f>
        <v>GLBW0</v>
      </c>
      <c r="M14" s="517" t="str">
        <f>IFERROR(__xludf.DUMMYFUNCTION("""COMPUTED_VALUE"""),"NA")</f>
        <v>NA</v>
      </c>
      <c r="N14" s="517" t="str">
        <f>IFERROR(__xludf.DUMMYFUNCTION("""COMPUTED_VALUE"""),"SKU, CLR2, GOOD, MMWAVE, Gstore, US, FL5")</f>
        <v>SKU, CLR2, GOOD, MMWAVE, Gstore, US, FL5</v>
      </c>
      <c r="O14" s="517">
        <f>IFERROR(__xludf.DUMMYFUNCTION("""COMPUTED_VALUE"""),0.0)</f>
        <v>0</v>
      </c>
      <c r="P14" s="517" t="str">
        <f>IFERROR(__xludf.DUMMYFUNCTION("""COMPUTED_VALUE"""),"128GB")</f>
        <v>128GB</v>
      </c>
      <c r="Q14" s="517"/>
      <c r="R14" s="518" t="str">
        <f>IFERROR(__xludf.DUMMYFUNCTION("""COMPUTED_VALUE"""),"840353926776")</f>
        <v>840353926776</v>
      </c>
      <c r="S14" s="518" t="str">
        <f>IFERROR(__xludf.DUMMYFUNCTION("""COMPUTED_VALUE"""),"0840353926776")</f>
        <v>0840353926776</v>
      </c>
      <c r="T14" s="517" t="str">
        <f>IFERROR(__xludf.DUMMYFUNCTION("""COMPUTED_VALUE"""),"PVT/MP")</f>
        <v>PVT/MP</v>
      </c>
    </row>
    <row r="15">
      <c r="B15" s="517">
        <f>IFERROR(__xludf.DUMMYFUNCTION("""COMPUTED_VALUE"""),11.0)</f>
        <v>11</v>
      </c>
      <c r="C15" s="517" t="str">
        <f>IFERROR(__xludf.DUMMYFUNCTION("""COMPUTED_VALUE"""),"Pristine")</f>
        <v>Pristine</v>
      </c>
      <c r="D15" s="517" t="str">
        <f>IFERROR(__xludf.DUMMYFUNCTION("""COMPUTED_VALUE"""),"Retail Pack")</f>
        <v>Retail Pack</v>
      </c>
      <c r="E15" s="517" t="str">
        <f>IFERROR(__xludf.DUMMYFUNCTION("""COMPUTED_VALUE"""),"GA10215-US")</f>
        <v>GA10215-US</v>
      </c>
      <c r="F15" s="517" t="str">
        <f>IFERROR(__xludf.DUMMYFUNCTION("""COMPUTED_VALUE"""),"GSTORE, US")</f>
        <v>GSTORE, US</v>
      </c>
      <c r="G15" s="517" t="str">
        <f>IFERROR(__xludf.DUMMYFUNCTION("""COMPUTED_VALUE"""),"UGS")</f>
        <v>UGS</v>
      </c>
      <c r="H15" s="517" t="str">
        <f>IFERROR(__xludf.DUMMYFUNCTION("""COMPUTED_VALUE"""),"mmWave")</f>
        <v>mmWave</v>
      </c>
      <c r="I15" s="517" t="str">
        <f>IFERROR(__xludf.DUMMYFUNCTION("""COMPUTED_VALUE"""),"CLR3")</f>
        <v>CLR3</v>
      </c>
      <c r="J15" s="517" t="str">
        <f>IFERROR(__xludf.DUMMYFUNCTION("""COMPUTED_VALUE"""),"Limoncello Midtone")</f>
        <v>Limoncello Midtone</v>
      </c>
      <c r="K15" s="517" t="str">
        <f>IFERROR(__xludf.DUMMYFUNCTION("""COMPUTED_VALUE"""),"YEL")</f>
        <v>YEL</v>
      </c>
      <c r="L15" s="517" t="str">
        <f>IFERROR(__xludf.DUMMYFUNCTION("""COMPUTED_VALUE"""),"GLBW0")</f>
        <v>GLBW0</v>
      </c>
      <c r="M15" s="517" t="str">
        <f>IFERROR(__xludf.DUMMYFUNCTION("""COMPUTED_VALUE"""),"NA")</f>
        <v>NA</v>
      </c>
      <c r="N15" s="517" t="str">
        <f>IFERROR(__xludf.DUMMYFUNCTION("""COMPUTED_VALUE"""),"SKU, CLR3, GOOD, MMWAVE, Gstore, US, FL5")</f>
        <v>SKU, CLR3, GOOD, MMWAVE, Gstore, US, FL5</v>
      </c>
      <c r="O15" s="517">
        <f>IFERROR(__xludf.DUMMYFUNCTION("""COMPUTED_VALUE"""),0.0)</f>
        <v>0</v>
      </c>
      <c r="P15" s="517" t="str">
        <f>IFERROR(__xludf.DUMMYFUNCTION("""COMPUTED_VALUE"""),"128GB")</f>
        <v>128GB</v>
      </c>
      <c r="Q15" s="517"/>
      <c r="R15" s="518" t="str">
        <f>IFERROR(__xludf.DUMMYFUNCTION("""COMPUTED_VALUE"""),"840353926790")</f>
        <v>840353926790</v>
      </c>
      <c r="S15" s="518" t="str">
        <f>IFERROR(__xludf.DUMMYFUNCTION("""COMPUTED_VALUE"""),"0840353926790")</f>
        <v>0840353926790</v>
      </c>
      <c r="T15" s="517" t="str">
        <f>IFERROR(__xludf.DUMMYFUNCTION("""COMPUTED_VALUE"""),"MP")</f>
        <v>MP</v>
      </c>
    </row>
    <row r="16">
      <c r="B16" s="517">
        <f>IFERROR(__xludf.DUMMYFUNCTION("""COMPUTED_VALUE"""),12.0)</f>
        <v>12</v>
      </c>
      <c r="C16" s="517" t="str">
        <f>IFERROR(__xludf.DUMMYFUNCTION("""COMPUTED_VALUE"""),"Pristine")</f>
        <v>Pristine</v>
      </c>
      <c r="D16" s="517" t="str">
        <f>IFERROR(__xludf.DUMMYFUNCTION("""COMPUTED_VALUE"""),"Retail Pack")</f>
        <v>Retail Pack</v>
      </c>
      <c r="E16" s="517" t="str">
        <f>IFERROR(__xludf.DUMMYFUNCTION("""COMPUTED_VALUE"""),"GA10216-US")</f>
        <v>GA10216-US</v>
      </c>
      <c r="F16" s="517" t="str">
        <f>IFERROR(__xludf.DUMMYFUNCTION("""COMPUTED_VALUE"""),"GSTORE, US")</f>
        <v>GSTORE, US</v>
      </c>
      <c r="G16" s="517" t="str">
        <f>IFERROR(__xludf.DUMMYFUNCTION("""COMPUTED_VALUE"""),"UGS")</f>
        <v>UGS</v>
      </c>
      <c r="H16" s="517" t="str">
        <f>IFERROR(__xludf.DUMMYFUNCTION("""COMPUTED_VALUE"""),"mmWave")</f>
        <v>mmWave</v>
      </c>
      <c r="I16" s="517" t="str">
        <f>IFERROR(__xludf.DUMMYFUNCTION("""COMPUTED_VALUE"""),"CLR4")</f>
        <v>CLR4</v>
      </c>
      <c r="J16" s="517" t="str">
        <f>IFERROR(__xludf.DUMMYFUNCTION("""COMPUTED_VALUE"""),"Ultra Blue")</f>
        <v>Ultra Blue</v>
      </c>
      <c r="K16" s="517" t="str">
        <f>IFERROR(__xludf.DUMMYFUNCTION("""COMPUTED_VALUE"""),"BUE")</f>
        <v>BUE</v>
      </c>
      <c r="L16" s="517" t="str">
        <f>IFERROR(__xludf.DUMMYFUNCTION("""COMPUTED_VALUE"""),"GLBW0")</f>
        <v>GLBW0</v>
      </c>
      <c r="M16" s="517" t="str">
        <f>IFERROR(__xludf.DUMMYFUNCTION("""COMPUTED_VALUE"""),"NA")</f>
        <v>NA</v>
      </c>
      <c r="N16" s="517" t="str">
        <f>IFERROR(__xludf.DUMMYFUNCTION("""COMPUTED_VALUE"""),"SKU, CLR4, GOOD, MMWAVE, Gstore, US, FL5")</f>
        <v>SKU, CLR4, GOOD, MMWAVE, Gstore, US, FL5</v>
      </c>
      <c r="O16" s="517">
        <f>IFERROR(__xludf.DUMMYFUNCTION("""COMPUTED_VALUE"""),0.0)</f>
        <v>0</v>
      </c>
      <c r="P16" s="517" t="str">
        <f>IFERROR(__xludf.DUMMYFUNCTION("""COMPUTED_VALUE"""),"128GB")</f>
        <v>128GB</v>
      </c>
      <c r="Q16" s="517"/>
      <c r="R16" s="518" t="str">
        <f>IFERROR(__xludf.DUMMYFUNCTION("""COMPUTED_VALUE"""),"840353926783")</f>
        <v>840353926783</v>
      </c>
      <c r="S16" s="518" t="str">
        <f>IFERROR(__xludf.DUMMYFUNCTION("""COMPUTED_VALUE"""),"0840353926783")</f>
        <v>0840353926783</v>
      </c>
      <c r="T16" s="517" t="str">
        <f>IFERROR(__xludf.DUMMYFUNCTION("""COMPUTED_VALUE"""),"MP")</f>
        <v>MP</v>
      </c>
    </row>
    <row r="17">
      <c r="B17" s="517">
        <f>IFERROR(__xludf.DUMMYFUNCTION("""COMPUTED_VALUE"""),13.0)</f>
        <v>13</v>
      </c>
      <c r="C17" s="517" t="str">
        <f>IFERROR(__xludf.DUMMYFUNCTION("""COMPUTED_VALUE"""),"Pristine")</f>
        <v>Pristine</v>
      </c>
      <c r="D17" s="517" t="str">
        <f>IFERROR(__xludf.DUMMYFUNCTION("""COMPUTED_VALUE"""),"Retail Pack")</f>
        <v>Retail Pack</v>
      </c>
      <c r="E17" s="517" t="str">
        <f>IFERROR(__xludf.DUMMYFUNCTION("""COMPUTED_VALUE"""),"GA09744-CA")</f>
        <v>GA09744-CA</v>
      </c>
      <c r="F17" s="517" t="str">
        <f>IFERROR(__xludf.DUMMYFUNCTION("""COMPUTED_VALUE"""),"CA/TW/SG/MY/AU/MX")</f>
        <v>CA/TW/SG/MY/AU/MX</v>
      </c>
      <c r="G17" s="517" t="str">
        <f>IFERROR(__xludf.DUMMYFUNCTION("""COMPUTED_VALUE"""),"NCA")</f>
        <v>NCA</v>
      </c>
      <c r="H17" s="517" t="str">
        <f>IFERROR(__xludf.DUMMYFUNCTION("""COMPUTED_VALUE"""),"Sub6")</f>
        <v>Sub6</v>
      </c>
      <c r="I17" s="517" t="str">
        <f>IFERROR(__xludf.DUMMYFUNCTION("""COMPUTED_VALUE"""),"CLR1")</f>
        <v>CLR1</v>
      </c>
      <c r="J17" s="517" t="str">
        <f>IFERROR(__xludf.DUMMYFUNCTION("""COMPUTED_VALUE"""),"Midnight Haze")</f>
        <v>Midnight Haze</v>
      </c>
      <c r="K17" s="517" t="str">
        <f>IFERROR(__xludf.DUMMYFUNCTION("""COMPUTED_VALUE"""),"BLK")</f>
        <v>BLK</v>
      </c>
      <c r="L17" s="517" t="str">
        <f>IFERROR(__xludf.DUMMYFUNCTION("""COMPUTED_VALUE"""),"GK2MP")</f>
        <v>GK2MP</v>
      </c>
      <c r="M17" s="517" t="str">
        <f>IFERROR(__xludf.DUMMYFUNCTION("""COMPUTED_VALUE"""),"ROW")</f>
        <v>ROW</v>
      </c>
      <c r="N17" s="517" t="str">
        <f>IFERROR(__xludf.DUMMYFUNCTION("""COMPUTED_VALUE"""),"SKU, CLR1, GOOD, SUB6, CA/TW/SG/MY/AU/MX, FL5")</f>
        <v>SKU, CLR1, GOOD, SUB6, CA/TW/SG/MY/AU/MX, FL5</v>
      </c>
      <c r="O17" s="517">
        <f>IFERROR(__xludf.DUMMYFUNCTION("""COMPUTED_VALUE"""),0.0)</f>
        <v>0</v>
      </c>
      <c r="P17" s="517" t="str">
        <f>IFERROR(__xludf.DUMMYFUNCTION("""COMPUTED_VALUE"""),"128GB")</f>
        <v>128GB</v>
      </c>
      <c r="Q17" s="517"/>
      <c r="R17" s="518" t="str">
        <f>IFERROR(__xludf.DUMMYFUNCTION("""COMPUTED_VALUE"""),"840353926882")</f>
        <v>840353926882</v>
      </c>
      <c r="S17" s="518" t="str">
        <f>IFERROR(__xludf.DUMMYFUNCTION("""COMPUTED_VALUE"""),"0840353926882")</f>
        <v>0840353926882</v>
      </c>
      <c r="T17" s="517" t="str">
        <f>IFERROR(__xludf.DUMMYFUNCTION("""COMPUTED_VALUE"""),"PVT/MP")</f>
        <v>PVT/MP</v>
      </c>
    </row>
    <row r="18">
      <c r="B18" s="517">
        <f>IFERROR(__xludf.DUMMYFUNCTION("""COMPUTED_VALUE"""),14.0)</f>
        <v>14</v>
      </c>
      <c r="C18" s="517" t="str">
        <f>IFERROR(__xludf.DUMMYFUNCTION("""COMPUTED_VALUE"""),"Pristine")</f>
        <v>Pristine</v>
      </c>
      <c r="D18" s="517" t="str">
        <f>IFERROR(__xludf.DUMMYFUNCTION("""COMPUTED_VALUE"""),"Retail Pack")</f>
        <v>Retail Pack</v>
      </c>
      <c r="E18" s="517" t="str">
        <f>IFERROR(__xludf.DUMMYFUNCTION("""COMPUTED_VALUE"""),"GA10214-CA")</f>
        <v>GA10214-CA</v>
      </c>
      <c r="F18" s="517" t="str">
        <f>IFERROR(__xludf.DUMMYFUNCTION("""COMPUTED_VALUE"""),"CA/TW/SG/MY/AU/MX")</f>
        <v>CA/TW/SG/MY/AU/MX</v>
      </c>
      <c r="G18" s="517" t="str">
        <f>IFERROR(__xludf.DUMMYFUNCTION("""COMPUTED_VALUE"""),"NCA")</f>
        <v>NCA</v>
      </c>
      <c r="H18" s="517" t="str">
        <f>IFERROR(__xludf.DUMMYFUNCTION("""COMPUTED_VALUE"""),"Sub6")</f>
        <v>Sub6</v>
      </c>
      <c r="I18" s="517" t="str">
        <f>IFERROR(__xludf.DUMMYFUNCTION("""COMPUTED_VALUE"""),"CLR2")</f>
        <v>CLR2</v>
      </c>
      <c r="J18" s="517" t="str">
        <f>IFERROR(__xludf.DUMMYFUNCTION("""COMPUTED_VALUE"""),"Iris")</f>
        <v>Iris</v>
      </c>
      <c r="K18" s="517" t="str">
        <f>IFERROR(__xludf.DUMMYFUNCTION("""COMPUTED_VALUE"""),"PPL")</f>
        <v>PPL</v>
      </c>
      <c r="L18" s="517" t="str">
        <f>IFERROR(__xludf.DUMMYFUNCTION("""COMPUTED_VALUE"""),"GK2MP")</f>
        <v>GK2MP</v>
      </c>
      <c r="M18" s="517" t="str">
        <f>IFERROR(__xludf.DUMMYFUNCTION("""COMPUTED_VALUE"""),"ROW")</f>
        <v>ROW</v>
      </c>
      <c r="N18" s="517" t="str">
        <f>IFERROR(__xludf.DUMMYFUNCTION("""COMPUTED_VALUE"""),"SKU, CLR2, GOOD, SUB6, CA/TW/SG/MY/AU/MX, FL5")</f>
        <v>SKU, CLR2, GOOD, SUB6, CA/TW/SG/MY/AU/MX, FL5</v>
      </c>
      <c r="O18" s="517">
        <f>IFERROR(__xludf.DUMMYFUNCTION("""COMPUTED_VALUE"""),0.0)</f>
        <v>0</v>
      </c>
      <c r="P18" s="517" t="str">
        <f>IFERROR(__xludf.DUMMYFUNCTION("""COMPUTED_VALUE"""),"128GB")</f>
        <v>128GB</v>
      </c>
      <c r="Q18" s="517"/>
      <c r="R18" s="518" t="str">
        <f>IFERROR(__xludf.DUMMYFUNCTION("""COMPUTED_VALUE"""),"840353926998")</f>
        <v>840353926998</v>
      </c>
      <c r="S18" s="518" t="str">
        <f>IFERROR(__xludf.DUMMYFUNCTION("""COMPUTED_VALUE"""),"0840353926998")</f>
        <v>0840353926998</v>
      </c>
      <c r="T18" s="517" t="str">
        <f>IFERROR(__xludf.DUMMYFUNCTION("""COMPUTED_VALUE"""),"PVT/MP")</f>
        <v>PVT/MP</v>
      </c>
    </row>
    <row r="19">
      <c r="B19" s="517">
        <f>IFERROR(__xludf.DUMMYFUNCTION("""COMPUTED_VALUE"""),15.0)</f>
        <v>15</v>
      </c>
      <c r="C19" s="517" t="str">
        <f>IFERROR(__xludf.DUMMYFUNCTION("""COMPUTED_VALUE"""),"Pristine")</f>
        <v>Pristine</v>
      </c>
      <c r="D19" s="517" t="str">
        <f>IFERROR(__xludf.DUMMYFUNCTION("""COMPUTED_VALUE"""),"Retail Pack")</f>
        <v>Retail Pack</v>
      </c>
      <c r="E19" s="517" t="str">
        <f>IFERROR(__xludf.DUMMYFUNCTION("""COMPUTED_VALUE"""),"GA10215-CA")</f>
        <v>GA10215-CA</v>
      </c>
      <c r="F19" s="517" t="str">
        <f>IFERROR(__xludf.DUMMYFUNCTION("""COMPUTED_VALUE"""),"CA/TW/SG/MY/AU/MX")</f>
        <v>CA/TW/SG/MY/AU/MX</v>
      </c>
      <c r="G19" s="517" t="str">
        <f>IFERROR(__xludf.DUMMYFUNCTION("""COMPUTED_VALUE"""),"NCA")</f>
        <v>NCA</v>
      </c>
      <c r="H19" s="517" t="str">
        <f>IFERROR(__xludf.DUMMYFUNCTION("""COMPUTED_VALUE"""),"Sub6")</f>
        <v>Sub6</v>
      </c>
      <c r="I19" s="517" t="str">
        <f>IFERROR(__xludf.DUMMYFUNCTION("""COMPUTED_VALUE"""),"CLR3")</f>
        <v>CLR3</v>
      </c>
      <c r="J19" s="517" t="str">
        <f>IFERROR(__xludf.DUMMYFUNCTION("""COMPUTED_VALUE"""),"Limoncello Midtone")</f>
        <v>Limoncello Midtone</v>
      </c>
      <c r="K19" s="517" t="str">
        <f>IFERROR(__xludf.DUMMYFUNCTION("""COMPUTED_VALUE"""),"YEL")</f>
        <v>YEL</v>
      </c>
      <c r="L19" s="517" t="str">
        <f>IFERROR(__xludf.DUMMYFUNCTION("""COMPUTED_VALUE"""),"GK2MP")</f>
        <v>GK2MP</v>
      </c>
      <c r="M19" s="517" t="str">
        <f>IFERROR(__xludf.DUMMYFUNCTION("""COMPUTED_VALUE"""),"ROW")</f>
        <v>ROW</v>
      </c>
      <c r="N19" s="517" t="str">
        <f>IFERROR(__xludf.DUMMYFUNCTION("""COMPUTED_VALUE"""),"SKU, CLR3, GOOD, SUB6, CA/TW/SG/MY/AU/MX, FL5")</f>
        <v>SKU, CLR3, GOOD, SUB6, CA/TW/SG/MY/AU/MX, FL5</v>
      </c>
      <c r="O19" s="517">
        <f>IFERROR(__xludf.DUMMYFUNCTION("""COMPUTED_VALUE"""),0.0)</f>
        <v>0</v>
      </c>
      <c r="P19" s="517" t="str">
        <f>IFERROR(__xludf.DUMMYFUNCTION("""COMPUTED_VALUE"""),"128GB")</f>
        <v>128GB</v>
      </c>
      <c r="Q19" s="517"/>
      <c r="R19" s="518" t="str">
        <f>IFERROR(__xludf.DUMMYFUNCTION("""COMPUTED_VALUE"""),"840353926950")</f>
        <v>840353926950</v>
      </c>
      <c r="S19" s="518" t="str">
        <f>IFERROR(__xludf.DUMMYFUNCTION("""COMPUTED_VALUE"""),"0840353926950")</f>
        <v>0840353926950</v>
      </c>
      <c r="T19" s="517" t="str">
        <f>IFERROR(__xludf.DUMMYFUNCTION("""COMPUTED_VALUE"""),"PVT/MP")</f>
        <v>PVT/MP</v>
      </c>
    </row>
    <row r="20">
      <c r="B20" s="517">
        <f>IFERROR(__xludf.DUMMYFUNCTION("""COMPUTED_VALUE"""),16.0)</f>
        <v>16</v>
      </c>
      <c r="C20" s="517" t="str">
        <f>IFERROR(__xludf.DUMMYFUNCTION("""COMPUTED_VALUE"""),"Pristine")</f>
        <v>Pristine</v>
      </c>
      <c r="D20" s="517" t="str">
        <f>IFERROR(__xludf.DUMMYFUNCTION("""COMPUTED_VALUE"""),"Retail Pack")</f>
        <v>Retail Pack</v>
      </c>
      <c r="E20" s="517" t="str">
        <f>IFERROR(__xludf.DUMMYFUNCTION("""COMPUTED_VALUE"""),"GA10216-CA")</f>
        <v>GA10216-CA</v>
      </c>
      <c r="F20" s="517" t="str">
        <f>IFERROR(__xludf.DUMMYFUNCTION("""COMPUTED_VALUE"""),"CA/TW/SG/MY/AU/MX")</f>
        <v>CA/TW/SG/MY/AU/MX</v>
      </c>
      <c r="G20" s="517" t="str">
        <f>IFERROR(__xludf.DUMMYFUNCTION("""COMPUTED_VALUE"""),"NCA")</f>
        <v>NCA</v>
      </c>
      <c r="H20" s="517" t="str">
        <f>IFERROR(__xludf.DUMMYFUNCTION("""COMPUTED_VALUE"""),"Sub6")</f>
        <v>Sub6</v>
      </c>
      <c r="I20" s="517" t="str">
        <f>IFERROR(__xludf.DUMMYFUNCTION("""COMPUTED_VALUE"""),"CLR4")</f>
        <v>CLR4</v>
      </c>
      <c r="J20" s="517" t="str">
        <f>IFERROR(__xludf.DUMMYFUNCTION("""COMPUTED_VALUE"""),"Ultra Blue")</f>
        <v>Ultra Blue</v>
      </c>
      <c r="K20" s="517" t="str">
        <f>IFERROR(__xludf.DUMMYFUNCTION("""COMPUTED_VALUE"""),"BUE")</f>
        <v>BUE</v>
      </c>
      <c r="L20" s="517" t="str">
        <f>IFERROR(__xludf.DUMMYFUNCTION("""COMPUTED_VALUE"""),"GK2MP")</f>
        <v>GK2MP</v>
      </c>
      <c r="M20" s="517" t="str">
        <f>IFERROR(__xludf.DUMMYFUNCTION("""COMPUTED_VALUE"""),"ROW")</f>
        <v>ROW</v>
      </c>
      <c r="N20" s="517" t="str">
        <f>IFERROR(__xludf.DUMMYFUNCTION("""COMPUTED_VALUE"""),"SKU, CLR4, GOOD, SUB6, CA/TW/SG/MY/AU/MX, FL5")</f>
        <v>SKU, CLR4, GOOD, SUB6, CA/TW/SG/MY/AU/MX, FL5</v>
      </c>
      <c r="O20" s="517">
        <f>IFERROR(__xludf.DUMMYFUNCTION("""COMPUTED_VALUE"""),0.0)</f>
        <v>0</v>
      </c>
      <c r="P20" s="517" t="str">
        <f>IFERROR(__xludf.DUMMYFUNCTION("""COMPUTED_VALUE"""),"128GB")</f>
        <v>128GB</v>
      </c>
      <c r="Q20" s="517"/>
      <c r="R20" s="518" t="str">
        <f>IFERROR(__xludf.DUMMYFUNCTION("""COMPUTED_VALUE"""),"840353926967")</f>
        <v>840353926967</v>
      </c>
      <c r="S20" s="518" t="str">
        <f>IFERROR(__xludf.DUMMYFUNCTION("""COMPUTED_VALUE"""),"0840353926967")</f>
        <v>0840353926967</v>
      </c>
      <c r="T20" s="517" t="str">
        <f>IFERROR(__xludf.DUMMYFUNCTION("""COMPUTED_VALUE"""),"PVT/MP")</f>
        <v>PVT/MP</v>
      </c>
    </row>
    <row r="21">
      <c r="B21" s="517">
        <f>IFERROR(__xludf.DUMMYFUNCTION("""COMPUTED_VALUE"""),17.0)</f>
        <v>17</v>
      </c>
      <c r="C21" s="517" t="str">
        <f>IFERROR(__xludf.DUMMYFUNCTION("""COMPUTED_VALUE"""),"Pristine")</f>
        <v>Pristine</v>
      </c>
      <c r="D21" s="517" t="str">
        <f>IFERROR(__xludf.DUMMYFUNCTION("""COMPUTED_VALUE"""),"Retail Pack")</f>
        <v>Retail Pack</v>
      </c>
      <c r="E21" s="517" t="str">
        <f>IFERROR(__xludf.DUMMYFUNCTION("""COMPUTED_VALUE"""),"GA09744-GB")</f>
        <v>GA09744-GB</v>
      </c>
      <c r="F21" s="517" t="str">
        <f>IFERROR(__xludf.DUMMYFUNCTION("""COMPUTED_VALUE"""),"UK/EU")</f>
        <v>UK/EU</v>
      </c>
      <c r="G21" s="517" t="str">
        <f>IFERROR(__xludf.DUMMYFUNCTION("""COMPUTED_VALUE"""),"EMA")</f>
        <v>EMA</v>
      </c>
      <c r="H21" s="517" t="str">
        <f>IFERROR(__xludf.DUMMYFUNCTION("""COMPUTED_VALUE"""),"Sub6")</f>
        <v>Sub6</v>
      </c>
      <c r="I21" s="517" t="str">
        <f>IFERROR(__xludf.DUMMYFUNCTION("""COMPUTED_VALUE"""),"CLR1")</f>
        <v>CLR1</v>
      </c>
      <c r="J21" s="517" t="str">
        <f>IFERROR(__xludf.DUMMYFUNCTION("""COMPUTED_VALUE"""),"Midnight Haze")</f>
        <v>Midnight Haze</v>
      </c>
      <c r="K21" s="517" t="str">
        <f>IFERROR(__xludf.DUMMYFUNCTION("""COMPUTED_VALUE"""),"BLK")</f>
        <v>BLK</v>
      </c>
      <c r="L21" s="517" t="str">
        <f>IFERROR(__xludf.DUMMYFUNCTION("""COMPUTED_VALUE"""),"GK2MP
")</f>
        <v>GK2MP
</v>
      </c>
      <c r="M21" s="517" t="str">
        <f>IFERROR(__xludf.DUMMYFUNCTION("""COMPUTED_VALUE"""),"ROW")</f>
        <v>ROW</v>
      </c>
      <c r="N21" s="517" t="str">
        <f>IFERROR(__xludf.DUMMYFUNCTION("""COMPUTED_VALUE"""),"SKU, CLR1, GOOD, SUB6, UK/EU, FL5")</f>
        <v>SKU, CLR1, GOOD, SUB6, UK/EU, FL5</v>
      </c>
      <c r="O21" s="517">
        <f>IFERROR(__xludf.DUMMYFUNCTION("""COMPUTED_VALUE"""),0.0)</f>
        <v>0</v>
      </c>
      <c r="P21" s="517" t="str">
        <f>IFERROR(__xludf.DUMMYFUNCTION("""COMPUTED_VALUE"""),"128GB")</f>
        <v>128GB</v>
      </c>
      <c r="Q21" s="517"/>
      <c r="R21" s="518" t="str">
        <f>IFERROR(__xludf.DUMMYFUNCTION("""COMPUTED_VALUE"""),"840353926905")</f>
        <v>840353926905</v>
      </c>
      <c r="S21" s="518" t="str">
        <f>IFERROR(__xludf.DUMMYFUNCTION("""COMPUTED_VALUE"""),"0840353926905")</f>
        <v>0840353926905</v>
      </c>
      <c r="T21" s="517" t="str">
        <f>IFERROR(__xludf.DUMMYFUNCTION("""COMPUTED_VALUE"""),"MP")</f>
        <v>MP</v>
      </c>
    </row>
    <row r="22">
      <c r="B22" s="517">
        <f>IFERROR(__xludf.DUMMYFUNCTION("""COMPUTED_VALUE"""),18.0)</f>
        <v>18</v>
      </c>
      <c r="C22" s="517" t="str">
        <f>IFERROR(__xludf.DUMMYFUNCTION("""COMPUTED_VALUE"""),"Pristine")</f>
        <v>Pristine</v>
      </c>
      <c r="D22" s="517" t="str">
        <f>IFERROR(__xludf.DUMMYFUNCTION("""COMPUTED_VALUE"""),"Retail Pack")</f>
        <v>Retail Pack</v>
      </c>
      <c r="E22" s="517" t="str">
        <f>IFERROR(__xludf.DUMMYFUNCTION("""COMPUTED_VALUE"""),"GA10214-GB")</f>
        <v>GA10214-GB</v>
      </c>
      <c r="F22" s="517" t="str">
        <f>IFERROR(__xludf.DUMMYFUNCTION("""COMPUTED_VALUE"""),"UK/EU")</f>
        <v>UK/EU</v>
      </c>
      <c r="G22" s="517" t="str">
        <f>IFERROR(__xludf.DUMMYFUNCTION("""COMPUTED_VALUE"""),"EMA")</f>
        <v>EMA</v>
      </c>
      <c r="H22" s="517" t="str">
        <f>IFERROR(__xludf.DUMMYFUNCTION("""COMPUTED_VALUE"""),"Sub6")</f>
        <v>Sub6</v>
      </c>
      <c r="I22" s="517" t="str">
        <f>IFERROR(__xludf.DUMMYFUNCTION("""COMPUTED_VALUE"""),"CLR2")</f>
        <v>CLR2</v>
      </c>
      <c r="J22" s="517" t="str">
        <f>IFERROR(__xludf.DUMMYFUNCTION("""COMPUTED_VALUE"""),"Iris")</f>
        <v>Iris</v>
      </c>
      <c r="K22" s="517" t="str">
        <f>IFERROR(__xludf.DUMMYFUNCTION("""COMPUTED_VALUE"""),"PPL")</f>
        <v>PPL</v>
      </c>
      <c r="L22" s="517" t="str">
        <f>IFERROR(__xludf.DUMMYFUNCTION("""COMPUTED_VALUE"""),"GK2MP
")</f>
        <v>GK2MP
</v>
      </c>
      <c r="M22" s="517" t="str">
        <f>IFERROR(__xludf.DUMMYFUNCTION("""COMPUTED_VALUE"""),"ROW")</f>
        <v>ROW</v>
      </c>
      <c r="N22" s="517" t="str">
        <f>IFERROR(__xludf.DUMMYFUNCTION("""COMPUTED_VALUE"""),"SKU, CLR2, GOOD, SUB6, EU/UK, FL5")</f>
        <v>SKU, CLR2, GOOD, SUB6, EU/UK, FL5</v>
      </c>
      <c r="O22" s="517">
        <f>IFERROR(__xludf.DUMMYFUNCTION("""COMPUTED_VALUE"""),0.0)</f>
        <v>0</v>
      </c>
      <c r="P22" s="517" t="str">
        <f>IFERROR(__xludf.DUMMYFUNCTION("""COMPUTED_VALUE"""),"128GB")</f>
        <v>128GB</v>
      </c>
      <c r="Q22" s="517"/>
      <c r="R22" s="518" t="str">
        <f>IFERROR(__xludf.DUMMYFUNCTION("""COMPUTED_VALUE"""),"840353926943")</f>
        <v>840353926943</v>
      </c>
      <c r="S22" s="518" t="str">
        <f>IFERROR(__xludf.DUMMYFUNCTION("""COMPUTED_VALUE"""),"0840353926943")</f>
        <v>0840353926943</v>
      </c>
      <c r="T22" s="517" t="str">
        <f>IFERROR(__xludf.DUMMYFUNCTION("""COMPUTED_VALUE"""),"MP")</f>
        <v>MP</v>
      </c>
    </row>
    <row r="23">
      <c r="B23" s="517">
        <f>IFERROR(__xludf.DUMMYFUNCTION("""COMPUTED_VALUE"""),19.0)</f>
        <v>19</v>
      </c>
      <c r="C23" s="517" t="str">
        <f>IFERROR(__xludf.DUMMYFUNCTION("""COMPUTED_VALUE"""),"Pristine")</f>
        <v>Pristine</v>
      </c>
      <c r="D23" s="517" t="str">
        <f>IFERROR(__xludf.DUMMYFUNCTION("""COMPUTED_VALUE"""),"Retail Pack")</f>
        <v>Retail Pack</v>
      </c>
      <c r="E23" s="517" t="str">
        <f>IFERROR(__xludf.DUMMYFUNCTION("""COMPUTED_VALUE"""),"GA10215-GB")</f>
        <v>GA10215-GB</v>
      </c>
      <c r="F23" s="517" t="str">
        <f>IFERROR(__xludf.DUMMYFUNCTION("""COMPUTED_VALUE"""),"UK/EU")</f>
        <v>UK/EU</v>
      </c>
      <c r="G23" s="517" t="str">
        <f>IFERROR(__xludf.DUMMYFUNCTION("""COMPUTED_VALUE"""),"EMA")</f>
        <v>EMA</v>
      </c>
      <c r="H23" s="517" t="str">
        <f>IFERROR(__xludf.DUMMYFUNCTION("""COMPUTED_VALUE"""),"Sub6")</f>
        <v>Sub6</v>
      </c>
      <c r="I23" s="517" t="str">
        <f>IFERROR(__xludf.DUMMYFUNCTION("""COMPUTED_VALUE"""),"CLR3")</f>
        <v>CLR3</v>
      </c>
      <c r="J23" s="517" t="str">
        <f>IFERROR(__xludf.DUMMYFUNCTION("""COMPUTED_VALUE"""),"Limoncello Midtone")</f>
        <v>Limoncello Midtone</v>
      </c>
      <c r="K23" s="517" t="str">
        <f>IFERROR(__xludf.DUMMYFUNCTION("""COMPUTED_VALUE"""),"YEL")</f>
        <v>YEL</v>
      </c>
      <c r="L23" s="517" t="str">
        <f>IFERROR(__xludf.DUMMYFUNCTION("""COMPUTED_VALUE"""),"GK2MP
")</f>
        <v>GK2MP
</v>
      </c>
      <c r="M23" s="517" t="str">
        <f>IFERROR(__xludf.DUMMYFUNCTION("""COMPUTED_VALUE"""),"ROW")</f>
        <v>ROW</v>
      </c>
      <c r="N23" s="517" t="str">
        <f>IFERROR(__xludf.DUMMYFUNCTION("""COMPUTED_VALUE"""),"SKU, CLR3, GOOD, SUB6, EU/UK, FL5")</f>
        <v>SKU, CLR3, GOOD, SUB6, EU/UK, FL5</v>
      </c>
      <c r="O23" s="517">
        <f>IFERROR(__xludf.DUMMYFUNCTION("""COMPUTED_VALUE"""),0.0)</f>
        <v>0</v>
      </c>
      <c r="P23" s="517" t="str">
        <f>IFERROR(__xludf.DUMMYFUNCTION("""COMPUTED_VALUE"""),"128GB")</f>
        <v>128GB</v>
      </c>
      <c r="Q23" s="517"/>
      <c r="R23" s="518" t="str">
        <f>IFERROR(__xludf.DUMMYFUNCTION("""COMPUTED_VALUE"""),"840353926929")</f>
        <v>840353926929</v>
      </c>
      <c r="S23" s="518" t="str">
        <f>IFERROR(__xludf.DUMMYFUNCTION("""COMPUTED_VALUE"""),"0840353926929")</f>
        <v>0840353926929</v>
      </c>
      <c r="T23" s="517" t="str">
        <f>IFERROR(__xludf.DUMMYFUNCTION("""COMPUTED_VALUE"""),"PVT/MP")</f>
        <v>PVT/MP</v>
      </c>
    </row>
    <row r="24">
      <c r="B24" s="517">
        <f>IFERROR(__xludf.DUMMYFUNCTION("""COMPUTED_VALUE"""),20.0)</f>
        <v>20</v>
      </c>
      <c r="C24" s="517" t="str">
        <f>IFERROR(__xludf.DUMMYFUNCTION("""COMPUTED_VALUE"""),"Pristine")</f>
        <v>Pristine</v>
      </c>
      <c r="D24" s="517" t="str">
        <f>IFERROR(__xludf.DUMMYFUNCTION("""COMPUTED_VALUE"""),"Retail Pack")</f>
        <v>Retail Pack</v>
      </c>
      <c r="E24" s="517" t="str">
        <f>IFERROR(__xludf.DUMMYFUNCTION("""COMPUTED_VALUE"""),"GA10216-GB")</f>
        <v>GA10216-GB</v>
      </c>
      <c r="F24" s="517" t="str">
        <f>IFERROR(__xludf.DUMMYFUNCTION("""COMPUTED_VALUE"""),"UK/EU")</f>
        <v>UK/EU</v>
      </c>
      <c r="G24" s="517" t="str">
        <f>IFERROR(__xludf.DUMMYFUNCTION("""COMPUTED_VALUE"""),"EMA")</f>
        <v>EMA</v>
      </c>
      <c r="H24" s="517" t="str">
        <f>IFERROR(__xludf.DUMMYFUNCTION("""COMPUTED_VALUE"""),"Sub6")</f>
        <v>Sub6</v>
      </c>
      <c r="I24" s="517" t="str">
        <f>IFERROR(__xludf.DUMMYFUNCTION("""COMPUTED_VALUE"""),"CLR4")</f>
        <v>CLR4</v>
      </c>
      <c r="J24" s="517" t="str">
        <f>IFERROR(__xludf.DUMMYFUNCTION("""COMPUTED_VALUE"""),"Ultra Blue")</f>
        <v>Ultra Blue</v>
      </c>
      <c r="K24" s="517" t="str">
        <f>IFERROR(__xludf.DUMMYFUNCTION("""COMPUTED_VALUE"""),"BUE")</f>
        <v>BUE</v>
      </c>
      <c r="L24" s="517" t="str">
        <f>IFERROR(__xludf.DUMMYFUNCTION("""COMPUTED_VALUE"""),"GK2MP
")</f>
        <v>GK2MP
</v>
      </c>
      <c r="M24" s="517" t="str">
        <f>IFERROR(__xludf.DUMMYFUNCTION("""COMPUTED_VALUE"""),"ROW")</f>
        <v>ROW</v>
      </c>
      <c r="N24" s="517" t="str">
        <f>IFERROR(__xludf.DUMMYFUNCTION("""COMPUTED_VALUE"""),"SKU, CLR4, GOOD, SUB6, EU/UK, FL5")</f>
        <v>SKU, CLR4, GOOD, SUB6, EU/UK, FL5</v>
      </c>
      <c r="O24" s="517">
        <f>IFERROR(__xludf.DUMMYFUNCTION("""COMPUTED_VALUE"""),0.0)</f>
        <v>0</v>
      </c>
      <c r="P24" s="517" t="str">
        <f>IFERROR(__xludf.DUMMYFUNCTION("""COMPUTED_VALUE"""),"128GB")</f>
        <v>128GB</v>
      </c>
      <c r="Q24" s="517"/>
      <c r="R24" s="518" t="str">
        <f>IFERROR(__xludf.DUMMYFUNCTION("""COMPUTED_VALUE"""),"840353926981")</f>
        <v>840353926981</v>
      </c>
      <c r="S24" s="518" t="str">
        <f>IFERROR(__xludf.DUMMYFUNCTION("""COMPUTED_VALUE"""),"0840353926981")</f>
        <v>0840353926981</v>
      </c>
      <c r="T24" s="517" t="str">
        <f>IFERROR(__xludf.DUMMYFUNCTION("""COMPUTED_VALUE"""),"PVT/MP")</f>
        <v>PVT/MP</v>
      </c>
    </row>
    <row r="25">
      <c r="B25" s="517">
        <f>IFERROR(__xludf.DUMMYFUNCTION("""COMPUTED_VALUE"""),21.0)</f>
        <v>21</v>
      </c>
      <c r="C25" s="517" t="str">
        <f>IFERROR(__xludf.DUMMYFUNCTION("""COMPUTED_VALUE"""),"Pristine")</f>
        <v>Pristine</v>
      </c>
      <c r="D25" s="517" t="str">
        <f>IFERROR(__xludf.DUMMYFUNCTION("""COMPUTED_VALUE"""),"Retail Pack")</f>
        <v>Retail Pack</v>
      </c>
      <c r="E25" s="517" t="str">
        <f>IFERROR(__xludf.DUMMYFUNCTION("""COMPUTED_VALUE"""),"GA09744-JP")</f>
        <v>GA09744-JP</v>
      </c>
      <c r="F25" s="517" t="str">
        <f>IFERROR(__xludf.DUMMYFUNCTION("""COMPUTED_VALUE"""),"JP")</f>
        <v>JP</v>
      </c>
      <c r="G25" s="517" t="str">
        <f>IFERROR(__xludf.DUMMYFUNCTION("""COMPUTED_VALUE"""),"AJP")</f>
        <v>AJP</v>
      </c>
      <c r="H25" s="517" t="str">
        <f>IFERROR(__xludf.DUMMYFUNCTION("""COMPUTED_VALUE"""),"JPN")</f>
        <v>JPN</v>
      </c>
      <c r="I25" s="517" t="str">
        <f>IFERROR(__xludf.DUMMYFUNCTION("""COMPUTED_VALUE"""),"CLR1")</f>
        <v>CLR1</v>
      </c>
      <c r="J25" s="517" t="str">
        <f>IFERROR(__xludf.DUMMYFUNCTION("""COMPUTED_VALUE"""),"Midnight Haze")</f>
        <v>Midnight Haze</v>
      </c>
      <c r="K25" s="517" t="str">
        <f>IFERROR(__xludf.DUMMYFUNCTION("""COMPUTED_VALUE"""),"BLK")</f>
        <v>BLK</v>
      </c>
      <c r="L25" s="517" t="str">
        <f>IFERROR(__xludf.DUMMYFUNCTION("""COMPUTED_VALUE"""),"GL066")</f>
        <v>GL066</v>
      </c>
      <c r="M25" s="517" t="str">
        <f>IFERROR(__xludf.DUMMYFUNCTION("""COMPUTED_VALUE"""),"JPN")</f>
        <v>JPN</v>
      </c>
      <c r="N25" s="517" t="str">
        <f>IFERROR(__xludf.DUMMYFUNCTION("""COMPUTED_VALUE"""),"SKU, CLR1, GOOD, SUB6, JP, FL5")</f>
        <v>SKU, CLR1, GOOD, SUB6, JP, FL5</v>
      </c>
      <c r="O25" s="517">
        <f>IFERROR(__xludf.DUMMYFUNCTION("""COMPUTED_VALUE"""),0.0)</f>
        <v>0</v>
      </c>
      <c r="P25" s="517" t="str">
        <f>IFERROR(__xludf.DUMMYFUNCTION("""COMPUTED_VALUE"""),"128GB")</f>
        <v>128GB</v>
      </c>
      <c r="Q25" s="517"/>
      <c r="R25" s="518" t="str">
        <f>IFERROR(__xludf.DUMMYFUNCTION("""COMPUTED_VALUE"""),"840353926899")</f>
        <v>840353926899</v>
      </c>
      <c r="S25" s="518" t="str">
        <f>IFERROR(__xludf.DUMMYFUNCTION("""COMPUTED_VALUE"""),"0840353926899")</f>
        <v>0840353926899</v>
      </c>
      <c r="T25" s="517" t="str">
        <f>IFERROR(__xludf.DUMMYFUNCTION("""COMPUTED_VALUE"""),"PVT/MP")</f>
        <v>PVT/MP</v>
      </c>
    </row>
    <row r="26">
      <c r="B26" s="517">
        <f>IFERROR(__xludf.DUMMYFUNCTION("""COMPUTED_VALUE"""),22.0)</f>
        <v>22</v>
      </c>
      <c r="C26" s="517" t="str">
        <f>IFERROR(__xludf.DUMMYFUNCTION("""COMPUTED_VALUE"""),"Pristine")</f>
        <v>Pristine</v>
      </c>
      <c r="D26" s="517" t="str">
        <f>IFERROR(__xludf.DUMMYFUNCTION("""COMPUTED_VALUE"""),"Retail Pack")</f>
        <v>Retail Pack</v>
      </c>
      <c r="E26" s="517" t="str">
        <f>IFERROR(__xludf.DUMMYFUNCTION("""COMPUTED_VALUE"""),"GA10214-JP")</f>
        <v>GA10214-JP</v>
      </c>
      <c r="F26" s="517" t="str">
        <f>IFERROR(__xludf.DUMMYFUNCTION("""COMPUTED_VALUE"""),"JP")</f>
        <v>JP</v>
      </c>
      <c r="G26" s="517" t="str">
        <f>IFERROR(__xludf.DUMMYFUNCTION("""COMPUTED_VALUE"""),"AJP")</f>
        <v>AJP</v>
      </c>
      <c r="H26" s="517" t="str">
        <f>IFERROR(__xludf.DUMMYFUNCTION("""COMPUTED_VALUE"""),"JPN")</f>
        <v>JPN</v>
      </c>
      <c r="I26" s="517" t="str">
        <f>IFERROR(__xludf.DUMMYFUNCTION("""COMPUTED_VALUE"""),"CLR2")</f>
        <v>CLR2</v>
      </c>
      <c r="J26" s="517" t="str">
        <f>IFERROR(__xludf.DUMMYFUNCTION("""COMPUTED_VALUE"""),"Iris")</f>
        <v>Iris</v>
      </c>
      <c r="K26" s="517" t="str">
        <f>IFERROR(__xludf.DUMMYFUNCTION("""COMPUTED_VALUE"""),"PPL")</f>
        <v>PPL</v>
      </c>
      <c r="L26" s="517" t="str">
        <f>IFERROR(__xludf.DUMMYFUNCTION("""COMPUTED_VALUE"""),"GL066")</f>
        <v>GL066</v>
      </c>
      <c r="M26" s="517" t="str">
        <f>IFERROR(__xludf.DUMMYFUNCTION("""COMPUTED_VALUE"""),"JPN")</f>
        <v>JPN</v>
      </c>
      <c r="N26" s="517" t="str">
        <f>IFERROR(__xludf.DUMMYFUNCTION("""COMPUTED_VALUE"""),"SKU, CLR2, GOOD, SUB6, JP, FL5")</f>
        <v>SKU, CLR2, GOOD, SUB6, JP, FL5</v>
      </c>
      <c r="O26" s="517">
        <f>IFERROR(__xludf.DUMMYFUNCTION("""COMPUTED_VALUE"""),0.0)</f>
        <v>0</v>
      </c>
      <c r="P26" s="517" t="str">
        <f>IFERROR(__xludf.DUMMYFUNCTION("""COMPUTED_VALUE"""),"128GB")</f>
        <v>128GB</v>
      </c>
      <c r="Q26" s="517"/>
      <c r="R26" s="518" t="str">
        <f>IFERROR(__xludf.DUMMYFUNCTION("""COMPUTED_VALUE"""),"840353926974")</f>
        <v>840353926974</v>
      </c>
      <c r="S26" s="518" t="str">
        <f>IFERROR(__xludf.DUMMYFUNCTION("""COMPUTED_VALUE"""),"0840353926974")</f>
        <v>0840353926974</v>
      </c>
      <c r="T26" s="517" t="str">
        <f>IFERROR(__xludf.DUMMYFUNCTION("""COMPUTED_VALUE"""),"PVT/MP")</f>
        <v>PVT/MP</v>
      </c>
    </row>
    <row r="27">
      <c r="B27" s="517">
        <f>IFERROR(__xludf.DUMMYFUNCTION("""COMPUTED_VALUE"""),23.0)</f>
        <v>23</v>
      </c>
      <c r="C27" s="517" t="str">
        <f>IFERROR(__xludf.DUMMYFUNCTION("""COMPUTED_VALUE"""),"Pristine")</f>
        <v>Pristine</v>
      </c>
      <c r="D27" s="517" t="str">
        <f>IFERROR(__xludf.DUMMYFUNCTION("""COMPUTED_VALUE"""),"Retail Pack")</f>
        <v>Retail Pack</v>
      </c>
      <c r="E27" s="517" t="str">
        <f>IFERROR(__xludf.DUMMYFUNCTION("""COMPUTED_VALUE"""),"GA10215-JP")</f>
        <v>GA10215-JP</v>
      </c>
      <c r="F27" s="517" t="str">
        <f>IFERROR(__xludf.DUMMYFUNCTION("""COMPUTED_VALUE"""),"JP")</f>
        <v>JP</v>
      </c>
      <c r="G27" s="517" t="str">
        <f>IFERROR(__xludf.DUMMYFUNCTION("""COMPUTED_VALUE"""),"AJP")</f>
        <v>AJP</v>
      </c>
      <c r="H27" s="517" t="str">
        <f>IFERROR(__xludf.DUMMYFUNCTION("""COMPUTED_VALUE"""),"JPN")</f>
        <v>JPN</v>
      </c>
      <c r="I27" s="517" t="str">
        <f>IFERROR(__xludf.DUMMYFUNCTION("""COMPUTED_VALUE"""),"CLR3")</f>
        <v>CLR3</v>
      </c>
      <c r="J27" s="517" t="str">
        <f>IFERROR(__xludf.DUMMYFUNCTION("""COMPUTED_VALUE"""),"Limoncello Midtone")</f>
        <v>Limoncello Midtone</v>
      </c>
      <c r="K27" s="517" t="str">
        <f>IFERROR(__xludf.DUMMYFUNCTION("""COMPUTED_VALUE"""),"YEL")</f>
        <v>YEL</v>
      </c>
      <c r="L27" s="517" t="str">
        <f>IFERROR(__xludf.DUMMYFUNCTION("""COMPUTED_VALUE"""),"GL066")</f>
        <v>GL066</v>
      </c>
      <c r="M27" s="517" t="str">
        <f>IFERROR(__xludf.DUMMYFUNCTION("""COMPUTED_VALUE"""),"JPN")</f>
        <v>JPN</v>
      </c>
      <c r="N27" s="517" t="str">
        <f>IFERROR(__xludf.DUMMYFUNCTION("""COMPUTED_VALUE"""),"SKU, CLR3, GOOD, SUB6, JP, FL5")</f>
        <v>SKU, CLR3, GOOD, SUB6, JP, FL5</v>
      </c>
      <c r="O27" s="517">
        <f>IFERROR(__xludf.DUMMYFUNCTION("""COMPUTED_VALUE"""),0.0)</f>
        <v>0</v>
      </c>
      <c r="P27" s="517" t="str">
        <f>IFERROR(__xludf.DUMMYFUNCTION("""COMPUTED_VALUE"""),"128GB")</f>
        <v>128GB</v>
      </c>
      <c r="Q27" s="517"/>
      <c r="R27" s="518" t="str">
        <f>IFERROR(__xludf.DUMMYFUNCTION("""COMPUTED_VALUE"""),"840353926912")</f>
        <v>840353926912</v>
      </c>
      <c r="S27" s="518" t="str">
        <f>IFERROR(__xludf.DUMMYFUNCTION("""COMPUTED_VALUE"""),"0840353926912")</f>
        <v>0840353926912</v>
      </c>
      <c r="T27" s="517" t="str">
        <f>IFERROR(__xludf.DUMMYFUNCTION("""COMPUTED_VALUE"""),"PVT/MP")</f>
        <v>PVT/MP</v>
      </c>
    </row>
    <row r="28">
      <c r="B28" s="517">
        <f>IFERROR(__xludf.DUMMYFUNCTION("""COMPUTED_VALUE"""),24.0)</f>
        <v>24</v>
      </c>
      <c r="C28" s="517" t="str">
        <f>IFERROR(__xludf.DUMMYFUNCTION("""COMPUTED_VALUE"""),"Pristine")</f>
        <v>Pristine</v>
      </c>
      <c r="D28" s="517" t="str">
        <f>IFERROR(__xludf.DUMMYFUNCTION("""COMPUTED_VALUE"""),"Retail Pack")</f>
        <v>Retail Pack</v>
      </c>
      <c r="E28" s="517" t="str">
        <f>IFERROR(__xludf.DUMMYFUNCTION("""COMPUTED_VALUE"""),"GA10216-JP")</f>
        <v>GA10216-JP</v>
      </c>
      <c r="F28" s="517" t="str">
        <f>IFERROR(__xludf.DUMMYFUNCTION("""COMPUTED_VALUE"""),"JP")</f>
        <v>JP</v>
      </c>
      <c r="G28" s="517" t="str">
        <f>IFERROR(__xludf.DUMMYFUNCTION("""COMPUTED_VALUE"""),"AJP")</f>
        <v>AJP</v>
      </c>
      <c r="H28" s="517" t="str">
        <f>IFERROR(__xludf.DUMMYFUNCTION("""COMPUTED_VALUE"""),"JPN")</f>
        <v>JPN</v>
      </c>
      <c r="I28" s="517" t="str">
        <f>IFERROR(__xludf.DUMMYFUNCTION("""COMPUTED_VALUE"""),"CLR4")</f>
        <v>CLR4</v>
      </c>
      <c r="J28" s="517" t="str">
        <f>IFERROR(__xludf.DUMMYFUNCTION("""COMPUTED_VALUE"""),"Ultra Blue")</f>
        <v>Ultra Blue</v>
      </c>
      <c r="K28" s="517" t="str">
        <f>IFERROR(__xludf.DUMMYFUNCTION("""COMPUTED_VALUE"""),"BUE")</f>
        <v>BUE</v>
      </c>
      <c r="L28" s="517" t="str">
        <f>IFERROR(__xludf.DUMMYFUNCTION("""COMPUTED_VALUE"""),"GL066")</f>
        <v>GL066</v>
      </c>
      <c r="M28" s="517" t="str">
        <f>IFERROR(__xludf.DUMMYFUNCTION("""COMPUTED_VALUE"""),"JPN")</f>
        <v>JPN</v>
      </c>
      <c r="N28" s="517" t="str">
        <f>IFERROR(__xludf.DUMMYFUNCTION("""COMPUTED_VALUE"""),"SKU, CLR4, GOOD, SUB6, JP, FL5")</f>
        <v>SKU, CLR4, GOOD, SUB6, JP, FL5</v>
      </c>
      <c r="O28" s="517">
        <f>IFERROR(__xludf.DUMMYFUNCTION("""COMPUTED_VALUE"""),0.0)</f>
        <v>0</v>
      </c>
      <c r="P28" s="517" t="str">
        <f>IFERROR(__xludf.DUMMYFUNCTION("""COMPUTED_VALUE"""),"128GB")</f>
        <v>128GB</v>
      </c>
      <c r="Q28" s="517"/>
      <c r="R28" s="518" t="str">
        <f>IFERROR(__xludf.DUMMYFUNCTION("""COMPUTED_VALUE"""),"840353926936")</f>
        <v>840353926936</v>
      </c>
      <c r="S28" s="518" t="str">
        <f>IFERROR(__xludf.DUMMYFUNCTION("""COMPUTED_VALUE"""),"0840353926936")</f>
        <v>0840353926936</v>
      </c>
      <c r="T28" s="517" t="str">
        <f>IFERROR(__xludf.DUMMYFUNCTION("""COMPUTED_VALUE"""),"PVT/MP")</f>
        <v>PVT/MP</v>
      </c>
    </row>
    <row r="29">
      <c r="B29" s="517">
        <f>IFERROR(__xludf.DUMMYFUNCTION("""COMPUTED_VALUE"""),25.0)</f>
        <v>25</v>
      </c>
      <c r="C29" s="517" t="str">
        <f>IFERROR(__xludf.DUMMYFUNCTION("""COMPUTED_VALUE"""),"Pristine")</f>
        <v>Pristine</v>
      </c>
      <c r="D29" s="517" t="str">
        <f>IFERROR(__xludf.DUMMYFUNCTION("""COMPUTED_VALUE"""),"Cancel")</f>
        <v>Cancel</v>
      </c>
      <c r="E29" s="517" t="str">
        <f>IFERROR(__xludf.DUMMYFUNCTION("""COMPUTED_VALUE"""),"GA09744-IN")</f>
        <v>GA09744-IN</v>
      </c>
      <c r="F29" s="517" t="str">
        <f>IFERROR(__xludf.DUMMYFUNCTION("""COMPUTED_VALUE"""),"IN")</f>
        <v>IN</v>
      </c>
      <c r="G29" s="517" t="str">
        <f>IFERROR(__xludf.DUMMYFUNCTION("""COMPUTED_VALUE"""),"NCA")</f>
        <v>NCA</v>
      </c>
      <c r="H29" s="517" t="str">
        <f>IFERROR(__xludf.DUMMYFUNCTION("""COMPUTED_VALUE"""),"Sub6")</f>
        <v>Sub6</v>
      </c>
      <c r="I29" s="517" t="str">
        <f>IFERROR(__xludf.DUMMYFUNCTION("""COMPUTED_VALUE"""),"CLR1")</f>
        <v>CLR1</v>
      </c>
      <c r="J29" s="517" t="str">
        <f>IFERROR(__xludf.DUMMYFUNCTION("""COMPUTED_VALUE"""),"Midnight Haze")</f>
        <v>Midnight Haze</v>
      </c>
      <c r="K29" s="517" t="str">
        <f>IFERROR(__xludf.DUMMYFUNCTION("""COMPUTED_VALUE"""),"BLK")</f>
        <v>BLK</v>
      </c>
      <c r="L29" s="517" t="str">
        <f>IFERROR(__xludf.DUMMYFUNCTION("""COMPUTED_VALUE"""),"GK2MP")</f>
        <v>GK2MP</v>
      </c>
      <c r="M29" s="517" t="str">
        <f>IFERROR(__xludf.DUMMYFUNCTION("""COMPUTED_VALUE"""),"ROW")</f>
        <v>ROW</v>
      </c>
      <c r="N29" s="517" t="str">
        <f>IFERROR(__xludf.DUMMYFUNCTION("""COMPUTED_VALUE"""),"SKU, CLR1, GOOD, SUB6, IN, FL5")</f>
        <v>SKU, CLR1, GOOD, SUB6, IN, FL5</v>
      </c>
      <c r="O29" s="517">
        <f>IFERROR(__xludf.DUMMYFUNCTION("""COMPUTED_VALUE"""),0.0)</f>
        <v>0</v>
      </c>
      <c r="P29" s="517" t="str">
        <f>IFERROR(__xludf.DUMMYFUNCTION("""COMPUTED_VALUE"""),"128GB")</f>
        <v>128GB</v>
      </c>
      <c r="Q29" s="517"/>
      <c r="R29" s="518" t="str">
        <f>IFERROR(__xludf.DUMMYFUNCTION("""COMPUTED_VALUE"""),"TBD")</f>
        <v>TBD</v>
      </c>
      <c r="S29" s="518" t="str">
        <f>IFERROR(__xludf.DUMMYFUNCTION("""COMPUTED_VALUE"""),"TBD")</f>
        <v>TBD</v>
      </c>
      <c r="T29" s="517" t="str">
        <f>IFERROR(__xludf.DUMMYFUNCTION("""COMPUTED_VALUE"""),"MP")</f>
        <v>MP</v>
      </c>
    </row>
    <row r="30">
      <c r="B30" s="517">
        <f>IFERROR(__xludf.DUMMYFUNCTION("""COMPUTED_VALUE"""),26.0)</f>
        <v>26</v>
      </c>
      <c r="C30" s="517" t="str">
        <f>IFERROR(__xludf.DUMMYFUNCTION("""COMPUTED_VALUE"""),"Pristine")</f>
        <v>Pristine</v>
      </c>
      <c r="D30" s="517" t="str">
        <f>IFERROR(__xludf.DUMMYFUNCTION("""COMPUTED_VALUE"""),"Cancel")</f>
        <v>Cancel</v>
      </c>
      <c r="E30" s="517" t="str">
        <f>IFERROR(__xludf.DUMMYFUNCTION("""COMPUTED_VALUE"""),"GA10214-IN")</f>
        <v>GA10214-IN</v>
      </c>
      <c r="F30" s="517" t="str">
        <f>IFERROR(__xludf.DUMMYFUNCTION("""COMPUTED_VALUE"""),"IN")</f>
        <v>IN</v>
      </c>
      <c r="G30" s="517" t="str">
        <f>IFERROR(__xludf.DUMMYFUNCTION("""COMPUTED_VALUE"""),"NCA")</f>
        <v>NCA</v>
      </c>
      <c r="H30" s="517" t="str">
        <f>IFERROR(__xludf.DUMMYFUNCTION("""COMPUTED_VALUE"""),"Sub6")</f>
        <v>Sub6</v>
      </c>
      <c r="I30" s="517" t="str">
        <f>IFERROR(__xludf.DUMMYFUNCTION("""COMPUTED_VALUE"""),"CLR2")</f>
        <v>CLR2</v>
      </c>
      <c r="J30" s="517" t="str">
        <f>IFERROR(__xludf.DUMMYFUNCTION("""COMPUTED_VALUE"""),"Iris")</f>
        <v>Iris</v>
      </c>
      <c r="K30" s="517" t="str">
        <f>IFERROR(__xludf.DUMMYFUNCTION("""COMPUTED_VALUE"""),"PPL")</f>
        <v>PPL</v>
      </c>
      <c r="L30" s="517" t="str">
        <f>IFERROR(__xludf.DUMMYFUNCTION("""COMPUTED_VALUE"""),"GK2MP")</f>
        <v>GK2MP</v>
      </c>
      <c r="M30" s="517" t="str">
        <f>IFERROR(__xludf.DUMMYFUNCTION("""COMPUTED_VALUE"""),"ROW")</f>
        <v>ROW</v>
      </c>
      <c r="N30" s="517" t="str">
        <f>IFERROR(__xludf.DUMMYFUNCTION("""COMPUTED_VALUE"""),"SKU, CLR2, GOOD, SUB6, IN, FL5")</f>
        <v>SKU, CLR2, GOOD, SUB6, IN, FL5</v>
      </c>
      <c r="O30" s="517">
        <f>IFERROR(__xludf.DUMMYFUNCTION("""COMPUTED_VALUE"""),0.0)</f>
        <v>0</v>
      </c>
      <c r="P30" s="517" t="str">
        <f>IFERROR(__xludf.DUMMYFUNCTION("""COMPUTED_VALUE"""),"128GB")</f>
        <v>128GB</v>
      </c>
      <c r="Q30" s="517"/>
      <c r="R30" s="518" t="str">
        <f>IFERROR(__xludf.DUMMYFUNCTION("""COMPUTED_VALUE"""),"TBD")</f>
        <v>TBD</v>
      </c>
      <c r="S30" s="518" t="str">
        <f>IFERROR(__xludf.DUMMYFUNCTION("""COMPUTED_VALUE"""),"TBD")</f>
        <v>TBD</v>
      </c>
      <c r="T30" s="517" t="str">
        <f>IFERROR(__xludf.DUMMYFUNCTION("""COMPUTED_VALUE"""),"MP")</f>
        <v>MP</v>
      </c>
    </row>
    <row r="31">
      <c r="B31" s="517">
        <f>IFERROR(__xludf.DUMMYFUNCTION("""COMPUTED_VALUE"""),27.0)</f>
        <v>27</v>
      </c>
      <c r="C31" s="517" t="str">
        <f>IFERROR(__xludf.DUMMYFUNCTION("""COMPUTED_VALUE"""),"Pristine")</f>
        <v>Pristine</v>
      </c>
      <c r="D31" s="517" t="str">
        <f>IFERROR(__xludf.DUMMYFUNCTION("""COMPUTED_VALUE"""),"Cancel")</f>
        <v>Cancel</v>
      </c>
      <c r="E31" s="517" t="str">
        <f>IFERROR(__xludf.DUMMYFUNCTION("""COMPUTED_VALUE"""),"GA10215-IN")</f>
        <v>GA10215-IN</v>
      </c>
      <c r="F31" s="517" t="str">
        <f>IFERROR(__xludf.DUMMYFUNCTION("""COMPUTED_VALUE"""),"IN")</f>
        <v>IN</v>
      </c>
      <c r="G31" s="517" t="str">
        <f>IFERROR(__xludf.DUMMYFUNCTION("""COMPUTED_VALUE"""),"NCA")</f>
        <v>NCA</v>
      </c>
      <c r="H31" s="517" t="str">
        <f>IFERROR(__xludf.DUMMYFUNCTION("""COMPUTED_VALUE"""),"Sub6")</f>
        <v>Sub6</v>
      </c>
      <c r="I31" s="517" t="str">
        <f>IFERROR(__xludf.DUMMYFUNCTION("""COMPUTED_VALUE"""),"CLR3")</f>
        <v>CLR3</v>
      </c>
      <c r="J31" s="517" t="str">
        <f>IFERROR(__xludf.DUMMYFUNCTION("""COMPUTED_VALUE"""),"Limoncello Midtone")</f>
        <v>Limoncello Midtone</v>
      </c>
      <c r="K31" s="517" t="str">
        <f>IFERROR(__xludf.DUMMYFUNCTION("""COMPUTED_VALUE"""),"YEL")</f>
        <v>YEL</v>
      </c>
      <c r="L31" s="517" t="str">
        <f>IFERROR(__xludf.DUMMYFUNCTION("""COMPUTED_VALUE"""),"GK2MP")</f>
        <v>GK2MP</v>
      </c>
      <c r="M31" s="517" t="str">
        <f>IFERROR(__xludf.DUMMYFUNCTION("""COMPUTED_VALUE"""),"ROW")</f>
        <v>ROW</v>
      </c>
      <c r="N31" s="517" t="str">
        <f>IFERROR(__xludf.DUMMYFUNCTION("""COMPUTED_VALUE"""),"SKU, CLR3, GOOD, SUB6, IN, FL5")</f>
        <v>SKU, CLR3, GOOD, SUB6, IN, FL5</v>
      </c>
      <c r="O31" s="517">
        <f>IFERROR(__xludf.DUMMYFUNCTION("""COMPUTED_VALUE"""),0.0)</f>
        <v>0</v>
      </c>
      <c r="P31" s="517" t="str">
        <f>IFERROR(__xludf.DUMMYFUNCTION("""COMPUTED_VALUE"""),"128GB")</f>
        <v>128GB</v>
      </c>
      <c r="Q31" s="517"/>
      <c r="R31" s="518" t="str">
        <f>IFERROR(__xludf.DUMMYFUNCTION("""COMPUTED_VALUE"""),"TBD")</f>
        <v>TBD</v>
      </c>
      <c r="S31" s="518" t="str">
        <f>IFERROR(__xludf.DUMMYFUNCTION("""COMPUTED_VALUE"""),"TBD")</f>
        <v>TBD</v>
      </c>
      <c r="T31" s="517" t="str">
        <f>IFERROR(__xludf.DUMMYFUNCTION("""COMPUTED_VALUE"""),"MP")</f>
        <v>MP</v>
      </c>
    </row>
    <row r="32">
      <c r="B32" s="517">
        <f>IFERROR(__xludf.DUMMYFUNCTION("""COMPUTED_VALUE"""),28.0)</f>
        <v>28</v>
      </c>
      <c r="C32" s="517" t="str">
        <f>IFERROR(__xludf.DUMMYFUNCTION("""COMPUTED_VALUE"""),"Pristine")</f>
        <v>Pristine</v>
      </c>
      <c r="D32" s="517" t="str">
        <f>IFERROR(__xludf.DUMMYFUNCTION("""COMPUTED_VALUE"""),"Cancel")</f>
        <v>Cancel</v>
      </c>
      <c r="E32" s="517" t="str">
        <f>IFERROR(__xludf.DUMMYFUNCTION("""COMPUTED_VALUE"""),"GA10216-IN")</f>
        <v>GA10216-IN</v>
      </c>
      <c r="F32" s="517" t="str">
        <f>IFERROR(__xludf.DUMMYFUNCTION("""COMPUTED_VALUE"""),"IN")</f>
        <v>IN</v>
      </c>
      <c r="G32" s="517" t="str">
        <f>IFERROR(__xludf.DUMMYFUNCTION("""COMPUTED_VALUE"""),"NCA")</f>
        <v>NCA</v>
      </c>
      <c r="H32" s="517" t="str">
        <f>IFERROR(__xludf.DUMMYFUNCTION("""COMPUTED_VALUE"""),"Sub6")</f>
        <v>Sub6</v>
      </c>
      <c r="I32" s="517" t="str">
        <f>IFERROR(__xludf.DUMMYFUNCTION("""COMPUTED_VALUE"""),"CLR4")</f>
        <v>CLR4</v>
      </c>
      <c r="J32" s="517" t="str">
        <f>IFERROR(__xludf.DUMMYFUNCTION("""COMPUTED_VALUE"""),"Ultra Blue")</f>
        <v>Ultra Blue</v>
      </c>
      <c r="K32" s="517" t="str">
        <f>IFERROR(__xludf.DUMMYFUNCTION("""COMPUTED_VALUE"""),"BUE")</f>
        <v>BUE</v>
      </c>
      <c r="L32" s="517" t="str">
        <f>IFERROR(__xludf.DUMMYFUNCTION("""COMPUTED_VALUE"""),"GK2MP")</f>
        <v>GK2MP</v>
      </c>
      <c r="M32" s="517" t="str">
        <f>IFERROR(__xludf.DUMMYFUNCTION("""COMPUTED_VALUE"""),"ROW")</f>
        <v>ROW</v>
      </c>
      <c r="N32" s="517" t="str">
        <f>IFERROR(__xludf.DUMMYFUNCTION("""COMPUTED_VALUE"""),"SKU, CLR4, GOOD, SUB6, IN, FL5")</f>
        <v>SKU, CLR4, GOOD, SUB6, IN, FL5</v>
      </c>
      <c r="O32" s="517">
        <f>IFERROR(__xludf.DUMMYFUNCTION("""COMPUTED_VALUE"""),0.0)</f>
        <v>0</v>
      </c>
      <c r="P32" s="517" t="str">
        <f>IFERROR(__xludf.DUMMYFUNCTION("""COMPUTED_VALUE"""),"128GB")</f>
        <v>128GB</v>
      </c>
      <c r="Q32" s="517"/>
      <c r="R32" s="518" t="str">
        <f>IFERROR(__xludf.DUMMYFUNCTION("""COMPUTED_VALUE"""),"TBD")</f>
        <v>TBD</v>
      </c>
      <c r="S32" s="518" t="str">
        <f>IFERROR(__xludf.DUMMYFUNCTION("""COMPUTED_VALUE"""),"TBD")</f>
        <v>TBD</v>
      </c>
      <c r="T32" s="517" t="str">
        <f>IFERROR(__xludf.DUMMYFUNCTION("""COMPUTED_VALUE"""),"MP")</f>
        <v>MP</v>
      </c>
    </row>
    <row r="33">
      <c r="B33" s="517">
        <f>IFERROR(__xludf.DUMMYFUNCTION("""COMPUTED_VALUE"""),29.0)</f>
        <v>29</v>
      </c>
      <c r="C33" s="517" t="str">
        <f>IFERROR(__xludf.DUMMYFUNCTION("""COMPUTED_VALUE"""),"Pristine")</f>
        <v>Pristine</v>
      </c>
      <c r="D33" s="517" t="str">
        <f>IFERROR(__xludf.DUMMYFUNCTION("""COMPUTED_VALUE"""),"Retail Pack")</f>
        <v>Retail Pack</v>
      </c>
      <c r="E33" s="517" t="str">
        <f>IFERROR(__xludf.DUMMYFUNCTION("""COMPUTED_VALUE"""),"GA09880-US")</f>
        <v>GA09880-US</v>
      </c>
      <c r="F33" s="517" t="str">
        <f>IFERROR(__xludf.DUMMYFUNCTION("""COMPUTED_VALUE"""),"VZW, US")</f>
        <v>VZW, US</v>
      </c>
      <c r="G33" s="517" t="str">
        <f>IFERROR(__xludf.DUMMYFUNCTION("""COMPUTED_VALUE"""),"UVZ")</f>
        <v>UVZ</v>
      </c>
      <c r="H33" s="517" t="str">
        <f>IFERROR(__xludf.DUMMYFUNCTION("""COMPUTED_VALUE"""),"mmWave")</f>
        <v>mmWave</v>
      </c>
      <c r="I33" s="517" t="str">
        <f>IFERROR(__xludf.DUMMYFUNCTION("""COMPUTED_VALUE"""),"CLR1")</f>
        <v>CLR1</v>
      </c>
      <c r="J33" s="517" t="str">
        <f>IFERROR(__xludf.DUMMYFUNCTION("""COMPUTED_VALUE"""),"Midnight Haze")</f>
        <v>Midnight Haze</v>
      </c>
      <c r="K33" s="517" t="str">
        <f>IFERROR(__xludf.DUMMYFUNCTION("""COMPUTED_VALUE"""),"BLK")</f>
        <v>BLK</v>
      </c>
      <c r="L33" s="517" t="str">
        <f>IFERROR(__xludf.DUMMYFUNCTION("""COMPUTED_VALUE"""),"GLBW0")</f>
        <v>GLBW0</v>
      </c>
      <c r="M33" s="517" t="str">
        <f>IFERROR(__xludf.DUMMYFUNCTION("""COMPUTED_VALUE"""),"VZW")</f>
        <v>VZW</v>
      </c>
      <c r="N33" s="517" t="str">
        <f>IFERROR(__xludf.DUMMYFUNCTION("""COMPUTED_VALUE"""),"SKU, CLR1, BETTER, MMWAVE, VZW, US, FL5")</f>
        <v>SKU, CLR1, BETTER, MMWAVE, VZW, US, FL5</v>
      </c>
      <c r="O33" s="517" t="str">
        <f>IFERROR(__xludf.DUMMYFUNCTION("""COMPUTED_VALUE"""),"US")</f>
        <v>US</v>
      </c>
      <c r="P33" s="517" t="str">
        <f>IFERROR(__xludf.DUMMYFUNCTION("""COMPUTED_VALUE"""),"256GB")</f>
        <v>256GB</v>
      </c>
      <c r="Q33" s="517"/>
      <c r="R33" s="518" t="str">
        <f>IFERROR(__xludf.DUMMYFUNCTION("""COMPUTED_VALUE"""),"840353926486")</f>
        <v>840353926486</v>
      </c>
      <c r="S33" s="518" t="str">
        <f>IFERROR(__xludf.DUMMYFUNCTION("""COMPUTED_VALUE"""),"0840353926486")</f>
        <v>0840353926486</v>
      </c>
      <c r="T33" s="517" t="str">
        <f>IFERROR(__xludf.DUMMYFUNCTION("""COMPUTED_VALUE"""),"MP")</f>
        <v>MP</v>
      </c>
    </row>
    <row r="34">
      <c r="B34" s="517">
        <f>IFERROR(__xludf.DUMMYFUNCTION("""COMPUTED_VALUE"""),30.0)</f>
        <v>30</v>
      </c>
      <c r="C34" s="517" t="str">
        <f>IFERROR(__xludf.DUMMYFUNCTION("""COMPUTED_VALUE"""),"Pristine")</f>
        <v>Pristine</v>
      </c>
      <c r="D34" s="517" t="str">
        <f>IFERROR(__xludf.DUMMYFUNCTION("""COMPUTED_VALUE"""),"Retail Pack")</f>
        <v>Retail Pack</v>
      </c>
      <c r="E34" s="517" t="str">
        <f>IFERROR(__xludf.DUMMYFUNCTION("""COMPUTED_VALUE"""),"GA10243-US")</f>
        <v>GA10243-US</v>
      </c>
      <c r="F34" s="517" t="str">
        <f>IFERROR(__xludf.DUMMYFUNCTION("""COMPUTED_VALUE"""),"VZW, US")</f>
        <v>VZW, US</v>
      </c>
      <c r="G34" s="517" t="str">
        <f>IFERROR(__xludf.DUMMYFUNCTION("""COMPUTED_VALUE"""),"UVZ")</f>
        <v>UVZ</v>
      </c>
      <c r="H34" s="517" t="str">
        <f>IFERROR(__xludf.DUMMYFUNCTION("""COMPUTED_VALUE"""),"mmWave")</f>
        <v>mmWave</v>
      </c>
      <c r="I34" s="517" t="str">
        <f>IFERROR(__xludf.DUMMYFUNCTION("""COMPUTED_VALUE"""),"CLR4")</f>
        <v>CLR4</v>
      </c>
      <c r="J34" s="517" t="str">
        <f>IFERROR(__xludf.DUMMYFUNCTION("""COMPUTED_VALUE"""),"Ultra Blue")</f>
        <v>Ultra Blue</v>
      </c>
      <c r="K34" s="517" t="str">
        <f>IFERROR(__xludf.DUMMYFUNCTION("""COMPUTED_VALUE"""),"BUE")</f>
        <v>BUE</v>
      </c>
      <c r="L34" s="517" t="str">
        <f>IFERROR(__xludf.DUMMYFUNCTION("""COMPUTED_VALUE"""),"GLBW0")</f>
        <v>GLBW0</v>
      </c>
      <c r="M34" s="517" t="str">
        <f>IFERROR(__xludf.DUMMYFUNCTION("""COMPUTED_VALUE"""),"VZW")</f>
        <v>VZW</v>
      </c>
      <c r="N34" s="517" t="str">
        <f>IFERROR(__xludf.DUMMYFUNCTION("""COMPUTED_VALUE"""),"SKU, CLR4, BETTER, MMWAVE, VZW, US, FL5")</f>
        <v>SKU, CLR4, BETTER, MMWAVE, VZW, US, FL5</v>
      </c>
      <c r="O34" s="517" t="str">
        <f>IFERROR(__xludf.DUMMYFUNCTION("""COMPUTED_VALUE"""),"US")</f>
        <v>US</v>
      </c>
      <c r="P34" s="517" t="str">
        <f>IFERROR(__xludf.DUMMYFUNCTION("""COMPUTED_VALUE"""),"256GB")</f>
        <v>256GB</v>
      </c>
      <c r="Q34" s="517"/>
      <c r="R34" s="518" t="str">
        <f>IFERROR(__xludf.DUMMYFUNCTION("""COMPUTED_VALUE"""),"840353926493")</f>
        <v>840353926493</v>
      </c>
      <c r="S34" s="518" t="str">
        <f>IFERROR(__xludf.DUMMYFUNCTION("""COMPUTED_VALUE"""),"0840353926493")</f>
        <v>0840353926493</v>
      </c>
      <c r="T34" s="517" t="str">
        <f>IFERROR(__xludf.DUMMYFUNCTION("""COMPUTED_VALUE"""),"MP")</f>
        <v>MP</v>
      </c>
    </row>
    <row r="35">
      <c r="B35" s="517">
        <f>IFERROR(__xludf.DUMMYFUNCTION("""COMPUTED_VALUE"""),31.0)</f>
        <v>31</v>
      </c>
      <c r="C35" s="517" t="str">
        <f>IFERROR(__xludf.DUMMYFUNCTION("""COMPUTED_VALUE"""),"Pristine")</f>
        <v>Pristine</v>
      </c>
      <c r="D35" s="517" t="str">
        <f>IFERROR(__xludf.DUMMYFUNCTION("""COMPUTED_VALUE"""),"Retail Pack")</f>
        <v>Retail Pack</v>
      </c>
      <c r="E35" s="517" t="str">
        <f>IFERROR(__xludf.DUMMYFUNCTION("""COMPUTED_VALUE"""),"GA09882-US")</f>
        <v>GA09882-US</v>
      </c>
      <c r="F35" s="517" t="str">
        <f>IFERROR(__xludf.DUMMYFUNCTION("""COMPUTED_VALUE"""),"TMO, US")</f>
        <v>TMO, US</v>
      </c>
      <c r="G35" s="517" t="str">
        <f>IFERROR(__xludf.DUMMYFUNCTION("""COMPUTED_VALUE"""),"UTM")</f>
        <v>UTM</v>
      </c>
      <c r="H35" s="517" t="str">
        <f>IFERROR(__xludf.DUMMYFUNCTION("""COMPUTED_VALUE"""),"mmWave")</f>
        <v>mmWave</v>
      </c>
      <c r="I35" s="517" t="str">
        <f>IFERROR(__xludf.DUMMYFUNCTION("""COMPUTED_VALUE"""),"CLR1")</f>
        <v>CLR1</v>
      </c>
      <c r="J35" s="517" t="str">
        <f>IFERROR(__xludf.DUMMYFUNCTION("""COMPUTED_VALUE"""),"Midnight Haze")</f>
        <v>Midnight Haze</v>
      </c>
      <c r="K35" s="517" t="str">
        <f>IFERROR(__xludf.DUMMYFUNCTION("""COMPUTED_VALUE"""),"BLK")</f>
        <v>BLK</v>
      </c>
      <c r="L35" s="517" t="str">
        <f>IFERROR(__xludf.DUMMYFUNCTION("""COMPUTED_VALUE"""),"GLBW0")</f>
        <v>GLBW0</v>
      </c>
      <c r="M35" s="517" t="str">
        <f>IFERROR(__xludf.DUMMYFUNCTION("""COMPUTED_VALUE"""),"TMO")</f>
        <v>TMO</v>
      </c>
      <c r="N35" s="517" t="str">
        <f>IFERROR(__xludf.DUMMYFUNCTION("""COMPUTED_VALUE"""),"SKU, CLR1, BETTER, MMWAVE, TMO, US, FL5")</f>
        <v>SKU, CLR1, BETTER, MMWAVE, TMO, US, FL5</v>
      </c>
      <c r="O35" s="517" t="str">
        <f>IFERROR(__xludf.DUMMYFUNCTION("""COMPUTED_VALUE"""),"US")</f>
        <v>US</v>
      </c>
      <c r="P35" s="517" t="str">
        <f>IFERROR(__xludf.DUMMYFUNCTION("""COMPUTED_VALUE"""),"256GB")</f>
        <v>256GB</v>
      </c>
      <c r="Q35" s="518" t="str">
        <f>IFERROR(__xludf.DUMMYFUNCTION("""COMPUTED_VALUE"""),"TBD")</f>
        <v>TBD</v>
      </c>
      <c r="R35" s="518" t="str">
        <f>IFERROR(__xludf.DUMMYFUNCTION("""COMPUTED_VALUE"""),"840353926721")</f>
        <v>840353926721</v>
      </c>
      <c r="S35" s="518" t="str">
        <f>IFERROR(__xludf.DUMMYFUNCTION("""COMPUTED_VALUE"""),"0840353926721")</f>
        <v>0840353926721</v>
      </c>
      <c r="T35" s="517" t="str">
        <f>IFERROR(__xludf.DUMMYFUNCTION("""COMPUTED_VALUE"""),"MP")</f>
        <v>MP</v>
      </c>
    </row>
    <row r="36">
      <c r="B36" s="517">
        <f>IFERROR(__xludf.DUMMYFUNCTION("""COMPUTED_VALUE"""),32.0)</f>
        <v>32</v>
      </c>
      <c r="C36" s="517" t="str">
        <f>IFERROR(__xludf.DUMMYFUNCTION("""COMPUTED_VALUE"""),"Pristine")</f>
        <v>Pristine</v>
      </c>
      <c r="D36" s="517" t="str">
        <f>IFERROR(__xludf.DUMMYFUNCTION("""COMPUTED_VALUE"""),"Retail Pack")</f>
        <v>Retail Pack</v>
      </c>
      <c r="E36" s="517" t="str">
        <f>IFERROR(__xludf.DUMMYFUNCTION("""COMPUTED_VALUE"""),"GA09883-US")</f>
        <v>GA09883-US</v>
      </c>
      <c r="F36" s="517" t="str">
        <f>IFERROR(__xludf.DUMMYFUNCTION("""COMPUTED_VALUE"""),"GSTORE, US")</f>
        <v>GSTORE, US</v>
      </c>
      <c r="G36" s="517" t="str">
        <f>IFERROR(__xludf.DUMMYFUNCTION("""COMPUTED_VALUE"""),"UGS")</f>
        <v>UGS</v>
      </c>
      <c r="H36" s="517" t="str">
        <f>IFERROR(__xludf.DUMMYFUNCTION("""COMPUTED_VALUE"""),"mmWave")</f>
        <v>mmWave</v>
      </c>
      <c r="I36" s="517" t="str">
        <f>IFERROR(__xludf.DUMMYFUNCTION("""COMPUTED_VALUE"""),"CLR1")</f>
        <v>CLR1</v>
      </c>
      <c r="J36" s="517" t="str">
        <f>IFERROR(__xludf.DUMMYFUNCTION("""COMPUTED_VALUE"""),"Midnight Haze")</f>
        <v>Midnight Haze</v>
      </c>
      <c r="K36" s="517" t="str">
        <f>IFERROR(__xludf.DUMMYFUNCTION("""COMPUTED_VALUE"""),"BLK")</f>
        <v>BLK</v>
      </c>
      <c r="L36" s="517" t="str">
        <f>IFERROR(__xludf.DUMMYFUNCTION("""COMPUTED_VALUE"""),"GLBW0")</f>
        <v>GLBW0</v>
      </c>
      <c r="M36" s="517" t="str">
        <f>IFERROR(__xludf.DUMMYFUNCTION("""COMPUTED_VALUE"""),"NA")</f>
        <v>NA</v>
      </c>
      <c r="N36" s="517" t="str">
        <f>IFERROR(__xludf.DUMMYFUNCTION("""COMPUTED_VALUE"""),"SKU, CLR1, BETTER, MMWAVE, GSTORE, US, FL5")</f>
        <v>SKU, CLR1, BETTER, MMWAVE, GSTORE, US, FL5</v>
      </c>
      <c r="O36" s="517">
        <f>IFERROR(__xludf.DUMMYFUNCTION("""COMPUTED_VALUE"""),0.0)</f>
        <v>0</v>
      </c>
      <c r="P36" s="517" t="str">
        <f>IFERROR(__xludf.DUMMYFUNCTION("""COMPUTED_VALUE"""),"256GB")</f>
        <v>256GB</v>
      </c>
      <c r="Q36" s="517"/>
      <c r="R36" s="518" t="str">
        <f>IFERROR(__xludf.DUMMYFUNCTION("""COMPUTED_VALUE"""),"840353926806")</f>
        <v>840353926806</v>
      </c>
      <c r="S36" s="518" t="str">
        <f>IFERROR(__xludf.DUMMYFUNCTION("""COMPUTED_VALUE"""),"0840353926806")</f>
        <v>0840353926806</v>
      </c>
      <c r="T36" s="517" t="str">
        <f>IFERROR(__xludf.DUMMYFUNCTION("""COMPUTED_VALUE"""),"MP")</f>
        <v>MP</v>
      </c>
    </row>
    <row r="37">
      <c r="B37" s="517">
        <f>IFERROR(__xludf.DUMMYFUNCTION("""COMPUTED_VALUE"""),33.0)</f>
        <v>33</v>
      </c>
      <c r="C37" s="517" t="str">
        <f>IFERROR(__xludf.DUMMYFUNCTION("""COMPUTED_VALUE"""),"Pristine")</f>
        <v>Pristine</v>
      </c>
      <c r="D37" s="517" t="str">
        <f>IFERROR(__xludf.DUMMYFUNCTION("""COMPUTED_VALUE"""),"Retail Pack")</f>
        <v>Retail Pack</v>
      </c>
      <c r="E37" s="517" t="str">
        <f>IFERROR(__xludf.DUMMYFUNCTION("""COMPUTED_VALUE"""),"GA10217-US")</f>
        <v>GA10217-US</v>
      </c>
      <c r="F37" s="517" t="str">
        <f>IFERROR(__xludf.DUMMYFUNCTION("""COMPUTED_VALUE"""),"GSTORE, US")</f>
        <v>GSTORE, US</v>
      </c>
      <c r="G37" s="517" t="str">
        <f>IFERROR(__xludf.DUMMYFUNCTION("""COMPUTED_VALUE"""),"UGS")</f>
        <v>UGS</v>
      </c>
      <c r="H37" s="517" t="str">
        <f>IFERROR(__xludf.DUMMYFUNCTION("""COMPUTED_VALUE"""),"mmWave")</f>
        <v>mmWave</v>
      </c>
      <c r="I37" s="517" t="str">
        <f>IFERROR(__xludf.DUMMYFUNCTION("""COMPUTED_VALUE"""),"CLR2")</f>
        <v>CLR2</v>
      </c>
      <c r="J37" s="517" t="str">
        <f>IFERROR(__xludf.DUMMYFUNCTION("""COMPUTED_VALUE"""),"Iris")</f>
        <v>Iris</v>
      </c>
      <c r="K37" s="517" t="str">
        <f>IFERROR(__xludf.DUMMYFUNCTION("""COMPUTED_VALUE"""),"PPL")</f>
        <v>PPL</v>
      </c>
      <c r="L37" s="517" t="str">
        <f>IFERROR(__xludf.DUMMYFUNCTION("""COMPUTED_VALUE"""),"GLBW0")</f>
        <v>GLBW0</v>
      </c>
      <c r="M37" s="517" t="str">
        <f>IFERROR(__xludf.DUMMYFUNCTION("""COMPUTED_VALUE"""),"NA")</f>
        <v>NA</v>
      </c>
      <c r="N37" s="517" t="str">
        <f>IFERROR(__xludf.DUMMYFUNCTION("""COMPUTED_VALUE"""),"SKU, CLR2, BETTER, MMWAVE, Gstore, US, FL5")</f>
        <v>SKU, CLR2, BETTER, MMWAVE, Gstore, US, FL5</v>
      </c>
      <c r="O37" s="517">
        <f>IFERROR(__xludf.DUMMYFUNCTION("""COMPUTED_VALUE"""),0.0)</f>
        <v>0</v>
      </c>
      <c r="P37" s="517" t="str">
        <f>IFERROR(__xludf.DUMMYFUNCTION("""COMPUTED_VALUE"""),"256GB")</f>
        <v>256GB</v>
      </c>
      <c r="Q37" s="517"/>
      <c r="R37" s="518" t="str">
        <f>IFERROR(__xludf.DUMMYFUNCTION("""COMPUTED_VALUE"""),"840353926813")</f>
        <v>840353926813</v>
      </c>
      <c r="S37" s="518" t="str">
        <f>IFERROR(__xludf.DUMMYFUNCTION("""COMPUTED_VALUE"""),"0840353926813")</f>
        <v>0840353926813</v>
      </c>
      <c r="T37" s="517" t="str">
        <f>IFERROR(__xludf.DUMMYFUNCTION("""COMPUTED_VALUE"""),"MP")</f>
        <v>MP</v>
      </c>
    </row>
    <row r="38">
      <c r="B38" s="517">
        <f>IFERROR(__xludf.DUMMYFUNCTION("""COMPUTED_VALUE"""),34.0)</f>
        <v>34</v>
      </c>
      <c r="C38" s="517" t="str">
        <f>IFERROR(__xludf.DUMMYFUNCTION("""COMPUTED_VALUE"""),"Pristine")</f>
        <v>Pristine</v>
      </c>
      <c r="D38" s="517" t="str">
        <f>IFERROR(__xludf.DUMMYFUNCTION("""COMPUTED_VALUE"""),"Retail Pack")</f>
        <v>Retail Pack</v>
      </c>
      <c r="E38" s="517" t="str">
        <f>IFERROR(__xludf.DUMMYFUNCTION("""COMPUTED_VALUE"""),"GA10218-US")</f>
        <v>GA10218-US</v>
      </c>
      <c r="F38" s="517" t="str">
        <f>IFERROR(__xludf.DUMMYFUNCTION("""COMPUTED_VALUE"""),"GSTORE, US")</f>
        <v>GSTORE, US</v>
      </c>
      <c r="G38" s="517" t="str">
        <f>IFERROR(__xludf.DUMMYFUNCTION("""COMPUTED_VALUE"""),"UGS")</f>
        <v>UGS</v>
      </c>
      <c r="H38" s="517" t="str">
        <f>IFERROR(__xludf.DUMMYFUNCTION("""COMPUTED_VALUE"""),"mmWave")</f>
        <v>mmWave</v>
      </c>
      <c r="I38" s="517" t="str">
        <f>IFERROR(__xludf.DUMMYFUNCTION("""COMPUTED_VALUE"""),"CLR3")</f>
        <v>CLR3</v>
      </c>
      <c r="J38" s="517" t="str">
        <f>IFERROR(__xludf.DUMMYFUNCTION("""COMPUTED_VALUE"""),"Limoncello Midtone")</f>
        <v>Limoncello Midtone</v>
      </c>
      <c r="K38" s="517" t="str">
        <f>IFERROR(__xludf.DUMMYFUNCTION("""COMPUTED_VALUE"""),"YEL")</f>
        <v>YEL</v>
      </c>
      <c r="L38" s="517" t="str">
        <f>IFERROR(__xludf.DUMMYFUNCTION("""COMPUTED_VALUE"""),"GLBW0")</f>
        <v>GLBW0</v>
      </c>
      <c r="M38" s="517" t="str">
        <f>IFERROR(__xludf.DUMMYFUNCTION("""COMPUTED_VALUE"""),"NA")</f>
        <v>NA</v>
      </c>
      <c r="N38" s="517" t="str">
        <f>IFERROR(__xludf.DUMMYFUNCTION("""COMPUTED_VALUE"""),"SKU, CLR3, BETTER, MMWAVE, Gstore, US, FL5")</f>
        <v>SKU, CLR3, BETTER, MMWAVE, Gstore, US, FL5</v>
      </c>
      <c r="O38" s="517">
        <f>IFERROR(__xludf.DUMMYFUNCTION("""COMPUTED_VALUE"""),0.0)</f>
        <v>0</v>
      </c>
      <c r="P38" s="517" t="str">
        <f>IFERROR(__xludf.DUMMYFUNCTION("""COMPUTED_VALUE"""),"256GB")</f>
        <v>256GB</v>
      </c>
      <c r="Q38" s="517"/>
      <c r="R38" s="518" t="str">
        <f>IFERROR(__xludf.DUMMYFUNCTION("""COMPUTED_VALUE"""),"840353926837")</f>
        <v>840353926837</v>
      </c>
      <c r="S38" s="518" t="str">
        <f>IFERROR(__xludf.DUMMYFUNCTION("""COMPUTED_VALUE"""),"0840353926837")</f>
        <v>0840353926837</v>
      </c>
      <c r="T38" s="517" t="str">
        <f>IFERROR(__xludf.DUMMYFUNCTION("""COMPUTED_VALUE"""),"MP")</f>
        <v>MP</v>
      </c>
    </row>
    <row r="39">
      <c r="B39" s="517">
        <f>IFERROR(__xludf.DUMMYFUNCTION("""COMPUTED_VALUE"""),35.0)</f>
        <v>35</v>
      </c>
      <c r="C39" s="517" t="str">
        <f>IFERROR(__xludf.DUMMYFUNCTION("""COMPUTED_VALUE"""),"Pristine")</f>
        <v>Pristine</v>
      </c>
      <c r="D39" s="517" t="str">
        <f>IFERROR(__xludf.DUMMYFUNCTION("""COMPUTED_VALUE"""),"Retail Pack")</f>
        <v>Retail Pack</v>
      </c>
      <c r="E39" s="517" t="str">
        <f>IFERROR(__xludf.DUMMYFUNCTION("""COMPUTED_VALUE"""),"GA10219-US")</f>
        <v>GA10219-US</v>
      </c>
      <c r="F39" s="517" t="str">
        <f>IFERROR(__xludf.DUMMYFUNCTION("""COMPUTED_VALUE"""),"GSTORE, US")</f>
        <v>GSTORE, US</v>
      </c>
      <c r="G39" s="517" t="str">
        <f>IFERROR(__xludf.DUMMYFUNCTION("""COMPUTED_VALUE"""),"UGS")</f>
        <v>UGS</v>
      </c>
      <c r="H39" s="517" t="str">
        <f>IFERROR(__xludf.DUMMYFUNCTION("""COMPUTED_VALUE"""),"mmWave")</f>
        <v>mmWave</v>
      </c>
      <c r="I39" s="517" t="str">
        <f>IFERROR(__xludf.DUMMYFUNCTION("""COMPUTED_VALUE"""),"CLR4")</f>
        <v>CLR4</v>
      </c>
      <c r="J39" s="517" t="str">
        <f>IFERROR(__xludf.DUMMYFUNCTION("""COMPUTED_VALUE"""),"Ultra Blue")</f>
        <v>Ultra Blue</v>
      </c>
      <c r="K39" s="517" t="str">
        <f>IFERROR(__xludf.DUMMYFUNCTION("""COMPUTED_VALUE"""),"BUE")</f>
        <v>BUE</v>
      </c>
      <c r="L39" s="517" t="str">
        <f>IFERROR(__xludf.DUMMYFUNCTION("""COMPUTED_VALUE"""),"GLBW0")</f>
        <v>GLBW0</v>
      </c>
      <c r="M39" s="517" t="str">
        <f>IFERROR(__xludf.DUMMYFUNCTION("""COMPUTED_VALUE"""),"NA")</f>
        <v>NA</v>
      </c>
      <c r="N39" s="517" t="str">
        <f>IFERROR(__xludf.DUMMYFUNCTION("""COMPUTED_VALUE"""),"SKU, CLR4, BETTER, MMWAVE, Gstore, US, FL5")</f>
        <v>SKU, CLR4, BETTER, MMWAVE, Gstore, US, FL5</v>
      </c>
      <c r="O39" s="517">
        <f>IFERROR(__xludf.DUMMYFUNCTION("""COMPUTED_VALUE"""),0.0)</f>
        <v>0</v>
      </c>
      <c r="P39" s="517" t="str">
        <f>IFERROR(__xludf.DUMMYFUNCTION("""COMPUTED_VALUE"""),"256GB")</f>
        <v>256GB</v>
      </c>
      <c r="Q39" s="517"/>
      <c r="R39" s="518" t="str">
        <f>IFERROR(__xludf.DUMMYFUNCTION("""COMPUTED_VALUE"""),"840353926820")</f>
        <v>840353926820</v>
      </c>
      <c r="S39" s="518" t="str">
        <f>IFERROR(__xludf.DUMMYFUNCTION("""COMPUTED_VALUE"""),"0840353926820")</f>
        <v>0840353926820</v>
      </c>
      <c r="T39" s="517" t="str">
        <f>IFERROR(__xludf.DUMMYFUNCTION("""COMPUTED_VALUE"""),"MP")</f>
        <v>MP</v>
      </c>
    </row>
    <row r="40">
      <c r="B40" s="517">
        <f>IFERROR(__xludf.DUMMYFUNCTION("""COMPUTED_VALUE"""),36.0)</f>
        <v>36</v>
      </c>
      <c r="C40" s="517" t="str">
        <f>IFERROR(__xludf.DUMMYFUNCTION("""COMPUTED_VALUE"""),"Pristine")</f>
        <v>Pristine</v>
      </c>
      <c r="D40" s="517" t="str">
        <f>IFERROR(__xludf.DUMMYFUNCTION("""COMPUTED_VALUE"""),"Retail Pack")</f>
        <v>Retail Pack</v>
      </c>
      <c r="E40" s="517" t="str">
        <f>IFERROR(__xludf.DUMMYFUNCTION("""COMPUTED_VALUE"""),"GA09883-CA")</f>
        <v>GA09883-CA</v>
      </c>
      <c r="F40" s="517" t="str">
        <f>IFERROR(__xludf.DUMMYFUNCTION("""COMPUTED_VALUE"""),"CA/TW/SG/MY/AU/MX")</f>
        <v>CA/TW/SG/MY/AU/MX</v>
      </c>
      <c r="G40" s="517" t="str">
        <f>IFERROR(__xludf.DUMMYFUNCTION("""COMPUTED_VALUE"""),"NCA")</f>
        <v>NCA</v>
      </c>
      <c r="H40" s="517" t="str">
        <f>IFERROR(__xludf.DUMMYFUNCTION("""COMPUTED_VALUE"""),"Sub6")</f>
        <v>Sub6</v>
      </c>
      <c r="I40" s="517" t="str">
        <f>IFERROR(__xludf.DUMMYFUNCTION("""COMPUTED_VALUE"""),"CLR1")</f>
        <v>CLR1</v>
      </c>
      <c r="J40" s="517" t="str">
        <f>IFERROR(__xludf.DUMMYFUNCTION("""COMPUTED_VALUE"""),"Midnight Haze")</f>
        <v>Midnight Haze</v>
      </c>
      <c r="K40" s="517" t="str">
        <f>IFERROR(__xludf.DUMMYFUNCTION("""COMPUTED_VALUE"""),"BLK")</f>
        <v>BLK</v>
      </c>
      <c r="L40" s="517" t="str">
        <f>IFERROR(__xludf.DUMMYFUNCTION("""COMPUTED_VALUE"""),"GK2MP")</f>
        <v>GK2MP</v>
      </c>
      <c r="M40" s="517" t="str">
        <f>IFERROR(__xludf.DUMMYFUNCTION("""COMPUTED_VALUE"""),"ROW")</f>
        <v>ROW</v>
      </c>
      <c r="N40" s="517" t="str">
        <f>IFERROR(__xludf.DUMMYFUNCTION("""COMPUTED_VALUE"""),"SKU, CLR1, BETTER, SUB6, CA/TW/SG/AU/MY/MX, FL5")</f>
        <v>SKU, CLR1, BETTER, SUB6, CA/TW/SG/AU/MY/MX, FL5</v>
      </c>
      <c r="O40" s="517">
        <f>IFERROR(__xludf.DUMMYFUNCTION("""COMPUTED_VALUE"""),0.0)</f>
        <v>0</v>
      </c>
      <c r="P40" s="517" t="str">
        <f>IFERROR(__xludf.DUMMYFUNCTION("""COMPUTED_VALUE"""),"256GB")</f>
        <v>256GB</v>
      </c>
      <c r="Q40" s="517"/>
      <c r="R40" s="518" t="str">
        <f>IFERROR(__xludf.DUMMYFUNCTION("""COMPUTED_VALUE"""),"840353926530")</f>
        <v>840353926530</v>
      </c>
      <c r="S40" s="518" t="str">
        <f>IFERROR(__xludf.DUMMYFUNCTION("""COMPUTED_VALUE"""),"0840353926530")</f>
        <v>0840353926530</v>
      </c>
      <c r="T40" s="517" t="str">
        <f>IFERROR(__xludf.DUMMYFUNCTION("""COMPUTED_VALUE"""),"MP")</f>
        <v>MP</v>
      </c>
    </row>
    <row r="41">
      <c r="B41" s="517">
        <f>IFERROR(__xludf.DUMMYFUNCTION("""COMPUTED_VALUE"""),37.0)</f>
        <v>37</v>
      </c>
      <c r="C41" s="517" t="str">
        <f>IFERROR(__xludf.DUMMYFUNCTION("""COMPUTED_VALUE"""),"Pristine")</f>
        <v>Pristine</v>
      </c>
      <c r="D41" s="517" t="str">
        <f>IFERROR(__xludf.DUMMYFUNCTION("""COMPUTED_VALUE"""),"Retail Pack")</f>
        <v>Retail Pack</v>
      </c>
      <c r="E41" s="517" t="str">
        <f>IFERROR(__xludf.DUMMYFUNCTION("""COMPUTED_VALUE"""),"GA10217-CA")</f>
        <v>GA10217-CA</v>
      </c>
      <c r="F41" s="517" t="str">
        <f>IFERROR(__xludf.DUMMYFUNCTION("""COMPUTED_VALUE"""),"CA/TW/SG/MY/AU/MX")</f>
        <v>CA/TW/SG/MY/AU/MX</v>
      </c>
      <c r="G41" s="517" t="str">
        <f>IFERROR(__xludf.DUMMYFUNCTION("""COMPUTED_VALUE"""),"NCA")</f>
        <v>NCA</v>
      </c>
      <c r="H41" s="517" t="str">
        <f>IFERROR(__xludf.DUMMYFUNCTION("""COMPUTED_VALUE"""),"Sub6")</f>
        <v>Sub6</v>
      </c>
      <c r="I41" s="517" t="str">
        <f>IFERROR(__xludf.DUMMYFUNCTION("""COMPUTED_VALUE"""),"CLR2")</f>
        <v>CLR2</v>
      </c>
      <c r="J41" s="517" t="str">
        <f>IFERROR(__xludf.DUMMYFUNCTION("""COMPUTED_VALUE"""),"Iris")</f>
        <v>Iris</v>
      </c>
      <c r="K41" s="517" t="str">
        <f>IFERROR(__xludf.DUMMYFUNCTION("""COMPUTED_VALUE"""),"PPL")</f>
        <v>PPL</v>
      </c>
      <c r="L41" s="517" t="str">
        <f>IFERROR(__xludf.DUMMYFUNCTION("""COMPUTED_VALUE"""),"GK2MP")</f>
        <v>GK2MP</v>
      </c>
      <c r="M41" s="517" t="str">
        <f>IFERROR(__xludf.DUMMYFUNCTION("""COMPUTED_VALUE"""),"ROW")</f>
        <v>ROW</v>
      </c>
      <c r="N41" s="517" t="str">
        <f>IFERROR(__xludf.DUMMYFUNCTION("""COMPUTED_VALUE"""),"SKU, CLR2, BETTER, SUB6, CA/TW/SG/MY/AU/MX, FL5")</f>
        <v>SKU, CLR2, BETTER, SUB6, CA/TW/SG/MY/AU/MX, FL5</v>
      </c>
      <c r="O41" s="517">
        <f>IFERROR(__xludf.DUMMYFUNCTION("""COMPUTED_VALUE"""),0.0)</f>
        <v>0</v>
      </c>
      <c r="P41" s="517" t="str">
        <f>IFERROR(__xludf.DUMMYFUNCTION("""COMPUTED_VALUE"""),"256GB")</f>
        <v>256GB</v>
      </c>
      <c r="Q41" s="517"/>
      <c r="R41" s="518" t="str">
        <f>IFERROR(__xludf.DUMMYFUNCTION("""COMPUTED_VALUE"""),"840353926615")</f>
        <v>840353926615</v>
      </c>
      <c r="S41" s="518" t="str">
        <f>IFERROR(__xludf.DUMMYFUNCTION("""COMPUTED_VALUE"""),"0840353926615")</f>
        <v>0840353926615</v>
      </c>
      <c r="T41" s="517" t="str">
        <f>IFERROR(__xludf.DUMMYFUNCTION("""COMPUTED_VALUE"""),"MP")</f>
        <v>MP</v>
      </c>
    </row>
    <row r="42">
      <c r="B42" s="517">
        <f>IFERROR(__xludf.DUMMYFUNCTION("""COMPUTED_VALUE"""),38.0)</f>
        <v>38</v>
      </c>
      <c r="C42" s="517" t="str">
        <f>IFERROR(__xludf.DUMMYFUNCTION("""COMPUTED_VALUE"""),"Pristine")</f>
        <v>Pristine</v>
      </c>
      <c r="D42" s="517" t="str">
        <f>IFERROR(__xludf.DUMMYFUNCTION("""COMPUTED_VALUE"""),"Retail Pack")</f>
        <v>Retail Pack</v>
      </c>
      <c r="E42" s="517" t="str">
        <f>IFERROR(__xludf.DUMMYFUNCTION("""COMPUTED_VALUE"""),"GA10218-CA")</f>
        <v>GA10218-CA</v>
      </c>
      <c r="F42" s="517" t="str">
        <f>IFERROR(__xludf.DUMMYFUNCTION("""COMPUTED_VALUE"""),"CA/TW/SG/MY/AU/MX")</f>
        <v>CA/TW/SG/MY/AU/MX</v>
      </c>
      <c r="G42" s="517" t="str">
        <f>IFERROR(__xludf.DUMMYFUNCTION("""COMPUTED_VALUE"""),"NCA")</f>
        <v>NCA</v>
      </c>
      <c r="H42" s="517" t="str">
        <f>IFERROR(__xludf.DUMMYFUNCTION("""COMPUTED_VALUE"""),"Sub6")</f>
        <v>Sub6</v>
      </c>
      <c r="I42" s="517" t="str">
        <f>IFERROR(__xludf.DUMMYFUNCTION("""COMPUTED_VALUE"""),"CLR3")</f>
        <v>CLR3</v>
      </c>
      <c r="J42" s="517" t="str">
        <f>IFERROR(__xludf.DUMMYFUNCTION("""COMPUTED_VALUE"""),"Limoncello Midtone")</f>
        <v>Limoncello Midtone</v>
      </c>
      <c r="K42" s="517" t="str">
        <f>IFERROR(__xludf.DUMMYFUNCTION("""COMPUTED_VALUE"""),"YEL")</f>
        <v>YEL</v>
      </c>
      <c r="L42" s="517" t="str">
        <f>IFERROR(__xludf.DUMMYFUNCTION("""COMPUTED_VALUE"""),"GK2MP")</f>
        <v>GK2MP</v>
      </c>
      <c r="M42" s="517" t="str">
        <f>IFERROR(__xludf.DUMMYFUNCTION("""COMPUTED_VALUE"""),"ROW")</f>
        <v>ROW</v>
      </c>
      <c r="N42" s="517" t="str">
        <f>IFERROR(__xludf.DUMMYFUNCTION("""COMPUTED_VALUE"""),"SKU, CLR3, BETTER, SUB6, CA/TW/SG/MY/AU/MX, FL5")</f>
        <v>SKU, CLR3, BETTER, SUB6, CA/TW/SG/MY/AU/MX, FL5</v>
      </c>
      <c r="O42" s="517">
        <f>IFERROR(__xludf.DUMMYFUNCTION("""COMPUTED_VALUE"""),0.0)</f>
        <v>0</v>
      </c>
      <c r="P42" s="517" t="str">
        <f>IFERROR(__xludf.DUMMYFUNCTION("""COMPUTED_VALUE"""),"256GB")</f>
        <v>256GB</v>
      </c>
      <c r="Q42" s="517"/>
      <c r="R42" s="518" t="str">
        <f>IFERROR(__xludf.DUMMYFUNCTION("""COMPUTED_VALUE"""),"840353926653")</f>
        <v>840353926653</v>
      </c>
      <c r="S42" s="518" t="str">
        <f>IFERROR(__xludf.DUMMYFUNCTION("""COMPUTED_VALUE"""),"0840353926653")</f>
        <v>0840353926653</v>
      </c>
      <c r="T42" s="517" t="str">
        <f>IFERROR(__xludf.DUMMYFUNCTION("""COMPUTED_VALUE"""),"MP")</f>
        <v>MP</v>
      </c>
    </row>
    <row r="43">
      <c r="B43" s="517">
        <f>IFERROR(__xludf.DUMMYFUNCTION("""COMPUTED_VALUE"""),39.0)</f>
        <v>39</v>
      </c>
      <c r="C43" s="517" t="str">
        <f>IFERROR(__xludf.DUMMYFUNCTION("""COMPUTED_VALUE"""),"Pristine")</f>
        <v>Pristine</v>
      </c>
      <c r="D43" s="517" t="str">
        <f>IFERROR(__xludf.DUMMYFUNCTION("""COMPUTED_VALUE"""),"Retail Pack")</f>
        <v>Retail Pack</v>
      </c>
      <c r="E43" s="517" t="str">
        <f>IFERROR(__xludf.DUMMYFUNCTION("""COMPUTED_VALUE"""),"GA10219-CA")</f>
        <v>GA10219-CA</v>
      </c>
      <c r="F43" s="517" t="str">
        <f>IFERROR(__xludf.DUMMYFUNCTION("""COMPUTED_VALUE"""),"CA/TW/SG/MY/AU/MX")</f>
        <v>CA/TW/SG/MY/AU/MX</v>
      </c>
      <c r="G43" s="517" t="str">
        <f>IFERROR(__xludf.DUMMYFUNCTION("""COMPUTED_VALUE"""),"NCA")</f>
        <v>NCA</v>
      </c>
      <c r="H43" s="517" t="str">
        <f>IFERROR(__xludf.DUMMYFUNCTION("""COMPUTED_VALUE"""),"Sub6")</f>
        <v>Sub6</v>
      </c>
      <c r="I43" s="517" t="str">
        <f>IFERROR(__xludf.DUMMYFUNCTION("""COMPUTED_VALUE"""),"CLR4")</f>
        <v>CLR4</v>
      </c>
      <c r="J43" s="517" t="str">
        <f>IFERROR(__xludf.DUMMYFUNCTION("""COMPUTED_VALUE"""),"Ultra Blue")</f>
        <v>Ultra Blue</v>
      </c>
      <c r="K43" s="517" t="str">
        <f>IFERROR(__xludf.DUMMYFUNCTION("""COMPUTED_VALUE"""),"BUE")</f>
        <v>BUE</v>
      </c>
      <c r="L43" s="517" t="str">
        <f>IFERROR(__xludf.DUMMYFUNCTION("""COMPUTED_VALUE"""),"GK2MP")</f>
        <v>GK2MP</v>
      </c>
      <c r="M43" s="517" t="str">
        <f>IFERROR(__xludf.DUMMYFUNCTION("""COMPUTED_VALUE"""),"ROW")</f>
        <v>ROW</v>
      </c>
      <c r="N43" s="517" t="str">
        <f>IFERROR(__xludf.DUMMYFUNCTION("""COMPUTED_VALUE"""),"SKU, CLR4, BETTER, SUB6, CA/TW/SG/MY/AU/MX, FL5")</f>
        <v>SKU, CLR4, BETTER, SUB6, CA/TW/SG/MY/AU/MX, FL5</v>
      </c>
      <c r="O43" s="517">
        <f>IFERROR(__xludf.DUMMYFUNCTION("""COMPUTED_VALUE"""),0.0)</f>
        <v>0</v>
      </c>
      <c r="P43" s="517" t="str">
        <f>IFERROR(__xludf.DUMMYFUNCTION("""COMPUTED_VALUE"""),"256GB")</f>
        <v>256GB</v>
      </c>
      <c r="Q43" s="517"/>
      <c r="R43" s="518" t="str">
        <f>IFERROR(__xludf.DUMMYFUNCTION("""COMPUTED_VALUE"""),"840353926622")</f>
        <v>840353926622</v>
      </c>
      <c r="S43" s="518" t="str">
        <f>IFERROR(__xludf.DUMMYFUNCTION("""COMPUTED_VALUE"""),"0840353926622")</f>
        <v>0840353926622</v>
      </c>
      <c r="T43" s="517" t="str">
        <f>IFERROR(__xludf.DUMMYFUNCTION("""COMPUTED_VALUE"""),"MP")</f>
        <v>MP</v>
      </c>
    </row>
    <row r="44">
      <c r="B44" s="517">
        <f>IFERROR(__xludf.DUMMYFUNCTION("""COMPUTED_VALUE"""),40.0)</f>
        <v>40</v>
      </c>
      <c r="C44" s="517" t="str">
        <f>IFERROR(__xludf.DUMMYFUNCTION("""COMPUTED_VALUE"""),"Pristine")</f>
        <v>Pristine</v>
      </c>
      <c r="D44" s="517" t="str">
        <f>IFERROR(__xludf.DUMMYFUNCTION("""COMPUTED_VALUE"""),"Retail Pack")</f>
        <v>Retail Pack</v>
      </c>
      <c r="E44" s="517" t="str">
        <f>IFERROR(__xludf.DUMMYFUNCTION("""COMPUTED_VALUE"""),"GA09883-GB")</f>
        <v>GA09883-GB</v>
      </c>
      <c r="F44" s="517" t="str">
        <f>IFERROR(__xludf.DUMMYFUNCTION("""COMPUTED_VALUE"""),"UK/EU")</f>
        <v>UK/EU</v>
      </c>
      <c r="G44" s="517" t="str">
        <f>IFERROR(__xludf.DUMMYFUNCTION("""COMPUTED_VALUE"""),"EMA")</f>
        <v>EMA</v>
      </c>
      <c r="H44" s="517" t="str">
        <f>IFERROR(__xludf.DUMMYFUNCTION("""COMPUTED_VALUE"""),"Sub6")</f>
        <v>Sub6</v>
      </c>
      <c r="I44" s="517" t="str">
        <f>IFERROR(__xludf.DUMMYFUNCTION("""COMPUTED_VALUE"""),"CLR1")</f>
        <v>CLR1</v>
      </c>
      <c r="J44" s="517" t="str">
        <f>IFERROR(__xludf.DUMMYFUNCTION("""COMPUTED_VALUE"""),"Midnight Haze")</f>
        <v>Midnight Haze</v>
      </c>
      <c r="K44" s="517" t="str">
        <f>IFERROR(__xludf.DUMMYFUNCTION("""COMPUTED_VALUE"""),"BLK")</f>
        <v>BLK</v>
      </c>
      <c r="L44" s="517" t="str">
        <f>IFERROR(__xludf.DUMMYFUNCTION("""COMPUTED_VALUE"""),"GK2MP
")</f>
        <v>GK2MP
</v>
      </c>
      <c r="M44" s="517" t="str">
        <f>IFERROR(__xludf.DUMMYFUNCTION("""COMPUTED_VALUE"""),"ROW")</f>
        <v>ROW</v>
      </c>
      <c r="N44" s="517" t="str">
        <f>IFERROR(__xludf.DUMMYFUNCTION("""COMPUTED_VALUE"""),"SKU, CLR1, BETTER, SUB6, EU/UK, FL5")</f>
        <v>SKU, CLR1, BETTER, SUB6, EU/UK, FL5</v>
      </c>
      <c r="O44" s="517">
        <f>IFERROR(__xludf.DUMMYFUNCTION("""COMPUTED_VALUE"""),0.0)</f>
        <v>0</v>
      </c>
      <c r="P44" s="517" t="str">
        <f>IFERROR(__xludf.DUMMYFUNCTION("""COMPUTED_VALUE"""),"256GB")</f>
        <v>256GB</v>
      </c>
      <c r="Q44" s="517"/>
      <c r="R44" s="518" t="str">
        <f>IFERROR(__xludf.DUMMYFUNCTION("""COMPUTED_VALUE"""),"840353926547")</f>
        <v>840353926547</v>
      </c>
      <c r="S44" s="518" t="str">
        <f>IFERROR(__xludf.DUMMYFUNCTION("""COMPUTED_VALUE"""),"0840353926547")</f>
        <v>0840353926547</v>
      </c>
      <c r="T44" s="517" t="str">
        <f>IFERROR(__xludf.DUMMYFUNCTION("""COMPUTED_VALUE"""),"PVT/MP")</f>
        <v>PVT/MP</v>
      </c>
    </row>
    <row r="45">
      <c r="B45" s="517">
        <f>IFERROR(__xludf.DUMMYFUNCTION("""COMPUTED_VALUE"""),41.0)</f>
        <v>41</v>
      </c>
      <c r="C45" s="517" t="str">
        <f>IFERROR(__xludf.DUMMYFUNCTION("""COMPUTED_VALUE"""),"Pristine")</f>
        <v>Pristine</v>
      </c>
      <c r="D45" s="517" t="str">
        <f>IFERROR(__xludf.DUMMYFUNCTION("""COMPUTED_VALUE"""),"Retail Pack")</f>
        <v>Retail Pack</v>
      </c>
      <c r="E45" s="517" t="str">
        <f>IFERROR(__xludf.DUMMYFUNCTION("""COMPUTED_VALUE"""),"GA10217-GB")</f>
        <v>GA10217-GB</v>
      </c>
      <c r="F45" s="517" t="str">
        <f>IFERROR(__xludf.DUMMYFUNCTION("""COMPUTED_VALUE"""),"UK/EU")</f>
        <v>UK/EU</v>
      </c>
      <c r="G45" s="517" t="str">
        <f>IFERROR(__xludf.DUMMYFUNCTION("""COMPUTED_VALUE"""),"EMA")</f>
        <v>EMA</v>
      </c>
      <c r="H45" s="517" t="str">
        <f>IFERROR(__xludf.DUMMYFUNCTION("""COMPUTED_VALUE"""),"Sub6")</f>
        <v>Sub6</v>
      </c>
      <c r="I45" s="517" t="str">
        <f>IFERROR(__xludf.DUMMYFUNCTION("""COMPUTED_VALUE"""),"CLR2")</f>
        <v>CLR2</v>
      </c>
      <c r="J45" s="517" t="str">
        <f>IFERROR(__xludf.DUMMYFUNCTION("""COMPUTED_VALUE"""),"Iris")</f>
        <v>Iris</v>
      </c>
      <c r="K45" s="517" t="str">
        <f>IFERROR(__xludf.DUMMYFUNCTION("""COMPUTED_VALUE"""),"PPL")</f>
        <v>PPL</v>
      </c>
      <c r="L45" s="517" t="str">
        <f>IFERROR(__xludf.DUMMYFUNCTION("""COMPUTED_VALUE"""),"GK2MP
")</f>
        <v>GK2MP
</v>
      </c>
      <c r="M45" s="517" t="str">
        <f>IFERROR(__xludf.DUMMYFUNCTION("""COMPUTED_VALUE"""),"ROW")</f>
        <v>ROW</v>
      </c>
      <c r="N45" s="517" t="str">
        <f>IFERROR(__xludf.DUMMYFUNCTION("""COMPUTED_VALUE"""),"SKU, CLR2, BETTER, SUB6, EU/UK, FL5")</f>
        <v>SKU, CLR2, BETTER, SUB6, EU/UK, FL5</v>
      </c>
      <c r="O45" s="517">
        <f>IFERROR(__xludf.DUMMYFUNCTION("""COMPUTED_VALUE"""),0.0)</f>
        <v>0</v>
      </c>
      <c r="P45" s="517" t="str">
        <f>IFERROR(__xludf.DUMMYFUNCTION("""COMPUTED_VALUE"""),"256GB")</f>
        <v>256GB</v>
      </c>
      <c r="Q45" s="517"/>
      <c r="R45" s="518" t="str">
        <f>IFERROR(__xludf.DUMMYFUNCTION("""COMPUTED_VALUE"""),"840353926646")</f>
        <v>840353926646</v>
      </c>
      <c r="S45" s="518" t="str">
        <f>IFERROR(__xludf.DUMMYFUNCTION("""COMPUTED_VALUE"""),"0840353926646")</f>
        <v>0840353926646</v>
      </c>
      <c r="T45" s="517" t="str">
        <f>IFERROR(__xludf.DUMMYFUNCTION("""COMPUTED_VALUE"""),"PVT/MP")</f>
        <v>PVT/MP</v>
      </c>
    </row>
    <row r="46">
      <c r="B46" s="517">
        <f>IFERROR(__xludf.DUMMYFUNCTION("""COMPUTED_VALUE"""),42.0)</f>
        <v>42</v>
      </c>
      <c r="C46" s="517" t="str">
        <f>IFERROR(__xludf.DUMMYFUNCTION("""COMPUTED_VALUE"""),"Pristine")</f>
        <v>Pristine</v>
      </c>
      <c r="D46" s="517" t="str">
        <f>IFERROR(__xludf.DUMMYFUNCTION("""COMPUTED_VALUE"""),"Retail Pack")</f>
        <v>Retail Pack</v>
      </c>
      <c r="E46" s="517" t="str">
        <f>IFERROR(__xludf.DUMMYFUNCTION("""COMPUTED_VALUE"""),"GA10218-GB")</f>
        <v>GA10218-GB</v>
      </c>
      <c r="F46" s="517" t="str">
        <f>IFERROR(__xludf.DUMMYFUNCTION("""COMPUTED_VALUE"""),"UK/EU")</f>
        <v>UK/EU</v>
      </c>
      <c r="G46" s="517" t="str">
        <f>IFERROR(__xludf.DUMMYFUNCTION("""COMPUTED_VALUE"""),"EMA")</f>
        <v>EMA</v>
      </c>
      <c r="H46" s="517" t="str">
        <f>IFERROR(__xludf.DUMMYFUNCTION("""COMPUTED_VALUE"""),"Sub6")</f>
        <v>Sub6</v>
      </c>
      <c r="I46" s="517" t="str">
        <f>IFERROR(__xludf.DUMMYFUNCTION("""COMPUTED_VALUE"""),"CLR3")</f>
        <v>CLR3</v>
      </c>
      <c r="J46" s="517" t="str">
        <f>IFERROR(__xludf.DUMMYFUNCTION("""COMPUTED_VALUE"""),"Limoncello Midtone")</f>
        <v>Limoncello Midtone</v>
      </c>
      <c r="K46" s="517" t="str">
        <f>IFERROR(__xludf.DUMMYFUNCTION("""COMPUTED_VALUE"""),"YEL")</f>
        <v>YEL</v>
      </c>
      <c r="L46" s="517" t="str">
        <f>IFERROR(__xludf.DUMMYFUNCTION("""COMPUTED_VALUE"""),"GK2MP
")</f>
        <v>GK2MP
</v>
      </c>
      <c r="M46" s="517" t="str">
        <f>IFERROR(__xludf.DUMMYFUNCTION("""COMPUTED_VALUE"""),"ROW")</f>
        <v>ROW</v>
      </c>
      <c r="N46" s="517" t="str">
        <f>IFERROR(__xludf.DUMMYFUNCTION("""COMPUTED_VALUE"""),"SKU, CLR3, BETTER, SUB6, EU/UK, FL5")</f>
        <v>SKU, CLR3, BETTER, SUB6, EU/UK, FL5</v>
      </c>
      <c r="O46" s="517">
        <f>IFERROR(__xludf.DUMMYFUNCTION("""COMPUTED_VALUE"""),0.0)</f>
        <v>0</v>
      </c>
      <c r="P46" s="517" t="str">
        <f>IFERROR(__xludf.DUMMYFUNCTION("""COMPUTED_VALUE"""),"256GB")</f>
        <v>256GB</v>
      </c>
      <c r="Q46" s="517"/>
      <c r="R46" s="518" t="str">
        <f>IFERROR(__xludf.DUMMYFUNCTION("""COMPUTED_VALUE"""),"840353926639")</f>
        <v>840353926639</v>
      </c>
      <c r="S46" s="518" t="str">
        <f>IFERROR(__xludf.DUMMYFUNCTION("""COMPUTED_VALUE"""),"0840353926639")</f>
        <v>0840353926639</v>
      </c>
      <c r="T46" s="517" t="str">
        <f>IFERROR(__xludf.DUMMYFUNCTION("""COMPUTED_VALUE"""),"MP")</f>
        <v>MP</v>
      </c>
    </row>
    <row r="47">
      <c r="B47" s="517">
        <f>IFERROR(__xludf.DUMMYFUNCTION("""COMPUTED_VALUE"""),43.0)</f>
        <v>43</v>
      </c>
      <c r="C47" s="517" t="str">
        <f>IFERROR(__xludf.DUMMYFUNCTION("""COMPUTED_VALUE"""),"Pristine")</f>
        <v>Pristine</v>
      </c>
      <c r="D47" s="517" t="str">
        <f>IFERROR(__xludf.DUMMYFUNCTION("""COMPUTED_VALUE"""),"Retail Pack")</f>
        <v>Retail Pack</v>
      </c>
      <c r="E47" s="517" t="str">
        <f>IFERROR(__xludf.DUMMYFUNCTION("""COMPUTED_VALUE"""),"GA10219-GB")</f>
        <v>GA10219-GB</v>
      </c>
      <c r="F47" s="517" t="str">
        <f>IFERROR(__xludf.DUMMYFUNCTION("""COMPUTED_VALUE"""),"UK/EU")</f>
        <v>UK/EU</v>
      </c>
      <c r="G47" s="517" t="str">
        <f>IFERROR(__xludf.DUMMYFUNCTION("""COMPUTED_VALUE"""),"EMA")</f>
        <v>EMA</v>
      </c>
      <c r="H47" s="517" t="str">
        <f>IFERROR(__xludf.DUMMYFUNCTION("""COMPUTED_VALUE"""),"Sub6")</f>
        <v>Sub6</v>
      </c>
      <c r="I47" s="517" t="str">
        <f>IFERROR(__xludf.DUMMYFUNCTION("""COMPUTED_VALUE"""),"CLR4")</f>
        <v>CLR4</v>
      </c>
      <c r="J47" s="517" t="str">
        <f>IFERROR(__xludf.DUMMYFUNCTION("""COMPUTED_VALUE"""),"Ultra Blue")</f>
        <v>Ultra Blue</v>
      </c>
      <c r="K47" s="517" t="str">
        <f>IFERROR(__xludf.DUMMYFUNCTION("""COMPUTED_VALUE"""),"BUE")</f>
        <v>BUE</v>
      </c>
      <c r="L47" s="517" t="str">
        <f>IFERROR(__xludf.DUMMYFUNCTION("""COMPUTED_VALUE"""),"GK2MP
")</f>
        <v>GK2MP
</v>
      </c>
      <c r="M47" s="517" t="str">
        <f>IFERROR(__xludf.DUMMYFUNCTION("""COMPUTED_VALUE"""),"ROW")</f>
        <v>ROW</v>
      </c>
      <c r="N47" s="517" t="str">
        <f>IFERROR(__xludf.DUMMYFUNCTION("""COMPUTED_VALUE"""),"SKU, CLR4, BETTER, SUB6, EU/UK, FL5")</f>
        <v>SKU, CLR4, BETTER, SUB6, EU/UK, FL5</v>
      </c>
      <c r="O47" s="517">
        <f>IFERROR(__xludf.DUMMYFUNCTION("""COMPUTED_VALUE"""),0.0)</f>
        <v>0</v>
      </c>
      <c r="P47" s="517" t="str">
        <f>IFERROR(__xludf.DUMMYFUNCTION("""COMPUTED_VALUE"""),"256GB")</f>
        <v>256GB</v>
      </c>
      <c r="Q47" s="517"/>
      <c r="R47" s="518" t="str">
        <f>IFERROR(__xludf.DUMMYFUNCTION("""COMPUTED_VALUE"""),"840353926608")</f>
        <v>840353926608</v>
      </c>
      <c r="S47" s="518" t="str">
        <f>IFERROR(__xludf.DUMMYFUNCTION("""COMPUTED_VALUE"""),"0840353926608")</f>
        <v>0840353926608</v>
      </c>
      <c r="T47" s="517" t="str">
        <f>IFERROR(__xludf.DUMMYFUNCTION("""COMPUTED_VALUE"""),"MP")</f>
        <v>MP</v>
      </c>
    </row>
    <row r="48">
      <c r="B48" s="517">
        <f>IFERROR(__xludf.DUMMYFUNCTION("""COMPUTED_VALUE"""),44.0)</f>
        <v>44</v>
      </c>
      <c r="C48" s="517" t="str">
        <f>IFERROR(__xludf.DUMMYFUNCTION("""COMPUTED_VALUE"""),"Pristine")</f>
        <v>Pristine</v>
      </c>
      <c r="D48" s="517" t="str">
        <f>IFERROR(__xludf.DUMMYFUNCTION("""COMPUTED_VALUE"""),"Retail Pack")</f>
        <v>Retail Pack</v>
      </c>
      <c r="E48" s="517" t="str">
        <f>IFERROR(__xludf.DUMMYFUNCTION("""COMPUTED_VALUE"""),"GA09883-IN")</f>
        <v>GA09883-IN</v>
      </c>
      <c r="F48" s="517" t="str">
        <f>IFERROR(__xludf.DUMMYFUNCTION("""COMPUTED_VALUE"""),"IN")</f>
        <v>IN</v>
      </c>
      <c r="G48" s="517" t="str">
        <f>IFERROR(__xludf.DUMMYFUNCTION("""COMPUTED_VALUE"""),"NCA")</f>
        <v>NCA</v>
      </c>
      <c r="H48" s="517" t="str">
        <f>IFERROR(__xludf.DUMMYFUNCTION("""COMPUTED_VALUE"""),"Sub6")</f>
        <v>Sub6</v>
      </c>
      <c r="I48" s="517" t="str">
        <f>IFERROR(__xludf.DUMMYFUNCTION("""COMPUTED_VALUE"""),"CLR1")</f>
        <v>CLR1</v>
      </c>
      <c r="J48" s="517" t="str">
        <f>IFERROR(__xludf.DUMMYFUNCTION("""COMPUTED_VALUE"""),"Midnight Haze")</f>
        <v>Midnight Haze</v>
      </c>
      <c r="K48" s="517" t="str">
        <f>IFERROR(__xludf.DUMMYFUNCTION("""COMPUTED_VALUE"""),"BLK")</f>
        <v>BLK</v>
      </c>
      <c r="L48" s="517" t="str">
        <f>IFERROR(__xludf.DUMMYFUNCTION("""COMPUTED_VALUE"""),"GK2MP")</f>
        <v>GK2MP</v>
      </c>
      <c r="M48" s="517" t="str">
        <f>IFERROR(__xludf.DUMMYFUNCTION("""COMPUTED_VALUE"""),"ROW")</f>
        <v>ROW</v>
      </c>
      <c r="N48" s="517" t="str">
        <f>IFERROR(__xludf.DUMMYFUNCTION("""COMPUTED_VALUE"""),"SKU, CLR1, BETTER, SUB6, IN, FL5")</f>
        <v>SKU, CLR1, BETTER, SUB6, IN, FL5</v>
      </c>
      <c r="O48" s="517">
        <f>IFERROR(__xludf.DUMMYFUNCTION("""COMPUTED_VALUE"""),0.0)</f>
        <v>0</v>
      </c>
      <c r="P48" s="517" t="str">
        <f>IFERROR(__xludf.DUMMYFUNCTION("""COMPUTED_VALUE"""),"256GB")</f>
        <v>256GB</v>
      </c>
      <c r="Q48" s="517"/>
      <c r="R48" s="518" t="str">
        <f>IFERROR(__xludf.DUMMYFUNCTION("""COMPUTED_VALUE"""),"840353926523")</f>
        <v>840353926523</v>
      </c>
      <c r="S48" s="518" t="str">
        <f>IFERROR(__xludf.DUMMYFUNCTION("""COMPUTED_VALUE"""),"0840353926523")</f>
        <v>0840353926523</v>
      </c>
      <c r="T48" s="517" t="str">
        <f>IFERROR(__xludf.DUMMYFUNCTION("""COMPUTED_VALUE"""),"PVT/MP")</f>
        <v>PVT/MP</v>
      </c>
    </row>
    <row r="49">
      <c r="B49" s="517">
        <f>IFERROR(__xludf.DUMMYFUNCTION("""COMPUTED_VALUE"""),45.0)</f>
        <v>45</v>
      </c>
      <c r="C49" s="517" t="str">
        <f>IFERROR(__xludf.DUMMYFUNCTION("""COMPUTED_VALUE"""),"Pristine")</f>
        <v>Pristine</v>
      </c>
      <c r="D49" s="517" t="str">
        <f>IFERROR(__xludf.DUMMYFUNCTION("""COMPUTED_VALUE"""),"Retail Pack")</f>
        <v>Retail Pack</v>
      </c>
      <c r="E49" s="517" t="str">
        <f>IFERROR(__xludf.DUMMYFUNCTION("""COMPUTED_VALUE"""),"GA10217-IN")</f>
        <v>GA10217-IN</v>
      </c>
      <c r="F49" s="517" t="str">
        <f>IFERROR(__xludf.DUMMYFUNCTION("""COMPUTED_VALUE"""),"IN")</f>
        <v>IN</v>
      </c>
      <c r="G49" s="517" t="str">
        <f>IFERROR(__xludf.DUMMYFUNCTION("""COMPUTED_VALUE"""),"NCA")</f>
        <v>NCA</v>
      </c>
      <c r="H49" s="517" t="str">
        <f>IFERROR(__xludf.DUMMYFUNCTION("""COMPUTED_VALUE"""),"Sub6")</f>
        <v>Sub6</v>
      </c>
      <c r="I49" s="517" t="str">
        <f>IFERROR(__xludf.DUMMYFUNCTION("""COMPUTED_VALUE"""),"CLR2")</f>
        <v>CLR2</v>
      </c>
      <c r="J49" s="517" t="str">
        <f>IFERROR(__xludf.DUMMYFUNCTION("""COMPUTED_VALUE"""),"Iris")</f>
        <v>Iris</v>
      </c>
      <c r="K49" s="517" t="str">
        <f>IFERROR(__xludf.DUMMYFUNCTION("""COMPUTED_VALUE"""),"PPL")</f>
        <v>PPL</v>
      </c>
      <c r="L49" s="517" t="str">
        <f>IFERROR(__xludf.DUMMYFUNCTION("""COMPUTED_VALUE"""),"GK2MP")</f>
        <v>GK2MP</v>
      </c>
      <c r="M49" s="517" t="str">
        <f>IFERROR(__xludf.DUMMYFUNCTION("""COMPUTED_VALUE"""),"ROW")</f>
        <v>ROW</v>
      </c>
      <c r="N49" s="517" t="str">
        <f>IFERROR(__xludf.DUMMYFUNCTION("""COMPUTED_VALUE"""),"SKU, CLR2, BETTER, SUB6, IN, FL5")</f>
        <v>SKU, CLR2, BETTER, SUB6, IN, FL5</v>
      </c>
      <c r="O49" s="517">
        <f>IFERROR(__xludf.DUMMYFUNCTION("""COMPUTED_VALUE"""),0.0)</f>
        <v>0</v>
      </c>
      <c r="P49" s="517" t="str">
        <f>IFERROR(__xludf.DUMMYFUNCTION("""COMPUTED_VALUE"""),"256GB")</f>
        <v>256GB</v>
      </c>
      <c r="Q49" s="517"/>
      <c r="R49" s="518" t="str">
        <f>IFERROR(__xludf.DUMMYFUNCTION("""COMPUTED_VALUE"""),"840353926585")</f>
        <v>840353926585</v>
      </c>
      <c r="S49" s="518" t="str">
        <f>IFERROR(__xludf.DUMMYFUNCTION("""COMPUTED_VALUE"""),"0840353926585")</f>
        <v>0840353926585</v>
      </c>
      <c r="T49" s="517" t="str">
        <f>IFERROR(__xludf.DUMMYFUNCTION("""COMPUTED_VALUE"""),"MP")</f>
        <v>MP</v>
      </c>
    </row>
    <row r="50">
      <c r="B50" s="517">
        <f>IFERROR(__xludf.DUMMYFUNCTION("""COMPUTED_VALUE"""),46.0)</f>
        <v>46</v>
      </c>
      <c r="C50" s="517" t="str">
        <f>IFERROR(__xludf.DUMMYFUNCTION("""COMPUTED_VALUE"""),"Pristine")</f>
        <v>Pristine</v>
      </c>
      <c r="D50" s="517" t="str">
        <f>IFERROR(__xludf.DUMMYFUNCTION("""COMPUTED_VALUE"""),"Retail Pack")</f>
        <v>Retail Pack</v>
      </c>
      <c r="E50" s="517" t="str">
        <f>IFERROR(__xludf.DUMMYFUNCTION("""COMPUTED_VALUE"""),"GA10218-IN")</f>
        <v>GA10218-IN</v>
      </c>
      <c r="F50" s="517" t="str">
        <f>IFERROR(__xludf.DUMMYFUNCTION("""COMPUTED_VALUE"""),"IN")</f>
        <v>IN</v>
      </c>
      <c r="G50" s="517" t="str">
        <f>IFERROR(__xludf.DUMMYFUNCTION("""COMPUTED_VALUE"""),"NCA")</f>
        <v>NCA</v>
      </c>
      <c r="H50" s="517" t="str">
        <f>IFERROR(__xludf.DUMMYFUNCTION("""COMPUTED_VALUE"""),"Sub6")</f>
        <v>Sub6</v>
      </c>
      <c r="I50" s="517" t="str">
        <f>IFERROR(__xludf.DUMMYFUNCTION("""COMPUTED_VALUE"""),"CLR3")</f>
        <v>CLR3</v>
      </c>
      <c r="J50" s="517" t="str">
        <f>IFERROR(__xludf.DUMMYFUNCTION("""COMPUTED_VALUE"""),"Limoncello Midtone")</f>
        <v>Limoncello Midtone</v>
      </c>
      <c r="K50" s="517" t="str">
        <f>IFERROR(__xludf.DUMMYFUNCTION("""COMPUTED_VALUE"""),"YEL")</f>
        <v>YEL</v>
      </c>
      <c r="L50" s="517" t="str">
        <f>IFERROR(__xludf.DUMMYFUNCTION("""COMPUTED_VALUE"""),"GK2MP")</f>
        <v>GK2MP</v>
      </c>
      <c r="M50" s="517" t="str">
        <f>IFERROR(__xludf.DUMMYFUNCTION("""COMPUTED_VALUE"""),"ROW")</f>
        <v>ROW</v>
      </c>
      <c r="N50" s="517" t="str">
        <f>IFERROR(__xludf.DUMMYFUNCTION("""COMPUTED_VALUE"""),"SKU, CLR3, BETTER, SUB6, IN, FL5")</f>
        <v>SKU, CLR3, BETTER, SUB6, IN, FL5</v>
      </c>
      <c r="O50" s="517">
        <f>IFERROR(__xludf.DUMMYFUNCTION("""COMPUTED_VALUE"""),0.0)</f>
        <v>0</v>
      </c>
      <c r="P50" s="517" t="str">
        <f>IFERROR(__xludf.DUMMYFUNCTION("""COMPUTED_VALUE"""),"256GB")</f>
        <v>256GB</v>
      </c>
      <c r="Q50" s="517"/>
      <c r="R50" s="518" t="str">
        <f>IFERROR(__xludf.DUMMYFUNCTION("""COMPUTED_VALUE"""),"840353926592")</f>
        <v>840353926592</v>
      </c>
      <c r="S50" s="518" t="str">
        <f>IFERROR(__xludf.DUMMYFUNCTION("""COMPUTED_VALUE"""),"0840353926592")</f>
        <v>0840353926592</v>
      </c>
      <c r="T50" s="517" t="str">
        <f>IFERROR(__xludf.DUMMYFUNCTION("""COMPUTED_VALUE"""),"PVT/MP")</f>
        <v>PVT/MP</v>
      </c>
    </row>
    <row r="51">
      <c r="B51" s="517">
        <f>IFERROR(__xludf.DUMMYFUNCTION("""COMPUTED_VALUE"""),47.0)</f>
        <v>47</v>
      </c>
      <c r="C51" s="517" t="str">
        <f>IFERROR(__xludf.DUMMYFUNCTION("""COMPUTED_VALUE"""),"Pristine")</f>
        <v>Pristine</v>
      </c>
      <c r="D51" s="517" t="str">
        <f>IFERROR(__xludf.DUMMYFUNCTION("""COMPUTED_VALUE"""),"Retail Pack")</f>
        <v>Retail Pack</v>
      </c>
      <c r="E51" s="517" t="str">
        <f>IFERROR(__xludf.DUMMYFUNCTION("""COMPUTED_VALUE"""),"GA10219-IN")</f>
        <v>GA10219-IN</v>
      </c>
      <c r="F51" s="517" t="str">
        <f>IFERROR(__xludf.DUMMYFUNCTION("""COMPUTED_VALUE"""),"IN")</f>
        <v>IN</v>
      </c>
      <c r="G51" s="517" t="str">
        <f>IFERROR(__xludf.DUMMYFUNCTION("""COMPUTED_VALUE"""),"NCA")</f>
        <v>NCA</v>
      </c>
      <c r="H51" s="517" t="str">
        <f>IFERROR(__xludf.DUMMYFUNCTION("""COMPUTED_VALUE"""),"Sub6")</f>
        <v>Sub6</v>
      </c>
      <c r="I51" s="517" t="str">
        <f>IFERROR(__xludf.DUMMYFUNCTION("""COMPUTED_VALUE"""),"CLR4")</f>
        <v>CLR4</v>
      </c>
      <c r="J51" s="517" t="str">
        <f>IFERROR(__xludf.DUMMYFUNCTION("""COMPUTED_VALUE"""),"Ultra Blue")</f>
        <v>Ultra Blue</v>
      </c>
      <c r="K51" s="517" t="str">
        <f>IFERROR(__xludf.DUMMYFUNCTION("""COMPUTED_VALUE"""),"BUE")</f>
        <v>BUE</v>
      </c>
      <c r="L51" s="517" t="str">
        <f>IFERROR(__xludf.DUMMYFUNCTION("""COMPUTED_VALUE"""),"GK2MP")</f>
        <v>GK2MP</v>
      </c>
      <c r="M51" s="517" t="str">
        <f>IFERROR(__xludf.DUMMYFUNCTION("""COMPUTED_VALUE"""),"ROW")</f>
        <v>ROW</v>
      </c>
      <c r="N51" s="517" t="str">
        <f>IFERROR(__xludf.DUMMYFUNCTION("""COMPUTED_VALUE"""),"SKU, CLR4, BETTER, SUB6, IN, FL5")</f>
        <v>SKU, CLR4, BETTER, SUB6, IN, FL5</v>
      </c>
      <c r="O51" s="517">
        <f>IFERROR(__xludf.DUMMYFUNCTION("""COMPUTED_VALUE"""),0.0)</f>
        <v>0</v>
      </c>
      <c r="P51" s="517" t="str">
        <f>IFERROR(__xludf.DUMMYFUNCTION("""COMPUTED_VALUE"""),"256GB")</f>
        <v>256GB</v>
      </c>
      <c r="Q51" s="517"/>
      <c r="R51" s="518" t="str">
        <f>IFERROR(__xludf.DUMMYFUNCTION("""COMPUTED_VALUE"""),"840353926677")</f>
        <v>840353926677</v>
      </c>
      <c r="S51" s="518" t="str">
        <f>IFERROR(__xludf.DUMMYFUNCTION("""COMPUTED_VALUE"""),"0840353926677")</f>
        <v>0840353926677</v>
      </c>
      <c r="T51" s="517" t="str">
        <f>IFERROR(__xludf.DUMMYFUNCTION("""COMPUTED_VALUE"""),"MP")</f>
        <v>MP</v>
      </c>
    </row>
    <row r="52">
      <c r="B52" s="517">
        <f>IFERROR(__xludf.DUMMYFUNCTION("""COMPUTED_VALUE"""),48.0)</f>
        <v>48</v>
      </c>
      <c r="C52" s="517" t="str">
        <f>IFERROR(__xludf.DUMMYFUNCTION("""COMPUTED_VALUE"""),"Pristine")</f>
        <v>Pristine</v>
      </c>
      <c r="D52" s="517" t="str">
        <f>IFERROR(__xludf.DUMMYFUNCTION("""COMPUTED_VALUE"""),"Retail Pack")</f>
        <v>Retail Pack</v>
      </c>
      <c r="E52" s="517" t="str">
        <f>IFERROR(__xludf.DUMMYFUNCTION("""COMPUTED_VALUE"""),"GA09883-JP")</f>
        <v>GA09883-JP</v>
      </c>
      <c r="F52" s="517" t="str">
        <f>IFERROR(__xludf.DUMMYFUNCTION("""COMPUTED_VALUE"""),"JP")</f>
        <v>JP</v>
      </c>
      <c r="G52" s="517" t="str">
        <f>IFERROR(__xludf.DUMMYFUNCTION("""COMPUTED_VALUE"""),"AJP")</f>
        <v>AJP</v>
      </c>
      <c r="H52" s="517" t="str">
        <f>IFERROR(__xludf.DUMMYFUNCTION("""COMPUTED_VALUE"""),"JPN")</f>
        <v>JPN</v>
      </c>
      <c r="I52" s="517" t="str">
        <f>IFERROR(__xludf.DUMMYFUNCTION("""COMPUTED_VALUE"""),"CLR1")</f>
        <v>CLR1</v>
      </c>
      <c r="J52" s="517" t="str">
        <f>IFERROR(__xludf.DUMMYFUNCTION("""COMPUTED_VALUE"""),"Midnight Haze")</f>
        <v>Midnight Haze</v>
      </c>
      <c r="K52" s="517" t="str">
        <f>IFERROR(__xludf.DUMMYFUNCTION("""COMPUTED_VALUE"""),"BLK")</f>
        <v>BLK</v>
      </c>
      <c r="L52" s="517" t="str">
        <f>IFERROR(__xludf.DUMMYFUNCTION("""COMPUTED_VALUE"""),"GL066")</f>
        <v>GL066</v>
      </c>
      <c r="M52" s="517" t="str">
        <f>IFERROR(__xludf.DUMMYFUNCTION("""COMPUTED_VALUE"""),"JPN")</f>
        <v>JPN</v>
      </c>
      <c r="N52" s="517" t="str">
        <f>IFERROR(__xludf.DUMMYFUNCTION("""COMPUTED_VALUE"""),"SKU, CLR1, BETTER, SUB6, JP, FL5")</f>
        <v>SKU, CLR1, BETTER, SUB6, JP, FL5</v>
      </c>
      <c r="O52" s="517">
        <f>IFERROR(__xludf.DUMMYFUNCTION("""COMPUTED_VALUE"""),0.0)</f>
        <v>0</v>
      </c>
      <c r="P52" s="517" t="str">
        <f>IFERROR(__xludf.DUMMYFUNCTION("""COMPUTED_VALUE"""),"256GB")</f>
        <v>256GB</v>
      </c>
      <c r="Q52" s="517"/>
      <c r="R52" s="518" t="str">
        <f>IFERROR(__xludf.DUMMYFUNCTION("""COMPUTED_VALUE"""),"840353926554")</f>
        <v>840353926554</v>
      </c>
      <c r="S52" s="518" t="str">
        <f>IFERROR(__xludf.DUMMYFUNCTION("""COMPUTED_VALUE"""),"0840353926554")</f>
        <v>0840353926554</v>
      </c>
      <c r="T52" s="517" t="str">
        <f>IFERROR(__xludf.DUMMYFUNCTION("""COMPUTED_VALUE"""),"MP")</f>
        <v>MP</v>
      </c>
    </row>
    <row r="53">
      <c r="B53" s="517">
        <f>IFERROR(__xludf.DUMMYFUNCTION("""COMPUTED_VALUE"""),49.0)</f>
        <v>49</v>
      </c>
      <c r="C53" s="517" t="str">
        <f>IFERROR(__xludf.DUMMYFUNCTION("""COMPUTED_VALUE"""),"Pristine")</f>
        <v>Pristine</v>
      </c>
      <c r="D53" s="517" t="str">
        <f>IFERROR(__xludf.DUMMYFUNCTION("""COMPUTED_VALUE"""),"Retail Pack")</f>
        <v>Retail Pack</v>
      </c>
      <c r="E53" s="517" t="str">
        <f>IFERROR(__xludf.DUMMYFUNCTION("""COMPUTED_VALUE"""),"GA10217-JP")</f>
        <v>GA10217-JP</v>
      </c>
      <c r="F53" s="517" t="str">
        <f>IFERROR(__xludf.DUMMYFUNCTION("""COMPUTED_VALUE"""),"JP")</f>
        <v>JP</v>
      </c>
      <c r="G53" s="517" t="str">
        <f>IFERROR(__xludf.DUMMYFUNCTION("""COMPUTED_VALUE"""),"AJP")</f>
        <v>AJP</v>
      </c>
      <c r="H53" s="517" t="str">
        <f>IFERROR(__xludf.DUMMYFUNCTION("""COMPUTED_VALUE"""),"JPN")</f>
        <v>JPN</v>
      </c>
      <c r="I53" s="517" t="str">
        <f>IFERROR(__xludf.DUMMYFUNCTION("""COMPUTED_VALUE"""),"CLR2")</f>
        <v>CLR2</v>
      </c>
      <c r="J53" s="517" t="str">
        <f>IFERROR(__xludf.DUMMYFUNCTION("""COMPUTED_VALUE"""),"Iris")</f>
        <v>Iris</v>
      </c>
      <c r="K53" s="517" t="str">
        <f>IFERROR(__xludf.DUMMYFUNCTION("""COMPUTED_VALUE"""),"PPL")</f>
        <v>PPL</v>
      </c>
      <c r="L53" s="517" t="str">
        <f>IFERROR(__xludf.DUMMYFUNCTION("""COMPUTED_VALUE"""),"GL066")</f>
        <v>GL066</v>
      </c>
      <c r="M53" s="517" t="str">
        <f>IFERROR(__xludf.DUMMYFUNCTION("""COMPUTED_VALUE"""),"JPN")</f>
        <v>JPN</v>
      </c>
      <c r="N53" s="517" t="str">
        <f>IFERROR(__xludf.DUMMYFUNCTION("""COMPUTED_VALUE"""),"SKU, CLR2, BETTER, SUB6, JP, FL5")</f>
        <v>SKU, CLR2, BETTER, SUB6, JP, FL5</v>
      </c>
      <c r="O53" s="517">
        <f>IFERROR(__xludf.DUMMYFUNCTION("""COMPUTED_VALUE"""),0.0)</f>
        <v>0</v>
      </c>
      <c r="P53" s="517" t="str">
        <f>IFERROR(__xludf.DUMMYFUNCTION("""COMPUTED_VALUE"""),"256GB")</f>
        <v>256GB</v>
      </c>
      <c r="Q53" s="517"/>
      <c r="R53" s="518" t="str">
        <f>IFERROR(__xludf.DUMMYFUNCTION("""COMPUTED_VALUE"""),"840353926660")</f>
        <v>840353926660</v>
      </c>
      <c r="S53" s="518" t="str">
        <f>IFERROR(__xludf.DUMMYFUNCTION("""COMPUTED_VALUE"""),"0840353926660")</f>
        <v>0840353926660</v>
      </c>
      <c r="T53" s="517" t="str">
        <f>IFERROR(__xludf.DUMMYFUNCTION("""COMPUTED_VALUE"""),"MP")</f>
        <v>MP</v>
      </c>
    </row>
    <row r="54">
      <c r="B54" s="517">
        <f>IFERROR(__xludf.DUMMYFUNCTION("""COMPUTED_VALUE"""),50.0)</f>
        <v>50</v>
      </c>
      <c r="C54" s="517" t="str">
        <f>IFERROR(__xludf.DUMMYFUNCTION("""COMPUTED_VALUE"""),"Pristine")</f>
        <v>Pristine</v>
      </c>
      <c r="D54" s="517" t="str">
        <f>IFERROR(__xludf.DUMMYFUNCTION("""COMPUTED_VALUE"""),"Retail Pack")</f>
        <v>Retail Pack</v>
      </c>
      <c r="E54" s="517" t="str">
        <f>IFERROR(__xludf.DUMMYFUNCTION("""COMPUTED_VALUE"""),"GA10218-JP")</f>
        <v>GA10218-JP</v>
      </c>
      <c r="F54" s="517" t="str">
        <f>IFERROR(__xludf.DUMMYFUNCTION("""COMPUTED_VALUE"""),"JP")</f>
        <v>JP</v>
      </c>
      <c r="G54" s="517" t="str">
        <f>IFERROR(__xludf.DUMMYFUNCTION("""COMPUTED_VALUE"""),"AJP")</f>
        <v>AJP</v>
      </c>
      <c r="H54" s="517" t="str">
        <f>IFERROR(__xludf.DUMMYFUNCTION("""COMPUTED_VALUE"""),"JPN")</f>
        <v>JPN</v>
      </c>
      <c r="I54" s="517" t="str">
        <f>IFERROR(__xludf.DUMMYFUNCTION("""COMPUTED_VALUE"""),"CLR3")</f>
        <v>CLR3</v>
      </c>
      <c r="J54" s="517" t="str">
        <f>IFERROR(__xludf.DUMMYFUNCTION("""COMPUTED_VALUE"""),"Limoncello Midtone")</f>
        <v>Limoncello Midtone</v>
      </c>
      <c r="K54" s="517" t="str">
        <f>IFERROR(__xludf.DUMMYFUNCTION("""COMPUTED_VALUE"""),"YEL")</f>
        <v>YEL</v>
      </c>
      <c r="L54" s="517" t="str">
        <f>IFERROR(__xludf.DUMMYFUNCTION("""COMPUTED_VALUE"""),"GL066")</f>
        <v>GL066</v>
      </c>
      <c r="M54" s="517" t="str">
        <f>IFERROR(__xludf.DUMMYFUNCTION("""COMPUTED_VALUE"""),"JPN")</f>
        <v>JPN</v>
      </c>
      <c r="N54" s="517" t="str">
        <f>IFERROR(__xludf.DUMMYFUNCTION("""COMPUTED_VALUE"""),"SKU, CLR3, BETTER, SUB6, JP, FL5")</f>
        <v>SKU, CLR3, BETTER, SUB6, JP, FL5</v>
      </c>
      <c r="O54" s="517">
        <f>IFERROR(__xludf.DUMMYFUNCTION("""COMPUTED_VALUE"""),0.0)</f>
        <v>0</v>
      </c>
      <c r="P54" s="517" t="str">
        <f>IFERROR(__xludf.DUMMYFUNCTION("""COMPUTED_VALUE"""),"256GB")</f>
        <v>256GB</v>
      </c>
      <c r="Q54" s="517"/>
      <c r="R54" s="518" t="str">
        <f>IFERROR(__xludf.DUMMYFUNCTION("""COMPUTED_VALUE"""),"840353926578")</f>
        <v>840353926578</v>
      </c>
      <c r="S54" s="518" t="str">
        <f>IFERROR(__xludf.DUMMYFUNCTION("""COMPUTED_VALUE"""),"0840353926578")</f>
        <v>0840353926578</v>
      </c>
      <c r="T54" s="517" t="str">
        <f>IFERROR(__xludf.DUMMYFUNCTION("""COMPUTED_VALUE"""),"MP")</f>
        <v>MP</v>
      </c>
    </row>
    <row r="55">
      <c r="B55" s="517">
        <f>IFERROR(__xludf.DUMMYFUNCTION("""COMPUTED_VALUE"""),51.0)</f>
        <v>51</v>
      </c>
      <c r="C55" s="517" t="str">
        <f>IFERROR(__xludf.DUMMYFUNCTION("""COMPUTED_VALUE"""),"Pristine")</f>
        <v>Pristine</v>
      </c>
      <c r="D55" s="517" t="str">
        <f>IFERROR(__xludf.DUMMYFUNCTION("""COMPUTED_VALUE"""),"Retail Pack")</f>
        <v>Retail Pack</v>
      </c>
      <c r="E55" s="517" t="str">
        <f>IFERROR(__xludf.DUMMYFUNCTION("""COMPUTED_VALUE"""),"GA10219-JP")</f>
        <v>GA10219-JP</v>
      </c>
      <c r="F55" s="517" t="str">
        <f>IFERROR(__xludf.DUMMYFUNCTION("""COMPUTED_VALUE"""),"JP")</f>
        <v>JP</v>
      </c>
      <c r="G55" s="517" t="str">
        <f>IFERROR(__xludf.DUMMYFUNCTION("""COMPUTED_VALUE"""),"AJP")</f>
        <v>AJP</v>
      </c>
      <c r="H55" s="517" t="str">
        <f>IFERROR(__xludf.DUMMYFUNCTION("""COMPUTED_VALUE"""),"JPN")</f>
        <v>JPN</v>
      </c>
      <c r="I55" s="517" t="str">
        <f>IFERROR(__xludf.DUMMYFUNCTION("""COMPUTED_VALUE"""),"CLR4")</f>
        <v>CLR4</v>
      </c>
      <c r="J55" s="517" t="str">
        <f>IFERROR(__xludf.DUMMYFUNCTION("""COMPUTED_VALUE"""),"Ultra Blue")</f>
        <v>Ultra Blue</v>
      </c>
      <c r="K55" s="517" t="str">
        <f>IFERROR(__xludf.DUMMYFUNCTION("""COMPUTED_VALUE"""),"BUE")</f>
        <v>BUE</v>
      </c>
      <c r="L55" s="517" t="str">
        <f>IFERROR(__xludf.DUMMYFUNCTION("""COMPUTED_VALUE"""),"GL066")</f>
        <v>GL066</v>
      </c>
      <c r="M55" s="517" t="str">
        <f>IFERROR(__xludf.DUMMYFUNCTION("""COMPUTED_VALUE"""),"JPN")</f>
        <v>JPN</v>
      </c>
      <c r="N55" s="517" t="str">
        <f>IFERROR(__xludf.DUMMYFUNCTION("""COMPUTED_VALUE"""),"SKU, CLR4, BETTER, SUB6, JP, FL5")</f>
        <v>SKU, CLR4, BETTER, SUB6, JP, FL5</v>
      </c>
      <c r="O55" s="517">
        <f>IFERROR(__xludf.DUMMYFUNCTION("""COMPUTED_VALUE"""),0.0)</f>
        <v>0</v>
      </c>
      <c r="P55" s="517" t="str">
        <f>IFERROR(__xludf.DUMMYFUNCTION("""COMPUTED_VALUE"""),"256GB")</f>
        <v>256GB</v>
      </c>
      <c r="Q55" s="517"/>
      <c r="R55" s="518" t="str">
        <f>IFERROR(__xludf.DUMMYFUNCTION("""COMPUTED_VALUE"""),"840353926561")</f>
        <v>840353926561</v>
      </c>
      <c r="S55" s="518" t="str">
        <f>IFERROR(__xludf.DUMMYFUNCTION("""COMPUTED_VALUE"""),"0840353926561")</f>
        <v>0840353926561</v>
      </c>
      <c r="T55" s="517" t="str">
        <f>IFERROR(__xludf.DUMMYFUNCTION("""COMPUTED_VALUE"""),"MP")</f>
        <v>MP</v>
      </c>
    </row>
    <row r="56">
      <c r="B56" s="517">
        <f>IFERROR(__xludf.DUMMYFUNCTION("""COMPUTED_VALUE"""),52.0)</f>
        <v>52</v>
      </c>
      <c r="C56" s="517" t="str">
        <f>IFERROR(__xludf.DUMMYFUNCTION("""COMPUTED_VALUE"""),"IQ (VzW only)")</f>
        <v>IQ (VzW only)</v>
      </c>
      <c r="D56" s="517" t="str">
        <f>IFERROR(__xludf.DUMMYFUNCTION("""COMPUTED_VALUE"""),"Retail Pack")</f>
        <v>Retail Pack</v>
      </c>
      <c r="E56" s="517" t="str">
        <f>IFERROR(__xludf.DUMMYFUNCTION("""COMPUTED_VALUE"""),"IQGA09425-US")</f>
        <v>IQGA09425-US</v>
      </c>
      <c r="F56" s="517" t="str">
        <f>IFERROR(__xludf.DUMMYFUNCTION("""COMPUTED_VALUE"""),"VZW, US")</f>
        <v>VZW, US</v>
      </c>
      <c r="G56" s="517" t="str">
        <f>IFERROR(__xludf.DUMMYFUNCTION("""COMPUTED_VALUE"""),"UVZ")</f>
        <v>UVZ</v>
      </c>
      <c r="H56" s="517" t="str">
        <f>IFERROR(__xludf.DUMMYFUNCTION("""COMPUTED_VALUE"""),"mmWave")</f>
        <v>mmWave</v>
      </c>
      <c r="I56" s="517" t="str">
        <f>IFERROR(__xludf.DUMMYFUNCTION("""COMPUTED_VALUE"""),"CLR1")</f>
        <v>CLR1</v>
      </c>
      <c r="J56" s="517" t="str">
        <f>IFERROR(__xludf.DUMMYFUNCTION("""COMPUTED_VALUE"""),"Midnight Haze")</f>
        <v>Midnight Haze</v>
      </c>
      <c r="K56" s="517" t="str">
        <f>IFERROR(__xludf.DUMMYFUNCTION("""COMPUTED_VALUE"""),"BLK")</f>
        <v>BLK</v>
      </c>
      <c r="L56" s="517" t="str">
        <f>IFERROR(__xludf.DUMMYFUNCTION("""COMPUTED_VALUE"""),"GLBW0")</f>
        <v>GLBW0</v>
      </c>
      <c r="M56" s="517" t="str">
        <f>IFERROR(__xludf.DUMMYFUNCTION("""COMPUTED_VALUE"""),"VZW")</f>
        <v>VZW</v>
      </c>
      <c r="N56" s="517" t="str">
        <f>IFERROR(__xludf.DUMMYFUNCTION("""COMPUTED_VALUE"""),"SKU, CLR1, GOOD, MMWAVE, VZW, US, IQ, FL5")</f>
        <v>SKU, CLR1, GOOD, MMWAVE, VZW, US, IQ, FL5</v>
      </c>
      <c r="O56" s="517" t="str">
        <f>IFERROR(__xludf.DUMMYFUNCTION("""COMPUTED_VALUE"""),"US")</f>
        <v>US</v>
      </c>
      <c r="P56" s="517" t="str">
        <f>IFERROR(__xludf.DUMMYFUNCTION("""COMPUTED_VALUE"""),"128GB")</f>
        <v>128GB</v>
      </c>
      <c r="Q56" s="517"/>
      <c r="R56" s="518" t="str">
        <f>IFERROR(__xludf.DUMMYFUNCTION("""COMPUTED_VALUE"""),"840353928350")</f>
        <v>840353928350</v>
      </c>
      <c r="S56" s="518" t="str">
        <f>IFERROR(__xludf.DUMMYFUNCTION("""COMPUTED_VALUE"""),"0840353928350")</f>
        <v>0840353928350</v>
      </c>
      <c r="T56" s="517" t="str">
        <f>IFERROR(__xludf.DUMMYFUNCTION("""COMPUTED_VALUE"""),"MP")</f>
        <v>MP</v>
      </c>
    </row>
    <row r="57">
      <c r="B57" s="517">
        <f>IFERROR(__xludf.DUMMYFUNCTION("""COMPUTED_VALUE"""),53.0)</f>
        <v>53</v>
      </c>
      <c r="C57" s="517" t="str">
        <f>IFERROR(__xludf.DUMMYFUNCTION("""COMPUTED_VALUE"""),"IQ (VzW only)")</f>
        <v>IQ (VzW only)</v>
      </c>
      <c r="D57" s="517" t="str">
        <f>IFERROR(__xludf.DUMMYFUNCTION("""COMPUTED_VALUE"""),"Retail Pack")</f>
        <v>Retail Pack</v>
      </c>
      <c r="E57" s="517" t="str">
        <f>IFERROR(__xludf.DUMMYFUNCTION("""COMPUTED_VALUE"""),"IQGA10238-US")</f>
        <v>IQGA10238-US</v>
      </c>
      <c r="F57" s="517" t="str">
        <f>IFERROR(__xludf.DUMMYFUNCTION("""COMPUTED_VALUE"""),"VZW, US")</f>
        <v>VZW, US</v>
      </c>
      <c r="G57" s="517" t="str">
        <f>IFERROR(__xludf.DUMMYFUNCTION("""COMPUTED_VALUE"""),"UVZ")</f>
        <v>UVZ</v>
      </c>
      <c r="H57" s="517" t="str">
        <f>IFERROR(__xludf.DUMMYFUNCTION("""COMPUTED_VALUE"""),"mmWave")</f>
        <v>mmWave</v>
      </c>
      <c r="I57" s="517" t="str">
        <f>IFERROR(__xludf.DUMMYFUNCTION("""COMPUTED_VALUE"""),"CLR2")</f>
        <v>CLR2</v>
      </c>
      <c r="J57" s="517" t="str">
        <f>IFERROR(__xludf.DUMMYFUNCTION("""COMPUTED_VALUE"""),"Iris")</f>
        <v>Iris</v>
      </c>
      <c r="K57" s="517" t="str">
        <f>IFERROR(__xludf.DUMMYFUNCTION("""COMPUTED_VALUE"""),"PPL")</f>
        <v>PPL</v>
      </c>
      <c r="L57" s="517" t="str">
        <f>IFERROR(__xludf.DUMMYFUNCTION("""COMPUTED_VALUE"""),"GLBW0")</f>
        <v>GLBW0</v>
      </c>
      <c r="M57" s="517" t="str">
        <f>IFERROR(__xludf.DUMMYFUNCTION("""COMPUTED_VALUE"""),"VZW")</f>
        <v>VZW</v>
      </c>
      <c r="N57" s="517" t="str">
        <f>IFERROR(__xludf.DUMMYFUNCTION("""COMPUTED_VALUE"""),"SKU, CLR2, GOOD, MMWAVE, VZW, US, IQ, FL5")</f>
        <v>SKU, CLR2, GOOD, MMWAVE, VZW, US, IQ, FL5</v>
      </c>
      <c r="O57" s="517" t="str">
        <f>IFERROR(__xludf.DUMMYFUNCTION("""COMPUTED_VALUE"""),"US")</f>
        <v>US</v>
      </c>
      <c r="P57" s="517" t="str">
        <f>IFERROR(__xludf.DUMMYFUNCTION("""COMPUTED_VALUE"""),"128GB")</f>
        <v>128GB</v>
      </c>
      <c r="Q57" s="517"/>
      <c r="R57" s="518" t="str">
        <f>IFERROR(__xludf.DUMMYFUNCTION("""COMPUTED_VALUE"""),"840353928367")</f>
        <v>840353928367</v>
      </c>
      <c r="S57" s="518" t="str">
        <f>IFERROR(__xludf.DUMMYFUNCTION("""COMPUTED_VALUE"""),"0840353928367")</f>
        <v>0840353928367</v>
      </c>
      <c r="T57" s="517" t="str">
        <f>IFERROR(__xludf.DUMMYFUNCTION("""COMPUTED_VALUE"""),"MP")</f>
        <v>MP</v>
      </c>
    </row>
    <row r="58">
      <c r="B58" s="517">
        <f>IFERROR(__xludf.DUMMYFUNCTION("""COMPUTED_VALUE"""),54.0)</f>
        <v>54</v>
      </c>
      <c r="C58" s="517" t="str">
        <f>IFERROR(__xludf.DUMMYFUNCTION("""COMPUTED_VALUE"""),"IQ (VzW only)")</f>
        <v>IQ (VzW only)</v>
      </c>
      <c r="D58" s="517" t="str">
        <f>IFERROR(__xludf.DUMMYFUNCTION("""COMPUTED_VALUE"""),"Retail Pack")</f>
        <v>Retail Pack</v>
      </c>
      <c r="E58" s="517" t="str">
        <f>IFERROR(__xludf.DUMMYFUNCTION("""COMPUTED_VALUE"""),"IQGA10239-US")</f>
        <v>IQGA10239-US</v>
      </c>
      <c r="F58" s="517" t="str">
        <f>IFERROR(__xludf.DUMMYFUNCTION("""COMPUTED_VALUE"""),"VZW, US")</f>
        <v>VZW, US</v>
      </c>
      <c r="G58" s="517" t="str">
        <f>IFERROR(__xludf.DUMMYFUNCTION("""COMPUTED_VALUE"""),"UVZ")</f>
        <v>UVZ</v>
      </c>
      <c r="H58" s="517" t="str">
        <f>IFERROR(__xludf.DUMMYFUNCTION("""COMPUTED_VALUE"""),"mmWave")</f>
        <v>mmWave</v>
      </c>
      <c r="I58" s="517" t="str">
        <f>IFERROR(__xludf.DUMMYFUNCTION("""COMPUTED_VALUE"""),"CLR3")</f>
        <v>CLR3</v>
      </c>
      <c r="J58" s="517" t="str">
        <f>IFERROR(__xludf.DUMMYFUNCTION("""COMPUTED_VALUE"""),"Limoncello Midtone")</f>
        <v>Limoncello Midtone</v>
      </c>
      <c r="K58" s="517" t="str">
        <f>IFERROR(__xludf.DUMMYFUNCTION("""COMPUTED_VALUE"""),"YEL")</f>
        <v>YEL</v>
      </c>
      <c r="L58" s="517" t="str">
        <f>IFERROR(__xludf.DUMMYFUNCTION("""COMPUTED_VALUE"""),"GLBW0")</f>
        <v>GLBW0</v>
      </c>
      <c r="M58" s="517" t="str">
        <f>IFERROR(__xludf.DUMMYFUNCTION("""COMPUTED_VALUE"""),"VZW")</f>
        <v>VZW</v>
      </c>
      <c r="N58" s="517" t="str">
        <f>IFERROR(__xludf.DUMMYFUNCTION("""COMPUTED_VALUE"""),"SKU, CLR3, GOOD, MMWAVE, VZW, US, IQ, FL5")</f>
        <v>SKU, CLR3, GOOD, MMWAVE, VZW, US, IQ, FL5</v>
      </c>
      <c r="O58" s="517" t="str">
        <f>IFERROR(__xludf.DUMMYFUNCTION("""COMPUTED_VALUE"""),"US")</f>
        <v>US</v>
      </c>
      <c r="P58" s="517" t="str">
        <f>IFERROR(__xludf.DUMMYFUNCTION("""COMPUTED_VALUE"""),"128GB")</f>
        <v>128GB</v>
      </c>
      <c r="Q58" s="517"/>
      <c r="R58" s="518" t="str">
        <f>IFERROR(__xludf.DUMMYFUNCTION("""COMPUTED_VALUE"""),"840353928329")</f>
        <v>840353928329</v>
      </c>
      <c r="S58" s="518" t="str">
        <f>IFERROR(__xludf.DUMMYFUNCTION("""COMPUTED_VALUE"""),"0840353928329")</f>
        <v>0840353928329</v>
      </c>
      <c r="T58" s="517" t="str">
        <f>IFERROR(__xludf.DUMMYFUNCTION("""COMPUTED_VALUE"""),"MP")</f>
        <v>MP</v>
      </c>
    </row>
    <row r="59">
      <c r="B59" s="517">
        <f>IFERROR(__xludf.DUMMYFUNCTION("""COMPUTED_VALUE"""),55.0)</f>
        <v>55</v>
      </c>
      <c r="C59" s="517" t="str">
        <f>IFERROR(__xludf.DUMMYFUNCTION("""COMPUTED_VALUE"""),"IQ (VzW only)")</f>
        <v>IQ (VzW only)</v>
      </c>
      <c r="D59" s="517" t="str">
        <f>IFERROR(__xludf.DUMMYFUNCTION("""COMPUTED_VALUE"""),"Retail Pack")</f>
        <v>Retail Pack</v>
      </c>
      <c r="E59" s="517" t="str">
        <f>IFERROR(__xludf.DUMMYFUNCTION("""COMPUTED_VALUE"""),"IQGA10240-US")</f>
        <v>IQGA10240-US</v>
      </c>
      <c r="F59" s="517" t="str">
        <f>IFERROR(__xludf.DUMMYFUNCTION("""COMPUTED_VALUE"""),"VZW, US")</f>
        <v>VZW, US</v>
      </c>
      <c r="G59" s="517" t="str">
        <f>IFERROR(__xludf.DUMMYFUNCTION("""COMPUTED_VALUE"""),"UVZ")</f>
        <v>UVZ</v>
      </c>
      <c r="H59" s="517" t="str">
        <f>IFERROR(__xludf.DUMMYFUNCTION("""COMPUTED_VALUE"""),"mmWave")</f>
        <v>mmWave</v>
      </c>
      <c r="I59" s="517" t="str">
        <f>IFERROR(__xludf.DUMMYFUNCTION("""COMPUTED_VALUE"""),"CLR4")</f>
        <v>CLR4</v>
      </c>
      <c r="J59" s="517" t="str">
        <f>IFERROR(__xludf.DUMMYFUNCTION("""COMPUTED_VALUE"""),"Ultra Blue")</f>
        <v>Ultra Blue</v>
      </c>
      <c r="K59" s="517" t="str">
        <f>IFERROR(__xludf.DUMMYFUNCTION("""COMPUTED_VALUE"""),"BUE")</f>
        <v>BUE</v>
      </c>
      <c r="L59" s="517" t="str">
        <f>IFERROR(__xludf.DUMMYFUNCTION("""COMPUTED_VALUE"""),"GLBW0")</f>
        <v>GLBW0</v>
      </c>
      <c r="M59" s="517" t="str">
        <f>IFERROR(__xludf.DUMMYFUNCTION("""COMPUTED_VALUE"""),"VZW")</f>
        <v>VZW</v>
      </c>
      <c r="N59" s="517" t="str">
        <f>IFERROR(__xludf.DUMMYFUNCTION("""COMPUTED_VALUE"""),"SKU, CLR4, GOOD, MMWAVE, VZW, US, IQ, FL5")</f>
        <v>SKU, CLR4, GOOD, MMWAVE, VZW, US, IQ, FL5</v>
      </c>
      <c r="O59" s="517" t="str">
        <f>IFERROR(__xludf.DUMMYFUNCTION("""COMPUTED_VALUE"""),"US")</f>
        <v>US</v>
      </c>
      <c r="P59" s="517" t="str">
        <f>IFERROR(__xludf.DUMMYFUNCTION("""COMPUTED_VALUE"""),"128GB")</f>
        <v>128GB</v>
      </c>
      <c r="Q59" s="517"/>
      <c r="R59" s="518" t="str">
        <f>IFERROR(__xludf.DUMMYFUNCTION("""COMPUTED_VALUE"""),"840353928336")</f>
        <v>840353928336</v>
      </c>
      <c r="S59" s="518" t="str">
        <f>IFERROR(__xludf.DUMMYFUNCTION("""COMPUTED_VALUE"""),"0840353928336")</f>
        <v>0840353928336</v>
      </c>
      <c r="T59" s="517" t="str">
        <f>IFERROR(__xludf.DUMMYFUNCTION("""COMPUTED_VALUE"""),"MP")</f>
        <v>MP</v>
      </c>
    </row>
    <row r="60">
      <c r="B60" s="517">
        <f>IFERROR(__xludf.DUMMYFUNCTION("""COMPUTED_VALUE"""),56.0)</f>
        <v>56</v>
      </c>
      <c r="C60" s="517" t="str">
        <f>IFERROR(__xludf.DUMMYFUNCTION("""COMPUTED_VALUE"""),"IQ (VzW only)")</f>
        <v>IQ (VzW only)</v>
      </c>
      <c r="D60" s="517" t="str">
        <f>IFERROR(__xludf.DUMMYFUNCTION("""COMPUTED_VALUE"""),"Retail Pack")</f>
        <v>Retail Pack</v>
      </c>
      <c r="E60" s="517" t="str">
        <f>IFERROR(__xludf.DUMMYFUNCTION("""COMPUTED_VALUE"""),"GA11019-US")</f>
        <v>GA11019-US</v>
      </c>
      <c r="F60" s="517" t="str">
        <f>IFERROR(__xludf.DUMMYFUNCTION("""COMPUTED_VALUE"""),"TMO, US")</f>
        <v>TMO, US</v>
      </c>
      <c r="G60" s="517" t="str">
        <f>IFERROR(__xludf.DUMMYFUNCTION("""COMPUTED_VALUE"""),"UTM")</f>
        <v>UTM</v>
      </c>
      <c r="H60" s="517" t="str">
        <f>IFERROR(__xludf.DUMMYFUNCTION("""COMPUTED_VALUE"""),"mmWave")</f>
        <v>mmWave</v>
      </c>
      <c r="I60" s="517" t="str">
        <f>IFERROR(__xludf.DUMMYFUNCTION("""COMPUTED_VALUE"""),"CLR4")</f>
        <v>CLR4</v>
      </c>
      <c r="J60" s="517" t="str">
        <f>IFERROR(__xludf.DUMMYFUNCTION("""COMPUTED_VALUE"""),"Ultra Blue")</f>
        <v>Ultra Blue</v>
      </c>
      <c r="K60" s="517" t="str">
        <f>IFERROR(__xludf.DUMMYFUNCTION("""COMPUTED_VALUE"""),"BUE")</f>
        <v>BUE</v>
      </c>
      <c r="L60" s="517" t="str">
        <f>IFERROR(__xludf.DUMMYFUNCTION("""COMPUTED_VALUE"""),"GLBW0")</f>
        <v>GLBW0</v>
      </c>
      <c r="M60" s="517" t="str">
        <f>IFERROR(__xludf.DUMMYFUNCTION("""COMPUTED_VALUE"""),"TMO")</f>
        <v>TMO</v>
      </c>
      <c r="N60" s="517" t="str">
        <f>IFERROR(__xludf.DUMMYFUNCTION("""COMPUTED_VALUE"""),"SKU, CLR 4, GOOD, MMWAVE, TMO, IQ, US, FL5")</f>
        <v>SKU, CLR 4, GOOD, MMWAVE, TMO, IQ, US, FL5</v>
      </c>
      <c r="O60" s="517" t="str">
        <f>IFERROR(__xludf.DUMMYFUNCTION("""COMPUTED_VALUE"""),"US")</f>
        <v>US</v>
      </c>
      <c r="P60" s="517" t="str">
        <f>IFERROR(__xludf.DUMMYFUNCTION("""COMPUTED_VALUE"""),"128GB")</f>
        <v>128GB</v>
      </c>
      <c r="Q60" s="518" t="str">
        <f>IFERROR(__xludf.DUMMYFUNCTION("""COMPUTED_VALUE"""),"TBD")</f>
        <v>TBD</v>
      </c>
      <c r="R60" s="518" t="str">
        <f>IFERROR(__xludf.DUMMYFUNCTION("""COMPUTED_VALUE"""),"840353948280")</f>
        <v>840353948280</v>
      </c>
      <c r="S60" s="518" t="str">
        <f>IFERROR(__xludf.DUMMYFUNCTION("""COMPUTED_VALUE"""),"0840353948280")</f>
        <v>0840353948280</v>
      </c>
      <c r="T60" s="517" t="str">
        <f>IFERROR(__xludf.DUMMYFUNCTION("""COMPUTED_VALUE"""),"MP")</f>
        <v>MP</v>
      </c>
    </row>
    <row r="61">
      <c r="B61" s="517">
        <f>IFERROR(__xludf.DUMMYFUNCTION("""COMPUTED_VALUE"""),57.0)</f>
        <v>57</v>
      </c>
      <c r="C61" s="517" t="str">
        <f>IFERROR(__xludf.DUMMYFUNCTION("""COMPUTED_VALUE"""),"IQ (VzW only)")</f>
        <v>IQ (VzW only)</v>
      </c>
      <c r="D61" s="517" t="str">
        <f>IFERROR(__xludf.DUMMYFUNCTION("""COMPUTED_VALUE"""),"Retail Pack")</f>
        <v>Retail Pack</v>
      </c>
      <c r="E61" s="517" t="str">
        <f>IFERROR(__xludf.DUMMYFUNCTION("""COMPUTED_VALUE"""),"IQGA09880-US")</f>
        <v>IQGA09880-US</v>
      </c>
      <c r="F61" s="517" t="str">
        <f>IFERROR(__xludf.DUMMYFUNCTION("""COMPUTED_VALUE"""),"VZW, US")</f>
        <v>VZW, US</v>
      </c>
      <c r="G61" s="517" t="str">
        <f>IFERROR(__xludf.DUMMYFUNCTION("""COMPUTED_VALUE"""),"UVZ")</f>
        <v>UVZ</v>
      </c>
      <c r="H61" s="517" t="str">
        <f>IFERROR(__xludf.DUMMYFUNCTION("""COMPUTED_VALUE"""),"mmWave")</f>
        <v>mmWave</v>
      </c>
      <c r="I61" s="517" t="str">
        <f>IFERROR(__xludf.DUMMYFUNCTION("""COMPUTED_VALUE"""),"CLR1")</f>
        <v>CLR1</v>
      </c>
      <c r="J61" s="517" t="str">
        <f>IFERROR(__xludf.DUMMYFUNCTION("""COMPUTED_VALUE"""),"Midnight Haze")</f>
        <v>Midnight Haze</v>
      </c>
      <c r="K61" s="517" t="str">
        <f>IFERROR(__xludf.DUMMYFUNCTION("""COMPUTED_VALUE"""),"BLK")</f>
        <v>BLK</v>
      </c>
      <c r="L61" s="517" t="str">
        <f>IFERROR(__xludf.DUMMYFUNCTION("""COMPUTED_VALUE"""),"GLBW0")</f>
        <v>GLBW0</v>
      </c>
      <c r="M61" s="517" t="str">
        <f>IFERROR(__xludf.DUMMYFUNCTION("""COMPUTED_VALUE"""),"VZW")</f>
        <v>VZW</v>
      </c>
      <c r="N61" s="517" t="str">
        <f>IFERROR(__xludf.DUMMYFUNCTION("""COMPUTED_VALUE"""),"SKU, CLR1, BETTER, MMWAVE, VZW, US, IQ, FL5")</f>
        <v>SKU, CLR1, BETTER, MMWAVE, VZW, US, IQ, FL5</v>
      </c>
      <c r="O61" s="517" t="str">
        <f>IFERROR(__xludf.DUMMYFUNCTION("""COMPUTED_VALUE"""),"US")</f>
        <v>US</v>
      </c>
      <c r="P61" s="517" t="str">
        <f>IFERROR(__xludf.DUMMYFUNCTION("""COMPUTED_VALUE"""),"256GB")</f>
        <v>256GB</v>
      </c>
      <c r="Q61" s="517"/>
      <c r="R61" s="518" t="str">
        <f>IFERROR(__xludf.DUMMYFUNCTION("""COMPUTED_VALUE"""),"840353928114")</f>
        <v>840353928114</v>
      </c>
      <c r="S61" s="518" t="str">
        <f>IFERROR(__xludf.DUMMYFUNCTION("""COMPUTED_VALUE"""),"0840353928114")</f>
        <v>0840353928114</v>
      </c>
      <c r="T61" s="517" t="str">
        <f>IFERROR(__xludf.DUMMYFUNCTION("""COMPUTED_VALUE"""),"MP")</f>
        <v>MP</v>
      </c>
    </row>
    <row r="62">
      <c r="B62" s="517">
        <f>IFERROR(__xludf.DUMMYFUNCTION("""COMPUTED_VALUE"""),58.0)</f>
        <v>58</v>
      </c>
      <c r="C62" s="517" t="str">
        <f>IFERROR(__xludf.DUMMYFUNCTION("""COMPUTED_VALUE"""),"IQ (VzW only)")</f>
        <v>IQ (VzW only)</v>
      </c>
      <c r="D62" s="517" t="str">
        <f>IFERROR(__xludf.DUMMYFUNCTION("""COMPUTED_VALUE"""),"Retail Pack")</f>
        <v>Retail Pack</v>
      </c>
      <c r="E62" s="517" t="str">
        <f>IFERROR(__xludf.DUMMYFUNCTION("""COMPUTED_VALUE"""),"IQGA10243-US")</f>
        <v>IQGA10243-US</v>
      </c>
      <c r="F62" s="517" t="str">
        <f>IFERROR(__xludf.DUMMYFUNCTION("""COMPUTED_VALUE"""),"VZW, US")</f>
        <v>VZW, US</v>
      </c>
      <c r="G62" s="517" t="str">
        <f>IFERROR(__xludf.DUMMYFUNCTION("""COMPUTED_VALUE"""),"UVZ")</f>
        <v>UVZ</v>
      </c>
      <c r="H62" s="517" t="str">
        <f>IFERROR(__xludf.DUMMYFUNCTION("""COMPUTED_VALUE"""),"mmWave")</f>
        <v>mmWave</v>
      </c>
      <c r="I62" s="517" t="str">
        <f>IFERROR(__xludf.DUMMYFUNCTION("""COMPUTED_VALUE"""),"CLR4")</f>
        <v>CLR4</v>
      </c>
      <c r="J62" s="517" t="str">
        <f>IFERROR(__xludf.DUMMYFUNCTION("""COMPUTED_VALUE"""),"Ultra Blue")</f>
        <v>Ultra Blue</v>
      </c>
      <c r="K62" s="517" t="str">
        <f>IFERROR(__xludf.DUMMYFUNCTION("""COMPUTED_VALUE"""),"BUE")</f>
        <v>BUE</v>
      </c>
      <c r="L62" s="517" t="str">
        <f>IFERROR(__xludf.DUMMYFUNCTION("""COMPUTED_VALUE"""),"GLBW0")</f>
        <v>GLBW0</v>
      </c>
      <c r="M62" s="517" t="str">
        <f>IFERROR(__xludf.DUMMYFUNCTION("""COMPUTED_VALUE"""),"VZW")</f>
        <v>VZW</v>
      </c>
      <c r="N62" s="517" t="str">
        <f>IFERROR(__xludf.DUMMYFUNCTION("""COMPUTED_VALUE"""),"SKU, CLR4, BETTER, MMWAVE, VZW, US, IQ, FL5")</f>
        <v>SKU, CLR4, BETTER, MMWAVE, VZW, US, IQ, FL5</v>
      </c>
      <c r="O62" s="517" t="str">
        <f>IFERROR(__xludf.DUMMYFUNCTION("""COMPUTED_VALUE"""),"US")</f>
        <v>US</v>
      </c>
      <c r="P62" s="517" t="str">
        <f>IFERROR(__xludf.DUMMYFUNCTION("""COMPUTED_VALUE"""),"256GB")</f>
        <v>256GB</v>
      </c>
      <c r="Q62" s="517"/>
      <c r="R62" s="518" t="str">
        <f>IFERROR(__xludf.DUMMYFUNCTION("""COMPUTED_VALUE"""),"840353928145")</f>
        <v>840353928145</v>
      </c>
      <c r="S62" s="518" t="str">
        <f>IFERROR(__xludf.DUMMYFUNCTION("""COMPUTED_VALUE"""),"0840353928145")</f>
        <v>0840353928145</v>
      </c>
      <c r="T62" s="517" t="str">
        <f>IFERROR(__xludf.DUMMYFUNCTION("""COMPUTED_VALUE"""),"MP")</f>
        <v>MP</v>
      </c>
    </row>
    <row r="63">
      <c r="B63" s="517">
        <f>IFERROR(__xludf.DUMMYFUNCTION("""COMPUTED_VALUE"""),59.0)</f>
        <v>59</v>
      </c>
      <c r="C63" s="517" t="str">
        <f>IFERROR(__xludf.DUMMYFUNCTION("""COMPUTED_VALUE"""),"CLNR/FRU")</f>
        <v>CLNR/FRU</v>
      </c>
      <c r="D63" s="517" t="str">
        <f>IFERROR(__xludf.DUMMYFUNCTION("""COMPUTED_VALUE"""),"Bulk Pack")</f>
        <v>Bulk Pack</v>
      </c>
      <c r="E63" s="517" t="str">
        <f>IFERROR(__xludf.DUMMYFUNCTION("""COMPUTED_VALUE"""),"CLNRGOGA09425")</f>
        <v>CLNRGOGA09425</v>
      </c>
      <c r="F63" s="517" t="str">
        <f>IFERROR(__xludf.DUMMYFUNCTION("""COMPUTED_VALUE"""),"VZW, US")</f>
        <v>VZW, US</v>
      </c>
      <c r="G63" s="517" t="str">
        <f>IFERROR(__xludf.DUMMYFUNCTION("""COMPUTED_VALUE"""),"UVZ")</f>
        <v>UVZ</v>
      </c>
      <c r="H63" s="517" t="str">
        <f>IFERROR(__xludf.DUMMYFUNCTION("""COMPUTED_VALUE"""),"mmWave")</f>
        <v>mmWave</v>
      </c>
      <c r="I63" s="517" t="str">
        <f>IFERROR(__xludf.DUMMYFUNCTION("""COMPUTED_VALUE"""),"CLR1")</f>
        <v>CLR1</v>
      </c>
      <c r="J63" s="517" t="str">
        <f>IFERROR(__xludf.DUMMYFUNCTION("""COMPUTED_VALUE"""),"Midnight Haze")</f>
        <v>Midnight Haze</v>
      </c>
      <c r="K63" s="517" t="str">
        <f>IFERROR(__xludf.DUMMYFUNCTION("""COMPUTED_VALUE"""),"BLK")</f>
        <v>BLK</v>
      </c>
      <c r="L63" s="517" t="str">
        <f>IFERROR(__xludf.DUMMYFUNCTION("""COMPUTED_VALUE"""),"GLBW0")</f>
        <v>GLBW0</v>
      </c>
      <c r="M63" s="517" t="str">
        <f>IFERROR(__xludf.DUMMYFUNCTION("""COMPUTED_VALUE"""),"VZW")</f>
        <v>VZW</v>
      </c>
      <c r="N63" s="517" t="str">
        <f>IFERROR(__xludf.DUMMYFUNCTION("""COMPUTED_VALUE"""),"SKU, CLR1, GOOD, MMWAVE, VZW, FL5, FRU")</f>
        <v>SKU, CLR1, GOOD, MMWAVE, VZW, FL5, FRU</v>
      </c>
      <c r="O63" s="517" t="str">
        <f>IFERROR(__xludf.DUMMYFUNCTION("""COMPUTED_VALUE"""),"US")</f>
        <v>US</v>
      </c>
      <c r="P63" s="517" t="str">
        <f>IFERROR(__xludf.DUMMYFUNCTION("""COMPUTED_VALUE"""),"128GB")</f>
        <v>128GB</v>
      </c>
      <c r="Q63" s="517"/>
      <c r="R63" s="518" t="str">
        <f>IFERROR(__xludf.DUMMYFUNCTION("""COMPUTED_VALUE"""),"840353939622")</f>
        <v>840353939622</v>
      </c>
      <c r="S63" s="518" t="str">
        <f>IFERROR(__xludf.DUMMYFUNCTION("""COMPUTED_VALUE"""),"0840353939622")</f>
        <v>0840353939622</v>
      </c>
      <c r="T63" s="517" t="str">
        <f>IFERROR(__xludf.DUMMYFUNCTION("""COMPUTED_VALUE"""),"MP")</f>
        <v>MP</v>
      </c>
    </row>
    <row r="64">
      <c r="B64" s="517">
        <f>IFERROR(__xludf.DUMMYFUNCTION("""COMPUTED_VALUE"""),60.0)</f>
        <v>60</v>
      </c>
      <c r="C64" s="517" t="str">
        <f>IFERROR(__xludf.DUMMYFUNCTION("""COMPUTED_VALUE"""),"CLNR/FRU")</f>
        <v>CLNR/FRU</v>
      </c>
      <c r="D64" s="517" t="str">
        <f>IFERROR(__xludf.DUMMYFUNCTION("""COMPUTED_VALUE"""),"Bulk Pack")</f>
        <v>Bulk Pack</v>
      </c>
      <c r="E64" s="517" t="str">
        <f>IFERROR(__xludf.DUMMYFUNCTION("""COMPUTED_VALUE"""),"CLNRGOGA10238")</f>
        <v>CLNRGOGA10238</v>
      </c>
      <c r="F64" s="517" t="str">
        <f>IFERROR(__xludf.DUMMYFUNCTION("""COMPUTED_VALUE"""),"VZW, US")</f>
        <v>VZW, US</v>
      </c>
      <c r="G64" s="517" t="str">
        <f>IFERROR(__xludf.DUMMYFUNCTION("""COMPUTED_VALUE"""),"UVZ")</f>
        <v>UVZ</v>
      </c>
      <c r="H64" s="517" t="str">
        <f>IFERROR(__xludf.DUMMYFUNCTION("""COMPUTED_VALUE"""),"mmWave")</f>
        <v>mmWave</v>
      </c>
      <c r="I64" s="517" t="str">
        <f>IFERROR(__xludf.DUMMYFUNCTION("""COMPUTED_VALUE"""),"CLR2")</f>
        <v>CLR2</v>
      </c>
      <c r="J64" s="517" t="str">
        <f>IFERROR(__xludf.DUMMYFUNCTION("""COMPUTED_VALUE"""),"Iris")</f>
        <v>Iris</v>
      </c>
      <c r="K64" s="517" t="str">
        <f>IFERROR(__xludf.DUMMYFUNCTION("""COMPUTED_VALUE"""),"PPL")</f>
        <v>PPL</v>
      </c>
      <c r="L64" s="517" t="str">
        <f>IFERROR(__xludf.DUMMYFUNCTION("""COMPUTED_VALUE"""),"GLBW0")</f>
        <v>GLBW0</v>
      </c>
      <c r="M64" s="517" t="str">
        <f>IFERROR(__xludf.DUMMYFUNCTION("""COMPUTED_VALUE"""),"VZW")</f>
        <v>VZW</v>
      </c>
      <c r="N64" s="517" t="str">
        <f>IFERROR(__xludf.DUMMYFUNCTION("""COMPUTED_VALUE"""),"SKU, CLR2, GOOD, MMWAVE, VZW, FL5, FRU")</f>
        <v>SKU, CLR2, GOOD, MMWAVE, VZW, FL5, FRU</v>
      </c>
      <c r="O64" s="517" t="str">
        <f>IFERROR(__xludf.DUMMYFUNCTION("""COMPUTED_VALUE"""),"US")</f>
        <v>US</v>
      </c>
      <c r="P64" s="517" t="str">
        <f>IFERROR(__xludf.DUMMYFUNCTION("""COMPUTED_VALUE"""),"128GB")</f>
        <v>128GB</v>
      </c>
      <c r="Q64" s="517"/>
      <c r="R64" s="518" t="str">
        <f>IFERROR(__xludf.DUMMYFUNCTION("""COMPUTED_VALUE"""),"840353939646")</f>
        <v>840353939646</v>
      </c>
      <c r="S64" s="518" t="str">
        <f>IFERROR(__xludf.DUMMYFUNCTION("""COMPUTED_VALUE"""),"0840353939646")</f>
        <v>0840353939646</v>
      </c>
      <c r="T64" s="517" t="str">
        <f>IFERROR(__xludf.DUMMYFUNCTION("""COMPUTED_VALUE"""),"MP")</f>
        <v>MP</v>
      </c>
    </row>
    <row r="65">
      <c r="B65" s="517">
        <f>IFERROR(__xludf.DUMMYFUNCTION("""COMPUTED_VALUE"""),61.0)</f>
        <v>61</v>
      </c>
      <c r="C65" s="517" t="str">
        <f>IFERROR(__xludf.DUMMYFUNCTION("""COMPUTED_VALUE"""),"CLNR/FRU")</f>
        <v>CLNR/FRU</v>
      </c>
      <c r="D65" s="517" t="str">
        <f>IFERROR(__xludf.DUMMYFUNCTION("""COMPUTED_VALUE"""),"Bulk Pack")</f>
        <v>Bulk Pack</v>
      </c>
      <c r="E65" s="517" t="str">
        <f>IFERROR(__xludf.DUMMYFUNCTION("""COMPUTED_VALUE"""),"CLNRGOGA10239")</f>
        <v>CLNRGOGA10239</v>
      </c>
      <c r="F65" s="517" t="str">
        <f>IFERROR(__xludf.DUMMYFUNCTION("""COMPUTED_VALUE"""),"VZW, US")</f>
        <v>VZW, US</v>
      </c>
      <c r="G65" s="517" t="str">
        <f>IFERROR(__xludf.DUMMYFUNCTION("""COMPUTED_VALUE"""),"UVZ")</f>
        <v>UVZ</v>
      </c>
      <c r="H65" s="517" t="str">
        <f>IFERROR(__xludf.DUMMYFUNCTION("""COMPUTED_VALUE"""),"mmWave")</f>
        <v>mmWave</v>
      </c>
      <c r="I65" s="517" t="str">
        <f>IFERROR(__xludf.DUMMYFUNCTION("""COMPUTED_VALUE"""),"CLR3")</f>
        <v>CLR3</v>
      </c>
      <c r="J65" s="517" t="str">
        <f>IFERROR(__xludf.DUMMYFUNCTION("""COMPUTED_VALUE"""),"Limoncello Midtone")</f>
        <v>Limoncello Midtone</v>
      </c>
      <c r="K65" s="517" t="str">
        <f>IFERROR(__xludf.DUMMYFUNCTION("""COMPUTED_VALUE"""),"YEL")</f>
        <v>YEL</v>
      </c>
      <c r="L65" s="517" t="str">
        <f>IFERROR(__xludf.DUMMYFUNCTION("""COMPUTED_VALUE"""),"GLBW0")</f>
        <v>GLBW0</v>
      </c>
      <c r="M65" s="517" t="str">
        <f>IFERROR(__xludf.DUMMYFUNCTION("""COMPUTED_VALUE"""),"VZW")</f>
        <v>VZW</v>
      </c>
      <c r="N65" s="517" t="str">
        <f>IFERROR(__xludf.DUMMYFUNCTION("""COMPUTED_VALUE"""),"SKU, CLR3, GOOD, MMWAVE, VZW, FL5, FRU")</f>
        <v>SKU, CLR3, GOOD, MMWAVE, VZW, FL5, FRU</v>
      </c>
      <c r="O65" s="517" t="str">
        <f>IFERROR(__xludf.DUMMYFUNCTION("""COMPUTED_VALUE"""),"US")</f>
        <v>US</v>
      </c>
      <c r="P65" s="517" t="str">
        <f>IFERROR(__xludf.DUMMYFUNCTION("""COMPUTED_VALUE"""),"128GB")</f>
        <v>128GB</v>
      </c>
      <c r="Q65" s="517"/>
      <c r="R65" s="518" t="str">
        <f>IFERROR(__xludf.DUMMYFUNCTION("""COMPUTED_VALUE"""),"840353939653")</f>
        <v>840353939653</v>
      </c>
      <c r="S65" s="518" t="str">
        <f>IFERROR(__xludf.DUMMYFUNCTION("""COMPUTED_VALUE"""),"0840353939653")</f>
        <v>0840353939653</v>
      </c>
      <c r="T65" s="517" t="str">
        <f>IFERROR(__xludf.DUMMYFUNCTION("""COMPUTED_VALUE"""),"MP")</f>
        <v>MP</v>
      </c>
    </row>
    <row r="66">
      <c r="B66" s="517">
        <f>IFERROR(__xludf.DUMMYFUNCTION("""COMPUTED_VALUE"""),62.0)</f>
        <v>62</v>
      </c>
      <c r="C66" s="517" t="str">
        <f>IFERROR(__xludf.DUMMYFUNCTION("""COMPUTED_VALUE"""),"CLNR/FRU")</f>
        <v>CLNR/FRU</v>
      </c>
      <c r="D66" s="517" t="str">
        <f>IFERROR(__xludf.DUMMYFUNCTION("""COMPUTED_VALUE"""),"Bulk Pack")</f>
        <v>Bulk Pack</v>
      </c>
      <c r="E66" s="517" t="str">
        <f>IFERROR(__xludf.DUMMYFUNCTION("""COMPUTED_VALUE"""),"CLNRGOGA10240")</f>
        <v>CLNRGOGA10240</v>
      </c>
      <c r="F66" s="517" t="str">
        <f>IFERROR(__xludf.DUMMYFUNCTION("""COMPUTED_VALUE"""),"VZW, US")</f>
        <v>VZW, US</v>
      </c>
      <c r="G66" s="517" t="str">
        <f>IFERROR(__xludf.DUMMYFUNCTION("""COMPUTED_VALUE"""),"UVZ")</f>
        <v>UVZ</v>
      </c>
      <c r="H66" s="517" t="str">
        <f>IFERROR(__xludf.DUMMYFUNCTION("""COMPUTED_VALUE"""),"mmWave")</f>
        <v>mmWave</v>
      </c>
      <c r="I66" s="517" t="str">
        <f>IFERROR(__xludf.DUMMYFUNCTION("""COMPUTED_VALUE"""),"CLR4")</f>
        <v>CLR4</v>
      </c>
      <c r="J66" s="517" t="str">
        <f>IFERROR(__xludf.DUMMYFUNCTION("""COMPUTED_VALUE"""),"Ultra Blue")</f>
        <v>Ultra Blue</v>
      </c>
      <c r="K66" s="517" t="str">
        <f>IFERROR(__xludf.DUMMYFUNCTION("""COMPUTED_VALUE"""),"BUE")</f>
        <v>BUE</v>
      </c>
      <c r="L66" s="517" t="str">
        <f>IFERROR(__xludf.DUMMYFUNCTION("""COMPUTED_VALUE"""),"GLBW0")</f>
        <v>GLBW0</v>
      </c>
      <c r="M66" s="517" t="str">
        <f>IFERROR(__xludf.DUMMYFUNCTION("""COMPUTED_VALUE"""),"VZW")</f>
        <v>VZW</v>
      </c>
      <c r="N66" s="517" t="str">
        <f>IFERROR(__xludf.DUMMYFUNCTION("""COMPUTED_VALUE"""),"SKU, CLR4, GOOD, MMWAVE, VZW, FL5, FRU")</f>
        <v>SKU, CLR4, GOOD, MMWAVE, VZW, FL5, FRU</v>
      </c>
      <c r="O66" s="517" t="str">
        <f>IFERROR(__xludf.DUMMYFUNCTION("""COMPUTED_VALUE"""),"US")</f>
        <v>US</v>
      </c>
      <c r="P66" s="517" t="str">
        <f>IFERROR(__xludf.DUMMYFUNCTION("""COMPUTED_VALUE"""),"128GB")</f>
        <v>128GB</v>
      </c>
      <c r="Q66" s="517"/>
      <c r="R66" s="518" t="str">
        <f>IFERROR(__xludf.DUMMYFUNCTION("""COMPUTED_VALUE"""),"840353939660")</f>
        <v>840353939660</v>
      </c>
      <c r="S66" s="518" t="str">
        <f>IFERROR(__xludf.DUMMYFUNCTION("""COMPUTED_VALUE"""),"0840353939660")</f>
        <v>0840353939660</v>
      </c>
      <c r="T66" s="517" t="str">
        <f>IFERROR(__xludf.DUMMYFUNCTION("""COMPUTED_VALUE"""),"MP")</f>
        <v>MP</v>
      </c>
    </row>
    <row r="67">
      <c r="B67" s="517">
        <f>IFERROR(__xludf.DUMMYFUNCTION("""COMPUTED_VALUE"""),63.0)</f>
        <v>63</v>
      </c>
      <c r="C67" s="517" t="str">
        <f>IFERROR(__xludf.DUMMYFUNCTION("""COMPUTED_VALUE"""),"CLNR/FRU")</f>
        <v>CLNR/FRU</v>
      </c>
      <c r="D67" s="517" t="str">
        <f>IFERROR(__xludf.DUMMYFUNCTION("""COMPUTED_VALUE"""),"Bulk Pack")</f>
        <v>Bulk Pack</v>
      </c>
      <c r="E67" s="517" t="str">
        <f>IFERROR(__xludf.DUMMYFUNCTION("""COMPUTED_VALUE"""),"CLNRGA09862")</f>
        <v>CLNRGA09862</v>
      </c>
      <c r="F67" s="517" t="str">
        <f>IFERROR(__xludf.DUMMYFUNCTION("""COMPUTED_VALUE"""),"TMO, US")</f>
        <v>TMO, US</v>
      </c>
      <c r="G67" s="517" t="str">
        <f>IFERROR(__xludf.DUMMYFUNCTION("""COMPUTED_VALUE"""),"UTM")</f>
        <v>UTM</v>
      </c>
      <c r="H67" s="517" t="str">
        <f>IFERROR(__xludf.DUMMYFUNCTION("""COMPUTED_VALUE"""),"mmWave")</f>
        <v>mmWave</v>
      </c>
      <c r="I67" s="517" t="str">
        <f>IFERROR(__xludf.DUMMYFUNCTION("""COMPUTED_VALUE"""),"CLR1")</f>
        <v>CLR1</v>
      </c>
      <c r="J67" s="517" t="str">
        <f>IFERROR(__xludf.DUMMYFUNCTION("""COMPUTED_VALUE"""),"Midnight Haze")</f>
        <v>Midnight Haze</v>
      </c>
      <c r="K67" s="517" t="str">
        <f>IFERROR(__xludf.DUMMYFUNCTION("""COMPUTED_VALUE"""),"BLK")</f>
        <v>BLK</v>
      </c>
      <c r="L67" s="517" t="str">
        <f>IFERROR(__xludf.DUMMYFUNCTION("""COMPUTED_VALUE"""),"GLBW0")</f>
        <v>GLBW0</v>
      </c>
      <c r="M67" s="517" t="str">
        <f>IFERROR(__xludf.DUMMYFUNCTION("""COMPUTED_VALUE"""),"TMO")</f>
        <v>TMO</v>
      </c>
      <c r="N67" s="517" t="str">
        <f>IFERROR(__xludf.DUMMYFUNCTION("""COMPUTED_VALUE"""),"SKU, CLR1, GOOD, MMWAVE, TMO, FL5, FRU")</f>
        <v>SKU, CLR1, GOOD, MMWAVE, TMO, FL5, FRU</v>
      </c>
      <c r="O67" s="517" t="str">
        <f>IFERROR(__xludf.DUMMYFUNCTION("""COMPUTED_VALUE"""),"US")</f>
        <v>US</v>
      </c>
      <c r="P67" s="517" t="str">
        <f>IFERROR(__xludf.DUMMYFUNCTION("""COMPUTED_VALUE"""),"128GB")</f>
        <v>128GB</v>
      </c>
      <c r="Q67" s="518" t="str">
        <f>IFERROR(__xludf.DUMMYFUNCTION("""COMPUTED_VALUE"""),"TBD")</f>
        <v>TBD</v>
      </c>
      <c r="R67" s="518" t="str">
        <f>IFERROR(__xludf.DUMMYFUNCTION("""COMPUTED_VALUE"""),"840353939318")</f>
        <v>840353939318</v>
      </c>
      <c r="S67" s="518" t="str">
        <f>IFERROR(__xludf.DUMMYFUNCTION("""COMPUTED_VALUE"""),"0840353939318")</f>
        <v>0840353939318</v>
      </c>
      <c r="T67" s="517" t="str">
        <f>IFERROR(__xludf.DUMMYFUNCTION("""COMPUTED_VALUE"""),"MP")</f>
        <v>MP</v>
      </c>
    </row>
    <row r="68">
      <c r="B68" s="517">
        <f>IFERROR(__xludf.DUMMYFUNCTION("""COMPUTED_VALUE"""),64.0)</f>
        <v>64</v>
      </c>
      <c r="C68" s="517" t="str">
        <f>IFERROR(__xludf.DUMMYFUNCTION("""COMPUTED_VALUE"""),"CLNR/FRU")</f>
        <v>CLNR/FRU</v>
      </c>
      <c r="D68" s="517" t="str">
        <f>IFERROR(__xludf.DUMMYFUNCTION("""COMPUTED_VALUE"""),"Bulk Pack")</f>
        <v>Bulk Pack</v>
      </c>
      <c r="E68" s="517" t="str">
        <f>IFERROR(__xludf.DUMMYFUNCTION("""COMPUTED_VALUE"""),"CLNRGA10252")</f>
        <v>CLNRGA10252</v>
      </c>
      <c r="F68" s="517" t="str">
        <f>IFERROR(__xludf.DUMMYFUNCTION("""COMPUTED_VALUE"""),"TMO, US")</f>
        <v>TMO, US</v>
      </c>
      <c r="G68" s="517" t="str">
        <f>IFERROR(__xludf.DUMMYFUNCTION("""COMPUTED_VALUE"""),"UTM")</f>
        <v>UTM</v>
      </c>
      <c r="H68" s="517" t="str">
        <f>IFERROR(__xludf.DUMMYFUNCTION("""COMPUTED_VALUE"""),"mmWave")</f>
        <v>mmWave</v>
      </c>
      <c r="I68" s="517" t="str">
        <f>IFERROR(__xludf.DUMMYFUNCTION("""COMPUTED_VALUE"""),"CLR4")</f>
        <v>CLR4</v>
      </c>
      <c r="J68" s="517" t="str">
        <f>IFERROR(__xludf.DUMMYFUNCTION("""COMPUTED_VALUE"""),"Ultra Blue")</f>
        <v>Ultra Blue</v>
      </c>
      <c r="K68" s="517" t="str">
        <f>IFERROR(__xludf.DUMMYFUNCTION("""COMPUTED_VALUE"""),"BUE")</f>
        <v>BUE</v>
      </c>
      <c r="L68" s="517" t="str">
        <f>IFERROR(__xludf.DUMMYFUNCTION("""COMPUTED_VALUE"""),"GLBW0")</f>
        <v>GLBW0</v>
      </c>
      <c r="M68" s="517" t="str">
        <f>IFERROR(__xludf.DUMMYFUNCTION("""COMPUTED_VALUE"""),"TMO")</f>
        <v>TMO</v>
      </c>
      <c r="N68" s="517" t="str">
        <f>IFERROR(__xludf.DUMMYFUNCTION("""COMPUTED_VALUE"""),"SKU, CLR4, GOOD, MMWAVE, TMO, FL5, FRU")</f>
        <v>SKU, CLR4, GOOD, MMWAVE, TMO, FL5, FRU</v>
      </c>
      <c r="O68" s="517" t="str">
        <f>IFERROR(__xludf.DUMMYFUNCTION("""COMPUTED_VALUE"""),"US")</f>
        <v>US</v>
      </c>
      <c r="P68" s="517" t="str">
        <f>IFERROR(__xludf.DUMMYFUNCTION("""COMPUTED_VALUE"""),"128GB")</f>
        <v>128GB</v>
      </c>
      <c r="Q68" s="518" t="str">
        <f>IFERROR(__xludf.DUMMYFUNCTION("""COMPUTED_VALUE"""),"TBD")</f>
        <v>TBD</v>
      </c>
      <c r="R68" s="518" t="str">
        <f>IFERROR(__xludf.DUMMYFUNCTION("""COMPUTED_VALUE"""),"840353939424")</f>
        <v>840353939424</v>
      </c>
      <c r="S68" s="518" t="str">
        <f>IFERROR(__xludf.DUMMYFUNCTION("""COMPUTED_VALUE"""),"0840353939424")</f>
        <v>0840353939424</v>
      </c>
      <c r="T68" s="517" t="str">
        <f>IFERROR(__xludf.DUMMYFUNCTION("""COMPUTED_VALUE"""),"MP")</f>
        <v>MP</v>
      </c>
    </row>
    <row r="69">
      <c r="B69" s="517">
        <f>IFERROR(__xludf.DUMMYFUNCTION("""COMPUTED_VALUE"""),65.0)</f>
        <v>65</v>
      </c>
      <c r="C69" s="517" t="str">
        <f>IFERROR(__xludf.DUMMYFUNCTION("""COMPUTED_VALUE"""),"CLNR/FRU")</f>
        <v>CLNR/FRU</v>
      </c>
      <c r="D69" s="517" t="str">
        <f>IFERROR(__xludf.DUMMYFUNCTION("""COMPUTED_VALUE"""),"Bulk Pack")</f>
        <v>Bulk Pack</v>
      </c>
      <c r="E69" s="517" t="str">
        <f>IFERROR(__xludf.DUMMYFUNCTION("""COMPUTED_VALUE"""),"CLNRGA09744")</f>
        <v>CLNRGA09744</v>
      </c>
      <c r="F69" s="517" t="str">
        <f>IFERROR(__xludf.DUMMYFUNCTION("""COMPUTED_VALUE"""),"GSTORE, US")</f>
        <v>GSTORE, US</v>
      </c>
      <c r="G69" s="517" t="str">
        <f>IFERROR(__xludf.DUMMYFUNCTION("""COMPUTED_VALUE"""),"UGS")</f>
        <v>UGS</v>
      </c>
      <c r="H69" s="517" t="str">
        <f>IFERROR(__xludf.DUMMYFUNCTION("""COMPUTED_VALUE"""),"mmWave")</f>
        <v>mmWave</v>
      </c>
      <c r="I69" s="517" t="str">
        <f>IFERROR(__xludf.DUMMYFUNCTION("""COMPUTED_VALUE"""),"CLR1")</f>
        <v>CLR1</v>
      </c>
      <c r="J69" s="517" t="str">
        <f>IFERROR(__xludf.DUMMYFUNCTION("""COMPUTED_VALUE"""),"Midnight Haze")</f>
        <v>Midnight Haze</v>
      </c>
      <c r="K69" s="517" t="str">
        <f>IFERROR(__xludf.DUMMYFUNCTION("""COMPUTED_VALUE"""),"BLK")</f>
        <v>BLK</v>
      </c>
      <c r="L69" s="517" t="str">
        <f>IFERROR(__xludf.DUMMYFUNCTION("""COMPUTED_VALUE"""),"GLBW0")</f>
        <v>GLBW0</v>
      </c>
      <c r="M69" s="517" t="str">
        <f>IFERROR(__xludf.DUMMYFUNCTION("""COMPUTED_VALUE"""),"NA")</f>
        <v>NA</v>
      </c>
      <c r="N69" s="517" t="str">
        <f>IFERROR(__xludf.DUMMYFUNCTION("""COMPUTED_VALUE"""),"SKU, CLR1, GOOD, MMWAVE, GSTORE, FL5, FRU")</f>
        <v>SKU, CLR1, GOOD, MMWAVE, GSTORE, FL5, FRU</v>
      </c>
      <c r="O69" s="517">
        <f>IFERROR(__xludf.DUMMYFUNCTION("""COMPUTED_VALUE"""),0.0)</f>
        <v>0</v>
      </c>
      <c r="P69" s="517" t="str">
        <f>IFERROR(__xludf.DUMMYFUNCTION("""COMPUTED_VALUE"""),"128GB")</f>
        <v>128GB</v>
      </c>
      <c r="Q69" s="517"/>
      <c r="R69" s="518" t="str">
        <f>IFERROR(__xludf.DUMMYFUNCTION("""COMPUTED_VALUE"""),"840353939301")</f>
        <v>840353939301</v>
      </c>
      <c r="S69" s="518" t="str">
        <f>IFERROR(__xludf.DUMMYFUNCTION("""COMPUTED_VALUE"""),"0840353939301")</f>
        <v>0840353939301</v>
      </c>
      <c r="T69" s="517" t="str">
        <f>IFERROR(__xludf.DUMMYFUNCTION("""COMPUTED_VALUE"""),"MP")</f>
        <v>MP</v>
      </c>
    </row>
    <row r="70">
      <c r="B70" s="517">
        <f>IFERROR(__xludf.DUMMYFUNCTION("""COMPUTED_VALUE"""),66.0)</f>
        <v>66</v>
      </c>
      <c r="C70" s="517" t="str">
        <f>IFERROR(__xludf.DUMMYFUNCTION("""COMPUTED_VALUE"""),"CLNR/FRU")</f>
        <v>CLNR/FRU</v>
      </c>
      <c r="D70" s="517" t="str">
        <f>IFERROR(__xludf.DUMMYFUNCTION("""COMPUTED_VALUE"""),"Bulk Pack")</f>
        <v>Bulk Pack</v>
      </c>
      <c r="E70" s="517" t="str">
        <f>IFERROR(__xludf.DUMMYFUNCTION("""COMPUTED_VALUE"""),"CLNRGA10214")</f>
        <v>CLNRGA10214</v>
      </c>
      <c r="F70" s="517" t="str">
        <f>IFERROR(__xludf.DUMMYFUNCTION("""COMPUTED_VALUE"""),"GSTORE, US")</f>
        <v>GSTORE, US</v>
      </c>
      <c r="G70" s="517" t="str">
        <f>IFERROR(__xludf.DUMMYFUNCTION("""COMPUTED_VALUE"""),"UGS")</f>
        <v>UGS</v>
      </c>
      <c r="H70" s="517" t="str">
        <f>IFERROR(__xludf.DUMMYFUNCTION("""COMPUTED_VALUE"""),"mmWave")</f>
        <v>mmWave</v>
      </c>
      <c r="I70" s="517" t="str">
        <f>IFERROR(__xludf.DUMMYFUNCTION("""COMPUTED_VALUE"""),"CLR2")</f>
        <v>CLR2</v>
      </c>
      <c r="J70" s="517" t="str">
        <f>IFERROR(__xludf.DUMMYFUNCTION("""COMPUTED_VALUE"""),"Iris")</f>
        <v>Iris</v>
      </c>
      <c r="K70" s="517" t="str">
        <f>IFERROR(__xludf.DUMMYFUNCTION("""COMPUTED_VALUE"""),"PPL")</f>
        <v>PPL</v>
      </c>
      <c r="L70" s="517" t="str">
        <f>IFERROR(__xludf.DUMMYFUNCTION("""COMPUTED_VALUE"""),"GLBW0")</f>
        <v>GLBW0</v>
      </c>
      <c r="M70" s="517" t="str">
        <f>IFERROR(__xludf.DUMMYFUNCTION("""COMPUTED_VALUE"""),"NA")</f>
        <v>NA</v>
      </c>
      <c r="N70" s="517" t="str">
        <f>IFERROR(__xludf.DUMMYFUNCTION("""COMPUTED_VALUE"""),"SKU, CLR2, GOOD, MMWAVE, GSTORE, FL5, FRU")</f>
        <v>SKU, CLR2, GOOD, MMWAVE, GSTORE, FL5, FRU</v>
      </c>
      <c r="O70" s="517">
        <f>IFERROR(__xludf.DUMMYFUNCTION("""COMPUTED_VALUE"""),0.0)</f>
        <v>0</v>
      </c>
      <c r="P70" s="517" t="str">
        <f>IFERROR(__xludf.DUMMYFUNCTION("""COMPUTED_VALUE"""),"128GB")</f>
        <v>128GB</v>
      </c>
      <c r="Q70" s="517"/>
      <c r="R70" s="518" t="str">
        <f>IFERROR(__xludf.DUMMYFUNCTION("""COMPUTED_VALUE"""),"840353939349")</f>
        <v>840353939349</v>
      </c>
      <c r="S70" s="518" t="str">
        <f>IFERROR(__xludf.DUMMYFUNCTION("""COMPUTED_VALUE"""),"0840353939349")</f>
        <v>0840353939349</v>
      </c>
      <c r="T70" s="517" t="str">
        <f>IFERROR(__xludf.DUMMYFUNCTION("""COMPUTED_VALUE"""),"MP")</f>
        <v>MP</v>
      </c>
    </row>
    <row r="71">
      <c r="B71" s="517">
        <f>IFERROR(__xludf.DUMMYFUNCTION("""COMPUTED_VALUE"""),67.0)</f>
        <v>67</v>
      </c>
      <c r="C71" s="517" t="str">
        <f>IFERROR(__xludf.DUMMYFUNCTION("""COMPUTED_VALUE"""),"CLNR/FRU")</f>
        <v>CLNR/FRU</v>
      </c>
      <c r="D71" s="517" t="str">
        <f>IFERROR(__xludf.DUMMYFUNCTION("""COMPUTED_VALUE"""),"Bulk Pack")</f>
        <v>Bulk Pack</v>
      </c>
      <c r="E71" s="517" t="str">
        <f>IFERROR(__xludf.DUMMYFUNCTION("""COMPUTED_VALUE"""),"CLNRGA10215")</f>
        <v>CLNRGA10215</v>
      </c>
      <c r="F71" s="517" t="str">
        <f>IFERROR(__xludf.DUMMYFUNCTION("""COMPUTED_VALUE"""),"GSTORE, US")</f>
        <v>GSTORE, US</v>
      </c>
      <c r="G71" s="517" t="str">
        <f>IFERROR(__xludf.DUMMYFUNCTION("""COMPUTED_VALUE"""),"UGS")</f>
        <v>UGS</v>
      </c>
      <c r="H71" s="517" t="str">
        <f>IFERROR(__xludf.DUMMYFUNCTION("""COMPUTED_VALUE"""),"mmWave")</f>
        <v>mmWave</v>
      </c>
      <c r="I71" s="517" t="str">
        <f>IFERROR(__xludf.DUMMYFUNCTION("""COMPUTED_VALUE"""),"CLR3")</f>
        <v>CLR3</v>
      </c>
      <c r="J71" s="517" t="str">
        <f>IFERROR(__xludf.DUMMYFUNCTION("""COMPUTED_VALUE"""),"Limoncello Midtone")</f>
        <v>Limoncello Midtone</v>
      </c>
      <c r="K71" s="517" t="str">
        <f>IFERROR(__xludf.DUMMYFUNCTION("""COMPUTED_VALUE"""),"YEL")</f>
        <v>YEL</v>
      </c>
      <c r="L71" s="517" t="str">
        <f>IFERROR(__xludf.DUMMYFUNCTION("""COMPUTED_VALUE"""),"GLBW0")</f>
        <v>GLBW0</v>
      </c>
      <c r="M71" s="517" t="str">
        <f>IFERROR(__xludf.DUMMYFUNCTION("""COMPUTED_VALUE"""),"NA")</f>
        <v>NA</v>
      </c>
      <c r="N71" s="517" t="str">
        <f>IFERROR(__xludf.DUMMYFUNCTION("""COMPUTED_VALUE"""),"SKU, CLR3, GOOD, MMWAVE, GSTORE, FL5, FRU")</f>
        <v>SKU, CLR3, GOOD, MMWAVE, GSTORE, FL5, FRU</v>
      </c>
      <c r="O71" s="517">
        <f>IFERROR(__xludf.DUMMYFUNCTION("""COMPUTED_VALUE"""),0.0)</f>
        <v>0</v>
      </c>
      <c r="P71" s="517" t="str">
        <f>IFERROR(__xludf.DUMMYFUNCTION("""COMPUTED_VALUE"""),"128GB")</f>
        <v>128GB</v>
      </c>
      <c r="Q71" s="517"/>
      <c r="R71" s="518" t="str">
        <f>IFERROR(__xludf.DUMMYFUNCTION("""COMPUTED_VALUE"""),"840353939356")</f>
        <v>840353939356</v>
      </c>
      <c r="S71" s="518" t="str">
        <f>IFERROR(__xludf.DUMMYFUNCTION("""COMPUTED_VALUE"""),"0840353939356")</f>
        <v>0840353939356</v>
      </c>
      <c r="T71" s="517" t="str">
        <f>IFERROR(__xludf.DUMMYFUNCTION("""COMPUTED_VALUE"""),"MP")</f>
        <v>MP</v>
      </c>
    </row>
    <row r="72">
      <c r="B72" s="517">
        <f>IFERROR(__xludf.DUMMYFUNCTION("""COMPUTED_VALUE"""),68.0)</f>
        <v>68</v>
      </c>
      <c r="C72" s="517" t="str">
        <f>IFERROR(__xludf.DUMMYFUNCTION("""COMPUTED_VALUE"""),"CLNR/FRU")</f>
        <v>CLNR/FRU</v>
      </c>
      <c r="D72" s="517" t="str">
        <f>IFERROR(__xludf.DUMMYFUNCTION("""COMPUTED_VALUE"""),"Bulk Pack")</f>
        <v>Bulk Pack</v>
      </c>
      <c r="E72" s="517" t="str">
        <f>IFERROR(__xludf.DUMMYFUNCTION("""COMPUTED_VALUE"""),"CLNRGA10216")</f>
        <v>CLNRGA10216</v>
      </c>
      <c r="F72" s="517" t="str">
        <f>IFERROR(__xludf.DUMMYFUNCTION("""COMPUTED_VALUE"""),"GSTORE, US")</f>
        <v>GSTORE, US</v>
      </c>
      <c r="G72" s="517" t="str">
        <f>IFERROR(__xludf.DUMMYFUNCTION("""COMPUTED_VALUE"""),"UGS")</f>
        <v>UGS</v>
      </c>
      <c r="H72" s="517" t="str">
        <f>IFERROR(__xludf.DUMMYFUNCTION("""COMPUTED_VALUE"""),"mmWave")</f>
        <v>mmWave</v>
      </c>
      <c r="I72" s="517" t="str">
        <f>IFERROR(__xludf.DUMMYFUNCTION("""COMPUTED_VALUE"""),"CLR4")</f>
        <v>CLR4</v>
      </c>
      <c r="J72" s="517" t="str">
        <f>IFERROR(__xludf.DUMMYFUNCTION("""COMPUTED_VALUE"""),"Ultra Blue")</f>
        <v>Ultra Blue</v>
      </c>
      <c r="K72" s="517" t="str">
        <f>IFERROR(__xludf.DUMMYFUNCTION("""COMPUTED_VALUE"""),"BUE")</f>
        <v>BUE</v>
      </c>
      <c r="L72" s="517" t="str">
        <f>IFERROR(__xludf.DUMMYFUNCTION("""COMPUTED_VALUE"""),"GLBW0")</f>
        <v>GLBW0</v>
      </c>
      <c r="M72" s="517" t="str">
        <f>IFERROR(__xludf.DUMMYFUNCTION("""COMPUTED_VALUE"""),"NA")</f>
        <v>NA</v>
      </c>
      <c r="N72" s="517" t="str">
        <f>IFERROR(__xludf.DUMMYFUNCTION("""COMPUTED_VALUE"""),"SKU, CLR4, GOOD, MMWAVE, GSTORE, FL5, FRU")</f>
        <v>SKU, CLR4, GOOD, MMWAVE, GSTORE, FL5, FRU</v>
      </c>
      <c r="O72" s="517">
        <f>IFERROR(__xludf.DUMMYFUNCTION("""COMPUTED_VALUE"""),0.0)</f>
        <v>0</v>
      </c>
      <c r="P72" s="517" t="str">
        <f>IFERROR(__xludf.DUMMYFUNCTION("""COMPUTED_VALUE"""),"128GB")</f>
        <v>128GB</v>
      </c>
      <c r="Q72" s="517"/>
      <c r="R72" s="518" t="str">
        <f>IFERROR(__xludf.DUMMYFUNCTION("""COMPUTED_VALUE"""),"840353939363")</f>
        <v>840353939363</v>
      </c>
      <c r="S72" s="518" t="str">
        <f>IFERROR(__xludf.DUMMYFUNCTION("""COMPUTED_VALUE"""),"0840353939363")</f>
        <v>0840353939363</v>
      </c>
      <c r="T72" s="517" t="str">
        <f>IFERROR(__xludf.DUMMYFUNCTION("""COMPUTED_VALUE"""),"MP")</f>
        <v>MP</v>
      </c>
    </row>
    <row r="73">
      <c r="B73" s="517">
        <f>IFERROR(__xludf.DUMMYFUNCTION("""COMPUTED_VALUE"""),69.0)</f>
        <v>69</v>
      </c>
      <c r="C73" s="517" t="str">
        <f>IFERROR(__xludf.DUMMYFUNCTION("""COMPUTED_VALUE"""),"CLNR/FRU")</f>
        <v>CLNR/FRU</v>
      </c>
      <c r="D73" s="517" t="str">
        <f>IFERROR(__xludf.DUMMYFUNCTION("""COMPUTED_VALUE"""),"Bulk Pack")</f>
        <v>Bulk Pack</v>
      </c>
      <c r="E73" s="518" t="str">
        <f>IFERROR(__xludf.DUMMYFUNCTION("""COMPUTED_VALUE"""),"CLNRGA10540")</f>
        <v>CLNRGA10540</v>
      </c>
      <c r="F73" s="517" t="str">
        <f>IFERROR(__xludf.DUMMYFUNCTION("""COMPUTED_VALUE"""),"CA/AU")</f>
        <v>CA/AU</v>
      </c>
      <c r="G73" s="517" t="str">
        <f>IFERROR(__xludf.DUMMYFUNCTION("""COMPUTED_VALUE"""),"NCA")</f>
        <v>NCA</v>
      </c>
      <c r="H73" s="517" t="str">
        <f>IFERROR(__xludf.DUMMYFUNCTION("""COMPUTED_VALUE"""),"Sub6")</f>
        <v>Sub6</v>
      </c>
      <c r="I73" s="517" t="str">
        <f>IFERROR(__xludf.DUMMYFUNCTION("""COMPUTED_VALUE"""),"CLR1")</f>
        <v>CLR1</v>
      </c>
      <c r="J73" s="517" t="str">
        <f>IFERROR(__xludf.DUMMYFUNCTION("""COMPUTED_VALUE"""),"Midnight Haze")</f>
        <v>Midnight Haze</v>
      </c>
      <c r="K73" s="517" t="str">
        <f>IFERROR(__xludf.DUMMYFUNCTION("""COMPUTED_VALUE"""),"BLK")</f>
        <v>BLK</v>
      </c>
      <c r="L73" s="517" t="str">
        <f>IFERROR(__xludf.DUMMYFUNCTION("""COMPUTED_VALUE"""),"GK2MP")</f>
        <v>GK2MP</v>
      </c>
      <c r="M73" s="517" t="str">
        <f>IFERROR(__xludf.DUMMYFUNCTION("""COMPUTED_VALUE"""),"ROW")</f>
        <v>ROW</v>
      </c>
      <c r="N73" s="517" t="str">
        <f>IFERROR(__xludf.DUMMYFUNCTION("""COMPUTED_VALUE"""),"SKU, CLR1, GOOD, SUB6, CA/AU, FL5, FRU")</f>
        <v>SKU, CLR1, GOOD, SUB6, CA/AU, FL5, FRU</v>
      </c>
      <c r="O73" s="517">
        <f>IFERROR(__xludf.DUMMYFUNCTION("""COMPUTED_VALUE"""),0.0)</f>
        <v>0</v>
      </c>
      <c r="P73" s="517" t="str">
        <f>IFERROR(__xludf.DUMMYFUNCTION("""COMPUTED_VALUE"""),"128GB")</f>
        <v>128GB</v>
      </c>
      <c r="Q73" s="517"/>
      <c r="R73" s="518" t="str">
        <f>IFERROR(__xludf.DUMMYFUNCTION("""COMPUTED_VALUE"""),"840353939462")</f>
        <v>840353939462</v>
      </c>
      <c r="S73" s="518" t="str">
        <f>IFERROR(__xludf.DUMMYFUNCTION("""COMPUTED_VALUE"""),"0840353939462")</f>
        <v>0840353939462</v>
      </c>
      <c r="T73" s="517" t="str">
        <f>IFERROR(__xludf.DUMMYFUNCTION("""COMPUTED_VALUE"""),"MP")</f>
        <v>MP</v>
      </c>
    </row>
    <row r="74">
      <c r="B74" s="517">
        <f>IFERROR(__xludf.DUMMYFUNCTION("""COMPUTED_VALUE"""),70.0)</f>
        <v>70</v>
      </c>
      <c r="C74" s="517" t="str">
        <f>IFERROR(__xludf.DUMMYFUNCTION("""COMPUTED_VALUE"""),"CLNR/FRU")</f>
        <v>CLNR/FRU</v>
      </c>
      <c r="D74" s="517" t="str">
        <f>IFERROR(__xludf.DUMMYFUNCTION("""COMPUTED_VALUE"""),"Bulk Pack")</f>
        <v>Bulk Pack</v>
      </c>
      <c r="E74" s="518" t="str">
        <f>IFERROR(__xludf.DUMMYFUNCTION("""COMPUTED_VALUE"""),"CLNRGA10541")</f>
        <v>CLNRGA10541</v>
      </c>
      <c r="F74" s="517" t="str">
        <f>IFERROR(__xludf.DUMMYFUNCTION("""COMPUTED_VALUE"""),"CA/AU")</f>
        <v>CA/AU</v>
      </c>
      <c r="G74" s="517" t="str">
        <f>IFERROR(__xludf.DUMMYFUNCTION("""COMPUTED_VALUE"""),"NCA")</f>
        <v>NCA</v>
      </c>
      <c r="H74" s="517" t="str">
        <f>IFERROR(__xludf.DUMMYFUNCTION("""COMPUTED_VALUE"""),"Sub6")</f>
        <v>Sub6</v>
      </c>
      <c r="I74" s="517" t="str">
        <f>IFERROR(__xludf.DUMMYFUNCTION("""COMPUTED_VALUE"""),"CLR2")</f>
        <v>CLR2</v>
      </c>
      <c r="J74" s="517" t="str">
        <f>IFERROR(__xludf.DUMMYFUNCTION("""COMPUTED_VALUE"""),"Iris")</f>
        <v>Iris</v>
      </c>
      <c r="K74" s="517" t="str">
        <f>IFERROR(__xludf.DUMMYFUNCTION("""COMPUTED_VALUE"""),"PPL")</f>
        <v>PPL</v>
      </c>
      <c r="L74" s="517" t="str">
        <f>IFERROR(__xludf.DUMMYFUNCTION("""COMPUTED_VALUE"""),"GK2MP")</f>
        <v>GK2MP</v>
      </c>
      <c r="M74" s="517" t="str">
        <f>IFERROR(__xludf.DUMMYFUNCTION("""COMPUTED_VALUE"""),"ROW")</f>
        <v>ROW</v>
      </c>
      <c r="N74" s="517" t="str">
        <f>IFERROR(__xludf.DUMMYFUNCTION("""COMPUTED_VALUE"""),"SKU, CLR2, GOOD, SUB6, CA/AU, FL5, FRU")</f>
        <v>SKU, CLR2, GOOD, SUB6, CA/AU, FL5, FRU</v>
      </c>
      <c r="O74" s="517">
        <f>IFERROR(__xludf.DUMMYFUNCTION("""COMPUTED_VALUE"""),0.0)</f>
        <v>0</v>
      </c>
      <c r="P74" s="517" t="str">
        <f>IFERROR(__xludf.DUMMYFUNCTION("""COMPUTED_VALUE"""),"128GB")</f>
        <v>128GB</v>
      </c>
      <c r="Q74" s="517"/>
      <c r="R74" s="518" t="str">
        <f>IFERROR(__xludf.DUMMYFUNCTION("""COMPUTED_VALUE"""),"840353939479")</f>
        <v>840353939479</v>
      </c>
      <c r="S74" s="518" t="str">
        <f>IFERROR(__xludf.DUMMYFUNCTION("""COMPUTED_VALUE"""),"0840353939479")</f>
        <v>0840353939479</v>
      </c>
      <c r="T74" s="517" t="str">
        <f>IFERROR(__xludf.DUMMYFUNCTION("""COMPUTED_VALUE"""),"MP")</f>
        <v>MP</v>
      </c>
    </row>
    <row r="75">
      <c r="B75" s="517">
        <f>IFERROR(__xludf.DUMMYFUNCTION("""COMPUTED_VALUE"""),71.0)</f>
        <v>71</v>
      </c>
      <c r="C75" s="517" t="str">
        <f>IFERROR(__xludf.DUMMYFUNCTION("""COMPUTED_VALUE"""),"CLNR/FRU")</f>
        <v>CLNR/FRU</v>
      </c>
      <c r="D75" s="517" t="str">
        <f>IFERROR(__xludf.DUMMYFUNCTION("""COMPUTED_VALUE"""),"Bulk Pack")</f>
        <v>Bulk Pack</v>
      </c>
      <c r="E75" s="518" t="str">
        <f>IFERROR(__xludf.DUMMYFUNCTION("""COMPUTED_VALUE"""),"CLNRGA10542")</f>
        <v>CLNRGA10542</v>
      </c>
      <c r="F75" s="517" t="str">
        <f>IFERROR(__xludf.DUMMYFUNCTION("""COMPUTED_VALUE"""),"CA/AU")</f>
        <v>CA/AU</v>
      </c>
      <c r="G75" s="517" t="str">
        <f>IFERROR(__xludf.DUMMYFUNCTION("""COMPUTED_VALUE"""),"NCA")</f>
        <v>NCA</v>
      </c>
      <c r="H75" s="517" t="str">
        <f>IFERROR(__xludf.DUMMYFUNCTION("""COMPUTED_VALUE"""),"Sub6")</f>
        <v>Sub6</v>
      </c>
      <c r="I75" s="517" t="str">
        <f>IFERROR(__xludf.DUMMYFUNCTION("""COMPUTED_VALUE"""),"CLR3")</f>
        <v>CLR3</v>
      </c>
      <c r="J75" s="517" t="str">
        <f>IFERROR(__xludf.DUMMYFUNCTION("""COMPUTED_VALUE"""),"Limoncello Midtone")</f>
        <v>Limoncello Midtone</v>
      </c>
      <c r="K75" s="517" t="str">
        <f>IFERROR(__xludf.DUMMYFUNCTION("""COMPUTED_VALUE"""),"YEL")</f>
        <v>YEL</v>
      </c>
      <c r="L75" s="517" t="str">
        <f>IFERROR(__xludf.DUMMYFUNCTION("""COMPUTED_VALUE"""),"GK2MP")</f>
        <v>GK2MP</v>
      </c>
      <c r="M75" s="517" t="str">
        <f>IFERROR(__xludf.DUMMYFUNCTION("""COMPUTED_VALUE"""),"ROW")</f>
        <v>ROW</v>
      </c>
      <c r="N75" s="517" t="str">
        <f>IFERROR(__xludf.DUMMYFUNCTION("""COMPUTED_VALUE"""),"SKU, CLR3, GOOD, SUB6, CA/AU, FL5, FRU")</f>
        <v>SKU, CLR3, GOOD, SUB6, CA/AU, FL5, FRU</v>
      </c>
      <c r="O75" s="517">
        <f>IFERROR(__xludf.DUMMYFUNCTION("""COMPUTED_VALUE"""),0.0)</f>
        <v>0</v>
      </c>
      <c r="P75" s="517" t="str">
        <f>IFERROR(__xludf.DUMMYFUNCTION("""COMPUTED_VALUE"""),"128GB")</f>
        <v>128GB</v>
      </c>
      <c r="Q75" s="517"/>
      <c r="R75" s="518" t="str">
        <f>IFERROR(__xludf.DUMMYFUNCTION("""COMPUTED_VALUE"""),"840353939486")</f>
        <v>840353939486</v>
      </c>
      <c r="S75" s="518" t="str">
        <f>IFERROR(__xludf.DUMMYFUNCTION("""COMPUTED_VALUE"""),"0840353939486")</f>
        <v>0840353939486</v>
      </c>
      <c r="T75" s="517" t="str">
        <f>IFERROR(__xludf.DUMMYFUNCTION("""COMPUTED_VALUE"""),"MP")</f>
        <v>MP</v>
      </c>
    </row>
    <row r="76">
      <c r="B76" s="517">
        <f>IFERROR(__xludf.DUMMYFUNCTION("""COMPUTED_VALUE"""),72.0)</f>
        <v>72</v>
      </c>
      <c r="C76" s="517" t="str">
        <f>IFERROR(__xludf.DUMMYFUNCTION("""COMPUTED_VALUE"""),"CLNR/FRU")</f>
        <v>CLNR/FRU</v>
      </c>
      <c r="D76" s="517" t="str">
        <f>IFERROR(__xludf.DUMMYFUNCTION("""COMPUTED_VALUE"""),"Bulk Pack")</f>
        <v>Bulk Pack</v>
      </c>
      <c r="E76" s="518" t="str">
        <f>IFERROR(__xludf.DUMMYFUNCTION("""COMPUTED_VALUE"""),"CLNRGA10543")</f>
        <v>CLNRGA10543</v>
      </c>
      <c r="F76" s="517" t="str">
        <f>IFERROR(__xludf.DUMMYFUNCTION("""COMPUTED_VALUE"""),"CA/AU")</f>
        <v>CA/AU</v>
      </c>
      <c r="G76" s="517" t="str">
        <f>IFERROR(__xludf.DUMMYFUNCTION("""COMPUTED_VALUE"""),"NCA")</f>
        <v>NCA</v>
      </c>
      <c r="H76" s="517" t="str">
        <f>IFERROR(__xludf.DUMMYFUNCTION("""COMPUTED_VALUE"""),"Sub6")</f>
        <v>Sub6</v>
      </c>
      <c r="I76" s="517" t="str">
        <f>IFERROR(__xludf.DUMMYFUNCTION("""COMPUTED_VALUE"""),"CLR4")</f>
        <v>CLR4</v>
      </c>
      <c r="J76" s="517" t="str">
        <f>IFERROR(__xludf.DUMMYFUNCTION("""COMPUTED_VALUE"""),"Ultra Blue")</f>
        <v>Ultra Blue</v>
      </c>
      <c r="K76" s="517" t="str">
        <f>IFERROR(__xludf.DUMMYFUNCTION("""COMPUTED_VALUE"""),"BUE")</f>
        <v>BUE</v>
      </c>
      <c r="L76" s="517" t="str">
        <f>IFERROR(__xludf.DUMMYFUNCTION("""COMPUTED_VALUE"""),"GK2MP")</f>
        <v>GK2MP</v>
      </c>
      <c r="M76" s="517" t="str">
        <f>IFERROR(__xludf.DUMMYFUNCTION("""COMPUTED_VALUE"""),"ROW")</f>
        <v>ROW</v>
      </c>
      <c r="N76" s="517" t="str">
        <f>IFERROR(__xludf.DUMMYFUNCTION("""COMPUTED_VALUE"""),"SKU, CLR4, GOOD, SUB6, CA/AU, FL5, FRU")</f>
        <v>SKU, CLR4, GOOD, SUB6, CA/AU, FL5, FRU</v>
      </c>
      <c r="O76" s="517">
        <f>IFERROR(__xludf.DUMMYFUNCTION("""COMPUTED_VALUE"""),0.0)</f>
        <v>0</v>
      </c>
      <c r="P76" s="517" t="str">
        <f>IFERROR(__xludf.DUMMYFUNCTION("""COMPUTED_VALUE"""),"128GB")</f>
        <v>128GB</v>
      </c>
      <c r="Q76" s="517"/>
      <c r="R76" s="518" t="str">
        <f>IFERROR(__xludf.DUMMYFUNCTION("""COMPUTED_VALUE"""),"840353939493")</f>
        <v>840353939493</v>
      </c>
      <c r="S76" s="518" t="str">
        <f>IFERROR(__xludf.DUMMYFUNCTION("""COMPUTED_VALUE"""),"0840353939493")</f>
        <v>0840353939493</v>
      </c>
      <c r="T76" s="517" t="str">
        <f>IFERROR(__xludf.DUMMYFUNCTION("""COMPUTED_VALUE"""),"MP")</f>
        <v>MP</v>
      </c>
    </row>
    <row r="77">
      <c r="B77" s="517">
        <f>IFERROR(__xludf.DUMMYFUNCTION("""COMPUTED_VALUE"""),73.0)</f>
        <v>73</v>
      </c>
      <c r="C77" s="517" t="str">
        <f>IFERROR(__xludf.DUMMYFUNCTION("""COMPUTED_VALUE"""),"CLNR/FRU")</f>
        <v>CLNR/FRU</v>
      </c>
      <c r="D77" s="517" t="str">
        <f>IFERROR(__xludf.DUMMYFUNCTION("""COMPUTED_VALUE"""),"Bulk Pack")</f>
        <v>Bulk Pack</v>
      </c>
      <c r="E77" s="517" t="str">
        <f>IFERROR(__xludf.DUMMYFUNCTION("""COMPUTED_VALUE"""),"CLNRGA10548")</f>
        <v>CLNRGA10548</v>
      </c>
      <c r="F77" s="517" t="str">
        <f>IFERROR(__xludf.DUMMYFUNCTION("""COMPUTED_VALUE"""),"UK/EU")</f>
        <v>UK/EU</v>
      </c>
      <c r="G77" s="517" t="str">
        <f>IFERROR(__xludf.DUMMYFUNCTION("""COMPUTED_VALUE"""),"EMA")</f>
        <v>EMA</v>
      </c>
      <c r="H77" s="517" t="str">
        <f>IFERROR(__xludf.DUMMYFUNCTION("""COMPUTED_VALUE"""),"Sub6")</f>
        <v>Sub6</v>
      </c>
      <c r="I77" s="517" t="str">
        <f>IFERROR(__xludf.DUMMYFUNCTION("""COMPUTED_VALUE"""),"CLR1")</f>
        <v>CLR1</v>
      </c>
      <c r="J77" s="517" t="str">
        <f>IFERROR(__xludf.DUMMYFUNCTION("""COMPUTED_VALUE"""),"Midnight Haze")</f>
        <v>Midnight Haze</v>
      </c>
      <c r="K77" s="517" t="str">
        <f>IFERROR(__xludf.DUMMYFUNCTION("""COMPUTED_VALUE"""),"BLK")</f>
        <v>BLK</v>
      </c>
      <c r="L77" s="517" t="str">
        <f>IFERROR(__xludf.DUMMYFUNCTION("""COMPUTED_VALUE"""),"GK2MP
")</f>
        <v>GK2MP
</v>
      </c>
      <c r="M77" s="517" t="str">
        <f>IFERROR(__xludf.DUMMYFUNCTION("""COMPUTED_VALUE"""),"ROW")</f>
        <v>ROW</v>
      </c>
      <c r="N77" s="517" t="str">
        <f>IFERROR(__xludf.DUMMYFUNCTION("""COMPUTED_VALUE"""),"SKU, CLR1, GOOD, SUB6, UK/EU, FL5, FRU")</f>
        <v>SKU, CLR1, GOOD, SUB6, UK/EU, FL5, FRU</v>
      </c>
      <c r="O77" s="517">
        <f>IFERROR(__xludf.DUMMYFUNCTION("""COMPUTED_VALUE"""),0.0)</f>
        <v>0</v>
      </c>
      <c r="P77" s="517" t="str">
        <f>IFERROR(__xludf.DUMMYFUNCTION("""COMPUTED_VALUE"""),"128GB")</f>
        <v>128GB</v>
      </c>
      <c r="Q77" s="517"/>
      <c r="R77" s="518" t="str">
        <f>IFERROR(__xludf.DUMMYFUNCTION("""COMPUTED_VALUE"""),"840353939547")</f>
        <v>840353939547</v>
      </c>
      <c r="S77" s="518" t="str">
        <f>IFERROR(__xludf.DUMMYFUNCTION("""COMPUTED_VALUE"""),"0840353939547")</f>
        <v>0840353939547</v>
      </c>
      <c r="T77" s="517" t="str">
        <f>IFERROR(__xludf.DUMMYFUNCTION("""COMPUTED_VALUE"""),"MP")</f>
        <v>MP</v>
      </c>
    </row>
    <row r="78">
      <c r="B78" s="517">
        <f>IFERROR(__xludf.DUMMYFUNCTION("""COMPUTED_VALUE"""),74.0)</f>
        <v>74</v>
      </c>
      <c r="C78" s="517" t="str">
        <f>IFERROR(__xludf.DUMMYFUNCTION("""COMPUTED_VALUE"""),"CLNR/FRU")</f>
        <v>CLNR/FRU</v>
      </c>
      <c r="D78" s="517" t="str">
        <f>IFERROR(__xludf.DUMMYFUNCTION("""COMPUTED_VALUE"""),"Bulk Pack")</f>
        <v>Bulk Pack</v>
      </c>
      <c r="E78" s="517" t="str">
        <f>IFERROR(__xludf.DUMMYFUNCTION("""COMPUTED_VALUE"""),"CLNRGA10549")</f>
        <v>CLNRGA10549</v>
      </c>
      <c r="F78" s="517" t="str">
        <f>IFERROR(__xludf.DUMMYFUNCTION("""COMPUTED_VALUE"""),"UK/EU")</f>
        <v>UK/EU</v>
      </c>
      <c r="G78" s="517" t="str">
        <f>IFERROR(__xludf.DUMMYFUNCTION("""COMPUTED_VALUE"""),"EMA")</f>
        <v>EMA</v>
      </c>
      <c r="H78" s="517" t="str">
        <f>IFERROR(__xludf.DUMMYFUNCTION("""COMPUTED_VALUE"""),"Sub6")</f>
        <v>Sub6</v>
      </c>
      <c r="I78" s="517" t="str">
        <f>IFERROR(__xludf.DUMMYFUNCTION("""COMPUTED_VALUE"""),"CLR2")</f>
        <v>CLR2</v>
      </c>
      <c r="J78" s="517" t="str">
        <f>IFERROR(__xludf.DUMMYFUNCTION("""COMPUTED_VALUE"""),"Iris")</f>
        <v>Iris</v>
      </c>
      <c r="K78" s="517" t="str">
        <f>IFERROR(__xludf.DUMMYFUNCTION("""COMPUTED_VALUE"""),"PPL")</f>
        <v>PPL</v>
      </c>
      <c r="L78" s="517" t="str">
        <f>IFERROR(__xludf.DUMMYFUNCTION("""COMPUTED_VALUE"""),"GK2MP
")</f>
        <v>GK2MP
</v>
      </c>
      <c r="M78" s="517" t="str">
        <f>IFERROR(__xludf.DUMMYFUNCTION("""COMPUTED_VALUE"""),"ROW")</f>
        <v>ROW</v>
      </c>
      <c r="N78" s="517" t="str">
        <f>IFERROR(__xludf.DUMMYFUNCTION("""COMPUTED_VALUE"""),"SKU, CLR2, GOOD, SUB6, UK/EU, FL5, FRU")</f>
        <v>SKU, CLR2, GOOD, SUB6, UK/EU, FL5, FRU</v>
      </c>
      <c r="O78" s="517">
        <f>IFERROR(__xludf.DUMMYFUNCTION("""COMPUTED_VALUE"""),0.0)</f>
        <v>0</v>
      </c>
      <c r="P78" s="517" t="str">
        <f>IFERROR(__xludf.DUMMYFUNCTION("""COMPUTED_VALUE"""),"128GB")</f>
        <v>128GB</v>
      </c>
      <c r="Q78" s="517"/>
      <c r="R78" s="518" t="str">
        <f>IFERROR(__xludf.DUMMYFUNCTION("""COMPUTED_VALUE"""),"840353939554")</f>
        <v>840353939554</v>
      </c>
      <c r="S78" s="518" t="str">
        <f>IFERROR(__xludf.DUMMYFUNCTION("""COMPUTED_VALUE"""),"0840353939554")</f>
        <v>0840353939554</v>
      </c>
      <c r="T78" s="517" t="str">
        <f>IFERROR(__xludf.DUMMYFUNCTION("""COMPUTED_VALUE"""),"MP")</f>
        <v>MP</v>
      </c>
    </row>
    <row r="79">
      <c r="B79" s="517">
        <f>IFERROR(__xludf.DUMMYFUNCTION("""COMPUTED_VALUE"""),75.0)</f>
        <v>75</v>
      </c>
      <c r="C79" s="517" t="str">
        <f>IFERROR(__xludf.DUMMYFUNCTION("""COMPUTED_VALUE"""),"CLNR/FRU")</f>
        <v>CLNR/FRU</v>
      </c>
      <c r="D79" s="517" t="str">
        <f>IFERROR(__xludf.DUMMYFUNCTION("""COMPUTED_VALUE"""),"Bulk Pack")</f>
        <v>Bulk Pack</v>
      </c>
      <c r="E79" s="517" t="str">
        <f>IFERROR(__xludf.DUMMYFUNCTION("""COMPUTED_VALUE"""),"CLNRGA10550")</f>
        <v>CLNRGA10550</v>
      </c>
      <c r="F79" s="517" t="str">
        <f>IFERROR(__xludf.DUMMYFUNCTION("""COMPUTED_VALUE"""),"UK/EU")</f>
        <v>UK/EU</v>
      </c>
      <c r="G79" s="517" t="str">
        <f>IFERROR(__xludf.DUMMYFUNCTION("""COMPUTED_VALUE"""),"EMA")</f>
        <v>EMA</v>
      </c>
      <c r="H79" s="517" t="str">
        <f>IFERROR(__xludf.DUMMYFUNCTION("""COMPUTED_VALUE"""),"Sub6")</f>
        <v>Sub6</v>
      </c>
      <c r="I79" s="517" t="str">
        <f>IFERROR(__xludf.DUMMYFUNCTION("""COMPUTED_VALUE"""),"CLR3")</f>
        <v>CLR3</v>
      </c>
      <c r="J79" s="517" t="str">
        <f>IFERROR(__xludf.DUMMYFUNCTION("""COMPUTED_VALUE"""),"Limoncello Midtone")</f>
        <v>Limoncello Midtone</v>
      </c>
      <c r="K79" s="517" t="str">
        <f>IFERROR(__xludf.DUMMYFUNCTION("""COMPUTED_VALUE"""),"YEL")</f>
        <v>YEL</v>
      </c>
      <c r="L79" s="517" t="str">
        <f>IFERROR(__xludf.DUMMYFUNCTION("""COMPUTED_VALUE"""),"GK2MP
")</f>
        <v>GK2MP
</v>
      </c>
      <c r="M79" s="517" t="str">
        <f>IFERROR(__xludf.DUMMYFUNCTION("""COMPUTED_VALUE"""),"ROW")</f>
        <v>ROW</v>
      </c>
      <c r="N79" s="517" t="str">
        <f>IFERROR(__xludf.DUMMYFUNCTION("""COMPUTED_VALUE"""),"SKU, CLR3, GOOD, SUB6, UK/EU, FL5, FRU")</f>
        <v>SKU, CLR3, GOOD, SUB6, UK/EU, FL5, FRU</v>
      </c>
      <c r="O79" s="517">
        <f>IFERROR(__xludf.DUMMYFUNCTION("""COMPUTED_VALUE"""),0.0)</f>
        <v>0</v>
      </c>
      <c r="P79" s="517" t="str">
        <f>IFERROR(__xludf.DUMMYFUNCTION("""COMPUTED_VALUE"""),"128GB")</f>
        <v>128GB</v>
      </c>
      <c r="Q79" s="517"/>
      <c r="R79" s="518" t="str">
        <f>IFERROR(__xludf.DUMMYFUNCTION("""COMPUTED_VALUE"""),"840353939561")</f>
        <v>840353939561</v>
      </c>
      <c r="S79" s="518" t="str">
        <f>IFERROR(__xludf.DUMMYFUNCTION("""COMPUTED_VALUE"""),"0840353939561")</f>
        <v>0840353939561</v>
      </c>
      <c r="T79" s="517" t="str">
        <f>IFERROR(__xludf.DUMMYFUNCTION("""COMPUTED_VALUE"""),"MP")</f>
        <v>MP</v>
      </c>
    </row>
    <row r="80">
      <c r="B80" s="517">
        <f>IFERROR(__xludf.DUMMYFUNCTION("""COMPUTED_VALUE"""),76.0)</f>
        <v>76</v>
      </c>
      <c r="C80" s="517" t="str">
        <f>IFERROR(__xludf.DUMMYFUNCTION("""COMPUTED_VALUE"""),"CLNR/FRU")</f>
        <v>CLNR/FRU</v>
      </c>
      <c r="D80" s="517" t="str">
        <f>IFERROR(__xludf.DUMMYFUNCTION("""COMPUTED_VALUE"""),"Bulk Pack")</f>
        <v>Bulk Pack</v>
      </c>
      <c r="E80" s="517" t="str">
        <f>IFERROR(__xludf.DUMMYFUNCTION("""COMPUTED_VALUE"""),"CLNRGA10551")</f>
        <v>CLNRGA10551</v>
      </c>
      <c r="F80" s="517" t="str">
        <f>IFERROR(__xludf.DUMMYFUNCTION("""COMPUTED_VALUE"""),"UK/EU")</f>
        <v>UK/EU</v>
      </c>
      <c r="G80" s="517" t="str">
        <f>IFERROR(__xludf.DUMMYFUNCTION("""COMPUTED_VALUE"""),"EMA")</f>
        <v>EMA</v>
      </c>
      <c r="H80" s="517" t="str">
        <f>IFERROR(__xludf.DUMMYFUNCTION("""COMPUTED_VALUE"""),"Sub6")</f>
        <v>Sub6</v>
      </c>
      <c r="I80" s="517" t="str">
        <f>IFERROR(__xludf.DUMMYFUNCTION("""COMPUTED_VALUE"""),"CLR4")</f>
        <v>CLR4</v>
      </c>
      <c r="J80" s="517" t="str">
        <f>IFERROR(__xludf.DUMMYFUNCTION("""COMPUTED_VALUE"""),"Ultra Blue")</f>
        <v>Ultra Blue</v>
      </c>
      <c r="K80" s="517" t="str">
        <f>IFERROR(__xludf.DUMMYFUNCTION("""COMPUTED_VALUE"""),"BUE")</f>
        <v>BUE</v>
      </c>
      <c r="L80" s="517" t="str">
        <f>IFERROR(__xludf.DUMMYFUNCTION("""COMPUTED_VALUE"""),"GK2MP
")</f>
        <v>GK2MP
</v>
      </c>
      <c r="M80" s="517" t="str">
        <f>IFERROR(__xludf.DUMMYFUNCTION("""COMPUTED_VALUE"""),"ROW")</f>
        <v>ROW</v>
      </c>
      <c r="N80" s="517" t="str">
        <f>IFERROR(__xludf.DUMMYFUNCTION("""COMPUTED_VALUE"""),"SKU, CLR4, GOOD, SUB6, UK/EU, FL5, FRU")</f>
        <v>SKU, CLR4, GOOD, SUB6, UK/EU, FL5, FRU</v>
      </c>
      <c r="O80" s="517">
        <f>IFERROR(__xludf.DUMMYFUNCTION("""COMPUTED_VALUE"""),0.0)</f>
        <v>0</v>
      </c>
      <c r="P80" s="517" t="str">
        <f>IFERROR(__xludf.DUMMYFUNCTION("""COMPUTED_VALUE"""),"128GB")</f>
        <v>128GB</v>
      </c>
      <c r="Q80" s="517"/>
      <c r="R80" s="518" t="str">
        <f>IFERROR(__xludf.DUMMYFUNCTION("""COMPUTED_VALUE"""),"840353939578")</f>
        <v>840353939578</v>
      </c>
      <c r="S80" s="518" t="str">
        <f>IFERROR(__xludf.DUMMYFUNCTION("""COMPUTED_VALUE"""),"0840353939578")</f>
        <v>0840353939578</v>
      </c>
      <c r="T80" s="517" t="str">
        <f>IFERROR(__xludf.DUMMYFUNCTION("""COMPUTED_VALUE"""),"MP")</f>
        <v>MP</v>
      </c>
    </row>
    <row r="81">
      <c r="B81" s="517">
        <f>IFERROR(__xludf.DUMMYFUNCTION("""COMPUTED_VALUE"""),77.0)</f>
        <v>77</v>
      </c>
      <c r="C81" s="517" t="str">
        <f>IFERROR(__xludf.DUMMYFUNCTION("""COMPUTED_VALUE"""),"CLNR/FRU")</f>
        <v>CLNR/FRU</v>
      </c>
      <c r="D81" s="517" t="str">
        <f>IFERROR(__xludf.DUMMYFUNCTION("""COMPUTED_VALUE"""),"Bulk Pack")</f>
        <v>Bulk Pack</v>
      </c>
      <c r="E81" s="517" t="str">
        <f>IFERROR(__xludf.DUMMYFUNCTION("""COMPUTED_VALUE"""),"CLNRGOGA09880")</f>
        <v>CLNRGOGA09880</v>
      </c>
      <c r="F81" s="517" t="str">
        <f>IFERROR(__xludf.DUMMYFUNCTION("""COMPUTED_VALUE"""),"VZW, US")</f>
        <v>VZW, US</v>
      </c>
      <c r="G81" s="517" t="str">
        <f>IFERROR(__xludf.DUMMYFUNCTION("""COMPUTED_VALUE"""),"UVZ")</f>
        <v>UVZ</v>
      </c>
      <c r="H81" s="517" t="str">
        <f>IFERROR(__xludf.DUMMYFUNCTION("""COMPUTED_VALUE"""),"mmWave")</f>
        <v>mmWave</v>
      </c>
      <c r="I81" s="517" t="str">
        <f>IFERROR(__xludf.DUMMYFUNCTION("""COMPUTED_VALUE"""),"CLR1")</f>
        <v>CLR1</v>
      </c>
      <c r="J81" s="517" t="str">
        <f>IFERROR(__xludf.DUMMYFUNCTION("""COMPUTED_VALUE"""),"Midnight Haze")</f>
        <v>Midnight Haze</v>
      </c>
      <c r="K81" s="517" t="str">
        <f>IFERROR(__xludf.DUMMYFUNCTION("""COMPUTED_VALUE"""),"BLK")</f>
        <v>BLK</v>
      </c>
      <c r="L81" s="517" t="str">
        <f>IFERROR(__xludf.DUMMYFUNCTION("""COMPUTED_VALUE"""),"GLBW0")</f>
        <v>GLBW0</v>
      </c>
      <c r="M81" s="517" t="str">
        <f>IFERROR(__xludf.DUMMYFUNCTION("""COMPUTED_VALUE"""),"VZW")</f>
        <v>VZW</v>
      </c>
      <c r="N81" s="517" t="str">
        <f>IFERROR(__xludf.DUMMYFUNCTION("""COMPUTED_VALUE"""),"SKU, CLR1, BETTER, MMWAVE, VZW, FL5, FRU")</f>
        <v>SKU, CLR1, BETTER, MMWAVE, VZW, FL5, FRU</v>
      </c>
      <c r="O81" s="517" t="str">
        <f>IFERROR(__xludf.DUMMYFUNCTION("""COMPUTED_VALUE"""),"US")</f>
        <v>US</v>
      </c>
      <c r="P81" s="517" t="str">
        <f>IFERROR(__xludf.DUMMYFUNCTION("""COMPUTED_VALUE"""),"128GB")</f>
        <v>128GB</v>
      </c>
      <c r="Q81" s="517"/>
      <c r="R81" s="518" t="str">
        <f>IFERROR(__xludf.DUMMYFUNCTION("""COMPUTED_VALUE"""),"840353939639")</f>
        <v>840353939639</v>
      </c>
      <c r="S81" s="518" t="str">
        <f>IFERROR(__xludf.DUMMYFUNCTION("""COMPUTED_VALUE"""),"0840353939639")</f>
        <v>0840353939639</v>
      </c>
      <c r="T81" s="517" t="str">
        <f>IFERROR(__xludf.DUMMYFUNCTION("""COMPUTED_VALUE"""),"MP")</f>
        <v>MP</v>
      </c>
    </row>
    <row r="82">
      <c r="B82" s="517">
        <f>IFERROR(__xludf.DUMMYFUNCTION("""COMPUTED_VALUE"""),78.0)</f>
        <v>78</v>
      </c>
      <c r="C82" s="517" t="str">
        <f>IFERROR(__xludf.DUMMYFUNCTION("""COMPUTED_VALUE"""),"CLNR/FRU")</f>
        <v>CLNR/FRU</v>
      </c>
      <c r="D82" s="517" t="str">
        <f>IFERROR(__xludf.DUMMYFUNCTION("""COMPUTED_VALUE"""),"Bulk Pack")</f>
        <v>Bulk Pack</v>
      </c>
      <c r="E82" s="517" t="str">
        <f>IFERROR(__xludf.DUMMYFUNCTION("""COMPUTED_VALUE"""),"CLNRGOGA10243")</f>
        <v>CLNRGOGA10243</v>
      </c>
      <c r="F82" s="517" t="str">
        <f>IFERROR(__xludf.DUMMYFUNCTION("""COMPUTED_VALUE"""),"VZW, US")</f>
        <v>VZW, US</v>
      </c>
      <c r="G82" s="517" t="str">
        <f>IFERROR(__xludf.DUMMYFUNCTION("""COMPUTED_VALUE"""),"UVZ")</f>
        <v>UVZ</v>
      </c>
      <c r="H82" s="517" t="str">
        <f>IFERROR(__xludf.DUMMYFUNCTION("""COMPUTED_VALUE"""),"mmWave")</f>
        <v>mmWave</v>
      </c>
      <c r="I82" s="517" t="str">
        <f>IFERROR(__xludf.DUMMYFUNCTION("""COMPUTED_VALUE"""),"CLR4")</f>
        <v>CLR4</v>
      </c>
      <c r="J82" s="517" t="str">
        <f>IFERROR(__xludf.DUMMYFUNCTION("""COMPUTED_VALUE"""),"Ultra Blue")</f>
        <v>Ultra Blue</v>
      </c>
      <c r="K82" s="517" t="str">
        <f>IFERROR(__xludf.DUMMYFUNCTION("""COMPUTED_VALUE"""),"BUE")</f>
        <v>BUE</v>
      </c>
      <c r="L82" s="517" t="str">
        <f>IFERROR(__xludf.DUMMYFUNCTION("""COMPUTED_VALUE"""),"GLBW0")</f>
        <v>GLBW0</v>
      </c>
      <c r="M82" s="517" t="str">
        <f>IFERROR(__xludf.DUMMYFUNCTION("""COMPUTED_VALUE"""),"VZW")</f>
        <v>VZW</v>
      </c>
      <c r="N82" s="517" t="str">
        <f>IFERROR(__xludf.DUMMYFUNCTION("""COMPUTED_VALUE"""),"SKU, CLR4, BETTER, MMWAVE, VZW, FL5, FRU")</f>
        <v>SKU, CLR4, BETTER, MMWAVE, VZW, FL5, FRU</v>
      </c>
      <c r="O82" s="517" t="str">
        <f>IFERROR(__xludf.DUMMYFUNCTION("""COMPUTED_VALUE"""),"US")</f>
        <v>US</v>
      </c>
      <c r="P82" s="517" t="str">
        <f>IFERROR(__xludf.DUMMYFUNCTION("""COMPUTED_VALUE"""),"128GB")</f>
        <v>128GB</v>
      </c>
      <c r="Q82" s="517"/>
      <c r="R82" s="518" t="str">
        <f>IFERROR(__xludf.DUMMYFUNCTION("""COMPUTED_VALUE"""),"840353939691")</f>
        <v>840353939691</v>
      </c>
      <c r="S82" s="518" t="str">
        <f>IFERROR(__xludf.DUMMYFUNCTION("""COMPUTED_VALUE"""),"0840353939691")</f>
        <v>0840353939691</v>
      </c>
      <c r="T82" s="517" t="str">
        <f>IFERROR(__xludf.DUMMYFUNCTION("""COMPUTED_VALUE"""),"MP")</f>
        <v>MP</v>
      </c>
    </row>
    <row r="83">
      <c r="B83" s="517">
        <f>IFERROR(__xludf.DUMMYFUNCTION("""COMPUTED_VALUE"""),79.0)</f>
        <v>79</v>
      </c>
      <c r="C83" s="517" t="str">
        <f>IFERROR(__xludf.DUMMYFUNCTION("""COMPUTED_VALUE"""),"CLNR/FRU")</f>
        <v>CLNR/FRU</v>
      </c>
      <c r="D83" s="517" t="str">
        <f>IFERROR(__xludf.DUMMYFUNCTION("""COMPUTED_VALUE"""),"Bulk Pack")</f>
        <v>Bulk Pack</v>
      </c>
      <c r="E83" s="517" t="str">
        <f>IFERROR(__xludf.DUMMYFUNCTION("""COMPUTED_VALUE"""),"CLNRGA09882")</f>
        <v>CLNRGA09882</v>
      </c>
      <c r="F83" s="517" t="str">
        <f>IFERROR(__xludf.DUMMYFUNCTION("""COMPUTED_VALUE"""),"TMO, US")</f>
        <v>TMO, US</v>
      </c>
      <c r="G83" s="517" t="str">
        <f>IFERROR(__xludf.DUMMYFUNCTION("""COMPUTED_VALUE"""),"UTM")</f>
        <v>UTM</v>
      </c>
      <c r="H83" s="517" t="str">
        <f>IFERROR(__xludf.DUMMYFUNCTION("""COMPUTED_VALUE"""),"mmWave")</f>
        <v>mmWave</v>
      </c>
      <c r="I83" s="517" t="str">
        <f>IFERROR(__xludf.DUMMYFUNCTION("""COMPUTED_VALUE"""),"CLR1")</f>
        <v>CLR1</v>
      </c>
      <c r="J83" s="517" t="str">
        <f>IFERROR(__xludf.DUMMYFUNCTION("""COMPUTED_VALUE"""),"Midnight Haze")</f>
        <v>Midnight Haze</v>
      </c>
      <c r="K83" s="517" t="str">
        <f>IFERROR(__xludf.DUMMYFUNCTION("""COMPUTED_VALUE"""),"BLK")</f>
        <v>BLK</v>
      </c>
      <c r="L83" s="517" t="str">
        <f>IFERROR(__xludf.DUMMYFUNCTION("""COMPUTED_VALUE"""),"GLBW0")</f>
        <v>GLBW0</v>
      </c>
      <c r="M83" s="517" t="str">
        <f>IFERROR(__xludf.DUMMYFUNCTION("""COMPUTED_VALUE"""),"TMO")</f>
        <v>TMO</v>
      </c>
      <c r="N83" s="517" t="str">
        <f>IFERROR(__xludf.DUMMYFUNCTION("""COMPUTED_VALUE"""),"SKU, CLR1, BETTER, MMWAVE, TMO, FL5, FRU")</f>
        <v>SKU, CLR1, BETTER, MMWAVE, TMO, FL5, FRU</v>
      </c>
      <c r="O83" s="517" t="str">
        <f>IFERROR(__xludf.DUMMYFUNCTION("""COMPUTED_VALUE"""),"US")</f>
        <v>US</v>
      </c>
      <c r="P83" s="517" t="str">
        <f>IFERROR(__xludf.DUMMYFUNCTION("""COMPUTED_VALUE"""),"128GB")</f>
        <v>128GB</v>
      </c>
      <c r="Q83" s="518" t="str">
        <f>IFERROR(__xludf.DUMMYFUNCTION("""COMPUTED_VALUE"""),"TBD")</f>
        <v>TBD</v>
      </c>
      <c r="R83" s="518" t="str">
        <f>IFERROR(__xludf.DUMMYFUNCTION("""COMPUTED_VALUE"""),"840353939325")</f>
        <v>840353939325</v>
      </c>
      <c r="S83" s="518" t="str">
        <f>IFERROR(__xludf.DUMMYFUNCTION("""COMPUTED_VALUE"""),"0840353939325")</f>
        <v>0840353939325</v>
      </c>
      <c r="T83" s="517" t="str">
        <f>IFERROR(__xludf.DUMMYFUNCTION("""COMPUTED_VALUE"""),"MP")</f>
        <v>MP</v>
      </c>
    </row>
    <row r="84">
      <c r="B84" s="517">
        <f>IFERROR(__xludf.DUMMYFUNCTION("""COMPUTED_VALUE"""),80.0)</f>
        <v>80</v>
      </c>
      <c r="C84" s="517" t="str">
        <f>IFERROR(__xludf.DUMMYFUNCTION("""COMPUTED_VALUE"""),"CLNR/FRU")</f>
        <v>CLNR/FRU</v>
      </c>
      <c r="D84" s="517" t="str">
        <f>IFERROR(__xludf.DUMMYFUNCTION("""COMPUTED_VALUE"""),"Bulk Pack")</f>
        <v>Bulk Pack</v>
      </c>
      <c r="E84" s="517" t="str">
        <f>IFERROR(__xludf.DUMMYFUNCTION("""COMPUTED_VALUE"""),"CLNRGA09883")</f>
        <v>CLNRGA09883</v>
      </c>
      <c r="F84" s="517" t="str">
        <f>IFERROR(__xludf.DUMMYFUNCTION("""COMPUTED_VALUE"""),"GSTORE, US")</f>
        <v>GSTORE, US</v>
      </c>
      <c r="G84" s="517" t="str">
        <f>IFERROR(__xludf.DUMMYFUNCTION("""COMPUTED_VALUE"""),"UGS")</f>
        <v>UGS</v>
      </c>
      <c r="H84" s="517" t="str">
        <f>IFERROR(__xludf.DUMMYFUNCTION("""COMPUTED_VALUE"""),"mmWave")</f>
        <v>mmWave</v>
      </c>
      <c r="I84" s="517" t="str">
        <f>IFERROR(__xludf.DUMMYFUNCTION("""COMPUTED_VALUE"""),"CLR1")</f>
        <v>CLR1</v>
      </c>
      <c r="J84" s="517" t="str">
        <f>IFERROR(__xludf.DUMMYFUNCTION("""COMPUTED_VALUE"""),"Midnight Haze")</f>
        <v>Midnight Haze</v>
      </c>
      <c r="K84" s="517" t="str">
        <f>IFERROR(__xludf.DUMMYFUNCTION("""COMPUTED_VALUE"""),"BLK")</f>
        <v>BLK</v>
      </c>
      <c r="L84" s="517" t="str">
        <f>IFERROR(__xludf.DUMMYFUNCTION("""COMPUTED_VALUE"""),"GLBW0")</f>
        <v>GLBW0</v>
      </c>
      <c r="M84" s="517" t="str">
        <f>IFERROR(__xludf.DUMMYFUNCTION("""COMPUTED_VALUE"""),"NA")</f>
        <v>NA</v>
      </c>
      <c r="N84" s="517" t="str">
        <f>IFERROR(__xludf.DUMMYFUNCTION("""COMPUTED_VALUE"""),"SKU, CLR1, BETTER, MMWAVE, GSTORE, FL5, FRU")</f>
        <v>SKU, CLR1, BETTER, MMWAVE, GSTORE, FL5, FRU</v>
      </c>
      <c r="O84" s="517">
        <f>IFERROR(__xludf.DUMMYFUNCTION("""COMPUTED_VALUE"""),0.0)</f>
        <v>0</v>
      </c>
      <c r="P84" s="517" t="str">
        <f>IFERROR(__xludf.DUMMYFUNCTION("""COMPUTED_VALUE"""),"128GB")</f>
        <v>128GB</v>
      </c>
      <c r="Q84" s="517"/>
      <c r="R84" s="518" t="str">
        <f>IFERROR(__xludf.DUMMYFUNCTION("""COMPUTED_VALUE"""),"840353939332")</f>
        <v>840353939332</v>
      </c>
      <c r="S84" s="518" t="str">
        <f>IFERROR(__xludf.DUMMYFUNCTION("""COMPUTED_VALUE"""),"0840353939332")</f>
        <v>0840353939332</v>
      </c>
      <c r="T84" s="517" t="str">
        <f>IFERROR(__xludf.DUMMYFUNCTION("""COMPUTED_VALUE"""),"MP")</f>
        <v>MP</v>
      </c>
    </row>
    <row r="85">
      <c r="B85" s="517">
        <f>IFERROR(__xludf.DUMMYFUNCTION("""COMPUTED_VALUE"""),81.0)</f>
        <v>81</v>
      </c>
      <c r="C85" s="517" t="str">
        <f>IFERROR(__xludf.DUMMYFUNCTION("""COMPUTED_VALUE"""),"CLNR/FRU")</f>
        <v>CLNR/FRU</v>
      </c>
      <c r="D85" s="517" t="str">
        <f>IFERROR(__xludf.DUMMYFUNCTION("""COMPUTED_VALUE"""),"Bulk Pack")</f>
        <v>Bulk Pack</v>
      </c>
      <c r="E85" s="517" t="str">
        <f>IFERROR(__xludf.DUMMYFUNCTION("""COMPUTED_VALUE"""),"CLNRGA10217")</f>
        <v>CLNRGA10217</v>
      </c>
      <c r="F85" s="517" t="str">
        <f>IFERROR(__xludf.DUMMYFUNCTION("""COMPUTED_VALUE"""),"GSTORE, US")</f>
        <v>GSTORE, US</v>
      </c>
      <c r="G85" s="517" t="str">
        <f>IFERROR(__xludf.DUMMYFUNCTION("""COMPUTED_VALUE"""),"UGS")</f>
        <v>UGS</v>
      </c>
      <c r="H85" s="517" t="str">
        <f>IFERROR(__xludf.DUMMYFUNCTION("""COMPUTED_VALUE"""),"mmWave")</f>
        <v>mmWave</v>
      </c>
      <c r="I85" s="517" t="str">
        <f>IFERROR(__xludf.DUMMYFUNCTION("""COMPUTED_VALUE"""),"CLR2")</f>
        <v>CLR2</v>
      </c>
      <c r="J85" s="517" t="str">
        <f>IFERROR(__xludf.DUMMYFUNCTION("""COMPUTED_VALUE"""),"Iris")</f>
        <v>Iris</v>
      </c>
      <c r="K85" s="517" t="str">
        <f>IFERROR(__xludf.DUMMYFUNCTION("""COMPUTED_VALUE"""),"PPL")</f>
        <v>PPL</v>
      </c>
      <c r="L85" s="517" t="str">
        <f>IFERROR(__xludf.DUMMYFUNCTION("""COMPUTED_VALUE"""),"GLBW0")</f>
        <v>GLBW0</v>
      </c>
      <c r="M85" s="517" t="str">
        <f>IFERROR(__xludf.DUMMYFUNCTION("""COMPUTED_VALUE"""),"NA")</f>
        <v>NA</v>
      </c>
      <c r="N85" s="517" t="str">
        <f>IFERROR(__xludf.DUMMYFUNCTION("""COMPUTED_VALUE"""),"SKU, CLR2, BETTER, MMWAVE, GSTORE, FL5, FRU")</f>
        <v>SKU, CLR2, BETTER, MMWAVE, GSTORE, FL5, FRU</v>
      </c>
      <c r="O85" s="517">
        <f>IFERROR(__xludf.DUMMYFUNCTION("""COMPUTED_VALUE"""),0.0)</f>
        <v>0</v>
      </c>
      <c r="P85" s="517" t="str">
        <f>IFERROR(__xludf.DUMMYFUNCTION("""COMPUTED_VALUE"""),"128GB")</f>
        <v>128GB</v>
      </c>
      <c r="Q85" s="517"/>
      <c r="R85" s="518" t="str">
        <f>IFERROR(__xludf.DUMMYFUNCTION("""COMPUTED_VALUE"""),"840353939370")</f>
        <v>840353939370</v>
      </c>
      <c r="S85" s="518" t="str">
        <f>IFERROR(__xludf.DUMMYFUNCTION("""COMPUTED_VALUE"""),"0840353939370")</f>
        <v>0840353939370</v>
      </c>
      <c r="T85" s="517" t="str">
        <f>IFERROR(__xludf.DUMMYFUNCTION("""COMPUTED_VALUE"""),"MP")</f>
        <v>MP</v>
      </c>
    </row>
    <row r="86">
      <c r="B86" s="517">
        <f>IFERROR(__xludf.DUMMYFUNCTION("""COMPUTED_VALUE"""),82.0)</f>
        <v>82</v>
      </c>
      <c r="C86" s="517" t="str">
        <f>IFERROR(__xludf.DUMMYFUNCTION("""COMPUTED_VALUE"""),"CLNR/FRU")</f>
        <v>CLNR/FRU</v>
      </c>
      <c r="D86" s="517" t="str">
        <f>IFERROR(__xludf.DUMMYFUNCTION("""COMPUTED_VALUE"""),"Bulk Pack")</f>
        <v>Bulk Pack</v>
      </c>
      <c r="E86" s="517" t="str">
        <f>IFERROR(__xludf.DUMMYFUNCTION("""COMPUTED_VALUE"""),"CLNRGA10218")</f>
        <v>CLNRGA10218</v>
      </c>
      <c r="F86" s="517" t="str">
        <f>IFERROR(__xludf.DUMMYFUNCTION("""COMPUTED_VALUE"""),"GSTORE, US")</f>
        <v>GSTORE, US</v>
      </c>
      <c r="G86" s="517" t="str">
        <f>IFERROR(__xludf.DUMMYFUNCTION("""COMPUTED_VALUE"""),"UGS")</f>
        <v>UGS</v>
      </c>
      <c r="H86" s="517" t="str">
        <f>IFERROR(__xludf.DUMMYFUNCTION("""COMPUTED_VALUE"""),"mmWave")</f>
        <v>mmWave</v>
      </c>
      <c r="I86" s="517" t="str">
        <f>IFERROR(__xludf.DUMMYFUNCTION("""COMPUTED_VALUE"""),"CLR3")</f>
        <v>CLR3</v>
      </c>
      <c r="J86" s="517" t="str">
        <f>IFERROR(__xludf.DUMMYFUNCTION("""COMPUTED_VALUE"""),"Limoncello Midtone")</f>
        <v>Limoncello Midtone</v>
      </c>
      <c r="K86" s="517" t="str">
        <f>IFERROR(__xludf.DUMMYFUNCTION("""COMPUTED_VALUE"""),"YEL")</f>
        <v>YEL</v>
      </c>
      <c r="L86" s="517" t="str">
        <f>IFERROR(__xludf.DUMMYFUNCTION("""COMPUTED_VALUE"""),"GLBW0")</f>
        <v>GLBW0</v>
      </c>
      <c r="M86" s="517" t="str">
        <f>IFERROR(__xludf.DUMMYFUNCTION("""COMPUTED_VALUE"""),"NA")</f>
        <v>NA</v>
      </c>
      <c r="N86" s="517" t="str">
        <f>IFERROR(__xludf.DUMMYFUNCTION("""COMPUTED_VALUE"""),"SKU, CLR3, BETTER, MMWAVE, GSTORE, FL5, FRU")</f>
        <v>SKU, CLR3, BETTER, MMWAVE, GSTORE, FL5, FRU</v>
      </c>
      <c r="O86" s="517">
        <f>IFERROR(__xludf.DUMMYFUNCTION("""COMPUTED_VALUE"""),0.0)</f>
        <v>0</v>
      </c>
      <c r="P86" s="517" t="str">
        <f>IFERROR(__xludf.DUMMYFUNCTION("""COMPUTED_VALUE"""),"128GB")</f>
        <v>128GB</v>
      </c>
      <c r="Q86" s="517"/>
      <c r="R86" s="518" t="str">
        <f>IFERROR(__xludf.DUMMYFUNCTION("""COMPUTED_VALUE"""),"840353939387")</f>
        <v>840353939387</v>
      </c>
      <c r="S86" s="518" t="str">
        <f>IFERROR(__xludf.DUMMYFUNCTION("""COMPUTED_VALUE"""),"0840353939387")</f>
        <v>0840353939387</v>
      </c>
      <c r="T86" s="517" t="str">
        <f>IFERROR(__xludf.DUMMYFUNCTION("""COMPUTED_VALUE"""),"MP")</f>
        <v>MP</v>
      </c>
    </row>
    <row r="87">
      <c r="B87" s="517">
        <f>IFERROR(__xludf.DUMMYFUNCTION("""COMPUTED_VALUE"""),83.0)</f>
        <v>83</v>
      </c>
      <c r="C87" s="517" t="str">
        <f>IFERROR(__xludf.DUMMYFUNCTION("""COMPUTED_VALUE"""),"CLNR/FRU")</f>
        <v>CLNR/FRU</v>
      </c>
      <c r="D87" s="517" t="str">
        <f>IFERROR(__xludf.DUMMYFUNCTION("""COMPUTED_VALUE"""),"Bulk Pack")</f>
        <v>Bulk Pack</v>
      </c>
      <c r="E87" s="517" t="str">
        <f>IFERROR(__xludf.DUMMYFUNCTION("""COMPUTED_VALUE"""),"CLNRGA10219")</f>
        <v>CLNRGA10219</v>
      </c>
      <c r="F87" s="517" t="str">
        <f>IFERROR(__xludf.DUMMYFUNCTION("""COMPUTED_VALUE"""),"GSTORE, US")</f>
        <v>GSTORE, US</v>
      </c>
      <c r="G87" s="517" t="str">
        <f>IFERROR(__xludf.DUMMYFUNCTION("""COMPUTED_VALUE"""),"UGS")</f>
        <v>UGS</v>
      </c>
      <c r="H87" s="517" t="str">
        <f>IFERROR(__xludf.DUMMYFUNCTION("""COMPUTED_VALUE"""),"mmWave")</f>
        <v>mmWave</v>
      </c>
      <c r="I87" s="517" t="str">
        <f>IFERROR(__xludf.DUMMYFUNCTION("""COMPUTED_VALUE"""),"CLR4")</f>
        <v>CLR4</v>
      </c>
      <c r="J87" s="517" t="str">
        <f>IFERROR(__xludf.DUMMYFUNCTION("""COMPUTED_VALUE"""),"Ultra Blue")</f>
        <v>Ultra Blue</v>
      </c>
      <c r="K87" s="517" t="str">
        <f>IFERROR(__xludf.DUMMYFUNCTION("""COMPUTED_VALUE"""),"BUE")</f>
        <v>BUE</v>
      </c>
      <c r="L87" s="517" t="str">
        <f>IFERROR(__xludf.DUMMYFUNCTION("""COMPUTED_VALUE"""),"GLBW0")</f>
        <v>GLBW0</v>
      </c>
      <c r="M87" s="517" t="str">
        <f>IFERROR(__xludf.DUMMYFUNCTION("""COMPUTED_VALUE"""),"NA")</f>
        <v>NA</v>
      </c>
      <c r="N87" s="517" t="str">
        <f>IFERROR(__xludf.DUMMYFUNCTION("""COMPUTED_VALUE"""),"SKU, CLR4, BETTER, MMWAVE, GSTORE, FL5, FRU")</f>
        <v>SKU, CLR4, BETTER, MMWAVE, GSTORE, FL5, FRU</v>
      </c>
      <c r="O87" s="517">
        <f>IFERROR(__xludf.DUMMYFUNCTION("""COMPUTED_VALUE"""),0.0)</f>
        <v>0</v>
      </c>
      <c r="P87" s="517" t="str">
        <f>IFERROR(__xludf.DUMMYFUNCTION("""COMPUTED_VALUE"""),"128GB")</f>
        <v>128GB</v>
      </c>
      <c r="Q87" s="517"/>
      <c r="R87" s="518" t="str">
        <f>IFERROR(__xludf.DUMMYFUNCTION("""COMPUTED_VALUE"""),"840353939394")</f>
        <v>840353939394</v>
      </c>
      <c r="S87" s="518" t="str">
        <f>IFERROR(__xludf.DUMMYFUNCTION("""COMPUTED_VALUE"""),"0840353939394")</f>
        <v>0840353939394</v>
      </c>
      <c r="T87" s="517" t="str">
        <f>IFERROR(__xludf.DUMMYFUNCTION("""COMPUTED_VALUE"""),"MP")</f>
        <v>MP</v>
      </c>
    </row>
    <row r="88">
      <c r="B88" s="517">
        <f>IFERROR(__xludf.DUMMYFUNCTION("""COMPUTED_VALUE"""),84.0)</f>
        <v>84</v>
      </c>
      <c r="C88" s="517" t="str">
        <f>IFERROR(__xludf.DUMMYFUNCTION("""COMPUTED_VALUE"""),"CLNR/FRU")</f>
        <v>CLNR/FRU</v>
      </c>
      <c r="D88" s="517" t="str">
        <f>IFERROR(__xludf.DUMMYFUNCTION("""COMPUTED_VALUE"""),"Bulk Pack")</f>
        <v>Bulk Pack</v>
      </c>
      <c r="E88" s="518" t="str">
        <f>IFERROR(__xludf.DUMMYFUNCTION("""COMPUTED_VALUE"""),"CLNRGA10544")</f>
        <v>CLNRGA10544</v>
      </c>
      <c r="F88" s="517" t="str">
        <f>IFERROR(__xludf.DUMMYFUNCTION("""COMPUTED_VALUE"""),"CA/AU")</f>
        <v>CA/AU</v>
      </c>
      <c r="G88" s="517" t="str">
        <f>IFERROR(__xludf.DUMMYFUNCTION("""COMPUTED_VALUE"""),"NCA")</f>
        <v>NCA</v>
      </c>
      <c r="H88" s="517" t="str">
        <f>IFERROR(__xludf.DUMMYFUNCTION("""COMPUTED_VALUE"""),"Sub6")</f>
        <v>Sub6</v>
      </c>
      <c r="I88" s="517" t="str">
        <f>IFERROR(__xludf.DUMMYFUNCTION("""COMPUTED_VALUE"""),"CLR1")</f>
        <v>CLR1</v>
      </c>
      <c r="J88" s="517" t="str">
        <f>IFERROR(__xludf.DUMMYFUNCTION("""COMPUTED_VALUE"""),"Midnight Haze")</f>
        <v>Midnight Haze</v>
      </c>
      <c r="K88" s="517" t="str">
        <f>IFERROR(__xludf.DUMMYFUNCTION("""COMPUTED_VALUE"""),"BLK")</f>
        <v>BLK</v>
      </c>
      <c r="L88" s="517" t="str">
        <f>IFERROR(__xludf.DUMMYFUNCTION("""COMPUTED_VALUE"""),"GK2MP")</f>
        <v>GK2MP</v>
      </c>
      <c r="M88" s="517" t="str">
        <f>IFERROR(__xludf.DUMMYFUNCTION("""COMPUTED_VALUE"""),"ROW")</f>
        <v>ROW</v>
      </c>
      <c r="N88" s="517" t="str">
        <f>IFERROR(__xludf.DUMMYFUNCTION("""COMPUTED_VALUE"""),"SKU, CLR1, BETTER, SUB6, CA/AU, FL5, FRU")</f>
        <v>SKU, CLR1, BETTER, SUB6, CA/AU, FL5, FRU</v>
      </c>
      <c r="O88" s="517">
        <f>IFERROR(__xludf.DUMMYFUNCTION("""COMPUTED_VALUE"""),0.0)</f>
        <v>0</v>
      </c>
      <c r="P88" s="517" t="str">
        <f>IFERROR(__xludf.DUMMYFUNCTION("""COMPUTED_VALUE"""),"128GB")</f>
        <v>128GB</v>
      </c>
      <c r="Q88" s="517"/>
      <c r="R88" s="518" t="str">
        <f>IFERROR(__xludf.DUMMYFUNCTION("""COMPUTED_VALUE"""),"840353939509")</f>
        <v>840353939509</v>
      </c>
      <c r="S88" s="518" t="str">
        <f>IFERROR(__xludf.DUMMYFUNCTION("""COMPUTED_VALUE"""),"0840353939509")</f>
        <v>0840353939509</v>
      </c>
      <c r="T88" s="517" t="str">
        <f>IFERROR(__xludf.DUMMYFUNCTION("""COMPUTED_VALUE"""),"MP")</f>
        <v>MP</v>
      </c>
    </row>
    <row r="89">
      <c r="B89" s="517">
        <f>IFERROR(__xludf.DUMMYFUNCTION("""COMPUTED_VALUE"""),85.0)</f>
        <v>85</v>
      </c>
      <c r="C89" s="517" t="str">
        <f>IFERROR(__xludf.DUMMYFUNCTION("""COMPUTED_VALUE"""),"CLNR/FRU")</f>
        <v>CLNR/FRU</v>
      </c>
      <c r="D89" s="517" t="str">
        <f>IFERROR(__xludf.DUMMYFUNCTION("""COMPUTED_VALUE"""),"Bulk Pack")</f>
        <v>Bulk Pack</v>
      </c>
      <c r="E89" s="518" t="str">
        <f>IFERROR(__xludf.DUMMYFUNCTION("""COMPUTED_VALUE"""),"CLNRGA10545")</f>
        <v>CLNRGA10545</v>
      </c>
      <c r="F89" s="517" t="str">
        <f>IFERROR(__xludf.DUMMYFUNCTION("""COMPUTED_VALUE"""),"CA/AU")</f>
        <v>CA/AU</v>
      </c>
      <c r="G89" s="517" t="str">
        <f>IFERROR(__xludf.DUMMYFUNCTION("""COMPUTED_VALUE"""),"NCA")</f>
        <v>NCA</v>
      </c>
      <c r="H89" s="517" t="str">
        <f>IFERROR(__xludf.DUMMYFUNCTION("""COMPUTED_VALUE"""),"Sub6")</f>
        <v>Sub6</v>
      </c>
      <c r="I89" s="517" t="str">
        <f>IFERROR(__xludf.DUMMYFUNCTION("""COMPUTED_VALUE"""),"CLR2")</f>
        <v>CLR2</v>
      </c>
      <c r="J89" s="517" t="str">
        <f>IFERROR(__xludf.DUMMYFUNCTION("""COMPUTED_VALUE"""),"Iris")</f>
        <v>Iris</v>
      </c>
      <c r="K89" s="517" t="str">
        <f>IFERROR(__xludf.DUMMYFUNCTION("""COMPUTED_VALUE"""),"PPL")</f>
        <v>PPL</v>
      </c>
      <c r="L89" s="517" t="str">
        <f>IFERROR(__xludf.DUMMYFUNCTION("""COMPUTED_VALUE"""),"GK2MP")</f>
        <v>GK2MP</v>
      </c>
      <c r="M89" s="517" t="str">
        <f>IFERROR(__xludf.DUMMYFUNCTION("""COMPUTED_VALUE"""),"ROW")</f>
        <v>ROW</v>
      </c>
      <c r="N89" s="517" t="str">
        <f>IFERROR(__xludf.DUMMYFUNCTION("""COMPUTED_VALUE"""),"SKU, CLR2, BETTER, SUB6, CA/AU, FL5, FRU")</f>
        <v>SKU, CLR2, BETTER, SUB6, CA/AU, FL5, FRU</v>
      </c>
      <c r="O89" s="517">
        <f>IFERROR(__xludf.DUMMYFUNCTION("""COMPUTED_VALUE"""),0.0)</f>
        <v>0</v>
      </c>
      <c r="P89" s="517" t="str">
        <f>IFERROR(__xludf.DUMMYFUNCTION("""COMPUTED_VALUE"""),"128GB")</f>
        <v>128GB</v>
      </c>
      <c r="Q89" s="517"/>
      <c r="R89" s="518" t="str">
        <f>IFERROR(__xludf.DUMMYFUNCTION("""COMPUTED_VALUE"""),"840353939516")</f>
        <v>840353939516</v>
      </c>
      <c r="S89" s="518" t="str">
        <f>IFERROR(__xludf.DUMMYFUNCTION("""COMPUTED_VALUE"""),"0840353939516")</f>
        <v>0840353939516</v>
      </c>
      <c r="T89" s="517" t="str">
        <f>IFERROR(__xludf.DUMMYFUNCTION("""COMPUTED_VALUE"""),"MP")</f>
        <v>MP</v>
      </c>
    </row>
    <row r="90">
      <c r="B90" s="517">
        <f>IFERROR(__xludf.DUMMYFUNCTION("""COMPUTED_VALUE"""),86.0)</f>
        <v>86</v>
      </c>
      <c r="C90" s="517" t="str">
        <f>IFERROR(__xludf.DUMMYFUNCTION("""COMPUTED_VALUE"""),"CLNR/FRU")</f>
        <v>CLNR/FRU</v>
      </c>
      <c r="D90" s="517" t="str">
        <f>IFERROR(__xludf.DUMMYFUNCTION("""COMPUTED_VALUE"""),"Bulk Pack")</f>
        <v>Bulk Pack</v>
      </c>
      <c r="E90" s="518" t="str">
        <f>IFERROR(__xludf.DUMMYFUNCTION("""COMPUTED_VALUE"""),"CLNRGA10546")</f>
        <v>CLNRGA10546</v>
      </c>
      <c r="F90" s="517" t="str">
        <f>IFERROR(__xludf.DUMMYFUNCTION("""COMPUTED_VALUE"""),"CA/AU")</f>
        <v>CA/AU</v>
      </c>
      <c r="G90" s="517" t="str">
        <f>IFERROR(__xludf.DUMMYFUNCTION("""COMPUTED_VALUE"""),"NCA")</f>
        <v>NCA</v>
      </c>
      <c r="H90" s="517" t="str">
        <f>IFERROR(__xludf.DUMMYFUNCTION("""COMPUTED_VALUE"""),"Sub6")</f>
        <v>Sub6</v>
      </c>
      <c r="I90" s="517" t="str">
        <f>IFERROR(__xludf.DUMMYFUNCTION("""COMPUTED_VALUE"""),"CLR3")</f>
        <v>CLR3</v>
      </c>
      <c r="J90" s="517" t="str">
        <f>IFERROR(__xludf.DUMMYFUNCTION("""COMPUTED_VALUE"""),"Limoncello Midtone")</f>
        <v>Limoncello Midtone</v>
      </c>
      <c r="K90" s="517" t="str">
        <f>IFERROR(__xludf.DUMMYFUNCTION("""COMPUTED_VALUE"""),"YEL")</f>
        <v>YEL</v>
      </c>
      <c r="L90" s="517" t="str">
        <f>IFERROR(__xludf.DUMMYFUNCTION("""COMPUTED_VALUE"""),"GK2MP")</f>
        <v>GK2MP</v>
      </c>
      <c r="M90" s="517" t="str">
        <f>IFERROR(__xludf.DUMMYFUNCTION("""COMPUTED_VALUE"""),"ROW")</f>
        <v>ROW</v>
      </c>
      <c r="N90" s="517" t="str">
        <f>IFERROR(__xludf.DUMMYFUNCTION("""COMPUTED_VALUE"""),"SKU, CLR3, BETTER, SUB6, CA/AU, FL5, FRU")</f>
        <v>SKU, CLR3, BETTER, SUB6, CA/AU, FL5, FRU</v>
      </c>
      <c r="O90" s="517">
        <f>IFERROR(__xludf.DUMMYFUNCTION("""COMPUTED_VALUE"""),0.0)</f>
        <v>0</v>
      </c>
      <c r="P90" s="517" t="str">
        <f>IFERROR(__xludf.DUMMYFUNCTION("""COMPUTED_VALUE"""),"128GB")</f>
        <v>128GB</v>
      </c>
      <c r="Q90" s="517"/>
      <c r="R90" s="518" t="str">
        <f>IFERROR(__xludf.DUMMYFUNCTION("""COMPUTED_VALUE"""),"840353939523")</f>
        <v>840353939523</v>
      </c>
      <c r="S90" s="518" t="str">
        <f>IFERROR(__xludf.DUMMYFUNCTION("""COMPUTED_VALUE"""),"0840353939523")</f>
        <v>0840353939523</v>
      </c>
      <c r="T90" s="517" t="str">
        <f>IFERROR(__xludf.DUMMYFUNCTION("""COMPUTED_VALUE"""),"MP")</f>
        <v>MP</v>
      </c>
    </row>
    <row r="91">
      <c r="B91" s="517">
        <f>IFERROR(__xludf.DUMMYFUNCTION("""COMPUTED_VALUE"""),87.0)</f>
        <v>87</v>
      </c>
      <c r="C91" s="517" t="str">
        <f>IFERROR(__xludf.DUMMYFUNCTION("""COMPUTED_VALUE"""),"CLNR/FRU")</f>
        <v>CLNR/FRU</v>
      </c>
      <c r="D91" s="517" t="str">
        <f>IFERROR(__xludf.DUMMYFUNCTION("""COMPUTED_VALUE"""),"Bulk Pack")</f>
        <v>Bulk Pack</v>
      </c>
      <c r="E91" s="518" t="str">
        <f>IFERROR(__xludf.DUMMYFUNCTION("""COMPUTED_VALUE"""),"CLNRGA10547")</f>
        <v>CLNRGA10547</v>
      </c>
      <c r="F91" s="517" t="str">
        <f>IFERROR(__xludf.DUMMYFUNCTION("""COMPUTED_VALUE"""),"CA/AU")</f>
        <v>CA/AU</v>
      </c>
      <c r="G91" s="517" t="str">
        <f>IFERROR(__xludf.DUMMYFUNCTION("""COMPUTED_VALUE"""),"NCA")</f>
        <v>NCA</v>
      </c>
      <c r="H91" s="517" t="str">
        <f>IFERROR(__xludf.DUMMYFUNCTION("""COMPUTED_VALUE"""),"Sub6")</f>
        <v>Sub6</v>
      </c>
      <c r="I91" s="517" t="str">
        <f>IFERROR(__xludf.DUMMYFUNCTION("""COMPUTED_VALUE"""),"CLR4")</f>
        <v>CLR4</v>
      </c>
      <c r="J91" s="517" t="str">
        <f>IFERROR(__xludf.DUMMYFUNCTION("""COMPUTED_VALUE"""),"Ultra Blue")</f>
        <v>Ultra Blue</v>
      </c>
      <c r="K91" s="517" t="str">
        <f>IFERROR(__xludf.DUMMYFUNCTION("""COMPUTED_VALUE"""),"BUE")</f>
        <v>BUE</v>
      </c>
      <c r="L91" s="517" t="str">
        <f>IFERROR(__xludf.DUMMYFUNCTION("""COMPUTED_VALUE"""),"GK2MP")</f>
        <v>GK2MP</v>
      </c>
      <c r="M91" s="517" t="str">
        <f>IFERROR(__xludf.DUMMYFUNCTION("""COMPUTED_VALUE"""),"ROW")</f>
        <v>ROW</v>
      </c>
      <c r="N91" s="517" t="str">
        <f>IFERROR(__xludf.DUMMYFUNCTION("""COMPUTED_VALUE"""),"SKU, CLR4, BETTER, SUB6, CA/AU, FL5, FRU")</f>
        <v>SKU, CLR4, BETTER, SUB6, CA/AU, FL5, FRU</v>
      </c>
      <c r="O91" s="517">
        <f>IFERROR(__xludf.DUMMYFUNCTION("""COMPUTED_VALUE"""),0.0)</f>
        <v>0</v>
      </c>
      <c r="P91" s="517" t="str">
        <f>IFERROR(__xludf.DUMMYFUNCTION("""COMPUTED_VALUE"""),"128GB")</f>
        <v>128GB</v>
      </c>
      <c r="Q91" s="517"/>
      <c r="R91" s="518" t="str">
        <f>IFERROR(__xludf.DUMMYFUNCTION("""COMPUTED_VALUE"""),"840353939530")</f>
        <v>840353939530</v>
      </c>
      <c r="S91" s="518" t="str">
        <f>IFERROR(__xludf.DUMMYFUNCTION("""COMPUTED_VALUE"""),"0840353939530")</f>
        <v>0840353939530</v>
      </c>
      <c r="T91" s="517" t="str">
        <f>IFERROR(__xludf.DUMMYFUNCTION("""COMPUTED_VALUE"""),"MP")</f>
        <v>MP</v>
      </c>
    </row>
    <row r="92">
      <c r="B92" s="517">
        <f>IFERROR(__xludf.DUMMYFUNCTION("""COMPUTED_VALUE"""),88.0)</f>
        <v>88</v>
      </c>
      <c r="C92" s="517" t="str">
        <f>IFERROR(__xludf.DUMMYFUNCTION("""COMPUTED_VALUE"""),"CLNR/FRU")</f>
        <v>CLNR/FRU</v>
      </c>
      <c r="D92" s="517" t="str">
        <f>IFERROR(__xludf.DUMMYFUNCTION("""COMPUTED_VALUE"""),"Bulk Pack")</f>
        <v>Bulk Pack</v>
      </c>
      <c r="E92" s="517" t="str">
        <f>IFERROR(__xludf.DUMMYFUNCTION("""COMPUTED_VALUE"""),"CLNRGA10552")</f>
        <v>CLNRGA10552</v>
      </c>
      <c r="F92" s="517" t="str">
        <f>IFERROR(__xludf.DUMMYFUNCTION("""COMPUTED_VALUE"""),"UK/EU")</f>
        <v>UK/EU</v>
      </c>
      <c r="G92" s="517" t="str">
        <f>IFERROR(__xludf.DUMMYFUNCTION("""COMPUTED_VALUE"""),"EMA")</f>
        <v>EMA</v>
      </c>
      <c r="H92" s="517" t="str">
        <f>IFERROR(__xludf.DUMMYFUNCTION("""COMPUTED_VALUE"""),"Sub6")</f>
        <v>Sub6</v>
      </c>
      <c r="I92" s="517" t="str">
        <f>IFERROR(__xludf.DUMMYFUNCTION("""COMPUTED_VALUE"""),"CLR1")</f>
        <v>CLR1</v>
      </c>
      <c r="J92" s="517" t="str">
        <f>IFERROR(__xludf.DUMMYFUNCTION("""COMPUTED_VALUE"""),"Midnight Haze")</f>
        <v>Midnight Haze</v>
      </c>
      <c r="K92" s="517" t="str">
        <f>IFERROR(__xludf.DUMMYFUNCTION("""COMPUTED_VALUE"""),"BLK")</f>
        <v>BLK</v>
      </c>
      <c r="L92" s="517" t="str">
        <f>IFERROR(__xludf.DUMMYFUNCTION("""COMPUTED_VALUE"""),"GK2MP
")</f>
        <v>GK2MP
</v>
      </c>
      <c r="M92" s="517" t="str">
        <f>IFERROR(__xludf.DUMMYFUNCTION("""COMPUTED_VALUE"""),"ROW")</f>
        <v>ROW</v>
      </c>
      <c r="N92" s="517" t="str">
        <f>IFERROR(__xludf.DUMMYFUNCTION("""COMPUTED_VALUE"""),"SKU, CLR1, BETTER, SUB6, UK/EU, FL5, FRU")</f>
        <v>SKU, CLR1, BETTER, SUB6, UK/EU, FL5, FRU</v>
      </c>
      <c r="O92" s="517">
        <f>IFERROR(__xludf.DUMMYFUNCTION("""COMPUTED_VALUE"""),0.0)</f>
        <v>0</v>
      </c>
      <c r="P92" s="517" t="str">
        <f>IFERROR(__xludf.DUMMYFUNCTION("""COMPUTED_VALUE"""),"128GB")</f>
        <v>128GB</v>
      </c>
      <c r="Q92" s="517"/>
      <c r="R92" s="518" t="str">
        <f>IFERROR(__xludf.DUMMYFUNCTION("""COMPUTED_VALUE"""),"840353939585")</f>
        <v>840353939585</v>
      </c>
      <c r="S92" s="518" t="str">
        <f>IFERROR(__xludf.DUMMYFUNCTION("""COMPUTED_VALUE"""),"0840353939585")</f>
        <v>0840353939585</v>
      </c>
      <c r="T92" s="517" t="str">
        <f>IFERROR(__xludf.DUMMYFUNCTION("""COMPUTED_VALUE"""),"MP")</f>
        <v>MP</v>
      </c>
    </row>
    <row r="93">
      <c r="B93" s="517">
        <f>IFERROR(__xludf.DUMMYFUNCTION("""COMPUTED_VALUE"""),89.0)</f>
        <v>89</v>
      </c>
      <c r="C93" s="517" t="str">
        <f>IFERROR(__xludf.DUMMYFUNCTION("""COMPUTED_VALUE"""),"CLNR/FRU")</f>
        <v>CLNR/FRU</v>
      </c>
      <c r="D93" s="517" t="str">
        <f>IFERROR(__xludf.DUMMYFUNCTION("""COMPUTED_VALUE"""),"Bulk Pack")</f>
        <v>Bulk Pack</v>
      </c>
      <c r="E93" s="517" t="str">
        <f>IFERROR(__xludf.DUMMYFUNCTION("""COMPUTED_VALUE"""),"CLNRGA10553")</f>
        <v>CLNRGA10553</v>
      </c>
      <c r="F93" s="517" t="str">
        <f>IFERROR(__xludf.DUMMYFUNCTION("""COMPUTED_VALUE"""),"UK/EU")</f>
        <v>UK/EU</v>
      </c>
      <c r="G93" s="517" t="str">
        <f>IFERROR(__xludf.DUMMYFUNCTION("""COMPUTED_VALUE"""),"EMA")</f>
        <v>EMA</v>
      </c>
      <c r="H93" s="517" t="str">
        <f>IFERROR(__xludf.DUMMYFUNCTION("""COMPUTED_VALUE"""),"Sub6")</f>
        <v>Sub6</v>
      </c>
      <c r="I93" s="517" t="str">
        <f>IFERROR(__xludf.DUMMYFUNCTION("""COMPUTED_VALUE"""),"CLR2")</f>
        <v>CLR2</v>
      </c>
      <c r="J93" s="517" t="str">
        <f>IFERROR(__xludf.DUMMYFUNCTION("""COMPUTED_VALUE"""),"Iris")</f>
        <v>Iris</v>
      </c>
      <c r="K93" s="517" t="str">
        <f>IFERROR(__xludf.DUMMYFUNCTION("""COMPUTED_VALUE"""),"PPL")</f>
        <v>PPL</v>
      </c>
      <c r="L93" s="517" t="str">
        <f>IFERROR(__xludf.DUMMYFUNCTION("""COMPUTED_VALUE"""),"GK2MP
")</f>
        <v>GK2MP
</v>
      </c>
      <c r="M93" s="517" t="str">
        <f>IFERROR(__xludf.DUMMYFUNCTION("""COMPUTED_VALUE"""),"ROW")</f>
        <v>ROW</v>
      </c>
      <c r="N93" s="517" t="str">
        <f>IFERROR(__xludf.DUMMYFUNCTION("""COMPUTED_VALUE"""),"SKU, CLR2, BETTER, SUB6, UK/EU, FL5, FRU")</f>
        <v>SKU, CLR2, BETTER, SUB6, UK/EU, FL5, FRU</v>
      </c>
      <c r="O93" s="517">
        <f>IFERROR(__xludf.DUMMYFUNCTION("""COMPUTED_VALUE"""),0.0)</f>
        <v>0</v>
      </c>
      <c r="P93" s="517" t="str">
        <f>IFERROR(__xludf.DUMMYFUNCTION("""COMPUTED_VALUE"""),"128GB")</f>
        <v>128GB</v>
      </c>
      <c r="Q93" s="517"/>
      <c r="R93" s="518" t="str">
        <f>IFERROR(__xludf.DUMMYFUNCTION("""COMPUTED_VALUE"""),"840353939592")</f>
        <v>840353939592</v>
      </c>
      <c r="S93" s="518" t="str">
        <f>IFERROR(__xludf.DUMMYFUNCTION("""COMPUTED_VALUE"""),"0840353939592")</f>
        <v>0840353939592</v>
      </c>
      <c r="T93" s="517" t="str">
        <f>IFERROR(__xludf.DUMMYFUNCTION("""COMPUTED_VALUE"""),"MP")</f>
        <v>MP</v>
      </c>
    </row>
    <row r="94">
      <c r="B94" s="517">
        <f>IFERROR(__xludf.DUMMYFUNCTION("""COMPUTED_VALUE"""),90.0)</f>
        <v>90</v>
      </c>
      <c r="C94" s="517" t="str">
        <f>IFERROR(__xludf.DUMMYFUNCTION("""COMPUTED_VALUE"""),"CLNR/FRU")</f>
        <v>CLNR/FRU</v>
      </c>
      <c r="D94" s="517" t="str">
        <f>IFERROR(__xludf.DUMMYFUNCTION("""COMPUTED_VALUE"""),"Bulk Pack")</f>
        <v>Bulk Pack</v>
      </c>
      <c r="E94" s="517" t="str">
        <f>IFERROR(__xludf.DUMMYFUNCTION("""COMPUTED_VALUE"""),"CLNRGA10554")</f>
        <v>CLNRGA10554</v>
      </c>
      <c r="F94" s="517" t="str">
        <f>IFERROR(__xludf.DUMMYFUNCTION("""COMPUTED_VALUE"""),"UK/EU")</f>
        <v>UK/EU</v>
      </c>
      <c r="G94" s="517" t="str">
        <f>IFERROR(__xludf.DUMMYFUNCTION("""COMPUTED_VALUE"""),"EMA")</f>
        <v>EMA</v>
      </c>
      <c r="H94" s="517" t="str">
        <f>IFERROR(__xludf.DUMMYFUNCTION("""COMPUTED_VALUE"""),"Sub6")</f>
        <v>Sub6</v>
      </c>
      <c r="I94" s="517" t="str">
        <f>IFERROR(__xludf.DUMMYFUNCTION("""COMPUTED_VALUE"""),"CLR3")</f>
        <v>CLR3</v>
      </c>
      <c r="J94" s="517" t="str">
        <f>IFERROR(__xludf.DUMMYFUNCTION("""COMPUTED_VALUE"""),"Limoncello Midtone")</f>
        <v>Limoncello Midtone</v>
      </c>
      <c r="K94" s="517" t="str">
        <f>IFERROR(__xludf.DUMMYFUNCTION("""COMPUTED_VALUE"""),"YEL")</f>
        <v>YEL</v>
      </c>
      <c r="L94" s="517" t="str">
        <f>IFERROR(__xludf.DUMMYFUNCTION("""COMPUTED_VALUE"""),"GK2MP
")</f>
        <v>GK2MP
</v>
      </c>
      <c r="M94" s="517" t="str">
        <f>IFERROR(__xludf.DUMMYFUNCTION("""COMPUTED_VALUE"""),"ROW")</f>
        <v>ROW</v>
      </c>
      <c r="N94" s="517" t="str">
        <f>IFERROR(__xludf.DUMMYFUNCTION("""COMPUTED_VALUE"""),"SKU, CLR3, BETTER, SUB6, UK/EU, FL5, FRU")</f>
        <v>SKU, CLR3, BETTER, SUB6, UK/EU, FL5, FRU</v>
      </c>
      <c r="O94" s="517">
        <f>IFERROR(__xludf.DUMMYFUNCTION("""COMPUTED_VALUE"""),0.0)</f>
        <v>0</v>
      </c>
      <c r="P94" s="517" t="str">
        <f>IFERROR(__xludf.DUMMYFUNCTION("""COMPUTED_VALUE"""),"128GB")</f>
        <v>128GB</v>
      </c>
      <c r="Q94" s="517"/>
      <c r="R94" s="518" t="str">
        <f>IFERROR(__xludf.DUMMYFUNCTION("""COMPUTED_VALUE"""),"840353939608")</f>
        <v>840353939608</v>
      </c>
      <c r="S94" s="518" t="str">
        <f>IFERROR(__xludf.DUMMYFUNCTION("""COMPUTED_VALUE"""),"0840353939608")</f>
        <v>0840353939608</v>
      </c>
      <c r="T94" s="517" t="str">
        <f>IFERROR(__xludf.DUMMYFUNCTION("""COMPUTED_VALUE"""),"MP")</f>
        <v>MP</v>
      </c>
    </row>
    <row r="95">
      <c r="B95" s="517">
        <f>IFERROR(__xludf.DUMMYFUNCTION("""COMPUTED_VALUE"""),91.0)</f>
        <v>91</v>
      </c>
      <c r="C95" s="517" t="str">
        <f>IFERROR(__xludf.DUMMYFUNCTION("""COMPUTED_VALUE"""),"CLNR/FRU")</f>
        <v>CLNR/FRU</v>
      </c>
      <c r="D95" s="517" t="str">
        <f>IFERROR(__xludf.DUMMYFUNCTION("""COMPUTED_VALUE"""),"Bulk Pack")</f>
        <v>Bulk Pack</v>
      </c>
      <c r="E95" s="517" t="str">
        <f>IFERROR(__xludf.DUMMYFUNCTION("""COMPUTED_VALUE"""),"CLNRGA10555")</f>
        <v>CLNRGA10555</v>
      </c>
      <c r="F95" s="517" t="str">
        <f>IFERROR(__xludf.DUMMYFUNCTION("""COMPUTED_VALUE"""),"UK/EU")</f>
        <v>UK/EU</v>
      </c>
      <c r="G95" s="517" t="str">
        <f>IFERROR(__xludf.DUMMYFUNCTION("""COMPUTED_VALUE"""),"EMA")</f>
        <v>EMA</v>
      </c>
      <c r="H95" s="517" t="str">
        <f>IFERROR(__xludf.DUMMYFUNCTION("""COMPUTED_VALUE"""),"Sub6")</f>
        <v>Sub6</v>
      </c>
      <c r="I95" s="517" t="str">
        <f>IFERROR(__xludf.DUMMYFUNCTION("""COMPUTED_VALUE"""),"CLR4")</f>
        <v>CLR4</v>
      </c>
      <c r="J95" s="517" t="str">
        <f>IFERROR(__xludf.DUMMYFUNCTION("""COMPUTED_VALUE"""),"Ultra Blue")</f>
        <v>Ultra Blue</v>
      </c>
      <c r="K95" s="517" t="str">
        <f>IFERROR(__xludf.DUMMYFUNCTION("""COMPUTED_VALUE"""),"BUE")</f>
        <v>BUE</v>
      </c>
      <c r="L95" s="517" t="str">
        <f>IFERROR(__xludf.DUMMYFUNCTION("""COMPUTED_VALUE"""),"GK2MP
")</f>
        <v>GK2MP
</v>
      </c>
      <c r="M95" s="517" t="str">
        <f>IFERROR(__xludf.DUMMYFUNCTION("""COMPUTED_VALUE"""),"ROW")</f>
        <v>ROW</v>
      </c>
      <c r="N95" s="517" t="str">
        <f>IFERROR(__xludf.DUMMYFUNCTION("""COMPUTED_VALUE"""),"SKU, CLR4, BETTER, SUB6, UK/EU, FL5, FRU")</f>
        <v>SKU, CLR4, BETTER, SUB6, UK/EU, FL5, FRU</v>
      </c>
      <c r="O95" s="517">
        <f>IFERROR(__xludf.DUMMYFUNCTION("""COMPUTED_VALUE"""),0.0)</f>
        <v>0</v>
      </c>
      <c r="P95" s="517" t="str">
        <f>IFERROR(__xludf.DUMMYFUNCTION("""COMPUTED_VALUE"""),"128GB")</f>
        <v>128GB</v>
      </c>
      <c r="Q95" s="517"/>
      <c r="R95" s="518" t="str">
        <f>IFERROR(__xludf.DUMMYFUNCTION("""COMPUTED_VALUE"""),"840353939615")</f>
        <v>840353939615</v>
      </c>
      <c r="S95" s="518" t="str">
        <f>IFERROR(__xludf.DUMMYFUNCTION("""COMPUTED_VALUE"""),"0840353939615")</f>
        <v>0840353939615</v>
      </c>
      <c r="T95" s="517" t="str">
        <f>IFERROR(__xludf.DUMMYFUNCTION("""COMPUTED_VALUE"""),"MP")</f>
        <v>MP</v>
      </c>
    </row>
    <row r="96">
      <c r="B96" s="517">
        <f>IFERROR(__xludf.DUMMYFUNCTION("""COMPUTED_VALUE"""),92.0)</f>
        <v>92</v>
      </c>
      <c r="C96" s="517" t="str">
        <f>IFERROR(__xludf.DUMMYFUNCTION("""COMPUTED_VALUE"""),"Press- N (MKG)")</f>
        <v>Press- N (MKG)</v>
      </c>
      <c r="D96" s="517" t="str">
        <f>IFERROR(__xludf.DUMMYFUNCTION("""COMPUTED_VALUE"""),"Retail Pack")</f>
        <v>Retail Pack</v>
      </c>
      <c r="E96" s="517" t="str">
        <f>IFERROR(__xludf.DUMMYFUNCTION("""COMPUTED_VALUE"""),"GA09744-US-N")</f>
        <v>GA09744-US-N</v>
      </c>
      <c r="F96" s="517" t="str">
        <f>IFERROR(__xludf.DUMMYFUNCTION("""COMPUTED_VALUE"""),"GSTORE, US")</f>
        <v>GSTORE, US</v>
      </c>
      <c r="G96" s="517" t="str">
        <f>IFERROR(__xludf.DUMMYFUNCTION("""COMPUTED_VALUE"""),"UGS")</f>
        <v>UGS</v>
      </c>
      <c r="H96" s="517" t="str">
        <f>IFERROR(__xludf.DUMMYFUNCTION("""COMPUTED_VALUE"""),"mmWave")</f>
        <v>mmWave</v>
      </c>
      <c r="I96" s="517" t="str">
        <f>IFERROR(__xludf.DUMMYFUNCTION("""COMPUTED_VALUE"""),"CLR1")</f>
        <v>CLR1</v>
      </c>
      <c r="J96" s="517" t="str">
        <f>IFERROR(__xludf.DUMMYFUNCTION("""COMPUTED_VALUE"""),"Midnight Haze")</f>
        <v>Midnight Haze</v>
      </c>
      <c r="K96" s="517" t="str">
        <f>IFERROR(__xludf.DUMMYFUNCTION("""COMPUTED_VALUE"""),"BLK")</f>
        <v>BLK</v>
      </c>
      <c r="L96" s="517" t="str">
        <f>IFERROR(__xludf.DUMMYFUNCTION("""COMPUTED_VALUE"""),"GLBW0")</f>
        <v>GLBW0</v>
      </c>
      <c r="M96" s="517" t="str">
        <f>IFERROR(__xludf.DUMMYFUNCTION("""COMPUTED_VALUE"""),"NA")</f>
        <v>NA</v>
      </c>
      <c r="N96" s="517" t="str">
        <f>IFERROR(__xludf.DUMMYFUNCTION("""COMPUTED_VALUE"""),"SKU, CLR1, GOOD, MMWAVE, GSTORE, US, PRESS, FL5")</f>
        <v>SKU, CLR1, GOOD, MMWAVE, GSTORE, US, PRESS, FL5</v>
      </c>
      <c r="O96" s="517">
        <f>IFERROR(__xludf.DUMMYFUNCTION("""COMPUTED_VALUE"""),0.0)</f>
        <v>0</v>
      </c>
      <c r="P96" s="517" t="str">
        <f>IFERROR(__xludf.DUMMYFUNCTION("""COMPUTED_VALUE"""),"128GB")</f>
        <v>128GB</v>
      </c>
      <c r="Q96" s="517"/>
      <c r="R96" s="518" t="str">
        <f>IFERROR(__xludf.DUMMYFUNCTION("""COMPUTED_VALUE"""),"840353928251")</f>
        <v>840353928251</v>
      </c>
      <c r="S96" s="518" t="str">
        <f>IFERROR(__xludf.DUMMYFUNCTION("""COMPUTED_VALUE"""),"0840353928251")</f>
        <v>0840353928251</v>
      </c>
      <c r="T96" s="517" t="str">
        <f>IFERROR(__xludf.DUMMYFUNCTION("""COMPUTED_VALUE"""),"MP")</f>
        <v>MP</v>
      </c>
    </row>
    <row r="97">
      <c r="B97" s="517">
        <f>IFERROR(__xludf.DUMMYFUNCTION("""COMPUTED_VALUE"""),93.0)</f>
        <v>93</v>
      </c>
      <c r="C97" s="517" t="str">
        <f>IFERROR(__xludf.DUMMYFUNCTION("""COMPUTED_VALUE"""),"Press- N (MKG)")</f>
        <v>Press- N (MKG)</v>
      </c>
      <c r="D97" s="517" t="str">
        <f>IFERROR(__xludf.DUMMYFUNCTION("""COMPUTED_VALUE"""),"Retail Pack")</f>
        <v>Retail Pack</v>
      </c>
      <c r="E97" s="517" t="str">
        <f>IFERROR(__xludf.DUMMYFUNCTION("""COMPUTED_VALUE"""),"GA10214-US-N")</f>
        <v>GA10214-US-N</v>
      </c>
      <c r="F97" s="517" t="str">
        <f>IFERROR(__xludf.DUMMYFUNCTION("""COMPUTED_VALUE"""),"GSTORE, US")</f>
        <v>GSTORE, US</v>
      </c>
      <c r="G97" s="517" t="str">
        <f>IFERROR(__xludf.DUMMYFUNCTION("""COMPUTED_VALUE"""),"UGS")</f>
        <v>UGS</v>
      </c>
      <c r="H97" s="517" t="str">
        <f>IFERROR(__xludf.DUMMYFUNCTION("""COMPUTED_VALUE"""),"mmWave")</f>
        <v>mmWave</v>
      </c>
      <c r="I97" s="517" t="str">
        <f>IFERROR(__xludf.DUMMYFUNCTION("""COMPUTED_VALUE"""),"CLR2")</f>
        <v>CLR2</v>
      </c>
      <c r="J97" s="517" t="str">
        <f>IFERROR(__xludf.DUMMYFUNCTION("""COMPUTED_VALUE"""),"Iris")</f>
        <v>Iris</v>
      </c>
      <c r="K97" s="517" t="str">
        <f>IFERROR(__xludf.DUMMYFUNCTION("""COMPUTED_VALUE"""),"PPL")</f>
        <v>PPL</v>
      </c>
      <c r="L97" s="517" t="str">
        <f>IFERROR(__xludf.DUMMYFUNCTION("""COMPUTED_VALUE"""),"GLBW0")</f>
        <v>GLBW0</v>
      </c>
      <c r="M97" s="517" t="str">
        <f>IFERROR(__xludf.DUMMYFUNCTION("""COMPUTED_VALUE"""),"NA")</f>
        <v>NA</v>
      </c>
      <c r="N97" s="517" t="str">
        <f>IFERROR(__xludf.DUMMYFUNCTION("""COMPUTED_VALUE"""),"SKU, CLR2, GOOD, MMWAVE, GSTORE, US, PRESS, FL5")</f>
        <v>SKU, CLR2, GOOD, MMWAVE, GSTORE, US, PRESS, FL5</v>
      </c>
      <c r="O97" s="517">
        <f>IFERROR(__xludf.DUMMYFUNCTION("""COMPUTED_VALUE"""),0.0)</f>
        <v>0</v>
      </c>
      <c r="P97" s="517" t="str">
        <f>IFERROR(__xludf.DUMMYFUNCTION("""COMPUTED_VALUE"""),"128GB")</f>
        <v>128GB</v>
      </c>
      <c r="Q97" s="517"/>
      <c r="R97" s="518" t="str">
        <f>IFERROR(__xludf.DUMMYFUNCTION("""COMPUTED_VALUE"""),"840353928268")</f>
        <v>840353928268</v>
      </c>
      <c r="S97" s="518" t="str">
        <f>IFERROR(__xludf.DUMMYFUNCTION("""COMPUTED_VALUE"""),"0840353928268")</f>
        <v>0840353928268</v>
      </c>
      <c r="T97" s="517" t="str">
        <f>IFERROR(__xludf.DUMMYFUNCTION("""COMPUTED_VALUE"""),"MP")</f>
        <v>MP</v>
      </c>
    </row>
    <row r="98">
      <c r="B98" s="517">
        <f>IFERROR(__xludf.DUMMYFUNCTION("""COMPUTED_VALUE"""),94.0)</f>
        <v>94</v>
      </c>
      <c r="C98" s="517" t="str">
        <f>IFERROR(__xludf.DUMMYFUNCTION("""COMPUTED_VALUE"""),"Press- N (MKG)")</f>
        <v>Press- N (MKG)</v>
      </c>
      <c r="D98" s="517" t="str">
        <f>IFERROR(__xludf.DUMMYFUNCTION("""COMPUTED_VALUE"""),"Retail Pack")</f>
        <v>Retail Pack</v>
      </c>
      <c r="E98" s="517" t="str">
        <f>IFERROR(__xludf.DUMMYFUNCTION("""COMPUTED_VALUE"""),"GA10215-US-N")</f>
        <v>GA10215-US-N</v>
      </c>
      <c r="F98" s="517" t="str">
        <f>IFERROR(__xludf.DUMMYFUNCTION("""COMPUTED_VALUE"""),"GSTORE, US")</f>
        <v>GSTORE, US</v>
      </c>
      <c r="G98" s="517" t="str">
        <f>IFERROR(__xludf.DUMMYFUNCTION("""COMPUTED_VALUE"""),"UGS")</f>
        <v>UGS</v>
      </c>
      <c r="H98" s="517" t="str">
        <f>IFERROR(__xludf.DUMMYFUNCTION("""COMPUTED_VALUE"""),"mmWave")</f>
        <v>mmWave</v>
      </c>
      <c r="I98" s="517" t="str">
        <f>IFERROR(__xludf.DUMMYFUNCTION("""COMPUTED_VALUE"""),"CLR3")</f>
        <v>CLR3</v>
      </c>
      <c r="J98" s="517" t="str">
        <f>IFERROR(__xludf.DUMMYFUNCTION("""COMPUTED_VALUE"""),"Limoncello Midtone")</f>
        <v>Limoncello Midtone</v>
      </c>
      <c r="K98" s="517" t="str">
        <f>IFERROR(__xludf.DUMMYFUNCTION("""COMPUTED_VALUE"""),"YEL")</f>
        <v>YEL</v>
      </c>
      <c r="L98" s="517" t="str">
        <f>IFERROR(__xludf.DUMMYFUNCTION("""COMPUTED_VALUE"""),"GLBW0")</f>
        <v>GLBW0</v>
      </c>
      <c r="M98" s="517" t="str">
        <f>IFERROR(__xludf.DUMMYFUNCTION("""COMPUTED_VALUE"""),"NA")</f>
        <v>NA</v>
      </c>
      <c r="N98" s="517" t="str">
        <f>IFERROR(__xludf.DUMMYFUNCTION("""COMPUTED_VALUE"""),"SKU, CLR3, GOOD, MMWAVE, GSTORE, US, PRESS, FL5")</f>
        <v>SKU, CLR3, GOOD, MMWAVE, GSTORE, US, PRESS, FL5</v>
      </c>
      <c r="O98" s="517">
        <f>IFERROR(__xludf.DUMMYFUNCTION("""COMPUTED_VALUE"""),0.0)</f>
        <v>0</v>
      </c>
      <c r="P98" s="517" t="str">
        <f>IFERROR(__xludf.DUMMYFUNCTION("""COMPUTED_VALUE"""),"128GB")</f>
        <v>128GB</v>
      </c>
      <c r="Q98" s="517"/>
      <c r="R98" s="518" t="str">
        <f>IFERROR(__xludf.DUMMYFUNCTION("""COMPUTED_VALUE"""),"840353928282")</f>
        <v>840353928282</v>
      </c>
      <c r="S98" s="518" t="str">
        <f>IFERROR(__xludf.DUMMYFUNCTION("""COMPUTED_VALUE"""),"0840353928282")</f>
        <v>0840353928282</v>
      </c>
      <c r="T98" s="517" t="str">
        <f>IFERROR(__xludf.DUMMYFUNCTION("""COMPUTED_VALUE"""),"MP")</f>
        <v>MP</v>
      </c>
    </row>
    <row r="99">
      <c r="B99" s="517">
        <f>IFERROR(__xludf.DUMMYFUNCTION("""COMPUTED_VALUE"""),95.0)</f>
        <v>95</v>
      </c>
      <c r="C99" s="517" t="str">
        <f>IFERROR(__xludf.DUMMYFUNCTION("""COMPUTED_VALUE"""),"Press- N (MKG)")</f>
        <v>Press- N (MKG)</v>
      </c>
      <c r="D99" s="517" t="str">
        <f>IFERROR(__xludf.DUMMYFUNCTION("""COMPUTED_VALUE"""),"Retail Pack")</f>
        <v>Retail Pack</v>
      </c>
      <c r="E99" s="517" t="str">
        <f>IFERROR(__xludf.DUMMYFUNCTION("""COMPUTED_VALUE"""),"GA10216-US-N")</f>
        <v>GA10216-US-N</v>
      </c>
      <c r="F99" s="517" t="str">
        <f>IFERROR(__xludf.DUMMYFUNCTION("""COMPUTED_VALUE"""),"GSTORE, US")</f>
        <v>GSTORE, US</v>
      </c>
      <c r="G99" s="517" t="str">
        <f>IFERROR(__xludf.DUMMYFUNCTION("""COMPUTED_VALUE"""),"UGS")</f>
        <v>UGS</v>
      </c>
      <c r="H99" s="517" t="str">
        <f>IFERROR(__xludf.DUMMYFUNCTION("""COMPUTED_VALUE"""),"mmWave")</f>
        <v>mmWave</v>
      </c>
      <c r="I99" s="517" t="str">
        <f>IFERROR(__xludf.DUMMYFUNCTION("""COMPUTED_VALUE"""),"CLR4")</f>
        <v>CLR4</v>
      </c>
      <c r="J99" s="517" t="str">
        <f>IFERROR(__xludf.DUMMYFUNCTION("""COMPUTED_VALUE"""),"Ultra Blue")</f>
        <v>Ultra Blue</v>
      </c>
      <c r="K99" s="517" t="str">
        <f>IFERROR(__xludf.DUMMYFUNCTION("""COMPUTED_VALUE"""),"BUE")</f>
        <v>BUE</v>
      </c>
      <c r="L99" s="517" t="str">
        <f>IFERROR(__xludf.DUMMYFUNCTION("""COMPUTED_VALUE"""),"GLBW0")</f>
        <v>GLBW0</v>
      </c>
      <c r="M99" s="517" t="str">
        <f>IFERROR(__xludf.DUMMYFUNCTION("""COMPUTED_VALUE"""),"NA")</f>
        <v>NA</v>
      </c>
      <c r="N99" s="517" t="str">
        <f>IFERROR(__xludf.DUMMYFUNCTION("""COMPUTED_VALUE"""),"SKU, CLR4, GOOD, MMWAVE, GSTORE, US, PRESS, FL5")</f>
        <v>SKU, CLR4, GOOD, MMWAVE, GSTORE, US, PRESS, FL5</v>
      </c>
      <c r="O99" s="517">
        <f>IFERROR(__xludf.DUMMYFUNCTION("""COMPUTED_VALUE"""),0.0)</f>
        <v>0</v>
      </c>
      <c r="P99" s="517" t="str">
        <f>IFERROR(__xludf.DUMMYFUNCTION("""COMPUTED_VALUE"""),"128GB")</f>
        <v>128GB</v>
      </c>
      <c r="Q99" s="517"/>
      <c r="R99" s="518" t="str">
        <f>IFERROR(__xludf.DUMMYFUNCTION("""COMPUTED_VALUE"""),"840353928244")</f>
        <v>840353928244</v>
      </c>
      <c r="S99" s="518" t="str">
        <f>IFERROR(__xludf.DUMMYFUNCTION("""COMPUTED_VALUE"""),"0840353928244")</f>
        <v>0840353928244</v>
      </c>
      <c r="T99" s="517" t="str">
        <f>IFERROR(__xludf.DUMMYFUNCTION("""COMPUTED_VALUE"""),"MP")</f>
        <v>MP</v>
      </c>
    </row>
    <row r="100">
      <c r="B100" s="517">
        <f>IFERROR(__xludf.DUMMYFUNCTION("""COMPUTED_VALUE"""),96.0)</f>
        <v>96</v>
      </c>
      <c r="C100" s="517" t="str">
        <f>IFERROR(__xludf.DUMMYFUNCTION("""COMPUTED_VALUE"""),"Press- N (MKG)")</f>
        <v>Press- N (MKG)</v>
      </c>
      <c r="D100" s="517" t="str">
        <f>IFERROR(__xludf.DUMMYFUNCTION("""COMPUTED_VALUE"""),"Retail Pack")</f>
        <v>Retail Pack</v>
      </c>
      <c r="E100" s="517" t="str">
        <f>IFERROR(__xludf.DUMMYFUNCTION("""COMPUTED_VALUE"""),"GA09744-JP-N")</f>
        <v>GA09744-JP-N</v>
      </c>
      <c r="F100" s="517" t="str">
        <f>IFERROR(__xludf.DUMMYFUNCTION("""COMPUTED_VALUE"""),"JP")</f>
        <v>JP</v>
      </c>
      <c r="G100" s="517" t="str">
        <f>IFERROR(__xludf.DUMMYFUNCTION("""COMPUTED_VALUE"""),"AJP")</f>
        <v>AJP</v>
      </c>
      <c r="H100" s="517" t="str">
        <f>IFERROR(__xludf.DUMMYFUNCTION("""COMPUTED_VALUE"""),"JPN")</f>
        <v>JPN</v>
      </c>
      <c r="I100" s="517" t="str">
        <f>IFERROR(__xludf.DUMMYFUNCTION("""COMPUTED_VALUE"""),"CLR1")</f>
        <v>CLR1</v>
      </c>
      <c r="J100" s="517" t="str">
        <f>IFERROR(__xludf.DUMMYFUNCTION("""COMPUTED_VALUE"""),"Midnight Haze")</f>
        <v>Midnight Haze</v>
      </c>
      <c r="K100" s="517" t="str">
        <f>IFERROR(__xludf.DUMMYFUNCTION("""COMPUTED_VALUE"""),"BLK")</f>
        <v>BLK</v>
      </c>
      <c r="L100" s="517" t="str">
        <f>IFERROR(__xludf.DUMMYFUNCTION("""COMPUTED_VALUE"""),"GL066")</f>
        <v>GL066</v>
      </c>
      <c r="M100" s="517" t="str">
        <f>IFERROR(__xludf.DUMMYFUNCTION("""COMPUTED_VALUE"""),"JPN")</f>
        <v>JPN</v>
      </c>
      <c r="N100" s="517" t="str">
        <f>IFERROR(__xludf.DUMMYFUNCTION("""COMPUTED_VALUE"""),"SKU, CLR1, GOOD, SUB6, JP, PRESS, FL5")</f>
        <v>SKU, CLR1, GOOD, SUB6, JP, PRESS, FL5</v>
      </c>
      <c r="O100" s="517">
        <f>IFERROR(__xludf.DUMMYFUNCTION("""COMPUTED_VALUE"""),0.0)</f>
        <v>0</v>
      </c>
      <c r="P100" s="517" t="str">
        <f>IFERROR(__xludf.DUMMYFUNCTION("""COMPUTED_VALUE"""),"128GB")</f>
        <v>128GB</v>
      </c>
      <c r="Q100" s="517"/>
      <c r="R100" s="518" t="str">
        <f>IFERROR(__xludf.DUMMYFUNCTION("""COMPUTED_VALUE"""),"840353928374")</f>
        <v>840353928374</v>
      </c>
      <c r="S100" s="518" t="str">
        <f>IFERROR(__xludf.DUMMYFUNCTION("""COMPUTED_VALUE"""),"0840353928374")</f>
        <v>0840353928374</v>
      </c>
      <c r="T100" s="517" t="str">
        <f>IFERROR(__xludf.DUMMYFUNCTION("""COMPUTED_VALUE"""),"MP")</f>
        <v>MP</v>
      </c>
    </row>
    <row r="101">
      <c r="B101" s="517">
        <f>IFERROR(__xludf.DUMMYFUNCTION("""COMPUTED_VALUE"""),97.0)</f>
        <v>97</v>
      </c>
      <c r="C101" s="517" t="str">
        <f>IFERROR(__xludf.DUMMYFUNCTION("""COMPUTED_VALUE"""),"Press- N (MKG)")</f>
        <v>Press- N (MKG)</v>
      </c>
      <c r="D101" s="517" t="str">
        <f>IFERROR(__xludf.DUMMYFUNCTION("""COMPUTED_VALUE"""),"Retail Pack")</f>
        <v>Retail Pack</v>
      </c>
      <c r="E101" s="517" t="str">
        <f>IFERROR(__xludf.DUMMYFUNCTION("""COMPUTED_VALUE"""),"GA10214-JP-N")</f>
        <v>GA10214-JP-N</v>
      </c>
      <c r="F101" s="517" t="str">
        <f>IFERROR(__xludf.DUMMYFUNCTION("""COMPUTED_VALUE"""),"JP")</f>
        <v>JP</v>
      </c>
      <c r="G101" s="517" t="str">
        <f>IFERROR(__xludf.DUMMYFUNCTION("""COMPUTED_VALUE"""),"AJP")</f>
        <v>AJP</v>
      </c>
      <c r="H101" s="517" t="str">
        <f>IFERROR(__xludf.DUMMYFUNCTION("""COMPUTED_VALUE"""),"JPN")</f>
        <v>JPN</v>
      </c>
      <c r="I101" s="517" t="str">
        <f>IFERROR(__xludf.DUMMYFUNCTION("""COMPUTED_VALUE"""),"CLR2")</f>
        <v>CLR2</v>
      </c>
      <c r="J101" s="517" t="str">
        <f>IFERROR(__xludf.DUMMYFUNCTION("""COMPUTED_VALUE"""),"Iris")</f>
        <v>Iris</v>
      </c>
      <c r="K101" s="517" t="str">
        <f>IFERROR(__xludf.DUMMYFUNCTION("""COMPUTED_VALUE"""),"PPL")</f>
        <v>PPL</v>
      </c>
      <c r="L101" s="517" t="str">
        <f>IFERROR(__xludf.DUMMYFUNCTION("""COMPUTED_VALUE"""),"GL066")</f>
        <v>GL066</v>
      </c>
      <c r="M101" s="517" t="str">
        <f>IFERROR(__xludf.DUMMYFUNCTION("""COMPUTED_VALUE"""),"JPN")</f>
        <v>JPN</v>
      </c>
      <c r="N101" s="517" t="str">
        <f>IFERROR(__xludf.DUMMYFUNCTION("""COMPUTED_VALUE"""),"SKU, CLR2, GOOD, SUB6, JP, PRESS, FL5")</f>
        <v>SKU, CLR2, GOOD, SUB6, JP, PRESS, FL5</v>
      </c>
      <c r="O101" s="517">
        <f>IFERROR(__xludf.DUMMYFUNCTION("""COMPUTED_VALUE"""),0.0)</f>
        <v>0</v>
      </c>
      <c r="P101" s="517" t="str">
        <f>IFERROR(__xludf.DUMMYFUNCTION("""COMPUTED_VALUE"""),"128GB")</f>
        <v>128GB</v>
      </c>
      <c r="Q101" s="517"/>
      <c r="R101" s="518" t="str">
        <f>IFERROR(__xludf.DUMMYFUNCTION("""COMPUTED_VALUE"""),"840353928503")</f>
        <v>840353928503</v>
      </c>
      <c r="S101" s="518" t="str">
        <f>IFERROR(__xludf.DUMMYFUNCTION("""COMPUTED_VALUE"""),"0840353928503")</f>
        <v>0840353928503</v>
      </c>
      <c r="T101" s="517" t="str">
        <f>IFERROR(__xludf.DUMMYFUNCTION("""COMPUTED_VALUE"""),"MP")</f>
        <v>MP</v>
      </c>
    </row>
    <row r="102">
      <c r="B102" s="517">
        <f>IFERROR(__xludf.DUMMYFUNCTION("""COMPUTED_VALUE"""),98.0)</f>
        <v>98</v>
      </c>
      <c r="C102" s="517" t="str">
        <f>IFERROR(__xludf.DUMMYFUNCTION("""COMPUTED_VALUE"""),"Press- N (MKG)")</f>
        <v>Press- N (MKG)</v>
      </c>
      <c r="D102" s="517" t="str">
        <f>IFERROR(__xludf.DUMMYFUNCTION("""COMPUTED_VALUE"""),"Retail Pack")</f>
        <v>Retail Pack</v>
      </c>
      <c r="E102" s="517" t="str">
        <f>IFERROR(__xludf.DUMMYFUNCTION("""COMPUTED_VALUE"""),"GA10215-JP-N")</f>
        <v>GA10215-JP-N</v>
      </c>
      <c r="F102" s="517" t="str">
        <f>IFERROR(__xludf.DUMMYFUNCTION("""COMPUTED_VALUE"""),"JP")</f>
        <v>JP</v>
      </c>
      <c r="G102" s="517" t="str">
        <f>IFERROR(__xludf.DUMMYFUNCTION("""COMPUTED_VALUE"""),"AJP")</f>
        <v>AJP</v>
      </c>
      <c r="H102" s="517" t="str">
        <f>IFERROR(__xludf.DUMMYFUNCTION("""COMPUTED_VALUE"""),"JPN")</f>
        <v>JPN</v>
      </c>
      <c r="I102" s="517" t="str">
        <f>IFERROR(__xludf.DUMMYFUNCTION("""COMPUTED_VALUE"""),"CLR3")</f>
        <v>CLR3</v>
      </c>
      <c r="J102" s="517" t="str">
        <f>IFERROR(__xludf.DUMMYFUNCTION("""COMPUTED_VALUE"""),"Limoncello Midtone")</f>
        <v>Limoncello Midtone</v>
      </c>
      <c r="K102" s="517" t="str">
        <f>IFERROR(__xludf.DUMMYFUNCTION("""COMPUTED_VALUE"""),"YEL")</f>
        <v>YEL</v>
      </c>
      <c r="L102" s="517" t="str">
        <f>IFERROR(__xludf.DUMMYFUNCTION("""COMPUTED_VALUE"""),"GL066")</f>
        <v>GL066</v>
      </c>
      <c r="M102" s="517" t="str">
        <f>IFERROR(__xludf.DUMMYFUNCTION("""COMPUTED_VALUE"""),"JPN")</f>
        <v>JPN</v>
      </c>
      <c r="N102" s="517" t="str">
        <f>IFERROR(__xludf.DUMMYFUNCTION("""COMPUTED_VALUE"""),"SKU, CLR3, GOOD, SUB6, JP, PRESS, FL5")</f>
        <v>SKU, CLR3, GOOD, SUB6, JP, PRESS, FL5</v>
      </c>
      <c r="O102" s="517">
        <f>IFERROR(__xludf.DUMMYFUNCTION("""COMPUTED_VALUE"""),0.0)</f>
        <v>0</v>
      </c>
      <c r="P102" s="517" t="str">
        <f>IFERROR(__xludf.DUMMYFUNCTION("""COMPUTED_VALUE"""),"128GB")</f>
        <v>128GB</v>
      </c>
      <c r="Q102" s="517"/>
      <c r="R102" s="518" t="str">
        <f>IFERROR(__xludf.DUMMYFUNCTION("""COMPUTED_VALUE"""),"840353928480")</f>
        <v>840353928480</v>
      </c>
      <c r="S102" s="518" t="str">
        <f>IFERROR(__xludf.DUMMYFUNCTION("""COMPUTED_VALUE"""),"0840353928480")</f>
        <v>0840353928480</v>
      </c>
      <c r="T102" s="517" t="str">
        <f>IFERROR(__xludf.DUMMYFUNCTION("""COMPUTED_VALUE"""),"MP")</f>
        <v>MP</v>
      </c>
    </row>
    <row r="103">
      <c r="B103" s="517">
        <f>IFERROR(__xludf.DUMMYFUNCTION("""COMPUTED_VALUE"""),99.0)</f>
        <v>99</v>
      </c>
      <c r="C103" s="517" t="str">
        <f>IFERROR(__xludf.DUMMYFUNCTION("""COMPUTED_VALUE"""),"Press- N (MKG)")</f>
        <v>Press- N (MKG)</v>
      </c>
      <c r="D103" s="517" t="str">
        <f>IFERROR(__xludf.DUMMYFUNCTION("""COMPUTED_VALUE"""),"Retail Pack")</f>
        <v>Retail Pack</v>
      </c>
      <c r="E103" s="517" t="str">
        <f>IFERROR(__xludf.DUMMYFUNCTION("""COMPUTED_VALUE"""),"GA10216-JP-N")</f>
        <v>GA10216-JP-N</v>
      </c>
      <c r="F103" s="517" t="str">
        <f>IFERROR(__xludf.DUMMYFUNCTION("""COMPUTED_VALUE"""),"JP")</f>
        <v>JP</v>
      </c>
      <c r="G103" s="517" t="str">
        <f>IFERROR(__xludf.DUMMYFUNCTION("""COMPUTED_VALUE"""),"AJP")</f>
        <v>AJP</v>
      </c>
      <c r="H103" s="517" t="str">
        <f>IFERROR(__xludf.DUMMYFUNCTION("""COMPUTED_VALUE"""),"JPN")</f>
        <v>JPN</v>
      </c>
      <c r="I103" s="517" t="str">
        <f>IFERROR(__xludf.DUMMYFUNCTION("""COMPUTED_VALUE"""),"CLR4")</f>
        <v>CLR4</v>
      </c>
      <c r="J103" s="517" t="str">
        <f>IFERROR(__xludf.DUMMYFUNCTION("""COMPUTED_VALUE"""),"Ultra Blue")</f>
        <v>Ultra Blue</v>
      </c>
      <c r="K103" s="517" t="str">
        <f>IFERROR(__xludf.DUMMYFUNCTION("""COMPUTED_VALUE"""),"BUE")</f>
        <v>BUE</v>
      </c>
      <c r="L103" s="517" t="str">
        <f>IFERROR(__xludf.DUMMYFUNCTION("""COMPUTED_VALUE"""),"GL066")</f>
        <v>GL066</v>
      </c>
      <c r="M103" s="517" t="str">
        <f>IFERROR(__xludf.DUMMYFUNCTION("""COMPUTED_VALUE"""),"JPN")</f>
        <v>JPN</v>
      </c>
      <c r="N103" s="517" t="str">
        <f>IFERROR(__xludf.DUMMYFUNCTION("""COMPUTED_VALUE"""),"SKU, CLR4, GOOD, SUB6, JP, PRESS, FL5")</f>
        <v>SKU, CLR4, GOOD, SUB6, JP, PRESS, FL5</v>
      </c>
      <c r="O103" s="517">
        <f>IFERROR(__xludf.DUMMYFUNCTION("""COMPUTED_VALUE"""),0.0)</f>
        <v>0</v>
      </c>
      <c r="P103" s="517" t="str">
        <f>IFERROR(__xludf.DUMMYFUNCTION("""COMPUTED_VALUE"""),"128GB")</f>
        <v>128GB</v>
      </c>
      <c r="Q103" s="517"/>
      <c r="R103" s="518" t="str">
        <f>IFERROR(__xludf.DUMMYFUNCTION("""COMPUTED_VALUE"""),"840353928473")</f>
        <v>840353928473</v>
      </c>
      <c r="S103" s="518" t="str">
        <f>IFERROR(__xludf.DUMMYFUNCTION("""COMPUTED_VALUE"""),"0840353928473")</f>
        <v>0840353928473</v>
      </c>
      <c r="T103" s="517" t="str">
        <f>IFERROR(__xludf.DUMMYFUNCTION("""COMPUTED_VALUE"""),"MP")</f>
        <v>MP</v>
      </c>
    </row>
    <row r="104">
      <c r="B104" s="517">
        <f>IFERROR(__xludf.DUMMYFUNCTION("""COMPUTED_VALUE"""),100.0)</f>
        <v>100</v>
      </c>
      <c r="C104" s="517" t="str">
        <f>IFERROR(__xludf.DUMMYFUNCTION("""COMPUTED_VALUE"""),"Press- N (MKG)")</f>
        <v>Press- N (MKG)</v>
      </c>
      <c r="D104" s="517" t="str">
        <f>IFERROR(__xludf.DUMMYFUNCTION("""COMPUTED_VALUE"""),"Retail Pack")</f>
        <v>Retail Pack</v>
      </c>
      <c r="E104" s="517" t="str">
        <f>IFERROR(__xludf.DUMMYFUNCTION("""COMPUTED_VALUE"""),"GA09744-CA-N")</f>
        <v>GA09744-CA-N</v>
      </c>
      <c r="F104" s="517" t="str">
        <f>IFERROR(__xludf.DUMMYFUNCTION("""COMPUTED_VALUE"""),"CA/TW/SG/MY/AU/MX")</f>
        <v>CA/TW/SG/MY/AU/MX</v>
      </c>
      <c r="G104" s="517" t="str">
        <f>IFERROR(__xludf.DUMMYFUNCTION("""COMPUTED_VALUE"""),"NCA")</f>
        <v>NCA</v>
      </c>
      <c r="H104" s="517" t="str">
        <f>IFERROR(__xludf.DUMMYFUNCTION("""COMPUTED_VALUE"""),"Sub6")</f>
        <v>Sub6</v>
      </c>
      <c r="I104" s="517" t="str">
        <f>IFERROR(__xludf.DUMMYFUNCTION("""COMPUTED_VALUE"""),"CLR1")</f>
        <v>CLR1</v>
      </c>
      <c r="J104" s="517" t="str">
        <f>IFERROR(__xludf.DUMMYFUNCTION("""COMPUTED_VALUE"""),"Midnight Haze")</f>
        <v>Midnight Haze</v>
      </c>
      <c r="K104" s="517" t="str">
        <f>IFERROR(__xludf.DUMMYFUNCTION("""COMPUTED_VALUE"""),"BLK")</f>
        <v>BLK</v>
      </c>
      <c r="L104" s="517" t="str">
        <f>IFERROR(__xludf.DUMMYFUNCTION("""COMPUTED_VALUE"""),"GK2MP")</f>
        <v>GK2MP</v>
      </c>
      <c r="M104" s="517" t="str">
        <f>IFERROR(__xludf.DUMMYFUNCTION("""COMPUTED_VALUE"""),"ROW")</f>
        <v>ROW</v>
      </c>
      <c r="N104" s="517" t="str">
        <f>IFERROR(__xludf.DUMMYFUNCTION("""COMPUTED_VALUE"""),"SKU, CLR1, GOOD, SUB6, CA/TW/SG/MY/AU/MX, PRESS, FL5")</f>
        <v>SKU, CLR1, GOOD, SUB6, CA/TW/SG/MY/AU/MX, PRESS, FL5</v>
      </c>
      <c r="O104" s="517">
        <f>IFERROR(__xludf.DUMMYFUNCTION("""COMPUTED_VALUE"""),0.0)</f>
        <v>0</v>
      </c>
      <c r="P104" s="517" t="str">
        <f>IFERROR(__xludf.DUMMYFUNCTION("""COMPUTED_VALUE"""),"128GB")</f>
        <v>128GB</v>
      </c>
      <c r="Q104" s="517"/>
      <c r="R104" s="518" t="str">
        <f>IFERROR(__xludf.DUMMYFUNCTION("""COMPUTED_VALUE"""),"840353928626")</f>
        <v>840353928626</v>
      </c>
      <c r="S104" s="518" t="str">
        <f>IFERROR(__xludf.DUMMYFUNCTION("""COMPUTED_VALUE"""),"0840353928626")</f>
        <v>0840353928626</v>
      </c>
      <c r="T104" s="517" t="str">
        <f>IFERROR(__xludf.DUMMYFUNCTION("""COMPUTED_VALUE"""),"MP")</f>
        <v>MP</v>
      </c>
    </row>
    <row r="105">
      <c r="B105" s="517">
        <f>IFERROR(__xludf.DUMMYFUNCTION("""COMPUTED_VALUE"""),101.0)</f>
        <v>101</v>
      </c>
      <c r="C105" s="517" t="str">
        <f>IFERROR(__xludf.DUMMYFUNCTION("""COMPUTED_VALUE"""),"Press- N (MKG)")</f>
        <v>Press- N (MKG)</v>
      </c>
      <c r="D105" s="517" t="str">
        <f>IFERROR(__xludf.DUMMYFUNCTION("""COMPUTED_VALUE"""),"Retail Pack")</f>
        <v>Retail Pack</v>
      </c>
      <c r="E105" s="517" t="str">
        <f>IFERROR(__xludf.DUMMYFUNCTION("""COMPUTED_VALUE"""),"GA10214-CA-N")</f>
        <v>GA10214-CA-N</v>
      </c>
      <c r="F105" s="517" t="str">
        <f>IFERROR(__xludf.DUMMYFUNCTION("""COMPUTED_VALUE"""),"CA/TW/SG/MY/AU/MX")</f>
        <v>CA/TW/SG/MY/AU/MX</v>
      </c>
      <c r="G105" s="517" t="str">
        <f>IFERROR(__xludf.DUMMYFUNCTION("""COMPUTED_VALUE"""),"NCA")</f>
        <v>NCA</v>
      </c>
      <c r="H105" s="517" t="str">
        <f>IFERROR(__xludf.DUMMYFUNCTION("""COMPUTED_VALUE"""),"Sub6")</f>
        <v>Sub6</v>
      </c>
      <c r="I105" s="517" t="str">
        <f>IFERROR(__xludf.DUMMYFUNCTION("""COMPUTED_VALUE"""),"CLR2")</f>
        <v>CLR2</v>
      </c>
      <c r="J105" s="517" t="str">
        <f>IFERROR(__xludf.DUMMYFUNCTION("""COMPUTED_VALUE"""),"Iris")</f>
        <v>Iris</v>
      </c>
      <c r="K105" s="517" t="str">
        <f>IFERROR(__xludf.DUMMYFUNCTION("""COMPUTED_VALUE"""),"PPL")</f>
        <v>PPL</v>
      </c>
      <c r="L105" s="517" t="str">
        <f>IFERROR(__xludf.DUMMYFUNCTION("""COMPUTED_VALUE"""),"GK2MP")</f>
        <v>GK2MP</v>
      </c>
      <c r="M105" s="517" t="str">
        <f>IFERROR(__xludf.DUMMYFUNCTION("""COMPUTED_VALUE"""),"ROW")</f>
        <v>ROW</v>
      </c>
      <c r="N105" s="517" t="str">
        <f>IFERROR(__xludf.DUMMYFUNCTION("""COMPUTED_VALUE"""),"SKU, CLR2, GOOD, SUB6, CA/TW/SG/MY/AU/MX, PRESS, FL5")</f>
        <v>SKU, CLR2, GOOD, SUB6, CA/TW/SG/MY/AU/MX, PRESS, FL5</v>
      </c>
      <c r="O105" s="517">
        <f>IFERROR(__xludf.DUMMYFUNCTION("""COMPUTED_VALUE"""),0.0)</f>
        <v>0</v>
      </c>
      <c r="P105" s="517" t="str">
        <f>IFERROR(__xludf.DUMMYFUNCTION("""COMPUTED_VALUE"""),"128GB")</f>
        <v>128GB</v>
      </c>
      <c r="Q105" s="517"/>
      <c r="R105" s="518" t="str">
        <f>IFERROR(__xludf.DUMMYFUNCTION("""COMPUTED_VALUE"""),"840353928459")</f>
        <v>840353928459</v>
      </c>
      <c r="S105" s="518" t="str">
        <f>IFERROR(__xludf.DUMMYFUNCTION("""COMPUTED_VALUE"""),"0840353928459")</f>
        <v>0840353928459</v>
      </c>
      <c r="T105" s="517" t="str">
        <f>IFERROR(__xludf.DUMMYFUNCTION("""COMPUTED_VALUE"""),"MP")</f>
        <v>MP</v>
      </c>
    </row>
    <row r="106">
      <c r="B106" s="517">
        <f>IFERROR(__xludf.DUMMYFUNCTION("""COMPUTED_VALUE"""),102.0)</f>
        <v>102</v>
      </c>
      <c r="C106" s="517" t="str">
        <f>IFERROR(__xludf.DUMMYFUNCTION("""COMPUTED_VALUE"""),"Press- N (MKG)")</f>
        <v>Press- N (MKG)</v>
      </c>
      <c r="D106" s="517" t="str">
        <f>IFERROR(__xludf.DUMMYFUNCTION("""COMPUTED_VALUE"""),"Retail Pack")</f>
        <v>Retail Pack</v>
      </c>
      <c r="E106" s="517" t="str">
        <f>IFERROR(__xludf.DUMMYFUNCTION("""COMPUTED_VALUE"""),"GA10215-CA-N")</f>
        <v>GA10215-CA-N</v>
      </c>
      <c r="F106" s="517" t="str">
        <f>IFERROR(__xludf.DUMMYFUNCTION("""COMPUTED_VALUE"""),"CA/TW/SG/MY/AU/MX")</f>
        <v>CA/TW/SG/MY/AU/MX</v>
      </c>
      <c r="G106" s="517" t="str">
        <f>IFERROR(__xludf.DUMMYFUNCTION("""COMPUTED_VALUE"""),"NCA")</f>
        <v>NCA</v>
      </c>
      <c r="H106" s="517" t="str">
        <f>IFERROR(__xludf.DUMMYFUNCTION("""COMPUTED_VALUE"""),"Sub6")</f>
        <v>Sub6</v>
      </c>
      <c r="I106" s="517" t="str">
        <f>IFERROR(__xludf.DUMMYFUNCTION("""COMPUTED_VALUE"""),"CLR3")</f>
        <v>CLR3</v>
      </c>
      <c r="J106" s="517" t="str">
        <f>IFERROR(__xludf.DUMMYFUNCTION("""COMPUTED_VALUE"""),"Limoncello Midtone")</f>
        <v>Limoncello Midtone</v>
      </c>
      <c r="K106" s="517" t="str">
        <f>IFERROR(__xludf.DUMMYFUNCTION("""COMPUTED_VALUE"""),"YEL")</f>
        <v>YEL</v>
      </c>
      <c r="L106" s="517" t="str">
        <f>IFERROR(__xludf.DUMMYFUNCTION("""COMPUTED_VALUE"""),"GK2MP")</f>
        <v>GK2MP</v>
      </c>
      <c r="M106" s="517" t="str">
        <f>IFERROR(__xludf.DUMMYFUNCTION("""COMPUTED_VALUE"""),"ROW")</f>
        <v>ROW</v>
      </c>
      <c r="N106" s="517" t="str">
        <f>IFERROR(__xludf.DUMMYFUNCTION("""COMPUTED_VALUE"""),"SKU, CLR3, GOOD, SUB6, CA/TW/SG/MY/AU/MX, PRESS, FL5")</f>
        <v>SKU, CLR3, GOOD, SUB6, CA/TW/SG/MY/AU/MX, PRESS, FL5</v>
      </c>
      <c r="O106" s="517">
        <f>IFERROR(__xludf.DUMMYFUNCTION("""COMPUTED_VALUE"""),0.0)</f>
        <v>0</v>
      </c>
      <c r="P106" s="517" t="str">
        <f>IFERROR(__xludf.DUMMYFUNCTION("""COMPUTED_VALUE"""),"128GB")</f>
        <v>128GB</v>
      </c>
      <c r="Q106" s="517"/>
      <c r="R106" s="518" t="str">
        <f>IFERROR(__xludf.DUMMYFUNCTION("""COMPUTED_VALUE"""),"840353928411")</f>
        <v>840353928411</v>
      </c>
      <c r="S106" s="518" t="str">
        <f>IFERROR(__xludf.DUMMYFUNCTION("""COMPUTED_VALUE"""),"0840353928411")</f>
        <v>0840353928411</v>
      </c>
      <c r="T106" s="517" t="str">
        <f>IFERROR(__xludf.DUMMYFUNCTION("""COMPUTED_VALUE"""),"MP")</f>
        <v>MP</v>
      </c>
    </row>
    <row r="107">
      <c r="B107" s="517">
        <f>IFERROR(__xludf.DUMMYFUNCTION("""COMPUTED_VALUE"""),103.0)</f>
        <v>103</v>
      </c>
      <c r="C107" s="517" t="str">
        <f>IFERROR(__xludf.DUMMYFUNCTION("""COMPUTED_VALUE"""),"Press- N (MKG)")</f>
        <v>Press- N (MKG)</v>
      </c>
      <c r="D107" s="517" t="str">
        <f>IFERROR(__xludf.DUMMYFUNCTION("""COMPUTED_VALUE"""),"Retail Pack")</f>
        <v>Retail Pack</v>
      </c>
      <c r="E107" s="517" t="str">
        <f>IFERROR(__xludf.DUMMYFUNCTION("""COMPUTED_VALUE"""),"GA10216-CA-N")</f>
        <v>GA10216-CA-N</v>
      </c>
      <c r="F107" s="517" t="str">
        <f>IFERROR(__xludf.DUMMYFUNCTION("""COMPUTED_VALUE"""),"CA/TW/SG/MY/AU/MX")</f>
        <v>CA/TW/SG/MY/AU/MX</v>
      </c>
      <c r="G107" s="517" t="str">
        <f>IFERROR(__xludf.DUMMYFUNCTION("""COMPUTED_VALUE"""),"NCA")</f>
        <v>NCA</v>
      </c>
      <c r="H107" s="517" t="str">
        <f>IFERROR(__xludf.DUMMYFUNCTION("""COMPUTED_VALUE"""),"Sub6")</f>
        <v>Sub6</v>
      </c>
      <c r="I107" s="517" t="str">
        <f>IFERROR(__xludf.DUMMYFUNCTION("""COMPUTED_VALUE"""),"CLR4")</f>
        <v>CLR4</v>
      </c>
      <c r="J107" s="517" t="str">
        <f>IFERROR(__xludf.DUMMYFUNCTION("""COMPUTED_VALUE"""),"Ultra Blue")</f>
        <v>Ultra Blue</v>
      </c>
      <c r="K107" s="517" t="str">
        <f>IFERROR(__xludf.DUMMYFUNCTION("""COMPUTED_VALUE"""),"BUE")</f>
        <v>BUE</v>
      </c>
      <c r="L107" s="517" t="str">
        <f>IFERROR(__xludf.DUMMYFUNCTION("""COMPUTED_VALUE"""),"GK2MP")</f>
        <v>GK2MP</v>
      </c>
      <c r="M107" s="517" t="str">
        <f>IFERROR(__xludf.DUMMYFUNCTION("""COMPUTED_VALUE"""),"ROW")</f>
        <v>ROW</v>
      </c>
      <c r="N107" s="517" t="str">
        <f>IFERROR(__xludf.DUMMYFUNCTION("""COMPUTED_VALUE"""),"SKU, CLR4, GOOD, SUB6, CA/TW/SG/MY/AU/MX, PRESS, FL5")</f>
        <v>SKU, CLR4, GOOD, SUB6, CA/TW/SG/MY/AU/MX, PRESS, FL5</v>
      </c>
      <c r="O107" s="517">
        <f>IFERROR(__xludf.DUMMYFUNCTION("""COMPUTED_VALUE"""),0.0)</f>
        <v>0</v>
      </c>
      <c r="P107" s="517" t="str">
        <f>IFERROR(__xludf.DUMMYFUNCTION("""COMPUTED_VALUE"""),"128GB")</f>
        <v>128GB</v>
      </c>
      <c r="Q107" s="517"/>
      <c r="R107" s="518" t="str">
        <f>IFERROR(__xludf.DUMMYFUNCTION("""COMPUTED_VALUE"""),"840353928589")</f>
        <v>840353928589</v>
      </c>
      <c r="S107" s="518" t="str">
        <f>IFERROR(__xludf.DUMMYFUNCTION("""COMPUTED_VALUE"""),"0840353928589")</f>
        <v>0840353928589</v>
      </c>
      <c r="T107" s="517" t="str">
        <f>IFERROR(__xludf.DUMMYFUNCTION("""COMPUTED_VALUE"""),"MP")</f>
        <v>MP</v>
      </c>
    </row>
    <row r="108">
      <c r="B108" s="517">
        <f>IFERROR(__xludf.DUMMYFUNCTION("""COMPUTED_VALUE"""),104.0)</f>
        <v>104</v>
      </c>
      <c r="C108" s="517" t="str">
        <f>IFERROR(__xludf.DUMMYFUNCTION("""COMPUTED_VALUE"""),"Press- N (MKG)")</f>
        <v>Press- N (MKG)</v>
      </c>
      <c r="D108" s="517" t="str">
        <f>IFERROR(__xludf.DUMMYFUNCTION("""COMPUTED_VALUE"""),"Retail Pack")</f>
        <v>Retail Pack</v>
      </c>
      <c r="E108" s="517" t="str">
        <f>IFERROR(__xludf.DUMMYFUNCTION("""COMPUTED_VALUE"""),"GA09744-GB-N")</f>
        <v>GA09744-GB-N</v>
      </c>
      <c r="F108" s="517" t="str">
        <f>IFERROR(__xludf.DUMMYFUNCTION("""COMPUTED_VALUE"""),"GB, DE, IT, ES, IE, FR, NL, BE, AT, CH, PT, PL, CZ, HU, RO, SI, LV, LT, EE, FI, NO, SE, DK, SK")</f>
        <v>GB, DE, IT, ES, IE, FR, NL, BE, AT, CH, PT, PL, CZ, HU, RO, SI, LV, LT, EE, FI, NO, SE, DK, SK</v>
      </c>
      <c r="G108" s="517" t="str">
        <f>IFERROR(__xludf.DUMMYFUNCTION("""COMPUTED_VALUE"""),"EMA")</f>
        <v>EMA</v>
      </c>
      <c r="H108" s="517" t="str">
        <f>IFERROR(__xludf.DUMMYFUNCTION("""COMPUTED_VALUE"""),"Sub6")</f>
        <v>Sub6</v>
      </c>
      <c r="I108" s="517" t="str">
        <f>IFERROR(__xludf.DUMMYFUNCTION("""COMPUTED_VALUE"""),"CLR1")</f>
        <v>CLR1</v>
      </c>
      <c r="J108" s="517" t="str">
        <f>IFERROR(__xludf.DUMMYFUNCTION("""COMPUTED_VALUE"""),"Midnight Haze")</f>
        <v>Midnight Haze</v>
      </c>
      <c r="K108" s="517" t="str">
        <f>IFERROR(__xludf.DUMMYFUNCTION("""COMPUTED_VALUE"""),"BLK")</f>
        <v>BLK</v>
      </c>
      <c r="L108" s="517" t="str">
        <f>IFERROR(__xludf.DUMMYFUNCTION("""COMPUTED_VALUE"""),"GK2MP")</f>
        <v>GK2MP</v>
      </c>
      <c r="M108" s="517" t="str">
        <f>IFERROR(__xludf.DUMMYFUNCTION("""COMPUTED_VALUE"""),"ROW")</f>
        <v>ROW</v>
      </c>
      <c r="N108" s="517" t="str">
        <f>IFERROR(__xludf.DUMMYFUNCTION("""COMPUTED_VALUE"""),"SKU, CLR1, GOOD, SUB6, UK/EU, PRESS, FL5")</f>
        <v>SKU, CLR1, GOOD, SUB6, UK/EU, PRESS, FL5</v>
      </c>
      <c r="O108" s="517">
        <f>IFERROR(__xludf.DUMMYFUNCTION("""COMPUTED_VALUE"""),0.0)</f>
        <v>0</v>
      </c>
      <c r="P108" s="517" t="str">
        <f>IFERROR(__xludf.DUMMYFUNCTION("""COMPUTED_VALUE"""),"128GB")</f>
        <v>128GB</v>
      </c>
      <c r="Q108" s="517"/>
      <c r="R108" s="518" t="str">
        <f>IFERROR(__xludf.DUMMYFUNCTION("""COMPUTED_VALUE"""),"840353928510")</f>
        <v>840353928510</v>
      </c>
      <c r="S108" s="518" t="str">
        <f>IFERROR(__xludf.DUMMYFUNCTION("""COMPUTED_VALUE"""),"0840353928510")</f>
        <v>0840353928510</v>
      </c>
      <c r="T108" s="517" t="str">
        <f>IFERROR(__xludf.DUMMYFUNCTION("""COMPUTED_VALUE"""),"MP")</f>
        <v>MP</v>
      </c>
    </row>
    <row r="109">
      <c r="B109" s="517">
        <f>IFERROR(__xludf.DUMMYFUNCTION("""COMPUTED_VALUE"""),105.0)</f>
        <v>105</v>
      </c>
      <c r="C109" s="517" t="str">
        <f>IFERROR(__xludf.DUMMYFUNCTION("""COMPUTED_VALUE"""),"Press- N (MKG)")</f>
        <v>Press- N (MKG)</v>
      </c>
      <c r="D109" s="517" t="str">
        <f>IFERROR(__xludf.DUMMYFUNCTION("""COMPUTED_VALUE"""),"Retail Pack")</f>
        <v>Retail Pack</v>
      </c>
      <c r="E109" s="517" t="str">
        <f>IFERROR(__xludf.DUMMYFUNCTION("""COMPUTED_VALUE"""),"GA10214-GB-N")</f>
        <v>GA10214-GB-N</v>
      </c>
      <c r="F109" s="517" t="str">
        <f>IFERROR(__xludf.DUMMYFUNCTION("""COMPUTED_VALUE"""),"GB, DE, IT, ES, IE, FR, NL, BE, AT, CH, PT, PL, CZ, HU, RO, SI, LV, LT, EE, FI, NO, SE, DK, SK")</f>
        <v>GB, DE, IT, ES, IE, FR, NL, BE, AT, CH, PT, PL, CZ, HU, RO, SI, LV, LT, EE, FI, NO, SE, DK, SK</v>
      </c>
      <c r="G109" s="517" t="str">
        <f>IFERROR(__xludf.DUMMYFUNCTION("""COMPUTED_VALUE"""),"EMA")</f>
        <v>EMA</v>
      </c>
      <c r="H109" s="517" t="str">
        <f>IFERROR(__xludf.DUMMYFUNCTION("""COMPUTED_VALUE"""),"Sub6")</f>
        <v>Sub6</v>
      </c>
      <c r="I109" s="517" t="str">
        <f>IFERROR(__xludf.DUMMYFUNCTION("""COMPUTED_VALUE"""),"CLR2")</f>
        <v>CLR2</v>
      </c>
      <c r="J109" s="517" t="str">
        <f>IFERROR(__xludf.DUMMYFUNCTION("""COMPUTED_VALUE"""),"Iris")</f>
        <v>Iris</v>
      </c>
      <c r="K109" s="517" t="str">
        <f>IFERROR(__xludf.DUMMYFUNCTION("""COMPUTED_VALUE"""),"PPL")</f>
        <v>PPL</v>
      </c>
      <c r="L109" s="517" t="str">
        <f>IFERROR(__xludf.DUMMYFUNCTION("""COMPUTED_VALUE"""),"GK2MP")</f>
        <v>GK2MP</v>
      </c>
      <c r="M109" s="517" t="str">
        <f>IFERROR(__xludf.DUMMYFUNCTION("""COMPUTED_VALUE"""),"ROW")</f>
        <v>ROW</v>
      </c>
      <c r="N109" s="517" t="str">
        <f>IFERROR(__xludf.DUMMYFUNCTION("""COMPUTED_VALUE"""),"SKU, CLR2, GOOD, SUB6, UK/EU, PRESS, FL5")</f>
        <v>SKU, CLR2, GOOD, SUB6, UK/EU, PRESS, FL5</v>
      </c>
      <c r="O109" s="517">
        <f>IFERROR(__xludf.DUMMYFUNCTION("""COMPUTED_VALUE"""),0.0)</f>
        <v>0</v>
      </c>
      <c r="P109" s="517" t="str">
        <f>IFERROR(__xludf.DUMMYFUNCTION("""COMPUTED_VALUE"""),"128GB")</f>
        <v>128GB</v>
      </c>
      <c r="Q109" s="517"/>
      <c r="R109" s="518" t="str">
        <f>IFERROR(__xludf.DUMMYFUNCTION("""COMPUTED_VALUE"""),"840353928442")</f>
        <v>840353928442</v>
      </c>
      <c r="S109" s="518" t="str">
        <f>IFERROR(__xludf.DUMMYFUNCTION("""COMPUTED_VALUE"""),"0840353928442")</f>
        <v>0840353928442</v>
      </c>
      <c r="T109" s="517" t="str">
        <f>IFERROR(__xludf.DUMMYFUNCTION("""COMPUTED_VALUE"""),"MP")</f>
        <v>MP</v>
      </c>
    </row>
    <row r="110">
      <c r="B110" s="517">
        <f>IFERROR(__xludf.DUMMYFUNCTION("""COMPUTED_VALUE"""),106.0)</f>
        <v>106</v>
      </c>
      <c r="C110" s="517" t="str">
        <f>IFERROR(__xludf.DUMMYFUNCTION("""COMPUTED_VALUE"""),"Press- N (MKG)")</f>
        <v>Press- N (MKG)</v>
      </c>
      <c r="D110" s="517" t="str">
        <f>IFERROR(__xludf.DUMMYFUNCTION("""COMPUTED_VALUE"""),"Retail Pack")</f>
        <v>Retail Pack</v>
      </c>
      <c r="E110" s="517" t="str">
        <f>IFERROR(__xludf.DUMMYFUNCTION("""COMPUTED_VALUE"""),"GA10215-GB-N")</f>
        <v>GA10215-GB-N</v>
      </c>
      <c r="F110" s="517" t="str">
        <f>IFERROR(__xludf.DUMMYFUNCTION("""COMPUTED_VALUE"""),"GB, DE, IT, ES, IE, FR, NL, BE, AT, CH, PT, PL, CZ, HU, RO, SI, LV, LT, EE, FI, NO, SE, DK, SK")</f>
        <v>GB, DE, IT, ES, IE, FR, NL, BE, AT, CH, PT, PL, CZ, HU, RO, SI, LV, LT, EE, FI, NO, SE, DK, SK</v>
      </c>
      <c r="G110" s="517" t="str">
        <f>IFERROR(__xludf.DUMMYFUNCTION("""COMPUTED_VALUE"""),"EMA")</f>
        <v>EMA</v>
      </c>
      <c r="H110" s="517" t="str">
        <f>IFERROR(__xludf.DUMMYFUNCTION("""COMPUTED_VALUE"""),"Sub6")</f>
        <v>Sub6</v>
      </c>
      <c r="I110" s="517" t="str">
        <f>IFERROR(__xludf.DUMMYFUNCTION("""COMPUTED_VALUE"""),"CLR3")</f>
        <v>CLR3</v>
      </c>
      <c r="J110" s="517" t="str">
        <f>IFERROR(__xludf.DUMMYFUNCTION("""COMPUTED_VALUE"""),"Limoncello Midtone")</f>
        <v>Limoncello Midtone</v>
      </c>
      <c r="K110" s="517" t="str">
        <f>IFERROR(__xludf.DUMMYFUNCTION("""COMPUTED_VALUE"""),"YEL")</f>
        <v>YEL</v>
      </c>
      <c r="L110" s="517" t="str">
        <f>IFERROR(__xludf.DUMMYFUNCTION("""COMPUTED_VALUE"""),"GK2MP")</f>
        <v>GK2MP</v>
      </c>
      <c r="M110" s="517" t="str">
        <f>IFERROR(__xludf.DUMMYFUNCTION("""COMPUTED_VALUE"""),"ROW")</f>
        <v>ROW</v>
      </c>
      <c r="N110" s="517" t="str">
        <f>IFERROR(__xludf.DUMMYFUNCTION("""COMPUTED_VALUE"""),"SKU, CLR3, GOOD, SUB6, UK/EU, PRESS, FL5")</f>
        <v>SKU, CLR3, GOOD, SUB6, UK/EU, PRESS, FL5</v>
      </c>
      <c r="O110" s="517">
        <f>IFERROR(__xludf.DUMMYFUNCTION("""COMPUTED_VALUE"""),0.0)</f>
        <v>0</v>
      </c>
      <c r="P110" s="517" t="str">
        <f>IFERROR(__xludf.DUMMYFUNCTION("""COMPUTED_VALUE"""),"128GB")</f>
        <v>128GB</v>
      </c>
      <c r="Q110" s="517"/>
      <c r="R110" s="518" t="str">
        <f>IFERROR(__xludf.DUMMYFUNCTION("""COMPUTED_VALUE"""),"840353928398")</f>
        <v>840353928398</v>
      </c>
      <c r="S110" s="518" t="str">
        <f>IFERROR(__xludf.DUMMYFUNCTION("""COMPUTED_VALUE"""),"0840353928398")</f>
        <v>0840353928398</v>
      </c>
      <c r="T110" s="517" t="str">
        <f>IFERROR(__xludf.DUMMYFUNCTION("""COMPUTED_VALUE"""),"MP")</f>
        <v>MP</v>
      </c>
    </row>
    <row r="111">
      <c r="B111" s="517">
        <f>IFERROR(__xludf.DUMMYFUNCTION("""COMPUTED_VALUE"""),107.0)</f>
        <v>107</v>
      </c>
      <c r="C111" s="517" t="str">
        <f>IFERROR(__xludf.DUMMYFUNCTION("""COMPUTED_VALUE"""),"Press- N (MKG)")</f>
        <v>Press- N (MKG)</v>
      </c>
      <c r="D111" s="517" t="str">
        <f>IFERROR(__xludf.DUMMYFUNCTION("""COMPUTED_VALUE"""),"Retail Pack")</f>
        <v>Retail Pack</v>
      </c>
      <c r="E111" s="517" t="str">
        <f>IFERROR(__xludf.DUMMYFUNCTION("""COMPUTED_VALUE"""),"GA10216-GB-N")</f>
        <v>GA10216-GB-N</v>
      </c>
      <c r="F111" s="517" t="str">
        <f>IFERROR(__xludf.DUMMYFUNCTION("""COMPUTED_VALUE"""),"GB, DE, IT, ES, IE, FR, NL, BE, AT, CH, PT, PL, CZ, HU, RO, SI, LV, LT, EE, FI, NO, SE, DK, SK")</f>
        <v>GB, DE, IT, ES, IE, FR, NL, BE, AT, CH, PT, PL, CZ, HU, RO, SI, LV, LT, EE, FI, NO, SE, DK, SK</v>
      </c>
      <c r="G111" s="517" t="str">
        <f>IFERROR(__xludf.DUMMYFUNCTION("""COMPUTED_VALUE"""),"EMA")</f>
        <v>EMA</v>
      </c>
      <c r="H111" s="517" t="str">
        <f>IFERROR(__xludf.DUMMYFUNCTION("""COMPUTED_VALUE"""),"Sub6")</f>
        <v>Sub6</v>
      </c>
      <c r="I111" s="517" t="str">
        <f>IFERROR(__xludf.DUMMYFUNCTION("""COMPUTED_VALUE"""),"CLR4")</f>
        <v>CLR4</v>
      </c>
      <c r="J111" s="517" t="str">
        <f>IFERROR(__xludf.DUMMYFUNCTION("""COMPUTED_VALUE"""),"Ultra Blue")</f>
        <v>Ultra Blue</v>
      </c>
      <c r="K111" s="517" t="str">
        <f>IFERROR(__xludf.DUMMYFUNCTION("""COMPUTED_VALUE"""),"BUE")</f>
        <v>BUE</v>
      </c>
      <c r="L111" s="517" t="str">
        <f>IFERROR(__xludf.DUMMYFUNCTION("""COMPUTED_VALUE"""),"GK2MP")</f>
        <v>GK2MP</v>
      </c>
      <c r="M111" s="517" t="str">
        <f>IFERROR(__xludf.DUMMYFUNCTION("""COMPUTED_VALUE"""),"ROW")</f>
        <v>ROW</v>
      </c>
      <c r="N111" s="517" t="str">
        <f>IFERROR(__xludf.DUMMYFUNCTION("""COMPUTED_VALUE"""),"SKU, CLR4, GOOD, SUB6, UK/EU, PRESS, FL5")</f>
        <v>SKU, CLR4, GOOD, SUB6, UK/EU, PRESS, FL5</v>
      </c>
      <c r="O111" s="517">
        <f>IFERROR(__xludf.DUMMYFUNCTION("""COMPUTED_VALUE"""),0.0)</f>
        <v>0</v>
      </c>
      <c r="P111" s="517" t="str">
        <f>IFERROR(__xludf.DUMMYFUNCTION("""COMPUTED_VALUE"""),"128GB")</f>
        <v>128GB</v>
      </c>
      <c r="Q111" s="517"/>
      <c r="R111" s="518" t="str">
        <f>IFERROR(__xludf.DUMMYFUNCTION("""COMPUTED_VALUE"""),"840353928527")</f>
        <v>840353928527</v>
      </c>
      <c r="S111" s="518" t="str">
        <f>IFERROR(__xludf.DUMMYFUNCTION("""COMPUTED_VALUE"""),"0840353928527")</f>
        <v>0840353928527</v>
      </c>
      <c r="T111" s="517" t="str">
        <f>IFERROR(__xludf.DUMMYFUNCTION("""COMPUTED_VALUE"""),"MP")</f>
        <v>MP</v>
      </c>
    </row>
    <row r="112">
      <c r="B112" s="517">
        <f>IFERROR(__xludf.DUMMYFUNCTION("""COMPUTED_VALUE"""),108.0)</f>
        <v>108</v>
      </c>
      <c r="C112" s="517" t="str">
        <f>IFERROR(__xludf.DUMMYFUNCTION("""COMPUTED_VALUE"""),"DEMO")</f>
        <v>DEMO</v>
      </c>
      <c r="D112" s="517" t="str">
        <f>IFERROR(__xludf.DUMMYFUNCTION("""COMPUTED_VALUE"""),"Retail Pack")</f>
        <v>Retail Pack</v>
      </c>
      <c r="E112" s="517" t="str">
        <f>IFERROR(__xludf.DUMMYFUNCTION("""COMPUTED_VALUE"""),"GA10771-US")</f>
        <v>GA10771-US</v>
      </c>
      <c r="F112" s="517" t="str">
        <f>IFERROR(__xludf.DUMMYFUNCTION("""COMPUTED_VALUE"""),"TMO, US")</f>
        <v>TMO, US</v>
      </c>
      <c r="G112" s="517" t="str">
        <f>IFERROR(__xludf.DUMMYFUNCTION("""COMPUTED_VALUE"""),"UTM")</f>
        <v>UTM</v>
      </c>
      <c r="H112" s="517" t="str">
        <f>IFERROR(__xludf.DUMMYFUNCTION("""COMPUTED_VALUE"""),"mmWave")</f>
        <v>mmWave</v>
      </c>
      <c r="I112" s="517" t="str">
        <f>IFERROR(__xludf.DUMMYFUNCTION("""COMPUTED_VALUE"""),"CLR1")</f>
        <v>CLR1</v>
      </c>
      <c r="J112" s="517" t="str">
        <f>IFERROR(__xludf.DUMMYFUNCTION("""COMPUTED_VALUE"""),"Midnight Haze")</f>
        <v>Midnight Haze</v>
      </c>
      <c r="K112" s="517" t="str">
        <f>IFERROR(__xludf.DUMMYFUNCTION("""COMPUTED_VALUE"""),"BLK")</f>
        <v>BLK</v>
      </c>
      <c r="L112" s="517" t="str">
        <f>IFERROR(__xludf.DUMMYFUNCTION("""COMPUTED_VALUE"""),"GLBW0")</f>
        <v>GLBW0</v>
      </c>
      <c r="M112" s="517" t="str">
        <f>IFERROR(__xludf.DUMMYFUNCTION("""COMPUTED_VALUE"""),"TMO")</f>
        <v>TMO</v>
      </c>
      <c r="N112" s="517" t="str">
        <f>IFERROR(__xludf.DUMMYFUNCTION("""COMPUTED_VALUE"""),"SKU, CLR1, GOOD, MMWAVE, TMO, US, DEMO, FL5")</f>
        <v>SKU, CLR1, GOOD, MMWAVE, TMO, US, DEMO, FL5</v>
      </c>
      <c r="O112" s="517" t="str">
        <f>IFERROR(__xludf.DUMMYFUNCTION("""COMPUTED_VALUE"""),"US")</f>
        <v>US</v>
      </c>
      <c r="P112" s="517" t="str">
        <f>IFERROR(__xludf.DUMMYFUNCTION("""COMPUTED_VALUE"""),"128GB")</f>
        <v>128GB</v>
      </c>
      <c r="Q112" s="518" t="str">
        <f>IFERROR(__xludf.DUMMYFUNCTION("""COMPUTED_VALUE"""),"TBD")</f>
        <v>TBD</v>
      </c>
      <c r="R112" s="518" t="str">
        <f>IFERROR(__xludf.DUMMYFUNCTION("""COMPUTED_VALUE"""),"840353928190")</f>
        <v>840353928190</v>
      </c>
      <c r="S112" s="518" t="str">
        <f>IFERROR(__xludf.DUMMYFUNCTION("""COMPUTED_VALUE"""),"0840353928190")</f>
        <v>0840353928190</v>
      </c>
      <c r="T112" s="517" t="str">
        <f>IFERROR(__xludf.DUMMYFUNCTION("""COMPUTED_VALUE"""),"MP")</f>
        <v>MP</v>
      </c>
    </row>
    <row r="113">
      <c r="B113" s="517">
        <f>IFERROR(__xludf.DUMMYFUNCTION("""COMPUTED_VALUE"""),109.0)</f>
        <v>109</v>
      </c>
      <c r="C113" s="517" t="str">
        <f>IFERROR(__xludf.DUMMYFUNCTION("""COMPUTED_VALUE"""),"DEMO")</f>
        <v>DEMO</v>
      </c>
      <c r="D113" s="517" t="str">
        <f>IFERROR(__xludf.DUMMYFUNCTION("""COMPUTED_VALUE"""),"Retail Pack")</f>
        <v>Retail Pack</v>
      </c>
      <c r="E113" s="517" t="str">
        <f>IFERROR(__xludf.DUMMYFUNCTION("""COMPUTED_VALUE"""),"GA10772-US")</f>
        <v>GA10772-US</v>
      </c>
      <c r="F113" s="517" t="str">
        <f>IFERROR(__xludf.DUMMYFUNCTION("""COMPUTED_VALUE"""),"TMO, US")</f>
        <v>TMO, US</v>
      </c>
      <c r="G113" s="517" t="str">
        <f>IFERROR(__xludf.DUMMYFUNCTION("""COMPUTED_VALUE"""),"UTM")</f>
        <v>UTM</v>
      </c>
      <c r="H113" s="517" t="str">
        <f>IFERROR(__xludf.DUMMYFUNCTION("""COMPUTED_VALUE"""),"mmWave")</f>
        <v>mmWave</v>
      </c>
      <c r="I113" s="517" t="str">
        <f>IFERROR(__xludf.DUMMYFUNCTION("""COMPUTED_VALUE"""),"CLR4")</f>
        <v>CLR4</v>
      </c>
      <c r="J113" s="517" t="str">
        <f>IFERROR(__xludf.DUMMYFUNCTION("""COMPUTED_VALUE"""),"Ultra Blue")</f>
        <v>Ultra Blue</v>
      </c>
      <c r="K113" s="517" t="str">
        <f>IFERROR(__xludf.DUMMYFUNCTION("""COMPUTED_VALUE"""),"BUE")</f>
        <v>BUE</v>
      </c>
      <c r="L113" s="517" t="str">
        <f>IFERROR(__xludf.DUMMYFUNCTION("""COMPUTED_VALUE"""),"GLBW0")</f>
        <v>GLBW0</v>
      </c>
      <c r="M113" s="517" t="str">
        <f>IFERROR(__xludf.DUMMYFUNCTION("""COMPUTED_VALUE"""),"TMO")</f>
        <v>TMO</v>
      </c>
      <c r="N113" s="517" t="str">
        <f>IFERROR(__xludf.DUMMYFUNCTION("""COMPUTED_VALUE"""),"SKU, CLR4, GOOD, MMWAVE, TMO, US, DEMO, FL5")</f>
        <v>SKU, CLR4, GOOD, MMWAVE, TMO, US, DEMO, FL5</v>
      </c>
      <c r="O113" s="517" t="str">
        <f>IFERROR(__xludf.DUMMYFUNCTION("""COMPUTED_VALUE"""),"US")</f>
        <v>US</v>
      </c>
      <c r="P113" s="517" t="str">
        <f>IFERROR(__xludf.DUMMYFUNCTION("""COMPUTED_VALUE"""),"128GB")</f>
        <v>128GB</v>
      </c>
      <c r="Q113" s="518" t="str">
        <f>IFERROR(__xludf.DUMMYFUNCTION("""COMPUTED_VALUE"""),"TBD")</f>
        <v>TBD</v>
      </c>
      <c r="R113" s="518" t="str">
        <f>IFERROR(__xludf.DUMMYFUNCTION("""COMPUTED_VALUE"""),"840353928220")</f>
        <v>840353928220</v>
      </c>
      <c r="S113" s="518" t="str">
        <f>IFERROR(__xludf.DUMMYFUNCTION("""COMPUTED_VALUE"""),"0840353928220")</f>
        <v>0840353928220</v>
      </c>
      <c r="T113" s="517" t="str">
        <f>IFERROR(__xludf.DUMMYFUNCTION("""COMPUTED_VALUE"""),"MP")</f>
        <v>MP</v>
      </c>
    </row>
    <row r="114">
      <c r="B114" s="517">
        <f>IFERROR(__xludf.DUMMYFUNCTION("""COMPUTED_VALUE"""),110.0)</f>
        <v>110</v>
      </c>
      <c r="C114" s="517" t="str">
        <f>IFERROR(__xludf.DUMMYFUNCTION("""COMPUTED_VALUE"""),"DEMO")</f>
        <v>DEMO</v>
      </c>
      <c r="D114" s="517" t="str">
        <f>IFERROR(__xludf.DUMMYFUNCTION("""COMPUTED_VALUE"""),"Retail Pack")</f>
        <v>Retail Pack</v>
      </c>
      <c r="E114" s="517" t="str">
        <f>IFERROR(__xludf.DUMMYFUNCTION("""COMPUTED_VALUE"""),"GA10773-US")</f>
        <v>GA10773-US</v>
      </c>
      <c r="F114" s="517" t="str">
        <f>IFERROR(__xludf.DUMMYFUNCTION("""COMPUTED_VALUE"""),"ATT, US")</f>
        <v>ATT, US</v>
      </c>
      <c r="G114" s="517" t="str">
        <f>IFERROR(__xludf.DUMMYFUNCTION("""COMPUTED_VALUE"""),"UAT")</f>
        <v>UAT</v>
      </c>
      <c r="H114" s="517" t="str">
        <f>IFERROR(__xludf.DUMMYFUNCTION("""COMPUTED_VALUE"""),"mmWave")</f>
        <v>mmWave</v>
      </c>
      <c r="I114" s="517" t="str">
        <f>IFERROR(__xludf.DUMMYFUNCTION("""COMPUTED_VALUE"""),"CLR1")</f>
        <v>CLR1</v>
      </c>
      <c r="J114" s="517" t="str">
        <f>IFERROR(__xludf.DUMMYFUNCTION("""COMPUTED_VALUE"""),"Midnight Haze")</f>
        <v>Midnight Haze</v>
      </c>
      <c r="K114" s="517" t="str">
        <f>IFERROR(__xludf.DUMMYFUNCTION("""COMPUTED_VALUE"""),"BLK")</f>
        <v>BLK</v>
      </c>
      <c r="L114" s="517" t="str">
        <f>IFERROR(__xludf.DUMMYFUNCTION("""COMPUTED_VALUE"""),"GLBW0")</f>
        <v>GLBW0</v>
      </c>
      <c r="M114" s="517" t="str">
        <f>IFERROR(__xludf.DUMMYFUNCTION("""COMPUTED_VALUE"""),"ATT")</f>
        <v>ATT</v>
      </c>
      <c r="N114" s="517" t="str">
        <f>IFERROR(__xludf.DUMMYFUNCTION("""COMPUTED_VALUE"""),"SKU, CLR1, GOOD, MMWAVE, ATT, US, DEMO, FL5")</f>
        <v>SKU, CLR1, GOOD, MMWAVE, ATT, US, DEMO, FL5</v>
      </c>
      <c r="O114" s="517" t="str">
        <f>IFERROR(__xludf.DUMMYFUNCTION("""COMPUTED_VALUE"""),"US")</f>
        <v>US</v>
      </c>
      <c r="P114" s="517" t="str">
        <f>IFERROR(__xludf.DUMMYFUNCTION("""COMPUTED_VALUE"""),"128GB")</f>
        <v>128GB</v>
      </c>
      <c r="Q114" s="518" t="str">
        <f>IFERROR(__xludf.DUMMYFUNCTION("""COMPUTED_VALUE"""),"TBD")</f>
        <v>TBD</v>
      </c>
      <c r="R114" s="518" t="str">
        <f>IFERROR(__xludf.DUMMYFUNCTION("""COMPUTED_VALUE"""),"840353928084")</f>
        <v>840353928084</v>
      </c>
      <c r="S114" s="518" t="str">
        <f>IFERROR(__xludf.DUMMYFUNCTION("""COMPUTED_VALUE"""),"0840353928084")</f>
        <v>0840353928084</v>
      </c>
      <c r="T114" s="517" t="str">
        <f>IFERROR(__xludf.DUMMYFUNCTION("""COMPUTED_VALUE"""),"MP")</f>
        <v>MP</v>
      </c>
    </row>
    <row r="115">
      <c r="B115" s="517">
        <f>IFERROR(__xludf.DUMMYFUNCTION("""COMPUTED_VALUE"""),111.0)</f>
        <v>111</v>
      </c>
      <c r="C115" s="517" t="str">
        <f>IFERROR(__xludf.DUMMYFUNCTION("""COMPUTED_VALUE"""),"DEMO")</f>
        <v>DEMO</v>
      </c>
      <c r="D115" s="517" t="str">
        <f>IFERROR(__xludf.DUMMYFUNCTION("""COMPUTED_VALUE"""),"Retail Pack")</f>
        <v>Retail Pack</v>
      </c>
      <c r="E115" s="517" t="str">
        <f>IFERROR(__xludf.DUMMYFUNCTION("""COMPUTED_VALUE"""),"GA10774-US")</f>
        <v>GA10774-US</v>
      </c>
      <c r="F115" s="517" t="str">
        <f>IFERROR(__xludf.DUMMYFUNCTION("""COMPUTED_VALUE"""),"ATT, US")</f>
        <v>ATT, US</v>
      </c>
      <c r="G115" s="517" t="str">
        <f>IFERROR(__xludf.DUMMYFUNCTION("""COMPUTED_VALUE"""),"UAT")</f>
        <v>UAT</v>
      </c>
      <c r="H115" s="517" t="str">
        <f>IFERROR(__xludf.DUMMYFUNCTION("""COMPUTED_VALUE"""),"mmWave")</f>
        <v>mmWave</v>
      </c>
      <c r="I115" s="517" t="str">
        <f>IFERROR(__xludf.DUMMYFUNCTION("""COMPUTED_VALUE"""),"CLR4")</f>
        <v>CLR4</v>
      </c>
      <c r="J115" s="517" t="str">
        <f>IFERROR(__xludf.DUMMYFUNCTION("""COMPUTED_VALUE"""),"Ultra Blue")</f>
        <v>Ultra Blue</v>
      </c>
      <c r="K115" s="517" t="str">
        <f>IFERROR(__xludf.DUMMYFUNCTION("""COMPUTED_VALUE"""),"BUE")</f>
        <v>BUE</v>
      </c>
      <c r="L115" s="517" t="str">
        <f>IFERROR(__xludf.DUMMYFUNCTION("""COMPUTED_VALUE"""),"GLBW0")</f>
        <v>GLBW0</v>
      </c>
      <c r="M115" s="517" t="str">
        <f>IFERROR(__xludf.DUMMYFUNCTION("""COMPUTED_VALUE"""),"ATT")</f>
        <v>ATT</v>
      </c>
      <c r="N115" s="517" t="str">
        <f>IFERROR(__xludf.DUMMYFUNCTION("""COMPUTED_VALUE"""),"SKU, CLR4, GOOD, MMWAVE, ATT, US, DEMO, FL5")</f>
        <v>SKU, CLR4, GOOD, MMWAVE, ATT, US, DEMO, FL5</v>
      </c>
      <c r="O115" s="517" t="str">
        <f>IFERROR(__xludf.DUMMYFUNCTION("""COMPUTED_VALUE"""),"US")</f>
        <v>US</v>
      </c>
      <c r="P115" s="517" t="str">
        <f>IFERROR(__xludf.DUMMYFUNCTION("""COMPUTED_VALUE"""),"128GB")</f>
        <v>128GB</v>
      </c>
      <c r="Q115" s="518" t="str">
        <f>IFERROR(__xludf.DUMMYFUNCTION("""COMPUTED_VALUE"""),"TBD")</f>
        <v>TBD</v>
      </c>
      <c r="R115" s="518" t="str">
        <f>IFERROR(__xludf.DUMMYFUNCTION("""COMPUTED_VALUE"""),"840353928053")</f>
        <v>840353928053</v>
      </c>
      <c r="S115" s="518" t="str">
        <f>IFERROR(__xludf.DUMMYFUNCTION("""COMPUTED_VALUE"""),"0840353928053")</f>
        <v>0840353928053</v>
      </c>
      <c r="T115" s="517" t="str">
        <f>IFERROR(__xludf.DUMMYFUNCTION("""COMPUTED_VALUE"""),"MP")</f>
        <v>MP</v>
      </c>
    </row>
    <row r="116">
      <c r="B116" s="517">
        <f>IFERROR(__xludf.DUMMYFUNCTION("""COMPUTED_VALUE"""),112.0)</f>
        <v>112</v>
      </c>
      <c r="C116" s="517" t="str">
        <f>IFERROR(__xludf.DUMMYFUNCTION("""COMPUTED_VALUE"""),"DEMO")</f>
        <v>DEMO</v>
      </c>
      <c r="D116" s="517" t="str">
        <f>IFERROR(__xludf.DUMMYFUNCTION("""COMPUTED_VALUE"""),"Retail Pack")</f>
        <v>Retail Pack</v>
      </c>
      <c r="E116" s="517" t="str">
        <f>IFERROR(__xludf.DUMMYFUNCTION("""COMPUTED_VALUE"""),"GA10775-US")</f>
        <v>GA10775-US</v>
      </c>
      <c r="F116" s="517" t="str">
        <f>IFERROR(__xludf.DUMMYFUNCTION("""COMPUTED_VALUE"""),"GSTORE, US")</f>
        <v>GSTORE, US</v>
      </c>
      <c r="G116" s="517" t="str">
        <f>IFERROR(__xludf.DUMMYFUNCTION("""COMPUTED_VALUE"""),"UGS")</f>
        <v>UGS</v>
      </c>
      <c r="H116" s="517" t="str">
        <f>IFERROR(__xludf.DUMMYFUNCTION("""COMPUTED_VALUE"""),"mmWave")</f>
        <v>mmWave</v>
      </c>
      <c r="I116" s="517" t="str">
        <f>IFERROR(__xludf.DUMMYFUNCTION("""COMPUTED_VALUE"""),"CLR1")</f>
        <v>CLR1</v>
      </c>
      <c r="J116" s="517" t="str">
        <f>IFERROR(__xludf.DUMMYFUNCTION("""COMPUTED_VALUE"""),"Midnight Haze")</f>
        <v>Midnight Haze</v>
      </c>
      <c r="K116" s="517" t="str">
        <f>IFERROR(__xludf.DUMMYFUNCTION("""COMPUTED_VALUE"""),"BLK")</f>
        <v>BLK</v>
      </c>
      <c r="L116" s="517" t="str">
        <f>IFERROR(__xludf.DUMMYFUNCTION("""COMPUTED_VALUE"""),"GLBW0")</f>
        <v>GLBW0</v>
      </c>
      <c r="M116" s="517" t="str">
        <f>IFERROR(__xludf.DUMMYFUNCTION("""COMPUTED_VALUE"""),"NA")</f>
        <v>NA</v>
      </c>
      <c r="N116" s="517" t="str">
        <f>IFERROR(__xludf.DUMMYFUNCTION("""COMPUTED_VALUE"""),"SKU, CLR1, GOOD, MMWAVE, GSTORE, US, DEMO, FL5")</f>
        <v>SKU, CLR1, GOOD, MMWAVE, GSTORE, US, DEMO, FL5</v>
      </c>
      <c r="O116" s="517">
        <f>IFERROR(__xludf.DUMMYFUNCTION("""COMPUTED_VALUE"""),0.0)</f>
        <v>0</v>
      </c>
      <c r="P116" s="517" t="str">
        <f>IFERROR(__xludf.DUMMYFUNCTION("""COMPUTED_VALUE"""),"128GB")</f>
        <v>128GB</v>
      </c>
      <c r="Q116" s="517"/>
      <c r="R116" s="518" t="str">
        <f>IFERROR(__xludf.DUMMYFUNCTION("""COMPUTED_VALUE"""),"840353928237")</f>
        <v>840353928237</v>
      </c>
      <c r="S116" s="518" t="str">
        <f>IFERROR(__xludf.DUMMYFUNCTION("""COMPUTED_VALUE"""),"0840353928237")</f>
        <v>0840353928237</v>
      </c>
      <c r="T116" s="517" t="str">
        <f>IFERROR(__xludf.DUMMYFUNCTION("""COMPUTED_VALUE"""),"MP")</f>
        <v>MP</v>
      </c>
    </row>
    <row r="117">
      <c r="B117" s="517">
        <f>IFERROR(__xludf.DUMMYFUNCTION("""COMPUTED_VALUE"""),113.0)</f>
        <v>113</v>
      </c>
      <c r="C117" s="517" t="str">
        <f>IFERROR(__xludf.DUMMYFUNCTION("""COMPUTED_VALUE"""),"DEMO")</f>
        <v>DEMO</v>
      </c>
      <c r="D117" s="517" t="str">
        <f>IFERROR(__xludf.DUMMYFUNCTION("""COMPUTED_VALUE"""),"Retail Pack")</f>
        <v>Retail Pack</v>
      </c>
      <c r="E117" s="517" t="str">
        <f>IFERROR(__xludf.DUMMYFUNCTION("""COMPUTED_VALUE"""),"GA10776-US")</f>
        <v>GA10776-US</v>
      </c>
      <c r="F117" s="517" t="str">
        <f>IFERROR(__xludf.DUMMYFUNCTION("""COMPUTED_VALUE"""),"GSTORE, US")</f>
        <v>GSTORE, US</v>
      </c>
      <c r="G117" s="517" t="str">
        <f>IFERROR(__xludf.DUMMYFUNCTION("""COMPUTED_VALUE"""),"UGS")</f>
        <v>UGS</v>
      </c>
      <c r="H117" s="517" t="str">
        <f>IFERROR(__xludf.DUMMYFUNCTION("""COMPUTED_VALUE"""),"mmWave")</f>
        <v>mmWave</v>
      </c>
      <c r="I117" s="517" t="str">
        <f>IFERROR(__xludf.DUMMYFUNCTION("""COMPUTED_VALUE"""),"CLR4")</f>
        <v>CLR4</v>
      </c>
      <c r="J117" s="517" t="str">
        <f>IFERROR(__xludf.DUMMYFUNCTION("""COMPUTED_VALUE"""),"Ultra Blue")</f>
        <v>Ultra Blue</v>
      </c>
      <c r="K117" s="517" t="str">
        <f>IFERROR(__xludf.DUMMYFUNCTION("""COMPUTED_VALUE"""),"BUE")</f>
        <v>BUE</v>
      </c>
      <c r="L117" s="517" t="str">
        <f>IFERROR(__xludf.DUMMYFUNCTION("""COMPUTED_VALUE"""),"GLBW0")</f>
        <v>GLBW0</v>
      </c>
      <c r="M117" s="517" t="str">
        <f>IFERROR(__xludf.DUMMYFUNCTION("""COMPUTED_VALUE"""),"NA")</f>
        <v>NA</v>
      </c>
      <c r="N117" s="517" t="str">
        <f>IFERROR(__xludf.DUMMYFUNCTION("""COMPUTED_VALUE"""),"SKU, CLR4, GOOD, MMWAVE, GSTORE, US, DEMO, FL5")</f>
        <v>SKU, CLR4, GOOD, MMWAVE, GSTORE, US, DEMO, FL5</v>
      </c>
      <c r="O117" s="517">
        <f>IFERROR(__xludf.DUMMYFUNCTION("""COMPUTED_VALUE"""),0.0)</f>
        <v>0</v>
      </c>
      <c r="P117" s="517" t="str">
        <f>IFERROR(__xludf.DUMMYFUNCTION("""COMPUTED_VALUE"""),"128GB")</f>
        <v>128GB</v>
      </c>
      <c r="Q117" s="517"/>
      <c r="R117" s="518" t="str">
        <f>IFERROR(__xludf.DUMMYFUNCTION("""COMPUTED_VALUE"""),"840353928275")</f>
        <v>840353928275</v>
      </c>
      <c r="S117" s="518" t="str">
        <f>IFERROR(__xludf.DUMMYFUNCTION("""COMPUTED_VALUE"""),"0840353928275")</f>
        <v>0840353928275</v>
      </c>
      <c r="T117" s="517" t="str">
        <f>IFERROR(__xludf.DUMMYFUNCTION("""COMPUTED_VALUE"""),"MP")</f>
        <v>MP</v>
      </c>
    </row>
    <row r="118">
      <c r="B118" s="517">
        <f>IFERROR(__xludf.DUMMYFUNCTION("""COMPUTED_VALUE"""),114.0)</f>
        <v>114</v>
      </c>
      <c r="C118" s="517" t="str">
        <f>IFERROR(__xludf.DUMMYFUNCTION("""COMPUTED_VALUE"""),"DEMO")</f>
        <v>DEMO</v>
      </c>
      <c r="D118" s="517" t="str">
        <f>IFERROR(__xludf.DUMMYFUNCTION("""COMPUTED_VALUE"""),"Retail Pack")</f>
        <v>Retail Pack</v>
      </c>
      <c r="E118" s="517" t="str">
        <f>IFERROR(__xludf.DUMMYFUNCTION("""COMPUTED_VALUE"""),"GA10775-JP")</f>
        <v>GA10775-JP</v>
      </c>
      <c r="F118" s="517" t="str">
        <f>IFERROR(__xludf.DUMMYFUNCTION("""COMPUTED_VALUE"""),"JP")</f>
        <v>JP</v>
      </c>
      <c r="G118" s="517" t="str">
        <f>IFERROR(__xludf.DUMMYFUNCTION("""COMPUTED_VALUE"""),"AJP")</f>
        <v>AJP</v>
      </c>
      <c r="H118" s="517" t="str">
        <f>IFERROR(__xludf.DUMMYFUNCTION("""COMPUTED_VALUE"""),"JPN")</f>
        <v>JPN</v>
      </c>
      <c r="I118" s="517" t="str">
        <f>IFERROR(__xludf.DUMMYFUNCTION("""COMPUTED_VALUE"""),"CLR1")</f>
        <v>CLR1</v>
      </c>
      <c r="J118" s="517" t="str">
        <f>IFERROR(__xludf.DUMMYFUNCTION("""COMPUTED_VALUE"""),"Midnight Haze")</f>
        <v>Midnight Haze</v>
      </c>
      <c r="K118" s="517" t="str">
        <f>IFERROR(__xludf.DUMMYFUNCTION("""COMPUTED_VALUE"""),"BLK")</f>
        <v>BLK</v>
      </c>
      <c r="L118" s="517" t="str">
        <f>IFERROR(__xludf.DUMMYFUNCTION("""COMPUTED_VALUE"""),"GL066")</f>
        <v>GL066</v>
      </c>
      <c r="M118" s="517" t="str">
        <f>IFERROR(__xludf.DUMMYFUNCTION("""COMPUTED_VALUE"""),"JPN")</f>
        <v>JPN</v>
      </c>
      <c r="N118" s="517" t="str">
        <f>IFERROR(__xludf.DUMMYFUNCTION("""COMPUTED_VALUE"""),"SKU, CLR1, GOOD, SUB6, JP, DEMO, FL5")</f>
        <v>SKU, CLR1, GOOD, SUB6, JP, DEMO, FL5</v>
      </c>
      <c r="O118" s="517">
        <f>IFERROR(__xludf.DUMMYFUNCTION("""COMPUTED_VALUE"""),0.0)</f>
        <v>0</v>
      </c>
      <c r="P118" s="517" t="str">
        <f>IFERROR(__xludf.DUMMYFUNCTION("""COMPUTED_VALUE"""),"128GB")</f>
        <v>128GB</v>
      </c>
      <c r="Q118" s="517"/>
      <c r="R118" s="518" t="str">
        <f>IFERROR(__xludf.DUMMYFUNCTION("""COMPUTED_VALUE"""),"840353928619")</f>
        <v>840353928619</v>
      </c>
      <c r="S118" s="518" t="str">
        <f>IFERROR(__xludf.DUMMYFUNCTION("""COMPUTED_VALUE"""),"0840353928619")</f>
        <v>0840353928619</v>
      </c>
      <c r="T118" s="517" t="str">
        <f>IFERROR(__xludf.DUMMYFUNCTION("""COMPUTED_VALUE"""),"MP")</f>
        <v>MP</v>
      </c>
    </row>
    <row r="119">
      <c r="B119" s="517">
        <f>IFERROR(__xludf.DUMMYFUNCTION("""COMPUTED_VALUE"""),115.0)</f>
        <v>115</v>
      </c>
      <c r="C119" s="517" t="str">
        <f>IFERROR(__xludf.DUMMYFUNCTION("""COMPUTED_VALUE"""),"DEMO")</f>
        <v>DEMO</v>
      </c>
      <c r="D119" s="517" t="str">
        <f>IFERROR(__xludf.DUMMYFUNCTION("""COMPUTED_VALUE"""),"Retail Pack")</f>
        <v>Retail Pack</v>
      </c>
      <c r="E119" s="517" t="str">
        <f>IFERROR(__xludf.DUMMYFUNCTION("""COMPUTED_VALUE"""),"GA10776-JP")</f>
        <v>GA10776-JP</v>
      </c>
      <c r="F119" s="517" t="str">
        <f>IFERROR(__xludf.DUMMYFUNCTION("""COMPUTED_VALUE"""),"JP")</f>
        <v>JP</v>
      </c>
      <c r="G119" s="517" t="str">
        <f>IFERROR(__xludf.DUMMYFUNCTION("""COMPUTED_VALUE"""),"AJP")</f>
        <v>AJP</v>
      </c>
      <c r="H119" s="517" t="str">
        <f>IFERROR(__xludf.DUMMYFUNCTION("""COMPUTED_VALUE"""),"JPN")</f>
        <v>JPN</v>
      </c>
      <c r="I119" s="517" t="str">
        <f>IFERROR(__xludf.DUMMYFUNCTION("""COMPUTED_VALUE"""),"CLR4")</f>
        <v>CLR4</v>
      </c>
      <c r="J119" s="517" t="str">
        <f>IFERROR(__xludf.DUMMYFUNCTION("""COMPUTED_VALUE"""),"Ultra Blue")</f>
        <v>Ultra Blue</v>
      </c>
      <c r="K119" s="517" t="str">
        <f>IFERROR(__xludf.DUMMYFUNCTION("""COMPUTED_VALUE"""),"BUE")</f>
        <v>BUE</v>
      </c>
      <c r="L119" s="517" t="str">
        <f>IFERROR(__xludf.DUMMYFUNCTION("""COMPUTED_VALUE"""),"GL066")</f>
        <v>GL066</v>
      </c>
      <c r="M119" s="517" t="str">
        <f>IFERROR(__xludf.DUMMYFUNCTION("""COMPUTED_VALUE"""),"JPN")</f>
        <v>JPN</v>
      </c>
      <c r="N119" s="517" t="str">
        <f>IFERROR(__xludf.DUMMYFUNCTION("""COMPUTED_VALUE"""),"SKU, CLR4, GOOD, SUB6, JP, DEMO, FL5")</f>
        <v>SKU, CLR4, GOOD, SUB6, JP, DEMO, FL5</v>
      </c>
      <c r="O119" s="517">
        <f>IFERROR(__xludf.DUMMYFUNCTION("""COMPUTED_VALUE"""),0.0)</f>
        <v>0</v>
      </c>
      <c r="P119" s="517" t="str">
        <f>IFERROR(__xludf.DUMMYFUNCTION("""COMPUTED_VALUE"""),"128GB")</f>
        <v>128GB</v>
      </c>
      <c r="Q119" s="517"/>
      <c r="R119" s="518" t="str">
        <f>IFERROR(__xludf.DUMMYFUNCTION("""COMPUTED_VALUE"""),"840353928534")</f>
        <v>840353928534</v>
      </c>
      <c r="S119" s="518" t="str">
        <f>IFERROR(__xludf.DUMMYFUNCTION("""COMPUTED_VALUE"""),"0840353928534")</f>
        <v>0840353928534</v>
      </c>
      <c r="T119" s="517" t="str">
        <f>IFERROR(__xludf.DUMMYFUNCTION("""COMPUTED_VALUE"""),"MP")</f>
        <v>MP</v>
      </c>
    </row>
    <row r="120">
      <c r="B120" s="517">
        <f>IFERROR(__xludf.DUMMYFUNCTION("""COMPUTED_VALUE"""),116.0)</f>
        <v>116</v>
      </c>
      <c r="C120" s="517" t="str">
        <f>IFERROR(__xludf.DUMMYFUNCTION("""COMPUTED_VALUE"""),"DEMO")</f>
        <v>DEMO</v>
      </c>
      <c r="D120" s="517" t="str">
        <f>IFERROR(__xludf.DUMMYFUNCTION("""COMPUTED_VALUE"""),"Retail Pack")</f>
        <v>Retail Pack</v>
      </c>
      <c r="E120" s="517" t="str">
        <f>IFERROR(__xludf.DUMMYFUNCTION("""COMPUTED_VALUE"""),"GA10775-CA")</f>
        <v>GA10775-CA</v>
      </c>
      <c r="F120" s="517" t="str">
        <f>IFERROR(__xludf.DUMMYFUNCTION("""COMPUTED_VALUE"""),"CA/TW/SG/MY/AU/MX")</f>
        <v>CA/TW/SG/MY/AU/MX</v>
      </c>
      <c r="G120" s="517" t="str">
        <f>IFERROR(__xludf.DUMMYFUNCTION("""COMPUTED_VALUE"""),"NCA")</f>
        <v>NCA</v>
      </c>
      <c r="H120" s="517" t="str">
        <f>IFERROR(__xludf.DUMMYFUNCTION("""COMPUTED_VALUE"""),"Sub6")</f>
        <v>Sub6</v>
      </c>
      <c r="I120" s="517" t="str">
        <f>IFERROR(__xludf.DUMMYFUNCTION("""COMPUTED_VALUE"""),"CLR1")</f>
        <v>CLR1</v>
      </c>
      <c r="J120" s="517" t="str">
        <f>IFERROR(__xludf.DUMMYFUNCTION("""COMPUTED_VALUE"""),"Midnight Haze")</f>
        <v>Midnight Haze</v>
      </c>
      <c r="K120" s="517" t="str">
        <f>IFERROR(__xludf.DUMMYFUNCTION("""COMPUTED_VALUE"""),"BLK")</f>
        <v>BLK</v>
      </c>
      <c r="L120" s="517" t="str">
        <f>IFERROR(__xludf.DUMMYFUNCTION("""COMPUTED_VALUE"""),"GK2MP")</f>
        <v>GK2MP</v>
      </c>
      <c r="M120" s="517" t="str">
        <f>IFERROR(__xludf.DUMMYFUNCTION("""COMPUTED_VALUE"""),"ROW")</f>
        <v>ROW</v>
      </c>
      <c r="N120" s="517" t="str">
        <f>IFERROR(__xludf.DUMMYFUNCTION("""COMPUTED_VALUE"""),"SKU, CLR1, GOOD, SUB6, CA/TW/SG/MY/AU/MX, DEMO, FL5")</f>
        <v>SKU, CLR1, GOOD, SUB6, CA/TW/SG/MY/AU/MX, DEMO, FL5</v>
      </c>
      <c r="O120" s="517">
        <f>IFERROR(__xludf.DUMMYFUNCTION("""COMPUTED_VALUE"""),0.0)</f>
        <v>0</v>
      </c>
      <c r="P120" s="517" t="str">
        <f>IFERROR(__xludf.DUMMYFUNCTION("""COMPUTED_VALUE"""),"128GB")</f>
        <v>128GB</v>
      </c>
      <c r="Q120" s="517"/>
      <c r="R120" s="518" t="str">
        <f>IFERROR(__xludf.DUMMYFUNCTION("""COMPUTED_VALUE"""),"840353928381")</f>
        <v>840353928381</v>
      </c>
      <c r="S120" s="518" t="str">
        <f>IFERROR(__xludf.DUMMYFUNCTION("""COMPUTED_VALUE"""),"0840353928381")</f>
        <v>0840353928381</v>
      </c>
      <c r="T120" s="517" t="str">
        <f>IFERROR(__xludf.DUMMYFUNCTION("""COMPUTED_VALUE"""),"MP")</f>
        <v>MP</v>
      </c>
    </row>
    <row r="121">
      <c r="B121" s="517">
        <f>IFERROR(__xludf.DUMMYFUNCTION("""COMPUTED_VALUE"""),117.0)</f>
        <v>117</v>
      </c>
      <c r="C121" s="517" t="str">
        <f>IFERROR(__xludf.DUMMYFUNCTION("""COMPUTED_VALUE"""),"DEMO")</f>
        <v>DEMO</v>
      </c>
      <c r="D121" s="517" t="str">
        <f>IFERROR(__xludf.DUMMYFUNCTION("""COMPUTED_VALUE"""),"Retail Pack")</f>
        <v>Retail Pack</v>
      </c>
      <c r="E121" s="517" t="str">
        <f>IFERROR(__xludf.DUMMYFUNCTION("""COMPUTED_VALUE"""),"GA10776-CA")</f>
        <v>GA10776-CA</v>
      </c>
      <c r="F121" s="517" t="str">
        <f>IFERROR(__xludf.DUMMYFUNCTION("""COMPUTED_VALUE"""),"CA/TW/SG/MY/AU/MX")</f>
        <v>CA/TW/SG/MY/AU/MX</v>
      </c>
      <c r="G121" s="517" t="str">
        <f>IFERROR(__xludf.DUMMYFUNCTION("""COMPUTED_VALUE"""),"NCA")</f>
        <v>NCA</v>
      </c>
      <c r="H121" s="517" t="str">
        <f>IFERROR(__xludf.DUMMYFUNCTION("""COMPUTED_VALUE"""),"Sub6")</f>
        <v>Sub6</v>
      </c>
      <c r="I121" s="517" t="str">
        <f>IFERROR(__xludf.DUMMYFUNCTION("""COMPUTED_VALUE"""),"CLR4")</f>
        <v>CLR4</v>
      </c>
      <c r="J121" s="517" t="str">
        <f>IFERROR(__xludf.DUMMYFUNCTION("""COMPUTED_VALUE"""),"Ultra Blue")</f>
        <v>Ultra Blue</v>
      </c>
      <c r="K121" s="517" t="str">
        <f>IFERROR(__xludf.DUMMYFUNCTION("""COMPUTED_VALUE"""),"BUE")</f>
        <v>BUE</v>
      </c>
      <c r="L121" s="517" t="str">
        <f>IFERROR(__xludf.DUMMYFUNCTION("""COMPUTED_VALUE"""),"GK2MP")</f>
        <v>GK2MP</v>
      </c>
      <c r="M121" s="517" t="str">
        <f>IFERROR(__xludf.DUMMYFUNCTION("""COMPUTED_VALUE"""),"ROW")</f>
        <v>ROW</v>
      </c>
      <c r="N121" s="517" t="str">
        <f>IFERROR(__xludf.DUMMYFUNCTION("""COMPUTED_VALUE"""),"SKU, CLR4, GOOD, SUB6, CA/TW/SG/MY/AU/MX, DEMO, FL5")</f>
        <v>SKU, CLR4, GOOD, SUB6, CA/TW/SG/MY/AU/MX, DEMO, FL5</v>
      </c>
      <c r="O121" s="517">
        <f>IFERROR(__xludf.DUMMYFUNCTION("""COMPUTED_VALUE"""),0.0)</f>
        <v>0</v>
      </c>
      <c r="P121" s="517" t="str">
        <f>IFERROR(__xludf.DUMMYFUNCTION("""COMPUTED_VALUE"""),"128GB")</f>
        <v>128GB</v>
      </c>
      <c r="Q121" s="517"/>
      <c r="R121" s="518" t="str">
        <f>IFERROR(__xludf.DUMMYFUNCTION("""COMPUTED_VALUE"""),"840353928541")</f>
        <v>840353928541</v>
      </c>
      <c r="S121" s="518" t="str">
        <f>IFERROR(__xludf.DUMMYFUNCTION("""COMPUTED_VALUE"""),"0840353928541")</f>
        <v>0840353928541</v>
      </c>
      <c r="T121" s="517" t="str">
        <f>IFERROR(__xludf.DUMMYFUNCTION("""COMPUTED_VALUE"""),"MP")</f>
        <v>MP</v>
      </c>
    </row>
    <row r="122">
      <c r="B122" s="517">
        <f>IFERROR(__xludf.DUMMYFUNCTION("""COMPUTED_VALUE"""),118.0)</f>
        <v>118</v>
      </c>
      <c r="C122" s="517" t="str">
        <f>IFERROR(__xludf.DUMMYFUNCTION("""COMPUTED_VALUE"""),"DEMO")</f>
        <v>DEMO</v>
      </c>
      <c r="D122" s="517" t="str">
        <f>IFERROR(__xludf.DUMMYFUNCTION("""COMPUTED_VALUE"""),"Retail Pack")</f>
        <v>Retail Pack</v>
      </c>
      <c r="E122" s="517" t="str">
        <f>IFERROR(__xludf.DUMMYFUNCTION("""COMPUTED_VALUE"""),"GA10775-GB")</f>
        <v>GA10775-GB</v>
      </c>
      <c r="F122" s="517" t="str">
        <f>IFERROR(__xludf.DUMMYFUNCTION("""COMPUTED_VALUE"""),"GB, DE, IT, ES, IE, FR, NL, BE, AT, CH, PT, PL, CZ, HU, RO, SI, LV, LT, EE, FI, NO, SE, DK, SK")</f>
        <v>GB, DE, IT, ES, IE, FR, NL, BE, AT, CH, PT, PL, CZ, HU, RO, SI, LV, LT, EE, FI, NO, SE, DK, SK</v>
      </c>
      <c r="G122" s="517" t="str">
        <f>IFERROR(__xludf.DUMMYFUNCTION("""COMPUTED_VALUE"""),"EMA")</f>
        <v>EMA</v>
      </c>
      <c r="H122" s="517" t="str">
        <f>IFERROR(__xludf.DUMMYFUNCTION("""COMPUTED_VALUE"""),"Sub6")</f>
        <v>Sub6</v>
      </c>
      <c r="I122" s="517" t="str">
        <f>IFERROR(__xludf.DUMMYFUNCTION("""COMPUTED_VALUE"""),"CLR1")</f>
        <v>CLR1</v>
      </c>
      <c r="J122" s="517" t="str">
        <f>IFERROR(__xludf.DUMMYFUNCTION("""COMPUTED_VALUE"""),"Midnight Haze")</f>
        <v>Midnight Haze</v>
      </c>
      <c r="K122" s="517" t="str">
        <f>IFERROR(__xludf.DUMMYFUNCTION("""COMPUTED_VALUE"""),"BLK")</f>
        <v>BLK</v>
      </c>
      <c r="L122" s="517" t="str">
        <f>IFERROR(__xludf.DUMMYFUNCTION("""COMPUTED_VALUE"""),"GK2MP")</f>
        <v>GK2MP</v>
      </c>
      <c r="M122" s="517" t="str">
        <f>IFERROR(__xludf.DUMMYFUNCTION("""COMPUTED_VALUE"""),"ROW")</f>
        <v>ROW</v>
      </c>
      <c r="N122" s="517" t="str">
        <f>IFERROR(__xludf.DUMMYFUNCTION("""COMPUTED_VALUE"""),"SKU, CLR1, GOOD, SUB6, UK/EU, DEMO, FL5")</f>
        <v>SKU, CLR1, GOOD, SUB6, UK/EU, DEMO, FL5</v>
      </c>
      <c r="O122" s="517">
        <f>IFERROR(__xludf.DUMMYFUNCTION("""COMPUTED_VALUE"""),0.0)</f>
        <v>0</v>
      </c>
      <c r="P122" s="517" t="str">
        <f>IFERROR(__xludf.DUMMYFUNCTION("""COMPUTED_VALUE"""),"128GB")</f>
        <v>128GB</v>
      </c>
      <c r="Q122" s="517"/>
      <c r="R122" s="518" t="str">
        <f>IFERROR(__xludf.DUMMYFUNCTION("""COMPUTED_VALUE"""),"840353928602")</f>
        <v>840353928602</v>
      </c>
      <c r="S122" s="518" t="str">
        <f>IFERROR(__xludf.DUMMYFUNCTION("""COMPUTED_VALUE"""),"0840353928602")</f>
        <v>0840353928602</v>
      </c>
      <c r="T122" s="517" t="str">
        <f>IFERROR(__xludf.DUMMYFUNCTION("""COMPUTED_VALUE"""),"MP")</f>
        <v>MP</v>
      </c>
    </row>
    <row r="123">
      <c r="B123" s="517">
        <f>IFERROR(__xludf.DUMMYFUNCTION("""COMPUTED_VALUE"""),119.0)</f>
        <v>119</v>
      </c>
      <c r="C123" s="517" t="str">
        <f>IFERROR(__xludf.DUMMYFUNCTION("""COMPUTED_VALUE"""),"DEMO")</f>
        <v>DEMO</v>
      </c>
      <c r="D123" s="517" t="str">
        <f>IFERROR(__xludf.DUMMYFUNCTION("""COMPUTED_VALUE"""),"Retail Pack")</f>
        <v>Retail Pack</v>
      </c>
      <c r="E123" s="517" t="str">
        <f>IFERROR(__xludf.DUMMYFUNCTION("""COMPUTED_VALUE"""),"GA10776-GB")</f>
        <v>GA10776-GB</v>
      </c>
      <c r="F123" s="517" t="str">
        <f>IFERROR(__xludf.DUMMYFUNCTION("""COMPUTED_VALUE"""),"GB, DE, IT, ES, IE, FR, NL, BE, AT, CH, PT, PL, CZ, HU, RO, SI, LV, LT, EE, FI, NO, SE, DK, SK")</f>
        <v>GB, DE, IT, ES, IE, FR, NL, BE, AT, CH, PT, PL, CZ, HU, RO, SI, LV, LT, EE, FI, NO, SE, DK, SK</v>
      </c>
      <c r="G123" s="517" t="str">
        <f>IFERROR(__xludf.DUMMYFUNCTION("""COMPUTED_VALUE"""),"EMA")</f>
        <v>EMA</v>
      </c>
      <c r="H123" s="517" t="str">
        <f>IFERROR(__xludf.DUMMYFUNCTION("""COMPUTED_VALUE"""),"Sub6")</f>
        <v>Sub6</v>
      </c>
      <c r="I123" s="517" t="str">
        <f>IFERROR(__xludf.DUMMYFUNCTION("""COMPUTED_VALUE"""),"CLR4")</f>
        <v>CLR4</v>
      </c>
      <c r="J123" s="517" t="str">
        <f>IFERROR(__xludf.DUMMYFUNCTION("""COMPUTED_VALUE"""),"Ultra Blue")</f>
        <v>Ultra Blue</v>
      </c>
      <c r="K123" s="517" t="str">
        <f>IFERROR(__xludf.DUMMYFUNCTION("""COMPUTED_VALUE"""),"BUE")</f>
        <v>BUE</v>
      </c>
      <c r="L123" s="517" t="str">
        <f>IFERROR(__xludf.DUMMYFUNCTION("""COMPUTED_VALUE"""),"GK2MP")</f>
        <v>GK2MP</v>
      </c>
      <c r="M123" s="517" t="str">
        <f>IFERROR(__xludf.DUMMYFUNCTION("""COMPUTED_VALUE"""),"ROW")</f>
        <v>ROW</v>
      </c>
      <c r="N123" s="517" t="str">
        <f>IFERROR(__xludf.DUMMYFUNCTION("""COMPUTED_VALUE"""),"SKU, CLR4, GOOD, SUB6, UK/EU, DEMO, FL5")</f>
        <v>SKU, CLR4, GOOD, SUB6, UK/EU, DEMO, FL5</v>
      </c>
      <c r="O123" s="517">
        <f>IFERROR(__xludf.DUMMYFUNCTION("""COMPUTED_VALUE"""),0.0)</f>
        <v>0</v>
      </c>
      <c r="P123" s="517" t="str">
        <f>IFERROR(__xludf.DUMMYFUNCTION("""COMPUTED_VALUE"""),"128GB")</f>
        <v>128GB</v>
      </c>
      <c r="Q123" s="517"/>
      <c r="R123" s="518" t="str">
        <f>IFERROR(__xludf.DUMMYFUNCTION("""COMPUTED_VALUE"""),"840353928565")</f>
        <v>840353928565</v>
      </c>
      <c r="S123" s="518" t="str">
        <f>IFERROR(__xludf.DUMMYFUNCTION("""COMPUTED_VALUE"""),"0840353928565")</f>
        <v>0840353928565</v>
      </c>
      <c r="T123" s="517" t="str">
        <f>IFERROR(__xludf.DUMMYFUNCTION("""COMPUTED_VALUE"""),"MP")</f>
        <v>MP</v>
      </c>
    </row>
    <row r="124">
      <c r="B124" s="517">
        <f>IFERROR(__xludf.DUMMYFUNCTION("""COMPUTED_VALUE"""),120.0)</f>
        <v>120</v>
      </c>
      <c r="C124" s="517" t="str">
        <f>IFERROR(__xludf.DUMMYFUNCTION("""COMPUTED_VALUE"""),"DEMO")</f>
        <v>DEMO</v>
      </c>
      <c r="D124" s="517" t="str">
        <f>IFERROR(__xludf.DUMMYFUNCTION("""COMPUTED_VALUE"""),"Retail Pack")</f>
        <v>Retail Pack</v>
      </c>
      <c r="E124" s="517" t="str">
        <f>IFERROR(__xludf.DUMMYFUNCTION("""COMPUTED_VALUE"""),"GA10777-IN")</f>
        <v>GA10777-IN</v>
      </c>
      <c r="F124" s="517" t="str">
        <f>IFERROR(__xludf.DUMMYFUNCTION("""COMPUTED_VALUE"""),"IN")</f>
        <v>IN</v>
      </c>
      <c r="G124" s="517" t="str">
        <f>IFERROR(__xludf.DUMMYFUNCTION("""COMPUTED_VALUE"""),"NCA")</f>
        <v>NCA</v>
      </c>
      <c r="H124" s="517" t="str">
        <f>IFERROR(__xludf.DUMMYFUNCTION("""COMPUTED_VALUE"""),"Sub6")</f>
        <v>Sub6</v>
      </c>
      <c r="I124" s="517" t="str">
        <f>IFERROR(__xludf.DUMMYFUNCTION("""COMPUTED_VALUE"""),"CLR1")</f>
        <v>CLR1</v>
      </c>
      <c r="J124" s="517" t="str">
        <f>IFERROR(__xludf.DUMMYFUNCTION("""COMPUTED_VALUE"""),"Midnight Haze")</f>
        <v>Midnight Haze</v>
      </c>
      <c r="K124" s="517" t="str">
        <f>IFERROR(__xludf.DUMMYFUNCTION("""COMPUTED_VALUE"""),"BLK")</f>
        <v>BLK</v>
      </c>
      <c r="L124" s="517" t="str">
        <f>IFERROR(__xludf.DUMMYFUNCTION("""COMPUTED_VALUE"""),"GK2MP")</f>
        <v>GK2MP</v>
      </c>
      <c r="M124" s="517" t="str">
        <f>IFERROR(__xludf.DUMMYFUNCTION("""COMPUTED_VALUE"""),"ROW")</f>
        <v>ROW</v>
      </c>
      <c r="N124" s="517" t="str">
        <f>IFERROR(__xludf.DUMMYFUNCTION("""COMPUTED_VALUE"""),"SKU, CLR1, BETTER, SUB6, IN, DEMO, FL5")</f>
        <v>SKU, CLR1, BETTER, SUB6, IN, DEMO, FL5</v>
      </c>
      <c r="O124" s="517">
        <f>IFERROR(__xludf.DUMMYFUNCTION("""COMPUTED_VALUE"""),0.0)</f>
        <v>0</v>
      </c>
      <c r="P124" s="517" t="str">
        <f>IFERROR(__xludf.DUMMYFUNCTION("""COMPUTED_VALUE"""),"256GB")</f>
        <v>256GB</v>
      </c>
      <c r="Q124" s="517"/>
      <c r="R124" s="518" t="str">
        <f>IFERROR(__xludf.DUMMYFUNCTION("""COMPUTED_VALUE"""),"840353928152")</f>
        <v>840353928152</v>
      </c>
      <c r="S124" s="518" t="str">
        <f>IFERROR(__xludf.DUMMYFUNCTION("""COMPUTED_VALUE"""),"0840353928152")</f>
        <v>0840353928152</v>
      </c>
      <c r="T124" s="517" t="str">
        <f>IFERROR(__xludf.DUMMYFUNCTION("""COMPUTED_VALUE"""),"MP")</f>
        <v>MP</v>
      </c>
    </row>
    <row r="125">
      <c r="B125" s="517">
        <f>IFERROR(__xludf.DUMMYFUNCTION("""COMPUTED_VALUE"""),121.0)</f>
        <v>121</v>
      </c>
      <c r="C125" s="517" t="str">
        <f>IFERROR(__xludf.DUMMYFUNCTION("""COMPUTED_VALUE"""),"DEMO")</f>
        <v>DEMO</v>
      </c>
      <c r="D125" s="517" t="str">
        <f>IFERROR(__xludf.DUMMYFUNCTION("""COMPUTED_VALUE"""),"Retail Pack")</f>
        <v>Retail Pack</v>
      </c>
      <c r="E125" s="517" t="str">
        <f>IFERROR(__xludf.DUMMYFUNCTION("""COMPUTED_VALUE"""),"GA10778-IN")</f>
        <v>GA10778-IN</v>
      </c>
      <c r="F125" s="517" t="str">
        <f>IFERROR(__xludf.DUMMYFUNCTION("""COMPUTED_VALUE"""),"IN")</f>
        <v>IN</v>
      </c>
      <c r="G125" s="517" t="str">
        <f>IFERROR(__xludf.DUMMYFUNCTION("""COMPUTED_VALUE"""),"NCA")</f>
        <v>NCA</v>
      </c>
      <c r="H125" s="517" t="str">
        <f>IFERROR(__xludf.DUMMYFUNCTION("""COMPUTED_VALUE"""),"Sub6")</f>
        <v>Sub6</v>
      </c>
      <c r="I125" s="517" t="str">
        <f>IFERROR(__xludf.DUMMYFUNCTION("""COMPUTED_VALUE"""),"CLR4")</f>
        <v>CLR4</v>
      </c>
      <c r="J125" s="517" t="str">
        <f>IFERROR(__xludf.DUMMYFUNCTION("""COMPUTED_VALUE"""),"Ultra Blue")</f>
        <v>Ultra Blue</v>
      </c>
      <c r="K125" s="517" t="str">
        <f>IFERROR(__xludf.DUMMYFUNCTION("""COMPUTED_VALUE"""),"BUE")</f>
        <v>BUE</v>
      </c>
      <c r="L125" s="517" t="str">
        <f>IFERROR(__xludf.DUMMYFUNCTION("""COMPUTED_VALUE"""),"GK2MP")</f>
        <v>GK2MP</v>
      </c>
      <c r="M125" s="517" t="str">
        <f>IFERROR(__xludf.DUMMYFUNCTION("""COMPUTED_VALUE"""),"ROW")</f>
        <v>ROW</v>
      </c>
      <c r="N125" s="517" t="str">
        <f>IFERROR(__xludf.DUMMYFUNCTION("""COMPUTED_VALUE"""),"SKU, CLR4, BETTER, SUB6, IN, DEMO, FL5")</f>
        <v>SKU, CLR4, BETTER, SUB6, IN, DEMO, FL5</v>
      </c>
      <c r="O125" s="517">
        <f>IFERROR(__xludf.DUMMYFUNCTION("""COMPUTED_VALUE"""),0.0)</f>
        <v>0</v>
      </c>
      <c r="P125" s="517" t="str">
        <f>IFERROR(__xludf.DUMMYFUNCTION("""COMPUTED_VALUE"""),"256GB")</f>
        <v>256GB</v>
      </c>
      <c r="Q125" s="517"/>
      <c r="R125" s="518" t="str">
        <f>IFERROR(__xludf.DUMMYFUNCTION("""COMPUTED_VALUE"""),"840353928169")</f>
        <v>840353928169</v>
      </c>
      <c r="S125" s="518" t="str">
        <f>IFERROR(__xludf.DUMMYFUNCTION("""COMPUTED_VALUE"""),"0840353928169")</f>
        <v>0840353928169</v>
      </c>
      <c r="T125" s="517" t="str">
        <f>IFERROR(__xludf.DUMMYFUNCTION("""COMPUTED_VALUE"""),"MP")</f>
        <v>MP</v>
      </c>
    </row>
    <row r="126">
      <c r="B126" s="517">
        <f>IFERROR(__xludf.DUMMYFUNCTION("""COMPUTED_VALUE"""),122.0)</f>
        <v>122</v>
      </c>
      <c r="C126" s="517" t="str">
        <f>IFERROR(__xludf.DUMMYFUNCTION("""COMPUTED_VALUE"""),"NFU")</f>
        <v>NFU</v>
      </c>
      <c r="D126" s="517" t="str">
        <f>IFERROR(__xludf.DUMMYFUNCTION("""COMPUTED_VALUE"""),"Retail Pack")</f>
        <v>Retail Pack</v>
      </c>
      <c r="E126" s="517" t="str">
        <f>IFERROR(__xludf.DUMMYFUNCTION("""COMPUTED_VALUE"""),"GA10256")</f>
        <v>GA10256</v>
      </c>
      <c r="F126" s="517" t="str">
        <f>IFERROR(__xludf.DUMMYFUNCTION("""COMPUTED_VALUE"""),"TMO")</f>
        <v>TMO</v>
      </c>
      <c r="G126" s="517"/>
      <c r="H126" s="517" t="str">
        <f>IFERROR(__xludf.DUMMYFUNCTION("""COMPUTED_VALUE"""),"mmWave")</f>
        <v>mmWave</v>
      </c>
      <c r="I126" s="517" t="str">
        <f>IFERROR(__xludf.DUMMYFUNCTION("""COMPUTED_VALUE"""),"CLR1")</f>
        <v>CLR1</v>
      </c>
      <c r="J126" s="517" t="str">
        <f>IFERROR(__xludf.DUMMYFUNCTION("""COMPUTED_VALUE"""),"Midnight Haze")</f>
        <v>Midnight Haze</v>
      </c>
      <c r="K126" s="517" t="str">
        <f>IFERROR(__xludf.DUMMYFUNCTION("""COMPUTED_VALUE"""),"BLK")</f>
        <v>BLK</v>
      </c>
      <c r="L126" s="517" t="str">
        <f>IFERROR(__xludf.DUMMYFUNCTION("""COMPUTED_VALUE"""),"GLBW0")</f>
        <v>GLBW0</v>
      </c>
      <c r="M126" s="517" t="str">
        <f>IFERROR(__xludf.DUMMYFUNCTION("""COMPUTED_VALUE"""),"TMO")</f>
        <v>TMO</v>
      </c>
      <c r="N126" s="517" t="str">
        <f>IFERROR(__xludf.DUMMYFUNCTION("""COMPUTED_VALUE"""),"TBD")</f>
        <v>TBD</v>
      </c>
      <c r="O126" s="517" t="str">
        <f>IFERROR(__xludf.DUMMYFUNCTION("""COMPUTED_VALUE"""),"US")</f>
        <v>US</v>
      </c>
      <c r="P126" s="517" t="str">
        <f>IFERROR(__xludf.DUMMYFUNCTION("""COMPUTED_VALUE"""),"128GB")</f>
        <v>128GB</v>
      </c>
      <c r="Q126" s="518" t="str">
        <f>IFERROR(__xludf.DUMMYFUNCTION("""COMPUTED_VALUE"""),"TBD")</f>
        <v>TBD</v>
      </c>
      <c r="R126" s="518" t="str">
        <f>IFERROR(__xludf.DUMMYFUNCTION("""COMPUTED_VALUE"""),"840353928206")</f>
        <v>840353928206</v>
      </c>
      <c r="S126" s="518" t="str">
        <f>IFERROR(__xludf.DUMMYFUNCTION("""COMPUTED_VALUE"""),"0840353928206")</f>
        <v>0840353928206</v>
      </c>
      <c r="T126" s="517" t="str">
        <f>IFERROR(__xludf.DUMMYFUNCTION("""COMPUTED_VALUE"""),"MP")</f>
        <v>MP</v>
      </c>
    </row>
    <row r="127">
      <c r="B127" s="517">
        <f>IFERROR(__xludf.DUMMYFUNCTION("""COMPUTED_VALUE"""),123.0)</f>
        <v>123</v>
      </c>
      <c r="C127" s="517" t="str">
        <f>IFERROR(__xludf.DUMMYFUNCTION("""COMPUTED_VALUE"""),"NFU")</f>
        <v>NFU</v>
      </c>
      <c r="D127" s="517" t="str">
        <f>IFERROR(__xludf.DUMMYFUNCTION("""COMPUTED_VALUE"""),"Retail Pack")</f>
        <v>Retail Pack</v>
      </c>
      <c r="E127" s="517" t="str">
        <f>IFERROR(__xludf.DUMMYFUNCTION("""COMPUTED_VALUE"""),"GA10259")</f>
        <v>GA10259</v>
      </c>
      <c r="F127" s="517" t="str">
        <f>IFERROR(__xludf.DUMMYFUNCTION("""COMPUTED_VALUE"""),"TMO")</f>
        <v>TMO</v>
      </c>
      <c r="G127" s="517"/>
      <c r="H127" s="517" t="str">
        <f>IFERROR(__xludf.DUMMYFUNCTION("""COMPUTED_VALUE"""),"mmWave")</f>
        <v>mmWave</v>
      </c>
      <c r="I127" s="517" t="str">
        <f>IFERROR(__xludf.DUMMYFUNCTION("""COMPUTED_VALUE"""),"CLR4")</f>
        <v>CLR4</v>
      </c>
      <c r="J127" s="517" t="str">
        <f>IFERROR(__xludf.DUMMYFUNCTION("""COMPUTED_VALUE"""),"Ultra Blue")</f>
        <v>Ultra Blue</v>
      </c>
      <c r="K127" s="517" t="str">
        <f>IFERROR(__xludf.DUMMYFUNCTION("""COMPUTED_VALUE"""),"BUE")</f>
        <v>BUE</v>
      </c>
      <c r="L127" s="517" t="str">
        <f>IFERROR(__xludf.DUMMYFUNCTION("""COMPUTED_VALUE"""),"GLBW0")</f>
        <v>GLBW0</v>
      </c>
      <c r="M127" s="517" t="str">
        <f>IFERROR(__xludf.DUMMYFUNCTION("""COMPUTED_VALUE"""),"TMO")</f>
        <v>TMO</v>
      </c>
      <c r="N127" s="517" t="str">
        <f>IFERROR(__xludf.DUMMYFUNCTION("""COMPUTED_VALUE"""),"TBD")</f>
        <v>TBD</v>
      </c>
      <c r="O127" s="517" t="str">
        <f>IFERROR(__xludf.DUMMYFUNCTION("""COMPUTED_VALUE"""),"US")</f>
        <v>US</v>
      </c>
      <c r="P127" s="517" t="str">
        <f>IFERROR(__xludf.DUMMYFUNCTION("""COMPUTED_VALUE"""),"128GB")</f>
        <v>128GB</v>
      </c>
      <c r="Q127" s="518" t="str">
        <f>IFERROR(__xludf.DUMMYFUNCTION("""COMPUTED_VALUE"""),"TBD")</f>
        <v>TBD</v>
      </c>
      <c r="R127" s="518" t="str">
        <f>IFERROR(__xludf.DUMMYFUNCTION("""COMPUTED_VALUE"""),"840353928176")</f>
        <v>840353928176</v>
      </c>
      <c r="S127" s="518" t="str">
        <f>IFERROR(__xludf.DUMMYFUNCTION("""COMPUTED_VALUE"""),"0840353928176")</f>
        <v>0840353928176</v>
      </c>
      <c r="T127" s="517" t="str">
        <f>IFERROR(__xludf.DUMMYFUNCTION("""COMPUTED_VALUE"""),"MP")</f>
        <v>MP</v>
      </c>
    </row>
    <row r="128">
      <c r="B128" s="517">
        <f>IFERROR(__xludf.DUMMYFUNCTION("""COMPUTED_VALUE"""),124.0)</f>
        <v>124</v>
      </c>
      <c r="C128" s="517" t="str">
        <f>IFERROR(__xludf.DUMMYFUNCTION("""COMPUTED_VALUE"""),"NFU")</f>
        <v>NFU</v>
      </c>
      <c r="D128" s="517" t="str">
        <f>IFERROR(__xludf.DUMMYFUNCTION("""COMPUTED_VALUE"""),"Retail Pack")</f>
        <v>Retail Pack</v>
      </c>
      <c r="E128" s="517" t="str">
        <f>IFERROR(__xludf.DUMMYFUNCTION("""COMPUTED_VALUE"""),"GA10260")</f>
        <v>GA10260</v>
      </c>
      <c r="F128" s="517" t="str">
        <f>IFERROR(__xludf.DUMMYFUNCTION("""COMPUTED_VALUE"""),"VZW")</f>
        <v>VZW</v>
      </c>
      <c r="G128" s="517"/>
      <c r="H128" s="517" t="str">
        <f>IFERROR(__xludf.DUMMYFUNCTION("""COMPUTED_VALUE"""),"mmWave")</f>
        <v>mmWave</v>
      </c>
      <c r="I128" s="517" t="str">
        <f>IFERROR(__xludf.DUMMYFUNCTION("""COMPUTED_VALUE"""),"CLR1")</f>
        <v>CLR1</v>
      </c>
      <c r="J128" s="517" t="str">
        <f>IFERROR(__xludf.DUMMYFUNCTION("""COMPUTED_VALUE"""),"Midnight Haze")</f>
        <v>Midnight Haze</v>
      </c>
      <c r="K128" s="517" t="str">
        <f>IFERROR(__xludf.DUMMYFUNCTION("""COMPUTED_VALUE"""),"BLK")</f>
        <v>BLK</v>
      </c>
      <c r="L128" s="517" t="str">
        <f>IFERROR(__xludf.DUMMYFUNCTION("""COMPUTED_VALUE"""),"GLBW0")</f>
        <v>GLBW0</v>
      </c>
      <c r="M128" s="517" t="str">
        <f>IFERROR(__xludf.DUMMYFUNCTION("""COMPUTED_VALUE"""),"VZW")</f>
        <v>VZW</v>
      </c>
      <c r="N128" s="517" t="str">
        <f>IFERROR(__xludf.DUMMYFUNCTION("""COMPUTED_VALUE"""),"TBD")</f>
        <v>TBD</v>
      </c>
      <c r="O128" s="517" t="str">
        <f>IFERROR(__xludf.DUMMYFUNCTION("""COMPUTED_VALUE"""),"US")</f>
        <v>US</v>
      </c>
      <c r="P128" s="517" t="str">
        <f>IFERROR(__xludf.DUMMYFUNCTION("""COMPUTED_VALUE"""),"128GB")</f>
        <v>128GB</v>
      </c>
      <c r="Q128" s="517"/>
      <c r="R128" s="518" t="str">
        <f>IFERROR(__xludf.DUMMYFUNCTION("""COMPUTED_VALUE"""),"840353928343")</f>
        <v>840353928343</v>
      </c>
      <c r="S128" s="518" t="str">
        <f>IFERROR(__xludf.DUMMYFUNCTION("""COMPUTED_VALUE"""),"0840353928343")</f>
        <v>0840353928343</v>
      </c>
      <c r="T128" s="517" t="str">
        <f>IFERROR(__xludf.DUMMYFUNCTION("""COMPUTED_VALUE"""),"MP")</f>
        <v>MP</v>
      </c>
    </row>
    <row r="129">
      <c r="B129" s="517">
        <f>IFERROR(__xludf.DUMMYFUNCTION("""COMPUTED_VALUE"""),125.0)</f>
        <v>125</v>
      </c>
      <c r="C129" s="517" t="str">
        <f>IFERROR(__xludf.DUMMYFUNCTION("""COMPUTED_VALUE"""),"NFU")</f>
        <v>NFU</v>
      </c>
      <c r="D129" s="517" t="str">
        <f>IFERROR(__xludf.DUMMYFUNCTION("""COMPUTED_VALUE"""),"Retail Pack")</f>
        <v>Retail Pack</v>
      </c>
      <c r="E129" s="517" t="str">
        <f>IFERROR(__xludf.DUMMYFUNCTION("""COMPUTED_VALUE"""),"GA10261")</f>
        <v>GA10261</v>
      </c>
      <c r="F129" s="517" t="str">
        <f>IFERROR(__xludf.DUMMYFUNCTION("""COMPUTED_VALUE"""),"VZW")</f>
        <v>VZW</v>
      </c>
      <c r="G129" s="517"/>
      <c r="H129" s="517" t="str">
        <f>IFERROR(__xludf.DUMMYFUNCTION("""COMPUTED_VALUE"""),"mmWave")</f>
        <v>mmWave</v>
      </c>
      <c r="I129" s="517" t="str">
        <f>IFERROR(__xludf.DUMMYFUNCTION("""COMPUTED_VALUE"""),"CLR2")</f>
        <v>CLR2</v>
      </c>
      <c r="J129" s="517" t="str">
        <f>IFERROR(__xludf.DUMMYFUNCTION("""COMPUTED_VALUE"""),"Iris")</f>
        <v>Iris</v>
      </c>
      <c r="K129" s="517" t="str">
        <f>IFERROR(__xludf.DUMMYFUNCTION("""COMPUTED_VALUE"""),"PPL")</f>
        <v>PPL</v>
      </c>
      <c r="L129" s="517" t="str">
        <f>IFERROR(__xludf.DUMMYFUNCTION("""COMPUTED_VALUE"""),"GLBW0")</f>
        <v>GLBW0</v>
      </c>
      <c r="M129" s="517" t="str">
        <f>IFERROR(__xludf.DUMMYFUNCTION("""COMPUTED_VALUE"""),"VZW")</f>
        <v>VZW</v>
      </c>
      <c r="N129" s="517" t="str">
        <f>IFERROR(__xludf.DUMMYFUNCTION("""COMPUTED_VALUE"""),"TBD")</f>
        <v>TBD</v>
      </c>
      <c r="O129" s="517" t="str">
        <f>IFERROR(__xludf.DUMMYFUNCTION("""COMPUTED_VALUE"""),"US")</f>
        <v>US</v>
      </c>
      <c r="P129" s="517" t="str">
        <f>IFERROR(__xludf.DUMMYFUNCTION("""COMPUTED_VALUE"""),"128GB")</f>
        <v>128GB</v>
      </c>
      <c r="Q129" s="517"/>
      <c r="R129" s="518" t="str">
        <f>IFERROR(__xludf.DUMMYFUNCTION("""COMPUTED_VALUE"""),"840353928305")</f>
        <v>840353928305</v>
      </c>
      <c r="S129" s="518" t="str">
        <f>IFERROR(__xludf.DUMMYFUNCTION("""COMPUTED_VALUE"""),"0840353928305")</f>
        <v>0840353928305</v>
      </c>
      <c r="T129" s="517" t="str">
        <f>IFERROR(__xludf.DUMMYFUNCTION("""COMPUTED_VALUE"""),"MP")</f>
        <v>MP</v>
      </c>
    </row>
    <row r="130">
      <c r="B130" s="517">
        <f>IFERROR(__xludf.DUMMYFUNCTION("""COMPUTED_VALUE"""),126.0)</f>
        <v>126</v>
      </c>
      <c r="C130" s="517" t="str">
        <f>IFERROR(__xludf.DUMMYFUNCTION("""COMPUTED_VALUE"""),"NFU")</f>
        <v>NFU</v>
      </c>
      <c r="D130" s="517" t="str">
        <f>IFERROR(__xludf.DUMMYFUNCTION("""COMPUTED_VALUE"""),"Retail Pack")</f>
        <v>Retail Pack</v>
      </c>
      <c r="E130" s="517" t="str">
        <f>IFERROR(__xludf.DUMMYFUNCTION("""COMPUTED_VALUE"""),"GA10262")</f>
        <v>GA10262</v>
      </c>
      <c r="F130" s="517" t="str">
        <f>IFERROR(__xludf.DUMMYFUNCTION("""COMPUTED_VALUE"""),"VZW")</f>
        <v>VZW</v>
      </c>
      <c r="G130" s="517"/>
      <c r="H130" s="517" t="str">
        <f>IFERROR(__xludf.DUMMYFUNCTION("""COMPUTED_VALUE"""),"mmWave")</f>
        <v>mmWave</v>
      </c>
      <c r="I130" s="517" t="str">
        <f>IFERROR(__xludf.DUMMYFUNCTION("""COMPUTED_VALUE"""),"CLR3")</f>
        <v>CLR3</v>
      </c>
      <c r="J130" s="517" t="str">
        <f>IFERROR(__xludf.DUMMYFUNCTION("""COMPUTED_VALUE"""),"Limoncello Midtone")</f>
        <v>Limoncello Midtone</v>
      </c>
      <c r="K130" s="517" t="str">
        <f>IFERROR(__xludf.DUMMYFUNCTION("""COMPUTED_VALUE"""),"YEL")</f>
        <v>YEL</v>
      </c>
      <c r="L130" s="517" t="str">
        <f>IFERROR(__xludf.DUMMYFUNCTION("""COMPUTED_VALUE"""),"GLBW0")</f>
        <v>GLBW0</v>
      </c>
      <c r="M130" s="517" t="str">
        <f>IFERROR(__xludf.DUMMYFUNCTION("""COMPUTED_VALUE"""),"VZW")</f>
        <v>VZW</v>
      </c>
      <c r="N130" s="517" t="str">
        <f>IFERROR(__xludf.DUMMYFUNCTION("""COMPUTED_VALUE"""),"TBD")</f>
        <v>TBD</v>
      </c>
      <c r="O130" s="517" t="str">
        <f>IFERROR(__xludf.DUMMYFUNCTION("""COMPUTED_VALUE"""),"US")</f>
        <v>US</v>
      </c>
      <c r="P130" s="517" t="str">
        <f>IFERROR(__xludf.DUMMYFUNCTION("""COMPUTED_VALUE"""),"128GB")</f>
        <v>128GB</v>
      </c>
      <c r="Q130" s="517"/>
      <c r="R130" s="518" t="str">
        <f>IFERROR(__xludf.DUMMYFUNCTION("""COMPUTED_VALUE"""),"840353928312")</f>
        <v>840353928312</v>
      </c>
      <c r="S130" s="518" t="str">
        <f>IFERROR(__xludf.DUMMYFUNCTION("""COMPUTED_VALUE"""),"0840353928312")</f>
        <v>0840353928312</v>
      </c>
      <c r="T130" s="517" t="str">
        <f>IFERROR(__xludf.DUMMYFUNCTION("""COMPUTED_VALUE"""),"MP")</f>
        <v>MP</v>
      </c>
    </row>
    <row r="131">
      <c r="B131" s="517">
        <f>IFERROR(__xludf.DUMMYFUNCTION("""COMPUTED_VALUE"""),127.0)</f>
        <v>127</v>
      </c>
      <c r="C131" s="517" t="str">
        <f>IFERROR(__xludf.DUMMYFUNCTION("""COMPUTED_VALUE"""),"NFU")</f>
        <v>NFU</v>
      </c>
      <c r="D131" s="517" t="str">
        <f>IFERROR(__xludf.DUMMYFUNCTION("""COMPUTED_VALUE"""),"Retail Pack")</f>
        <v>Retail Pack</v>
      </c>
      <c r="E131" s="517" t="str">
        <f>IFERROR(__xludf.DUMMYFUNCTION("""COMPUTED_VALUE"""),"GA10263")</f>
        <v>GA10263</v>
      </c>
      <c r="F131" s="517" t="str">
        <f>IFERROR(__xludf.DUMMYFUNCTION("""COMPUTED_VALUE"""),"VZW")</f>
        <v>VZW</v>
      </c>
      <c r="G131" s="517"/>
      <c r="H131" s="517" t="str">
        <f>IFERROR(__xludf.DUMMYFUNCTION("""COMPUTED_VALUE"""),"mmWave")</f>
        <v>mmWave</v>
      </c>
      <c r="I131" s="517" t="str">
        <f>IFERROR(__xludf.DUMMYFUNCTION("""COMPUTED_VALUE"""),"CLR4")</f>
        <v>CLR4</v>
      </c>
      <c r="J131" s="517" t="str">
        <f>IFERROR(__xludf.DUMMYFUNCTION("""COMPUTED_VALUE"""),"Ultra Blue")</f>
        <v>Ultra Blue</v>
      </c>
      <c r="K131" s="517" t="str">
        <f>IFERROR(__xludf.DUMMYFUNCTION("""COMPUTED_VALUE"""),"BUE")</f>
        <v>BUE</v>
      </c>
      <c r="L131" s="517" t="str">
        <f>IFERROR(__xludf.DUMMYFUNCTION("""COMPUTED_VALUE"""),"GLBW0")</f>
        <v>GLBW0</v>
      </c>
      <c r="M131" s="517" t="str">
        <f>IFERROR(__xludf.DUMMYFUNCTION("""COMPUTED_VALUE"""),"VZW")</f>
        <v>VZW</v>
      </c>
      <c r="N131" s="517" t="str">
        <f>IFERROR(__xludf.DUMMYFUNCTION("""COMPUTED_VALUE"""),"TBD")</f>
        <v>TBD</v>
      </c>
      <c r="O131" s="517" t="str">
        <f>IFERROR(__xludf.DUMMYFUNCTION("""COMPUTED_VALUE"""),"US")</f>
        <v>US</v>
      </c>
      <c r="P131" s="517" t="str">
        <f>IFERROR(__xludf.DUMMYFUNCTION("""COMPUTED_VALUE"""),"128GB")</f>
        <v>128GB</v>
      </c>
      <c r="Q131" s="517"/>
      <c r="R131" s="518" t="str">
        <f>IFERROR(__xludf.DUMMYFUNCTION("""COMPUTED_VALUE"""),"840353928299")</f>
        <v>840353928299</v>
      </c>
      <c r="S131" s="518" t="str">
        <f>IFERROR(__xludf.DUMMYFUNCTION("""COMPUTED_VALUE"""),"0840353928299")</f>
        <v>0840353928299</v>
      </c>
      <c r="T131" s="517" t="str">
        <f>IFERROR(__xludf.DUMMYFUNCTION("""COMPUTED_VALUE"""),"MP")</f>
        <v>MP</v>
      </c>
    </row>
    <row r="132">
      <c r="B132" s="517">
        <f>IFERROR(__xludf.DUMMYFUNCTION("""COMPUTED_VALUE"""),128.0)</f>
        <v>128</v>
      </c>
      <c r="C132" s="517" t="str">
        <f>IFERROR(__xludf.DUMMYFUNCTION("""COMPUTED_VALUE"""),"NFU")</f>
        <v>NFU</v>
      </c>
      <c r="D132" s="517" t="str">
        <f>IFERROR(__xludf.DUMMYFUNCTION("""COMPUTED_VALUE"""),"Retail Pack")</f>
        <v>Retail Pack</v>
      </c>
      <c r="E132" s="517" t="str">
        <f>IFERROR(__xludf.DUMMYFUNCTION("""COMPUTED_VALUE"""),"GA10264")</f>
        <v>GA10264</v>
      </c>
      <c r="F132" s="517" t="str">
        <f>IFERROR(__xludf.DUMMYFUNCTION("""COMPUTED_VALUE"""),"ATT")</f>
        <v>ATT</v>
      </c>
      <c r="G132" s="517"/>
      <c r="H132" s="517" t="str">
        <f>IFERROR(__xludf.DUMMYFUNCTION("""COMPUTED_VALUE"""),"mmWave")</f>
        <v>mmWave</v>
      </c>
      <c r="I132" s="517" t="str">
        <f>IFERROR(__xludf.DUMMYFUNCTION("""COMPUTED_VALUE"""),"CLR1")</f>
        <v>CLR1</v>
      </c>
      <c r="J132" s="517" t="str">
        <f>IFERROR(__xludf.DUMMYFUNCTION("""COMPUTED_VALUE"""),"Midnight Haze")</f>
        <v>Midnight Haze</v>
      </c>
      <c r="K132" s="517" t="str">
        <f>IFERROR(__xludf.DUMMYFUNCTION("""COMPUTED_VALUE"""),"BLK")</f>
        <v>BLK</v>
      </c>
      <c r="L132" s="517" t="str">
        <f>IFERROR(__xludf.DUMMYFUNCTION("""COMPUTED_VALUE"""),"GLBW0")</f>
        <v>GLBW0</v>
      </c>
      <c r="M132" s="517" t="str">
        <f>IFERROR(__xludf.DUMMYFUNCTION("""COMPUTED_VALUE"""),"ATT")</f>
        <v>ATT</v>
      </c>
      <c r="N132" s="517" t="str">
        <f>IFERROR(__xludf.DUMMYFUNCTION("""COMPUTED_VALUE"""),"TBD")</f>
        <v>TBD</v>
      </c>
      <c r="O132" s="517" t="str">
        <f>IFERROR(__xludf.DUMMYFUNCTION("""COMPUTED_VALUE"""),"US")</f>
        <v>US</v>
      </c>
      <c r="P132" s="517" t="str">
        <f>IFERROR(__xludf.DUMMYFUNCTION("""COMPUTED_VALUE"""),"128GB")</f>
        <v>128GB</v>
      </c>
      <c r="Q132" s="518" t="str">
        <f>IFERROR(__xludf.DUMMYFUNCTION("""COMPUTED_VALUE"""),"TBD")</f>
        <v>TBD</v>
      </c>
      <c r="R132" s="518" t="str">
        <f>IFERROR(__xludf.DUMMYFUNCTION("""COMPUTED_VALUE"""),"840353928107")</f>
        <v>840353928107</v>
      </c>
      <c r="S132" s="518" t="str">
        <f>IFERROR(__xludf.DUMMYFUNCTION("""COMPUTED_VALUE"""),"0840353928107")</f>
        <v>0840353928107</v>
      </c>
      <c r="T132" s="517" t="str">
        <f>IFERROR(__xludf.DUMMYFUNCTION("""COMPUTED_VALUE"""),"MP")</f>
        <v>MP</v>
      </c>
    </row>
    <row r="133">
      <c r="B133" s="517">
        <f>IFERROR(__xludf.DUMMYFUNCTION("""COMPUTED_VALUE"""),129.0)</f>
        <v>129</v>
      </c>
      <c r="C133" s="517" t="str">
        <f>IFERROR(__xludf.DUMMYFUNCTION("""COMPUTED_VALUE"""),"NFU")</f>
        <v>NFU</v>
      </c>
      <c r="D133" s="517" t="str">
        <f>IFERROR(__xludf.DUMMYFUNCTION("""COMPUTED_VALUE"""),"Retail Pack")</f>
        <v>Retail Pack</v>
      </c>
      <c r="E133" s="517" t="str">
        <f>IFERROR(__xludf.DUMMYFUNCTION("""COMPUTED_VALUE"""),"GA10267")</f>
        <v>GA10267</v>
      </c>
      <c r="F133" s="517" t="str">
        <f>IFERROR(__xludf.DUMMYFUNCTION("""COMPUTED_VALUE"""),"ATT")</f>
        <v>ATT</v>
      </c>
      <c r="G133" s="517"/>
      <c r="H133" s="517" t="str">
        <f>IFERROR(__xludf.DUMMYFUNCTION("""COMPUTED_VALUE"""),"mmWave")</f>
        <v>mmWave</v>
      </c>
      <c r="I133" s="517" t="str">
        <f>IFERROR(__xludf.DUMMYFUNCTION("""COMPUTED_VALUE"""),"CLR4")</f>
        <v>CLR4</v>
      </c>
      <c r="J133" s="517" t="str">
        <f>IFERROR(__xludf.DUMMYFUNCTION("""COMPUTED_VALUE"""),"Ultra Blue")</f>
        <v>Ultra Blue</v>
      </c>
      <c r="K133" s="517" t="str">
        <f>IFERROR(__xludf.DUMMYFUNCTION("""COMPUTED_VALUE"""),"BUE")</f>
        <v>BUE</v>
      </c>
      <c r="L133" s="517" t="str">
        <f>IFERROR(__xludf.DUMMYFUNCTION("""COMPUTED_VALUE"""),"GLBW0")</f>
        <v>GLBW0</v>
      </c>
      <c r="M133" s="517" t="str">
        <f>IFERROR(__xludf.DUMMYFUNCTION("""COMPUTED_VALUE"""),"ATT")</f>
        <v>ATT</v>
      </c>
      <c r="N133" s="517" t="str">
        <f>IFERROR(__xludf.DUMMYFUNCTION("""COMPUTED_VALUE"""),"TBD")</f>
        <v>TBD</v>
      </c>
      <c r="O133" s="517" t="str">
        <f>IFERROR(__xludf.DUMMYFUNCTION("""COMPUTED_VALUE"""),"US")</f>
        <v>US</v>
      </c>
      <c r="P133" s="517" t="str">
        <f>IFERROR(__xludf.DUMMYFUNCTION("""COMPUTED_VALUE"""),"128GB")</f>
        <v>128GB</v>
      </c>
      <c r="Q133" s="518" t="str">
        <f>IFERROR(__xludf.DUMMYFUNCTION("""COMPUTED_VALUE"""),"TBD")</f>
        <v>TBD</v>
      </c>
      <c r="R133" s="518" t="str">
        <f>IFERROR(__xludf.DUMMYFUNCTION("""COMPUTED_VALUE"""),"840353928091")</f>
        <v>840353928091</v>
      </c>
      <c r="S133" s="518" t="str">
        <f>IFERROR(__xludf.DUMMYFUNCTION("""COMPUTED_VALUE"""),"0840353928091")</f>
        <v>0840353928091</v>
      </c>
      <c r="T133" s="517" t="str">
        <f>IFERROR(__xludf.DUMMYFUNCTION("""COMPUTED_VALUE"""),"MP")</f>
        <v>MP</v>
      </c>
    </row>
    <row r="134">
      <c r="B134" s="517">
        <f>IFERROR(__xludf.DUMMYFUNCTION("""COMPUTED_VALUE"""),130.0)</f>
        <v>130</v>
      </c>
      <c r="C134" s="517" t="str">
        <f>IFERROR(__xludf.DUMMYFUNCTION("""COMPUTED_VALUE"""),"NFU")</f>
        <v>NFU</v>
      </c>
      <c r="D134" s="517" t="str">
        <f>IFERROR(__xludf.DUMMYFUNCTION("""COMPUTED_VALUE"""),"Retail Pack")</f>
        <v>Retail Pack</v>
      </c>
      <c r="E134" s="517" t="str">
        <f>IFERROR(__xludf.DUMMYFUNCTION("""COMPUTED_VALUE"""),"GA10272")</f>
        <v>GA10272</v>
      </c>
      <c r="F134" s="517" t="str">
        <f>IFERROR(__xludf.DUMMYFUNCTION("""COMPUTED_VALUE"""),"US")</f>
        <v>US</v>
      </c>
      <c r="G134" s="517"/>
      <c r="H134" s="517" t="str">
        <f>IFERROR(__xludf.DUMMYFUNCTION("""COMPUTED_VALUE"""),"mmWave")</f>
        <v>mmWave</v>
      </c>
      <c r="I134" s="517" t="str">
        <f>IFERROR(__xludf.DUMMYFUNCTION("""COMPUTED_VALUE"""),"CLR1")</f>
        <v>CLR1</v>
      </c>
      <c r="J134" s="517" t="str">
        <f>IFERROR(__xludf.DUMMYFUNCTION("""COMPUTED_VALUE"""),"Midnight Haze")</f>
        <v>Midnight Haze</v>
      </c>
      <c r="K134" s="517" t="str">
        <f>IFERROR(__xludf.DUMMYFUNCTION("""COMPUTED_VALUE"""),"BLK")</f>
        <v>BLK</v>
      </c>
      <c r="L134" s="517" t="str">
        <f>IFERROR(__xludf.DUMMYFUNCTION("""COMPUTED_VALUE"""),"GLBW0")</f>
        <v>GLBW0</v>
      </c>
      <c r="M134" s="517" t="str">
        <f>IFERROR(__xludf.DUMMYFUNCTION("""COMPUTED_VALUE"""),"NA")</f>
        <v>NA</v>
      </c>
      <c r="N134" s="517" t="str">
        <f>IFERROR(__xludf.DUMMYFUNCTION("""COMPUTED_VALUE"""),"TBD")</f>
        <v>TBD</v>
      </c>
      <c r="O134" s="517">
        <f>IFERROR(__xludf.DUMMYFUNCTION("""COMPUTED_VALUE"""),0.0)</f>
        <v>0</v>
      </c>
      <c r="P134" s="517" t="str">
        <f>IFERROR(__xludf.DUMMYFUNCTION("""COMPUTED_VALUE"""),"128GB")</f>
        <v>128GB</v>
      </c>
      <c r="Q134" s="517"/>
      <c r="R134" s="518" t="str">
        <f>IFERROR(__xludf.DUMMYFUNCTION("""COMPUTED_VALUE"""),"840353928497")</f>
        <v>840353928497</v>
      </c>
      <c r="S134" s="518" t="str">
        <f>IFERROR(__xludf.DUMMYFUNCTION("""COMPUTED_VALUE"""),"0840353928497")</f>
        <v>0840353928497</v>
      </c>
      <c r="T134" s="517" t="str">
        <f>IFERROR(__xludf.DUMMYFUNCTION("""COMPUTED_VALUE"""),"MP")</f>
        <v>MP</v>
      </c>
    </row>
    <row r="135">
      <c r="B135" s="517">
        <f>IFERROR(__xludf.DUMMYFUNCTION("""COMPUTED_VALUE"""),131.0)</f>
        <v>131</v>
      </c>
      <c r="C135" s="517" t="str">
        <f>IFERROR(__xludf.DUMMYFUNCTION("""COMPUTED_VALUE"""),"NFU")</f>
        <v>NFU</v>
      </c>
      <c r="D135" s="517" t="str">
        <f>IFERROR(__xludf.DUMMYFUNCTION("""COMPUTED_VALUE"""),"Retail Pack")</f>
        <v>Retail Pack</v>
      </c>
      <c r="E135" s="517" t="str">
        <f>IFERROR(__xludf.DUMMYFUNCTION("""COMPUTED_VALUE"""),"GA10273")</f>
        <v>GA10273</v>
      </c>
      <c r="F135" s="517" t="str">
        <f>IFERROR(__xludf.DUMMYFUNCTION("""COMPUTED_VALUE"""),"US")</f>
        <v>US</v>
      </c>
      <c r="G135" s="517"/>
      <c r="H135" s="517" t="str">
        <f>IFERROR(__xludf.DUMMYFUNCTION("""COMPUTED_VALUE"""),"mmWave")</f>
        <v>mmWave</v>
      </c>
      <c r="I135" s="517" t="str">
        <f>IFERROR(__xludf.DUMMYFUNCTION("""COMPUTED_VALUE"""),"CLR2")</f>
        <v>CLR2</v>
      </c>
      <c r="J135" s="517" t="str">
        <f>IFERROR(__xludf.DUMMYFUNCTION("""COMPUTED_VALUE"""),"Iris")</f>
        <v>Iris</v>
      </c>
      <c r="K135" s="517" t="str">
        <f>IFERROR(__xludf.DUMMYFUNCTION("""COMPUTED_VALUE"""),"PPL")</f>
        <v>PPL</v>
      </c>
      <c r="L135" s="517" t="str">
        <f>IFERROR(__xludf.DUMMYFUNCTION("""COMPUTED_VALUE"""),"GLBW0")</f>
        <v>GLBW0</v>
      </c>
      <c r="M135" s="517" t="str">
        <f>IFERROR(__xludf.DUMMYFUNCTION("""COMPUTED_VALUE"""),"NA")</f>
        <v>NA</v>
      </c>
      <c r="N135" s="517" t="str">
        <f>IFERROR(__xludf.DUMMYFUNCTION("""COMPUTED_VALUE"""),"TBD")</f>
        <v>TBD</v>
      </c>
      <c r="O135" s="517">
        <f>IFERROR(__xludf.DUMMYFUNCTION("""COMPUTED_VALUE"""),0.0)</f>
        <v>0</v>
      </c>
      <c r="P135" s="517" t="str">
        <f>IFERROR(__xludf.DUMMYFUNCTION("""COMPUTED_VALUE"""),"128GB")</f>
        <v>128GB</v>
      </c>
      <c r="Q135" s="517"/>
      <c r="R135" s="518" t="str">
        <f>IFERROR(__xludf.DUMMYFUNCTION("""COMPUTED_VALUE"""),"840353928435")</f>
        <v>840353928435</v>
      </c>
      <c r="S135" s="518" t="str">
        <f>IFERROR(__xludf.DUMMYFUNCTION("""COMPUTED_VALUE"""),"0840353928435")</f>
        <v>0840353928435</v>
      </c>
      <c r="T135" s="517" t="str">
        <f>IFERROR(__xludf.DUMMYFUNCTION("""COMPUTED_VALUE"""),"MP")</f>
        <v>MP</v>
      </c>
    </row>
    <row r="136">
      <c r="B136" s="517">
        <f>IFERROR(__xludf.DUMMYFUNCTION("""COMPUTED_VALUE"""),132.0)</f>
        <v>132</v>
      </c>
      <c r="C136" s="517" t="str">
        <f>IFERROR(__xludf.DUMMYFUNCTION("""COMPUTED_VALUE"""),"NFU")</f>
        <v>NFU</v>
      </c>
      <c r="D136" s="517" t="str">
        <f>IFERROR(__xludf.DUMMYFUNCTION("""COMPUTED_VALUE"""),"Retail Pack")</f>
        <v>Retail Pack</v>
      </c>
      <c r="E136" s="517" t="str">
        <f>IFERROR(__xludf.DUMMYFUNCTION("""COMPUTED_VALUE"""),"GA10769")</f>
        <v>GA10769</v>
      </c>
      <c r="F136" s="517" t="str">
        <f>IFERROR(__xludf.DUMMYFUNCTION("""COMPUTED_VALUE"""),"US")</f>
        <v>US</v>
      </c>
      <c r="G136" s="517"/>
      <c r="H136" s="517" t="str">
        <f>IFERROR(__xludf.DUMMYFUNCTION("""COMPUTED_VALUE"""),"mmWave")</f>
        <v>mmWave</v>
      </c>
      <c r="I136" s="517" t="str">
        <f>IFERROR(__xludf.DUMMYFUNCTION("""COMPUTED_VALUE"""),"CLR3")</f>
        <v>CLR3</v>
      </c>
      <c r="J136" s="517" t="str">
        <f>IFERROR(__xludf.DUMMYFUNCTION("""COMPUTED_VALUE"""),"Limoncello Midtone")</f>
        <v>Limoncello Midtone</v>
      </c>
      <c r="K136" s="517" t="str">
        <f>IFERROR(__xludf.DUMMYFUNCTION("""COMPUTED_VALUE"""),"YEL")</f>
        <v>YEL</v>
      </c>
      <c r="L136" s="517" t="str">
        <f>IFERROR(__xludf.DUMMYFUNCTION("""COMPUTED_VALUE"""),"GLBW0")</f>
        <v>GLBW0</v>
      </c>
      <c r="M136" s="517" t="str">
        <f>IFERROR(__xludf.DUMMYFUNCTION("""COMPUTED_VALUE"""),"NA")</f>
        <v>NA</v>
      </c>
      <c r="N136" s="517" t="str">
        <f>IFERROR(__xludf.DUMMYFUNCTION("""COMPUTED_VALUE"""),"TBD")</f>
        <v>TBD</v>
      </c>
      <c r="O136" s="517">
        <f>IFERROR(__xludf.DUMMYFUNCTION("""COMPUTED_VALUE"""),0.0)</f>
        <v>0</v>
      </c>
      <c r="P136" s="517" t="str">
        <f>IFERROR(__xludf.DUMMYFUNCTION("""COMPUTED_VALUE"""),"128GB")</f>
        <v>128GB</v>
      </c>
      <c r="Q136" s="517"/>
      <c r="R136" s="518" t="str">
        <f>IFERROR(__xludf.DUMMYFUNCTION("""COMPUTED_VALUE"""),"840353928428")</f>
        <v>840353928428</v>
      </c>
      <c r="S136" s="518" t="str">
        <f>IFERROR(__xludf.DUMMYFUNCTION("""COMPUTED_VALUE"""),"0840353928428")</f>
        <v>0840353928428</v>
      </c>
      <c r="T136" s="517" t="str">
        <f>IFERROR(__xludf.DUMMYFUNCTION("""COMPUTED_VALUE"""),"MP")</f>
        <v>MP</v>
      </c>
    </row>
    <row r="137">
      <c r="B137" s="517">
        <f>IFERROR(__xludf.DUMMYFUNCTION("""COMPUTED_VALUE"""),133.0)</f>
        <v>133</v>
      </c>
      <c r="C137" s="517" t="str">
        <f>IFERROR(__xludf.DUMMYFUNCTION("""COMPUTED_VALUE"""),"NFU")</f>
        <v>NFU</v>
      </c>
      <c r="D137" s="517" t="str">
        <f>IFERROR(__xludf.DUMMYFUNCTION("""COMPUTED_VALUE"""),"Retail Pack")</f>
        <v>Retail Pack</v>
      </c>
      <c r="E137" s="517" t="str">
        <f>IFERROR(__xludf.DUMMYFUNCTION("""COMPUTED_VALUE"""),"GA10770")</f>
        <v>GA10770</v>
      </c>
      <c r="F137" s="517" t="str">
        <f>IFERROR(__xludf.DUMMYFUNCTION("""COMPUTED_VALUE"""),"US")</f>
        <v>US</v>
      </c>
      <c r="G137" s="517"/>
      <c r="H137" s="517" t="str">
        <f>IFERROR(__xludf.DUMMYFUNCTION("""COMPUTED_VALUE"""),"mmWave")</f>
        <v>mmWave</v>
      </c>
      <c r="I137" s="517" t="str">
        <f>IFERROR(__xludf.DUMMYFUNCTION("""COMPUTED_VALUE"""),"CLR4")</f>
        <v>CLR4</v>
      </c>
      <c r="J137" s="517" t="str">
        <f>IFERROR(__xludf.DUMMYFUNCTION("""COMPUTED_VALUE"""),"Ultra Blue")</f>
        <v>Ultra Blue</v>
      </c>
      <c r="K137" s="517" t="str">
        <f>IFERROR(__xludf.DUMMYFUNCTION("""COMPUTED_VALUE"""),"BUE")</f>
        <v>BUE</v>
      </c>
      <c r="L137" s="517" t="str">
        <f>IFERROR(__xludf.DUMMYFUNCTION("""COMPUTED_VALUE"""),"GLBW0")</f>
        <v>GLBW0</v>
      </c>
      <c r="M137" s="517" t="str">
        <f>IFERROR(__xludf.DUMMYFUNCTION("""COMPUTED_VALUE"""),"NA")</f>
        <v>NA</v>
      </c>
      <c r="N137" s="517" t="str">
        <f>IFERROR(__xludf.DUMMYFUNCTION("""COMPUTED_VALUE"""),"TBD")</f>
        <v>TBD</v>
      </c>
      <c r="O137" s="517">
        <f>IFERROR(__xludf.DUMMYFUNCTION("""COMPUTED_VALUE"""),0.0)</f>
        <v>0</v>
      </c>
      <c r="P137" s="517" t="str">
        <f>IFERROR(__xludf.DUMMYFUNCTION("""COMPUTED_VALUE"""),"128GB")</f>
        <v>128GB</v>
      </c>
      <c r="Q137" s="517"/>
      <c r="R137" s="518" t="str">
        <f>IFERROR(__xludf.DUMMYFUNCTION("""COMPUTED_VALUE"""),"840353928404")</f>
        <v>840353928404</v>
      </c>
      <c r="S137" s="518" t="str">
        <f>IFERROR(__xludf.DUMMYFUNCTION("""COMPUTED_VALUE"""),"0840353928404")</f>
        <v>0840353928404</v>
      </c>
      <c r="T137" s="517" t="str">
        <f>IFERROR(__xludf.DUMMYFUNCTION("""COMPUTED_VALUE"""),"MP")</f>
        <v>MP</v>
      </c>
    </row>
    <row r="138">
      <c r="B138" s="517">
        <f>IFERROR(__xludf.DUMMYFUNCTION("""COMPUTED_VALUE"""),134.0)</f>
        <v>134</v>
      </c>
      <c r="C138" s="517" t="str">
        <f>IFERROR(__xludf.DUMMYFUNCTION("""COMPUTED_VALUE"""),"NFU")</f>
        <v>NFU</v>
      </c>
      <c r="D138" s="517" t="str">
        <f>IFERROR(__xludf.DUMMYFUNCTION("""COMPUTED_VALUE"""),"Retail Pack")</f>
        <v>Retail Pack</v>
      </c>
      <c r="E138" s="517" t="str">
        <f>IFERROR(__xludf.DUMMYFUNCTION("""COMPUTED_VALUE"""),"GA10268")</f>
        <v>GA10268</v>
      </c>
      <c r="F138" s="517" t="str">
        <f>IFERROR(__xludf.DUMMYFUNCTION("""COMPUTED_VALUE"""),"JP")</f>
        <v>JP</v>
      </c>
      <c r="G138" s="517"/>
      <c r="H138" s="517" t="str">
        <f>IFERROR(__xludf.DUMMYFUNCTION("""COMPUTED_VALUE"""),"JPN")</f>
        <v>JPN</v>
      </c>
      <c r="I138" s="517" t="str">
        <f>IFERROR(__xludf.DUMMYFUNCTION("""COMPUTED_VALUE"""),"CLR1")</f>
        <v>CLR1</v>
      </c>
      <c r="J138" s="517" t="str">
        <f>IFERROR(__xludf.DUMMYFUNCTION("""COMPUTED_VALUE"""),"Midnight Haze")</f>
        <v>Midnight Haze</v>
      </c>
      <c r="K138" s="517" t="str">
        <f>IFERROR(__xludf.DUMMYFUNCTION("""COMPUTED_VALUE"""),"BLK")</f>
        <v>BLK</v>
      </c>
      <c r="L138" s="517" t="str">
        <f>IFERROR(__xludf.DUMMYFUNCTION("""COMPUTED_VALUE"""),"GL066")</f>
        <v>GL066</v>
      </c>
      <c r="M138" s="517" t="str">
        <f>IFERROR(__xludf.DUMMYFUNCTION("""COMPUTED_VALUE"""),"JPN")</f>
        <v>JPN</v>
      </c>
      <c r="N138" s="517" t="str">
        <f>IFERROR(__xludf.DUMMYFUNCTION("""COMPUTED_VALUE"""),"TBD")</f>
        <v>TBD</v>
      </c>
      <c r="O138" s="517">
        <f>IFERROR(__xludf.DUMMYFUNCTION("""COMPUTED_VALUE"""),0.0)</f>
        <v>0</v>
      </c>
      <c r="P138" s="517" t="str">
        <f>IFERROR(__xludf.DUMMYFUNCTION("""COMPUTED_VALUE"""),"128GB")</f>
        <v>128GB</v>
      </c>
      <c r="Q138" s="517"/>
      <c r="R138" s="518" t="str">
        <f>IFERROR(__xludf.DUMMYFUNCTION("""COMPUTED_VALUE"""),"840353928572")</f>
        <v>840353928572</v>
      </c>
      <c r="S138" s="518" t="str">
        <f>IFERROR(__xludf.DUMMYFUNCTION("""COMPUTED_VALUE"""),"0840353928572")</f>
        <v>0840353928572</v>
      </c>
      <c r="T138" s="517" t="str">
        <f>IFERROR(__xludf.DUMMYFUNCTION("""COMPUTED_VALUE"""),"MP")</f>
        <v>MP</v>
      </c>
    </row>
    <row r="139">
      <c r="B139" s="517">
        <f>IFERROR(__xludf.DUMMYFUNCTION("""COMPUTED_VALUE"""),135.0)</f>
        <v>135</v>
      </c>
      <c r="C139" s="517" t="str">
        <f>IFERROR(__xludf.DUMMYFUNCTION("""COMPUTED_VALUE"""),"NFU")</f>
        <v>NFU</v>
      </c>
      <c r="D139" s="517" t="str">
        <f>IFERROR(__xludf.DUMMYFUNCTION("""COMPUTED_VALUE"""),"Retail Pack")</f>
        <v>Retail Pack</v>
      </c>
      <c r="E139" s="517" t="str">
        <f>IFERROR(__xludf.DUMMYFUNCTION("""COMPUTED_VALUE"""),"GA10269")</f>
        <v>GA10269</v>
      </c>
      <c r="F139" s="517" t="str">
        <f>IFERROR(__xludf.DUMMYFUNCTION("""COMPUTED_VALUE"""),"JP")</f>
        <v>JP</v>
      </c>
      <c r="G139" s="517"/>
      <c r="H139" s="517" t="str">
        <f>IFERROR(__xludf.DUMMYFUNCTION("""COMPUTED_VALUE"""),"JPN")</f>
        <v>JPN</v>
      </c>
      <c r="I139" s="517" t="str">
        <f>IFERROR(__xludf.DUMMYFUNCTION("""COMPUTED_VALUE"""),"CLR2")</f>
        <v>CLR2</v>
      </c>
      <c r="J139" s="517" t="str">
        <f>IFERROR(__xludf.DUMMYFUNCTION("""COMPUTED_VALUE"""),"Iris")</f>
        <v>Iris</v>
      </c>
      <c r="K139" s="517" t="str">
        <f>IFERROR(__xludf.DUMMYFUNCTION("""COMPUTED_VALUE"""),"PPL")</f>
        <v>PPL</v>
      </c>
      <c r="L139" s="517" t="str">
        <f>IFERROR(__xludf.DUMMYFUNCTION("""COMPUTED_VALUE"""),"GL066")</f>
        <v>GL066</v>
      </c>
      <c r="M139" s="517" t="str">
        <f>IFERROR(__xludf.DUMMYFUNCTION("""COMPUTED_VALUE"""),"JPN")</f>
        <v>JPN</v>
      </c>
      <c r="N139" s="517" t="str">
        <f>IFERROR(__xludf.DUMMYFUNCTION("""COMPUTED_VALUE"""),"TBD")</f>
        <v>TBD</v>
      </c>
      <c r="O139" s="517">
        <f>IFERROR(__xludf.DUMMYFUNCTION("""COMPUTED_VALUE"""),0.0)</f>
        <v>0</v>
      </c>
      <c r="P139" s="517" t="str">
        <f>IFERROR(__xludf.DUMMYFUNCTION("""COMPUTED_VALUE"""),"128GB")</f>
        <v>128GB</v>
      </c>
      <c r="Q139" s="517"/>
      <c r="R139" s="518" t="str">
        <f>IFERROR(__xludf.DUMMYFUNCTION("""COMPUTED_VALUE"""),"840353928558")</f>
        <v>840353928558</v>
      </c>
      <c r="S139" s="518" t="str">
        <f>IFERROR(__xludf.DUMMYFUNCTION("""COMPUTED_VALUE"""),"0840353928558")</f>
        <v>0840353928558</v>
      </c>
      <c r="T139" s="517" t="str">
        <f>IFERROR(__xludf.DUMMYFUNCTION("""COMPUTED_VALUE"""),"MP")</f>
        <v>MP</v>
      </c>
    </row>
    <row r="140">
      <c r="B140" s="517">
        <f>IFERROR(__xludf.DUMMYFUNCTION("""COMPUTED_VALUE"""),136.0)</f>
        <v>136</v>
      </c>
      <c r="C140" s="517" t="str">
        <f>IFERROR(__xludf.DUMMYFUNCTION("""COMPUTED_VALUE"""),"NFU")</f>
        <v>NFU</v>
      </c>
      <c r="D140" s="517" t="str">
        <f>IFERROR(__xludf.DUMMYFUNCTION("""COMPUTED_VALUE"""),"Retail Pack")</f>
        <v>Retail Pack</v>
      </c>
      <c r="E140" s="517" t="str">
        <f>IFERROR(__xludf.DUMMYFUNCTION("""COMPUTED_VALUE"""),"GA10270")</f>
        <v>GA10270</v>
      </c>
      <c r="F140" s="517" t="str">
        <f>IFERROR(__xludf.DUMMYFUNCTION("""COMPUTED_VALUE"""),"JP")</f>
        <v>JP</v>
      </c>
      <c r="G140" s="517"/>
      <c r="H140" s="517" t="str">
        <f>IFERROR(__xludf.DUMMYFUNCTION("""COMPUTED_VALUE"""),"JPN")</f>
        <v>JPN</v>
      </c>
      <c r="I140" s="517" t="str">
        <f>IFERROR(__xludf.DUMMYFUNCTION("""COMPUTED_VALUE"""),"CLR3")</f>
        <v>CLR3</v>
      </c>
      <c r="J140" s="517" t="str">
        <f>IFERROR(__xludf.DUMMYFUNCTION("""COMPUTED_VALUE"""),"Limoncello Midtone")</f>
        <v>Limoncello Midtone</v>
      </c>
      <c r="K140" s="517" t="str">
        <f>IFERROR(__xludf.DUMMYFUNCTION("""COMPUTED_VALUE"""),"YEL")</f>
        <v>YEL</v>
      </c>
      <c r="L140" s="517" t="str">
        <f>IFERROR(__xludf.DUMMYFUNCTION("""COMPUTED_VALUE"""),"GL066")</f>
        <v>GL066</v>
      </c>
      <c r="M140" s="517" t="str">
        <f>IFERROR(__xludf.DUMMYFUNCTION("""COMPUTED_VALUE"""),"JPN")</f>
        <v>JPN</v>
      </c>
      <c r="N140" s="517" t="str">
        <f>IFERROR(__xludf.DUMMYFUNCTION("""COMPUTED_VALUE"""),"TBD")</f>
        <v>TBD</v>
      </c>
      <c r="O140" s="517">
        <f>IFERROR(__xludf.DUMMYFUNCTION("""COMPUTED_VALUE"""),0.0)</f>
        <v>0</v>
      </c>
      <c r="P140" s="517" t="str">
        <f>IFERROR(__xludf.DUMMYFUNCTION("""COMPUTED_VALUE"""),"128GB")</f>
        <v>128GB</v>
      </c>
      <c r="Q140" s="517"/>
      <c r="R140" s="518" t="str">
        <f>IFERROR(__xludf.DUMMYFUNCTION("""COMPUTED_VALUE"""),"840353928596")</f>
        <v>840353928596</v>
      </c>
      <c r="S140" s="518" t="str">
        <f>IFERROR(__xludf.DUMMYFUNCTION("""COMPUTED_VALUE"""),"0840353928596")</f>
        <v>0840353928596</v>
      </c>
      <c r="T140" s="517" t="str">
        <f>IFERROR(__xludf.DUMMYFUNCTION("""COMPUTED_VALUE"""),"MP")</f>
        <v>MP</v>
      </c>
    </row>
    <row r="141">
      <c r="B141" s="517">
        <f>IFERROR(__xludf.DUMMYFUNCTION("""COMPUTED_VALUE"""),137.0)</f>
        <v>137</v>
      </c>
      <c r="C141" s="517" t="str">
        <f>IFERROR(__xludf.DUMMYFUNCTION("""COMPUTED_VALUE"""),"NFU")</f>
        <v>NFU</v>
      </c>
      <c r="D141" s="517" t="str">
        <f>IFERROR(__xludf.DUMMYFUNCTION("""COMPUTED_VALUE"""),"Retail Pack")</f>
        <v>Retail Pack</v>
      </c>
      <c r="E141" s="517" t="str">
        <f>IFERROR(__xludf.DUMMYFUNCTION("""COMPUTED_VALUE"""),"GA10271")</f>
        <v>GA10271</v>
      </c>
      <c r="F141" s="517" t="str">
        <f>IFERROR(__xludf.DUMMYFUNCTION("""COMPUTED_VALUE"""),"JP")</f>
        <v>JP</v>
      </c>
      <c r="G141" s="517"/>
      <c r="H141" s="517" t="str">
        <f>IFERROR(__xludf.DUMMYFUNCTION("""COMPUTED_VALUE"""),"JPN")</f>
        <v>JPN</v>
      </c>
      <c r="I141" s="517" t="str">
        <f>IFERROR(__xludf.DUMMYFUNCTION("""COMPUTED_VALUE"""),"CLR4")</f>
        <v>CLR4</v>
      </c>
      <c r="J141" s="517" t="str">
        <f>IFERROR(__xludf.DUMMYFUNCTION("""COMPUTED_VALUE"""),"Ultra Blue")</f>
        <v>Ultra Blue</v>
      </c>
      <c r="K141" s="517" t="str">
        <f>IFERROR(__xludf.DUMMYFUNCTION("""COMPUTED_VALUE"""),"BUE")</f>
        <v>BUE</v>
      </c>
      <c r="L141" s="517" t="str">
        <f>IFERROR(__xludf.DUMMYFUNCTION("""COMPUTED_VALUE"""),"GL066")</f>
        <v>GL066</v>
      </c>
      <c r="M141" s="517" t="str">
        <f>IFERROR(__xludf.DUMMYFUNCTION("""COMPUTED_VALUE"""),"JPN")</f>
        <v>JPN</v>
      </c>
      <c r="N141" s="517" t="str">
        <f>IFERROR(__xludf.DUMMYFUNCTION("""COMPUTED_VALUE"""),"TBD")</f>
        <v>TBD</v>
      </c>
      <c r="O141" s="517">
        <f>IFERROR(__xludf.DUMMYFUNCTION("""COMPUTED_VALUE"""),0.0)</f>
        <v>0</v>
      </c>
      <c r="P141" s="517" t="str">
        <f>IFERROR(__xludf.DUMMYFUNCTION("""COMPUTED_VALUE"""),"128GB")</f>
        <v>128GB</v>
      </c>
      <c r="Q141" s="517"/>
      <c r="R141" s="518" t="str">
        <f>IFERROR(__xludf.DUMMYFUNCTION("""COMPUTED_VALUE"""),"840353928466")</f>
        <v>840353928466</v>
      </c>
      <c r="S141" s="518" t="str">
        <f>IFERROR(__xludf.DUMMYFUNCTION("""COMPUTED_VALUE"""),"0840353928466")</f>
        <v>0840353928466</v>
      </c>
      <c r="T141" s="517" t="str">
        <f>IFERROR(__xludf.DUMMYFUNCTION("""COMPUTED_VALUE"""),"MP")</f>
        <v>MP</v>
      </c>
    </row>
    <row r="142">
      <c r="B142" s="517">
        <f>IFERROR(__xludf.DUMMYFUNCTION("""COMPUTED_VALUE"""),138.0)</f>
        <v>138</v>
      </c>
      <c r="C142" s="517" t="str">
        <f>IFERROR(__xludf.DUMMYFUNCTION("""COMPUTED_VALUE"""),"NFU")</f>
        <v>NFU</v>
      </c>
      <c r="D142" s="517" t="str">
        <f>IFERROR(__xludf.DUMMYFUNCTION("""COMPUTED_VALUE"""),"Retail Pack")</f>
        <v>Retail Pack</v>
      </c>
      <c r="E142" s="517" t="str">
        <f>IFERROR(__xludf.DUMMYFUNCTION("""COMPUTED_VALUE"""),"GA10907")</f>
        <v>GA10907</v>
      </c>
      <c r="F142" s="517" t="str">
        <f>IFERROR(__xludf.DUMMYFUNCTION("""COMPUTED_VALUE"""),"GB, DE, IT, ES, IE, FR, NL, BE, AT, CH, PT, PL, CEE ( CZ, HU, RO, SI, LV, LT, EE, FI), NO,SE,DK, SK, CA/TW/SG/AU/MY/MX
")</f>
        <v>GB, DE, IT, ES, IE, FR, NL, BE, AT, CH, PT, PL, CEE ( CZ, HU, RO, SI, LV, LT, EE, FI), NO,SE,DK, SK, CA/TW/SG/AU/MY/MX
</v>
      </c>
      <c r="G142" s="517"/>
      <c r="H142" s="517" t="str">
        <f>IFERROR(__xludf.DUMMYFUNCTION("""COMPUTED_VALUE"""),"Sub6")</f>
        <v>Sub6</v>
      </c>
      <c r="I142" s="517" t="str">
        <f>IFERROR(__xludf.DUMMYFUNCTION("""COMPUTED_VALUE"""),"CLR1")</f>
        <v>CLR1</v>
      </c>
      <c r="J142" s="517" t="str">
        <f>IFERROR(__xludf.DUMMYFUNCTION("""COMPUTED_VALUE"""),"Midnight Haze")</f>
        <v>Midnight Haze</v>
      </c>
      <c r="K142" s="517" t="str">
        <f>IFERROR(__xludf.DUMMYFUNCTION("""COMPUTED_VALUE"""),"BLK")</f>
        <v>BLK</v>
      </c>
      <c r="L142" s="517" t="str">
        <f>IFERROR(__xludf.DUMMYFUNCTION("""COMPUTED_VALUE"""),"GK2MP")</f>
        <v>GK2MP</v>
      </c>
      <c r="M142" s="517" t="str">
        <f>IFERROR(__xludf.DUMMYFUNCTION("""COMPUTED_VALUE"""),"ROW")</f>
        <v>ROW</v>
      </c>
      <c r="N142" s="517" t="str">
        <f>IFERROR(__xludf.DUMMYFUNCTION("""COMPUTED_VALUE"""),"TBD")</f>
        <v>TBD</v>
      </c>
      <c r="O142" s="517">
        <f>IFERROR(__xludf.DUMMYFUNCTION("""COMPUTED_VALUE"""),0.0)</f>
        <v>0</v>
      </c>
      <c r="P142" s="517" t="str">
        <f>IFERROR(__xludf.DUMMYFUNCTION("""COMPUTED_VALUE"""),"128GB")</f>
        <v>128GB</v>
      </c>
      <c r="Q142" s="517"/>
      <c r="R142" s="518" t="str">
        <f>IFERROR(__xludf.DUMMYFUNCTION("""COMPUTED_VALUE"""),"840353940161")</f>
        <v>840353940161</v>
      </c>
      <c r="S142" s="518" t="str">
        <f>IFERROR(__xludf.DUMMYFUNCTION("""COMPUTED_VALUE"""),"0840353940161")</f>
        <v>0840353940161</v>
      </c>
      <c r="T142" s="517" t="str">
        <f>IFERROR(__xludf.DUMMYFUNCTION("""COMPUTED_VALUE"""),"MP")</f>
        <v>MP</v>
      </c>
    </row>
    <row r="143">
      <c r="B143" s="517">
        <f>IFERROR(__xludf.DUMMYFUNCTION("""COMPUTED_VALUE"""),139.0)</f>
        <v>139</v>
      </c>
      <c r="C143" s="517" t="str">
        <f>IFERROR(__xludf.DUMMYFUNCTION("""COMPUTED_VALUE"""),"NFU")</f>
        <v>NFU</v>
      </c>
      <c r="D143" s="517" t="str">
        <f>IFERROR(__xludf.DUMMYFUNCTION("""COMPUTED_VALUE"""),"Retail Pack")</f>
        <v>Retail Pack</v>
      </c>
      <c r="E143" s="517" t="str">
        <f>IFERROR(__xludf.DUMMYFUNCTION("""COMPUTED_VALUE"""),"GA10908")</f>
        <v>GA10908</v>
      </c>
      <c r="F143" s="517" t="str">
        <f>IFERROR(__xludf.DUMMYFUNCTION("""COMPUTED_VALUE"""),"GB, DE, IT, ES, IE, FR, NL, BE, AT, CH, PT, PL, CEE ( CZ, HU, RO, SI, LV, LT, EE, FI), NO,SE,DK, SK, CA/TW/SG/AU/MY/MX
")</f>
        <v>GB, DE, IT, ES, IE, FR, NL, BE, AT, CH, PT, PL, CEE ( CZ, HU, RO, SI, LV, LT, EE, FI), NO,SE,DK, SK, CA/TW/SG/AU/MY/MX
</v>
      </c>
      <c r="G143" s="517"/>
      <c r="H143" s="517" t="str">
        <f>IFERROR(__xludf.DUMMYFUNCTION("""COMPUTED_VALUE"""),"Sub6")</f>
        <v>Sub6</v>
      </c>
      <c r="I143" s="517" t="str">
        <f>IFERROR(__xludf.DUMMYFUNCTION("""COMPUTED_VALUE"""),"CLR2")</f>
        <v>CLR2</v>
      </c>
      <c r="J143" s="517" t="str">
        <f>IFERROR(__xludf.DUMMYFUNCTION("""COMPUTED_VALUE"""),"Iris")</f>
        <v>Iris</v>
      </c>
      <c r="K143" s="517" t="str">
        <f>IFERROR(__xludf.DUMMYFUNCTION("""COMPUTED_VALUE"""),"PPL")</f>
        <v>PPL</v>
      </c>
      <c r="L143" s="517" t="str">
        <f>IFERROR(__xludf.DUMMYFUNCTION("""COMPUTED_VALUE"""),"GK2MP")</f>
        <v>GK2MP</v>
      </c>
      <c r="M143" s="517" t="str">
        <f>IFERROR(__xludf.DUMMYFUNCTION("""COMPUTED_VALUE"""),"ROW")</f>
        <v>ROW</v>
      </c>
      <c r="N143" s="517" t="str">
        <f>IFERROR(__xludf.DUMMYFUNCTION("""COMPUTED_VALUE"""),"TBD")</f>
        <v>TBD</v>
      </c>
      <c r="O143" s="517">
        <f>IFERROR(__xludf.DUMMYFUNCTION("""COMPUTED_VALUE"""),0.0)</f>
        <v>0</v>
      </c>
      <c r="P143" s="517" t="str">
        <f>IFERROR(__xludf.DUMMYFUNCTION("""COMPUTED_VALUE"""),"128GB")</f>
        <v>128GB</v>
      </c>
      <c r="Q143" s="517"/>
      <c r="R143" s="518" t="str">
        <f>IFERROR(__xludf.DUMMYFUNCTION("""COMPUTED_VALUE"""),"840353940178")</f>
        <v>840353940178</v>
      </c>
      <c r="S143" s="518" t="str">
        <f>IFERROR(__xludf.DUMMYFUNCTION("""COMPUTED_VALUE"""),"0840353940178")</f>
        <v>0840353940178</v>
      </c>
      <c r="T143" s="517" t="str">
        <f>IFERROR(__xludf.DUMMYFUNCTION("""COMPUTED_VALUE"""),"MP")</f>
        <v>MP</v>
      </c>
    </row>
    <row r="144">
      <c r="B144" s="517">
        <f>IFERROR(__xludf.DUMMYFUNCTION("""COMPUTED_VALUE"""),140.0)</f>
        <v>140</v>
      </c>
      <c r="C144" s="517" t="str">
        <f>IFERROR(__xludf.DUMMYFUNCTION("""COMPUTED_VALUE"""),"NFU")</f>
        <v>NFU</v>
      </c>
      <c r="D144" s="517" t="str">
        <f>IFERROR(__xludf.DUMMYFUNCTION("""COMPUTED_VALUE"""),"Retail Pack")</f>
        <v>Retail Pack</v>
      </c>
      <c r="E144" s="517" t="str">
        <f>IFERROR(__xludf.DUMMYFUNCTION("""COMPUTED_VALUE"""),"GA10909")</f>
        <v>GA10909</v>
      </c>
      <c r="F144" s="517" t="str">
        <f>IFERROR(__xludf.DUMMYFUNCTION("""COMPUTED_VALUE"""),"GB, DE, IT, ES, IE, FR, NL, BE, AT, CH, PT, PL, CEE ( CZ, HU, RO, SI, LV, LT, EE, FI), NO,SE,DK, SK, CA/TW/SG/AU/MY/MX
")</f>
        <v>GB, DE, IT, ES, IE, FR, NL, BE, AT, CH, PT, PL, CEE ( CZ, HU, RO, SI, LV, LT, EE, FI), NO,SE,DK, SK, CA/TW/SG/AU/MY/MX
</v>
      </c>
      <c r="G144" s="517"/>
      <c r="H144" s="517" t="str">
        <f>IFERROR(__xludf.DUMMYFUNCTION("""COMPUTED_VALUE"""),"Sub6")</f>
        <v>Sub6</v>
      </c>
      <c r="I144" s="517" t="str">
        <f>IFERROR(__xludf.DUMMYFUNCTION("""COMPUTED_VALUE"""),"CLR3")</f>
        <v>CLR3</v>
      </c>
      <c r="J144" s="517" t="str">
        <f>IFERROR(__xludf.DUMMYFUNCTION("""COMPUTED_VALUE"""),"Limoncello Midtone")</f>
        <v>Limoncello Midtone</v>
      </c>
      <c r="K144" s="517" t="str">
        <f>IFERROR(__xludf.DUMMYFUNCTION("""COMPUTED_VALUE"""),"YEL")</f>
        <v>YEL</v>
      </c>
      <c r="L144" s="517" t="str">
        <f>IFERROR(__xludf.DUMMYFUNCTION("""COMPUTED_VALUE"""),"GK2MP")</f>
        <v>GK2MP</v>
      </c>
      <c r="M144" s="517" t="str">
        <f>IFERROR(__xludf.DUMMYFUNCTION("""COMPUTED_VALUE"""),"ROW")</f>
        <v>ROW</v>
      </c>
      <c r="N144" s="517" t="str">
        <f>IFERROR(__xludf.DUMMYFUNCTION("""COMPUTED_VALUE"""),"TBD")</f>
        <v>TBD</v>
      </c>
      <c r="O144" s="517">
        <f>IFERROR(__xludf.DUMMYFUNCTION("""COMPUTED_VALUE"""),0.0)</f>
        <v>0</v>
      </c>
      <c r="P144" s="517" t="str">
        <f>IFERROR(__xludf.DUMMYFUNCTION("""COMPUTED_VALUE"""),"128GB")</f>
        <v>128GB</v>
      </c>
      <c r="Q144" s="517"/>
      <c r="R144" s="518" t="str">
        <f>IFERROR(__xludf.DUMMYFUNCTION("""COMPUTED_VALUE"""),"840353940185")</f>
        <v>840353940185</v>
      </c>
      <c r="S144" s="518" t="str">
        <f>IFERROR(__xludf.DUMMYFUNCTION("""COMPUTED_VALUE"""),"0840353940185")</f>
        <v>0840353940185</v>
      </c>
      <c r="T144" s="517" t="str">
        <f>IFERROR(__xludf.DUMMYFUNCTION("""COMPUTED_VALUE"""),"MP")</f>
        <v>MP</v>
      </c>
    </row>
    <row r="145">
      <c r="B145" s="517">
        <f>IFERROR(__xludf.DUMMYFUNCTION("""COMPUTED_VALUE"""),141.0)</f>
        <v>141</v>
      </c>
      <c r="C145" s="517" t="str">
        <f>IFERROR(__xludf.DUMMYFUNCTION("""COMPUTED_VALUE"""),"NFU")</f>
        <v>NFU</v>
      </c>
      <c r="D145" s="517" t="str">
        <f>IFERROR(__xludf.DUMMYFUNCTION("""COMPUTED_VALUE"""),"Retail Pack")</f>
        <v>Retail Pack</v>
      </c>
      <c r="E145" s="517" t="str">
        <f>IFERROR(__xludf.DUMMYFUNCTION("""COMPUTED_VALUE"""),"GA10910")</f>
        <v>GA10910</v>
      </c>
      <c r="F145" s="517" t="str">
        <f>IFERROR(__xludf.DUMMYFUNCTION("""COMPUTED_VALUE"""),"GB, DE, IT, ES, IE, FR, NL, BE, AT, CH, PT, PL, CEE ( CZ, HU, RO, SI, LV, LT, EE, FI), NO,SE,DK, SK, CA/TW/SG/AU/MY/MX
")</f>
        <v>GB, DE, IT, ES, IE, FR, NL, BE, AT, CH, PT, PL, CEE ( CZ, HU, RO, SI, LV, LT, EE, FI), NO,SE,DK, SK, CA/TW/SG/AU/MY/MX
</v>
      </c>
      <c r="G145" s="517"/>
      <c r="H145" s="517" t="str">
        <f>IFERROR(__xludf.DUMMYFUNCTION("""COMPUTED_VALUE"""),"Sub6")</f>
        <v>Sub6</v>
      </c>
      <c r="I145" s="517" t="str">
        <f>IFERROR(__xludf.DUMMYFUNCTION("""COMPUTED_VALUE"""),"CLR4")</f>
        <v>CLR4</v>
      </c>
      <c r="J145" s="517" t="str">
        <f>IFERROR(__xludf.DUMMYFUNCTION("""COMPUTED_VALUE"""),"Ultra Blue")</f>
        <v>Ultra Blue</v>
      </c>
      <c r="K145" s="517" t="str">
        <f>IFERROR(__xludf.DUMMYFUNCTION("""COMPUTED_VALUE"""),"BUE")</f>
        <v>BUE</v>
      </c>
      <c r="L145" s="517" t="str">
        <f>IFERROR(__xludf.DUMMYFUNCTION("""COMPUTED_VALUE"""),"GK2MP")</f>
        <v>GK2MP</v>
      </c>
      <c r="M145" s="517" t="str">
        <f>IFERROR(__xludf.DUMMYFUNCTION("""COMPUTED_VALUE"""),"ROW")</f>
        <v>ROW</v>
      </c>
      <c r="N145" s="517" t="str">
        <f>IFERROR(__xludf.DUMMYFUNCTION("""COMPUTED_VALUE"""),"TBD")</f>
        <v>TBD</v>
      </c>
      <c r="O145" s="517">
        <f>IFERROR(__xludf.DUMMYFUNCTION("""COMPUTED_VALUE"""),0.0)</f>
        <v>0</v>
      </c>
      <c r="P145" s="517" t="str">
        <f>IFERROR(__xludf.DUMMYFUNCTION("""COMPUTED_VALUE"""),"128GB")</f>
        <v>128GB</v>
      </c>
      <c r="Q145" s="517"/>
      <c r="R145" s="518" t="str">
        <f>IFERROR(__xludf.DUMMYFUNCTION("""COMPUTED_VALUE"""),"840353940192")</f>
        <v>840353940192</v>
      </c>
      <c r="S145" s="518" t="str">
        <f>IFERROR(__xludf.DUMMYFUNCTION("""COMPUTED_VALUE"""),"0840353940192")</f>
        <v>0840353940192</v>
      </c>
      <c r="T145" s="517" t="str">
        <f>IFERROR(__xludf.DUMMYFUNCTION("""COMPUTED_VALUE"""),"MP")</f>
        <v>MP</v>
      </c>
    </row>
    <row r="146">
      <c r="B146" s="517">
        <f>IFERROR(__xludf.DUMMYFUNCTION("""COMPUTED_VALUE"""),142.0)</f>
        <v>142</v>
      </c>
      <c r="C146" s="517" t="str">
        <f>IFERROR(__xludf.DUMMYFUNCTION("""COMPUTED_VALUE"""),"Refurb")</f>
        <v>Refurb</v>
      </c>
      <c r="D146" s="517" t="str">
        <f>IFERROR(__xludf.DUMMYFUNCTION("""COMPUTED_VALUE"""),"Retail Pack")</f>
        <v>Retail Pack</v>
      </c>
      <c r="E146" s="517" t="str">
        <f>IFERROR(__xludf.DUMMYFUNCTION("""COMPUTED_VALUE"""),"GA09425-US-RA")</f>
        <v>GA09425-US-RA</v>
      </c>
      <c r="F146" s="517" t="str">
        <f>IFERROR(__xludf.DUMMYFUNCTION("""COMPUTED_VALUE"""),"US-VZW")</f>
        <v>US-VZW</v>
      </c>
      <c r="G146" s="517" t="str">
        <f>IFERROR(__xludf.DUMMYFUNCTION("""COMPUTED_VALUE"""),"UVZ")</f>
        <v>UVZ</v>
      </c>
      <c r="H146" s="517" t="str">
        <f>IFERROR(__xludf.DUMMYFUNCTION("""COMPUTED_VALUE"""),"mmWave")</f>
        <v>mmWave</v>
      </c>
      <c r="I146" s="517" t="str">
        <f>IFERROR(__xludf.DUMMYFUNCTION("""COMPUTED_VALUE"""),"CLR1")</f>
        <v>CLR1</v>
      </c>
      <c r="J146" s="517" t="str">
        <f>IFERROR(__xludf.DUMMYFUNCTION("""COMPUTED_VALUE"""),"Midnight Haze")</f>
        <v>Midnight Haze</v>
      </c>
      <c r="K146" s="517" t="str">
        <f>IFERROR(__xludf.DUMMYFUNCTION("""COMPUTED_VALUE"""),"BLK")</f>
        <v>BLK</v>
      </c>
      <c r="L146" s="517" t="str">
        <f>IFERROR(__xludf.DUMMYFUNCTION("""COMPUTED_VALUE"""),"GLBW0")</f>
        <v>GLBW0</v>
      </c>
      <c r="M146" s="517" t="str">
        <f>IFERROR(__xludf.DUMMYFUNCTION("""COMPUTED_VALUE"""),"VZW")</f>
        <v>VZW</v>
      </c>
      <c r="N146" s="517" t="str">
        <f>IFERROR(__xludf.DUMMYFUNCTION("""COMPUTED_VALUE"""),"SKU, CLR1, GOOD, MMWAVE, VZW, FL5, REFURB")</f>
        <v>SKU, CLR1, GOOD, MMWAVE, VZW, FL5, REFURB</v>
      </c>
      <c r="O146" s="517" t="str">
        <f>IFERROR(__xludf.DUMMYFUNCTION("""COMPUTED_VALUE"""),"US")</f>
        <v>US</v>
      </c>
      <c r="P146" s="517" t="str">
        <f>IFERROR(__xludf.DUMMYFUNCTION("""COMPUTED_VALUE"""),"128GB")</f>
        <v>128GB</v>
      </c>
      <c r="Q146" s="517"/>
      <c r="R146" s="518" t="str">
        <f>IFERROR(__xludf.DUMMYFUNCTION("""COMPUTED_VALUE"""),"840353939707")</f>
        <v>840353939707</v>
      </c>
      <c r="S146" s="518" t="str">
        <f>IFERROR(__xludf.DUMMYFUNCTION("""COMPUTED_VALUE"""),"0840353939707")</f>
        <v>0840353939707</v>
      </c>
      <c r="T146" s="517" t="str">
        <f>IFERROR(__xludf.DUMMYFUNCTION("""COMPUTED_VALUE"""),"MP")</f>
        <v>MP</v>
      </c>
    </row>
    <row r="147">
      <c r="B147" s="517">
        <f>IFERROR(__xludf.DUMMYFUNCTION("""COMPUTED_VALUE"""),143.0)</f>
        <v>143</v>
      </c>
      <c r="C147" s="517" t="str">
        <f>IFERROR(__xludf.DUMMYFUNCTION("""COMPUTED_VALUE"""),"Refurb")</f>
        <v>Refurb</v>
      </c>
      <c r="D147" s="517" t="str">
        <f>IFERROR(__xludf.DUMMYFUNCTION("""COMPUTED_VALUE"""),"Retail Pack")</f>
        <v>Retail Pack</v>
      </c>
      <c r="E147" s="517" t="str">
        <f>IFERROR(__xludf.DUMMYFUNCTION("""COMPUTED_VALUE"""),"GA10238-US-RA")</f>
        <v>GA10238-US-RA</v>
      </c>
      <c r="F147" s="517" t="str">
        <f>IFERROR(__xludf.DUMMYFUNCTION("""COMPUTED_VALUE"""),"US-VZW")</f>
        <v>US-VZW</v>
      </c>
      <c r="G147" s="517" t="str">
        <f>IFERROR(__xludf.DUMMYFUNCTION("""COMPUTED_VALUE"""),"UVZ")</f>
        <v>UVZ</v>
      </c>
      <c r="H147" s="517" t="str">
        <f>IFERROR(__xludf.DUMMYFUNCTION("""COMPUTED_VALUE"""),"mmWave")</f>
        <v>mmWave</v>
      </c>
      <c r="I147" s="517" t="str">
        <f>IFERROR(__xludf.DUMMYFUNCTION("""COMPUTED_VALUE"""),"CLR2")</f>
        <v>CLR2</v>
      </c>
      <c r="J147" s="517" t="str">
        <f>IFERROR(__xludf.DUMMYFUNCTION("""COMPUTED_VALUE"""),"Iris")</f>
        <v>Iris</v>
      </c>
      <c r="K147" s="517" t="str">
        <f>IFERROR(__xludf.DUMMYFUNCTION("""COMPUTED_VALUE"""),"PPL")</f>
        <v>PPL</v>
      </c>
      <c r="L147" s="517" t="str">
        <f>IFERROR(__xludf.DUMMYFUNCTION("""COMPUTED_VALUE"""),"GLBW0")</f>
        <v>GLBW0</v>
      </c>
      <c r="M147" s="517" t="str">
        <f>IFERROR(__xludf.DUMMYFUNCTION("""COMPUTED_VALUE"""),"VZW")</f>
        <v>VZW</v>
      </c>
      <c r="N147" s="517" t="str">
        <f>IFERROR(__xludf.DUMMYFUNCTION("""COMPUTED_VALUE"""),"SKU, CLR2, GOOD, MMWAVE, VZW, FL5, REFURB")</f>
        <v>SKU, CLR2, GOOD, MMWAVE, VZW, FL5, REFURB</v>
      </c>
      <c r="O147" s="517" t="str">
        <f>IFERROR(__xludf.DUMMYFUNCTION("""COMPUTED_VALUE"""),"US")</f>
        <v>US</v>
      </c>
      <c r="P147" s="517" t="str">
        <f>IFERROR(__xludf.DUMMYFUNCTION("""COMPUTED_VALUE"""),"128GB")</f>
        <v>128GB</v>
      </c>
      <c r="Q147" s="517"/>
      <c r="R147" s="518" t="str">
        <f>IFERROR(__xludf.DUMMYFUNCTION("""COMPUTED_VALUE"""),"840353940048")</f>
        <v>840353940048</v>
      </c>
      <c r="S147" s="518" t="str">
        <f>IFERROR(__xludf.DUMMYFUNCTION("""COMPUTED_VALUE"""),"0840353940048")</f>
        <v>0840353940048</v>
      </c>
      <c r="T147" s="517" t="str">
        <f>IFERROR(__xludf.DUMMYFUNCTION("""COMPUTED_VALUE"""),"MP")</f>
        <v>MP</v>
      </c>
    </row>
    <row r="148">
      <c r="B148" s="517">
        <f>IFERROR(__xludf.DUMMYFUNCTION("""COMPUTED_VALUE"""),144.0)</f>
        <v>144</v>
      </c>
      <c r="C148" s="517" t="str">
        <f>IFERROR(__xludf.DUMMYFUNCTION("""COMPUTED_VALUE"""),"Refurb")</f>
        <v>Refurb</v>
      </c>
      <c r="D148" s="517" t="str">
        <f>IFERROR(__xludf.DUMMYFUNCTION("""COMPUTED_VALUE"""),"Retail Pack")</f>
        <v>Retail Pack</v>
      </c>
      <c r="E148" s="517" t="str">
        <f>IFERROR(__xludf.DUMMYFUNCTION("""COMPUTED_VALUE"""),"GA10239-US-RA")</f>
        <v>GA10239-US-RA</v>
      </c>
      <c r="F148" s="517" t="str">
        <f>IFERROR(__xludf.DUMMYFUNCTION("""COMPUTED_VALUE"""),"US-VZW")</f>
        <v>US-VZW</v>
      </c>
      <c r="G148" s="517" t="str">
        <f>IFERROR(__xludf.DUMMYFUNCTION("""COMPUTED_VALUE"""),"UVZ")</f>
        <v>UVZ</v>
      </c>
      <c r="H148" s="517" t="str">
        <f>IFERROR(__xludf.DUMMYFUNCTION("""COMPUTED_VALUE"""),"mmWave")</f>
        <v>mmWave</v>
      </c>
      <c r="I148" s="517" t="str">
        <f>IFERROR(__xludf.DUMMYFUNCTION("""COMPUTED_VALUE"""),"CLR3")</f>
        <v>CLR3</v>
      </c>
      <c r="J148" s="517" t="str">
        <f>IFERROR(__xludf.DUMMYFUNCTION("""COMPUTED_VALUE"""),"Limoncello Midtone")</f>
        <v>Limoncello Midtone</v>
      </c>
      <c r="K148" s="517" t="str">
        <f>IFERROR(__xludf.DUMMYFUNCTION("""COMPUTED_VALUE"""),"YEL")</f>
        <v>YEL</v>
      </c>
      <c r="L148" s="517" t="str">
        <f>IFERROR(__xludf.DUMMYFUNCTION("""COMPUTED_VALUE"""),"GLBW0")</f>
        <v>GLBW0</v>
      </c>
      <c r="M148" s="517" t="str">
        <f>IFERROR(__xludf.DUMMYFUNCTION("""COMPUTED_VALUE"""),"VZW")</f>
        <v>VZW</v>
      </c>
      <c r="N148" s="517" t="str">
        <f>IFERROR(__xludf.DUMMYFUNCTION("""COMPUTED_VALUE"""),"SKU, CLR3, GOOD, MMWAVE, VZW, FL5, REFURB")</f>
        <v>SKU, CLR3, GOOD, MMWAVE, VZW, FL5, REFURB</v>
      </c>
      <c r="O148" s="517" t="str">
        <f>IFERROR(__xludf.DUMMYFUNCTION("""COMPUTED_VALUE"""),"US")</f>
        <v>US</v>
      </c>
      <c r="P148" s="517" t="str">
        <f>IFERROR(__xludf.DUMMYFUNCTION("""COMPUTED_VALUE"""),"128GB")</f>
        <v>128GB</v>
      </c>
      <c r="Q148" s="517"/>
      <c r="R148" s="518" t="str">
        <f>IFERROR(__xludf.DUMMYFUNCTION("""COMPUTED_VALUE"""),"840353940055")</f>
        <v>840353940055</v>
      </c>
      <c r="S148" s="518" t="str">
        <f>IFERROR(__xludf.DUMMYFUNCTION("""COMPUTED_VALUE"""),"0840353940055")</f>
        <v>0840353940055</v>
      </c>
      <c r="T148" s="517" t="str">
        <f>IFERROR(__xludf.DUMMYFUNCTION("""COMPUTED_VALUE"""),"MP")</f>
        <v>MP</v>
      </c>
    </row>
    <row r="149">
      <c r="B149" s="517">
        <f>IFERROR(__xludf.DUMMYFUNCTION("""COMPUTED_VALUE"""),145.0)</f>
        <v>145</v>
      </c>
      <c r="C149" s="517" t="str">
        <f>IFERROR(__xludf.DUMMYFUNCTION("""COMPUTED_VALUE"""),"Refurb")</f>
        <v>Refurb</v>
      </c>
      <c r="D149" s="517" t="str">
        <f>IFERROR(__xludf.DUMMYFUNCTION("""COMPUTED_VALUE"""),"Retail Pack")</f>
        <v>Retail Pack</v>
      </c>
      <c r="E149" s="517" t="str">
        <f>IFERROR(__xludf.DUMMYFUNCTION("""COMPUTED_VALUE"""),"GA10240-US-RA")</f>
        <v>GA10240-US-RA</v>
      </c>
      <c r="F149" s="517" t="str">
        <f>IFERROR(__xludf.DUMMYFUNCTION("""COMPUTED_VALUE"""),"US-VZW")</f>
        <v>US-VZW</v>
      </c>
      <c r="G149" s="517" t="str">
        <f>IFERROR(__xludf.DUMMYFUNCTION("""COMPUTED_VALUE"""),"UVZ")</f>
        <v>UVZ</v>
      </c>
      <c r="H149" s="517" t="str">
        <f>IFERROR(__xludf.DUMMYFUNCTION("""COMPUTED_VALUE"""),"mmWave")</f>
        <v>mmWave</v>
      </c>
      <c r="I149" s="517" t="str">
        <f>IFERROR(__xludf.DUMMYFUNCTION("""COMPUTED_VALUE"""),"CLR4")</f>
        <v>CLR4</v>
      </c>
      <c r="J149" s="517" t="str">
        <f>IFERROR(__xludf.DUMMYFUNCTION("""COMPUTED_VALUE"""),"Ultra Blue")</f>
        <v>Ultra Blue</v>
      </c>
      <c r="K149" s="517" t="str">
        <f>IFERROR(__xludf.DUMMYFUNCTION("""COMPUTED_VALUE"""),"BUE")</f>
        <v>BUE</v>
      </c>
      <c r="L149" s="517" t="str">
        <f>IFERROR(__xludf.DUMMYFUNCTION("""COMPUTED_VALUE"""),"GLBW0")</f>
        <v>GLBW0</v>
      </c>
      <c r="M149" s="517" t="str">
        <f>IFERROR(__xludf.DUMMYFUNCTION("""COMPUTED_VALUE"""),"VZW")</f>
        <v>VZW</v>
      </c>
      <c r="N149" s="517" t="str">
        <f>IFERROR(__xludf.DUMMYFUNCTION("""COMPUTED_VALUE"""),"SKU, CLR4, GOOD, MMWAVE, VZW, FL5, REFURB")</f>
        <v>SKU, CLR4, GOOD, MMWAVE, VZW, FL5, REFURB</v>
      </c>
      <c r="O149" s="517" t="str">
        <f>IFERROR(__xludf.DUMMYFUNCTION("""COMPUTED_VALUE"""),"US")</f>
        <v>US</v>
      </c>
      <c r="P149" s="517" t="str">
        <f>IFERROR(__xludf.DUMMYFUNCTION("""COMPUTED_VALUE"""),"128GB")</f>
        <v>128GB</v>
      </c>
      <c r="Q149" s="517"/>
      <c r="R149" s="518" t="str">
        <f>IFERROR(__xludf.DUMMYFUNCTION("""COMPUTED_VALUE"""),"840353940062")</f>
        <v>840353940062</v>
      </c>
      <c r="S149" s="518" t="str">
        <f>IFERROR(__xludf.DUMMYFUNCTION("""COMPUTED_VALUE"""),"0840353940062")</f>
        <v>0840353940062</v>
      </c>
      <c r="T149" s="517" t="str">
        <f>IFERROR(__xludf.DUMMYFUNCTION("""COMPUTED_VALUE"""),"MP")</f>
        <v>MP</v>
      </c>
    </row>
    <row r="150">
      <c r="B150" s="517">
        <f>IFERROR(__xludf.DUMMYFUNCTION("""COMPUTED_VALUE"""),146.0)</f>
        <v>146</v>
      </c>
      <c r="C150" s="517" t="str">
        <f>IFERROR(__xludf.DUMMYFUNCTION("""COMPUTED_VALUE"""),"Refurb")</f>
        <v>Refurb</v>
      </c>
      <c r="D150" s="517" t="str">
        <f>IFERROR(__xludf.DUMMYFUNCTION("""COMPUTED_VALUE"""),"Retail Pack")</f>
        <v>Retail Pack</v>
      </c>
      <c r="E150" s="517" t="str">
        <f>IFERROR(__xludf.DUMMYFUNCTION("""COMPUTED_VALUE"""),"GA09861-US-RA")</f>
        <v>GA09861-US-RA</v>
      </c>
      <c r="F150" s="517" t="str">
        <f>IFERROR(__xludf.DUMMYFUNCTION("""COMPUTED_VALUE"""),"US -AT&amp;T")</f>
        <v>US -AT&amp;T</v>
      </c>
      <c r="G150" s="517" t="str">
        <f>IFERROR(__xludf.DUMMYFUNCTION("""COMPUTED_VALUE"""),"UAT")</f>
        <v>UAT</v>
      </c>
      <c r="H150" s="517" t="str">
        <f>IFERROR(__xludf.DUMMYFUNCTION("""COMPUTED_VALUE"""),"mmWave")</f>
        <v>mmWave</v>
      </c>
      <c r="I150" s="517" t="str">
        <f>IFERROR(__xludf.DUMMYFUNCTION("""COMPUTED_VALUE"""),"CLR1")</f>
        <v>CLR1</v>
      </c>
      <c r="J150" s="517" t="str">
        <f>IFERROR(__xludf.DUMMYFUNCTION("""COMPUTED_VALUE"""),"Midnight Haze")</f>
        <v>Midnight Haze</v>
      </c>
      <c r="K150" s="517" t="str">
        <f>IFERROR(__xludf.DUMMYFUNCTION("""COMPUTED_VALUE"""),"BLK")</f>
        <v>BLK</v>
      </c>
      <c r="L150" s="517" t="str">
        <f>IFERROR(__xludf.DUMMYFUNCTION("""COMPUTED_VALUE"""),"GLBW0")</f>
        <v>GLBW0</v>
      </c>
      <c r="M150" s="517" t="str">
        <f>IFERROR(__xludf.DUMMYFUNCTION("""COMPUTED_VALUE"""),"ATT")</f>
        <v>ATT</v>
      </c>
      <c r="N150" s="517" t="str">
        <f>IFERROR(__xludf.DUMMYFUNCTION("""COMPUTED_VALUE"""),"SKU, CLR1, GOOD, MMWAVE, ATT, FL5, REFURB")</f>
        <v>SKU, CLR1, GOOD, MMWAVE, ATT, FL5, REFURB</v>
      </c>
      <c r="O150" s="517" t="str">
        <f>IFERROR(__xludf.DUMMYFUNCTION("""COMPUTED_VALUE"""),"US")</f>
        <v>US</v>
      </c>
      <c r="P150" s="517" t="str">
        <f>IFERROR(__xludf.DUMMYFUNCTION("""COMPUTED_VALUE"""),"128GB")</f>
        <v>128GB</v>
      </c>
      <c r="Q150" s="518" t="str">
        <f>IFERROR(__xludf.DUMMYFUNCTION("""COMPUTED_VALUE"""),"TBD")</f>
        <v>TBD</v>
      </c>
      <c r="R150" s="518" t="str">
        <f>IFERROR(__xludf.DUMMYFUNCTION("""COMPUTED_VALUE"""),"840353939776")</f>
        <v>840353939776</v>
      </c>
      <c r="S150" s="518" t="str">
        <f>IFERROR(__xludf.DUMMYFUNCTION("""COMPUTED_VALUE"""),"0840353939776")</f>
        <v>0840353939776</v>
      </c>
      <c r="T150" s="517" t="str">
        <f>IFERROR(__xludf.DUMMYFUNCTION("""COMPUTED_VALUE"""),"MP")</f>
        <v>MP</v>
      </c>
    </row>
    <row r="151">
      <c r="B151" s="517">
        <f>IFERROR(__xludf.DUMMYFUNCTION("""COMPUTED_VALUE"""),147.0)</f>
        <v>147</v>
      </c>
      <c r="C151" s="517" t="str">
        <f>IFERROR(__xludf.DUMMYFUNCTION("""COMPUTED_VALUE"""),"Refurb")</f>
        <v>Refurb</v>
      </c>
      <c r="D151" s="517" t="str">
        <f>IFERROR(__xludf.DUMMYFUNCTION("""COMPUTED_VALUE"""),"Retail Pack")</f>
        <v>Retail Pack</v>
      </c>
      <c r="E151" s="517" t="str">
        <f>IFERROR(__xludf.DUMMYFUNCTION("""COMPUTED_VALUE"""),"GA10246-US-RA")</f>
        <v>GA10246-US-RA</v>
      </c>
      <c r="F151" s="517" t="str">
        <f>IFERROR(__xludf.DUMMYFUNCTION("""COMPUTED_VALUE"""),"US -AT&amp;T")</f>
        <v>US -AT&amp;T</v>
      </c>
      <c r="G151" s="517" t="str">
        <f>IFERROR(__xludf.DUMMYFUNCTION("""COMPUTED_VALUE"""),"UAT")</f>
        <v>UAT</v>
      </c>
      <c r="H151" s="517" t="str">
        <f>IFERROR(__xludf.DUMMYFUNCTION("""COMPUTED_VALUE"""),"mmWave")</f>
        <v>mmWave</v>
      </c>
      <c r="I151" s="517" t="str">
        <f>IFERROR(__xludf.DUMMYFUNCTION("""COMPUTED_VALUE"""),"CLR4")</f>
        <v>CLR4</v>
      </c>
      <c r="J151" s="517" t="str">
        <f>IFERROR(__xludf.DUMMYFUNCTION("""COMPUTED_VALUE"""),"Ultra Blue")</f>
        <v>Ultra Blue</v>
      </c>
      <c r="K151" s="517" t="str">
        <f>IFERROR(__xludf.DUMMYFUNCTION("""COMPUTED_VALUE"""),"BUE")</f>
        <v>BUE</v>
      </c>
      <c r="L151" s="517" t="str">
        <f>IFERROR(__xludf.DUMMYFUNCTION("""COMPUTED_VALUE"""),"GLBW0")</f>
        <v>GLBW0</v>
      </c>
      <c r="M151" s="517" t="str">
        <f>IFERROR(__xludf.DUMMYFUNCTION("""COMPUTED_VALUE"""),"ATT")</f>
        <v>ATT</v>
      </c>
      <c r="N151" s="517" t="str">
        <f>IFERROR(__xludf.DUMMYFUNCTION("""COMPUTED_VALUE"""),"SKU, CLR4, GOOD, MMWAVE, ATT, FL5, REFURB")</f>
        <v>SKU, CLR4, GOOD, MMWAVE, ATT, FL5, REFURB</v>
      </c>
      <c r="O151" s="517" t="str">
        <f>IFERROR(__xludf.DUMMYFUNCTION("""COMPUTED_VALUE"""),"US")</f>
        <v>US</v>
      </c>
      <c r="P151" s="517" t="str">
        <f>IFERROR(__xludf.DUMMYFUNCTION("""COMPUTED_VALUE"""),"128GB")</f>
        <v>128GB</v>
      </c>
      <c r="Q151" s="518" t="str">
        <f>IFERROR(__xludf.DUMMYFUNCTION("""COMPUTED_VALUE"""),"TBD")</f>
        <v>TBD</v>
      </c>
      <c r="R151" s="518" t="str">
        <f>IFERROR(__xludf.DUMMYFUNCTION("""COMPUTED_VALUE"""),"840353940109")</f>
        <v>840353940109</v>
      </c>
      <c r="S151" s="518" t="str">
        <f>IFERROR(__xludf.DUMMYFUNCTION("""COMPUTED_VALUE"""),"0840353940109")</f>
        <v>0840353940109</v>
      </c>
      <c r="T151" s="517" t="str">
        <f>IFERROR(__xludf.DUMMYFUNCTION("""COMPUTED_VALUE"""),"MP")</f>
        <v>MP</v>
      </c>
    </row>
    <row r="152">
      <c r="B152" s="517">
        <f>IFERROR(__xludf.DUMMYFUNCTION("""COMPUTED_VALUE"""),148.0)</f>
        <v>148</v>
      </c>
      <c r="C152" s="517" t="str">
        <f>IFERROR(__xludf.DUMMYFUNCTION("""COMPUTED_VALUE"""),"Refurb")</f>
        <v>Refurb</v>
      </c>
      <c r="D152" s="517" t="str">
        <f>IFERROR(__xludf.DUMMYFUNCTION("""COMPUTED_VALUE"""),"Retail Pack")</f>
        <v>Retail Pack</v>
      </c>
      <c r="E152" s="517" t="str">
        <f>IFERROR(__xludf.DUMMYFUNCTION("""COMPUTED_VALUE"""),"GA09862-US-RA")</f>
        <v>GA09862-US-RA</v>
      </c>
      <c r="F152" s="517" t="str">
        <f>IFERROR(__xludf.DUMMYFUNCTION("""COMPUTED_VALUE"""),"US-Tmobile")</f>
        <v>US-Tmobile</v>
      </c>
      <c r="G152" s="517" t="str">
        <f>IFERROR(__xludf.DUMMYFUNCTION("""COMPUTED_VALUE"""),"UTM")</f>
        <v>UTM</v>
      </c>
      <c r="H152" s="517" t="str">
        <f>IFERROR(__xludf.DUMMYFUNCTION("""COMPUTED_VALUE"""),"mmWave")</f>
        <v>mmWave</v>
      </c>
      <c r="I152" s="517" t="str">
        <f>IFERROR(__xludf.DUMMYFUNCTION("""COMPUTED_VALUE"""),"CLR1")</f>
        <v>CLR1</v>
      </c>
      <c r="J152" s="517" t="str">
        <f>IFERROR(__xludf.DUMMYFUNCTION("""COMPUTED_VALUE"""),"Midnight Haze")</f>
        <v>Midnight Haze</v>
      </c>
      <c r="K152" s="517" t="str">
        <f>IFERROR(__xludf.DUMMYFUNCTION("""COMPUTED_VALUE"""),"BLK")</f>
        <v>BLK</v>
      </c>
      <c r="L152" s="517" t="str">
        <f>IFERROR(__xludf.DUMMYFUNCTION("""COMPUTED_VALUE"""),"GLBW0")</f>
        <v>GLBW0</v>
      </c>
      <c r="M152" s="517" t="str">
        <f>IFERROR(__xludf.DUMMYFUNCTION("""COMPUTED_VALUE"""),"TMO")</f>
        <v>TMO</v>
      </c>
      <c r="N152" s="517" t="str">
        <f>IFERROR(__xludf.DUMMYFUNCTION("""COMPUTED_VALUE"""),"SKU, CLR1, GOOD, MMWAVE, TMO, FL5, REFURB")</f>
        <v>SKU, CLR1, GOOD, MMWAVE, TMO, FL5, REFURB</v>
      </c>
      <c r="O152" s="517" t="str">
        <f>IFERROR(__xludf.DUMMYFUNCTION("""COMPUTED_VALUE"""),"US")</f>
        <v>US</v>
      </c>
      <c r="P152" s="517" t="str">
        <f>IFERROR(__xludf.DUMMYFUNCTION("""COMPUTED_VALUE"""),"128GB")</f>
        <v>128GB</v>
      </c>
      <c r="Q152" s="518" t="str">
        <f>IFERROR(__xludf.DUMMYFUNCTION("""COMPUTED_VALUE"""),"TBD")</f>
        <v>TBD</v>
      </c>
      <c r="R152" s="518" t="str">
        <f>IFERROR(__xludf.DUMMYFUNCTION("""COMPUTED_VALUE"""),"840353939783")</f>
        <v>840353939783</v>
      </c>
      <c r="S152" s="518" t="str">
        <f>IFERROR(__xludf.DUMMYFUNCTION("""COMPUTED_VALUE"""),"0840353939783")</f>
        <v>0840353939783</v>
      </c>
      <c r="T152" s="517" t="str">
        <f>IFERROR(__xludf.DUMMYFUNCTION("""COMPUTED_VALUE"""),"MP")</f>
        <v>MP</v>
      </c>
    </row>
    <row r="153">
      <c r="B153" s="517">
        <f>IFERROR(__xludf.DUMMYFUNCTION("""COMPUTED_VALUE"""),149.0)</f>
        <v>149</v>
      </c>
      <c r="C153" s="517" t="str">
        <f>IFERROR(__xludf.DUMMYFUNCTION("""COMPUTED_VALUE"""),"Refurb")</f>
        <v>Refurb</v>
      </c>
      <c r="D153" s="517" t="str">
        <f>IFERROR(__xludf.DUMMYFUNCTION("""COMPUTED_VALUE"""),"Retail Pack")</f>
        <v>Retail Pack</v>
      </c>
      <c r="E153" s="517" t="str">
        <f>IFERROR(__xludf.DUMMYFUNCTION("""COMPUTED_VALUE"""),"GA10252-US-RA")</f>
        <v>GA10252-US-RA</v>
      </c>
      <c r="F153" s="517" t="str">
        <f>IFERROR(__xludf.DUMMYFUNCTION("""COMPUTED_VALUE"""),"US-Tmobile")</f>
        <v>US-Tmobile</v>
      </c>
      <c r="G153" s="517" t="str">
        <f>IFERROR(__xludf.DUMMYFUNCTION("""COMPUTED_VALUE"""),"UTM")</f>
        <v>UTM</v>
      </c>
      <c r="H153" s="517" t="str">
        <f>IFERROR(__xludf.DUMMYFUNCTION("""COMPUTED_VALUE"""),"mmWave")</f>
        <v>mmWave</v>
      </c>
      <c r="I153" s="517" t="str">
        <f>IFERROR(__xludf.DUMMYFUNCTION("""COMPUTED_VALUE"""),"CLR4")</f>
        <v>CLR4</v>
      </c>
      <c r="J153" s="517" t="str">
        <f>IFERROR(__xludf.DUMMYFUNCTION("""COMPUTED_VALUE"""),"Ultra Blue")</f>
        <v>Ultra Blue</v>
      </c>
      <c r="K153" s="517" t="str">
        <f>IFERROR(__xludf.DUMMYFUNCTION("""COMPUTED_VALUE"""),"BUE")</f>
        <v>BUE</v>
      </c>
      <c r="L153" s="517" t="str">
        <f>IFERROR(__xludf.DUMMYFUNCTION("""COMPUTED_VALUE"""),"GLBW0")</f>
        <v>GLBW0</v>
      </c>
      <c r="M153" s="517" t="str">
        <f>IFERROR(__xludf.DUMMYFUNCTION("""COMPUTED_VALUE"""),"TMO")</f>
        <v>TMO</v>
      </c>
      <c r="N153" s="517" t="str">
        <f>IFERROR(__xludf.DUMMYFUNCTION("""COMPUTED_VALUE"""),"SKU, CLR4, GOOD, MMWAVE, TMO, FL5, REFURB")</f>
        <v>SKU, CLR4, GOOD, MMWAVE, TMO, FL5, REFURB</v>
      </c>
      <c r="O153" s="517" t="str">
        <f>IFERROR(__xludf.DUMMYFUNCTION("""COMPUTED_VALUE"""),"US")</f>
        <v>US</v>
      </c>
      <c r="P153" s="517" t="str">
        <f>IFERROR(__xludf.DUMMYFUNCTION("""COMPUTED_VALUE"""),"128GB")</f>
        <v>128GB</v>
      </c>
      <c r="Q153" s="518" t="str">
        <f>IFERROR(__xludf.DUMMYFUNCTION("""COMPUTED_VALUE"""),"TBD")</f>
        <v>TBD</v>
      </c>
      <c r="R153" s="518" t="str">
        <f>IFERROR(__xludf.DUMMYFUNCTION("""COMPUTED_VALUE"""),"840353940147")</f>
        <v>840353940147</v>
      </c>
      <c r="S153" s="518" t="str">
        <f>IFERROR(__xludf.DUMMYFUNCTION("""COMPUTED_VALUE"""),"0840353940147")</f>
        <v>0840353940147</v>
      </c>
      <c r="T153" s="517" t="str">
        <f>IFERROR(__xludf.DUMMYFUNCTION("""COMPUTED_VALUE"""),"MP")</f>
        <v>MP</v>
      </c>
    </row>
    <row r="154">
      <c r="B154" s="517">
        <f>IFERROR(__xludf.DUMMYFUNCTION("""COMPUTED_VALUE"""),150.0)</f>
        <v>150</v>
      </c>
      <c r="C154" s="517" t="str">
        <f>IFERROR(__xludf.DUMMYFUNCTION("""COMPUTED_VALUE"""),"Refurb")</f>
        <v>Refurb</v>
      </c>
      <c r="D154" s="517" t="str">
        <f>IFERROR(__xludf.DUMMYFUNCTION("""COMPUTED_VALUE"""),"Retail Pack")</f>
        <v>Retail Pack</v>
      </c>
      <c r="E154" s="517" t="str">
        <f>IFERROR(__xludf.DUMMYFUNCTION("""COMPUTED_VALUE"""),"GA09744-US-RA")</f>
        <v>GA09744-US-RA</v>
      </c>
      <c r="F154" s="517" t="str">
        <f>IFERROR(__xludf.DUMMYFUNCTION("""COMPUTED_VALUE"""),"US GStore")</f>
        <v>US GStore</v>
      </c>
      <c r="G154" s="517" t="str">
        <f>IFERROR(__xludf.DUMMYFUNCTION("""COMPUTED_VALUE"""),"UGS")</f>
        <v>UGS</v>
      </c>
      <c r="H154" s="517" t="str">
        <f>IFERROR(__xludf.DUMMYFUNCTION("""COMPUTED_VALUE"""),"mmWave")</f>
        <v>mmWave</v>
      </c>
      <c r="I154" s="517" t="str">
        <f>IFERROR(__xludf.DUMMYFUNCTION("""COMPUTED_VALUE"""),"CLR1")</f>
        <v>CLR1</v>
      </c>
      <c r="J154" s="517" t="str">
        <f>IFERROR(__xludf.DUMMYFUNCTION("""COMPUTED_VALUE"""),"Midnight Haze")</f>
        <v>Midnight Haze</v>
      </c>
      <c r="K154" s="517" t="str">
        <f>IFERROR(__xludf.DUMMYFUNCTION("""COMPUTED_VALUE"""),"BLK")</f>
        <v>BLK</v>
      </c>
      <c r="L154" s="517" t="str">
        <f>IFERROR(__xludf.DUMMYFUNCTION("""COMPUTED_VALUE"""),"GLBW0")</f>
        <v>GLBW0</v>
      </c>
      <c r="M154" s="517" t="str">
        <f>IFERROR(__xludf.DUMMYFUNCTION("""COMPUTED_VALUE"""),"NA")</f>
        <v>NA</v>
      </c>
      <c r="N154" s="517" t="str">
        <f>IFERROR(__xludf.DUMMYFUNCTION("""COMPUTED_VALUE"""),"SKU, CLR1, GOOD, MMWAVE, GSTORE, FL5, REFURB")</f>
        <v>SKU, CLR1, GOOD, MMWAVE, GSTORE, FL5, REFURB</v>
      </c>
      <c r="O154" s="517">
        <f>IFERROR(__xludf.DUMMYFUNCTION("""COMPUTED_VALUE"""),0.0)</f>
        <v>0</v>
      </c>
      <c r="P154" s="517" t="str">
        <f>IFERROR(__xludf.DUMMYFUNCTION("""COMPUTED_VALUE"""),"128GB")</f>
        <v>128GB</v>
      </c>
      <c r="Q154" s="517"/>
      <c r="R154" s="518" t="str">
        <f>IFERROR(__xludf.DUMMYFUNCTION("""COMPUTED_VALUE"""),"840353939769")</f>
        <v>840353939769</v>
      </c>
      <c r="S154" s="518" t="str">
        <f>IFERROR(__xludf.DUMMYFUNCTION("""COMPUTED_VALUE"""),"0840353939769")</f>
        <v>0840353939769</v>
      </c>
      <c r="T154" s="517" t="str">
        <f>IFERROR(__xludf.DUMMYFUNCTION("""COMPUTED_VALUE"""),"MP")</f>
        <v>MP</v>
      </c>
    </row>
    <row r="155">
      <c r="B155" s="517">
        <f>IFERROR(__xludf.DUMMYFUNCTION("""COMPUTED_VALUE"""),151.0)</f>
        <v>151</v>
      </c>
      <c r="C155" s="517" t="str">
        <f>IFERROR(__xludf.DUMMYFUNCTION("""COMPUTED_VALUE"""),"Refurb")</f>
        <v>Refurb</v>
      </c>
      <c r="D155" s="517" t="str">
        <f>IFERROR(__xludf.DUMMYFUNCTION("""COMPUTED_VALUE"""),"Retail Pack")</f>
        <v>Retail Pack</v>
      </c>
      <c r="E155" s="517" t="str">
        <f>IFERROR(__xludf.DUMMYFUNCTION("""COMPUTED_VALUE"""),"GA10214-US-RA")</f>
        <v>GA10214-US-RA</v>
      </c>
      <c r="F155" s="517" t="str">
        <f>IFERROR(__xludf.DUMMYFUNCTION("""COMPUTED_VALUE"""),"US GStore")</f>
        <v>US GStore</v>
      </c>
      <c r="G155" s="517" t="str">
        <f>IFERROR(__xludf.DUMMYFUNCTION("""COMPUTED_VALUE"""),"UGS")</f>
        <v>UGS</v>
      </c>
      <c r="H155" s="517" t="str">
        <f>IFERROR(__xludf.DUMMYFUNCTION("""COMPUTED_VALUE"""),"mmWave")</f>
        <v>mmWave</v>
      </c>
      <c r="I155" s="517" t="str">
        <f>IFERROR(__xludf.DUMMYFUNCTION("""COMPUTED_VALUE"""),"CLR2")</f>
        <v>CLR2</v>
      </c>
      <c r="J155" s="517" t="str">
        <f>IFERROR(__xludf.DUMMYFUNCTION("""COMPUTED_VALUE"""),"Iris")</f>
        <v>Iris</v>
      </c>
      <c r="K155" s="517" t="str">
        <f>IFERROR(__xludf.DUMMYFUNCTION("""COMPUTED_VALUE"""),"PPL")</f>
        <v>PPL</v>
      </c>
      <c r="L155" s="517" t="str">
        <f>IFERROR(__xludf.DUMMYFUNCTION("""COMPUTED_VALUE"""),"GLBW0")</f>
        <v>GLBW0</v>
      </c>
      <c r="M155" s="517" t="str">
        <f>IFERROR(__xludf.DUMMYFUNCTION("""COMPUTED_VALUE"""),"NA")</f>
        <v>NA</v>
      </c>
      <c r="N155" s="517" t="str">
        <f>IFERROR(__xludf.DUMMYFUNCTION("""COMPUTED_VALUE"""),"SKU, CLR2, GOOD, MMWAVE, GSTORE, FL5, REFURB")</f>
        <v>SKU, CLR2, GOOD, MMWAVE, GSTORE, FL5, REFURB</v>
      </c>
      <c r="O155" s="517">
        <f>IFERROR(__xludf.DUMMYFUNCTION("""COMPUTED_VALUE"""),0.0)</f>
        <v>0</v>
      </c>
      <c r="P155" s="517" t="str">
        <f>IFERROR(__xludf.DUMMYFUNCTION("""COMPUTED_VALUE"""),"128GB")</f>
        <v>128GB</v>
      </c>
      <c r="Q155" s="517"/>
      <c r="R155" s="518" t="str">
        <f>IFERROR(__xludf.DUMMYFUNCTION("""COMPUTED_VALUE"""),"840353939912")</f>
        <v>840353939912</v>
      </c>
      <c r="S155" s="518" t="str">
        <f>IFERROR(__xludf.DUMMYFUNCTION("""COMPUTED_VALUE"""),"0840353939912")</f>
        <v>0840353939912</v>
      </c>
      <c r="T155" s="517" t="str">
        <f>IFERROR(__xludf.DUMMYFUNCTION("""COMPUTED_VALUE"""),"MP")</f>
        <v>MP</v>
      </c>
    </row>
    <row r="156">
      <c r="B156" s="517">
        <f>IFERROR(__xludf.DUMMYFUNCTION("""COMPUTED_VALUE"""),152.0)</f>
        <v>152</v>
      </c>
      <c r="C156" s="517" t="str">
        <f>IFERROR(__xludf.DUMMYFUNCTION("""COMPUTED_VALUE"""),"Refurb")</f>
        <v>Refurb</v>
      </c>
      <c r="D156" s="517" t="str">
        <f>IFERROR(__xludf.DUMMYFUNCTION("""COMPUTED_VALUE"""),"Retail Pack")</f>
        <v>Retail Pack</v>
      </c>
      <c r="E156" s="517" t="str">
        <f>IFERROR(__xludf.DUMMYFUNCTION("""COMPUTED_VALUE"""),"GA10215-US-RA")</f>
        <v>GA10215-US-RA</v>
      </c>
      <c r="F156" s="517" t="str">
        <f>IFERROR(__xludf.DUMMYFUNCTION("""COMPUTED_VALUE"""),"US GStore")</f>
        <v>US GStore</v>
      </c>
      <c r="G156" s="517" t="str">
        <f>IFERROR(__xludf.DUMMYFUNCTION("""COMPUTED_VALUE"""),"UGS")</f>
        <v>UGS</v>
      </c>
      <c r="H156" s="517" t="str">
        <f>IFERROR(__xludf.DUMMYFUNCTION("""COMPUTED_VALUE"""),"mmWave")</f>
        <v>mmWave</v>
      </c>
      <c r="I156" s="517" t="str">
        <f>IFERROR(__xludf.DUMMYFUNCTION("""COMPUTED_VALUE"""),"CLR3")</f>
        <v>CLR3</v>
      </c>
      <c r="J156" s="517" t="str">
        <f>IFERROR(__xludf.DUMMYFUNCTION("""COMPUTED_VALUE"""),"Limoncello Midtone")</f>
        <v>Limoncello Midtone</v>
      </c>
      <c r="K156" s="517" t="str">
        <f>IFERROR(__xludf.DUMMYFUNCTION("""COMPUTED_VALUE"""),"YEL")</f>
        <v>YEL</v>
      </c>
      <c r="L156" s="517" t="str">
        <f>IFERROR(__xludf.DUMMYFUNCTION("""COMPUTED_VALUE"""),"GLBW0")</f>
        <v>GLBW0</v>
      </c>
      <c r="M156" s="517" t="str">
        <f>IFERROR(__xludf.DUMMYFUNCTION("""COMPUTED_VALUE"""),"NA")</f>
        <v>NA</v>
      </c>
      <c r="N156" s="517" t="str">
        <f>IFERROR(__xludf.DUMMYFUNCTION("""COMPUTED_VALUE"""),"SKU, CLR3, GOOD, MMWAVE, GSTORE, FL5, REFURB")</f>
        <v>SKU, CLR3, GOOD, MMWAVE, GSTORE, FL5, REFURB</v>
      </c>
      <c r="O156" s="517">
        <f>IFERROR(__xludf.DUMMYFUNCTION("""COMPUTED_VALUE"""),0.0)</f>
        <v>0</v>
      </c>
      <c r="P156" s="517" t="str">
        <f>IFERROR(__xludf.DUMMYFUNCTION("""COMPUTED_VALUE"""),"128GB")</f>
        <v>128GB</v>
      </c>
      <c r="Q156" s="517"/>
      <c r="R156" s="518" t="str">
        <f>IFERROR(__xludf.DUMMYFUNCTION("""COMPUTED_VALUE"""),"840353939967")</f>
        <v>840353939967</v>
      </c>
      <c r="S156" s="518" t="str">
        <f>IFERROR(__xludf.DUMMYFUNCTION("""COMPUTED_VALUE"""),"0840353939967")</f>
        <v>0840353939967</v>
      </c>
      <c r="T156" s="517" t="str">
        <f>IFERROR(__xludf.DUMMYFUNCTION("""COMPUTED_VALUE"""),"MP")</f>
        <v>MP</v>
      </c>
    </row>
    <row r="157">
      <c r="B157" s="517">
        <f>IFERROR(__xludf.DUMMYFUNCTION("""COMPUTED_VALUE"""),153.0)</f>
        <v>153</v>
      </c>
      <c r="C157" s="517" t="str">
        <f>IFERROR(__xludf.DUMMYFUNCTION("""COMPUTED_VALUE"""),"Refurb")</f>
        <v>Refurb</v>
      </c>
      <c r="D157" s="517" t="str">
        <f>IFERROR(__xludf.DUMMYFUNCTION("""COMPUTED_VALUE"""),"Retail Pack")</f>
        <v>Retail Pack</v>
      </c>
      <c r="E157" s="517" t="str">
        <f>IFERROR(__xludf.DUMMYFUNCTION("""COMPUTED_VALUE"""),"GA10216-US-RA")</f>
        <v>GA10216-US-RA</v>
      </c>
      <c r="F157" s="517" t="str">
        <f>IFERROR(__xludf.DUMMYFUNCTION("""COMPUTED_VALUE"""),"US GStore")</f>
        <v>US GStore</v>
      </c>
      <c r="G157" s="517" t="str">
        <f>IFERROR(__xludf.DUMMYFUNCTION("""COMPUTED_VALUE"""),"UGS")</f>
        <v>UGS</v>
      </c>
      <c r="H157" s="517" t="str">
        <f>IFERROR(__xludf.DUMMYFUNCTION("""COMPUTED_VALUE"""),"mmWave")</f>
        <v>mmWave</v>
      </c>
      <c r="I157" s="517" t="str">
        <f>IFERROR(__xludf.DUMMYFUNCTION("""COMPUTED_VALUE"""),"CLR4")</f>
        <v>CLR4</v>
      </c>
      <c r="J157" s="517" t="str">
        <f>IFERROR(__xludf.DUMMYFUNCTION("""COMPUTED_VALUE"""),"Ultra Blue")</f>
        <v>Ultra Blue</v>
      </c>
      <c r="K157" s="517" t="str">
        <f>IFERROR(__xludf.DUMMYFUNCTION("""COMPUTED_VALUE"""),"BUE")</f>
        <v>BUE</v>
      </c>
      <c r="L157" s="517" t="str">
        <f>IFERROR(__xludf.DUMMYFUNCTION("""COMPUTED_VALUE"""),"GLBW0")</f>
        <v>GLBW0</v>
      </c>
      <c r="M157" s="517" t="str">
        <f>IFERROR(__xludf.DUMMYFUNCTION("""COMPUTED_VALUE"""),"NA")</f>
        <v>NA</v>
      </c>
      <c r="N157" s="517" t="str">
        <f>IFERROR(__xludf.DUMMYFUNCTION("""COMPUTED_VALUE"""),"SKU, CLR4, GOOD, MMWAVE, GSTORE, FL5, REFURB")</f>
        <v>SKU, CLR4, GOOD, MMWAVE, GSTORE, FL5, REFURB</v>
      </c>
      <c r="O157" s="517">
        <f>IFERROR(__xludf.DUMMYFUNCTION("""COMPUTED_VALUE"""),0.0)</f>
        <v>0</v>
      </c>
      <c r="P157" s="517" t="str">
        <f>IFERROR(__xludf.DUMMYFUNCTION("""COMPUTED_VALUE"""),"128GB")</f>
        <v>128GB</v>
      </c>
      <c r="Q157" s="517"/>
      <c r="R157" s="518" t="str">
        <f>IFERROR(__xludf.DUMMYFUNCTION("""COMPUTED_VALUE"""),"840353940017")</f>
        <v>840353940017</v>
      </c>
      <c r="S157" s="518" t="str">
        <f>IFERROR(__xludf.DUMMYFUNCTION("""COMPUTED_VALUE"""),"0840353940017")</f>
        <v>0840353940017</v>
      </c>
      <c r="T157" s="517" t="str">
        <f>IFERROR(__xludf.DUMMYFUNCTION("""COMPUTED_VALUE"""),"MP")</f>
        <v>MP</v>
      </c>
    </row>
    <row r="158">
      <c r="B158" s="517">
        <f>IFERROR(__xludf.DUMMYFUNCTION("""COMPUTED_VALUE"""),154.0)</f>
        <v>154</v>
      </c>
      <c r="C158" s="517" t="str">
        <f>IFERROR(__xludf.DUMMYFUNCTION("""COMPUTED_VALUE"""),"Refurb")</f>
        <v>Refurb</v>
      </c>
      <c r="D158" s="517" t="str">
        <f>IFERROR(__xludf.DUMMYFUNCTION("""COMPUTED_VALUE"""),"Retail Pack")</f>
        <v>Retail Pack</v>
      </c>
      <c r="E158" s="517" t="str">
        <f>IFERROR(__xludf.DUMMYFUNCTION("""COMPUTED_VALUE"""),"GA09744-CA-RA")</f>
        <v>GA09744-CA-RA</v>
      </c>
      <c r="F158" s="517" t="str">
        <f>IFERROR(__xludf.DUMMYFUNCTION("""COMPUTED_VALUE"""),"CA/TW/SG/MY/AU/MX")</f>
        <v>CA/TW/SG/MY/AU/MX</v>
      </c>
      <c r="G158" s="517" t="str">
        <f>IFERROR(__xludf.DUMMYFUNCTION("""COMPUTED_VALUE"""),"NCA")</f>
        <v>NCA</v>
      </c>
      <c r="H158" s="517" t="str">
        <f>IFERROR(__xludf.DUMMYFUNCTION("""COMPUTED_VALUE"""),"Sub6")</f>
        <v>Sub6</v>
      </c>
      <c r="I158" s="517" t="str">
        <f>IFERROR(__xludf.DUMMYFUNCTION("""COMPUTED_VALUE"""),"CLR1")</f>
        <v>CLR1</v>
      </c>
      <c r="J158" s="517" t="str">
        <f>IFERROR(__xludf.DUMMYFUNCTION("""COMPUTED_VALUE"""),"Midnight Haze")</f>
        <v>Midnight Haze</v>
      </c>
      <c r="K158" s="517" t="str">
        <f>IFERROR(__xludf.DUMMYFUNCTION("""COMPUTED_VALUE"""),"BLK")</f>
        <v>BLK</v>
      </c>
      <c r="L158" s="517" t="str">
        <f>IFERROR(__xludf.DUMMYFUNCTION("""COMPUTED_VALUE"""),"GK2MP")</f>
        <v>GK2MP</v>
      </c>
      <c r="M158" s="517" t="str">
        <f>IFERROR(__xludf.DUMMYFUNCTION("""COMPUTED_VALUE"""),"ROW")</f>
        <v>ROW</v>
      </c>
      <c r="N158" s="517" t="str">
        <f>IFERROR(__xludf.DUMMYFUNCTION("""COMPUTED_VALUE"""),"SKU, CLR1, GOOD, SUB6, CA/TW/SG/MY/AU/MX, FL5, REFURB")</f>
        <v>SKU, CLR1, GOOD, SUB6, CA/TW/SG/MY/AU/MX, FL5, REFURB</v>
      </c>
      <c r="O158" s="517">
        <f>IFERROR(__xludf.DUMMYFUNCTION("""COMPUTED_VALUE"""),0.0)</f>
        <v>0</v>
      </c>
      <c r="P158" s="517" t="str">
        <f>IFERROR(__xludf.DUMMYFUNCTION("""COMPUTED_VALUE"""),"128GB")</f>
        <v>128GB</v>
      </c>
      <c r="Q158" s="517"/>
      <c r="R158" s="518" t="str">
        <f>IFERROR(__xludf.DUMMYFUNCTION("""COMPUTED_VALUE"""),"840353939714")</f>
        <v>840353939714</v>
      </c>
      <c r="S158" s="518" t="str">
        <f>IFERROR(__xludf.DUMMYFUNCTION("""COMPUTED_VALUE"""),"0840353939714")</f>
        <v>0840353939714</v>
      </c>
      <c r="T158" s="517" t="str">
        <f>IFERROR(__xludf.DUMMYFUNCTION("""COMPUTED_VALUE"""),"MP")</f>
        <v>MP</v>
      </c>
    </row>
    <row r="159">
      <c r="B159" s="517">
        <f>IFERROR(__xludf.DUMMYFUNCTION("""COMPUTED_VALUE"""),155.0)</f>
        <v>155</v>
      </c>
      <c r="C159" s="517" t="str">
        <f>IFERROR(__xludf.DUMMYFUNCTION("""COMPUTED_VALUE"""),"Refurb")</f>
        <v>Refurb</v>
      </c>
      <c r="D159" s="517" t="str">
        <f>IFERROR(__xludf.DUMMYFUNCTION("""COMPUTED_VALUE"""),"Retail Pack")</f>
        <v>Retail Pack</v>
      </c>
      <c r="E159" s="517" t="str">
        <f>IFERROR(__xludf.DUMMYFUNCTION("""COMPUTED_VALUE"""),"GA10214-CA-RA")</f>
        <v>GA10214-CA-RA</v>
      </c>
      <c r="F159" s="517" t="str">
        <f>IFERROR(__xludf.DUMMYFUNCTION("""COMPUTED_VALUE"""),"CA/TW/SG/MY/AU/MX")</f>
        <v>CA/TW/SG/MY/AU/MX</v>
      </c>
      <c r="G159" s="517" t="str">
        <f>IFERROR(__xludf.DUMMYFUNCTION("""COMPUTED_VALUE"""),"NCA")</f>
        <v>NCA</v>
      </c>
      <c r="H159" s="517" t="str">
        <f>IFERROR(__xludf.DUMMYFUNCTION("""COMPUTED_VALUE"""),"Sub6")</f>
        <v>Sub6</v>
      </c>
      <c r="I159" s="517" t="str">
        <f>IFERROR(__xludf.DUMMYFUNCTION("""COMPUTED_VALUE"""),"CLR2")</f>
        <v>CLR2</v>
      </c>
      <c r="J159" s="517" t="str">
        <f>IFERROR(__xludf.DUMMYFUNCTION("""COMPUTED_VALUE"""),"Iris")</f>
        <v>Iris</v>
      </c>
      <c r="K159" s="517" t="str">
        <f>IFERROR(__xludf.DUMMYFUNCTION("""COMPUTED_VALUE"""),"PPL")</f>
        <v>PPL</v>
      </c>
      <c r="L159" s="517" t="str">
        <f>IFERROR(__xludf.DUMMYFUNCTION("""COMPUTED_VALUE"""),"GK2MP")</f>
        <v>GK2MP</v>
      </c>
      <c r="M159" s="517" t="str">
        <f>IFERROR(__xludf.DUMMYFUNCTION("""COMPUTED_VALUE"""),"ROW")</f>
        <v>ROW</v>
      </c>
      <c r="N159" s="517" t="str">
        <f>IFERROR(__xludf.DUMMYFUNCTION("""COMPUTED_VALUE"""),"SKU, CLR2, GOOD, SUB6, CA/TW/SG/MY/AU/MX, FL5, REFURB")</f>
        <v>SKU, CLR2, GOOD, SUB6, CA/TW/SG/MY/AU/MX, FL5, REFURB</v>
      </c>
      <c r="O159" s="517">
        <f>IFERROR(__xludf.DUMMYFUNCTION("""COMPUTED_VALUE"""),0.0)</f>
        <v>0</v>
      </c>
      <c r="P159" s="517" t="str">
        <f>IFERROR(__xludf.DUMMYFUNCTION("""COMPUTED_VALUE"""),"128GB")</f>
        <v>128GB</v>
      </c>
      <c r="Q159" s="517"/>
      <c r="R159" s="518" t="str">
        <f>IFERROR(__xludf.DUMMYFUNCTION("""COMPUTED_VALUE"""),"840353939875")</f>
        <v>840353939875</v>
      </c>
      <c r="S159" s="518" t="str">
        <f>IFERROR(__xludf.DUMMYFUNCTION("""COMPUTED_VALUE"""),"0840353939875")</f>
        <v>0840353939875</v>
      </c>
      <c r="T159" s="517" t="str">
        <f>IFERROR(__xludf.DUMMYFUNCTION("""COMPUTED_VALUE"""),"MP")</f>
        <v>MP</v>
      </c>
    </row>
    <row r="160">
      <c r="B160" s="517">
        <f>IFERROR(__xludf.DUMMYFUNCTION("""COMPUTED_VALUE"""),156.0)</f>
        <v>156</v>
      </c>
      <c r="C160" s="517" t="str">
        <f>IFERROR(__xludf.DUMMYFUNCTION("""COMPUTED_VALUE"""),"Refurb")</f>
        <v>Refurb</v>
      </c>
      <c r="D160" s="517" t="str">
        <f>IFERROR(__xludf.DUMMYFUNCTION("""COMPUTED_VALUE"""),"Retail Pack")</f>
        <v>Retail Pack</v>
      </c>
      <c r="E160" s="517" t="str">
        <f>IFERROR(__xludf.DUMMYFUNCTION("""COMPUTED_VALUE"""),"GA10215-CA-RA")</f>
        <v>GA10215-CA-RA</v>
      </c>
      <c r="F160" s="517" t="str">
        <f>IFERROR(__xludf.DUMMYFUNCTION("""COMPUTED_VALUE"""),"CA/TW/SG/MY/AU/MX")</f>
        <v>CA/TW/SG/MY/AU/MX</v>
      </c>
      <c r="G160" s="517" t="str">
        <f>IFERROR(__xludf.DUMMYFUNCTION("""COMPUTED_VALUE"""),"NCA")</f>
        <v>NCA</v>
      </c>
      <c r="H160" s="517" t="str">
        <f>IFERROR(__xludf.DUMMYFUNCTION("""COMPUTED_VALUE"""),"Sub6")</f>
        <v>Sub6</v>
      </c>
      <c r="I160" s="517" t="str">
        <f>IFERROR(__xludf.DUMMYFUNCTION("""COMPUTED_VALUE"""),"CLR3")</f>
        <v>CLR3</v>
      </c>
      <c r="J160" s="517" t="str">
        <f>IFERROR(__xludf.DUMMYFUNCTION("""COMPUTED_VALUE"""),"Limoncello Midtone")</f>
        <v>Limoncello Midtone</v>
      </c>
      <c r="K160" s="517" t="str">
        <f>IFERROR(__xludf.DUMMYFUNCTION("""COMPUTED_VALUE"""),"YEL")</f>
        <v>YEL</v>
      </c>
      <c r="L160" s="517" t="str">
        <f>IFERROR(__xludf.DUMMYFUNCTION("""COMPUTED_VALUE"""),"GK2MP")</f>
        <v>GK2MP</v>
      </c>
      <c r="M160" s="517" t="str">
        <f>IFERROR(__xludf.DUMMYFUNCTION("""COMPUTED_VALUE"""),"ROW")</f>
        <v>ROW</v>
      </c>
      <c r="N160" s="517" t="str">
        <f>IFERROR(__xludf.DUMMYFUNCTION("""COMPUTED_VALUE"""),"SKU, CLR3, GOOD, SUB6, CA/TW/SG/MY/AU/MX, FL5, REFURB")</f>
        <v>SKU, CLR3, GOOD, SUB6, CA/TW/SG/MY/AU/MX, FL5, REFURB</v>
      </c>
      <c r="O160" s="517">
        <f>IFERROR(__xludf.DUMMYFUNCTION("""COMPUTED_VALUE"""),0.0)</f>
        <v>0</v>
      </c>
      <c r="P160" s="517" t="str">
        <f>IFERROR(__xludf.DUMMYFUNCTION("""COMPUTED_VALUE"""),"128GB")</f>
        <v>128GB</v>
      </c>
      <c r="Q160" s="517"/>
      <c r="R160" s="518" t="str">
        <f>IFERROR(__xludf.DUMMYFUNCTION("""COMPUTED_VALUE"""),"840353939929")</f>
        <v>840353939929</v>
      </c>
      <c r="S160" s="518" t="str">
        <f>IFERROR(__xludf.DUMMYFUNCTION("""COMPUTED_VALUE"""),"0840353939929")</f>
        <v>0840353939929</v>
      </c>
      <c r="T160" s="517" t="str">
        <f>IFERROR(__xludf.DUMMYFUNCTION("""COMPUTED_VALUE"""),"MP")</f>
        <v>MP</v>
      </c>
    </row>
    <row r="161">
      <c r="B161" s="517">
        <f>IFERROR(__xludf.DUMMYFUNCTION("""COMPUTED_VALUE"""),157.0)</f>
        <v>157</v>
      </c>
      <c r="C161" s="517" t="str">
        <f>IFERROR(__xludf.DUMMYFUNCTION("""COMPUTED_VALUE"""),"Refurb")</f>
        <v>Refurb</v>
      </c>
      <c r="D161" s="517" t="str">
        <f>IFERROR(__xludf.DUMMYFUNCTION("""COMPUTED_VALUE"""),"Retail Pack")</f>
        <v>Retail Pack</v>
      </c>
      <c r="E161" s="517" t="str">
        <f>IFERROR(__xludf.DUMMYFUNCTION("""COMPUTED_VALUE"""),"GA10216-CA-RA")</f>
        <v>GA10216-CA-RA</v>
      </c>
      <c r="F161" s="517" t="str">
        <f>IFERROR(__xludf.DUMMYFUNCTION("""COMPUTED_VALUE"""),"CA/TW/SG/MY/AU/MX")</f>
        <v>CA/TW/SG/MY/AU/MX</v>
      </c>
      <c r="G161" s="517" t="str">
        <f>IFERROR(__xludf.DUMMYFUNCTION("""COMPUTED_VALUE"""),"NCA")</f>
        <v>NCA</v>
      </c>
      <c r="H161" s="517" t="str">
        <f>IFERROR(__xludf.DUMMYFUNCTION("""COMPUTED_VALUE"""),"Sub6")</f>
        <v>Sub6</v>
      </c>
      <c r="I161" s="517" t="str">
        <f>IFERROR(__xludf.DUMMYFUNCTION("""COMPUTED_VALUE"""),"CLR4")</f>
        <v>CLR4</v>
      </c>
      <c r="J161" s="517" t="str">
        <f>IFERROR(__xludf.DUMMYFUNCTION("""COMPUTED_VALUE"""),"Ultra Blue")</f>
        <v>Ultra Blue</v>
      </c>
      <c r="K161" s="517" t="str">
        <f>IFERROR(__xludf.DUMMYFUNCTION("""COMPUTED_VALUE"""),"BUE")</f>
        <v>BUE</v>
      </c>
      <c r="L161" s="517" t="str">
        <f>IFERROR(__xludf.DUMMYFUNCTION("""COMPUTED_VALUE"""),"GK2MP")</f>
        <v>GK2MP</v>
      </c>
      <c r="M161" s="517" t="str">
        <f>IFERROR(__xludf.DUMMYFUNCTION("""COMPUTED_VALUE"""),"ROW")</f>
        <v>ROW</v>
      </c>
      <c r="N161" s="517" t="str">
        <f>IFERROR(__xludf.DUMMYFUNCTION("""COMPUTED_VALUE"""),"SKU, CLR4, GOOD, SUB6, CA/TW/SG/MY/AU/MX, FL5, REFURB")</f>
        <v>SKU, CLR4, GOOD, SUB6, CA/TW/SG/MY/AU/MX, FL5, REFURB</v>
      </c>
      <c r="O161" s="517">
        <f>IFERROR(__xludf.DUMMYFUNCTION("""COMPUTED_VALUE"""),0.0)</f>
        <v>0</v>
      </c>
      <c r="P161" s="517" t="str">
        <f>IFERROR(__xludf.DUMMYFUNCTION("""COMPUTED_VALUE"""),"128GB")</f>
        <v>128GB</v>
      </c>
      <c r="Q161" s="517"/>
      <c r="R161" s="518" t="str">
        <f>IFERROR(__xludf.DUMMYFUNCTION("""COMPUTED_VALUE"""),"840353939974")</f>
        <v>840353939974</v>
      </c>
      <c r="S161" s="518" t="str">
        <f>IFERROR(__xludf.DUMMYFUNCTION("""COMPUTED_VALUE"""),"0840353939974")</f>
        <v>0840353939974</v>
      </c>
      <c r="T161" s="517" t="str">
        <f>IFERROR(__xludf.DUMMYFUNCTION("""COMPUTED_VALUE"""),"MP")</f>
        <v>MP</v>
      </c>
    </row>
    <row r="162">
      <c r="B162" s="517">
        <f>IFERROR(__xludf.DUMMYFUNCTION("""COMPUTED_VALUE"""),158.0)</f>
        <v>158</v>
      </c>
      <c r="C162" s="517" t="str">
        <f>IFERROR(__xludf.DUMMYFUNCTION("""COMPUTED_VALUE"""),"Refurb")</f>
        <v>Refurb</v>
      </c>
      <c r="D162" s="517" t="str">
        <f>IFERROR(__xludf.DUMMYFUNCTION("""COMPUTED_VALUE"""),"Retail Pack")</f>
        <v>Retail Pack</v>
      </c>
      <c r="E162" s="517" t="str">
        <f>IFERROR(__xludf.DUMMYFUNCTION("""COMPUTED_VALUE"""),"GA09744-GB-RA")</f>
        <v>GA09744-GB-RA</v>
      </c>
      <c r="F162" s="517" t="str">
        <f>IFERROR(__xludf.DUMMYFUNCTION("""COMPUTED_VALUE"""),"UK,DE, IT, ES, IE,FR, NO,SE,DK,NL, BE, AT, CH, PT, PL, SK,
CEE (CZ, RO, HU, SI, LV, LT, EE, FI)")</f>
        <v>UK,DE, IT, ES, IE,FR, NO,SE,DK,NL, BE, AT, CH, PT, PL, SK,
CEE (CZ, RO, HU, SI, LV, LT, EE, FI)</v>
      </c>
      <c r="G162" s="517" t="str">
        <f>IFERROR(__xludf.DUMMYFUNCTION("""COMPUTED_VALUE"""),"EMA")</f>
        <v>EMA</v>
      </c>
      <c r="H162" s="517" t="str">
        <f>IFERROR(__xludf.DUMMYFUNCTION("""COMPUTED_VALUE"""),"Sub6")</f>
        <v>Sub6</v>
      </c>
      <c r="I162" s="517" t="str">
        <f>IFERROR(__xludf.DUMMYFUNCTION("""COMPUTED_VALUE"""),"CLR1")</f>
        <v>CLR1</v>
      </c>
      <c r="J162" s="517" t="str">
        <f>IFERROR(__xludf.DUMMYFUNCTION("""COMPUTED_VALUE"""),"Midnight Haze")</f>
        <v>Midnight Haze</v>
      </c>
      <c r="K162" s="517" t="str">
        <f>IFERROR(__xludf.DUMMYFUNCTION("""COMPUTED_VALUE"""),"BLK")</f>
        <v>BLK</v>
      </c>
      <c r="L162" s="517" t="str">
        <f>IFERROR(__xludf.DUMMYFUNCTION("""COMPUTED_VALUE"""),"GK2MP")</f>
        <v>GK2MP</v>
      </c>
      <c r="M162" s="517" t="str">
        <f>IFERROR(__xludf.DUMMYFUNCTION("""COMPUTED_VALUE"""),"ROW")</f>
        <v>ROW</v>
      </c>
      <c r="N162" s="517" t="str">
        <f>IFERROR(__xludf.DUMMYFUNCTION("""COMPUTED_VALUE"""),"SKU, CLR1, GOOD, SUB6, UK/EU, FL5, REFURB")</f>
        <v>SKU, CLR1, GOOD, SUB6, UK/EU, FL5, REFURB</v>
      </c>
      <c r="O162" s="517">
        <f>IFERROR(__xludf.DUMMYFUNCTION("""COMPUTED_VALUE"""),0.0)</f>
        <v>0</v>
      </c>
      <c r="P162" s="517" t="str">
        <f>IFERROR(__xludf.DUMMYFUNCTION("""COMPUTED_VALUE"""),"128GB")</f>
        <v>128GB</v>
      </c>
      <c r="Q162" s="517"/>
      <c r="R162" s="518" t="str">
        <f>IFERROR(__xludf.DUMMYFUNCTION("""COMPUTED_VALUE"""),"840353939721")</f>
        <v>840353939721</v>
      </c>
      <c r="S162" s="518" t="str">
        <f>IFERROR(__xludf.DUMMYFUNCTION("""COMPUTED_VALUE"""),"0840353939721")</f>
        <v>0840353939721</v>
      </c>
      <c r="T162" s="517" t="str">
        <f>IFERROR(__xludf.DUMMYFUNCTION("""COMPUTED_VALUE"""),"MP")</f>
        <v>MP</v>
      </c>
    </row>
    <row r="163">
      <c r="B163" s="517">
        <f>IFERROR(__xludf.DUMMYFUNCTION("""COMPUTED_VALUE"""),159.0)</f>
        <v>159</v>
      </c>
      <c r="C163" s="517" t="str">
        <f>IFERROR(__xludf.DUMMYFUNCTION("""COMPUTED_VALUE"""),"Refurb")</f>
        <v>Refurb</v>
      </c>
      <c r="D163" s="517" t="str">
        <f>IFERROR(__xludf.DUMMYFUNCTION("""COMPUTED_VALUE"""),"Retail Pack")</f>
        <v>Retail Pack</v>
      </c>
      <c r="E163" s="517" t="str">
        <f>IFERROR(__xludf.DUMMYFUNCTION("""COMPUTED_VALUE"""),"GA10214-GB-RA")</f>
        <v>GA10214-GB-RA</v>
      </c>
      <c r="F163" s="517" t="str">
        <f>IFERROR(__xludf.DUMMYFUNCTION("""COMPUTED_VALUE"""),"UK,DE, IT, ES, IE,FR, NO,SE,DK,NL, BE, AT, CH, PT, PL, SK,
CEE (CZ, RO, HU, SI, LV, LT, EE, FI)")</f>
        <v>UK,DE, IT, ES, IE,FR, NO,SE,DK,NL, BE, AT, CH, PT, PL, SK,
CEE (CZ, RO, HU, SI, LV, LT, EE, FI)</v>
      </c>
      <c r="G163" s="517" t="str">
        <f>IFERROR(__xludf.DUMMYFUNCTION("""COMPUTED_VALUE"""),"EMA")</f>
        <v>EMA</v>
      </c>
      <c r="H163" s="517" t="str">
        <f>IFERROR(__xludf.DUMMYFUNCTION("""COMPUTED_VALUE"""),"Sub6")</f>
        <v>Sub6</v>
      </c>
      <c r="I163" s="517" t="str">
        <f>IFERROR(__xludf.DUMMYFUNCTION("""COMPUTED_VALUE"""),"CLR2")</f>
        <v>CLR2</v>
      </c>
      <c r="J163" s="517" t="str">
        <f>IFERROR(__xludf.DUMMYFUNCTION("""COMPUTED_VALUE"""),"Iris")</f>
        <v>Iris</v>
      </c>
      <c r="K163" s="517" t="str">
        <f>IFERROR(__xludf.DUMMYFUNCTION("""COMPUTED_VALUE"""),"PPL")</f>
        <v>PPL</v>
      </c>
      <c r="L163" s="517" t="str">
        <f>IFERROR(__xludf.DUMMYFUNCTION("""COMPUTED_VALUE"""),"GK2MP")</f>
        <v>GK2MP</v>
      </c>
      <c r="M163" s="517" t="str">
        <f>IFERROR(__xludf.DUMMYFUNCTION("""COMPUTED_VALUE"""),"ROW")</f>
        <v>ROW</v>
      </c>
      <c r="N163" s="517" t="str">
        <f>IFERROR(__xludf.DUMMYFUNCTION("""COMPUTED_VALUE"""),"SKU, CLR2, GOOD, SUB6, UK/EU, FL5, REFURB")</f>
        <v>SKU, CLR2, GOOD, SUB6, UK/EU, FL5, REFURB</v>
      </c>
      <c r="O163" s="517">
        <f>IFERROR(__xludf.DUMMYFUNCTION("""COMPUTED_VALUE"""),0.0)</f>
        <v>0</v>
      </c>
      <c r="P163" s="517" t="str">
        <f>IFERROR(__xludf.DUMMYFUNCTION("""COMPUTED_VALUE"""),"128GB")</f>
        <v>128GB</v>
      </c>
      <c r="Q163" s="517"/>
      <c r="R163" s="518" t="str">
        <f>IFERROR(__xludf.DUMMYFUNCTION("""COMPUTED_VALUE"""),"840353939882")</f>
        <v>840353939882</v>
      </c>
      <c r="S163" s="518" t="str">
        <f>IFERROR(__xludf.DUMMYFUNCTION("""COMPUTED_VALUE"""),"0840353939882")</f>
        <v>0840353939882</v>
      </c>
      <c r="T163" s="517" t="str">
        <f>IFERROR(__xludf.DUMMYFUNCTION("""COMPUTED_VALUE"""),"MP")</f>
        <v>MP</v>
      </c>
    </row>
    <row r="164">
      <c r="B164" s="517">
        <f>IFERROR(__xludf.DUMMYFUNCTION("""COMPUTED_VALUE"""),160.0)</f>
        <v>160</v>
      </c>
      <c r="C164" s="517" t="str">
        <f>IFERROR(__xludf.DUMMYFUNCTION("""COMPUTED_VALUE"""),"Refurb")</f>
        <v>Refurb</v>
      </c>
      <c r="D164" s="517" t="str">
        <f>IFERROR(__xludf.DUMMYFUNCTION("""COMPUTED_VALUE"""),"Retail Pack")</f>
        <v>Retail Pack</v>
      </c>
      <c r="E164" s="517" t="str">
        <f>IFERROR(__xludf.DUMMYFUNCTION("""COMPUTED_VALUE"""),"GA10215-GB-RA")</f>
        <v>GA10215-GB-RA</v>
      </c>
      <c r="F164" s="517" t="str">
        <f>IFERROR(__xludf.DUMMYFUNCTION("""COMPUTED_VALUE"""),"UK,DE, IT, ES, IE,FR, NO,SE,DK,NL, BE, AT, CH, PT, PL, SK,
CEE (CZ, RO, HU, SI, LV, LT, EE, FI)")</f>
        <v>UK,DE, IT, ES, IE,FR, NO,SE,DK,NL, BE, AT, CH, PT, PL, SK,
CEE (CZ, RO, HU, SI, LV, LT, EE, FI)</v>
      </c>
      <c r="G164" s="517" t="str">
        <f>IFERROR(__xludf.DUMMYFUNCTION("""COMPUTED_VALUE"""),"EMA")</f>
        <v>EMA</v>
      </c>
      <c r="H164" s="517" t="str">
        <f>IFERROR(__xludf.DUMMYFUNCTION("""COMPUTED_VALUE"""),"Sub6")</f>
        <v>Sub6</v>
      </c>
      <c r="I164" s="517" t="str">
        <f>IFERROR(__xludf.DUMMYFUNCTION("""COMPUTED_VALUE"""),"CLR3")</f>
        <v>CLR3</v>
      </c>
      <c r="J164" s="517" t="str">
        <f>IFERROR(__xludf.DUMMYFUNCTION("""COMPUTED_VALUE"""),"Limoncello Midtone")</f>
        <v>Limoncello Midtone</v>
      </c>
      <c r="K164" s="517" t="str">
        <f>IFERROR(__xludf.DUMMYFUNCTION("""COMPUTED_VALUE"""),"YEL")</f>
        <v>YEL</v>
      </c>
      <c r="L164" s="517" t="str">
        <f>IFERROR(__xludf.DUMMYFUNCTION("""COMPUTED_VALUE"""),"GK2MP")</f>
        <v>GK2MP</v>
      </c>
      <c r="M164" s="517" t="str">
        <f>IFERROR(__xludf.DUMMYFUNCTION("""COMPUTED_VALUE"""),"ROW")</f>
        <v>ROW</v>
      </c>
      <c r="N164" s="517" t="str">
        <f>IFERROR(__xludf.DUMMYFUNCTION("""COMPUTED_VALUE"""),"SKU, CLR3, GOOD, SUB6, UK/EU, FL5, REFURB")</f>
        <v>SKU, CLR3, GOOD, SUB6, UK/EU, FL5, REFURB</v>
      </c>
      <c r="O164" s="517">
        <f>IFERROR(__xludf.DUMMYFUNCTION("""COMPUTED_VALUE"""),0.0)</f>
        <v>0</v>
      </c>
      <c r="P164" s="517" t="str">
        <f>IFERROR(__xludf.DUMMYFUNCTION("""COMPUTED_VALUE"""),"128GB")</f>
        <v>128GB</v>
      </c>
      <c r="Q164" s="517"/>
      <c r="R164" s="518" t="str">
        <f>IFERROR(__xludf.DUMMYFUNCTION("""COMPUTED_VALUE"""),"840353939936")</f>
        <v>840353939936</v>
      </c>
      <c r="S164" s="518" t="str">
        <f>IFERROR(__xludf.DUMMYFUNCTION("""COMPUTED_VALUE"""),"0840353939936")</f>
        <v>0840353939936</v>
      </c>
      <c r="T164" s="517" t="str">
        <f>IFERROR(__xludf.DUMMYFUNCTION("""COMPUTED_VALUE"""),"MP")</f>
        <v>MP</v>
      </c>
    </row>
    <row r="165">
      <c r="B165" s="517">
        <f>IFERROR(__xludf.DUMMYFUNCTION("""COMPUTED_VALUE"""),161.0)</f>
        <v>161</v>
      </c>
      <c r="C165" s="517" t="str">
        <f>IFERROR(__xludf.DUMMYFUNCTION("""COMPUTED_VALUE"""),"Refurb")</f>
        <v>Refurb</v>
      </c>
      <c r="D165" s="517" t="str">
        <f>IFERROR(__xludf.DUMMYFUNCTION("""COMPUTED_VALUE"""),"Retail Pack")</f>
        <v>Retail Pack</v>
      </c>
      <c r="E165" s="517" t="str">
        <f>IFERROR(__xludf.DUMMYFUNCTION("""COMPUTED_VALUE"""),"GA10216-GB-RA")</f>
        <v>GA10216-GB-RA</v>
      </c>
      <c r="F165" s="517" t="str">
        <f>IFERROR(__xludf.DUMMYFUNCTION("""COMPUTED_VALUE"""),"UK,DE, IT, ES, IE,FR, NO,SE,DK,NL, BE, AT, CH, PT, PL, SK,
CEE (CZ, RO, HU, SI, LV, LT, EE, FI)")</f>
        <v>UK,DE, IT, ES, IE,FR, NO,SE,DK,NL, BE, AT, CH, PT, PL, SK,
CEE (CZ, RO, HU, SI, LV, LT, EE, FI)</v>
      </c>
      <c r="G165" s="517" t="str">
        <f>IFERROR(__xludf.DUMMYFUNCTION("""COMPUTED_VALUE"""),"EMA")</f>
        <v>EMA</v>
      </c>
      <c r="H165" s="517" t="str">
        <f>IFERROR(__xludf.DUMMYFUNCTION("""COMPUTED_VALUE"""),"Sub6")</f>
        <v>Sub6</v>
      </c>
      <c r="I165" s="517" t="str">
        <f>IFERROR(__xludf.DUMMYFUNCTION("""COMPUTED_VALUE"""),"CLR4")</f>
        <v>CLR4</v>
      </c>
      <c r="J165" s="517" t="str">
        <f>IFERROR(__xludf.DUMMYFUNCTION("""COMPUTED_VALUE"""),"Ultra Blue")</f>
        <v>Ultra Blue</v>
      </c>
      <c r="K165" s="517" t="str">
        <f>IFERROR(__xludf.DUMMYFUNCTION("""COMPUTED_VALUE"""),"BUE")</f>
        <v>BUE</v>
      </c>
      <c r="L165" s="517" t="str">
        <f>IFERROR(__xludf.DUMMYFUNCTION("""COMPUTED_VALUE"""),"GK2MP")</f>
        <v>GK2MP</v>
      </c>
      <c r="M165" s="517" t="str">
        <f>IFERROR(__xludf.DUMMYFUNCTION("""COMPUTED_VALUE"""),"ROW")</f>
        <v>ROW</v>
      </c>
      <c r="N165" s="517" t="str">
        <f>IFERROR(__xludf.DUMMYFUNCTION("""COMPUTED_VALUE"""),"SKU, CLR4, GOOD, SUB6, UK/EU, FL5, REFURB")</f>
        <v>SKU, CLR4, GOOD, SUB6, UK/EU, FL5, REFURB</v>
      </c>
      <c r="O165" s="517">
        <f>IFERROR(__xludf.DUMMYFUNCTION("""COMPUTED_VALUE"""),0.0)</f>
        <v>0</v>
      </c>
      <c r="P165" s="517" t="str">
        <f>IFERROR(__xludf.DUMMYFUNCTION("""COMPUTED_VALUE"""),"128GB")</f>
        <v>128GB</v>
      </c>
      <c r="Q165" s="517"/>
      <c r="R165" s="518" t="str">
        <f>IFERROR(__xludf.DUMMYFUNCTION("""COMPUTED_VALUE"""),"840353939981")</f>
        <v>840353939981</v>
      </c>
      <c r="S165" s="518" t="str">
        <f>IFERROR(__xludf.DUMMYFUNCTION("""COMPUTED_VALUE"""),"0840353939981")</f>
        <v>0840353939981</v>
      </c>
      <c r="T165" s="517" t="str">
        <f>IFERROR(__xludf.DUMMYFUNCTION("""COMPUTED_VALUE"""),"MP")</f>
        <v>MP</v>
      </c>
    </row>
    <row r="166">
      <c r="B166" s="517">
        <f>IFERROR(__xludf.DUMMYFUNCTION("""COMPUTED_VALUE"""),162.0)</f>
        <v>162</v>
      </c>
      <c r="C166" s="517" t="str">
        <f>IFERROR(__xludf.DUMMYFUNCTION("""COMPUTED_VALUE"""),"Refurb")</f>
        <v>Refurb</v>
      </c>
      <c r="D166" s="517" t="str">
        <f>IFERROR(__xludf.DUMMYFUNCTION("""COMPUTED_VALUE"""),"Retail Pack")</f>
        <v>Retail Pack</v>
      </c>
      <c r="E166" s="517" t="str">
        <f>IFERROR(__xludf.DUMMYFUNCTION("""COMPUTED_VALUE"""),"GA09744-JP-RA")</f>
        <v>GA09744-JP-RA</v>
      </c>
      <c r="F166" s="517" t="str">
        <f>IFERROR(__xludf.DUMMYFUNCTION("""COMPUTED_VALUE"""),"JP")</f>
        <v>JP</v>
      </c>
      <c r="G166" s="517" t="str">
        <f>IFERROR(__xludf.DUMMYFUNCTION("""COMPUTED_VALUE"""),"AJP")</f>
        <v>AJP</v>
      </c>
      <c r="H166" s="517" t="str">
        <f>IFERROR(__xludf.DUMMYFUNCTION("""COMPUTED_VALUE"""),"JPN")</f>
        <v>JPN</v>
      </c>
      <c r="I166" s="517" t="str">
        <f>IFERROR(__xludf.DUMMYFUNCTION("""COMPUTED_VALUE"""),"CLR1")</f>
        <v>CLR1</v>
      </c>
      <c r="J166" s="517" t="str">
        <f>IFERROR(__xludf.DUMMYFUNCTION("""COMPUTED_VALUE"""),"Midnight Haze")</f>
        <v>Midnight Haze</v>
      </c>
      <c r="K166" s="517" t="str">
        <f>IFERROR(__xludf.DUMMYFUNCTION("""COMPUTED_VALUE"""),"BLK")</f>
        <v>BLK</v>
      </c>
      <c r="L166" s="517" t="str">
        <f>IFERROR(__xludf.DUMMYFUNCTION("""COMPUTED_VALUE"""),"GL066")</f>
        <v>GL066</v>
      </c>
      <c r="M166" s="517" t="str">
        <f>IFERROR(__xludf.DUMMYFUNCTION("""COMPUTED_VALUE"""),"JPN")</f>
        <v>JPN</v>
      </c>
      <c r="N166" s="517" t="str">
        <f>IFERROR(__xludf.DUMMYFUNCTION("""COMPUTED_VALUE"""),"SKU, CLR1, GOOD, SUB6, JP, FL5, REFURB")</f>
        <v>SKU, CLR1, GOOD, SUB6, JP, FL5, REFURB</v>
      </c>
      <c r="O166" s="517">
        <f>IFERROR(__xludf.DUMMYFUNCTION("""COMPUTED_VALUE"""),0.0)</f>
        <v>0</v>
      </c>
      <c r="P166" s="517" t="str">
        <f>IFERROR(__xludf.DUMMYFUNCTION("""COMPUTED_VALUE"""),"128GB")</f>
        <v>128GB</v>
      </c>
      <c r="Q166" s="517"/>
      <c r="R166" s="518" t="str">
        <f>IFERROR(__xludf.DUMMYFUNCTION("""COMPUTED_VALUE"""),"840353939752")</f>
        <v>840353939752</v>
      </c>
      <c r="S166" s="518" t="str">
        <f>IFERROR(__xludf.DUMMYFUNCTION("""COMPUTED_VALUE"""),"0840353939752")</f>
        <v>0840353939752</v>
      </c>
      <c r="T166" s="517" t="str">
        <f>IFERROR(__xludf.DUMMYFUNCTION("""COMPUTED_VALUE"""),"MP")</f>
        <v>MP</v>
      </c>
    </row>
    <row r="167">
      <c r="B167" s="517">
        <f>IFERROR(__xludf.DUMMYFUNCTION("""COMPUTED_VALUE"""),163.0)</f>
        <v>163</v>
      </c>
      <c r="C167" s="517" t="str">
        <f>IFERROR(__xludf.DUMMYFUNCTION("""COMPUTED_VALUE"""),"Refurb")</f>
        <v>Refurb</v>
      </c>
      <c r="D167" s="517" t="str">
        <f>IFERROR(__xludf.DUMMYFUNCTION("""COMPUTED_VALUE"""),"Retail Pack")</f>
        <v>Retail Pack</v>
      </c>
      <c r="E167" s="517" t="str">
        <f>IFERROR(__xludf.DUMMYFUNCTION("""COMPUTED_VALUE"""),"GA10214-JP-RA")</f>
        <v>GA10214-JP-RA</v>
      </c>
      <c r="F167" s="517" t="str">
        <f>IFERROR(__xludf.DUMMYFUNCTION("""COMPUTED_VALUE"""),"JP")</f>
        <v>JP</v>
      </c>
      <c r="G167" s="517" t="str">
        <f>IFERROR(__xludf.DUMMYFUNCTION("""COMPUTED_VALUE"""),"AJP")</f>
        <v>AJP</v>
      </c>
      <c r="H167" s="517" t="str">
        <f>IFERROR(__xludf.DUMMYFUNCTION("""COMPUTED_VALUE"""),"JPN")</f>
        <v>JPN</v>
      </c>
      <c r="I167" s="517" t="str">
        <f>IFERROR(__xludf.DUMMYFUNCTION("""COMPUTED_VALUE"""),"CLR2")</f>
        <v>CLR2</v>
      </c>
      <c r="J167" s="517" t="str">
        <f>IFERROR(__xludf.DUMMYFUNCTION("""COMPUTED_VALUE"""),"Iris")</f>
        <v>Iris</v>
      </c>
      <c r="K167" s="517" t="str">
        <f>IFERROR(__xludf.DUMMYFUNCTION("""COMPUTED_VALUE"""),"PPL")</f>
        <v>PPL</v>
      </c>
      <c r="L167" s="517" t="str">
        <f>IFERROR(__xludf.DUMMYFUNCTION("""COMPUTED_VALUE"""),"GL066")</f>
        <v>GL066</v>
      </c>
      <c r="M167" s="517" t="str">
        <f>IFERROR(__xludf.DUMMYFUNCTION("""COMPUTED_VALUE"""),"JPN")</f>
        <v>JPN</v>
      </c>
      <c r="N167" s="517" t="str">
        <f>IFERROR(__xludf.DUMMYFUNCTION("""COMPUTED_VALUE"""),"SKU, CLR2, GOOD, SUB6, JP, FL5, REFURB")</f>
        <v>SKU, CLR2, GOOD, SUB6, JP, FL5, REFURB</v>
      </c>
      <c r="O167" s="517">
        <f>IFERROR(__xludf.DUMMYFUNCTION("""COMPUTED_VALUE"""),0.0)</f>
        <v>0</v>
      </c>
      <c r="P167" s="517" t="str">
        <f>IFERROR(__xludf.DUMMYFUNCTION("""COMPUTED_VALUE"""),"128GB")</f>
        <v>128GB</v>
      </c>
      <c r="Q167" s="517"/>
      <c r="R167" s="518" t="str">
        <f>IFERROR(__xludf.DUMMYFUNCTION("""COMPUTED_VALUE"""),"840353939905")</f>
        <v>840353939905</v>
      </c>
      <c r="S167" s="518" t="str">
        <f>IFERROR(__xludf.DUMMYFUNCTION("""COMPUTED_VALUE"""),"0840353939905")</f>
        <v>0840353939905</v>
      </c>
      <c r="T167" s="517" t="str">
        <f>IFERROR(__xludf.DUMMYFUNCTION("""COMPUTED_VALUE"""),"MP")</f>
        <v>MP</v>
      </c>
    </row>
    <row r="168">
      <c r="B168" s="517">
        <f>IFERROR(__xludf.DUMMYFUNCTION("""COMPUTED_VALUE"""),164.0)</f>
        <v>164</v>
      </c>
      <c r="C168" s="517" t="str">
        <f>IFERROR(__xludf.DUMMYFUNCTION("""COMPUTED_VALUE"""),"Refurb")</f>
        <v>Refurb</v>
      </c>
      <c r="D168" s="517" t="str">
        <f>IFERROR(__xludf.DUMMYFUNCTION("""COMPUTED_VALUE"""),"Retail Pack")</f>
        <v>Retail Pack</v>
      </c>
      <c r="E168" s="517" t="str">
        <f>IFERROR(__xludf.DUMMYFUNCTION("""COMPUTED_VALUE"""),"GA10215-JP-RA")</f>
        <v>GA10215-JP-RA</v>
      </c>
      <c r="F168" s="517" t="str">
        <f>IFERROR(__xludf.DUMMYFUNCTION("""COMPUTED_VALUE"""),"JP")</f>
        <v>JP</v>
      </c>
      <c r="G168" s="517" t="str">
        <f>IFERROR(__xludf.DUMMYFUNCTION("""COMPUTED_VALUE"""),"AJP")</f>
        <v>AJP</v>
      </c>
      <c r="H168" s="517" t="str">
        <f>IFERROR(__xludf.DUMMYFUNCTION("""COMPUTED_VALUE"""),"JPN")</f>
        <v>JPN</v>
      </c>
      <c r="I168" s="517" t="str">
        <f>IFERROR(__xludf.DUMMYFUNCTION("""COMPUTED_VALUE"""),"CLR3")</f>
        <v>CLR3</v>
      </c>
      <c r="J168" s="517" t="str">
        <f>IFERROR(__xludf.DUMMYFUNCTION("""COMPUTED_VALUE"""),"Limoncello Midtone")</f>
        <v>Limoncello Midtone</v>
      </c>
      <c r="K168" s="517" t="str">
        <f>IFERROR(__xludf.DUMMYFUNCTION("""COMPUTED_VALUE"""),"YEL")</f>
        <v>YEL</v>
      </c>
      <c r="L168" s="517" t="str">
        <f>IFERROR(__xludf.DUMMYFUNCTION("""COMPUTED_VALUE"""),"GL066")</f>
        <v>GL066</v>
      </c>
      <c r="M168" s="517" t="str">
        <f>IFERROR(__xludf.DUMMYFUNCTION("""COMPUTED_VALUE"""),"JPN")</f>
        <v>JPN</v>
      </c>
      <c r="N168" s="517" t="str">
        <f>IFERROR(__xludf.DUMMYFUNCTION("""COMPUTED_VALUE"""),"SKU, CLR3, GOOD, SUB6, JP, FL5, REFURB")</f>
        <v>SKU, CLR3, GOOD, SUB6, JP, FL5, REFURB</v>
      </c>
      <c r="O168" s="517">
        <f>IFERROR(__xludf.DUMMYFUNCTION("""COMPUTED_VALUE"""),0.0)</f>
        <v>0</v>
      </c>
      <c r="P168" s="517" t="str">
        <f>IFERROR(__xludf.DUMMYFUNCTION("""COMPUTED_VALUE"""),"128GB")</f>
        <v>128GB</v>
      </c>
      <c r="Q168" s="517"/>
      <c r="R168" s="518" t="str">
        <f>IFERROR(__xludf.DUMMYFUNCTION("""COMPUTED_VALUE"""),"840353939950")</f>
        <v>840353939950</v>
      </c>
      <c r="S168" s="518" t="str">
        <f>IFERROR(__xludf.DUMMYFUNCTION("""COMPUTED_VALUE"""),"0840353939950")</f>
        <v>0840353939950</v>
      </c>
      <c r="T168" s="517" t="str">
        <f>IFERROR(__xludf.DUMMYFUNCTION("""COMPUTED_VALUE"""),"MP")</f>
        <v>MP</v>
      </c>
    </row>
    <row r="169">
      <c r="B169" s="517">
        <f>IFERROR(__xludf.DUMMYFUNCTION("""COMPUTED_VALUE"""),165.0)</f>
        <v>165</v>
      </c>
      <c r="C169" s="517" t="str">
        <f>IFERROR(__xludf.DUMMYFUNCTION("""COMPUTED_VALUE"""),"Refurb")</f>
        <v>Refurb</v>
      </c>
      <c r="D169" s="517" t="str">
        <f>IFERROR(__xludf.DUMMYFUNCTION("""COMPUTED_VALUE"""),"Retail Pack")</f>
        <v>Retail Pack</v>
      </c>
      <c r="E169" s="517" t="str">
        <f>IFERROR(__xludf.DUMMYFUNCTION("""COMPUTED_VALUE"""),"GA10216-JP-RA")</f>
        <v>GA10216-JP-RA</v>
      </c>
      <c r="F169" s="517" t="str">
        <f>IFERROR(__xludf.DUMMYFUNCTION("""COMPUTED_VALUE"""),"JP")</f>
        <v>JP</v>
      </c>
      <c r="G169" s="517" t="str">
        <f>IFERROR(__xludf.DUMMYFUNCTION("""COMPUTED_VALUE"""),"AJP")</f>
        <v>AJP</v>
      </c>
      <c r="H169" s="517" t="str">
        <f>IFERROR(__xludf.DUMMYFUNCTION("""COMPUTED_VALUE"""),"JPN")</f>
        <v>JPN</v>
      </c>
      <c r="I169" s="517" t="str">
        <f>IFERROR(__xludf.DUMMYFUNCTION("""COMPUTED_VALUE"""),"CLR4")</f>
        <v>CLR4</v>
      </c>
      <c r="J169" s="517" t="str">
        <f>IFERROR(__xludf.DUMMYFUNCTION("""COMPUTED_VALUE"""),"Ultra Blue")</f>
        <v>Ultra Blue</v>
      </c>
      <c r="K169" s="517" t="str">
        <f>IFERROR(__xludf.DUMMYFUNCTION("""COMPUTED_VALUE"""),"BUE")</f>
        <v>BUE</v>
      </c>
      <c r="L169" s="517" t="str">
        <f>IFERROR(__xludf.DUMMYFUNCTION("""COMPUTED_VALUE"""),"GL066")</f>
        <v>GL066</v>
      </c>
      <c r="M169" s="517" t="str">
        <f>IFERROR(__xludf.DUMMYFUNCTION("""COMPUTED_VALUE"""),"JPN")</f>
        <v>JPN</v>
      </c>
      <c r="N169" s="517" t="str">
        <f>IFERROR(__xludf.DUMMYFUNCTION("""COMPUTED_VALUE"""),"SKU, CLR4, GOOD, SUB6, JP, FL5, REFURB")</f>
        <v>SKU, CLR4, GOOD, SUB6, JP, FL5, REFURB</v>
      </c>
      <c r="O169" s="517">
        <f>IFERROR(__xludf.DUMMYFUNCTION("""COMPUTED_VALUE"""),0.0)</f>
        <v>0</v>
      </c>
      <c r="P169" s="517" t="str">
        <f>IFERROR(__xludf.DUMMYFUNCTION("""COMPUTED_VALUE"""),"128GB")</f>
        <v>128GB</v>
      </c>
      <c r="Q169" s="517"/>
      <c r="R169" s="518" t="str">
        <f>IFERROR(__xludf.DUMMYFUNCTION("""COMPUTED_VALUE"""),"840353940000")</f>
        <v>840353940000</v>
      </c>
      <c r="S169" s="518" t="str">
        <f>IFERROR(__xludf.DUMMYFUNCTION("""COMPUTED_VALUE"""),"0840353940000")</f>
        <v>0840353940000</v>
      </c>
      <c r="T169" s="517" t="str">
        <f>IFERROR(__xludf.DUMMYFUNCTION("""COMPUTED_VALUE"""),"MP")</f>
        <v>MP</v>
      </c>
    </row>
    <row r="170">
      <c r="B170" s="517">
        <f>IFERROR(__xludf.DUMMYFUNCTION("""COMPUTED_VALUE"""),166.0)</f>
        <v>166</v>
      </c>
      <c r="C170" s="517" t="str">
        <f>IFERROR(__xludf.DUMMYFUNCTION("""COMPUTED_VALUE"""),"Refurb")</f>
        <v>Refurb</v>
      </c>
      <c r="D170" s="517" t="str">
        <f>IFERROR(__xludf.DUMMYFUNCTION("""COMPUTED_VALUE"""),"Cancel")</f>
        <v>Cancel</v>
      </c>
      <c r="E170" s="517" t="str">
        <f>IFERROR(__xludf.DUMMYFUNCTION("""COMPUTED_VALUE"""),"GA09744-IN-RA")</f>
        <v>GA09744-IN-RA</v>
      </c>
      <c r="F170" s="517" t="str">
        <f>IFERROR(__xludf.DUMMYFUNCTION("""COMPUTED_VALUE"""),"IN")</f>
        <v>IN</v>
      </c>
      <c r="G170" s="517" t="str">
        <f>IFERROR(__xludf.DUMMYFUNCTION("""COMPUTED_VALUE"""),"NCA")</f>
        <v>NCA</v>
      </c>
      <c r="H170" s="517" t="str">
        <f>IFERROR(__xludf.DUMMYFUNCTION("""COMPUTED_VALUE"""),"Sub6")</f>
        <v>Sub6</v>
      </c>
      <c r="I170" s="517" t="str">
        <f>IFERROR(__xludf.DUMMYFUNCTION("""COMPUTED_VALUE"""),"CLR1")</f>
        <v>CLR1</v>
      </c>
      <c r="J170" s="517" t="str">
        <f>IFERROR(__xludf.DUMMYFUNCTION("""COMPUTED_VALUE"""),"Midnight Haze")</f>
        <v>Midnight Haze</v>
      </c>
      <c r="K170" s="517" t="str">
        <f>IFERROR(__xludf.DUMMYFUNCTION("""COMPUTED_VALUE"""),"BLK")</f>
        <v>BLK</v>
      </c>
      <c r="L170" s="517" t="str">
        <f>IFERROR(__xludf.DUMMYFUNCTION("""COMPUTED_VALUE"""),"GK2MP")</f>
        <v>GK2MP</v>
      </c>
      <c r="M170" s="517" t="str">
        <f>IFERROR(__xludf.DUMMYFUNCTION("""COMPUTED_VALUE"""),"ROW")</f>
        <v>ROW</v>
      </c>
      <c r="N170" s="517" t="str">
        <f>IFERROR(__xludf.DUMMYFUNCTION("""COMPUTED_VALUE"""),"SKU, CLR1, GOOD, SUB6, IN, FL5, REFURB")</f>
        <v>SKU, CLR1, GOOD, SUB6, IN, FL5, REFURB</v>
      </c>
      <c r="O170" s="517">
        <f>IFERROR(__xludf.DUMMYFUNCTION("""COMPUTED_VALUE"""),0.0)</f>
        <v>0</v>
      </c>
      <c r="P170" s="517" t="str">
        <f>IFERROR(__xludf.DUMMYFUNCTION("""COMPUTED_VALUE"""),"128GB")</f>
        <v>128GB</v>
      </c>
      <c r="Q170" s="517"/>
      <c r="R170" s="518" t="str">
        <f>IFERROR(__xludf.DUMMYFUNCTION("""COMPUTED_VALUE"""),"TBD")</f>
        <v>TBD</v>
      </c>
      <c r="S170" s="518" t="str">
        <f>IFERROR(__xludf.DUMMYFUNCTION("""COMPUTED_VALUE"""),"TBD")</f>
        <v>TBD</v>
      </c>
      <c r="T170" s="517" t="str">
        <f>IFERROR(__xludf.DUMMYFUNCTION("""COMPUTED_VALUE"""),"MP")</f>
        <v>MP</v>
      </c>
    </row>
    <row r="171">
      <c r="B171" s="517">
        <f>IFERROR(__xludf.DUMMYFUNCTION("""COMPUTED_VALUE"""),167.0)</f>
        <v>167</v>
      </c>
      <c r="C171" s="517" t="str">
        <f>IFERROR(__xludf.DUMMYFUNCTION("""COMPUTED_VALUE"""),"Refurb")</f>
        <v>Refurb</v>
      </c>
      <c r="D171" s="517" t="str">
        <f>IFERROR(__xludf.DUMMYFUNCTION("""COMPUTED_VALUE"""),"Cancel")</f>
        <v>Cancel</v>
      </c>
      <c r="E171" s="517" t="str">
        <f>IFERROR(__xludf.DUMMYFUNCTION("""COMPUTED_VALUE"""),"GA10214-IN-RA")</f>
        <v>GA10214-IN-RA</v>
      </c>
      <c r="F171" s="517" t="str">
        <f>IFERROR(__xludf.DUMMYFUNCTION("""COMPUTED_VALUE"""),"IN")</f>
        <v>IN</v>
      </c>
      <c r="G171" s="517" t="str">
        <f>IFERROR(__xludf.DUMMYFUNCTION("""COMPUTED_VALUE"""),"NCA")</f>
        <v>NCA</v>
      </c>
      <c r="H171" s="517" t="str">
        <f>IFERROR(__xludf.DUMMYFUNCTION("""COMPUTED_VALUE"""),"Sub6")</f>
        <v>Sub6</v>
      </c>
      <c r="I171" s="517" t="str">
        <f>IFERROR(__xludf.DUMMYFUNCTION("""COMPUTED_VALUE"""),"CLR2")</f>
        <v>CLR2</v>
      </c>
      <c r="J171" s="517" t="str">
        <f>IFERROR(__xludf.DUMMYFUNCTION("""COMPUTED_VALUE"""),"Iris")</f>
        <v>Iris</v>
      </c>
      <c r="K171" s="517" t="str">
        <f>IFERROR(__xludf.DUMMYFUNCTION("""COMPUTED_VALUE"""),"PPL")</f>
        <v>PPL</v>
      </c>
      <c r="L171" s="517" t="str">
        <f>IFERROR(__xludf.DUMMYFUNCTION("""COMPUTED_VALUE"""),"GK2MP")</f>
        <v>GK2MP</v>
      </c>
      <c r="M171" s="517" t="str">
        <f>IFERROR(__xludf.DUMMYFUNCTION("""COMPUTED_VALUE"""),"ROW")</f>
        <v>ROW</v>
      </c>
      <c r="N171" s="517" t="str">
        <f>IFERROR(__xludf.DUMMYFUNCTION("""COMPUTED_VALUE"""),"SKU, CLR2, GOOD, SUB6, IN, FL5, REFURB")</f>
        <v>SKU, CLR2, GOOD, SUB6, IN, FL5, REFURB</v>
      </c>
      <c r="O171" s="517">
        <f>IFERROR(__xludf.DUMMYFUNCTION("""COMPUTED_VALUE"""),0.0)</f>
        <v>0</v>
      </c>
      <c r="P171" s="517" t="str">
        <f>IFERROR(__xludf.DUMMYFUNCTION("""COMPUTED_VALUE"""),"128GB")</f>
        <v>128GB</v>
      </c>
      <c r="Q171" s="517"/>
      <c r="R171" s="518" t="str">
        <f>IFERROR(__xludf.DUMMYFUNCTION("""COMPUTED_VALUE"""),"TBD")</f>
        <v>TBD</v>
      </c>
      <c r="S171" s="518" t="str">
        <f>IFERROR(__xludf.DUMMYFUNCTION("""COMPUTED_VALUE"""),"TBD")</f>
        <v>TBD</v>
      </c>
      <c r="T171" s="517" t="str">
        <f>IFERROR(__xludf.DUMMYFUNCTION("""COMPUTED_VALUE"""),"MP")</f>
        <v>MP</v>
      </c>
    </row>
    <row r="172">
      <c r="B172" s="517">
        <f>IFERROR(__xludf.DUMMYFUNCTION("""COMPUTED_VALUE"""),168.0)</f>
        <v>168</v>
      </c>
      <c r="C172" s="517" t="str">
        <f>IFERROR(__xludf.DUMMYFUNCTION("""COMPUTED_VALUE"""),"Refurb")</f>
        <v>Refurb</v>
      </c>
      <c r="D172" s="517" t="str">
        <f>IFERROR(__xludf.DUMMYFUNCTION("""COMPUTED_VALUE"""),"Cancel")</f>
        <v>Cancel</v>
      </c>
      <c r="E172" s="517" t="str">
        <f>IFERROR(__xludf.DUMMYFUNCTION("""COMPUTED_VALUE"""),"GA10215-IN-RA")</f>
        <v>GA10215-IN-RA</v>
      </c>
      <c r="F172" s="517" t="str">
        <f>IFERROR(__xludf.DUMMYFUNCTION("""COMPUTED_VALUE"""),"IN")</f>
        <v>IN</v>
      </c>
      <c r="G172" s="517" t="str">
        <f>IFERROR(__xludf.DUMMYFUNCTION("""COMPUTED_VALUE"""),"NCA")</f>
        <v>NCA</v>
      </c>
      <c r="H172" s="517" t="str">
        <f>IFERROR(__xludf.DUMMYFUNCTION("""COMPUTED_VALUE"""),"Sub6")</f>
        <v>Sub6</v>
      </c>
      <c r="I172" s="517" t="str">
        <f>IFERROR(__xludf.DUMMYFUNCTION("""COMPUTED_VALUE"""),"CLR3")</f>
        <v>CLR3</v>
      </c>
      <c r="J172" s="517" t="str">
        <f>IFERROR(__xludf.DUMMYFUNCTION("""COMPUTED_VALUE"""),"Limoncello Midtone")</f>
        <v>Limoncello Midtone</v>
      </c>
      <c r="K172" s="517" t="str">
        <f>IFERROR(__xludf.DUMMYFUNCTION("""COMPUTED_VALUE"""),"YEL")</f>
        <v>YEL</v>
      </c>
      <c r="L172" s="517" t="str">
        <f>IFERROR(__xludf.DUMMYFUNCTION("""COMPUTED_VALUE"""),"GK2MP")</f>
        <v>GK2MP</v>
      </c>
      <c r="M172" s="517" t="str">
        <f>IFERROR(__xludf.DUMMYFUNCTION("""COMPUTED_VALUE"""),"ROW")</f>
        <v>ROW</v>
      </c>
      <c r="N172" s="517" t="str">
        <f>IFERROR(__xludf.DUMMYFUNCTION("""COMPUTED_VALUE"""),"SKU, CLR3, GOOD, SUB6, IN, FL5, REFURB")</f>
        <v>SKU, CLR3, GOOD, SUB6, IN, FL5, REFURB</v>
      </c>
      <c r="O172" s="517">
        <f>IFERROR(__xludf.DUMMYFUNCTION("""COMPUTED_VALUE"""),0.0)</f>
        <v>0</v>
      </c>
      <c r="P172" s="517" t="str">
        <f>IFERROR(__xludf.DUMMYFUNCTION("""COMPUTED_VALUE"""),"128GB")</f>
        <v>128GB</v>
      </c>
      <c r="Q172" s="517"/>
      <c r="R172" s="518" t="str">
        <f>IFERROR(__xludf.DUMMYFUNCTION("""COMPUTED_VALUE"""),"TBD")</f>
        <v>TBD</v>
      </c>
      <c r="S172" s="518" t="str">
        <f>IFERROR(__xludf.DUMMYFUNCTION("""COMPUTED_VALUE"""),"TBD")</f>
        <v>TBD</v>
      </c>
      <c r="T172" s="517" t="str">
        <f>IFERROR(__xludf.DUMMYFUNCTION("""COMPUTED_VALUE"""),"MP")</f>
        <v>MP</v>
      </c>
    </row>
    <row r="173">
      <c r="B173" s="517">
        <f>IFERROR(__xludf.DUMMYFUNCTION("""COMPUTED_VALUE"""),169.0)</f>
        <v>169</v>
      </c>
      <c r="C173" s="517" t="str">
        <f>IFERROR(__xludf.DUMMYFUNCTION("""COMPUTED_VALUE"""),"Refurb")</f>
        <v>Refurb</v>
      </c>
      <c r="D173" s="517" t="str">
        <f>IFERROR(__xludf.DUMMYFUNCTION("""COMPUTED_VALUE"""),"Cancel")</f>
        <v>Cancel</v>
      </c>
      <c r="E173" s="517" t="str">
        <f>IFERROR(__xludf.DUMMYFUNCTION("""COMPUTED_VALUE"""),"GA10216-IN-RA")</f>
        <v>GA10216-IN-RA</v>
      </c>
      <c r="F173" s="517" t="str">
        <f>IFERROR(__xludf.DUMMYFUNCTION("""COMPUTED_VALUE"""),"IN")</f>
        <v>IN</v>
      </c>
      <c r="G173" s="517" t="str">
        <f>IFERROR(__xludf.DUMMYFUNCTION("""COMPUTED_VALUE"""),"NCA")</f>
        <v>NCA</v>
      </c>
      <c r="H173" s="517" t="str">
        <f>IFERROR(__xludf.DUMMYFUNCTION("""COMPUTED_VALUE"""),"Sub6")</f>
        <v>Sub6</v>
      </c>
      <c r="I173" s="517" t="str">
        <f>IFERROR(__xludf.DUMMYFUNCTION("""COMPUTED_VALUE"""),"CLR4")</f>
        <v>CLR4</v>
      </c>
      <c r="J173" s="517" t="str">
        <f>IFERROR(__xludf.DUMMYFUNCTION("""COMPUTED_VALUE"""),"Ultra Blue")</f>
        <v>Ultra Blue</v>
      </c>
      <c r="K173" s="517" t="str">
        <f>IFERROR(__xludf.DUMMYFUNCTION("""COMPUTED_VALUE"""),"BUE")</f>
        <v>BUE</v>
      </c>
      <c r="L173" s="517" t="str">
        <f>IFERROR(__xludf.DUMMYFUNCTION("""COMPUTED_VALUE"""),"GK2MP")</f>
        <v>GK2MP</v>
      </c>
      <c r="M173" s="517" t="str">
        <f>IFERROR(__xludf.DUMMYFUNCTION("""COMPUTED_VALUE"""),"ROW")</f>
        <v>ROW</v>
      </c>
      <c r="N173" s="517" t="str">
        <f>IFERROR(__xludf.DUMMYFUNCTION("""COMPUTED_VALUE"""),"SKU, CLR4, GOOD, SUB6, IN, FL5, REFURB")</f>
        <v>SKU, CLR4, GOOD, SUB6, IN, FL5, REFURB</v>
      </c>
      <c r="O173" s="517">
        <f>IFERROR(__xludf.DUMMYFUNCTION("""COMPUTED_VALUE"""),0.0)</f>
        <v>0</v>
      </c>
      <c r="P173" s="517" t="str">
        <f>IFERROR(__xludf.DUMMYFUNCTION("""COMPUTED_VALUE"""),"128GB")</f>
        <v>128GB</v>
      </c>
      <c r="Q173" s="517"/>
      <c r="R173" s="518" t="str">
        <f>IFERROR(__xludf.DUMMYFUNCTION("""COMPUTED_VALUE"""),"TBD")</f>
        <v>TBD</v>
      </c>
      <c r="S173" s="518" t="str">
        <f>IFERROR(__xludf.DUMMYFUNCTION("""COMPUTED_VALUE"""),"TBD")</f>
        <v>TBD</v>
      </c>
      <c r="T173" s="517" t="str">
        <f>IFERROR(__xludf.DUMMYFUNCTION("""COMPUTED_VALUE"""),"MP")</f>
        <v>MP</v>
      </c>
    </row>
    <row r="174">
      <c r="B174" s="517">
        <f>IFERROR(__xludf.DUMMYFUNCTION("""COMPUTED_VALUE"""),170.0)</f>
        <v>170</v>
      </c>
      <c r="C174" s="517" t="str">
        <f>IFERROR(__xludf.DUMMYFUNCTION("""COMPUTED_VALUE"""),"Refurb")</f>
        <v>Refurb</v>
      </c>
      <c r="D174" s="517" t="str">
        <f>IFERROR(__xludf.DUMMYFUNCTION("""COMPUTED_VALUE"""),"Retail Pack")</f>
        <v>Retail Pack</v>
      </c>
      <c r="E174" s="517" t="str">
        <f>IFERROR(__xludf.DUMMYFUNCTION("""COMPUTED_VALUE"""),"GA09880-US-RA")</f>
        <v>GA09880-US-RA</v>
      </c>
      <c r="F174" s="517" t="str">
        <f>IFERROR(__xludf.DUMMYFUNCTION("""COMPUTED_VALUE"""),"US-VZW")</f>
        <v>US-VZW</v>
      </c>
      <c r="G174" s="517" t="str">
        <f>IFERROR(__xludf.DUMMYFUNCTION("""COMPUTED_VALUE"""),"UVZ")</f>
        <v>UVZ</v>
      </c>
      <c r="H174" s="517" t="str">
        <f>IFERROR(__xludf.DUMMYFUNCTION("""COMPUTED_VALUE"""),"mmWave")</f>
        <v>mmWave</v>
      </c>
      <c r="I174" s="517" t="str">
        <f>IFERROR(__xludf.DUMMYFUNCTION("""COMPUTED_VALUE"""),"CLR1")</f>
        <v>CLR1</v>
      </c>
      <c r="J174" s="517" t="str">
        <f>IFERROR(__xludf.DUMMYFUNCTION("""COMPUTED_VALUE"""),"Midnight Haze")</f>
        <v>Midnight Haze</v>
      </c>
      <c r="K174" s="517" t="str">
        <f>IFERROR(__xludf.DUMMYFUNCTION("""COMPUTED_VALUE"""),"BLK")</f>
        <v>BLK</v>
      </c>
      <c r="L174" s="517" t="str">
        <f>IFERROR(__xludf.DUMMYFUNCTION("""COMPUTED_VALUE"""),"GLBW0")</f>
        <v>GLBW0</v>
      </c>
      <c r="M174" s="517" t="str">
        <f>IFERROR(__xludf.DUMMYFUNCTION("""COMPUTED_VALUE"""),"VZW")</f>
        <v>VZW</v>
      </c>
      <c r="N174" s="517" t="str">
        <f>IFERROR(__xludf.DUMMYFUNCTION("""COMPUTED_VALUE"""),"SKU, CLR1, BETTER, MMWAVE, VZW, FL5, REFURB")</f>
        <v>SKU, CLR1, BETTER, MMWAVE, VZW, FL5, REFURB</v>
      </c>
      <c r="O174" s="517" t="str">
        <f>IFERROR(__xludf.DUMMYFUNCTION("""COMPUTED_VALUE"""),"US")</f>
        <v>US</v>
      </c>
      <c r="P174" s="517" t="str">
        <f>IFERROR(__xludf.DUMMYFUNCTION("""COMPUTED_VALUE"""),"256GB")</f>
        <v>256GB</v>
      </c>
      <c r="Q174" s="517"/>
      <c r="R174" s="518" t="str">
        <f>IFERROR(__xludf.DUMMYFUNCTION("""COMPUTED_VALUE"""),"840353939790")</f>
        <v>840353939790</v>
      </c>
      <c r="S174" s="518" t="str">
        <f>IFERROR(__xludf.DUMMYFUNCTION("""COMPUTED_VALUE"""),"0840353939790")</f>
        <v>0840353939790</v>
      </c>
      <c r="T174" s="517" t="str">
        <f>IFERROR(__xludf.DUMMYFUNCTION("""COMPUTED_VALUE"""),"MP")</f>
        <v>MP</v>
      </c>
    </row>
    <row r="175">
      <c r="B175" s="517">
        <f>IFERROR(__xludf.DUMMYFUNCTION("""COMPUTED_VALUE"""),171.0)</f>
        <v>171</v>
      </c>
      <c r="C175" s="517" t="str">
        <f>IFERROR(__xludf.DUMMYFUNCTION("""COMPUTED_VALUE"""),"Refurb")</f>
        <v>Refurb</v>
      </c>
      <c r="D175" s="517" t="str">
        <f>IFERROR(__xludf.DUMMYFUNCTION("""COMPUTED_VALUE"""),"Retail Pack")</f>
        <v>Retail Pack</v>
      </c>
      <c r="E175" s="517" t="str">
        <f>IFERROR(__xludf.DUMMYFUNCTION("""COMPUTED_VALUE"""),"GA10243-US-RA")</f>
        <v>GA10243-US-RA</v>
      </c>
      <c r="F175" s="517" t="str">
        <f>IFERROR(__xludf.DUMMYFUNCTION("""COMPUTED_VALUE"""),"US-VZW")</f>
        <v>US-VZW</v>
      </c>
      <c r="G175" s="517" t="str">
        <f>IFERROR(__xludf.DUMMYFUNCTION("""COMPUTED_VALUE"""),"UVZ")</f>
        <v>UVZ</v>
      </c>
      <c r="H175" s="517" t="str">
        <f>IFERROR(__xludf.DUMMYFUNCTION("""COMPUTED_VALUE"""),"mmWave")</f>
        <v>mmWave</v>
      </c>
      <c r="I175" s="517" t="str">
        <f>IFERROR(__xludf.DUMMYFUNCTION("""COMPUTED_VALUE"""),"CLR4")</f>
        <v>CLR4</v>
      </c>
      <c r="J175" s="517" t="str">
        <f>IFERROR(__xludf.DUMMYFUNCTION("""COMPUTED_VALUE"""),"Ultra Blue")</f>
        <v>Ultra Blue</v>
      </c>
      <c r="K175" s="517" t="str">
        <f>IFERROR(__xludf.DUMMYFUNCTION("""COMPUTED_VALUE"""),"BUE")</f>
        <v>BUE</v>
      </c>
      <c r="L175" s="517" t="str">
        <f>IFERROR(__xludf.DUMMYFUNCTION("""COMPUTED_VALUE"""),"GLBW0")</f>
        <v>GLBW0</v>
      </c>
      <c r="M175" s="517" t="str">
        <f>IFERROR(__xludf.DUMMYFUNCTION("""COMPUTED_VALUE"""),"VZW")</f>
        <v>VZW</v>
      </c>
      <c r="N175" s="517" t="str">
        <f>IFERROR(__xludf.DUMMYFUNCTION("""COMPUTED_VALUE"""),"SKU, CLR4, BETTER, MMWAVE, VZW, FL5, REFURB")</f>
        <v>SKU, CLR4, BETTER, MMWAVE, VZW, FL5, REFURB</v>
      </c>
      <c r="O175" s="517" t="str">
        <f>IFERROR(__xludf.DUMMYFUNCTION("""COMPUTED_VALUE"""),"US")</f>
        <v>US</v>
      </c>
      <c r="P175" s="517" t="str">
        <f>IFERROR(__xludf.DUMMYFUNCTION("""COMPUTED_VALUE"""),"256GB")</f>
        <v>256GB</v>
      </c>
      <c r="Q175" s="517"/>
      <c r="R175" s="518" t="str">
        <f>IFERROR(__xludf.DUMMYFUNCTION("""COMPUTED_VALUE"""),"840353940345")</f>
        <v>840353940345</v>
      </c>
      <c r="S175" s="518" t="str">
        <f>IFERROR(__xludf.DUMMYFUNCTION("""COMPUTED_VALUE"""),"0840353940345")</f>
        <v>0840353940345</v>
      </c>
      <c r="T175" s="517" t="str">
        <f>IFERROR(__xludf.DUMMYFUNCTION("""COMPUTED_VALUE"""),"MP")</f>
        <v>MP</v>
      </c>
    </row>
    <row r="176">
      <c r="B176" s="517">
        <f>IFERROR(__xludf.DUMMYFUNCTION("""COMPUTED_VALUE"""),172.0)</f>
        <v>172</v>
      </c>
      <c r="C176" s="517" t="str">
        <f>IFERROR(__xludf.DUMMYFUNCTION("""COMPUTED_VALUE"""),"Refurb")</f>
        <v>Refurb</v>
      </c>
      <c r="D176" s="517" t="str">
        <f>IFERROR(__xludf.DUMMYFUNCTION("""COMPUTED_VALUE"""),"Retail Pack")</f>
        <v>Retail Pack</v>
      </c>
      <c r="E176" s="517" t="str">
        <f>IFERROR(__xludf.DUMMYFUNCTION("""COMPUTED_VALUE"""),"GA09882-US-RA")</f>
        <v>GA09882-US-RA</v>
      </c>
      <c r="F176" s="517" t="str">
        <f>IFERROR(__xludf.DUMMYFUNCTION("""COMPUTED_VALUE"""),"US-Tmobile")</f>
        <v>US-Tmobile</v>
      </c>
      <c r="G176" s="517" t="str">
        <f>IFERROR(__xludf.DUMMYFUNCTION("""COMPUTED_VALUE"""),"UTM")</f>
        <v>UTM</v>
      </c>
      <c r="H176" s="517" t="str">
        <f>IFERROR(__xludf.DUMMYFUNCTION("""COMPUTED_VALUE"""),"mmWave")</f>
        <v>mmWave</v>
      </c>
      <c r="I176" s="517" t="str">
        <f>IFERROR(__xludf.DUMMYFUNCTION("""COMPUTED_VALUE"""),"CLR1")</f>
        <v>CLR1</v>
      </c>
      <c r="J176" s="517" t="str">
        <f>IFERROR(__xludf.DUMMYFUNCTION("""COMPUTED_VALUE"""),"Midnight Haze")</f>
        <v>Midnight Haze</v>
      </c>
      <c r="K176" s="517" t="str">
        <f>IFERROR(__xludf.DUMMYFUNCTION("""COMPUTED_VALUE"""),"BLK")</f>
        <v>BLK</v>
      </c>
      <c r="L176" s="517" t="str">
        <f>IFERROR(__xludf.DUMMYFUNCTION("""COMPUTED_VALUE"""),"GLBW0")</f>
        <v>GLBW0</v>
      </c>
      <c r="M176" s="517" t="str">
        <f>IFERROR(__xludf.DUMMYFUNCTION("""COMPUTED_VALUE"""),"TMO")</f>
        <v>TMO</v>
      </c>
      <c r="N176" s="517" t="str">
        <f>IFERROR(__xludf.DUMMYFUNCTION("""COMPUTED_VALUE"""),"SKU, CLR1, BETTER, MMWAVE, TMO, FL5, REFURB")</f>
        <v>SKU, CLR1, BETTER, MMWAVE, TMO, FL5, REFURB</v>
      </c>
      <c r="O176" s="517" t="str">
        <f>IFERROR(__xludf.DUMMYFUNCTION("""COMPUTED_VALUE"""),"US")</f>
        <v>US</v>
      </c>
      <c r="P176" s="517" t="str">
        <f>IFERROR(__xludf.DUMMYFUNCTION("""COMPUTED_VALUE"""),"256GB")</f>
        <v>256GB</v>
      </c>
      <c r="Q176" s="518" t="str">
        <f>IFERROR(__xludf.DUMMYFUNCTION("""COMPUTED_VALUE"""),"TBD")</f>
        <v>TBD</v>
      </c>
      <c r="R176" s="518" t="str">
        <f>IFERROR(__xludf.DUMMYFUNCTION("""COMPUTED_VALUE"""),"840353939813")</f>
        <v>840353939813</v>
      </c>
      <c r="S176" s="518" t="str">
        <f>IFERROR(__xludf.DUMMYFUNCTION("""COMPUTED_VALUE"""),"0840353939813")</f>
        <v>0840353939813</v>
      </c>
      <c r="T176" s="517" t="str">
        <f>IFERROR(__xludf.DUMMYFUNCTION("""COMPUTED_VALUE"""),"MP")</f>
        <v>MP</v>
      </c>
    </row>
    <row r="177">
      <c r="B177" s="517">
        <f>IFERROR(__xludf.DUMMYFUNCTION("""COMPUTED_VALUE"""),173.0)</f>
        <v>173</v>
      </c>
      <c r="C177" s="517" t="str">
        <f>IFERROR(__xludf.DUMMYFUNCTION("""COMPUTED_VALUE"""),"Refurb")</f>
        <v>Refurb</v>
      </c>
      <c r="D177" s="517" t="str">
        <f>IFERROR(__xludf.DUMMYFUNCTION("""COMPUTED_VALUE"""),"Retail Pack")</f>
        <v>Retail Pack</v>
      </c>
      <c r="E177" s="517" t="str">
        <f>IFERROR(__xludf.DUMMYFUNCTION("""COMPUTED_VALUE"""),"GA09883-US-RA")</f>
        <v>GA09883-US-RA</v>
      </c>
      <c r="F177" s="517" t="str">
        <f>IFERROR(__xludf.DUMMYFUNCTION("""COMPUTED_VALUE"""),"US GStore")</f>
        <v>US GStore</v>
      </c>
      <c r="G177" s="517" t="str">
        <f>IFERROR(__xludf.DUMMYFUNCTION("""COMPUTED_VALUE"""),"UGS")</f>
        <v>UGS</v>
      </c>
      <c r="H177" s="517" t="str">
        <f>IFERROR(__xludf.DUMMYFUNCTION("""COMPUTED_VALUE"""),"mmWave")</f>
        <v>mmWave</v>
      </c>
      <c r="I177" s="517" t="str">
        <f>IFERROR(__xludf.DUMMYFUNCTION("""COMPUTED_VALUE"""),"CLR1")</f>
        <v>CLR1</v>
      </c>
      <c r="J177" s="517" t="str">
        <f>IFERROR(__xludf.DUMMYFUNCTION("""COMPUTED_VALUE"""),"Midnight Haze")</f>
        <v>Midnight Haze</v>
      </c>
      <c r="K177" s="517" t="str">
        <f>IFERROR(__xludf.DUMMYFUNCTION("""COMPUTED_VALUE"""),"BLK")</f>
        <v>BLK</v>
      </c>
      <c r="L177" s="517" t="str">
        <f>IFERROR(__xludf.DUMMYFUNCTION("""COMPUTED_VALUE"""),"GLBW0")</f>
        <v>GLBW0</v>
      </c>
      <c r="M177" s="517" t="str">
        <f>IFERROR(__xludf.DUMMYFUNCTION("""COMPUTED_VALUE"""),"NA")</f>
        <v>NA</v>
      </c>
      <c r="N177" s="517" t="str">
        <f>IFERROR(__xludf.DUMMYFUNCTION("""COMPUTED_VALUE"""),"SKU, CLR1, BETTER, MMWAVE, GSTORE, FL5, REFURB")</f>
        <v>SKU, CLR1, BETTER, MMWAVE, GSTORE, FL5, REFURB</v>
      </c>
      <c r="O177" s="517">
        <f>IFERROR(__xludf.DUMMYFUNCTION("""COMPUTED_VALUE"""),0.0)</f>
        <v>0</v>
      </c>
      <c r="P177" s="517" t="str">
        <f>IFERROR(__xludf.DUMMYFUNCTION("""COMPUTED_VALUE"""),"256GB")</f>
        <v>256GB</v>
      </c>
      <c r="Q177" s="517"/>
      <c r="R177" s="518" t="str">
        <f>IFERROR(__xludf.DUMMYFUNCTION("""COMPUTED_VALUE"""),"840353939868")</f>
        <v>840353939868</v>
      </c>
      <c r="S177" s="518" t="str">
        <f>IFERROR(__xludf.DUMMYFUNCTION("""COMPUTED_VALUE"""),"0840353939868")</f>
        <v>0840353939868</v>
      </c>
      <c r="T177" s="517" t="str">
        <f>IFERROR(__xludf.DUMMYFUNCTION("""COMPUTED_VALUE"""),"MP")</f>
        <v>MP</v>
      </c>
    </row>
    <row r="178">
      <c r="B178" s="517">
        <f>IFERROR(__xludf.DUMMYFUNCTION("""COMPUTED_VALUE"""),174.0)</f>
        <v>174</v>
      </c>
      <c r="C178" s="517" t="str">
        <f>IFERROR(__xludf.DUMMYFUNCTION("""COMPUTED_VALUE"""),"Refurb")</f>
        <v>Refurb</v>
      </c>
      <c r="D178" s="517" t="str">
        <f>IFERROR(__xludf.DUMMYFUNCTION("""COMPUTED_VALUE"""),"Retail Pack")</f>
        <v>Retail Pack</v>
      </c>
      <c r="E178" s="517" t="str">
        <f>IFERROR(__xludf.DUMMYFUNCTION("""COMPUTED_VALUE"""),"GA10217-US-RA")</f>
        <v>GA10217-US-RA</v>
      </c>
      <c r="F178" s="517" t="str">
        <f>IFERROR(__xludf.DUMMYFUNCTION("""COMPUTED_VALUE"""),"US GStore")</f>
        <v>US GStore</v>
      </c>
      <c r="G178" s="517" t="str">
        <f>IFERROR(__xludf.DUMMYFUNCTION("""COMPUTED_VALUE"""),"UGS")</f>
        <v>UGS</v>
      </c>
      <c r="H178" s="517" t="str">
        <f>IFERROR(__xludf.DUMMYFUNCTION("""COMPUTED_VALUE"""),"mmWave")</f>
        <v>mmWave</v>
      </c>
      <c r="I178" s="517" t="str">
        <f>IFERROR(__xludf.DUMMYFUNCTION("""COMPUTED_VALUE"""),"CLR2")</f>
        <v>CLR2</v>
      </c>
      <c r="J178" s="517" t="str">
        <f>IFERROR(__xludf.DUMMYFUNCTION("""COMPUTED_VALUE"""),"Iris")</f>
        <v>Iris</v>
      </c>
      <c r="K178" s="517" t="str">
        <f>IFERROR(__xludf.DUMMYFUNCTION("""COMPUTED_VALUE"""),"PPL")</f>
        <v>PPL</v>
      </c>
      <c r="L178" s="517" t="str">
        <f>IFERROR(__xludf.DUMMYFUNCTION("""COMPUTED_VALUE"""),"GLBW0")</f>
        <v>GLBW0</v>
      </c>
      <c r="M178" s="517" t="str">
        <f>IFERROR(__xludf.DUMMYFUNCTION("""COMPUTED_VALUE"""),"NA")</f>
        <v>NA</v>
      </c>
      <c r="N178" s="517" t="str">
        <f>IFERROR(__xludf.DUMMYFUNCTION("""COMPUTED_VALUE"""),"SKU, CLR2, BETTER, MMWAVE, GSTORE, FL5, REFURB")</f>
        <v>SKU, CLR2, BETTER, MMWAVE, GSTORE, FL5, REFURB</v>
      </c>
      <c r="O178" s="517">
        <f>IFERROR(__xludf.DUMMYFUNCTION("""COMPUTED_VALUE"""),0.0)</f>
        <v>0</v>
      </c>
      <c r="P178" s="517" t="str">
        <f>IFERROR(__xludf.DUMMYFUNCTION("""COMPUTED_VALUE"""),"256GB")</f>
        <v>256GB</v>
      </c>
      <c r="Q178" s="517"/>
      <c r="R178" s="518" t="str">
        <f>IFERROR(__xludf.DUMMYFUNCTION("""COMPUTED_VALUE"""),"TBD")</f>
        <v>TBD</v>
      </c>
      <c r="S178" s="518" t="str">
        <f>IFERROR(__xludf.DUMMYFUNCTION("""COMPUTED_VALUE"""),"TBD")</f>
        <v>TBD</v>
      </c>
      <c r="T178" s="517" t="str">
        <f>IFERROR(__xludf.DUMMYFUNCTION("""COMPUTED_VALUE"""),"MP")</f>
        <v>MP</v>
      </c>
    </row>
    <row r="179">
      <c r="B179" s="517">
        <f>IFERROR(__xludf.DUMMYFUNCTION("""COMPUTED_VALUE"""),175.0)</f>
        <v>175</v>
      </c>
      <c r="C179" s="517" t="str">
        <f>IFERROR(__xludf.DUMMYFUNCTION("""COMPUTED_VALUE"""),"Refurb")</f>
        <v>Refurb</v>
      </c>
      <c r="D179" s="517" t="str">
        <f>IFERROR(__xludf.DUMMYFUNCTION("""COMPUTED_VALUE"""),"Retail Pack")</f>
        <v>Retail Pack</v>
      </c>
      <c r="E179" s="517" t="str">
        <f>IFERROR(__xludf.DUMMYFUNCTION("""COMPUTED_VALUE"""),"GA10218-US-RA")</f>
        <v>GA10218-US-RA</v>
      </c>
      <c r="F179" s="517" t="str">
        <f>IFERROR(__xludf.DUMMYFUNCTION("""COMPUTED_VALUE"""),"US GStore")</f>
        <v>US GStore</v>
      </c>
      <c r="G179" s="517" t="str">
        <f>IFERROR(__xludf.DUMMYFUNCTION("""COMPUTED_VALUE"""),"UGS")</f>
        <v>UGS</v>
      </c>
      <c r="H179" s="517" t="str">
        <f>IFERROR(__xludf.DUMMYFUNCTION("""COMPUTED_VALUE"""),"mmWave")</f>
        <v>mmWave</v>
      </c>
      <c r="I179" s="517" t="str">
        <f>IFERROR(__xludf.DUMMYFUNCTION("""COMPUTED_VALUE"""),"CLR3")</f>
        <v>CLR3</v>
      </c>
      <c r="J179" s="517" t="str">
        <f>IFERROR(__xludf.DUMMYFUNCTION("""COMPUTED_VALUE"""),"Limoncello Midtone")</f>
        <v>Limoncello Midtone</v>
      </c>
      <c r="K179" s="517" t="str">
        <f>IFERROR(__xludf.DUMMYFUNCTION("""COMPUTED_VALUE"""),"YEL")</f>
        <v>YEL</v>
      </c>
      <c r="L179" s="517" t="str">
        <f>IFERROR(__xludf.DUMMYFUNCTION("""COMPUTED_VALUE"""),"GLBW0")</f>
        <v>GLBW0</v>
      </c>
      <c r="M179" s="517" t="str">
        <f>IFERROR(__xludf.DUMMYFUNCTION("""COMPUTED_VALUE"""),"NA")</f>
        <v>NA</v>
      </c>
      <c r="N179" s="517" t="str">
        <f>IFERROR(__xludf.DUMMYFUNCTION("""COMPUTED_VALUE"""),"SKU, CLR3, BETTER, MMWAVE, GSTORE, FL5, REFURB")</f>
        <v>SKU, CLR3, BETTER, MMWAVE, GSTORE, FL5, REFURB</v>
      </c>
      <c r="O179" s="517">
        <f>IFERROR(__xludf.DUMMYFUNCTION("""COMPUTED_VALUE"""),0.0)</f>
        <v>0</v>
      </c>
      <c r="P179" s="517" t="str">
        <f>IFERROR(__xludf.DUMMYFUNCTION("""COMPUTED_VALUE"""),"256GB")</f>
        <v>256GB</v>
      </c>
      <c r="Q179" s="517"/>
      <c r="R179" s="518" t="str">
        <f>IFERROR(__xludf.DUMMYFUNCTION("""COMPUTED_VALUE"""),"TBD")</f>
        <v>TBD</v>
      </c>
      <c r="S179" s="518" t="str">
        <f>IFERROR(__xludf.DUMMYFUNCTION("""COMPUTED_VALUE"""),"TBD")</f>
        <v>TBD</v>
      </c>
      <c r="T179" s="517" t="str">
        <f>IFERROR(__xludf.DUMMYFUNCTION("""COMPUTED_VALUE"""),"MP")</f>
        <v>MP</v>
      </c>
    </row>
    <row r="180">
      <c r="B180" s="517">
        <f>IFERROR(__xludf.DUMMYFUNCTION("""COMPUTED_VALUE"""),176.0)</f>
        <v>176</v>
      </c>
      <c r="C180" s="517" t="str">
        <f>IFERROR(__xludf.DUMMYFUNCTION("""COMPUTED_VALUE"""),"Refurb")</f>
        <v>Refurb</v>
      </c>
      <c r="D180" s="517" t="str">
        <f>IFERROR(__xludf.DUMMYFUNCTION("""COMPUTED_VALUE"""),"Retail Pack")</f>
        <v>Retail Pack</v>
      </c>
      <c r="E180" s="517" t="str">
        <f>IFERROR(__xludf.DUMMYFUNCTION("""COMPUTED_VALUE"""),"GA10219-US-RA")</f>
        <v>GA10219-US-RA</v>
      </c>
      <c r="F180" s="517" t="str">
        <f>IFERROR(__xludf.DUMMYFUNCTION("""COMPUTED_VALUE"""),"US GStore")</f>
        <v>US GStore</v>
      </c>
      <c r="G180" s="517" t="str">
        <f>IFERROR(__xludf.DUMMYFUNCTION("""COMPUTED_VALUE"""),"UGS")</f>
        <v>UGS</v>
      </c>
      <c r="H180" s="517" t="str">
        <f>IFERROR(__xludf.DUMMYFUNCTION("""COMPUTED_VALUE"""),"mmWave")</f>
        <v>mmWave</v>
      </c>
      <c r="I180" s="517" t="str">
        <f>IFERROR(__xludf.DUMMYFUNCTION("""COMPUTED_VALUE"""),"CLR4")</f>
        <v>CLR4</v>
      </c>
      <c r="J180" s="517" t="str">
        <f>IFERROR(__xludf.DUMMYFUNCTION("""COMPUTED_VALUE"""),"Ultra Blue")</f>
        <v>Ultra Blue</v>
      </c>
      <c r="K180" s="517" t="str">
        <f>IFERROR(__xludf.DUMMYFUNCTION("""COMPUTED_VALUE"""),"BUE")</f>
        <v>BUE</v>
      </c>
      <c r="L180" s="517" t="str">
        <f>IFERROR(__xludf.DUMMYFUNCTION("""COMPUTED_VALUE"""),"GLBW0")</f>
        <v>GLBW0</v>
      </c>
      <c r="M180" s="517" t="str">
        <f>IFERROR(__xludf.DUMMYFUNCTION("""COMPUTED_VALUE"""),"NA")</f>
        <v>NA</v>
      </c>
      <c r="N180" s="517" t="str">
        <f>IFERROR(__xludf.DUMMYFUNCTION("""COMPUTED_VALUE"""),"SKU, CLR4, BETTER, MMWAVE, GSTORE, FL5, REFURB")</f>
        <v>SKU, CLR4, BETTER, MMWAVE, GSTORE, FL5, REFURB</v>
      </c>
      <c r="O180" s="517">
        <f>IFERROR(__xludf.DUMMYFUNCTION("""COMPUTED_VALUE"""),0.0)</f>
        <v>0</v>
      </c>
      <c r="P180" s="517" t="str">
        <f>IFERROR(__xludf.DUMMYFUNCTION("""COMPUTED_VALUE"""),"256GB")</f>
        <v>256GB</v>
      </c>
      <c r="Q180" s="517"/>
      <c r="R180" s="518" t="str">
        <f>IFERROR(__xludf.DUMMYFUNCTION("""COMPUTED_VALUE"""),"TBD")</f>
        <v>TBD</v>
      </c>
      <c r="S180" s="518" t="str">
        <f>IFERROR(__xludf.DUMMYFUNCTION("""COMPUTED_VALUE"""),"TBD")</f>
        <v>TBD</v>
      </c>
      <c r="T180" s="517" t="str">
        <f>IFERROR(__xludf.DUMMYFUNCTION("""COMPUTED_VALUE"""),"MP")</f>
        <v>MP</v>
      </c>
    </row>
    <row r="181">
      <c r="B181" s="517">
        <f>IFERROR(__xludf.DUMMYFUNCTION("""COMPUTED_VALUE"""),177.0)</f>
        <v>177</v>
      </c>
      <c r="C181" s="517" t="str">
        <f>IFERROR(__xludf.DUMMYFUNCTION("""COMPUTED_VALUE"""),"Refurb")</f>
        <v>Refurb</v>
      </c>
      <c r="D181" s="517" t="str">
        <f>IFERROR(__xludf.DUMMYFUNCTION("""COMPUTED_VALUE"""),"Retail Pack")</f>
        <v>Retail Pack</v>
      </c>
      <c r="E181" s="517" t="str">
        <f>IFERROR(__xludf.DUMMYFUNCTION("""COMPUTED_VALUE"""),"GA09883-CA-RA")</f>
        <v>GA09883-CA-RA</v>
      </c>
      <c r="F181" s="517" t="str">
        <f>IFERROR(__xludf.DUMMYFUNCTION("""COMPUTED_VALUE"""),"CA/TW/SG/MY/AU/MX")</f>
        <v>CA/TW/SG/MY/AU/MX</v>
      </c>
      <c r="G181" s="517" t="str">
        <f>IFERROR(__xludf.DUMMYFUNCTION("""COMPUTED_VALUE"""),"NCA")</f>
        <v>NCA</v>
      </c>
      <c r="H181" s="517" t="str">
        <f>IFERROR(__xludf.DUMMYFUNCTION("""COMPUTED_VALUE"""),"Sub6")</f>
        <v>Sub6</v>
      </c>
      <c r="I181" s="517" t="str">
        <f>IFERROR(__xludf.DUMMYFUNCTION("""COMPUTED_VALUE"""),"CLR1")</f>
        <v>CLR1</v>
      </c>
      <c r="J181" s="517" t="str">
        <f>IFERROR(__xludf.DUMMYFUNCTION("""COMPUTED_VALUE"""),"Midnight Haze")</f>
        <v>Midnight Haze</v>
      </c>
      <c r="K181" s="517" t="str">
        <f>IFERROR(__xludf.DUMMYFUNCTION("""COMPUTED_VALUE"""),"BLK")</f>
        <v>BLK</v>
      </c>
      <c r="L181" s="517" t="str">
        <f>IFERROR(__xludf.DUMMYFUNCTION("""COMPUTED_VALUE"""),"GK2MP")</f>
        <v>GK2MP</v>
      </c>
      <c r="M181" s="517" t="str">
        <f>IFERROR(__xludf.DUMMYFUNCTION("""COMPUTED_VALUE"""),"ROW")</f>
        <v>ROW</v>
      </c>
      <c r="N181" s="517" t="str">
        <f>IFERROR(__xludf.DUMMYFUNCTION("""COMPUTED_VALUE"""),"SKU, CLR1, BETTER, SUB6, CA/TW/SG/MY/AU/MX, FL5, REFURB")</f>
        <v>SKU, CLR1, BETTER, SUB6, CA/TW/SG/MY/AU/MX, FL5, REFURB</v>
      </c>
      <c r="O181" s="517">
        <f>IFERROR(__xludf.DUMMYFUNCTION("""COMPUTED_VALUE"""),0.0)</f>
        <v>0</v>
      </c>
      <c r="P181" s="517" t="str">
        <f>IFERROR(__xludf.DUMMYFUNCTION("""COMPUTED_VALUE"""),"256GB")</f>
        <v>256GB</v>
      </c>
      <c r="Q181" s="517"/>
      <c r="R181" s="518" t="str">
        <f>IFERROR(__xludf.DUMMYFUNCTION("""COMPUTED_VALUE"""),"TBD")</f>
        <v>TBD</v>
      </c>
      <c r="S181" s="518" t="str">
        <f>IFERROR(__xludf.DUMMYFUNCTION("""COMPUTED_VALUE"""),"TBD")</f>
        <v>TBD</v>
      </c>
      <c r="T181" s="517" t="str">
        <f>IFERROR(__xludf.DUMMYFUNCTION("""COMPUTED_VALUE"""),"MP")</f>
        <v>MP</v>
      </c>
    </row>
    <row r="182">
      <c r="B182" s="517">
        <f>IFERROR(__xludf.DUMMYFUNCTION("""COMPUTED_VALUE"""),178.0)</f>
        <v>178</v>
      </c>
      <c r="C182" s="517" t="str">
        <f>IFERROR(__xludf.DUMMYFUNCTION("""COMPUTED_VALUE"""),"Refurb")</f>
        <v>Refurb</v>
      </c>
      <c r="D182" s="517" t="str">
        <f>IFERROR(__xludf.DUMMYFUNCTION("""COMPUTED_VALUE"""),"Retail Pack")</f>
        <v>Retail Pack</v>
      </c>
      <c r="E182" s="517" t="str">
        <f>IFERROR(__xludf.DUMMYFUNCTION("""COMPUTED_VALUE"""),"GA10217-CA-RA")</f>
        <v>GA10217-CA-RA</v>
      </c>
      <c r="F182" s="517" t="str">
        <f>IFERROR(__xludf.DUMMYFUNCTION("""COMPUTED_VALUE"""),"CA/TW/SG/MY/AU/MX")</f>
        <v>CA/TW/SG/MY/AU/MX</v>
      </c>
      <c r="G182" s="517" t="str">
        <f>IFERROR(__xludf.DUMMYFUNCTION("""COMPUTED_VALUE"""),"NCA")</f>
        <v>NCA</v>
      </c>
      <c r="H182" s="517" t="str">
        <f>IFERROR(__xludf.DUMMYFUNCTION("""COMPUTED_VALUE"""),"Sub6")</f>
        <v>Sub6</v>
      </c>
      <c r="I182" s="517" t="str">
        <f>IFERROR(__xludf.DUMMYFUNCTION("""COMPUTED_VALUE"""),"CLR2")</f>
        <v>CLR2</v>
      </c>
      <c r="J182" s="517" t="str">
        <f>IFERROR(__xludf.DUMMYFUNCTION("""COMPUTED_VALUE"""),"Iris")</f>
        <v>Iris</v>
      </c>
      <c r="K182" s="517" t="str">
        <f>IFERROR(__xludf.DUMMYFUNCTION("""COMPUTED_VALUE"""),"PPL")</f>
        <v>PPL</v>
      </c>
      <c r="L182" s="517" t="str">
        <f>IFERROR(__xludf.DUMMYFUNCTION("""COMPUTED_VALUE"""),"GK2MP")</f>
        <v>GK2MP</v>
      </c>
      <c r="M182" s="517" t="str">
        <f>IFERROR(__xludf.DUMMYFUNCTION("""COMPUTED_VALUE"""),"ROW")</f>
        <v>ROW</v>
      </c>
      <c r="N182" s="517" t="str">
        <f>IFERROR(__xludf.DUMMYFUNCTION("""COMPUTED_VALUE"""),"SKU, CLR2, BETTER, SUB6, CA/TW/SG/MY/AU/MX, FL5, REFURB")</f>
        <v>SKU, CLR2, BETTER, SUB6, CA/TW/SG/MY/AU/MX, FL5, REFURB</v>
      </c>
      <c r="O182" s="517">
        <f>IFERROR(__xludf.DUMMYFUNCTION("""COMPUTED_VALUE"""),0.0)</f>
        <v>0</v>
      </c>
      <c r="P182" s="517" t="str">
        <f>IFERROR(__xludf.DUMMYFUNCTION("""COMPUTED_VALUE"""),"256GB")</f>
        <v>256GB</v>
      </c>
      <c r="Q182" s="517"/>
      <c r="R182" s="518" t="str">
        <f>IFERROR(__xludf.DUMMYFUNCTION("""COMPUTED_VALUE"""),"TBD")</f>
        <v>TBD</v>
      </c>
      <c r="S182" s="518" t="str">
        <f>IFERROR(__xludf.DUMMYFUNCTION("""COMPUTED_VALUE"""),"TBD")</f>
        <v>TBD</v>
      </c>
      <c r="T182" s="517" t="str">
        <f>IFERROR(__xludf.DUMMYFUNCTION("""COMPUTED_VALUE"""),"MP")</f>
        <v>MP</v>
      </c>
    </row>
    <row r="183">
      <c r="B183" s="517">
        <f>IFERROR(__xludf.DUMMYFUNCTION("""COMPUTED_VALUE"""),179.0)</f>
        <v>179</v>
      </c>
      <c r="C183" s="517" t="str">
        <f>IFERROR(__xludf.DUMMYFUNCTION("""COMPUTED_VALUE"""),"Refurb")</f>
        <v>Refurb</v>
      </c>
      <c r="D183" s="517" t="str">
        <f>IFERROR(__xludf.DUMMYFUNCTION("""COMPUTED_VALUE"""),"Retail Pack")</f>
        <v>Retail Pack</v>
      </c>
      <c r="E183" s="517" t="str">
        <f>IFERROR(__xludf.DUMMYFUNCTION("""COMPUTED_VALUE"""),"GA10218-CA-RA")</f>
        <v>GA10218-CA-RA</v>
      </c>
      <c r="F183" s="517" t="str">
        <f>IFERROR(__xludf.DUMMYFUNCTION("""COMPUTED_VALUE"""),"CA/TW/SG/MY/AU/MX")</f>
        <v>CA/TW/SG/MY/AU/MX</v>
      </c>
      <c r="G183" s="517" t="str">
        <f>IFERROR(__xludf.DUMMYFUNCTION("""COMPUTED_VALUE"""),"NCA")</f>
        <v>NCA</v>
      </c>
      <c r="H183" s="517" t="str">
        <f>IFERROR(__xludf.DUMMYFUNCTION("""COMPUTED_VALUE"""),"Sub6")</f>
        <v>Sub6</v>
      </c>
      <c r="I183" s="517" t="str">
        <f>IFERROR(__xludf.DUMMYFUNCTION("""COMPUTED_VALUE"""),"CLR3")</f>
        <v>CLR3</v>
      </c>
      <c r="J183" s="517" t="str">
        <f>IFERROR(__xludf.DUMMYFUNCTION("""COMPUTED_VALUE"""),"Limoncello Midtone")</f>
        <v>Limoncello Midtone</v>
      </c>
      <c r="K183" s="517" t="str">
        <f>IFERROR(__xludf.DUMMYFUNCTION("""COMPUTED_VALUE"""),"YEL")</f>
        <v>YEL</v>
      </c>
      <c r="L183" s="517" t="str">
        <f>IFERROR(__xludf.DUMMYFUNCTION("""COMPUTED_VALUE"""),"GK2MP")</f>
        <v>GK2MP</v>
      </c>
      <c r="M183" s="517" t="str">
        <f>IFERROR(__xludf.DUMMYFUNCTION("""COMPUTED_VALUE"""),"ROW")</f>
        <v>ROW</v>
      </c>
      <c r="N183" s="517" t="str">
        <f>IFERROR(__xludf.DUMMYFUNCTION("""COMPUTED_VALUE"""),"SKU, CLR3, BETTER, SUB6, CA/TW/SG/MY/AU/MX, FL5, REFURB")</f>
        <v>SKU, CLR3, BETTER, SUB6, CA/TW/SG/MY/AU/MX, FL5, REFURB</v>
      </c>
      <c r="O183" s="517">
        <f>IFERROR(__xludf.DUMMYFUNCTION("""COMPUTED_VALUE"""),0.0)</f>
        <v>0</v>
      </c>
      <c r="P183" s="517" t="str">
        <f>IFERROR(__xludf.DUMMYFUNCTION("""COMPUTED_VALUE"""),"256GB")</f>
        <v>256GB</v>
      </c>
      <c r="Q183" s="517"/>
      <c r="R183" s="518" t="str">
        <f>IFERROR(__xludf.DUMMYFUNCTION("""COMPUTED_VALUE"""),"TBD")</f>
        <v>TBD</v>
      </c>
      <c r="S183" s="518" t="str">
        <f>IFERROR(__xludf.DUMMYFUNCTION("""COMPUTED_VALUE"""),"TBD")</f>
        <v>TBD</v>
      </c>
      <c r="T183" s="517" t="str">
        <f>IFERROR(__xludf.DUMMYFUNCTION("""COMPUTED_VALUE"""),"MP")</f>
        <v>MP</v>
      </c>
    </row>
    <row r="184">
      <c r="B184" s="517">
        <f>IFERROR(__xludf.DUMMYFUNCTION("""COMPUTED_VALUE"""),180.0)</f>
        <v>180</v>
      </c>
      <c r="C184" s="517" t="str">
        <f>IFERROR(__xludf.DUMMYFUNCTION("""COMPUTED_VALUE"""),"Refurb")</f>
        <v>Refurb</v>
      </c>
      <c r="D184" s="517" t="str">
        <f>IFERROR(__xludf.DUMMYFUNCTION("""COMPUTED_VALUE"""),"Retail Pack")</f>
        <v>Retail Pack</v>
      </c>
      <c r="E184" s="517" t="str">
        <f>IFERROR(__xludf.DUMMYFUNCTION("""COMPUTED_VALUE"""),"GA10219-CA-RA")</f>
        <v>GA10219-CA-RA</v>
      </c>
      <c r="F184" s="517" t="str">
        <f>IFERROR(__xludf.DUMMYFUNCTION("""COMPUTED_VALUE"""),"CA/TW/SG/MY/AU/MX")</f>
        <v>CA/TW/SG/MY/AU/MX</v>
      </c>
      <c r="G184" s="517" t="str">
        <f>IFERROR(__xludf.DUMMYFUNCTION("""COMPUTED_VALUE"""),"NCA")</f>
        <v>NCA</v>
      </c>
      <c r="H184" s="517" t="str">
        <f>IFERROR(__xludf.DUMMYFUNCTION("""COMPUTED_VALUE"""),"Sub6")</f>
        <v>Sub6</v>
      </c>
      <c r="I184" s="517" t="str">
        <f>IFERROR(__xludf.DUMMYFUNCTION("""COMPUTED_VALUE"""),"CLR4")</f>
        <v>CLR4</v>
      </c>
      <c r="J184" s="517" t="str">
        <f>IFERROR(__xludf.DUMMYFUNCTION("""COMPUTED_VALUE"""),"Ultra Blue")</f>
        <v>Ultra Blue</v>
      </c>
      <c r="K184" s="517" t="str">
        <f>IFERROR(__xludf.DUMMYFUNCTION("""COMPUTED_VALUE"""),"BUE")</f>
        <v>BUE</v>
      </c>
      <c r="L184" s="517" t="str">
        <f>IFERROR(__xludf.DUMMYFUNCTION("""COMPUTED_VALUE"""),"GK2MP")</f>
        <v>GK2MP</v>
      </c>
      <c r="M184" s="517" t="str">
        <f>IFERROR(__xludf.DUMMYFUNCTION("""COMPUTED_VALUE"""),"ROW")</f>
        <v>ROW</v>
      </c>
      <c r="N184" s="518" t="str">
        <f>IFERROR(__xludf.DUMMYFUNCTION("""COMPUTED_VALUE"""),"SKU, CLR4, BETTER, SUB6, CA/TW/SG/MY/AU/MX, FL5, REFURB")</f>
        <v>SKU, CLR4, BETTER, SUB6, CA/TW/SG/MY/AU/MX, FL5, REFURB</v>
      </c>
      <c r="O184" s="517">
        <f>IFERROR(__xludf.DUMMYFUNCTION("""COMPUTED_VALUE"""),0.0)</f>
        <v>0</v>
      </c>
      <c r="P184" s="517" t="str">
        <f>IFERROR(__xludf.DUMMYFUNCTION("""COMPUTED_VALUE"""),"256GB")</f>
        <v>256GB</v>
      </c>
      <c r="Q184" s="517"/>
      <c r="R184" s="518" t="str">
        <f>IFERROR(__xludf.DUMMYFUNCTION("""COMPUTED_VALUE"""),"TBD")</f>
        <v>TBD</v>
      </c>
      <c r="S184" s="518" t="str">
        <f>IFERROR(__xludf.DUMMYFUNCTION("""COMPUTED_VALUE"""),"TBD")</f>
        <v>TBD</v>
      </c>
      <c r="T184" s="517" t="str">
        <f>IFERROR(__xludf.DUMMYFUNCTION("""COMPUTED_VALUE"""),"MP")</f>
        <v>MP</v>
      </c>
    </row>
    <row r="185">
      <c r="B185" s="517">
        <f>IFERROR(__xludf.DUMMYFUNCTION("""COMPUTED_VALUE"""),181.0)</f>
        <v>181</v>
      </c>
      <c r="C185" s="517" t="str">
        <f>IFERROR(__xludf.DUMMYFUNCTION("""COMPUTED_VALUE"""),"Refurb")</f>
        <v>Refurb</v>
      </c>
      <c r="D185" s="517" t="str">
        <f>IFERROR(__xludf.DUMMYFUNCTION("""COMPUTED_VALUE"""),"Retail Pack")</f>
        <v>Retail Pack</v>
      </c>
      <c r="E185" s="517" t="str">
        <f>IFERROR(__xludf.DUMMYFUNCTION("""COMPUTED_VALUE"""),"GA09883-GB-RA")</f>
        <v>GA09883-GB-RA</v>
      </c>
      <c r="F185" s="517" t="str">
        <f>IFERROR(__xludf.DUMMYFUNCTION("""COMPUTED_VALUE"""),"UK,DE, IT, ES, IE,FR, NO,SE,DK,NL, BE, AT, CH, PT, PL, SK,
CEE (CZ, RO, HU, SI, LV, LT, EE, FI)")</f>
        <v>UK,DE, IT, ES, IE,FR, NO,SE,DK,NL, BE, AT, CH, PT, PL, SK,
CEE (CZ, RO, HU, SI, LV, LT, EE, FI)</v>
      </c>
      <c r="G185" s="517" t="str">
        <f>IFERROR(__xludf.DUMMYFUNCTION("""COMPUTED_VALUE"""),"EMA")</f>
        <v>EMA</v>
      </c>
      <c r="H185" s="517" t="str">
        <f>IFERROR(__xludf.DUMMYFUNCTION("""COMPUTED_VALUE"""),"Sub6")</f>
        <v>Sub6</v>
      </c>
      <c r="I185" s="517" t="str">
        <f>IFERROR(__xludf.DUMMYFUNCTION("""COMPUTED_VALUE"""),"CLR1")</f>
        <v>CLR1</v>
      </c>
      <c r="J185" s="517" t="str">
        <f>IFERROR(__xludf.DUMMYFUNCTION("""COMPUTED_VALUE"""),"Midnight Haze")</f>
        <v>Midnight Haze</v>
      </c>
      <c r="K185" s="517" t="str">
        <f>IFERROR(__xludf.DUMMYFUNCTION("""COMPUTED_VALUE"""),"BLK")</f>
        <v>BLK</v>
      </c>
      <c r="L185" s="517" t="str">
        <f>IFERROR(__xludf.DUMMYFUNCTION("""COMPUTED_VALUE"""),"GK2MP")</f>
        <v>GK2MP</v>
      </c>
      <c r="M185" s="517" t="str">
        <f>IFERROR(__xludf.DUMMYFUNCTION("""COMPUTED_VALUE"""),"ROW")</f>
        <v>ROW</v>
      </c>
      <c r="N185" s="517" t="str">
        <f>IFERROR(__xludf.DUMMYFUNCTION("""COMPUTED_VALUE"""),"SKU, CLR1, BETTER, SUB6, UK/EU, FL5, REFURB")</f>
        <v>SKU, CLR1, BETTER, SUB6, UK/EU, FL5, REFURB</v>
      </c>
      <c r="O185" s="517">
        <f>IFERROR(__xludf.DUMMYFUNCTION("""COMPUTED_VALUE"""),0.0)</f>
        <v>0</v>
      </c>
      <c r="P185" s="517" t="str">
        <f>IFERROR(__xludf.DUMMYFUNCTION("""COMPUTED_VALUE"""),"256GB")</f>
        <v>256GB</v>
      </c>
      <c r="Q185" s="517"/>
      <c r="R185" s="518" t="str">
        <f>IFERROR(__xludf.DUMMYFUNCTION("""COMPUTED_VALUE"""),"TBD")</f>
        <v>TBD</v>
      </c>
      <c r="S185" s="518" t="str">
        <f>IFERROR(__xludf.DUMMYFUNCTION("""COMPUTED_VALUE"""),"TBD")</f>
        <v>TBD</v>
      </c>
      <c r="T185" s="517" t="str">
        <f>IFERROR(__xludf.DUMMYFUNCTION("""COMPUTED_VALUE"""),"MP")</f>
        <v>MP</v>
      </c>
    </row>
    <row r="186">
      <c r="B186" s="517">
        <f>IFERROR(__xludf.DUMMYFUNCTION("""COMPUTED_VALUE"""),182.0)</f>
        <v>182</v>
      </c>
      <c r="C186" s="517" t="str">
        <f>IFERROR(__xludf.DUMMYFUNCTION("""COMPUTED_VALUE"""),"Refurb")</f>
        <v>Refurb</v>
      </c>
      <c r="D186" s="517" t="str">
        <f>IFERROR(__xludf.DUMMYFUNCTION("""COMPUTED_VALUE"""),"Retail Pack")</f>
        <v>Retail Pack</v>
      </c>
      <c r="E186" s="517" t="str">
        <f>IFERROR(__xludf.DUMMYFUNCTION("""COMPUTED_VALUE"""),"GA10217-GB-RA")</f>
        <v>GA10217-GB-RA</v>
      </c>
      <c r="F186" s="517" t="str">
        <f>IFERROR(__xludf.DUMMYFUNCTION("""COMPUTED_VALUE"""),"UK,DE, IT, ES, IE,FR, NO,SE,DK,NL, BE, AT, CH, PT, PL, SK,
CEE (CZ, RO, HU, SI, LV, LT, EE, FI)")</f>
        <v>UK,DE, IT, ES, IE,FR, NO,SE,DK,NL, BE, AT, CH, PT, PL, SK,
CEE (CZ, RO, HU, SI, LV, LT, EE, FI)</v>
      </c>
      <c r="G186" s="517" t="str">
        <f>IFERROR(__xludf.DUMMYFUNCTION("""COMPUTED_VALUE"""),"EMA")</f>
        <v>EMA</v>
      </c>
      <c r="H186" s="517" t="str">
        <f>IFERROR(__xludf.DUMMYFUNCTION("""COMPUTED_VALUE"""),"Sub6")</f>
        <v>Sub6</v>
      </c>
      <c r="I186" s="517" t="str">
        <f>IFERROR(__xludf.DUMMYFUNCTION("""COMPUTED_VALUE"""),"CLR2")</f>
        <v>CLR2</v>
      </c>
      <c r="J186" s="517" t="str">
        <f>IFERROR(__xludf.DUMMYFUNCTION("""COMPUTED_VALUE"""),"Iris")</f>
        <v>Iris</v>
      </c>
      <c r="K186" s="517" t="str">
        <f>IFERROR(__xludf.DUMMYFUNCTION("""COMPUTED_VALUE"""),"PPL")</f>
        <v>PPL</v>
      </c>
      <c r="L186" s="517" t="str">
        <f>IFERROR(__xludf.DUMMYFUNCTION("""COMPUTED_VALUE"""),"GK2MP")</f>
        <v>GK2MP</v>
      </c>
      <c r="M186" s="517" t="str">
        <f>IFERROR(__xludf.DUMMYFUNCTION("""COMPUTED_VALUE"""),"ROW")</f>
        <v>ROW</v>
      </c>
      <c r="N186" s="517" t="str">
        <f>IFERROR(__xludf.DUMMYFUNCTION("""COMPUTED_VALUE"""),"SKU, CLR2, BETTER, SUB6, UK/EU, FL5, REFURB")</f>
        <v>SKU, CLR2, BETTER, SUB6, UK/EU, FL5, REFURB</v>
      </c>
      <c r="O186" s="517">
        <f>IFERROR(__xludf.DUMMYFUNCTION("""COMPUTED_VALUE"""),0.0)</f>
        <v>0</v>
      </c>
      <c r="P186" s="517" t="str">
        <f>IFERROR(__xludf.DUMMYFUNCTION("""COMPUTED_VALUE"""),"256GB")</f>
        <v>256GB</v>
      </c>
      <c r="Q186" s="517"/>
      <c r="R186" s="518" t="str">
        <f>IFERROR(__xludf.DUMMYFUNCTION("""COMPUTED_VALUE"""),"TBD")</f>
        <v>TBD</v>
      </c>
      <c r="S186" s="518" t="str">
        <f>IFERROR(__xludf.DUMMYFUNCTION("""COMPUTED_VALUE"""),"TBD")</f>
        <v>TBD</v>
      </c>
      <c r="T186" s="517" t="str">
        <f>IFERROR(__xludf.DUMMYFUNCTION("""COMPUTED_VALUE"""),"MP")</f>
        <v>MP</v>
      </c>
    </row>
    <row r="187">
      <c r="B187" s="517">
        <f>IFERROR(__xludf.DUMMYFUNCTION("""COMPUTED_VALUE"""),183.0)</f>
        <v>183</v>
      </c>
      <c r="C187" s="517" t="str">
        <f>IFERROR(__xludf.DUMMYFUNCTION("""COMPUTED_VALUE"""),"Refurb")</f>
        <v>Refurb</v>
      </c>
      <c r="D187" s="517" t="str">
        <f>IFERROR(__xludf.DUMMYFUNCTION("""COMPUTED_VALUE"""),"Retail Pack")</f>
        <v>Retail Pack</v>
      </c>
      <c r="E187" s="517" t="str">
        <f>IFERROR(__xludf.DUMMYFUNCTION("""COMPUTED_VALUE"""),"GA10218-GB-RA")</f>
        <v>GA10218-GB-RA</v>
      </c>
      <c r="F187" s="517" t="str">
        <f>IFERROR(__xludf.DUMMYFUNCTION("""COMPUTED_VALUE"""),"UK,DE, IT, ES, IE,FR, NO,SE,DK,NL, BE, AT, CH, PT, PL, SK,
CEE (CZ, RO, HU, SI, LV, LT, EE, FI)")</f>
        <v>UK,DE, IT, ES, IE,FR, NO,SE,DK,NL, BE, AT, CH, PT, PL, SK,
CEE (CZ, RO, HU, SI, LV, LT, EE, FI)</v>
      </c>
      <c r="G187" s="517" t="str">
        <f>IFERROR(__xludf.DUMMYFUNCTION("""COMPUTED_VALUE"""),"EMA")</f>
        <v>EMA</v>
      </c>
      <c r="H187" s="517" t="str">
        <f>IFERROR(__xludf.DUMMYFUNCTION("""COMPUTED_VALUE"""),"Sub6")</f>
        <v>Sub6</v>
      </c>
      <c r="I187" s="517" t="str">
        <f>IFERROR(__xludf.DUMMYFUNCTION("""COMPUTED_VALUE"""),"CLR3")</f>
        <v>CLR3</v>
      </c>
      <c r="J187" s="517" t="str">
        <f>IFERROR(__xludf.DUMMYFUNCTION("""COMPUTED_VALUE"""),"Limoncello Midtone")</f>
        <v>Limoncello Midtone</v>
      </c>
      <c r="K187" s="517" t="str">
        <f>IFERROR(__xludf.DUMMYFUNCTION("""COMPUTED_VALUE"""),"YEL")</f>
        <v>YEL</v>
      </c>
      <c r="L187" s="517" t="str">
        <f>IFERROR(__xludf.DUMMYFUNCTION("""COMPUTED_VALUE"""),"GK2MP")</f>
        <v>GK2MP</v>
      </c>
      <c r="M187" s="517" t="str">
        <f>IFERROR(__xludf.DUMMYFUNCTION("""COMPUTED_VALUE"""),"ROW")</f>
        <v>ROW</v>
      </c>
      <c r="N187" s="517" t="str">
        <f>IFERROR(__xludf.DUMMYFUNCTION("""COMPUTED_VALUE"""),"SKU, CLR3, BETTER, SUB6, UK/EU, FL5, REFURB")</f>
        <v>SKU, CLR3, BETTER, SUB6, UK/EU, FL5, REFURB</v>
      </c>
      <c r="O187" s="517">
        <f>IFERROR(__xludf.DUMMYFUNCTION("""COMPUTED_VALUE"""),0.0)</f>
        <v>0</v>
      </c>
      <c r="P187" s="517" t="str">
        <f>IFERROR(__xludf.DUMMYFUNCTION("""COMPUTED_VALUE"""),"256GB")</f>
        <v>256GB</v>
      </c>
      <c r="Q187" s="517"/>
      <c r="R187" s="518" t="str">
        <f>IFERROR(__xludf.DUMMYFUNCTION("""COMPUTED_VALUE"""),"TBD")</f>
        <v>TBD</v>
      </c>
      <c r="S187" s="518" t="str">
        <f>IFERROR(__xludf.DUMMYFUNCTION("""COMPUTED_VALUE"""),"TBD")</f>
        <v>TBD</v>
      </c>
      <c r="T187" s="517" t="str">
        <f>IFERROR(__xludf.DUMMYFUNCTION("""COMPUTED_VALUE"""),"MP")</f>
        <v>MP</v>
      </c>
    </row>
    <row r="188">
      <c r="B188" s="517">
        <f>IFERROR(__xludf.DUMMYFUNCTION("""COMPUTED_VALUE"""),184.0)</f>
        <v>184</v>
      </c>
      <c r="C188" s="517" t="str">
        <f>IFERROR(__xludf.DUMMYFUNCTION("""COMPUTED_VALUE"""),"Refurb")</f>
        <v>Refurb</v>
      </c>
      <c r="D188" s="517" t="str">
        <f>IFERROR(__xludf.DUMMYFUNCTION("""COMPUTED_VALUE"""),"Retail Pack")</f>
        <v>Retail Pack</v>
      </c>
      <c r="E188" s="517" t="str">
        <f>IFERROR(__xludf.DUMMYFUNCTION("""COMPUTED_VALUE"""),"GA10219-GB-RA")</f>
        <v>GA10219-GB-RA</v>
      </c>
      <c r="F188" s="517" t="str">
        <f>IFERROR(__xludf.DUMMYFUNCTION("""COMPUTED_VALUE"""),"UK,DE, IT, ES, IE,FR, NO,SE,DK,NL, BE, AT, CH, PT, PL, SK,
CEE (CZ, RO, HU, SI, LV, LT, EE, FI)")</f>
        <v>UK,DE, IT, ES, IE,FR, NO,SE,DK,NL, BE, AT, CH, PT, PL, SK,
CEE (CZ, RO, HU, SI, LV, LT, EE, FI)</v>
      </c>
      <c r="G188" s="517" t="str">
        <f>IFERROR(__xludf.DUMMYFUNCTION("""COMPUTED_VALUE"""),"EMA")</f>
        <v>EMA</v>
      </c>
      <c r="H188" s="517" t="str">
        <f>IFERROR(__xludf.DUMMYFUNCTION("""COMPUTED_VALUE"""),"Sub6")</f>
        <v>Sub6</v>
      </c>
      <c r="I188" s="517" t="str">
        <f>IFERROR(__xludf.DUMMYFUNCTION("""COMPUTED_VALUE"""),"CLR4")</f>
        <v>CLR4</v>
      </c>
      <c r="J188" s="517" t="str">
        <f>IFERROR(__xludf.DUMMYFUNCTION("""COMPUTED_VALUE"""),"Ultra Blue")</f>
        <v>Ultra Blue</v>
      </c>
      <c r="K188" s="517" t="str">
        <f>IFERROR(__xludf.DUMMYFUNCTION("""COMPUTED_VALUE"""),"BUE")</f>
        <v>BUE</v>
      </c>
      <c r="L188" s="517" t="str">
        <f>IFERROR(__xludf.DUMMYFUNCTION("""COMPUTED_VALUE"""),"GK2MP")</f>
        <v>GK2MP</v>
      </c>
      <c r="M188" s="517" t="str">
        <f>IFERROR(__xludf.DUMMYFUNCTION("""COMPUTED_VALUE"""),"ROW")</f>
        <v>ROW</v>
      </c>
      <c r="N188" s="517" t="str">
        <f>IFERROR(__xludf.DUMMYFUNCTION("""COMPUTED_VALUE"""),"SKU, CLR4, BETTER, SUB6, UK/EU, FL5, REFURB")</f>
        <v>SKU, CLR4, BETTER, SUB6, UK/EU, FL5, REFURB</v>
      </c>
      <c r="O188" s="517">
        <f>IFERROR(__xludf.DUMMYFUNCTION("""COMPUTED_VALUE"""),0.0)</f>
        <v>0</v>
      </c>
      <c r="P188" s="517" t="str">
        <f>IFERROR(__xludf.DUMMYFUNCTION("""COMPUTED_VALUE"""),"256GB")</f>
        <v>256GB</v>
      </c>
      <c r="Q188" s="517"/>
      <c r="R188" s="518" t="str">
        <f>IFERROR(__xludf.DUMMYFUNCTION("""COMPUTED_VALUE"""),"TBD")</f>
        <v>TBD</v>
      </c>
      <c r="S188" s="518" t="str">
        <f>IFERROR(__xludf.DUMMYFUNCTION("""COMPUTED_VALUE"""),"TBD")</f>
        <v>TBD</v>
      </c>
      <c r="T188" s="517" t="str">
        <f>IFERROR(__xludf.DUMMYFUNCTION("""COMPUTED_VALUE"""),"MP")</f>
        <v>MP</v>
      </c>
    </row>
    <row r="189">
      <c r="B189" s="517">
        <f>IFERROR(__xludf.DUMMYFUNCTION("""COMPUTED_VALUE"""),185.0)</f>
        <v>185</v>
      </c>
      <c r="C189" s="517" t="str">
        <f>IFERROR(__xludf.DUMMYFUNCTION("""COMPUTED_VALUE"""),"Refurb")</f>
        <v>Refurb</v>
      </c>
      <c r="D189" s="517" t="str">
        <f>IFERROR(__xludf.DUMMYFUNCTION("""COMPUTED_VALUE"""),"Retail Pack")</f>
        <v>Retail Pack</v>
      </c>
      <c r="E189" s="517" t="str">
        <f>IFERROR(__xludf.DUMMYFUNCTION("""COMPUTED_VALUE"""),"GA09883-IN-RA")</f>
        <v>GA09883-IN-RA</v>
      </c>
      <c r="F189" s="517" t="str">
        <f>IFERROR(__xludf.DUMMYFUNCTION("""COMPUTED_VALUE"""),"IN")</f>
        <v>IN</v>
      </c>
      <c r="G189" s="517" t="str">
        <f>IFERROR(__xludf.DUMMYFUNCTION("""COMPUTED_VALUE"""),"NCA")</f>
        <v>NCA</v>
      </c>
      <c r="H189" s="517" t="str">
        <f>IFERROR(__xludf.DUMMYFUNCTION("""COMPUTED_VALUE"""),"Sub6")</f>
        <v>Sub6</v>
      </c>
      <c r="I189" s="517" t="str">
        <f>IFERROR(__xludf.DUMMYFUNCTION("""COMPUTED_VALUE"""),"CLR1")</f>
        <v>CLR1</v>
      </c>
      <c r="J189" s="517" t="str">
        <f>IFERROR(__xludf.DUMMYFUNCTION("""COMPUTED_VALUE"""),"Midnight Haze")</f>
        <v>Midnight Haze</v>
      </c>
      <c r="K189" s="517" t="str">
        <f>IFERROR(__xludf.DUMMYFUNCTION("""COMPUTED_VALUE"""),"BLK")</f>
        <v>BLK</v>
      </c>
      <c r="L189" s="517" t="str">
        <f>IFERROR(__xludf.DUMMYFUNCTION("""COMPUTED_VALUE"""),"GK2MP")</f>
        <v>GK2MP</v>
      </c>
      <c r="M189" s="517" t="str">
        <f>IFERROR(__xludf.DUMMYFUNCTION("""COMPUTED_VALUE"""),"ROW")</f>
        <v>ROW</v>
      </c>
      <c r="N189" s="517" t="str">
        <f>IFERROR(__xludf.DUMMYFUNCTION("""COMPUTED_VALUE"""),"SKU, CLR1, BETTER, SUB6, IN, FL5, REFURB")</f>
        <v>SKU, CLR1, BETTER, SUB6, IN, FL5, REFURB</v>
      </c>
      <c r="O189" s="517">
        <f>IFERROR(__xludf.DUMMYFUNCTION("""COMPUTED_VALUE"""),0.0)</f>
        <v>0</v>
      </c>
      <c r="P189" s="517" t="str">
        <f>IFERROR(__xludf.DUMMYFUNCTION("""COMPUTED_VALUE"""),"256GB")</f>
        <v>256GB</v>
      </c>
      <c r="Q189" s="517"/>
      <c r="R189" s="518" t="str">
        <f>IFERROR(__xludf.DUMMYFUNCTION("""COMPUTED_VALUE"""),"TBD")</f>
        <v>TBD</v>
      </c>
      <c r="S189" s="518" t="str">
        <f>IFERROR(__xludf.DUMMYFUNCTION("""COMPUTED_VALUE"""),"TBD")</f>
        <v>TBD</v>
      </c>
      <c r="T189" s="517" t="str">
        <f>IFERROR(__xludf.DUMMYFUNCTION("""COMPUTED_VALUE"""),"MP")</f>
        <v>MP</v>
      </c>
    </row>
    <row r="190">
      <c r="B190" s="517">
        <f>IFERROR(__xludf.DUMMYFUNCTION("""COMPUTED_VALUE"""),186.0)</f>
        <v>186</v>
      </c>
      <c r="C190" s="517" t="str">
        <f>IFERROR(__xludf.DUMMYFUNCTION("""COMPUTED_VALUE"""),"Refurb")</f>
        <v>Refurb</v>
      </c>
      <c r="D190" s="517" t="str">
        <f>IFERROR(__xludf.DUMMYFUNCTION("""COMPUTED_VALUE"""),"Retail Pack")</f>
        <v>Retail Pack</v>
      </c>
      <c r="E190" s="517" t="str">
        <f>IFERROR(__xludf.DUMMYFUNCTION("""COMPUTED_VALUE"""),"GA10217-IN-RA")</f>
        <v>GA10217-IN-RA</v>
      </c>
      <c r="F190" s="517" t="str">
        <f>IFERROR(__xludf.DUMMYFUNCTION("""COMPUTED_VALUE"""),"IN")</f>
        <v>IN</v>
      </c>
      <c r="G190" s="517" t="str">
        <f>IFERROR(__xludf.DUMMYFUNCTION("""COMPUTED_VALUE"""),"NCA")</f>
        <v>NCA</v>
      </c>
      <c r="H190" s="517" t="str">
        <f>IFERROR(__xludf.DUMMYFUNCTION("""COMPUTED_VALUE"""),"Sub6")</f>
        <v>Sub6</v>
      </c>
      <c r="I190" s="517" t="str">
        <f>IFERROR(__xludf.DUMMYFUNCTION("""COMPUTED_VALUE"""),"CLR2")</f>
        <v>CLR2</v>
      </c>
      <c r="J190" s="517" t="str">
        <f>IFERROR(__xludf.DUMMYFUNCTION("""COMPUTED_VALUE"""),"Iris")</f>
        <v>Iris</v>
      </c>
      <c r="K190" s="517" t="str">
        <f>IFERROR(__xludf.DUMMYFUNCTION("""COMPUTED_VALUE"""),"PPL")</f>
        <v>PPL</v>
      </c>
      <c r="L190" s="517" t="str">
        <f>IFERROR(__xludf.DUMMYFUNCTION("""COMPUTED_VALUE"""),"GK2MP")</f>
        <v>GK2MP</v>
      </c>
      <c r="M190" s="517" t="str">
        <f>IFERROR(__xludf.DUMMYFUNCTION("""COMPUTED_VALUE"""),"ROW")</f>
        <v>ROW</v>
      </c>
      <c r="N190" s="517" t="str">
        <f>IFERROR(__xludf.DUMMYFUNCTION("""COMPUTED_VALUE"""),"SKU, CLR2, BETTER, SUB6, IN, FL5, REFURB")</f>
        <v>SKU, CLR2, BETTER, SUB6, IN, FL5, REFURB</v>
      </c>
      <c r="O190" s="517">
        <f>IFERROR(__xludf.DUMMYFUNCTION("""COMPUTED_VALUE"""),0.0)</f>
        <v>0</v>
      </c>
      <c r="P190" s="517" t="str">
        <f>IFERROR(__xludf.DUMMYFUNCTION("""COMPUTED_VALUE"""),"256GB")</f>
        <v>256GB</v>
      </c>
      <c r="Q190" s="517"/>
      <c r="R190" s="518" t="str">
        <f>IFERROR(__xludf.DUMMYFUNCTION("""COMPUTED_VALUE"""),"TBD")</f>
        <v>TBD</v>
      </c>
      <c r="S190" s="518" t="str">
        <f>IFERROR(__xludf.DUMMYFUNCTION("""COMPUTED_VALUE"""),"TBD")</f>
        <v>TBD</v>
      </c>
      <c r="T190" s="517" t="str">
        <f>IFERROR(__xludf.DUMMYFUNCTION("""COMPUTED_VALUE"""),"MP")</f>
        <v>MP</v>
      </c>
    </row>
    <row r="191">
      <c r="B191" s="517">
        <f>IFERROR(__xludf.DUMMYFUNCTION("""COMPUTED_VALUE"""),187.0)</f>
        <v>187</v>
      </c>
      <c r="C191" s="517" t="str">
        <f>IFERROR(__xludf.DUMMYFUNCTION("""COMPUTED_VALUE"""),"Refurb")</f>
        <v>Refurb</v>
      </c>
      <c r="D191" s="517" t="str">
        <f>IFERROR(__xludf.DUMMYFUNCTION("""COMPUTED_VALUE"""),"Retail Pack")</f>
        <v>Retail Pack</v>
      </c>
      <c r="E191" s="517" t="str">
        <f>IFERROR(__xludf.DUMMYFUNCTION("""COMPUTED_VALUE"""),"GA10218-IN-RA")</f>
        <v>GA10218-IN-RA</v>
      </c>
      <c r="F191" s="517" t="str">
        <f>IFERROR(__xludf.DUMMYFUNCTION("""COMPUTED_VALUE"""),"IN")</f>
        <v>IN</v>
      </c>
      <c r="G191" s="517" t="str">
        <f>IFERROR(__xludf.DUMMYFUNCTION("""COMPUTED_VALUE"""),"NCA")</f>
        <v>NCA</v>
      </c>
      <c r="H191" s="517" t="str">
        <f>IFERROR(__xludf.DUMMYFUNCTION("""COMPUTED_VALUE"""),"Sub6")</f>
        <v>Sub6</v>
      </c>
      <c r="I191" s="517" t="str">
        <f>IFERROR(__xludf.DUMMYFUNCTION("""COMPUTED_VALUE"""),"CLR3")</f>
        <v>CLR3</v>
      </c>
      <c r="J191" s="517" t="str">
        <f>IFERROR(__xludf.DUMMYFUNCTION("""COMPUTED_VALUE"""),"Limoncello Midtone")</f>
        <v>Limoncello Midtone</v>
      </c>
      <c r="K191" s="517" t="str">
        <f>IFERROR(__xludf.DUMMYFUNCTION("""COMPUTED_VALUE"""),"YEL")</f>
        <v>YEL</v>
      </c>
      <c r="L191" s="517" t="str">
        <f>IFERROR(__xludf.DUMMYFUNCTION("""COMPUTED_VALUE"""),"GK2MP")</f>
        <v>GK2MP</v>
      </c>
      <c r="M191" s="517" t="str">
        <f>IFERROR(__xludf.DUMMYFUNCTION("""COMPUTED_VALUE"""),"ROW")</f>
        <v>ROW</v>
      </c>
      <c r="N191" s="517" t="str">
        <f>IFERROR(__xludf.DUMMYFUNCTION("""COMPUTED_VALUE"""),"SKU, CLR3, BETTER, SUB6, IN, FL5, REFURB")</f>
        <v>SKU, CLR3, BETTER, SUB6, IN, FL5, REFURB</v>
      </c>
      <c r="O191" s="517">
        <f>IFERROR(__xludf.DUMMYFUNCTION("""COMPUTED_VALUE"""),0.0)</f>
        <v>0</v>
      </c>
      <c r="P191" s="517" t="str">
        <f>IFERROR(__xludf.DUMMYFUNCTION("""COMPUTED_VALUE"""),"256GB")</f>
        <v>256GB</v>
      </c>
      <c r="Q191" s="517"/>
      <c r="R191" s="518" t="str">
        <f>IFERROR(__xludf.DUMMYFUNCTION("""COMPUTED_VALUE"""),"TBD")</f>
        <v>TBD</v>
      </c>
      <c r="S191" s="518" t="str">
        <f>IFERROR(__xludf.DUMMYFUNCTION("""COMPUTED_VALUE"""),"TBD")</f>
        <v>TBD</v>
      </c>
      <c r="T191" s="517" t="str">
        <f>IFERROR(__xludf.DUMMYFUNCTION("""COMPUTED_VALUE"""),"MP")</f>
        <v>MP</v>
      </c>
    </row>
    <row r="192">
      <c r="B192" s="517">
        <f>IFERROR(__xludf.DUMMYFUNCTION("""COMPUTED_VALUE"""),188.0)</f>
        <v>188</v>
      </c>
      <c r="C192" s="517" t="str">
        <f>IFERROR(__xludf.DUMMYFUNCTION("""COMPUTED_VALUE"""),"Refurb")</f>
        <v>Refurb</v>
      </c>
      <c r="D192" s="517" t="str">
        <f>IFERROR(__xludf.DUMMYFUNCTION("""COMPUTED_VALUE"""),"Retail Pack")</f>
        <v>Retail Pack</v>
      </c>
      <c r="E192" s="517" t="str">
        <f>IFERROR(__xludf.DUMMYFUNCTION("""COMPUTED_VALUE"""),"GA10219-IN-RA")</f>
        <v>GA10219-IN-RA</v>
      </c>
      <c r="F192" s="517" t="str">
        <f>IFERROR(__xludf.DUMMYFUNCTION("""COMPUTED_VALUE"""),"IN")</f>
        <v>IN</v>
      </c>
      <c r="G192" s="517" t="str">
        <f>IFERROR(__xludf.DUMMYFUNCTION("""COMPUTED_VALUE"""),"NCA")</f>
        <v>NCA</v>
      </c>
      <c r="H192" s="517" t="str">
        <f>IFERROR(__xludf.DUMMYFUNCTION("""COMPUTED_VALUE"""),"Sub6")</f>
        <v>Sub6</v>
      </c>
      <c r="I192" s="517" t="str">
        <f>IFERROR(__xludf.DUMMYFUNCTION("""COMPUTED_VALUE"""),"CLR4")</f>
        <v>CLR4</v>
      </c>
      <c r="J192" s="517" t="str">
        <f>IFERROR(__xludf.DUMMYFUNCTION("""COMPUTED_VALUE"""),"Ultra Blue")</f>
        <v>Ultra Blue</v>
      </c>
      <c r="K192" s="517" t="str">
        <f>IFERROR(__xludf.DUMMYFUNCTION("""COMPUTED_VALUE"""),"BUE")</f>
        <v>BUE</v>
      </c>
      <c r="L192" s="517" t="str">
        <f>IFERROR(__xludf.DUMMYFUNCTION("""COMPUTED_VALUE"""),"GK2MP")</f>
        <v>GK2MP</v>
      </c>
      <c r="M192" s="517" t="str">
        <f>IFERROR(__xludf.DUMMYFUNCTION("""COMPUTED_VALUE"""),"ROW")</f>
        <v>ROW</v>
      </c>
      <c r="N192" s="517" t="str">
        <f>IFERROR(__xludf.DUMMYFUNCTION("""COMPUTED_VALUE"""),"SKU, CLR4, BETTER, SUB6, IN, FL5, REFURB")</f>
        <v>SKU, CLR4, BETTER, SUB6, IN, FL5, REFURB</v>
      </c>
      <c r="O192" s="517">
        <f>IFERROR(__xludf.DUMMYFUNCTION("""COMPUTED_VALUE"""),0.0)</f>
        <v>0</v>
      </c>
      <c r="P192" s="517" t="str">
        <f>IFERROR(__xludf.DUMMYFUNCTION("""COMPUTED_VALUE"""),"256GB")</f>
        <v>256GB</v>
      </c>
      <c r="Q192" s="517"/>
      <c r="R192" s="518" t="str">
        <f>IFERROR(__xludf.DUMMYFUNCTION("""COMPUTED_VALUE"""),"TBD")</f>
        <v>TBD</v>
      </c>
      <c r="S192" s="518" t="str">
        <f>IFERROR(__xludf.DUMMYFUNCTION("""COMPUTED_VALUE"""),"TBD")</f>
        <v>TBD</v>
      </c>
      <c r="T192" s="517" t="str">
        <f>IFERROR(__xludf.DUMMYFUNCTION("""COMPUTED_VALUE"""),"MP")</f>
        <v>MP</v>
      </c>
    </row>
    <row r="193">
      <c r="B193" s="517">
        <f>IFERROR(__xludf.DUMMYFUNCTION("""COMPUTED_VALUE"""),189.0)</f>
        <v>189</v>
      </c>
      <c r="C193" s="517" t="str">
        <f>IFERROR(__xludf.DUMMYFUNCTION("""COMPUTED_VALUE"""),"Refurb")</f>
        <v>Refurb</v>
      </c>
      <c r="D193" s="517" t="str">
        <f>IFERROR(__xludf.DUMMYFUNCTION("""COMPUTED_VALUE"""),"Retail Pack")</f>
        <v>Retail Pack</v>
      </c>
      <c r="E193" s="517" t="str">
        <f>IFERROR(__xludf.DUMMYFUNCTION("""COMPUTED_VALUE"""),"GA09883-JP-RA")</f>
        <v>GA09883-JP-RA</v>
      </c>
      <c r="F193" s="517" t="str">
        <f>IFERROR(__xludf.DUMMYFUNCTION("""COMPUTED_VALUE"""),"JP")</f>
        <v>JP</v>
      </c>
      <c r="G193" s="517" t="str">
        <f>IFERROR(__xludf.DUMMYFUNCTION("""COMPUTED_VALUE"""),"AJP")</f>
        <v>AJP</v>
      </c>
      <c r="H193" s="517" t="str">
        <f>IFERROR(__xludf.DUMMYFUNCTION("""COMPUTED_VALUE"""),"JPN")</f>
        <v>JPN</v>
      </c>
      <c r="I193" s="517" t="str">
        <f>IFERROR(__xludf.DUMMYFUNCTION("""COMPUTED_VALUE"""),"CLR1")</f>
        <v>CLR1</v>
      </c>
      <c r="J193" s="517" t="str">
        <f>IFERROR(__xludf.DUMMYFUNCTION("""COMPUTED_VALUE"""),"Midnight Haze")</f>
        <v>Midnight Haze</v>
      </c>
      <c r="K193" s="517" t="str">
        <f>IFERROR(__xludf.DUMMYFUNCTION("""COMPUTED_VALUE"""),"BLK")</f>
        <v>BLK</v>
      </c>
      <c r="L193" s="517" t="str">
        <f>IFERROR(__xludf.DUMMYFUNCTION("""COMPUTED_VALUE"""),"GL066")</f>
        <v>GL066</v>
      </c>
      <c r="M193" s="517" t="str">
        <f>IFERROR(__xludf.DUMMYFUNCTION("""COMPUTED_VALUE"""),"JPN")</f>
        <v>JPN</v>
      </c>
      <c r="N193" s="517" t="str">
        <f>IFERROR(__xludf.DUMMYFUNCTION("""COMPUTED_VALUE"""),"SKU, CLR1, BETTER, SUB6, JP, FL5, REFURB")</f>
        <v>SKU, CLR1, BETTER, SUB6, JP, FL5, REFURB</v>
      </c>
      <c r="O193" s="517">
        <f>IFERROR(__xludf.DUMMYFUNCTION("""COMPUTED_VALUE"""),0.0)</f>
        <v>0</v>
      </c>
      <c r="P193" s="517" t="str">
        <f>IFERROR(__xludf.DUMMYFUNCTION("""COMPUTED_VALUE"""),"256GB")</f>
        <v>256GB</v>
      </c>
      <c r="Q193" s="517"/>
      <c r="R193" s="518" t="str">
        <f>IFERROR(__xludf.DUMMYFUNCTION("""COMPUTED_VALUE"""),"TBD")</f>
        <v>TBD</v>
      </c>
      <c r="S193" s="518" t="str">
        <f>IFERROR(__xludf.DUMMYFUNCTION("""COMPUTED_VALUE"""),"TBD")</f>
        <v>TBD</v>
      </c>
      <c r="T193" s="517" t="str">
        <f>IFERROR(__xludf.DUMMYFUNCTION("""COMPUTED_VALUE"""),"MP")</f>
        <v>MP</v>
      </c>
    </row>
    <row r="194">
      <c r="B194" s="517">
        <f>IFERROR(__xludf.DUMMYFUNCTION("""COMPUTED_VALUE"""),190.0)</f>
        <v>190</v>
      </c>
      <c r="C194" s="517" t="str">
        <f>IFERROR(__xludf.DUMMYFUNCTION("""COMPUTED_VALUE"""),"Refurb")</f>
        <v>Refurb</v>
      </c>
      <c r="D194" s="517" t="str">
        <f>IFERROR(__xludf.DUMMYFUNCTION("""COMPUTED_VALUE"""),"Retail Pack")</f>
        <v>Retail Pack</v>
      </c>
      <c r="E194" s="517" t="str">
        <f>IFERROR(__xludf.DUMMYFUNCTION("""COMPUTED_VALUE"""),"GA10217-JP-RA")</f>
        <v>GA10217-JP-RA</v>
      </c>
      <c r="F194" s="517" t="str">
        <f>IFERROR(__xludf.DUMMYFUNCTION("""COMPUTED_VALUE"""),"JP")</f>
        <v>JP</v>
      </c>
      <c r="G194" s="517" t="str">
        <f>IFERROR(__xludf.DUMMYFUNCTION("""COMPUTED_VALUE"""),"AJP")</f>
        <v>AJP</v>
      </c>
      <c r="H194" s="517" t="str">
        <f>IFERROR(__xludf.DUMMYFUNCTION("""COMPUTED_VALUE"""),"JPN")</f>
        <v>JPN</v>
      </c>
      <c r="I194" s="517" t="str">
        <f>IFERROR(__xludf.DUMMYFUNCTION("""COMPUTED_VALUE"""),"CLR2")</f>
        <v>CLR2</v>
      </c>
      <c r="J194" s="517" t="str">
        <f>IFERROR(__xludf.DUMMYFUNCTION("""COMPUTED_VALUE"""),"Iris")</f>
        <v>Iris</v>
      </c>
      <c r="K194" s="517" t="str">
        <f>IFERROR(__xludf.DUMMYFUNCTION("""COMPUTED_VALUE"""),"PPL")</f>
        <v>PPL</v>
      </c>
      <c r="L194" s="517" t="str">
        <f>IFERROR(__xludf.DUMMYFUNCTION("""COMPUTED_VALUE"""),"GL066")</f>
        <v>GL066</v>
      </c>
      <c r="M194" s="517" t="str">
        <f>IFERROR(__xludf.DUMMYFUNCTION("""COMPUTED_VALUE"""),"JPN")</f>
        <v>JPN</v>
      </c>
      <c r="N194" s="517" t="str">
        <f>IFERROR(__xludf.DUMMYFUNCTION("""COMPUTED_VALUE"""),"SKU, CLR2, BETTER, SUB6, JP, FL5, REFURB")</f>
        <v>SKU, CLR2, BETTER, SUB6, JP, FL5, REFURB</v>
      </c>
      <c r="O194" s="517">
        <f>IFERROR(__xludf.DUMMYFUNCTION("""COMPUTED_VALUE"""),0.0)</f>
        <v>0</v>
      </c>
      <c r="P194" s="517" t="str">
        <f>IFERROR(__xludf.DUMMYFUNCTION("""COMPUTED_VALUE"""),"256GB")</f>
        <v>256GB</v>
      </c>
      <c r="Q194" s="517"/>
      <c r="R194" s="518" t="str">
        <f>IFERROR(__xludf.DUMMYFUNCTION("""COMPUTED_VALUE"""),"TBD")</f>
        <v>TBD</v>
      </c>
      <c r="S194" s="518" t="str">
        <f>IFERROR(__xludf.DUMMYFUNCTION("""COMPUTED_VALUE"""),"TBD")</f>
        <v>TBD</v>
      </c>
      <c r="T194" s="517" t="str">
        <f>IFERROR(__xludf.DUMMYFUNCTION("""COMPUTED_VALUE"""),"MP")</f>
        <v>MP</v>
      </c>
    </row>
    <row r="195">
      <c r="B195" s="517">
        <f>IFERROR(__xludf.DUMMYFUNCTION("""COMPUTED_VALUE"""),191.0)</f>
        <v>191</v>
      </c>
      <c r="C195" s="517" t="str">
        <f>IFERROR(__xludf.DUMMYFUNCTION("""COMPUTED_VALUE"""),"Refurb")</f>
        <v>Refurb</v>
      </c>
      <c r="D195" s="517" t="str">
        <f>IFERROR(__xludf.DUMMYFUNCTION("""COMPUTED_VALUE"""),"Retail Pack")</f>
        <v>Retail Pack</v>
      </c>
      <c r="E195" s="517" t="str">
        <f>IFERROR(__xludf.DUMMYFUNCTION("""COMPUTED_VALUE"""),"GA10218-JP-RA")</f>
        <v>GA10218-JP-RA</v>
      </c>
      <c r="F195" s="517" t="str">
        <f>IFERROR(__xludf.DUMMYFUNCTION("""COMPUTED_VALUE"""),"JP")</f>
        <v>JP</v>
      </c>
      <c r="G195" s="517" t="str">
        <f>IFERROR(__xludf.DUMMYFUNCTION("""COMPUTED_VALUE"""),"AJP")</f>
        <v>AJP</v>
      </c>
      <c r="H195" s="517" t="str">
        <f>IFERROR(__xludf.DUMMYFUNCTION("""COMPUTED_VALUE"""),"JPN")</f>
        <v>JPN</v>
      </c>
      <c r="I195" s="517" t="str">
        <f>IFERROR(__xludf.DUMMYFUNCTION("""COMPUTED_VALUE"""),"CLR3")</f>
        <v>CLR3</v>
      </c>
      <c r="J195" s="517" t="str">
        <f>IFERROR(__xludf.DUMMYFUNCTION("""COMPUTED_VALUE"""),"Limoncello Midtone")</f>
        <v>Limoncello Midtone</v>
      </c>
      <c r="K195" s="517" t="str">
        <f>IFERROR(__xludf.DUMMYFUNCTION("""COMPUTED_VALUE"""),"YEL")</f>
        <v>YEL</v>
      </c>
      <c r="L195" s="517" t="str">
        <f>IFERROR(__xludf.DUMMYFUNCTION("""COMPUTED_VALUE"""),"GL066")</f>
        <v>GL066</v>
      </c>
      <c r="M195" s="517" t="str">
        <f>IFERROR(__xludf.DUMMYFUNCTION("""COMPUTED_VALUE"""),"JPN")</f>
        <v>JPN</v>
      </c>
      <c r="N195" s="517" t="str">
        <f>IFERROR(__xludf.DUMMYFUNCTION("""COMPUTED_VALUE"""),"SKU, CLR3, BETTER, SUB6, JP, FL5, REFURB")</f>
        <v>SKU, CLR3, BETTER, SUB6, JP, FL5, REFURB</v>
      </c>
      <c r="O195" s="517">
        <f>IFERROR(__xludf.DUMMYFUNCTION("""COMPUTED_VALUE"""),0.0)</f>
        <v>0</v>
      </c>
      <c r="P195" s="517" t="str">
        <f>IFERROR(__xludf.DUMMYFUNCTION("""COMPUTED_VALUE"""),"256GB")</f>
        <v>256GB</v>
      </c>
      <c r="Q195" s="517"/>
      <c r="R195" s="518" t="str">
        <f>IFERROR(__xludf.DUMMYFUNCTION("""COMPUTED_VALUE"""),"TBD")</f>
        <v>TBD</v>
      </c>
      <c r="S195" s="518" t="str">
        <f>IFERROR(__xludf.DUMMYFUNCTION("""COMPUTED_VALUE"""),"TBD")</f>
        <v>TBD</v>
      </c>
      <c r="T195" s="517" t="str">
        <f>IFERROR(__xludf.DUMMYFUNCTION("""COMPUTED_VALUE"""),"MP")</f>
        <v>MP</v>
      </c>
    </row>
    <row r="196">
      <c r="B196" s="517">
        <f>IFERROR(__xludf.DUMMYFUNCTION("""COMPUTED_VALUE"""),192.0)</f>
        <v>192</v>
      </c>
      <c r="C196" s="517" t="str">
        <f>IFERROR(__xludf.DUMMYFUNCTION("""COMPUTED_VALUE"""),"Refurb")</f>
        <v>Refurb</v>
      </c>
      <c r="D196" s="517" t="str">
        <f>IFERROR(__xludf.DUMMYFUNCTION("""COMPUTED_VALUE"""),"Retail Pack")</f>
        <v>Retail Pack</v>
      </c>
      <c r="E196" s="517" t="str">
        <f>IFERROR(__xludf.DUMMYFUNCTION("""COMPUTED_VALUE"""),"GA10219-JP-RA")</f>
        <v>GA10219-JP-RA</v>
      </c>
      <c r="F196" s="517" t="str">
        <f>IFERROR(__xludf.DUMMYFUNCTION("""COMPUTED_VALUE"""),"JP")</f>
        <v>JP</v>
      </c>
      <c r="G196" s="517" t="str">
        <f>IFERROR(__xludf.DUMMYFUNCTION("""COMPUTED_VALUE"""),"AJP")</f>
        <v>AJP</v>
      </c>
      <c r="H196" s="517" t="str">
        <f>IFERROR(__xludf.DUMMYFUNCTION("""COMPUTED_VALUE"""),"JPN")</f>
        <v>JPN</v>
      </c>
      <c r="I196" s="517" t="str">
        <f>IFERROR(__xludf.DUMMYFUNCTION("""COMPUTED_VALUE"""),"CLR4")</f>
        <v>CLR4</v>
      </c>
      <c r="J196" s="517" t="str">
        <f>IFERROR(__xludf.DUMMYFUNCTION("""COMPUTED_VALUE"""),"Ultra Blue")</f>
        <v>Ultra Blue</v>
      </c>
      <c r="K196" s="517" t="str">
        <f>IFERROR(__xludf.DUMMYFUNCTION("""COMPUTED_VALUE"""),"BUE")</f>
        <v>BUE</v>
      </c>
      <c r="L196" s="517" t="str">
        <f>IFERROR(__xludf.DUMMYFUNCTION("""COMPUTED_VALUE"""),"GL066")</f>
        <v>GL066</v>
      </c>
      <c r="M196" s="517" t="str">
        <f>IFERROR(__xludf.DUMMYFUNCTION("""COMPUTED_VALUE"""),"JPN")</f>
        <v>JPN</v>
      </c>
      <c r="N196" s="517" t="str">
        <f>IFERROR(__xludf.DUMMYFUNCTION("""COMPUTED_VALUE"""),"SKU, CLR4, BETTER, SUB6, JP, FL5, REFURB")</f>
        <v>SKU, CLR4, BETTER, SUB6, JP, FL5, REFURB</v>
      </c>
      <c r="O196" s="517">
        <f>IFERROR(__xludf.DUMMYFUNCTION("""COMPUTED_VALUE"""),0.0)</f>
        <v>0</v>
      </c>
      <c r="P196" s="517" t="str">
        <f>IFERROR(__xludf.DUMMYFUNCTION("""COMPUTED_VALUE"""),"256GB")</f>
        <v>256GB</v>
      </c>
      <c r="Q196" s="517"/>
      <c r="R196" s="518" t="str">
        <f>IFERROR(__xludf.DUMMYFUNCTION("""COMPUTED_VALUE"""),"TBD")</f>
        <v>TBD</v>
      </c>
      <c r="S196" s="518" t="str">
        <f>IFERROR(__xludf.DUMMYFUNCTION("""COMPUTED_VALUE"""),"TBD")</f>
        <v>TBD</v>
      </c>
      <c r="T196" s="517" t="str">
        <f>IFERROR(__xludf.DUMMYFUNCTION("""COMPUTED_VALUE"""),"MP")</f>
        <v>MP</v>
      </c>
    </row>
    <row r="197">
      <c r="B197" s="517"/>
      <c r="C197" s="517"/>
      <c r="D197" s="517"/>
      <c r="E197" s="517"/>
      <c r="F197" s="517"/>
      <c r="G197" s="517"/>
      <c r="H197" s="517"/>
      <c r="I197" s="517"/>
      <c r="J197" s="517"/>
      <c r="K197" s="517"/>
      <c r="L197" s="517"/>
      <c r="M197" s="517"/>
      <c r="N197" s="517"/>
      <c r="O197" s="517"/>
      <c r="P197" s="517"/>
      <c r="Q197" s="517"/>
      <c r="R197" s="517"/>
      <c r="S197" s="517"/>
      <c r="T197" s="517"/>
    </row>
    <row r="198">
      <c r="B198" s="517"/>
      <c r="C198" s="517"/>
      <c r="D198" s="517"/>
      <c r="E198" s="517"/>
      <c r="F198" s="517"/>
      <c r="G198" s="517"/>
      <c r="H198" s="517"/>
      <c r="I198" s="517"/>
      <c r="J198" s="517"/>
      <c r="K198" s="517"/>
      <c r="L198" s="517"/>
      <c r="M198" s="517"/>
      <c r="N198" s="517"/>
      <c r="O198" s="517"/>
      <c r="P198" s="517"/>
      <c r="Q198" s="517"/>
      <c r="R198" s="517"/>
      <c r="S198" s="517"/>
      <c r="T198" s="517"/>
    </row>
    <row r="199">
      <c r="B199" s="517"/>
      <c r="C199" s="517"/>
      <c r="D199" s="517"/>
      <c r="E199" s="517"/>
      <c r="F199" s="517"/>
      <c r="G199" s="517"/>
      <c r="H199" s="517"/>
      <c r="I199" s="517"/>
      <c r="J199" s="517"/>
      <c r="K199" s="517"/>
      <c r="L199" s="517"/>
      <c r="M199" s="517"/>
      <c r="N199" s="517"/>
      <c r="O199" s="517"/>
      <c r="P199" s="517"/>
      <c r="Q199" s="517"/>
      <c r="R199" s="517"/>
      <c r="S199" s="517"/>
      <c r="T199" s="517"/>
    </row>
    <row r="200">
      <c r="B200" s="517"/>
      <c r="C200" s="517"/>
      <c r="D200" s="517"/>
      <c r="E200" s="517"/>
      <c r="F200" s="517"/>
      <c r="G200" s="517"/>
      <c r="H200" s="517"/>
      <c r="I200" s="517"/>
      <c r="J200" s="517"/>
      <c r="K200" s="517"/>
      <c r="L200" s="517"/>
      <c r="M200" s="517"/>
      <c r="N200" s="517"/>
      <c r="O200" s="517"/>
      <c r="P200" s="517"/>
      <c r="Q200" s="517"/>
      <c r="R200" s="517"/>
      <c r="S200" s="517"/>
      <c r="T200" s="517"/>
    </row>
    <row r="201">
      <c r="B201" s="517"/>
      <c r="C201" s="517"/>
      <c r="D201" s="517"/>
      <c r="E201" s="517"/>
      <c r="F201" s="517"/>
      <c r="G201" s="517"/>
      <c r="H201" s="517"/>
      <c r="I201" s="517"/>
      <c r="J201" s="517"/>
      <c r="K201" s="517"/>
      <c r="L201" s="517"/>
      <c r="M201" s="517"/>
      <c r="N201" s="517"/>
      <c r="O201" s="517"/>
      <c r="P201" s="517"/>
      <c r="Q201" s="517"/>
      <c r="R201" s="517"/>
      <c r="S201" s="517"/>
      <c r="T201" s="517"/>
    </row>
    <row r="202">
      <c r="B202" s="517"/>
      <c r="C202" s="517"/>
      <c r="D202" s="517"/>
      <c r="E202" s="517"/>
      <c r="F202" s="517"/>
      <c r="G202" s="517"/>
      <c r="H202" s="517"/>
      <c r="I202" s="517"/>
      <c r="J202" s="517"/>
      <c r="K202" s="517"/>
      <c r="L202" s="517"/>
      <c r="M202" s="517"/>
      <c r="N202" s="517"/>
      <c r="O202" s="517"/>
      <c r="P202" s="517"/>
      <c r="Q202" s="517"/>
      <c r="R202" s="517"/>
      <c r="S202" s="517"/>
      <c r="T202" s="517"/>
    </row>
    <row r="203">
      <c r="B203" s="517"/>
      <c r="C203" s="517"/>
      <c r="D203" s="517"/>
      <c r="E203" s="517"/>
      <c r="F203" s="517"/>
      <c r="G203" s="517"/>
      <c r="H203" s="517"/>
      <c r="I203" s="517"/>
      <c r="J203" s="517"/>
      <c r="K203" s="517"/>
      <c r="L203" s="517"/>
      <c r="M203" s="517"/>
      <c r="N203" s="517"/>
      <c r="O203" s="517"/>
      <c r="P203" s="517"/>
      <c r="Q203" s="517"/>
      <c r="R203" s="517"/>
      <c r="S203" s="517"/>
      <c r="T203" s="517"/>
    </row>
    <row r="204">
      <c r="B204" s="517"/>
      <c r="C204" s="517"/>
      <c r="D204" s="517"/>
      <c r="E204" s="517"/>
      <c r="F204" s="517"/>
      <c r="G204" s="517"/>
      <c r="H204" s="517"/>
      <c r="I204" s="517"/>
      <c r="J204" s="517"/>
      <c r="K204" s="517"/>
      <c r="L204" s="517"/>
      <c r="M204" s="517"/>
      <c r="N204" s="517"/>
      <c r="O204" s="517"/>
      <c r="P204" s="517"/>
      <c r="Q204" s="517"/>
      <c r="R204" s="517"/>
      <c r="S204" s="517"/>
      <c r="T204" s="517"/>
    </row>
    <row r="205">
      <c r="B205" s="517"/>
      <c r="C205" s="517"/>
      <c r="D205" s="517"/>
      <c r="E205" s="517"/>
      <c r="F205" s="517"/>
      <c r="G205" s="517"/>
      <c r="H205" s="517"/>
      <c r="I205" s="517"/>
      <c r="J205" s="517"/>
      <c r="K205" s="517"/>
      <c r="L205" s="517"/>
      <c r="M205" s="517"/>
      <c r="N205" s="517"/>
      <c r="O205" s="517"/>
      <c r="P205" s="517"/>
      <c r="Q205" s="517"/>
      <c r="R205" s="517"/>
      <c r="S205" s="517"/>
      <c r="T205" s="517"/>
    </row>
  </sheetData>
  <autoFilter ref="$A$4:$W$196"/>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4.0" topLeftCell="G5" activePane="bottomRight" state="frozen"/>
      <selection activeCell="G1" sqref="G1" pane="topRight"/>
      <selection activeCell="A5" sqref="A5" pane="bottomLeft"/>
      <selection activeCell="G5" sqref="G5" pane="bottomRight"/>
    </sheetView>
  </sheetViews>
  <sheetFormatPr customHeight="1" defaultColWidth="12.63" defaultRowHeight="15.75"/>
  <cols>
    <col customWidth="1" min="1" max="1" width="5.25"/>
    <col customWidth="1" min="4" max="4" width="14.75"/>
  </cols>
  <sheetData>
    <row r="4">
      <c r="A4" s="536"/>
      <c r="B4" s="536" t="str">
        <f>IFERROR(__xludf.DUMMYFUNCTION("importrange(""https://docs.google.com/spreadsheets/d/1IR6pUnZbtCxhsoJeDn_teQQAt_XmIHbANDWAZcJCrek/edit?gid=873896987#gid=873896987"",""FL5_PVT_BM!B14:AU300"")"),"#REF!")</f>
        <v>#REF!</v>
      </c>
      <c r="C4" s="536"/>
      <c r="D4" s="536"/>
      <c r="E4" s="536"/>
      <c r="F4" s="536"/>
      <c r="G4" s="536"/>
      <c r="H4" s="536"/>
      <c r="I4" s="536"/>
      <c r="J4" s="536"/>
      <c r="K4" s="536"/>
      <c r="L4" s="536"/>
      <c r="M4" s="536"/>
      <c r="N4" s="536"/>
      <c r="O4" s="536"/>
      <c r="P4" s="536"/>
      <c r="Q4" s="536"/>
      <c r="R4" s="536"/>
      <c r="S4" s="536"/>
      <c r="T4" s="536"/>
      <c r="U4" s="536"/>
      <c r="V4" s="536"/>
      <c r="W4" s="536"/>
      <c r="X4" s="536"/>
      <c r="Y4" s="536"/>
      <c r="Z4" s="536"/>
      <c r="AA4" s="536"/>
      <c r="AB4" s="536"/>
      <c r="AC4" s="536"/>
      <c r="AD4" s="536"/>
      <c r="AE4" s="536"/>
      <c r="AF4" s="536"/>
      <c r="AG4" s="536"/>
      <c r="AH4" s="536"/>
      <c r="AI4" s="536"/>
      <c r="AJ4" s="536"/>
      <c r="AK4" s="536"/>
      <c r="AL4" s="536"/>
      <c r="AM4" s="536"/>
      <c r="AN4" s="536"/>
      <c r="AO4" s="536"/>
      <c r="AP4" s="536"/>
      <c r="AQ4" s="536"/>
      <c r="AR4" s="536"/>
      <c r="AS4" s="536"/>
      <c r="AT4" s="536"/>
      <c r="AU4" s="536"/>
      <c r="AV4" s="536"/>
      <c r="AW4" s="536"/>
      <c r="AX4" s="536"/>
      <c r="AY4" s="536"/>
      <c r="AZ4" s="536"/>
      <c r="BA4" s="536"/>
      <c r="BB4" s="536"/>
      <c r="BC4" s="536"/>
      <c r="BD4" s="536"/>
      <c r="BE4" s="53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1" width="11.63"/>
    <col customWidth="1" min="2" max="2" width="18.25"/>
    <col customWidth="1" min="3" max="3" width="27.63"/>
    <col customWidth="1" min="4" max="4" width="22.13"/>
    <col customWidth="1" min="5" max="6" width="15.13"/>
    <col customWidth="1" min="7" max="7" width="16.5"/>
    <col customWidth="1" min="8" max="8" width="18.75"/>
    <col customWidth="1" min="9" max="10" width="18.63"/>
    <col customWidth="1" min="11" max="11" width="19.75"/>
    <col customWidth="1" min="12" max="13" width="18.63"/>
    <col customWidth="1" min="14" max="14" width="17.0"/>
    <col customWidth="1" min="15" max="15" width="15.88"/>
    <col customWidth="1" min="16" max="16" width="17.75"/>
    <col customWidth="1" min="17" max="17" width="20.25"/>
    <col customWidth="1" min="18" max="18" width="17.0"/>
    <col customWidth="1" min="19" max="22" width="16.0"/>
    <col customWidth="1" min="23" max="23" width="12.38"/>
    <col customWidth="1" min="24" max="24" width="13.63"/>
    <col customWidth="1" min="40" max="40" width="10.25"/>
  </cols>
  <sheetData>
    <row r="1">
      <c r="A1" s="173"/>
      <c r="B1" s="537"/>
      <c r="C1" s="538"/>
      <c r="D1" s="537"/>
      <c r="E1" s="537"/>
      <c r="F1" s="537"/>
      <c r="G1" s="537"/>
      <c r="H1" s="537"/>
      <c r="I1" s="537"/>
      <c r="J1" s="537"/>
      <c r="K1" s="537"/>
      <c r="L1" s="537"/>
      <c r="M1" s="537"/>
      <c r="N1" s="537"/>
      <c r="O1" s="537"/>
      <c r="P1" s="537"/>
      <c r="Q1" s="537"/>
      <c r="R1" s="537"/>
      <c r="S1" s="537"/>
      <c r="T1" s="537"/>
      <c r="U1" s="537"/>
      <c r="V1" s="537"/>
      <c r="W1" s="537"/>
      <c r="X1" s="537"/>
      <c r="Y1" s="537"/>
      <c r="Z1" s="537"/>
    </row>
    <row r="2">
      <c r="A2" s="539" t="s">
        <v>1859</v>
      </c>
      <c r="C2" s="538"/>
      <c r="D2" s="537"/>
      <c r="E2" s="537"/>
      <c r="F2" s="537"/>
      <c r="G2" s="537"/>
      <c r="H2" s="537"/>
      <c r="I2" s="537"/>
      <c r="J2" s="537"/>
      <c r="K2" s="537"/>
      <c r="L2" s="537"/>
      <c r="M2" s="537"/>
      <c r="N2" s="537"/>
      <c r="O2" s="537"/>
      <c r="P2" s="537"/>
      <c r="Q2" s="537"/>
      <c r="R2" s="537"/>
      <c r="S2" s="537"/>
      <c r="T2" s="537"/>
      <c r="U2" s="537"/>
      <c r="V2" s="537"/>
      <c r="W2" s="537"/>
      <c r="X2" s="537"/>
      <c r="Y2" s="537"/>
      <c r="Z2" s="537"/>
    </row>
    <row r="3">
      <c r="A3" s="537"/>
      <c r="B3" s="537"/>
      <c r="C3" s="538"/>
      <c r="D3" s="537"/>
      <c r="E3" s="537"/>
      <c r="F3" s="537"/>
      <c r="G3" s="537"/>
      <c r="H3" s="537"/>
      <c r="I3" s="537"/>
      <c r="J3" s="537"/>
      <c r="K3" s="537"/>
      <c r="L3" s="537"/>
      <c r="M3" s="537"/>
      <c r="N3" s="537"/>
      <c r="O3" s="537"/>
      <c r="P3" s="537"/>
      <c r="Q3" s="537"/>
      <c r="R3" s="537"/>
      <c r="S3" s="537"/>
      <c r="T3" s="537"/>
      <c r="U3" s="537"/>
      <c r="V3" s="537"/>
      <c r="W3" s="537"/>
      <c r="X3" s="537"/>
      <c r="Y3" s="537"/>
      <c r="Z3" s="537"/>
    </row>
    <row r="4">
      <c r="A4" s="540" t="s">
        <v>1860</v>
      </c>
      <c r="B4" s="537"/>
      <c r="C4" s="538"/>
      <c r="D4" s="537"/>
      <c r="E4" s="537"/>
      <c r="F4" s="537"/>
      <c r="G4" s="537"/>
      <c r="H4" s="537"/>
      <c r="I4" s="537"/>
      <c r="J4" s="537"/>
      <c r="K4" s="537"/>
      <c r="L4" s="537"/>
      <c r="M4" s="537"/>
      <c r="N4" s="537"/>
      <c r="O4" s="537"/>
      <c r="P4" s="537"/>
      <c r="Q4" s="537"/>
      <c r="R4" s="537"/>
      <c r="S4" s="537"/>
      <c r="T4" s="537"/>
      <c r="U4" s="537"/>
      <c r="V4" s="537"/>
      <c r="W4" s="537"/>
      <c r="X4" s="537"/>
      <c r="Y4" s="537"/>
      <c r="Z4" s="537"/>
    </row>
    <row r="5">
      <c r="A5" s="541"/>
      <c r="B5" s="541"/>
      <c r="C5" s="542" t="s">
        <v>1861</v>
      </c>
      <c r="D5" s="541"/>
      <c r="E5" s="541"/>
      <c r="F5" s="541"/>
      <c r="G5" s="541"/>
      <c r="H5" s="541"/>
      <c r="I5" s="541"/>
      <c r="J5" s="541"/>
      <c r="K5" s="541"/>
      <c r="L5" s="541"/>
      <c r="M5" s="541"/>
      <c r="N5" s="541"/>
      <c r="O5" s="541"/>
      <c r="P5" s="541"/>
      <c r="Q5" s="541"/>
      <c r="R5" s="541"/>
      <c r="S5" s="541"/>
      <c r="T5" s="541"/>
      <c r="U5" s="543"/>
      <c r="V5" s="541"/>
      <c r="W5" s="541"/>
      <c r="X5" s="541"/>
      <c r="Y5" s="541"/>
      <c r="Z5" s="541"/>
      <c r="AA5" s="541"/>
      <c r="AB5" s="541"/>
      <c r="AC5" s="541"/>
      <c r="AD5" s="541"/>
      <c r="AE5" s="541"/>
      <c r="AF5" s="541"/>
      <c r="AG5" s="541"/>
      <c r="AH5" s="541"/>
      <c r="AI5" s="541"/>
      <c r="AJ5" s="541"/>
      <c r="AK5" s="541"/>
      <c r="AL5" s="541"/>
      <c r="AM5" s="541"/>
      <c r="AN5" s="541"/>
      <c r="AO5" s="541"/>
      <c r="AP5" s="541"/>
      <c r="AQ5" s="541"/>
      <c r="AR5" s="541"/>
      <c r="AS5" s="541"/>
      <c r="AT5" s="541"/>
      <c r="AU5" s="541"/>
      <c r="AV5" s="541"/>
      <c r="AW5" s="541"/>
      <c r="AX5" s="541"/>
      <c r="AY5" s="541"/>
      <c r="AZ5" s="541"/>
      <c r="BA5" s="541"/>
      <c r="BB5" s="541"/>
      <c r="BC5" s="541"/>
      <c r="BD5" s="541"/>
      <c r="BE5" s="541"/>
      <c r="BF5" s="541"/>
      <c r="BG5" s="541"/>
      <c r="BH5" s="541"/>
      <c r="BI5" s="541"/>
      <c r="BJ5" s="541"/>
      <c r="BK5" s="541"/>
      <c r="BL5" s="541"/>
      <c r="BM5" s="541"/>
      <c r="BN5" s="541"/>
      <c r="BO5" s="541"/>
      <c r="BP5" s="541"/>
      <c r="BQ5" s="541"/>
      <c r="BR5" s="541"/>
      <c r="BS5" s="541"/>
      <c r="BT5" s="541"/>
      <c r="BU5" s="541"/>
      <c r="BV5" s="541"/>
      <c r="BW5" s="541"/>
      <c r="BX5" s="541"/>
      <c r="BY5" s="541"/>
      <c r="BZ5" s="541"/>
      <c r="CA5" s="541"/>
      <c r="CB5" s="541"/>
      <c r="CC5" s="541"/>
      <c r="CD5" s="541"/>
      <c r="CE5" s="541"/>
      <c r="CF5" s="541"/>
      <c r="CG5" s="541"/>
    </row>
    <row r="6">
      <c r="A6" s="544" t="s">
        <v>1862</v>
      </c>
      <c r="B6" s="545"/>
      <c r="C6" s="546"/>
      <c r="D6" s="545"/>
      <c r="E6" s="547"/>
      <c r="F6" s="547"/>
      <c r="G6" s="548"/>
      <c r="H6" s="548"/>
      <c r="I6" s="548"/>
      <c r="J6" s="548"/>
      <c r="K6" s="548"/>
      <c r="L6" s="548"/>
      <c r="M6" s="548"/>
      <c r="N6" s="548"/>
      <c r="O6" s="548"/>
      <c r="P6" s="548"/>
      <c r="Q6" s="548"/>
      <c r="R6" s="548"/>
      <c r="S6" s="548"/>
      <c r="T6" s="548"/>
      <c r="U6" s="548"/>
      <c r="V6" s="548"/>
      <c r="W6" s="541"/>
      <c r="X6" s="541"/>
      <c r="Y6" s="541"/>
      <c r="Z6" s="541"/>
      <c r="AA6" s="541"/>
      <c r="AB6" s="541"/>
      <c r="AC6" s="541"/>
      <c r="AD6" s="541"/>
      <c r="AE6" s="541"/>
      <c r="AF6" s="541"/>
      <c r="AG6" s="541"/>
      <c r="AH6" s="541"/>
      <c r="AI6" s="541"/>
      <c r="AJ6" s="541"/>
      <c r="AK6" s="541"/>
      <c r="AL6" s="541"/>
      <c r="AM6" s="541"/>
      <c r="AN6" s="541"/>
      <c r="AO6" s="541"/>
      <c r="AP6" s="541"/>
      <c r="AQ6" s="541"/>
      <c r="AR6" s="541"/>
      <c r="AS6" s="541"/>
      <c r="AT6" s="541"/>
      <c r="AU6" s="541"/>
      <c r="AV6" s="541"/>
      <c r="AW6" s="541"/>
      <c r="AX6" s="541"/>
      <c r="AY6" s="541"/>
      <c r="AZ6" s="541"/>
      <c r="BA6" s="541"/>
      <c r="BB6" s="541"/>
      <c r="BC6" s="541"/>
      <c r="BD6" s="541"/>
      <c r="BE6" s="541"/>
      <c r="BF6" s="541"/>
      <c r="BG6" s="541"/>
      <c r="BH6" s="541"/>
      <c r="BI6" s="541"/>
      <c r="BJ6" s="541"/>
      <c r="BK6" s="541"/>
      <c r="BL6" s="541"/>
      <c r="BM6" s="541"/>
      <c r="BN6" s="541"/>
      <c r="BO6" s="541"/>
      <c r="BP6" s="541"/>
      <c r="BQ6" s="541"/>
      <c r="BR6" s="541"/>
      <c r="BS6" s="541"/>
      <c r="BT6" s="541"/>
      <c r="BU6" s="541"/>
      <c r="BV6" s="541"/>
      <c r="BW6" s="541"/>
      <c r="BX6" s="541"/>
      <c r="BY6" s="541"/>
      <c r="BZ6" s="549"/>
      <c r="CA6" s="549"/>
      <c r="CB6" s="549"/>
      <c r="CC6" s="549"/>
      <c r="CD6" s="549"/>
      <c r="CE6" s="549"/>
      <c r="CF6" s="549"/>
      <c r="CG6" s="549"/>
    </row>
    <row r="7">
      <c r="A7" s="550" t="s">
        <v>1442</v>
      </c>
      <c r="B7" s="551" t="s">
        <v>1863</v>
      </c>
      <c r="C7" s="546" t="s">
        <v>1864</v>
      </c>
      <c r="D7" s="551" t="s">
        <v>1865</v>
      </c>
      <c r="E7" s="552" t="s">
        <v>1866</v>
      </c>
      <c r="F7" s="553" t="s">
        <v>1867</v>
      </c>
      <c r="G7" s="553" t="s">
        <v>1868</v>
      </c>
      <c r="H7" s="554">
        <v>1.0</v>
      </c>
      <c r="I7" s="554">
        <v>2.0</v>
      </c>
      <c r="J7" s="554">
        <v>3.0</v>
      </c>
      <c r="K7" s="554">
        <v>4.0</v>
      </c>
      <c r="L7" s="554">
        <v>5.0</v>
      </c>
      <c r="M7" s="554">
        <v>6.0</v>
      </c>
      <c r="N7" s="554">
        <v>7.0</v>
      </c>
      <c r="O7" s="554">
        <v>8.0</v>
      </c>
      <c r="P7" s="554">
        <v>9.0</v>
      </c>
      <c r="Q7" s="554">
        <v>10.0</v>
      </c>
      <c r="R7" s="554">
        <v>11.0</v>
      </c>
      <c r="S7" s="554">
        <v>12.0</v>
      </c>
      <c r="T7" s="554">
        <v>13.0</v>
      </c>
      <c r="U7" s="554">
        <v>14.0</v>
      </c>
      <c r="V7" s="554">
        <v>15.0</v>
      </c>
      <c r="W7" s="554">
        <v>16.0</v>
      </c>
      <c r="X7" s="554">
        <v>17.0</v>
      </c>
      <c r="Y7" s="554">
        <v>18.0</v>
      </c>
      <c r="Z7" s="541"/>
      <c r="AA7" s="541"/>
      <c r="AB7" s="541"/>
      <c r="AC7" s="541"/>
      <c r="AD7" s="541"/>
      <c r="AE7" s="541"/>
      <c r="AF7" s="541"/>
      <c r="AG7" s="541"/>
      <c r="AH7" s="541"/>
      <c r="AI7" s="541"/>
      <c r="AJ7" s="541"/>
      <c r="AK7" s="541"/>
      <c r="AL7" s="541"/>
      <c r="AM7" s="541"/>
      <c r="AN7" s="541"/>
      <c r="AO7" s="541"/>
      <c r="AP7" s="541"/>
      <c r="AQ7" s="541"/>
      <c r="AR7" s="541"/>
      <c r="AS7" s="541"/>
      <c r="AT7" s="541"/>
      <c r="AU7" s="541"/>
      <c r="AV7" s="541"/>
      <c r="AW7" s="541"/>
      <c r="AX7" s="541"/>
      <c r="AY7" s="541"/>
      <c r="AZ7" s="541"/>
      <c r="BA7" s="541"/>
      <c r="BB7" s="541"/>
      <c r="BC7" s="541"/>
      <c r="BD7" s="541"/>
      <c r="BE7" s="541"/>
      <c r="BF7" s="541"/>
      <c r="BG7" s="541"/>
      <c r="BH7" s="541"/>
      <c r="BI7" s="541"/>
      <c r="BJ7" s="541"/>
      <c r="BK7" s="541"/>
      <c r="BL7" s="541"/>
      <c r="BM7" s="541"/>
      <c r="BN7" s="541"/>
      <c r="BO7" s="541"/>
      <c r="BP7" s="541"/>
      <c r="BQ7" s="541"/>
      <c r="BR7" s="541"/>
      <c r="BS7" s="541"/>
      <c r="BT7" s="541"/>
      <c r="BU7" s="541"/>
      <c r="BV7" s="541"/>
      <c r="BW7" s="541"/>
      <c r="BX7" s="541"/>
      <c r="BY7" s="541"/>
      <c r="BZ7" s="549"/>
      <c r="CA7" s="549"/>
      <c r="CB7" s="549"/>
      <c r="CC7" s="549"/>
      <c r="CD7" s="549"/>
      <c r="CE7" s="549"/>
      <c r="CF7" s="549"/>
      <c r="CG7" s="549"/>
    </row>
    <row r="8">
      <c r="A8" s="549"/>
      <c r="B8" s="555" t="s">
        <v>1869</v>
      </c>
      <c r="C8" s="349" t="s">
        <v>791</v>
      </c>
      <c r="D8" s="556" t="s">
        <v>1870</v>
      </c>
      <c r="E8" s="557" t="s">
        <v>1871</v>
      </c>
      <c r="F8" s="558" t="s">
        <v>1872</v>
      </c>
      <c r="G8" s="558" t="s">
        <v>1873</v>
      </c>
      <c r="H8" s="559" t="s">
        <v>1874</v>
      </c>
      <c r="I8" s="560" t="s">
        <v>1875</v>
      </c>
      <c r="J8" s="561" t="s">
        <v>1876</v>
      </c>
      <c r="K8" s="561" t="s">
        <v>1877</v>
      </c>
      <c r="L8" s="562" t="s">
        <v>1878</v>
      </c>
      <c r="M8" s="563" t="s">
        <v>1879</v>
      </c>
      <c r="N8" s="564" t="s">
        <v>1880</v>
      </c>
      <c r="O8" s="565" t="s">
        <v>1881</v>
      </c>
      <c r="P8" s="566" t="s">
        <v>1882</v>
      </c>
      <c r="Q8" s="563" t="s">
        <v>1883</v>
      </c>
      <c r="R8" s="566" t="s">
        <v>1884</v>
      </c>
      <c r="S8" s="563" t="s">
        <v>1885</v>
      </c>
      <c r="T8" s="563" t="s">
        <v>1886</v>
      </c>
      <c r="U8" s="560" t="s">
        <v>1887</v>
      </c>
      <c r="V8" s="566" t="s">
        <v>1888</v>
      </c>
      <c r="W8" s="567" t="s">
        <v>1889</v>
      </c>
      <c r="X8" s="568"/>
      <c r="Y8" s="568"/>
      <c r="Z8" s="547"/>
      <c r="AA8" s="547"/>
      <c r="AB8" s="547"/>
      <c r="AC8" s="547"/>
      <c r="AD8" s="547"/>
      <c r="AE8" s="547"/>
      <c r="AF8" s="547"/>
      <c r="AG8" s="547"/>
      <c r="AH8" s="547"/>
      <c r="AI8" s="547"/>
      <c r="AJ8" s="547"/>
      <c r="AK8" s="547"/>
      <c r="AL8" s="547"/>
      <c r="AM8" s="547"/>
      <c r="AN8" s="547"/>
      <c r="AO8" s="547"/>
      <c r="AP8" s="549"/>
      <c r="AQ8" s="549"/>
      <c r="AR8" s="549"/>
      <c r="AS8" s="549"/>
      <c r="AT8" s="549"/>
      <c r="AU8" s="549"/>
      <c r="AV8" s="549"/>
      <c r="AW8" s="549"/>
      <c r="AX8" s="549"/>
      <c r="AY8" s="549"/>
      <c r="AZ8" s="549"/>
      <c r="BA8" s="549"/>
      <c r="BB8" s="549"/>
      <c r="BC8" s="549"/>
      <c r="BD8" s="549"/>
      <c r="BE8" s="549"/>
      <c r="BF8" s="549"/>
      <c r="BG8" s="549"/>
      <c r="BH8" s="549"/>
      <c r="BI8" s="549"/>
      <c r="BJ8" s="549"/>
      <c r="BK8" s="549"/>
      <c r="BL8" s="549"/>
      <c r="BM8" s="549"/>
      <c r="BN8" s="549"/>
      <c r="BO8" s="549"/>
      <c r="BP8" s="549"/>
      <c r="BQ8" s="549"/>
      <c r="BR8" s="549"/>
      <c r="BS8" s="549"/>
      <c r="BT8" s="549"/>
      <c r="BU8" s="549"/>
      <c r="BV8" s="549"/>
      <c r="BW8" s="549"/>
      <c r="BX8" s="549"/>
      <c r="BY8" s="549"/>
      <c r="BZ8" s="549"/>
      <c r="CA8" s="549"/>
      <c r="CB8" s="549"/>
      <c r="CC8" s="549"/>
      <c r="CD8" s="549"/>
      <c r="CE8" s="549"/>
      <c r="CF8" s="549"/>
      <c r="CG8" s="549"/>
    </row>
    <row r="9">
      <c r="A9" s="549"/>
      <c r="B9" s="31"/>
      <c r="C9" s="349" t="s">
        <v>822</v>
      </c>
      <c r="D9" s="569" t="s">
        <v>1890</v>
      </c>
      <c r="E9" s="557" t="s">
        <v>1871</v>
      </c>
      <c r="F9" s="558" t="s">
        <v>1872</v>
      </c>
      <c r="G9" s="558" t="s">
        <v>1873</v>
      </c>
      <c r="H9" s="559" t="s">
        <v>1874</v>
      </c>
      <c r="I9" s="560" t="s">
        <v>1875</v>
      </c>
      <c r="J9" s="561" t="s">
        <v>1876</v>
      </c>
      <c r="K9" s="561" t="s">
        <v>1877</v>
      </c>
      <c r="L9" s="562" t="s">
        <v>1878</v>
      </c>
      <c r="M9" s="563" t="s">
        <v>1879</v>
      </c>
      <c r="N9" s="570" t="s">
        <v>1891</v>
      </c>
      <c r="O9" s="564" t="s">
        <v>1880</v>
      </c>
      <c r="P9" s="566" t="s">
        <v>1881</v>
      </c>
      <c r="Q9" s="566" t="s">
        <v>1882</v>
      </c>
      <c r="R9" s="566" t="s">
        <v>1892</v>
      </c>
      <c r="S9" s="563" t="s">
        <v>1883</v>
      </c>
      <c r="T9" s="566" t="s">
        <v>1884</v>
      </c>
      <c r="U9" s="563" t="s">
        <v>1885</v>
      </c>
      <c r="V9" s="563" t="s">
        <v>1886</v>
      </c>
      <c r="W9" s="560" t="s">
        <v>1887</v>
      </c>
      <c r="X9" s="571" t="s">
        <v>1888</v>
      </c>
      <c r="Y9" s="567" t="s">
        <v>1889</v>
      </c>
      <c r="Z9" s="547"/>
      <c r="AA9" s="547"/>
      <c r="AB9" s="547"/>
      <c r="AC9" s="547"/>
      <c r="AD9" s="547"/>
      <c r="AE9" s="547"/>
      <c r="AF9" s="547"/>
      <c r="AG9" s="547"/>
      <c r="AH9" s="547"/>
      <c r="AI9" s="547"/>
      <c r="AJ9" s="547"/>
      <c r="AK9" s="547"/>
      <c r="AL9" s="547"/>
      <c r="AM9" s="547"/>
      <c r="AN9" s="547"/>
      <c r="AO9" s="547"/>
      <c r="AP9" s="549"/>
      <c r="AQ9" s="549"/>
      <c r="AR9" s="549"/>
      <c r="AS9" s="549"/>
      <c r="AT9" s="549"/>
      <c r="AU9" s="549"/>
      <c r="AV9" s="549"/>
      <c r="AW9" s="549"/>
      <c r="AX9" s="549"/>
      <c r="AY9" s="549"/>
      <c r="AZ9" s="549"/>
      <c r="BA9" s="549"/>
      <c r="BB9" s="549"/>
      <c r="BC9" s="549"/>
      <c r="BD9" s="549"/>
      <c r="BE9" s="549"/>
      <c r="BF9" s="549"/>
      <c r="BG9" s="549"/>
      <c r="BH9" s="549"/>
      <c r="BI9" s="549"/>
      <c r="BJ9" s="549"/>
      <c r="BK9" s="549"/>
      <c r="BL9" s="549"/>
      <c r="BM9" s="549"/>
      <c r="BN9" s="549"/>
      <c r="BO9" s="549"/>
      <c r="BP9" s="549"/>
      <c r="BQ9" s="549"/>
      <c r="BR9" s="549"/>
      <c r="BS9" s="549"/>
      <c r="BT9" s="549"/>
      <c r="BU9" s="549"/>
      <c r="BV9" s="549"/>
      <c r="BW9" s="549"/>
      <c r="BX9" s="549"/>
      <c r="BY9" s="549"/>
      <c r="BZ9" s="549"/>
      <c r="CA9" s="549"/>
      <c r="CB9" s="549"/>
      <c r="CC9" s="549"/>
      <c r="CD9" s="549"/>
      <c r="CE9" s="549"/>
      <c r="CF9" s="549"/>
      <c r="CG9" s="549"/>
    </row>
    <row r="10">
      <c r="A10" s="549"/>
      <c r="B10" s="31"/>
      <c r="C10" s="349" t="s">
        <v>770</v>
      </c>
      <c r="D10" s="556" t="s">
        <v>1893</v>
      </c>
      <c r="E10" s="557" t="s">
        <v>1871</v>
      </c>
      <c r="F10" s="558" t="s">
        <v>1872</v>
      </c>
      <c r="G10" s="558" t="s">
        <v>1873</v>
      </c>
      <c r="H10" s="559" t="s">
        <v>1874</v>
      </c>
      <c r="I10" s="560" t="s">
        <v>1875</v>
      </c>
      <c r="J10" s="561" t="s">
        <v>1876</v>
      </c>
      <c r="K10" s="561" t="s">
        <v>1877</v>
      </c>
      <c r="L10" s="562" t="s">
        <v>1878</v>
      </c>
      <c r="M10" s="563" t="s">
        <v>1879</v>
      </c>
      <c r="N10" s="564" t="s">
        <v>1880</v>
      </c>
      <c r="O10" s="565" t="s">
        <v>1881</v>
      </c>
      <c r="P10" s="566" t="s">
        <v>1882</v>
      </c>
      <c r="Q10" s="563" t="s">
        <v>1883</v>
      </c>
      <c r="R10" s="566" t="s">
        <v>1884</v>
      </c>
      <c r="S10" s="563" t="s">
        <v>1894</v>
      </c>
      <c r="T10" s="563" t="s">
        <v>1886</v>
      </c>
      <c r="U10" s="560" t="s">
        <v>1895</v>
      </c>
      <c r="V10" s="566" t="s">
        <v>1888</v>
      </c>
      <c r="W10" s="567" t="s">
        <v>1889</v>
      </c>
      <c r="X10" s="568"/>
      <c r="Y10" s="568"/>
      <c r="Z10" s="547"/>
      <c r="AA10" s="547"/>
      <c r="AB10" s="547"/>
      <c r="AC10" s="547"/>
      <c r="AD10" s="547"/>
      <c r="AE10" s="547"/>
      <c r="AF10" s="547"/>
      <c r="AG10" s="547"/>
      <c r="AH10" s="547"/>
      <c r="AI10" s="547"/>
      <c r="AJ10" s="547"/>
      <c r="AK10" s="547"/>
      <c r="AL10" s="547"/>
      <c r="AM10" s="547"/>
      <c r="AN10" s="547"/>
      <c r="AO10" s="547"/>
      <c r="AP10" s="549"/>
      <c r="AQ10" s="549"/>
      <c r="AR10" s="549"/>
      <c r="AS10" s="549"/>
      <c r="AT10" s="549"/>
      <c r="AU10" s="549"/>
      <c r="AV10" s="549"/>
      <c r="AW10" s="549"/>
      <c r="AX10" s="549"/>
      <c r="AY10" s="549"/>
      <c r="AZ10" s="549"/>
      <c r="BA10" s="549"/>
      <c r="BB10" s="549"/>
      <c r="BC10" s="549"/>
      <c r="BD10" s="549"/>
      <c r="BE10" s="549"/>
      <c r="BF10" s="549"/>
      <c r="BG10" s="549"/>
      <c r="BH10" s="549"/>
      <c r="BI10" s="549"/>
      <c r="BJ10" s="549"/>
      <c r="BK10" s="549"/>
      <c r="BL10" s="549"/>
      <c r="BM10" s="549"/>
      <c r="BN10" s="549"/>
      <c r="BO10" s="549"/>
      <c r="BP10" s="549"/>
      <c r="BQ10" s="549"/>
      <c r="BR10" s="549"/>
      <c r="BS10" s="549"/>
      <c r="BT10" s="549"/>
      <c r="BU10" s="549"/>
      <c r="BV10" s="549"/>
      <c r="BW10" s="549"/>
      <c r="BX10" s="549"/>
      <c r="BY10" s="549"/>
      <c r="BZ10" s="549"/>
      <c r="CA10" s="549"/>
      <c r="CB10" s="549"/>
      <c r="CC10" s="549"/>
      <c r="CD10" s="549"/>
      <c r="CE10" s="549"/>
      <c r="CF10" s="549"/>
      <c r="CG10" s="549"/>
    </row>
    <row r="11">
      <c r="A11" s="549"/>
      <c r="B11" s="15"/>
      <c r="C11" s="349" t="s">
        <v>1896</v>
      </c>
      <c r="D11" s="569" t="s">
        <v>1897</v>
      </c>
      <c r="E11" s="557" t="s">
        <v>1871</v>
      </c>
      <c r="F11" s="558" t="s">
        <v>1872</v>
      </c>
      <c r="G11" s="558" t="s">
        <v>1873</v>
      </c>
      <c r="H11" s="559" t="s">
        <v>1874</v>
      </c>
      <c r="I11" s="560" t="s">
        <v>1875</v>
      </c>
      <c r="J11" s="561" t="s">
        <v>1876</v>
      </c>
      <c r="K11" s="561" t="s">
        <v>1877</v>
      </c>
      <c r="L11" s="562" t="s">
        <v>1878</v>
      </c>
      <c r="M11" s="563" t="s">
        <v>1879</v>
      </c>
      <c r="N11" s="570" t="s">
        <v>1891</v>
      </c>
      <c r="O11" s="564" t="s">
        <v>1880</v>
      </c>
      <c r="P11" s="566" t="s">
        <v>1881</v>
      </c>
      <c r="Q11" s="566" t="s">
        <v>1882</v>
      </c>
      <c r="R11" s="566" t="s">
        <v>1892</v>
      </c>
      <c r="S11" s="563" t="s">
        <v>1883</v>
      </c>
      <c r="T11" s="566" t="s">
        <v>1884</v>
      </c>
      <c r="U11" s="563" t="s">
        <v>1894</v>
      </c>
      <c r="V11" s="563" t="s">
        <v>1886</v>
      </c>
      <c r="W11" s="560" t="s">
        <v>1895</v>
      </c>
      <c r="X11" s="571" t="s">
        <v>1888</v>
      </c>
      <c r="Y11" s="567" t="s">
        <v>1889</v>
      </c>
      <c r="Z11" s="547"/>
      <c r="AA11" s="547"/>
      <c r="AB11" s="547"/>
      <c r="AC11" s="547"/>
      <c r="AD11" s="547"/>
      <c r="AE11" s="547"/>
      <c r="AF11" s="547"/>
      <c r="AG11" s="547"/>
      <c r="AH11" s="547"/>
      <c r="AI11" s="547"/>
      <c r="AJ11" s="547"/>
      <c r="AK11" s="547"/>
      <c r="AL11" s="547"/>
      <c r="AM11" s="547"/>
      <c r="AN11" s="547"/>
      <c r="AO11" s="547"/>
      <c r="AP11" s="549"/>
      <c r="AQ11" s="549"/>
      <c r="AR11" s="549"/>
      <c r="AS11" s="549"/>
      <c r="AT11" s="549"/>
      <c r="AU11" s="549"/>
      <c r="AV11" s="549"/>
      <c r="AW11" s="549"/>
      <c r="AX11" s="549"/>
      <c r="AY11" s="549"/>
      <c r="AZ11" s="549"/>
      <c r="BA11" s="549"/>
      <c r="BB11" s="549"/>
      <c r="BC11" s="549"/>
      <c r="BD11" s="549"/>
      <c r="BE11" s="549"/>
      <c r="BF11" s="549"/>
      <c r="BG11" s="549"/>
      <c r="BH11" s="549"/>
      <c r="BI11" s="549"/>
      <c r="BJ11" s="549"/>
      <c r="BK11" s="549"/>
      <c r="BL11" s="549"/>
      <c r="BM11" s="549"/>
      <c r="BN11" s="549"/>
      <c r="BO11" s="549"/>
      <c r="BP11" s="549"/>
      <c r="BQ11" s="549"/>
      <c r="BR11" s="549"/>
      <c r="BS11" s="549"/>
      <c r="BT11" s="549"/>
      <c r="BU11" s="549"/>
      <c r="BV11" s="549"/>
      <c r="BW11" s="549"/>
      <c r="BX11" s="549"/>
      <c r="BY11" s="549"/>
      <c r="BZ11" s="549"/>
      <c r="CA11" s="549"/>
      <c r="CB11" s="549"/>
      <c r="CC11" s="549"/>
      <c r="CD11" s="549"/>
      <c r="CE11" s="549"/>
      <c r="CF11" s="549"/>
      <c r="CG11" s="549"/>
    </row>
    <row r="12">
      <c r="A12" s="549"/>
      <c r="B12" s="547"/>
      <c r="C12" s="572"/>
      <c r="D12" s="573"/>
      <c r="E12" s="547"/>
      <c r="F12" s="547"/>
      <c r="H12" s="547"/>
      <c r="I12" s="574"/>
      <c r="J12" s="547"/>
      <c r="K12" s="547"/>
      <c r="L12" s="549"/>
      <c r="M12" s="549"/>
      <c r="N12" s="549"/>
      <c r="O12" s="549"/>
      <c r="P12" s="549"/>
      <c r="Q12" s="549"/>
      <c r="R12" s="549"/>
      <c r="S12" s="549"/>
      <c r="T12" s="549"/>
      <c r="U12" s="549"/>
      <c r="V12" s="549"/>
      <c r="W12" s="549"/>
      <c r="X12" s="549"/>
      <c r="Y12" s="549"/>
      <c r="Z12" s="549"/>
      <c r="AA12" s="549"/>
      <c r="AB12" s="549"/>
      <c r="AC12" s="549"/>
      <c r="AD12" s="549"/>
      <c r="AE12" s="549"/>
      <c r="AF12" s="549"/>
      <c r="AG12" s="549"/>
      <c r="AH12" s="549"/>
      <c r="AI12" s="549"/>
      <c r="AJ12" s="549"/>
      <c r="AK12" s="549"/>
      <c r="AL12" s="549"/>
      <c r="AM12" s="549"/>
      <c r="AN12" s="549"/>
      <c r="AO12" s="549"/>
      <c r="AP12" s="549"/>
      <c r="AQ12" s="549"/>
      <c r="AR12" s="549"/>
      <c r="AS12" s="549"/>
      <c r="AT12" s="549"/>
      <c r="AU12" s="549"/>
      <c r="AV12" s="549"/>
      <c r="AW12" s="549"/>
      <c r="AX12" s="549"/>
      <c r="AY12" s="549"/>
      <c r="AZ12" s="549"/>
      <c r="BA12" s="549"/>
      <c r="BB12" s="549"/>
      <c r="BC12" s="549"/>
      <c r="BD12" s="549"/>
      <c r="BE12" s="549"/>
      <c r="BF12" s="549"/>
      <c r="BG12" s="549"/>
      <c r="BH12" s="549"/>
      <c r="BI12" s="549"/>
      <c r="BJ12" s="549"/>
      <c r="BK12" s="549"/>
      <c r="BL12" s="549"/>
      <c r="BM12" s="549"/>
      <c r="BN12" s="549"/>
      <c r="BO12" s="549"/>
      <c r="BP12" s="549"/>
      <c r="BQ12" s="549"/>
      <c r="BR12" s="549"/>
      <c r="BS12" s="549"/>
      <c r="BT12" s="549"/>
      <c r="BU12" s="549"/>
      <c r="BV12" s="549"/>
      <c r="BW12" s="549"/>
      <c r="BX12" s="549"/>
      <c r="BY12" s="549"/>
      <c r="BZ12" s="549"/>
      <c r="CA12" s="549"/>
      <c r="CB12" s="549"/>
      <c r="CC12" s="549"/>
      <c r="CD12" s="549"/>
      <c r="CE12" s="549"/>
      <c r="CF12" s="549"/>
      <c r="CG12" s="549"/>
    </row>
    <row r="13">
      <c r="A13" s="550" t="s">
        <v>1898</v>
      </c>
      <c r="B13" s="551" t="s">
        <v>1863</v>
      </c>
      <c r="C13" s="546" t="s">
        <v>1864</v>
      </c>
      <c r="D13" s="551" t="s">
        <v>1865</v>
      </c>
      <c r="E13" s="552" t="s">
        <v>1866</v>
      </c>
      <c r="F13" s="552" t="s">
        <v>1899</v>
      </c>
      <c r="G13" s="575" t="s">
        <v>1900</v>
      </c>
      <c r="H13" s="554">
        <v>1.0</v>
      </c>
      <c r="I13" s="576">
        <v>2.0</v>
      </c>
      <c r="J13" s="554">
        <v>3.0</v>
      </c>
      <c r="K13" s="554">
        <v>4.0</v>
      </c>
      <c r="L13" s="554">
        <v>5.0</v>
      </c>
      <c r="M13" s="577">
        <v>6.0</v>
      </c>
      <c r="N13" s="577">
        <v>7.0</v>
      </c>
      <c r="O13" s="577">
        <v>8.0</v>
      </c>
      <c r="P13" s="549"/>
      <c r="Q13" s="549"/>
      <c r="R13" s="549"/>
      <c r="S13" s="549"/>
      <c r="T13" s="549"/>
      <c r="U13" s="549"/>
      <c r="V13" s="549"/>
      <c r="W13" s="549"/>
      <c r="X13" s="549"/>
      <c r="Y13" s="549"/>
      <c r="Z13" s="549"/>
      <c r="AA13" s="549"/>
      <c r="AB13" s="549"/>
      <c r="AC13" s="549"/>
      <c r="AD13" s="549"/>
      <c r="AE13" s="549"/>
      <c r="AF13" s="549"/>
      <c r="AG13" s="549"/>
      <c r="AH13" s="549"/>
      <c r="AI13" s="549"/>
      <c r="AJ13" s="549"/>
      <c r="AK13" s="549"/>
      <c r="AL13" s="549"/>
      <c r="AM13" s="549"/>
      <c r="AN13" s="549"/>
      <c r="AO13" s="549"/>
      <c r="AP13" s="549"/>
      <c r="AQ13" s="549"/>
      <c r="AR13" s="549"/>
      <c r="AS13" s="549"/>
      <c r="AT13" s="549"/>
      <c r="AU13" s="549"/>
      <c r="AV13" s="549"/>
      <c r="AW13" s="549"/>
      <c r="AX13" s="549"/>
      <c r="AY13" s="549"/>
      <c r="AZ13" s="549"/>
      <c r="BA13" s="549"/>
      <c r="BB13" s="549"/>
      <c r="BC13" s="549"/>
      <c r="BD13" s="549"/>
      <c r="BE13" s="549"/>
      <c r="BF13" s="549"/>
      <c r="BG13" s="549"/>
      <c r="BH13" s="549"/>
      <c r="BI13" s="549"/>
      <c r="BJ13" s="549"/>
      <c r="BK13" s="549"/>
      <c r="BL13" s="549"/>
      <c r="BM13" s="549"/>
      <c r="BN13" s="549"/>
      <c r="BO13" s="549"/>
      <c r="BP13" s="549"/>
      <c r="BQ13" s="549"/>
      <c r="BR13" s="549"/>
      <c r="BS13" s="549"/>
      <c r="BT13" s="549"/>
      <c r="BU13" s="549"/>
      <c r="BV13" s="549"/>
      <c r="BW13" s="549"/>
      <c r="BX13" s="549"/>
      <c r="BY13" s="549"/>
      <c r="BZ13" s="549"/>
      <c r="CA13" s="549"/>
      <c r="CB13" s="549"/>
      <c r="CC13" s="549"/>
      <c r="CD13" s="549"/>
      <c r="CE13" s="549"/>
      <c r="CF13" s="549"/>
      <c r="CG13" s="549"/>
    </row>
    <row r="14">
      <c r="A14" s="549"/>
      <c r="B14" s="568" t="s">
        <v>1869</v>
      </c>
      <c r="C14" s="349" t="s">
        <v>1901</v>
      </c>
      <c r="D14" s="556" t="s">
        <v>1902</v>
      </c>
      <c r="E14" s="557" t="s">
        <v>1871</v>
      </c>
      <c r="F14" s="558" t="s">
        <v>1872</v>
      </c>
      <c r="G14" s="557" t="s">
        <v>1903</v>
      </c>
      <c r="H14" s="559" t="s">
        <v>1874</v>
      </c>
      <c r="I14" s="562" t="s">
        <v>1878</v>
      </c>
      <c r="J14" s="563" t="s">
        <v>1879</v>
      </c>
      <c r="K14" s="565" t="s">
        <v>1881</v>
      </c>
      <c r="L14" s="566" t="s">
        <v>1882</v>
      </c>
      <c r="M14" s="563" t="s">
        <v>1883</v>
      </c>
      <c r="N14" s="566" t="s">
        <v>1904</v>
      </c>
      <c r="O14" s="578" t="s">
        <v>1889</v>
      </c>
      <c r="P14" s="549"/>
      <c r="Q14" s="549"/>
      <c r="R14" s="549"/>
      <c r="S14" s="549"/>
      <c r="T14" s="549"/>
      <c r="U14" s="549"/>
      <c r="V14" s="549"/>
      <c r="W14" s="549"/>
      <c r="X14" s="549"/>
      <c r="Y14" s="549"/>
      <c r="Z14" s="549"/>
      <c r="AA14" s="549"/>
      <c r="AB14" s="549"/>
      <c r="AC14" s="549"/>
      <c r="AD14" s="549"/>
      <c r="AE14" s="549"/>
      <c r="AF14" s="549"/>
      <c r="AG14" s="549"/>
      <c r="AH14" s="549"/>
      <c r="AI14" s="549"/>
      <c r="AJ14" s="549"/>
      <c r="AK14" s="549"/>
      <c r="AL14" s="549"/>
      <c r="AM14" s="549"/>
      <c r="AN14" s="549"/>
      <c r="AO14" s="549"/>
      <c r="AP14" s="549"/>
      <c r="AQ14" s="549"/>
      <c r="AR14" s="549"/>
      <c r="AS14" s="549"/>
      <c r="AT14" s="549"/>
      <c r="AU14" s="549"/>
      <c r="AV14" s="549"/>
      <c r="AW14" s="549"/>
      <c r="AX14" s="549"/>
      <c r="AY14" s="549"/>
      <c r="AZ14" s="549"/>
      <c r="BA14" s="549"/>
      <c r="BB14" s="549"/>
      <c r="BC14" s="549"/>
      <c r="BD14" s="549"/>
      <c r="BE14" s="549"/>
      <c r="BF14" s="549"/>
      <c r="BG14" s="549"/>
      <c r="BH14" s="549"/>
      <c r="BI14" s="549"/>
      <c r="BJ14" s="549"/>
      <c r="BK14" s="549"/>
      <c r="BL14" s="549"/>
      <c r="BM14" s="549"/>
      <c r="BN14" s="549"/>
      <c r="BO14" s="549"/>
      <c r="BP14" s="549"/>
      <c r="BQ14" s="549"/>
      <c r="BR14" s="549"/>
      <c r="BS14" s="549"/>
      <c r="BT14" s="549"/>
      <c r="BU14" s="549"/>
      <c r="BV14" s="549"/>
      <c r="BW14" s="549"/>
      <c r="BX14" s="549"/>
      <c r="BY14" s="549"/>
      <c r="BZ14" s="549"/>
      <c r="CA14" s="549"/>
      <c r="CB14" s="549"/>
      <c r="CC14" s="549"/>
      <c r="CD14" s="549"/>
      <c r="CE14" s="549"/>
      <c r="CF14" s="549"/>
      <c r="CG14" s="549"/>
    </row>
    <row r="15">
      <c r="A15" s="549"/>
      <c r="B15" s="547"/>
      <c r="C15" s="572"/>
      <c r="D15" s="573"/>
      <c r="E15" s="547"/>
      <c r="F15" s="547"/>
      <c r="G15" s="547"/>
      <c r="H15" s="574"/>
      <c r="I15" s="547"/>
      <c r="J15" s="547"/>
      <c r="K15" s="549"/>
      <c r="L15" s="549"/>
      <c r="M15" s="549"/>
      <c r="N15" s="549"/>
      <c r="O15" s="549"/>
      <c r="P15" s="549"/>
      <c r="Q15" s="549"/>
      <c r="R15" s="549"/>
      <c r="S15" s="549"/>
      <c r="T15" s="549"/>
      <c r="U15" s="549"/>
      <c r="V15" s="549"/>
      <c r="W15" s="549"/>
      <c r="X15" s="549"/>
      <c r="Y15" s="549"/>
      <c r="Z15" s="549"/>
      <c r="AA15" s="549"/>
      <c r="AB15" s="549"/>
      <c r="AC15" s="549"/>
      <c r="AD15" s="549"/>
      <c r="AE15" s="549"/>
      <c r="AF15" s="549"/>
      <c r="AG15" s="549"/>
      <c r="AH15" s="549"/>
      <c r="AI15" s="549"/>
      <c r="AJ15" s="549"/>
      <c r="AK15" s="549"/>
      <c r="AL15" s="549"/>
      <c r="AM15" s="549"/>
      <c r="AN15" s="549"/>
      <c r="AO15" s="549"/>
      <c r="AP15" s="549"/>
      <c r="AQ15" s="549"/>
      <c r="AR15" s="549"/>
      <c r="AS15" s="549"/>
      <c r="AT15" s="549"/>
      <c r="AU15" s="549"/>
      <c r="AV15" s="549"/>
      <c r="AW15" s="549"/>
      <c r="AX15" s="549"/>
      <c r="AY15" s="549"/>
      <c r="AZ15" s="549"/>
      <c r="BA15" s="549"/>
      <c r="BB15" s="549"/>
      <c r="BC15" s="549"/>
      <c r="BD15" s="549"/>
      <c r="BE15" s="549"/>
      <c r="BF15" s="549"/>
      <c r="BG15" s="549"/>
      <c r="BH15" s="549"/>
      <c r="BI15" s="549"/>
      <c r="BJ15" s="549"/>
      <c r="BK15" s="549"/>
      <c r="BL15" s="549"/>
      <c r="BM15" s="549"/>
      <c r="BN15" s="549"/>
      <c r="BO15" s="549"/>
      <c r="BP15" s="549"/>
      <c r="BQ15" s="549"/>
      <c r="BR15" s="549"/>
      <c r="BS15" s="549"/>
      <c r="BT15" s="549"/>
      <c r="BU15" s="549"/>
      <c r="BV15" s="549"/>
      <c r="BW15" s="549"/>
      <c r="BX15" s="549"/>
      <c r="BY15" s="549"/>
      <c r="BZ15" s="549"/>
      <c r="CA15" s="549"/>
      <c r="CB15" s="549"/>
      <c r="CC15" s="549"/>
      <c r="CD15" s="549"/>
      <c r="CE15" s="549"/>
      <c r="CF15" s="549"/>
      <c r="CG15" s="549"/>
    </row>
    <row r="16">
      <c r="A16" s="549"/>
      <c r="B16" s="547"/>
      <c r="C16" s="572"/>
      <c r="D16" s="573"/>
      <c r="E16" s="547"/>
      <c r="F16" s="547"/>
      <c r="G16" s="547"/>
      <c r="H16" s="574"/>
      <c r="I16" s="547"/>
      <c r="J16" s="547"/>
      <c r="K16" s="549"/>
      <c r="L16" s="549"/>
      <c r="M16" s="549"/>
      <c r="N16" s="549"/>
      <c r="O16" s="549"/>
      <c r="P16" s="549"/>
      <c r="Q16" s="549"/>
      <c r="R16" s="549"/>
      <c r="S16" s="549"/>
      <c r="T16" s="549"/>
      <c r="U16" s="549"/>
      <c r="V16" s="549"/>
      <c r="W16" s="549"/>
      <c r="X16" s="549"/>
      <c r="Y16" s="549"/>
      <c r="Z16" s="549"/>
      <c r="AA16" s="549"/>
      <c r="AB16" s="549"/>
      <c r="AC16" s="549"/>
      <c r="AD16" s="549"/>
      <c r="AE16" s="549"/>
      <c r="AF16" s="549"/>
      <c r="AG16" s="549"/>
      <c r="AH16" s="549"/>
      <c r="AI16" s="549"/>
      <c r="AJ16" s="549"/>
      <c r="AK16" s="549"/>
      <c r="AL16" s="549"/>
      <c r="AM16" s="549"/>
      <c r="AN16" s="549"/>
      <c r="AO16" s="549"/>
      <c r="AP16" s="549"/>
      <c r="AQ16" s="549"/>
      <c r="AR16" s="549"/>
      <c r="AS16" s="549"/>
      <c r="AT16" s="549"/>
      <c r="AU16" s="549"/>
      <c r="AV16" s="549"/>
      <c r="AW16" s="549"/>
      <c r="AX16" s="549"/>
      <c r="AY16" s="549"/>
      <c r="AZ16" s="549"/>
      <c r="BA16" s="549"/>
      <c r="BB16" s="549"/>
      <c r="BC16" s="549"/>
      <c r="BD16" s="549"/>
      <c r="BE16" s="549"/>
      <c r="BF16" s="549"/>
      <c r="BG16" s="549"/>
      <c r="BH16" s="549"/>
      <c r="BI16" s="549"/>
      <c r="BJ16" s="549"/>
      <c r="BK16" s="549"/>
      <c r="BL16" s="549"/>
      <c r="BM16" s="549"/>
      <c r="BN16" s="549"/>
      <c r="BO16" s="549"/>
      <c r="BP16" s="549"/>
      <c r="BQ16" s="549"/>
      <c r="BR16" s="549"/>
      <c r="BS16" s="549"/>
      <c r="BT16" s="549"/>
      <c r="BU16" s="549"/>
      <c r="BV16" s="549"/>
      <c r="BW16" s="549"/>
      <c r="BX16" s="549"/>
      <c r="BY16" s="549"/>
      <c r="BZ16" s="549"/>
      <c r="CA16" s="549"/>
      <c r="CB16" s="549"/>
      <c r="CC16" s="549"/>
      <c r="CD16" s="549"/>
      <c r="CE16" s="549"/>
      <c r="CF16" s="549"/>
      <c r="CG16" s="549"/>
    </row>
    <row r="17">
      <c r="A17" s="579" t="s">
        <v>1905</v>
      </c>
      <c r="B17" s="552" t="s">
        <v>1863</v>
      </c>
      <c r="C17" s="546" t="s">
        <v>1864</v>
      </c>
      <c r="D17" s="580" t="s">
        <v>1865</v>
      </c>
      <c r="E17" s="553" t="s">
        <v>313</v>
      </c>
      <c r="F17" s="552">
        <v>1.0</v>
      </c>
      <c r="G17" s="552">
        <v>2.0</v>
      </c>
      <c r="H17" s="575">
        <v>3.0</v>
      </c>
      <c r="I17" s="552">
        <v>4.0</v>
      </c>
      <c r="J17" s="552">
        <v>5.0</v>
      </c>
      <c r="K17" s="549"/>
      <c r="L17" s="549"/>
      <c r="M17" s="549"/>
      <c r="N17" s="549"/>
      <c r="O17" s="549"/>
      <c r="P17" s="549"/>
      <c r="Q17" s="549"/>
      <c r="R17" s="549"/>
      <c r="S17" s="549"/>
      <c r="T17" s="549"/>
      <c r="U17" s="549"/>
      <c r="V17" s="549"/>
      <c r="W17" s="549"/>
      <c r="X17" s="549"/>
      <c r="Y17" s="549"/>
      <c r="Z17" s="549"/>
      <c r="AA17" s="549"/>
      <c r="AB17" s="549"/>
      <c r="AC17" s="549"/>
      <c r="AD17" s="549"/>
      <c r="AE17" s="549"/>
      <c r="AF17" s="549"/>
      <c r="AG17" s="549"/>
      <c r="AH17" s="549"/>
      <c r="AI17" s="549"/>
      <c r="AJ17" s="549"/>
      <c r="AK17" s="549"/>
      <c r="AL17" s="549"/>
      <c r="AM17" s="549"/>
      <c r="AN17" s="549"/>
      <c r="AO17" s="549"/>
      <c r="AP17" s="549"/>
      <c r="AQ17" s="549"/>
      <c r="AR17" s="549"/>
      <c r="AS17" s="549"/>
      <c r="AT17" s="549"/>
      <c r="AU17" s="549"/>
      <c r="AV17" s="549"/>
      <c r="AW17" s="549"/>
      <c r="AX17" s="549"/>
      <c r="AY17" s="549"/>
      <c r="AZ17" s="549"/>
      <c r="BA17" s="549"/>
      <c r="BB17" s="549"/>
      <c r="BC17" s="549"/>
      <c r="BD17" s="549"/>
      <c r="BE17" s="549"/>
      <c r="BF17" s="549"/>
      <c r="BG17" s="549"/>
      <c r="BH17" s="549"/>
      <c r="BI17" s="549"/>
      <c r="BJ17" s="549"/>
      <c r="BK17" s="549"/>
      <c r="BL17" s="549"/>
      <c r="BM17" s="549"/>
      <c r="BN17" s="549"/>
      <c r="BO17" s="549"/>
      <c r="BP17" s="549"/>
      <c r="BQ17" s="549"/>
      <c r="BR17" s="549"/>
      <c r="BS17" s="549"/>
      <c r="BT17" s="549"/>
      <c r="BU17" s="549"/>
      <c r="BV17" s="549"/>
      <c r="BW17" s="549"/>
      <c r="BX17" s="549"/>
      <c r="BY17" s="549"/>
      <c r="BZ17" s="549"/>
      <c r="CA17" s="549"/>
      <c r="CB17" s="549"/>
      <c r="CC17" s="549"/>
      <c r="CD17" s="549"/>
      <c r="CE17" s="549"/>
      <c r="CF17" s="549"/>
      <c r="CG17" s="549"/>
    </row>
    <row r="18">
      <c r="A18" s="581"/>
      <c r="B18" s="563" t="s">
        <v>1906</v>
      </c>
      <c r="C18" s="349" t="s">
        <v>1907</v>
      </c>
      <c r="D18" s="582" t="s">
        <v>1908</v>
      </c>
      <c r="E18" s="560" t="s">
        <v>1909</v>
      </c>
      <c r="F18" s="583" t="s">
        <v>1910</v>
      </c>
      <c r="G18" s="583" t="s">
        <v>1911</v>
      </c>
      <c r="H18" s="584" t="s">
        <v>1912</v>
      </c>
      <c r="I18" s="583" t="s">
        <v>1913</v>
      </c>
      <c r="J18" s="583" t="s">
        <v>1914</v>
      </c>
      <c r="K18" s="585"/>
      <c r="L18" s="549"/>
      <c r="M18" s="549"/>
      <c r="N18" s="549"/>
      <c r="O18" s="549"/>
      <c r="P18" s="549"/>
      <c r="Q18" s="549"/>
      <c r="R18" s="549"/>
      <c r="S18" s="549"/>
      <c r="T18" s="549"/>
      <c r="U18" s="549"/>
      <c r="V18" s="549"/>
      <c r="W18" s="549"/>
      <c r="X18" s="549"/>
      <c r="Y18" s="549"/>
      <c r="Z18" s="549"/>
      <c r="AA18" s="549"/>
      <c r="AB18" s="549"/>
      <c r="AC18" s="549"/>
      <c r="AD18" s="549"/>
      <c r="AE18" s="549"/>
      <c r="AF18" s="549"/>
      <c r="AG18" s="549"/>
      <c r="AH18" s="549"/>
      <c r="AI18" s="549"/>
      <c r="AJ18" s="549"/>
      <c r="AK18" s="549"/>
      <c r="AL18" s="549"/>
      <c r="AM18" s="549"/>
      <c r="AN18" s="549"/>
      <c r="AO18" s="549"/>
      <c r="AP18" s="549"/>
      <c r="AQ18" s="549"/>
      <c r="AR18" s="549"/>
      <c r="AS18" s="549"/>
      <c r="AT18" s="549"/>
      <c r="AU18" s="549"/>
      <c r="AV18" s="549"/>
      <c r="AW18" s="549"/>
      <c r="AX18" s="549"/>
      <c r="AY18" s="549"/>
      <c r="AZ18" s="549"/>
      <c r="BA18" s="549"/>
      <c r="BB18" s="549"/>
      <c r="BC18" s="549"/>
      <c r="BD18" s="549"/>
      <c r="BE18" s="549"/>
      <c r="BF18" s="549"/>
      <c r="BG18" s="549"/>
      <c r="BH18" s="549"/>
      <c r="BI18" s="549"/>
      <c r="BJ18" s="549"/>
      <c r="BK18" s="549"/>
      <c r="BL18" s="549"/>
      <c r="BM18" s="549"/>
      <c r="BN18" s="549"/>
      <c r="BO18" s="549"/>
      <c r="BP18" s="549"/>
      <c r="BQ18" s="549"/>
      <c r="BR18" s="549"/>
      <c r="BS18" s="549"/>
      <c r="BT18" s="549"/>
      <c r="BU18" s="549"/>
      <c r="BV18" s="549"/>
      <c r="BW18" s="549"/>
      <c r="BX18" s="549"/>
      <c r="BY18" s="549"/>
      <c r="BZ18" s="549"/>
      <c r="CA18" s="549"/>
      <c r="CB18" s="549"/>
      <c r="CC18" s="549"/>
      <c r="CD18" s="549"/>
      <c r="CE18" s="549"/>
      <c r="CF18" s="549"/>
      <c r="CG18" s="549"/>
    </row>
    <row r="19">
      <c r="A19" s="581"/>
      <c r="B19" s="563" t="s">
        <v>1906</v>
      </c>
      <c r="C19" s="349" t="s">
        <v>1915</v>
      </c>
      <c r="D19" s="582" t="s">
        <v>1916</v>
      </c>
      <c r="E19" s="560" t="s">
        <v>1909</v>
      </c>
      <c r="F19" s="583" t="s">
        <v>1910</v>
      </c>
      <c r="G19" s="583" t="s">
        <v>1911</v>
      </c>
      <c r="H19" s="584" t="s">
        <v>1917</v>
      </c>
      <c r="I19" s="583" t="s">
        <v>1913</v>
      </c>
      <c r="J19" s="583" t="s">
        <v>1914</v>
      </c>
      <c r="K19" s="585"/>
      <c r="L19" s="549"/>
      <c r="M19" s="549"/>
      <c r="N19" s="549"/>
      <c r="O19" s="549"/>
      <c r="P19" s="549"/>
      <c r="Q19" s="549"/>
      <c r="R19" s="549"/>
      <c r="S19" s="549"/>
      <c r="T19" s="549"/>
      <c r="U19" s="549"/>
      <c r="V19" s="549"/>
      <c r="W19" s="549"/>
      <c r="X19" s="549"/>
      <c r="Y19" s="549"/>
      <c r="Z19" s="549"/>
      <c r="AA19" s="549"/>
      <c r="AB19" s="549"/>
      <c r="AC19" s="549"/>
      <c r="AD19" s="549"/>
      <c r="AE19" s="549"/>
      <c r="AF19" s="549"/>
      <c r="AG19" s="549"/>
      <c r="AH19" s="549"/>
      <c r="AI19" s="549"/>
      <c r="AJ19" s="549"/>
      <c r="AK19" s="549"/>
      <c r="AL19" s="549"/>
      <c r="AM19" s="549"/>
      <c r="AN19" s="549"/>
      <c r="AO19" s="549"/>
      <c r="AP19" s="549"/>
      <c r="AQ19" s="549"/>
      <c r="AR19" s="549"/>
      <c r="AS19" s="549"/>
      <c r="AT19" s="549"/>
      <c r="AU19" s="549"/>
      <c r="AV19" s="549"/>
      <c r="AW19" s="549"/>
      <c r="AX19" s="549"/>
      <c r="AY19" s="549"/>
      <c r="AZ19" s="549"/>
      <c r="BA19" s="549"/>
      <c r="BB19" s="549"/>
      <c r="BC19" s="549"/>
      <c r="BD19" s="549"/>
      <c r="BE19" s="549"/>
      <c r="BF19" s="549"/>
      <c r="BG19" s="549"/>
      <c r="BH19" s="549"/>
      <c r="BI19" s="549"/>
      <c r="BJ19" s="549"/>
      <c r="BK19" s="549"/>
      <c r="BL19" s="549"/>
      <c r="BM19" s="549"/>
      <c r="BN19" s="549"/>
      <c r="BO19" s="549"/>
      <c r="BP19" s="549"/>
      <c r="BQ19" s="549"/>
      <c r="BR19" s="549"/>
      <c r="BS19" s="549"/>
      <c r="BT19" s="549"/>
      <c r="BU19" s="549"/>
      <c r="BV19" s="549"/>
      <c r="BW19" s="549"/>
      <c r="BX19" s="549"/>
      <c r="BY19" s="549"/>
      <c r="BZ19" s="549"/>
      <c r="CA19" s="549"/>
      <c r="CB19" s="549"/>
      <c r="CC19" s="549"/>
      <c r="CD19" s="549"/>
      <c r="CE19" s="549"/>
      <c r="CF19" s="549"/>
      <c r="CG19" s="549"/>
    </row>
    <row r="20">
      <c r="A20" s="549"/>
      <c r="B20" s="547"/>
      <c r="C20" s="572"/>
      <c r="D20" s="573"/>
      <c r="E20" s="547"/>
      <c r="F20" s="547"/>
      <c r="G20" s="547"/>
      <c r="H20" s="586"/>
      <c r="I20" s="547"/>
      <c r="J20" s="547"/>
      <c r="K20" s="547"/>
      <c r="L20" s="547"/>
      <c r="M20" s="547"/>
      <c r="N20" s="547"/>
      <c r="O20" s="547"/>
      <c r="P20" s="547"/>
      <c r="Q20" s="547"/>
      <c r="R20" s="547"/>
      <c r="S20" s="547"/>
      <c r="T20" s="547"/>
      <c r="U20" s="547"/>
      <c r="V20" s="547"/>
      <c r="W20" s="547"/>
      <c r="X20" s="547"/>
      <c r="Y20" s="547"/>
      <c r="Z20" s="547"/>
      <c r="AA20" s="547"/>
      <c r="AB20" s="547"/>
      <c r="AC20" s="547"/>
      <c r="AD20" s="547"/>
      <c r="AE20" s="547"/>
      <c r="AF20" s="547"/>
      <c r="AG20" s="547"/>
      <c r="AH20" s="547"/>
      <c r="AI20" s="547"/>
      <c r="AJ20" s="547"/>
      <c r="AK20" s="547"/>
      <c r="AL20" s="547"/>
      <c r="AM20" s="547"/>
      <c r="AN20" s="547"/>
      <c r="AO20" s="547"/>
      <c r="AP20" s="549"/>
      <c r="AQ20" s="549"/>
      <c r="AR20" s="549"/>
      <c r="AS20" s="549"/>
      <c r="AT20" s="549"/>
      <c r="AU20" s="549"/>
      <c r="AV20" s="549"/>
      <c r="AW20" s="549"/>
      <c r="AX20" s="549"/>
      <c r="AY20" s="549"/>
      <c r="AZ20" s="549"/>
      <c r="BA20" s="549"/>
      <c r="BB20" s="549"/>
      <c r="BC20" s="549"/>
      <c r="BD20" s="549"/>
      <c r="BE20" s="549"/>
      <c r="BF20" s="549"/>
      <c r="BG20" s="549"/>
      <c r="BH20" s="549"/>
      <c r="BI20" s="549"/>
      <c r="BJ20" s="549"/>
      <c r="BK20" s="549"/>
      <c r="BL20" s="549"/>
      <c r="BM20" s="549"/>
      <c r="BN20" s="549"/>
      <c r="BO20" s="549"/>
      <c r="BP20" s="549"/>
      <c r="BQ20" s="549"/>
      <c r="BR20" s="549"/>
      <c r="BS20" s="549"/>
      <c r="BT20" s="549"/>
      <c r="BU20" s="549"/>
      <c r="BV20" s="549"/>
      <c r="BW20" s="549"/>
      <c r="BX20" s="549"/>
      <c r="BY20" s="549"/>
      <c r="BZ20" s="549"/>
      <c r="CA20" s="549"/>
      <c r="CB20" s="549"/>
      <c r="CC20" s="549"/>
      <c r="CD20" s="549"/>
      <c r="CE20" s="549"/>
      <c r="CF20" s="549"/>
      <c r="CG20" s="549"/>
    </row>
    <row r="21">
      <c r="A21" s="549"/>
      <c r="B21" s="547"/>
      <c r="C21" s="572"/>
      <c r="D21" s="573"/>
      <c r="E21" s="547"/>
      <c r="F21" s="547"/>
      <c r="G21" s="547"/>
      <c r="H21" s="586"/>
      <c r="I21" s="547"/>
      <c r="J21" s="547"/>
      <c r="K21" s="547"/>
      <c r="L21" s="547"/>
      <c r="M21" s="547"/>
      <c r="N21" s="547"/>
      <c r="O21" s="547"/>
      <c r="P21" s="547"/>
      <c r="Q21" s="547"/>
      <c r="R21" s="547"/>
      <c r="S21" s="547"/>
      <c r="T21" s="547"/>
      <c r="U21" s="547"/>
      <c r="V21" s="547"/>
      <c r="W21" s="547"/>
      <c r="X21" s="547"/>
      <c r="Y21" s="547"/>
      <c r="Z21" s="547"/>
      <c r="AA21" s="547"/>
      <c r="AB21" s="547"/>
      <c r="AC21" s="547"/>
      <c r="AD21" s="547"/>
      <c r="AE21" s="547"/>
      <c r="AF21" s="547"/>
      <c r="AG21" s="547"/>
      <c r="AH21" s="547"/>
      <c r="AI21" s="547"/>
      <c r="AJ21" s="547"/>
      <c r="AK21" s="547"/>
      <c r="AL21" s="547"/>
      <c r="AM21" s="547"/>
      <c r="AN21" s="547"/>
      <c r="AO21" s="547"/>
      <c r="AP21" s="549"/>
      <c r="AQ21" s="549"/>
      <c r="AR21" s="549"/>
      <c r="AS21" s="549"/>
      <c r="AT21" s="549"/>
      <c r="AU21" s="549"/>
      <c r="AV21" s="549"/>
      <c r="AW21" s="549"/>
      <c r="AX21" s="549"/>
      <c r="AY21" s="549"/>
      <c r="AZ21" s="549"/>
      <c r="BA21" s="549"/>
      <c r="BB21" s="549"/>
      <c r="BC21" s="549"/>
      <c r="BD21" s="549"/>
      <c r="BE21" s="549"/>
      <c r="BF21" s="549"/>
      <c r="BG21" s="549"/>
      <c r="BH21" s="549"/>
      <c r="BI21" s="549"/>
      <c r="BJ21" s="549"/>
      <c r="BK21" s="549"/>
      <c r="BL21" s="549"/>
      <c r="BM21" s="549"/>
      <c r="BN21" s="549"/>
      <c r="BO21" s="549"/>
      <c r="BP21" s="549"/>
      <c r="BQ21" s="549"/>
      <c r="BR21" s="549"/>
      <c r="BS21" s="549"/>
      <c r="BT21" s="549"/>
      <c r="BU21" s="549"/>
      <c r="BV21" s="549"/>
      <c r="BW21" s="549"/>
      <c r="BX21" s="549"/>
      <c r="BY21" s="549"/>
      <c r="BZ21" s="549"/>
      <c r="CA21" s="549"/>
      <c r="CB21" s="549"/>
      <c r="CC21" s="549"/>
      <c r="CD21" s="549"/>
      <c r="CE21" s="549"/>
      <c r="CF21" s="549"/>
      <c r="CG21" s="549"/>
    </row>
    <row r="22">
      <c r="A22" s="587" t="s">
        <v>1551</v>
      </c>
      <c r="B22" s="552" t="s">
        <v>1863</v>
      </c>
      <c r="C22" s="546" t="s">
        <v>1864</v>
      </c>
      <c r="D22" s="580" t="s">
        <v>1865</v>
      </c>
      <c r="E22" s="552" t="s">
        <v>1866</v>
      </c>
      <c r="F22" s="553" t="s">
        <v>1867</v>
      </c>
      <c r="G22" s="553" t="s">
        <v>1868</v>
      </c>
      <c r="H22" s="552">
        <v>1.0</v>
      </c>
      <c r="I22" s="552">
        <v>2.0</v>
      </c>
      <c r="J22" s="575" t="s">
        <v>1918</v>
      </c>
      <c r="K22" s="575" t="s">
        <v>1918</v>
      </c>
      <c r="L22" s="575">
        <v>3.0</v>
      </c>
      <c r="M22" s="552">
        <v>4.0</v>
      </c>
      <c r="N22" s="552">
        <v>5.0</v>
      </c>
      <c r="O22" s="575">
        <v>6.0</v>
      </c>
      <c r="P22" s="552">
        <v>7.0</v>
      </c>
      <c r="Q22" s="552">
        <v>8.0</v>
      </c>
      <c r="R22" s="575">
        <v>9.0</v>
      </c>
      <c r="S22" s="552">
        <v>10.0</v>
      </c>
      <c r="T22" s="552">
        <v>11.0</v>
      </c>
      <c r="U22" s="553">
        <v>12.0</v>
      </c>
      <c r="V22" s="552">
        <v>13.0</v>
      </c>
      <c r="W22" s="552">
        <v>14.0</v>
      </c>
      <c r="X22" s="553">
        <v>15.0</v>
      </c>
      <c r="Y22" s="552">
        <v>16.0</v>
      </c>
      <c r="Z22" s="552">
        <v>17.0</v>
      </c>
      <c r="AA22" s="553">
        <v>18.0</v>
      </c>
      <c r="AB22" s="552">
        <v>19.0</v>
      </c>
      <c r="AC22" s="552">
        <v>20.0</v>
      </c>
      <c r="AD22" s="553">
        <v>21.0</v>
      </c>
      <c r="AE22" s="552">
        <v>22.0</v>
      </c>
      <c r="AF22" s="552">
        <v>23.0</v>
      </c>
      <c r="AG22" s="553">
        <v>24.0</v>
      </c>
      <c r="AH22" s="552">
        <v>25.0</v>
      </c>
      <c r="AI22" s="552">
        <v>26.0</v>
      </c>
      <c r="AJ22" s="553">
        <v>27.0</v>
      </c>
      <c r="AK22" s="552">
        <v>28.0</v>
      </c>
      <c r="AL22" s="552">
        <v>29.0</v>
      </c>
      <c r="AM22" s="553">
        <v>30.0</v>
      </c>
      <c r="AN22" s="552">
        <v>31.0</v>
      </c>
      <c r="AO22" s="552">
        <v>32.0</v>
      </c>
      <c r="AP22" s="553">
        <v>33.0</v>
      </c>
      <c r="AQ22" s="552">
        <v>34.0</v>
      </c>
      <c r="AR22" s="552">
        <v>35.0</v>
      </c>
      <c r="AS22" s="553">
        <v>36.0</v>
      </c>
      <c r="AT22" s="549"/>
      <c r="AU22" s="549"/>
      <c r="AV22" s="549"/>
      <c r="AW22" s="549"/>
      <c r="AX22" s="549"/>
      <c r="AY22" s="549"/>
      <c r="AZ22" s="549"/>
      <c r="BA22" s="549"/>
      <c r="BB22" s="549"/>
      <c r="BC22" s="549"/>
      <c r="BD22" s="549"/>
      <c r="BE22" s="549"/>
      <c r="BF22" s="549"/>
      <c r="BG22" s="549"/>
      <c r="BH22" s="549"/>
      <c r="BI22" s="549"/>
      <c r="BJ22" s="549"/>
      <c r="BK22" s="549"/>
      <c r="BL22" s="549"/>
      <c r="BM22" s="549"/>
      <c r="BN22" s="549"/>
      <c r="BO22" s="549"/>
      <c r="BP22" s="549"/>
      <c r="BQ22" s="549"/>
      <c r="BR22" s="549"/>
      <c r="BS22" s="549"/>
      <c r="BT22" s="549"/>
      <c r="BU22" s="549"/>
      <c r="BV22" s="549"/>
      <c r="BW22" s="549"/>
      <c r="BX22" s="549"/>
      <c r="BY22" s="549"/>
      <c r="BZ22" s="549"/>
      <c r="CA22" s="549"/>
      <c r="CB22" s="549"/>
      <c r="CC22" s="549"/>
      <c r="CD22" s="549"/>
      <c r="CE22" s="549"/>
      <c r="CF22" s="549"/>
      <c r="CG22" s="549"/>
    </row>
    <row r="23">
      <c r="A23" s="581"/>
      <c r="B23" s="563" t="s">
        <v>1869</v>
      </c>
      <c r="C23" s="316" t="s">
        <v>422</v>
      </c>
      <c r="D23" s="588" t="s">
        <v>1919</v>
      </c>
      <c r="E23" s="557" t="s">
        <v>1871</v>
      </c>
      <c r="F23" s="558" t="s">
        <v>1872</v>
      </c>
      <c r="G23" s="558" t="s">
        <v>1873</v>
      </c>
      <c r="H23" s="559" t="s">
        <v>1874</v>
      </c>
      <c r="I23" s="560" t="s">
        <v>1875</v>
      </c>
      <c r="J23" s="563" t="s">
        <v>1920</v>
      </c>
      <c r="K23" s="563" t="s">
        <v>1921</v>
      </c>
      <c r="L23" s="561" t="s">
        <v>1876</v>
      </c>
      <c r="M23" s="561" t="s">
        <v>1877</v>
      </c>
      <c r="N23" s="562" t="s">
        <v>1878</v>
      </c>
      <c r="O23" s="563" t="s">
        <v>1879</v>
      </c>
      <c r="P23" s="564" t="s">
        <v>1880</v>
      </c>
      <c r="Q23" s="565" t="s">
        <v>1881</v>
      </c>
      <c r="R23" s="566" t="s">
        <v>1882</v>
      </c>
      <c r="S23" s="563" t="s">
        <v>1883</v>
      </c>
      <c r="T23" s="566" t="s">
        <v>1884</v>
      </c>
      <c r="U23" s="563" t="s">
        <v>1886</v>
      </c>
      <c r="V23" s="563" t="s">
        <v>1922</v>
      </c>
      <c r="W23" s="560" t="s">
        <v>1923</v>
      </c>
      <c r="X23" s="563" t="s">
        <v>1924</v>
      </c>
      <c r="Y23" s="563" t="s">
        <v>1925</v>
      </c>
      <c r="Z23" s="563" t="s">
        <v>1926</v>
      </c>
      <c r="AA23" s="563" t="s">
        <v>1927</v>
      </c>
      <c r="AB23" s="566" t="s">
        <v>1928</v>
      </c>
      <c r="AC23" s="589" t="s">
        <v>1929</v>
      </c>
      <c r="AD23" s="566" t="s">
        <v>1930</v>
      </c>
      <c r="AE23" s="566" t="s">
        <v>1931</v>
      </c>
      <c r="AF23" s="566" t="s">
        <v>1932</v>
      </c>
      <c r="AG23" s="566" t="s">
        <v>1933</v>
      </c>
      <c r="AH23" s="590" t="s">
        <v>1934</v>
      </c>
      <c r="AI23" s="566" t="s">
        <v>1935</v>
      </c>
      <c r="AJ23" s="566" t="s">
        <v>1936</v>
      </c>
      <c r="AK23" s="566" t="s">
        <v>1937</v>
      </c>
      <c r="AL23" s="566" t="s">
        <v>1938</v>
      </c>
      <c r="AM23" s="566" t="s">
        <v>1939</v>
      </c>
      <c r="AN23" s="566" t="s">
        <v>1940</v>
      </c>
      <c r="AO23" s="566" t="s">
        <v>1904</v>
      </c>
      <c r="AP23" s="567" t="s">
        <v>1889</v>
      </c>
      <c r="AQ23" s="566"/>
      <c r="AR23" s="560"/>
      <c r="AS23" s="549"/>
      <c r="AT23" s="549"/>
      <c r="AU23" s="549"/>
      <c r="AV23" s="549"/>
      <c r="AW23" s="549"/>
      <c r="AX23" s="549"/>
      <c r="AY23" s="549"/>
      <c r="AZ23" s="549"/>
      <c r="BA23" s="549"/>
      <c r="BB23" s="549"/>
      <c r="BC23" s="549"/>
      <c r="BD23" s="549"/>
      <c r="BE23" s="549"/>
      <c r="BF23" s="549"/>
      <c r="BG23" s="549"/>
      <c r="BH23" s="549"/>
      <c r="BI23" s="549"/>
      <c r="BJ23" s="549"/>
      <c r="BK23" s="549"/>
      <c r="BL23" s="549"/>
      <c r="BM23" s="549"/>
      <c r="BN23" s="549"/>
      <c r="BO23" s="549"/>
      <c r="BP23" s="549"/>
      <c r="BQ23" s="549"/>
      <c r="BR23" s="549"/>
      <c r="BS23" s="549"/>
      <c r="BT23" s="549"/>
      <c r="BU23" s="549"/>
      <c r="BV23" s="549"/>
      <c r="BW23" s="549"/>
      <c r="BX23" s="549"/>
      <c r="BY23" s="549"/>
      <c r="BZ23" s="549"/>
      <c r="CA23" s="549"/>
      <c r="CB23" s="549"/>
      <c r="CC23" s="549"/>
      <c r="CD23" s="549"/>
      <c r="CE23" s="549"/>
      <c r="CF23" s="549"/>
      <c r="CG23" s="549"/>
    </row>
    <row r="24">
      <c r="A24" s="581"/>
      <c r="B24" s="563" t="s">
        <v>1869</v>
      </c>
      <c r="C24" s="316" t="s">
        <v>1941</v>
      </c>
      <c r="D24" s="588" t="s">
        <v>1919</v>
      </c>
      <c r="E24" s="557" t="s">
        <v>1871</v>
      </c>
      <c r="F24" s="558" t="s">
        <v>1872</v>
      </c>
      <c r="G24" s="558" t="s">
        <v>1873</v>
      </c>
      <c r="H24" s="559" t="s">
        <v>1874</v>
      </c>
      <c r="I24" s="560" t="s">
        <v>1875</v>
      </c>
      <c r="J24" s="563" t="s">
        <v>1920</v>
      </c>
      <c r="K24" s="563" t="s">
        <v>1921</v>
      </c>
      <c r="L24" s="561" t="s">
        <v>1876</v>
      </c>
      <c r="M24" s="561" t="s">
        <v>1877</v>
      </c>
      <c r="N24" s="562" t="s">
        <v>1878</v>
      </c>
      <c r="O24" s="563" t="s">
        <v>1879</v>
      </c>
      <c r="P24" s="564" t="s">
        <v>1880</v>
      </c>
      <c r="Q24" s="565" t="s">
        <v>1881</v>
      </c>
      <c r="R24" s="566" t="s">
        <v>1882</v>
      </c>
      <c r="S24" s="563" t="s">
        <v>1883</v>
      </c>
      <c r="T24" s="566" t="s">
        <v>1884</v>
      </c>
      <c r="U24" s="563" t="s">
        <v>1886</v>
      </c>
      <c r="V24" s="563" t="s">
        <v>1922</v>
      </c>
      <c r="W24" s="560" t="s">
        <v>1923</v>
      </c>
      <c r="X24" s="563" t="s">
        <v>1924</v>
      </c>
      <c r="Y24" s="563" t="s">
        <v>1925</v>
      </c>
      <c r="Z24" s="563" t="s">
        <v>1926</v>
      </c>
      <c r="AA24" s="563" t="s">
        <v>1927</v>
      </c>
      <c r="AB24" s="563" t="s">
        <v>1942</v>
      </c>
      <c r="AC24" s="566" t="s">
        <v>1928</v>
      </c>
      <c r="AD24" s="589" t="s">
        <v>1929</v>
      </c>
      <c r="AE24" s="566" t="s">
        <v>1930</v>
      </c>
      <c r="AF24" s="566" t="s">
        <v>1931</v>
      </c>
      <c r="AG24" s="566" t="s">
        <v>1932</v>
      </c>
      <c r="AH24" s="566" t="s">
        <v>1933</v>
      </c>
      <c r="AI24" s="590" t="s">
        <v>1934</v>
      </c>
      <c r="AJ24" s="566" t="s">
        <v>1935</v>
      </c>
      <c r="AK24" s="566" t="s">
        <v>1936</v>
      </c>
      <c r="AL24" s="566" t="s">
        <v>1937</v>
      </c>
      <c r="AM24" s="566" t="s">
        <v>1938</v>
      </c>
      <c r="AN24" s="566" t="s">
        <v>1939</v>
      </c>
      <c r="AO24" s="566" t="s">
        <v>1940</v>
      </c>
      <c r="AP24" s="566" t="s">
        <v>1904</v>
      </c>
      <c r="AQ24" s="567" t="s">
        <v>1889</v>
      </c>
      <c r="AR24" s="566"/>
      <c r="AS24" s="560"/>
      <c r="AT24" s="549"/>
      <c r="AU24" s="549"/>
      <c r="AV24" s="549"/>
      <c r="AW24" s="549"/>
      <c r="AX24" s="549"/>
      <c r="AY24" s="549"/>
      <c r="AZ24" s="549"/>
      <c r="BA24" s="549"/>
      <c r="BB24" s="549"/>
      <c r="BC24" s="549"/>
      <c r="BD24" s="549"/>
      <c r="BE24" s="549"/>
      <c r="BF24" s="549"/>
      <c r="BG24" s="549"/>
      <c r="BH24" s="549"/>
      <c r="BI24" s="549"/>
      <c r="BJ24" s="549"/>
      <c r="BK24" s="549"/>
      <c r="BL24" s="549"/>
      <c r="BM24" s="549"/>
      <c r="BN24" s="549"/>
      <c r="BO24" s="549"/>
      <c r="BP24" s="549"/>
      <c r="BQ24" s="549"/>
      <c r="BR24" s="549"/>
      <c r="BS24" s="549"/>
      <c r="BT24" s="549"/>
      <c r="BU24" s="549"/>
      <c r="BV24" s="549"/>
      <c r="BW24" s="549"/>
      <c r="BX24" s="549"/>
      <c r="BY24" s="549"/>
      <c r="BZ24" s="549"/>
      <c r="CA24" s="549"/>
      <c r="CB24" s="549"/>
      <c r="CC24" s="549"/>
      <c r="CD24" s="549"/>
      <c r="CE24" s="549"/>
      <c r="CF24" s="549"/>
      <c r="CG24" s="549"/>
    </row>
    <row r="25">
      <c r="A25" s="581"/>
      <c r="B25" s="563" t="s">
        <v>1869</v>
      </c>
      <c r="C25" s="332" t="s">
        <v>503</v>
      </c>
      <c r="D25" s="591" t="s">
        <v>1943</v>
      </c>
      <c r="E25" s="557" t="s">
        <v>1871</v>
      </c>
      <c r="F25" s="558" t="s">
        <v>1872</v>
      </c>
      <c r="G25" s="558" t="s">
        <v>1873</v>
      </c>
      <c r="H25" s="559" t="s">
        <v>1874</v>
      </c>
      <c r="I25" s="560" t="s">
        <v>1875</v>
      </c>
      <c r="J25" s="563" t="s">
        <v>1920</v>
      </c>
      <c r="K25" s="563" t="s">
        <v>1921</v>
      </c>
      <c r="L25" s="561" t="s">
        <v>1876</v>
      </c>
      <c r="M25" s="561" t="s">
        <v>1877</v>
      </c>
      <c r="N25" s="562" t="s">
        <v>1878</v>
      </c>
      <c r="O25" s="563" t="s">
        <v>1879</v>
      </c>
      <c r="P25" s="570" t="s">
        <v>1891</v>
      </c>
      <c r="Q25" s="564" t="s">
        <v>1880</v>
      </c>
      <c r="R25" s="566" t="s">
        <v>1881</v>
      </c>
      <c r="S25" s="566" t="s">
        <v>1882</v>
      </c>
      <c r="T25" s="566" t="s">
        <v>1892</v>
      </c>
      <c r="U25" s="563" t="s">
        <v>1883</v>
      </c>
      <c r="V25" s="566" t="s">
        <v>1884</v>
      </c>
      <c r="W25" s="563" t="s">
        <v>1886</v>
      </c>
      <c r="X25" s="563" t="s">
        <v>1922</v>
      </c>
      <c r="Y25" s="560" t="s">
        <v>1923</v>
      </c>
      <c r="Z25" s="563" t="s">
        <v>1924</v>
      </c>
      <c r="AA25" s="563" t="s">
        <v>1925</v>
      </c>
      <c r="AB25" s="563" t="s">
        <v>1926</v>
      </c>
      <c r="AC25" s="563" t="s">
        <v>1927</v>
      </c>
      <c r="AD25" s="566" t="s">
        <v>1928</v>
      </c>
      <c r="AE25" s="589" t="s">
        <v>1929</v>
      </c>
      <c r="AF25" s="566" t="s">
        <v>1930</v>
      </c>
      <c r="AG25" s="566" t="s">
        <v>1931</v>
      </c>
      <c r="AH25" s="566" t="s">
        <v>1932</v>
      </c>
      <c r="AI25" s="566" t="s">
        <v>1933</v>
      </c>
      <c r="AJ25" s="566" t="s">
        <v>1934</v>
      </c>
      <c r="AK25" s="566" t="s">
        <v>1935</v>
      </c>
      <c r="AL25" s="566" t="s">
        <v>1936</v>
      </c>
      <c r="AM25" s="566" t="s">
        <v>1937</v>
      </c>
      <c r="AN25" s="566" t="s">
        <v>1938</v>
      </c>
      <c r="AO25" s="566" t="s">
        <v>1939</v>
      </c>
      <c r="AP25" s="566" t="s">
        <v>1940</v>
      </c>
      <c r="AQ25" s="566" t="s">
        <v>1904</v>
      </c>
      <c r="AR25" s="567" t="s">
        <v>1889</v>
      </c>
      <c r="AS25" s="559"/>
      <c r="AT25" s="549"/>
      <c r="AU25" s="549"/>
      <c r="AV25" s="549"/>
      <c r="AW25" s="549"/>
      <c r="AX25" s="549"/>
      <c r="AY25" s="549"/>
      <c r="AZ25" s="549"/>
      <c r="BA25" s="549"/>
      <c r="BB25" s="549"/>
      <c r="BC25" s="549"/>
      <c r="BD25" s="549"/>
      <c r="BE25" s="549"/>
      <c r="BF25" s="549"/>
      <c r="BG25" s="549"/>
      <c r="BH25" s="549"/>
      <c r="BI25" s="549"/>
      <c r="BJ25" s="549"/>
      <c r="BK25" s="549"/>
      <c r="BL25" s="549"/>
      <c r="BM25" s="549"/>
      <c r="BN25" s="549"/>
      <c r="BO25" s="549"/>
      <c r="BP25" s="549"/>
      <c r="BQ25" s="549"/>
      <c r="BR25" s="549"/>
      <c r="BS25" s="549"/>
      <c r="BT25" s="549"/>
      <c r="BU25" s="549"/>
      <c r="BV25" s="549"/>
      <c r="BW25" s="549"/>
      <c r="BX25" s="549"/>
      <c r="BY25" s="549"/>
      <c r="BZ25" s="549"/>
      <c r="CA25" s="549"/>
      <c r="CB25" s="549"/>
      <c r="CC25" s="549"/>
      <c r="CD25" s="549"/>
      <c r="CE25" s="549"/>
      <c r="CF25" s="549"/>
      <c r="CG25" s="549"/>
    </row>
    <row r="26">
      <c r="A26" s="581"/>
      <c r="B26" s="563" t="s">
        <v>1869</v>
      </c>
      <c r="C26" s="332" t="s">
        <v>1944</v>
      </c>
      <c r="D26" s="591" t="s">
        <v>1943</v>
      </c>
      <c r="E26" s="557" t="s">
        <v>1871</v>
      </c>
      <c r="F26" s="558" t="s">
        <v>1872</v>
      </c>
      <c r="G26" s="558" t="s">
        <v>1873</v>
      </c>
      <c r="H26" s="559" t="s">
        <v>1874</v>
      </c>
      <c r="I26" s="560" t="s">
        <v>1875</v>
      </c>
      <c r="J26" s="563" t="s">
        <v>1920</v>
      </c>
      <c r="K26" s="563" t="s">
        <v>1921</v>
      </c>
      <c r="L26" s="561" t="s">
        <v>1876</v>
      </c>
      <c r="M26" s="561" t="s">
        <v>1877</v>
      </c>
      <c r="N26" s="562" t="s">
        <v>1878</v>
      </c>
      <c r="O26" s="563" t="s">
        <v>1879</v>
      </c>
      <c r="P26" s="570" t="s">
        <v>1891</v>
      </c>
      <c r="Q26" s="564" t="s">
        <v>1880</v>
      </c>
      <c r="R26" s="566" t="s">
        <v>1881</v>
      </c>
      <c r="S26" s="566" t="s">
        <v>1882</v>
      </c>
      <c r="T26" s="566" t="s">
        <v>1892</v>
      </c>
      <c r="U26" s="563" t="s">
        <v>1883</v>
      </c>
      <c r="V26" s="566" t="s">
        <v>1884</v>
      </c>
      <c r="W26" s="563" t="s">
        <v>1886</v>
      </c>
      <c r="X26" s="563" t="s">
        <v>1922</v>
      </c>
      <c r="Y26" s="560" t="s">
        <v>1923</v>
      </c>
      <c r="Z26" s="563" t="s">
        <v>1924</v>
      </c>
      <c r="AA26" s="563" t="s">
        <v>1925</v>
      </c>
      <c r="AB26" s="563" t="s">
        <v>1926</v>
      </c>
      <c r="AC26" s="563" t="s">
        <v>1927</v>
      </c>
      <c r="AD26" s="563" t="s">
        <v>1942</v>
      </c>
      <c r="AE26" s="566" t="s">
        <v>1928</v>
      </c>
      <c r="AF26" s="589" t="s">
        <v>1929</v>
      </c>
      <c r="AG26" s="566" t="s">
        <v>1930</v>
      </c>
      <c r="AH26" s="566" t="s">
        <v>1931</v>
      </c>
      <c r="AI26" s="566" t="s">
        <v>1932</v>
      </c>
      <c r="AJ26" s="566" t="s">
        <v>1933</v>
      </c>
      <c r="AK26" s="566" t="s">
        <v>1934</v>
      </c>
      <c r="AL26" s="566" t="s">
        <v>1935</v>
      </c>
      <c r="AM26" s="566" t="s">
        <v>1936</v>
      </c>
      <c r="AN26" s="566" t="s">
        <v>1937</v>
      </c>
      <c r="AO26" s="566" t="s">
        <v>1938</v>
      </c>
      <c r="AP26" s="566" t="s">
        <v>1939</v>
      </c>
      <c r="AQ26" s="566" t="s">
        <v>1940</v>
      </c>
      <c r="AR26" s="566" t="s">
        <v>1904</v>
      </c>
      <c r="AS26" s="567" t="s">
        <v>1889</v>
      </c>
      <c r="AT26" s="559"/>
      <c r="AU26" s="549"/>
      <c r="AV26" s="549"/>
      <c r="AW26" s="549"/>
      <c r="AX26" s="549"/>
      <c r="AY26" s="549"/>
      <c r="AZ26" s="549"/>
      <c r="BA26" s="549"/>
      <c r="BB26" s="549"/>
      <c r="BC26" s="549"/>
      <c r="BD26" s="549"/>
      <c r="BE26" s="549"/>
      <c r="BF26" s="549"/>
      <c r="BG26" s="549"/>
      <c r="BH26" s="549"/>
      <c r="BI26" s="549"/>
      <c r="BJ26" s="549"/>
      <c r="BK26" s="549"/>
      <c r="BL26" s="549"/>
      <c r="BM26" s="549"/>
      <c r="BN26" s="549"/>
      <c r="BO26" s="549"/>
      <c r="BP26" s="549"/>
      <c r="BQ26" s="549"/>
      <c r="BR26" s="549"/>
      <c r="BS26" s="549"/>
      <c r="BT26" s="549"/>
      <c r="BU26" s="549"/>
      <c r="BV26" s="549"/>
      <c r="BW26" s="549"/>
      <c r="BX26" s="549"/>
      <c r="BY26" s="549"/>
      <c r="BZ26" s="549"/>
      <c r="CA26" s="549"/>
      <c r="CB26" s="549"/>
      <c r="CC26" s="549"/>
      <c r="CD26" s="549"/>
      <c r="CE26" s="549"/>
      <c r="CF26" s="549"/>
      <c r="CG26" s="549"/>
    </row>
    <row r="27">
      <c r="A27" s="537"/>
      <c r="B27" s="592" t="s">
        <v>1945</v>
      </c>
      <c r="C27" s="538"/>
      <c r="D27" s="537"/>
      <c r="E27" s="537"/>
      <c r="F27" s="537"/>
      <c r="G27" s="537"/>
      <c r="H27" s="537"/>
      <c r="I27" s="537"/>
      <c r="J27" s="537"/>
      <c r="K27" s="537"/>
      <c r="L27" s="537"/>
      <c r="M27" s="537"/>
      <c r="N27" s="537"/>
      <c r="O27" s="537"/>
      <c r="P27" s="537"/>
      <c r="Q27" s="537"/>
      <c r="R27" s="537"/>
      <c r="S27" s="537"/>
      <c r="T27" s="537"/>
      <c r="U27" s="537"/>
      <c r="V27" s="537"/>
      <c r="W27" s="537"/>
      <c r="X27" s="537"/>
      <c r="Y27" s="537"/>
      <c r="Z27" s="537"/>
    </row>
    <row r="28">
      <c r="A28" s="537"/>
      <c r="B28" s="592" t="s">
        <v>1946</v>
      </c>
      <c r="C28" s="538"/>
      <c r="D28" s="537"/>
      <c r="E28" s="537"/>
      <c r="F28" s="537"/>
      <c r="G28" s="537"/>
      <c r="H28" s="537"/>
      <c r="I28" s="537"/>
      <c r="J28" s="537"/>
      <c r="K28" s="537"/>
      <c r="L28" s="537"/>
      <c r="M28" s="537"/>
      <c r="N28" s="537"/>
      <c r="O28" s="537"/>
      <c r="P28" s="537"/>
      <c r="Q28" s="537"/>
      <c r="R28" s="537"/>
      <c r="S28" s="537"/>
      <c r="T28" s="537"/>
      <c r="U28" s="537"/>
      <c r="V28" s="537"/>
      <c r="W28" s="537"/>
      <c r="X28" s="537"/>
      <c r="Y28" s="537"/>
      <c r="Z28" s="537"/>
    </row>
    <row r="29">
      <c r="A29" s="537"/>
      <c r="B29" s="592"/>
      <c r="C29" s="538"/>
      <c r="D29" s="537"/>
      <c r="E29" s="537"/>
      <c r="F29" s="537"/>
      <c r="G29" s="537"/>
      <c r="H29" s="537"/>
      <c r="I29" s="537"/>
      <c r="J29" s="537"/>
      <c r="K29" s="537"/>
      <c r="L29" s="537"/>
      <c r="M29" s="537"/>
      <c r="N29" s="537"/>
      <c r="O29" s="537"/>
      <c r="P29" s="537"/>
      <c r="Q29" s="537"/>
      <c r="R29" s="537"/>
      <c r="S29" s="537"/>
      <c r="T29" s="537"/>
      <c r="U29" s="537"/>
      <c r="V29" s="537"/>
      <c r="W29" s="537"/>
      <c r="X29" s="537"/>
      <c r="Y29" s="537"/>
      <c r="Z29" s="537"/>
    </row>
    <row r="30">
      <c r="A30" s="587" t="s">
        <v>1947</v>
      </c>
      <c r="B30" s="568" t="s">
        <v>1863</v>
      </c>
      <c r="C30" s="552" t="s">
        <v>1864</v>
      </c>
      <c r="D30" s="593" t="s">
        <v>1865</v>
      </c>
      <c r="E30" s="594" t="s">
        <v>1948</v>
      </c>
      <c r="F30" s="594" t="s">
        <v>1899</v>
      </c>
      <c r="G30" s="593">
        <v>1.0</v>
      </c>
      <c r="H30" s="552">
        <v>2.0</v>
      </c>
      <c r="I30" s="552">
        <v>3.0</v>
      </c>
      <c r="J30" s="552">
        <v>4.0</v>
      </c>
      <c r="K30" s="552">
        <v>5.0</v>
      </c>
      <c r="L30" s="552">
        <v>6.0</v>
      </c>
      <c r="M30" s="552">
        <v>7.0</v>
      </c>
      <c r="N30" s="552">
        <v>8.0</v>
      </c>
      <c r="O30" s="552">
        <v>9.0</v>
      </c>
      <c r="P30" s="552">
        <v>10.0</v>
      </c>
      <c r="Q30" s="552">
        <v>11.0</v>
      </c>
      <c r="R30" s="552">
        <v>12.0</v>
      </c>
      <c r="S30" s="552">
        <v>13.0</v>
      </c>
      <c r="T30" s="552">
        <v>14.0</v>
      </c>
      <c r="U30" s="552">
        <v>15.0</v>
      </c>
      <c r="V30" s="552">
        <v>16.0</v>
      </c>
      <c r="W30" s="552">
        <v>17.0</v>
      </c>
      <c r="X30" s="537"/>
      <c r="Y30" s="537"/>
      <c r="Z30" s="537"/>
      <c r="AA30" s="537"/>
      <c r="AB30" s="537"/>
    </row>
    <row r="31">
      <c r="B31" s="593"/>
      <c r="C31" s="560" t="s">
        <v>1949</v>
      </c>
      <c r="D31" s="595" t="s">
        <v>1950</v>
      </c>
      <c r="E31" s="596"/>
      <c r="F31" s="596"/>
      <c r="G31" s="593" t="s">
        <v>1951</v>
      </c>
      <c r="H31" s="560" t="s">
        <v>1952</v>
      </c>
      <c r="I31" s="563" t="s">
        <v>1953</v>
      </c>
      <c r="J31" s="566" t="s">
        <v>1954</v>
      </c>
      <c r="K31" s="597" t="s">
        <v>1929</v>
      </c>
      <c r="L31" s="597" t="s">
        <v>1930</v>
      </c>
      <c r="M31" s="597" t="s">
        <v>1931</v>
      </c>
      <c r="N31" s="597" t="s">
        <v>1932</v>
      </c>
      <c r="O31" s="597" t="s">
        <v>1933</v>
      </c>
      <c r="P31" s="597" t="s">
        <v>1934</v>
      </c>
      <c r="Q31" s="597" t="s">
        <v>1935</v>
      </c>
      <c r="R31" s="597" t="s">
        <v>1936</v>
      </c>
      <c r="S31" s="597" t="s">
        <v>1937</v>
      </c>
      <c r="T31" s="597" t="s">
        <v>1938</v>
      </c>
      <c r="U31" s="597" t="s">
        <v>1939</v>
      </c>
      <c r="V31" s="597" t="s">
        <v>1940</v>
      </c>
      <c r="W31" s="563" t="s">
        <v>1889</v>
      </c>
      <c r="X31" s="537"/>
      <c r="Y31" s="537"/>
      <c r="Z31" s="537"/>
      <c r="AA31" s="537"/>
      <c r="AB31" s="537"/>
    </row>
    <row r="32">
      <c r="B32" s="555" t="s">
        <v>1869</v>
      </c>
      <c r="C32" s="560" t="s">
        <v>1955</v>
      </c>
      <c r="D32" s="598" t="s">
        <v>1956</v>
      </c>
      <c r="E32" s="596"/>
      <c r="F32" s="596"/>
      <c r="G32" s="593" t="s">
        <v>1951</v>
      </c>
      <c r="H32" s="560" t="s">
        <v>1952</v>
      </c>
      <c r="I32" s="563" t="s">
        <v>1953</v>
      </c>
      <c r="J32" s="566" t="s">
        <v>1954</v>
      </c>
      <c r="K32" s="597" t="s">
        <v>1929</v>
      </c>
      <c r="L32" s="597" t="s">
        <v>1930</v>
      </c>
      <c r="M32" s="597" t="s">
        <v>1931</v>
      </c>
      <c r="N32" s="597" t="s">
        <v>1932</v>
      </c>
      <c r="O32" s="597" t="s">
        <v>1933</v>
      </c>
      <c r="P32" s="597" t="s">
        <v>1935</v>
      </c>
      <c r="Q32" s="597" t="s">
        <v>1936</v>
      </c>
      <c r="R32" s="597" t="s">
        <v>1937</v>
      </c>
      <c r="S32" s="597" t="s">
        <v>1938</v>
      </c>
      <c r="T32" s="597" t="s">
        <v>1939</v>
      </c>
      <c r="U32" s="597" t="s">
        <v>1940</v>
      </c>
      <c r="V32" s="563" t="s">
        <v>1889</v>
      </c>
      <c r="W32" s="537"/>
      <c r="X32" s="537"/>
      <c r="Y32" s="537"/>
      <c r="Z32" s="537"/>
      <c r="AA32" s="537"/>
    </row>
    <row r="33">
      <c r="B33" s="31"/>
      <c r="C33" s="560" t="s">
        <v>1957</v>
      </c>
      <c r="D33" s="595" t="s">
        <v>1958</v>
      </c>
      <c r="E33" s="596"/>
      <c r="F33" s="596"/>
      <c r="G33" s="593" t="s">
        <v>1951</v>
      </c>
      <c r="H33" s="560" t="s">
        <v>1952</v>
      </c>
      <c r="I33" s="566" t="s">
        <v>1954</v>
      </c>
      <c r="J33" s="597" t="s">
        <v>1929</v>
      </c>
      <c r="K33" s="597" t="s">
        <v>1930</v>
      </c>
      <c r="L33" s="597" t="s">
        <v>1931</v>
      </c>
      <c r="M33" s="597" t="s">
        <v>1932</v>
      </c>
      <c r="N33" s="597" t="s">
        <v>1933</v>
      </c>
      <c r="O33" s="597" t="s">
        <v>1934</v>
      </c>
      <c r="P33" s="597" t="s">
        <v>1935</v>
      </c>
      <c r="Q33" s="597" t="s">
        <v>1936</v>
      </c>
      <c r="R33" s="597" t="s">
        <v>1937</v>
      </c>
      <c r="S33" s="597" t="s">
        <v>1938</v>
      </c>
      <c r="T33" s="597" t="s">
        <v>1939</v>
      </c>
      <c r="U33" s="597" t="s">
        <v>1940</v>
      </c>
      <c r="V33" s="563" t="s">
        <v>1889</v>
      </c>
      <c r="W33" s="599"/>
      <c r="X33" s="537"/>
      <c r="Y33" s="537"/>
      <c r="Z33" s="537"/>
      <c r="AA33" s="537"/>
      <c r="AB33" s="537"/>
    </row>
    <row r="34">
      <c r="B34" s="31"/>
      <c r="C34" s="560" t="s">
        <v>1959</v>
      </c>
      <c r="D34" s="595" t="s">
        <v>1960</v>
      </c>
      <c r="E34" s="596"/>
      <c r="F34" s="596"/>
      <c r="G34" s="593" t="s">
        <v>1951</v>
      </c>
      <c r="H34" s="560" t="s">
        <v>1952</v>
      </c>
      <c r="I34" s="566" t="s">
        <v>1954</v>
      </c>
      <c r="J34" s="597" t="s">
        <v>1929</v>
      </c>
      <c r="K34" s="597" t="s">
        <v>1930</v>
      </c>
      <c r="L34" s="597" t="s">
        <v>1931</v>
      </c>
      <c r="M34" s="597" t="s">
        <v>1932</v>
      </c>
      <c r="N34" s="597" t="s">
        <v>1933</v>
      </c>
      <c r="O34" s="597" t="s">
        <v>1935</v>
      </c>
      <c r="P34" s="597" t="s">
        <v>1936</v>
      </c>
      <c r="Q34" s="597" t="s">
        <v>1937</v>
      </c>
      <c r="R34" s="597" t="s">
        <v>1938</v>
      </c>
      <c r="S34" s="597" t="s">
        <v>1939</v>
      </c>
      <c r="T34" s="597" t="s">
        <v>1940</v>
      </c>
      <c r="U34" s="563" t="s">
        <v>1889</v>
      </c>
      <c r="V34" s="599"/>
      <c r="W34" s="537"/>
      <c r="X34" s="537"/>
      <c r="Y34" s="537"/>
      <c r="Z34" s="537"/>
      <c r="AA34" s="537"/>
    </row>
    <row r="35">
      <c r="B35" s="31"/>
      <c r="C35" s="560" t="s">
        <v>1393</v>
      </c>
      <c r="D35" s="595" t="s">
        <v>1961</v>
      </c>
      <c r="E35" s="596"/>
      <c r="F35" s="596"/>
      <c r="G35" s="593" t="s">
        <v>1951</v>
      </c>
      <c r="H35" s="560" t="s">
        <v>1962</v>
      </c>
      <c r="I35" s="566" t="s">
        <v>1954</v>
      </c>
      <c r="J35" s="597" t="s">
        <v>1929</v>
      </c>
      <c r="K35" s="597" t="s">
        <v>1930</v>
      </c>
      <c r="L35" s="597" t="s">
        <v>1931</v>
      </c>
      <c r="M35" s="597" t="s">
        <v>1932</v>
      </c>
      <c r="N35" s="597" t="s">
        <v>1933</v>
      </c>
      <c r="O35" s="597" t="s">
        <v>1934</v>
      </c>
      <c r="P35" s="597" t="s">
        <v>1935</v>
      </c>
      <c r="Q35" s="597" t="s">
        <v>1936</v>
      </c>
      <c r="R35" s="597" t="s">
        <v>1937</v>
      </c>
      <c r="S35" s="597" t="s">
        <v>1938</v>
      </c>
      <c r="T35" s="597" t="s">
        <v>1939</v>
      </c>
      <c r="U35" s="597" t="s">
        <v>1940</v>
      </c>
      <c r="V35" s="563" t="s">
        <v>1889</v>
      </c>
      <c r="W35" s="549"/>
      <c r="X35" s="537"/>
      <c r="Y35" s="537"/>
      <c r="Z35" s="537"/>
      <c r="AA35" s="537"/>
      <c r="AB35" s="537"/>
    </row>
    <row r="36">
      <c r="B36" s="15"/>
      <c r="C36" s="560" t="s">
        <v>1360</v>
      </c>
      <c r="D36" s="598" t="s">
        <v>1963</v>
      </c>
      <c r="E36" s="596"/>
      <c r="F36" s="596"/>
      <c r="G36" s="593" t="s">
        <v>1951</v>
      </c>
      <c r="H36" s="560" t="s">
        <v>1962</v>
      </c>
      <c r="I36" s="566" t="s">
        <v>1954</v>
      </c>
      <c r="J36" s="597" t="s">
        <v>1929</v>
      </c>
      <c r="K36" s="597" t="s">
        <v>1930</v>
      </c>
      <c r="L36" s="597" t="s">
        <v>1931</v>
      </c>
      <c r="M36" s="597" t="s">
        <v>1932</v>
      </c>
      <c r="N36" s="597" t="s">
        <v>1933</v>
      </c>
      <c r="O36" s="597" t="s">
        <v>1935</v>
      </c>
      <c r="P36" s="597" t="s">
        <v>1936</v>
      </c>
      <c r="Q36" s="597" t="s">
        <v>1937</v>
      </c>
      <c r="R36" s="597" t="s">
        <v>1938</v>
      </c>
      <c r="S36" s="597" t="s">
        <v>1939</v>
      </c>
      <c r="T36" s="597" t="s">
        <v>1940</v>
      </c>
      <c r="U36" s="563" t="s">
        <v>1889</v>
      </c>
      <c r="V36" s="549"/>
      <c r="W36" s="537"/>
      <c r="X36" s="537"/>
      <c r="Y36" s="537"/>
      <c r="Z36" s="537"/>
      <c r="AA36" s="537"/>
    </row>
    <row r="37">
      <c r="B37" s="600"/>
      <c r="C37" s="559" t="s">
        <v>1964</v>
      </c>
      <c r="D37" s="601" t="s">
        <v>1965</v>
      </c>
      <c r="E37" s="602" t="s">
        <v>1966</v>
      </c>
      <c r="F37" s="602" t="s">
        <v>1967</v>
      </c>
      <c r="G37" s="568" t="s">
        <v>1951</v>
      </c>
      <c r="H37" s="563" t="s">
        <v>1962</v>
      </c>
      <c r="I37" s="566" t="s">
        <v>1968</v>
      </c>
      <c r="J37" s="563" t="s">
        <v>1889</v>
      </c>
      <c r="K37" s="537"/>
      <c r="L37" s="537"/>
      <c r="M37" s="537"/>
      <c r="N37" s="537"/>
      <c r="O37" s="537"/>
      <c r="P37" s="537"/>
      <c r="Q37" s="537"/>
      <c r="R37" s="537"/>
      <c r="S37" s="537"/>
      <c r="T37" s="537"/>
      <c r="U37" s="537"/>
      <c r="V37" s="537"/>
      <c r="W37" s="537"/>
      <c r="X37" s="537"/>
      <c r="Y37" s="537"/>
      <c r="Z37" s="537"/>
    </row>
    <row r="38">
      <c r="B38" s="600"/>
      <c r="C38" s="560" t="s">
        <v>1969</v>
      </c>
      <c r="D38" s="559" t="s">
        <v>1970</v>
      </c>
      <c r="E38" s="558" t="s">
        <v>1971</v>
      </c>
      <c r="F38" s="600"/>
      <c r="G38" s="593" t="s">
        <v>1951</v>
      </c>
      <c r="H38" s="603" t="s">
        <v>1972</v>
      </c>
      <c r="I38" s="560" t="s">
        <v>1973</v>
      </c>
      <c r="J38" s="566" t="s">
        <v>1954</v>
      </c>
      <c r="K38" s="597" t="s">
        <v>1929</v>
      </c>
      <c r="L38" s="597" t="s">
        <v>1930</v>
      </c>
      <c r="M38" s="597" t="s">
        <v>1931</v>
      </c>
      <c r="N38" s="597" t="s">
        <v>1932</v>
      </c>
      <c r="O38" s="597" t="s">
        <v>1933</v>
      </c>
      <c r="P38" s="597" t="s">
        <v>1934</v>
      </c>
      <c r="Q38" s="597" t="s">
        <v>1935</v>
      </c>
      <c r="R38" s="597" t="s">
        <v>1936</v>
      </c>
      <c r="S38" s="597" t="s">
        <v>1937</v>
      </c>
      <c r="T38" s="597" t="s">
        <v>1938</v>
      </c>
      <c r="U38" s="597" t="s">
        <v>1939</v>
      </c>
      <c r="V38" s="597" t="s">
        <v>1940</v>
      </c>
      <c r="W38" s="563" t="s">
        <v>1889</v>
      </c>
      <c r="X38" s="537"/>
      <c r="Y38" s="537"/>
      <c r="Z38" s="537"/>
    </row>
    <row r="39">
      <c r="B39" s="537"/>
      <c r="C39" s="560" t="s">
        <v>1974</v>
      </c>
      <c r="D39" s="559" t="s">
        <v>1975</v>
      </c>
      <c r="E39" s="558" t="s">
        <v>1971</v>
      </c>
      <c r="F39" s="600"/>
      <c r="G39" s="593" t="s">
        <v>1951</v>
      </c>
      <c r="H39" s="603" t="s">
        <v>1972</v>
      </c>
      <c r="I39" s="560" t="s">
        <v>1973</v>
      </c>
      <c r="J39" s="566" t="s">
        <v>1954</v>
      </c>
      <c r="K39" s="597" t="s">
        <v>1929</v>
      </c>
      <c r="L39" s="597" t="s">
        <v>1930</v>
      </c>
      <c r="M39" s="597" t="s">
        <v>1931</v>
      </c>
      <c r="N39" s="597" t="s">
        <v>1932</v>
      </c>
      <c r="O39" s="597" t="s">
        <v>1933</v>
      </c>
      <c r="P39" s="597" t="s">
        <v>1935</v>
      </c>
      <c r="Q39" s="597" t="s">
        <v>1936</v>
      </c>
      <c r="R39" s="597" t="s">
        <v>1937</v>
      </c>
      <c r="S39" s="597" t="s">
        <v>1938</v>
      </c>
      <c r="T39" s="597" t="s">
        <v>1939</v>
      </c>
      <c r="U39" s="597" t="s">
        <v>1940</v>
      </c>
      <c r="V39" s="563" t="s">
        <v>1889</v>
      </c>
      <c r="W39" s="599"/>
      <c r="X39" s="537"/>
      <c r="Y39" s="537"/>
      <c r="Z39" s="537"/>
    </row>
    <row r="40">
      <c r="B40" s="537"/>
      <c r="C40" s="538"/>
      <c r="D40" s="559"/>
      <c r="E40" s="537"/>
      <c r="F40" s="537"/>
      <c r="G40" s="537"/>
      <c r="H40" s="592"/>
      <c r="I40" s="537"/>
      <c r="J40" s="560"/>
      <c r="K40" s="537"/>
      <c r="L40" s="537"/>
      <c r="M40" s="537"/>
      <c r="N40" s="537"/>
      <c r="O40" s="537"/>
      <c r="P40" s="537"/>
      <c r="Q40" s="537"/>
      <c r="R40" s="537"/>
      <c r="S40" s="537"/>
      <c r="T40" s="537"/>
      <c r="U40" s="537"/>
      <c r="V40" s="537"/>
      <c r="W40" s="537"/>
      <c r="X40" s="537"/>
      <c r="Y40" s="537"/>
      <c r="Z40" s="537"/>
    </row>
    <row r="41">
      <c r="A41" s="537"/>
      <c r="B41" s="537"/>
      <c r="C41" s="538"/>
      <c r="D41" s="537"/>
      <c r="E41" s="537"/>
      <c r="F41" s="537"/>
      <c r="G41" s="537"/>
      <c r="H41" s="537"/>
      <c r="I41" s="537"/>
      <c r="J41" s="560"/>
      <c r="K41" s="537"/>
      <c r="L41" s="537"/>
      <c r="M41" s="537"/>
      <c r="N41" s="537"/>
      <c r="O41" s="537"/>
      <c r="P41" s="537"/>
      <c r="Q41" s="537"/>
      <c r="R41" s="537"/>
      <c r="S41" s="537"/>
      <c r="T41" s="537"/>
      <c r="U41" s="537"/>
      <c r="V41" s="537"/>
      <c r="W41" s="537"/>
      <c r="X41" s="537"/>
      <c r="Y41" s="537"/>
      <c r="Z41" s="537"/>
    </row>
    <row r="42">
      <c r="A42" s="604" t="s">
        <v>1976</v>
      </c>
      <c r="B42" s="567" t="s">
        <v>1863</v>
      </c>
      <c r="C42" s="567" t="s">
        <v>1864</v>
      </c>
      <c r="D42" s="567" t="s">
        <v>1865</v>
      </c>
      <c r="E42" s="567" t="s">
        <v>1977</v>
      </c>
      <c r="F42" s="567">
        <v>1.0</v>
      </c>
      <c r="G42" s="567">
        <v>2.0</v>
      </c>
      <c r="H42" s="567">
        <v>3.0</v>
      </c>
      <c r="I42" s="567">
        <v>4.0</v>
      </c>
      <c r="J42" s="567">
        <v>5.0</v>
      </c>
      <c r="K42" s="567">
        <v>6.0</v>
      </c>
      <c r="L42" s="567">
        <v>7.0</v>
      </c>
      <c r="M42" s="567">
        <v>8.0</v>
      </c>
      <c r="N42" s="537"/>
      <c r="O42" s="537"/>
      <c r="P42" s="537"/>
      <c r="Q42" s="537"/>
      <c r="R42" s="537"/>
      <c r="S42" s="537"/>
      <c r="T42" s="537"/>
      <c r="U42" s="537"/>
      <c r="V42" s="537"/>
      <c r="W42" s="537"/>
      <c r="X42" s="537"/>
      <c r="Y42" s="537"/>
    </row>
    <row r="43">
      <c r="A43" s="605" t="s">
        <v>1978</v>
      </c>
      <c r="B43" s="606" t="s">
        <v>1869</v>
      </c>
      <c r="C43" s="607" t="s">
        <v>1979</v>
      </c>
      <c r="D43" s="567" t="s">
        <v>1980</v>
      </c>
      <c r="E43" s="558" t="s">
        <v>1981</v>
      </c>
      <c r="F43" s="567" t="s">
        <v>1874</v>
      </c>
      <c r="G43" s="608" t="s">
        <v>1878</v>
      </c>
      <c r="H43" s="609" t="s">
        <v>1879</v>
      </c>
      <c r="I43" s="610" t="s">
        <v>1982</v>
      </c>
      <c r="J43" s="567" t="s">
        <v>1883</v>
      </c>
      <c r="K43" s="611" t="s">
        <v>1885</v>
      </c>
      <c r="L43" s="612" t="s">
        <v>1887</v>
      </c>
      <c r="M43" s="567" t="s">
        <v>1889</v>
      </c>
      <c r="N43" s="613" t="s">
        <v>1399</v>
      </c>
      <c r="O43" s="537"/>
      <c r="P43" s="537"/>
      <c r="Q43" s="537"/>
      <c r="R43" s="537"/>
      <c r="S43" s="537"/>
      <c r="T43" s="537"/>
      <c r="U43" s="537"/>
      <c r="V43" s="537"/>
      <c r="W43" s="537"/>
      <c r="X43" s="537"/>
      <c r="Y43" s="537"/>
      <c r="Z43" s="537"/>
    </row>
    <row r="44">
      <c r="A44" s="614"/>
      <c r="B44" s="15"/>
      <c r="C44" s="615" t="s">
        <v>1983</v>
      </c>
      <c r="D44" s="567" t="s">
        <v>1984</v>
      </c>
      <c r="E44" s="558" t="s">
        <v>1981</v>
      </c>
      <c r="F44" s="567" t="s">
        <v>1874</v>
      </c>
      <c r="G44" s="608" t="s">
        <v>1878</v>
      </c>
      <c r="H44" s="609" t="s">
        <v>1879</v>
      </c>
      <c r="I44" s="610" t="s">
        <v>1982</v>
      </c>
      <c r="J44" s="567" t="s">
        <v>1883</v>
      </c>
      <c r="K44" s="611" t="s">
        <v>1894</v>
      </c>
      <c r="L44" s="612" t="s">
        <v>1895</v>
      </c>
      <c r="M44" s="567" t="s">
        <v>1889</v>
      </c>
      <c r="N44" s="613" t="s">
        <v>1097</v>
      </c>
      <c r="O44" s="537"/>
      <c r="P44" s="537"/>
      <c r="Q44" s="537"/>
      <c r="R44" s="537"/>
      <c r="S44" s="537"/>
      <c r="T44" s="537"/>
      <c r="U44" s="537"/>
      <c r="V44" s="537"/>
      <c r="W44" s="537"/>
      <c r="X44" s="537"/>
      <c r="Y44" s="537"/>
      <c r="Z44" s="537"/>
    </row>
    <row r="45">
      <c r="A45" s="614"/>
      <c r="B45" s="567" t="s">
        <v>1869</v>
      </c>
      <c r="C45" s="607" t="s">
        <v>1985</v>
      </c>
      <c r="D45" s="616" t="s">
        <v>1986</v>
      </c>
      <c r="E45" s="558" t="s">
        <v>1981</v>
      </c>
      <c r="F45" s="567" t="s">
        <v>1874</v>
      </c>
      <c r="G45" s="611" t="s">
        <v>1885</v>
      </c>
      <c r="H45" s="611" t="s">
        <v>1894</v>
      </c>
      <c r="I45" s="567" t="s">
        <v>1889</v>
      </c>
      <c r="J45" s="613"/>
      <c r="K45" s="613"/>
      <c r="L45" s="613"/>
      <c r="M45" s="613" t="s">
        <v>1987</v>
      </c>
      <c r="N45" s="537"/>
      <c r="O45" s="537"/>
      <c r="P45" s="537"/>
      <c r="Q45" s="537"/>
      <c r="R45" s="537"/>
      <c r="S45" s="537"/>
      <c r="T45" s="537"/>
      <c r="U45" s="537"/>
      <c r="V45" s="537"/>
      <c r="W45" s="537"/>
      <c r="X45" s="537"/>
      <c r="Y45" s="537"/>
      <c r="Z45" s="537"/>
    </row>
    <row r="46">
      <c r="A46" s="617" t="s">
        <v>1988</v>
      </c>
      <c r="B46" s="616" t="s">
        <v>1863</v>
      </c>
      <c r="C46" s="616" t="s">
        <v>1864</v>
      </c>
      <c r="D46" s="618" t="s">
        <v>1865</v>
      </c>
      <c r="E46" s="616" t="s">
        <v>1948</v>
      </c>
      <c r="F46" s="613"/>
      <c r="G46" s="616">
        <v>1.0</v>
      </c>
      <c r="H46" s="616">
        <v>2.0</v>
      </c>
      <c r="I46" s="616">
        <v>3.0</v>
      </c>
      <c r="J46" s="616">
        <v>4.0</v>
      </c>
      <c r="K46" s="616">
        <v>5.0</v>
      </c>
      <c r="L46" s="537"/>
      <c r="M46" s="537"/>
      <c r="N46" s="537"/>
      <c r="O46" s="537"/>
      <c r="P46" s="537"/>
      <c r="Q46" s="537"/>
      <c r="R46" s="537"/>
      <c r="S46" s="537"/>
      <c r="T46" s="537"/>
      <c r="U46" s="537"/>
      <c r="V46" s="537"/>
      <c r="W46" s="537"/>
      <c r="X46" s="537"/>
    </row>
    <row r="47">
      <c r="A47" s="614"/>
      <c r="B47" s="616" t="s">
        <v>1989</v>
      </c>
      <c r="C47" s="619" t="s">
        <v>1990</v>
      </c>
      <c r="D47" s="618" t="s">
        <v>1991</v>
      </c>
      <c r="E47" s="619" t="s">
        <v>1992</v>
      </c>
      <c r="F47" s="613"/>
      <c r="G47" s="616" t="s">
        <v>1874</v>
      </c>
      <c r="H47" s="620" t="s">
        <v>1886</v>
      </c>
      <c r="I47" s="616" t="s">
        <v>1993</v>
      </c>
      <c r="J47" s="616" t="s">
        <v>1994</v>
      </c>
      <c r="K47" s="616" t="s">
        <v>1889</v>
      </c>
      <c r="L47" s="537"/>
      <c r="M47" s="537"/>
      <c r="N47" s="537"/>
      <c r="O47" s="537"/>
      <c r="P47" s="537"/>
      <c r="Q47" s="537"/>
      <c r="R47" s="537"/>
      <c r="S47" s="537"/>
      <c r="T47" s="537"/>
      <c r="U47" s="537"/>
      <c r="V47" s="537"/>
      <c r="W47" s="537"/>
      <c r="X47" s="537"/>
    </row>
    <row r="48">
      <c r="A48" s="614"/>
      <c r="B48" s="567" t="s">
        <v>1863</v>
      </c>
      <c r="C48" s="567" t="s">
        <v>1864</v>
      </c>
      <c r="D48" s="621" t="s">
        <v>1865</v>
      </c>
      <c r="E48" s="567" t="s">
        <v>1948</v>
      </c>
      <c r="F48" s="567">
        <v>1.0</v>
      </c>
      <c r="G48" s="567">
        <v>2.0</v>
      </c>
      <c r="H48" s="567">
        <v>3.0</v>
      </c>
      <c r="I48" s="567">
        <v>4.0</v>
      </c>
      <c r="J48" s="567">
        <v>5.0</v>
      </c>
      <c r="K48" s="567">
        <v>6.0</v>
      </c>
      <c r="L48" s="567">
        <v>7.0</v>
      </c>
      <c r="M48" s="567">
        <v>8.0</v>
      </c>
      <c r="N48" s="537"/>
      <c r="O48" s="537"/>
      <c r="P48" s="537"/>
      <c r="Q48" s="537"/>
      <c r="R48" s="537"/>
      <c r="S48" s="537"/>
      <c r="T48" s="537"/>
      <c r="U48" s="537"/>
      <c r="V48" s="537"/>
      <c r="W48" s="537"/>
      <c r="X48" s="537"/>
      <c r="Y48" s="537"/>
      <c r="Z48" s="537"/>
    </row>
    <row r="49">
      <c r="A49" s="614"/>
      <c r="B49" s="567" t="s">
        <v>1995</v>
      </c>
      <c r="C49" s="622" t="s">
        <v>1996</v>
      </c>
      <c r="D49" s="621" t="s">
        <v>1997</v>
      </c>
      <c r="E49" s="558" t="s">
        <v>1981</v>
      </c>
      <c r="F49" s="567" t="s">
        <v>1874</v>
      </c>
      <c r="G49" s="623" t="s">
        <v>1878</v>
      </c>
      <c r="H49" s="567" t="s">
        <v>1879</v>
      </c>
      <c r="I49" s="610" t="s">
        <v>1982</v>
      </c>
      <c r="J49" s="567" t="s">
        <v>1883</v>
      </c>
      <c r="K49" s="567" t="s">
        <v>1993</v>
      </c>
      <c r="L49" s="567" t="s">
        <v>1994</v>
      </c>
      <c r="M49" s="567" t="s">
        <v>1889</v>
      </c>
      <c r="N49" s="537"/>
      <c r="O49" s="537"/>
      <c r="P49" s="537"/>
      <c r="Q49" s="537"/>
      <c r="R49" s="537"/>
      <c r="S49" s="537"/>
      <c r="T49" s="537"/>
      <c r="U49" s="537"/>
      <c r="V49" s="537"/>
      <c r="W49" s="537"/>
      <c r="X49" s="537"/>
      <c r="Y49" s="537"/>
      <c r="Z49" s="537"/>
    </row>
    <row r="50">
      <c r="A50" s="537"/>
      <c r="C50" s="538"/>
      <c r="D50" s="537"/>
      <c r="E50" s="537"/>
      <c r="F50" s="537"/>
      <c r="G50" s="537"/>
      <c r="H50" s="537"/>
      <c r="I50" s="537"/>
      <c r="J50" s="537"/>
      <c r="K50" s="537"/>
      <c r="L50" s="537"/>
      <c r="M50" s="537"/>
      <c r="N50" s="537"/>
      <c r="O50" s="537"/>
      <c r="P50" s="537"/>
      <c r="Q50" s="537"/>
      <c r="R50" s="537"/>
      <c r="S50" s="537"/>
      <c r="T50" s="537"/>
      <c r="U50" s="537"/>
      <c r="V50" s="537"/>
      <c r="W50" s="537"/>
      <c r="X50" s="537"/>
      <c r="Y50" s="537"/>
      <c r="Z50" s="537"/>
    </row>
    <row r="51">
      <c r="A51" s="537"/>
      <c r="B51" s="537"/>
      <c r="C51" s="538"/>
      <c r="D51" s="537"/>
      <c r="E51" s="537"/>
      <c r="F51" s="537"/>
      <c r="G51" s="537"/>
      <c r="H51" s="537"/>
      <c r="I51" s="537"/>
      <c r="J51" s="537"/>
      <c r="K51" s="537"/>
      <c r="L51" s="537"/>
      <c r="M51" s="537"/>
      <c r="N51" s="537"/>
      <c r="O51" s="537"/>
      <c r="P51" s="537"/>
      <c r="Q51" s="537"/>
      <c r="R51" s="537"/>
      <c r="S51" s="537"/>
      <c r="T51" s="537"/>
      <c r="U51" s="537"/>
      <c r="V51" s="537"/>
      <c r="W51" s="537"/>
      <c r="X51" s="537"/>
      <c r="Y51" s="537"/>
      <c r="Z51" s="537"/>
    </row>
    <row r="52">
      <c r="A52" s="537"/>
      <c r="B52" s="537"/>
      <c r="C52" s="538"/>
      <c r="D52" s="537"/>
      <c r="E52" s="537"/>
      <c r="F52" s="537"/>
      <c r="G52" s="537"/>
      <c r="H52" s="537"/>
      <c r="I52" s="537"/>
      <c r="J52" s="537"/>
      <c r="K52" s="537"/>
      <c r="L52" s="537"/>
      <c r="M52" s="537"/>
      <c r="N52" s="537"/>
      <c r="O52" s="537"/>
      <c r="P52" s="537"/>
      <c r="Q52" s="537"/>
      <c r="R52" s="537"/>
      <c r="S52" s="537"/>
      <c r="T52" s="537"/>
      <c r="U52" s="537"/>
      <c r="V52" s="537"/>
      <c r="W52" s="537"/>
      <c r="X52" s="537"/>
      <c r="Y52" s="537"/>
      <c r="Z52" s="537"/>
    </row>
    <row r="53">
      <c r="A53" s="540" t="s">
        <v>1998</v>
      </c>
      <c r="B53" s="537"/>
      <c r="C53" s="538"/>
      <c r="D53" s="537"/>
      <c r="E53" s="537"/>
      <c r="F53" s="537"/>
      <c r="G53" s="537"/>
      <c r="H53" s="537"/>
      <c r="I53" s="537"/>
      <c r="J53" s="537"/>
      <c r="K53" s="537"/>
      <c r="L53" s="537"/>
      <c r="M53" s="537"/>
      <c r="N53" s="537"/>
      <c r="O53" s="537"/>
      <c r="P53" s="537"/>
      <c r="Q53" s="537"/>
      <c r="R53" s="537"/>
      <c r="S53" s="537"/>
      <c r="T53" s="537"/>
      <c r="U53" s="537"/>
      <c r="V53" s="537"/>
      <c r="W53" s="537"/>
      <c r="X53" s="537"/>
      <c r="Y53" s="537"/>
      <c r="Z53" s="537"/>
    </row>
    <row r="54">
      <c r="A54" s="537"/>
      <c r="B54" s="537"/>
      <c r="C54" s="538"/>
      <c r="D54" s="537"/>
      <c r="E54" s="537"/>
      <c r="F54" s="537"/>
      <c r="G54" s="537"/>
      <c r="H54" s="537"/>
      <c r="I54" s="537"/>
      <c r="J54" s="537"/>
      <c r="K54" s="537"/>
      <c r="L54" s="537"/>
      <c r="M54" s="537"/>
      <c r="N54" s="537"/>
      <c r="O54" s="537"/>
      <c r="P54" s="537"/>
      <c r="Q54" s="537"/>
      <c r="R54" s="537"/>
      <c r="S54" s="537"/>
      <c r="T54" s="537"/>
      <c r="U54" s="537"/>
      <c r="V54" s="537"/>
      <c r="W54" s="537"/>
      <c r="X54" s="537"/>
      <c r="Y54" s="537"/>
      <c r="Z54" s="537"/>
    </row>
    <row r="55">
      <c r="A55" s="537"/>
      <c r="B55" s="537"/>
      <c r="C55" s="538"/>
      <c r="D55" s="537"/>
      <c r="E55" s="537"/>
      <c r="F55" s="537"/>
      <c r="G55" s="537"/>
      <c r="H55" s="537"/>
      <c r="I55" s="537"/>
      <c r="J55" s="537"/>
      <c r="K55" s="537"/>
      <c r="L55" s="537"/>
      <c r="M55" s="537"/>
      <c r="N55" s="537"/>
      <c r="O55" s="537"/>
      <c r="P55" s="537"/>
      <c r="Q55" s="537"/>
      <c r="R55" s="537"/>
      <c r="S55" s="537"/>
      <c r="T55" s="537"/>
      <c r="U55" s="537"/>
      <c r="V55" s="537"/>
      <c r="W55" s="537"/>
      <c r="X55" s="537"/>
      <c r="Y55" s="537"/>
      <c r="Z55" s="537"/>
    </row>
    <row r="56">
      <c r="A56" s="537"/>
      <c r="B56" s="537"/>
      <c r="C56" s="538"/>
      <c r="D56" s="537"/>
      <c r="E56" s="537"/>
      <c r="F56" s="537"/>
      <c r="G56" s="537"/>
      <c r="H56" s="537"/>
      <c r="I56" s="537"/>
      <c r="J56" s="537"/>
      <c r="K56" s="537"/>
      <c r="L56" s="537"/>
      <c r="M56" s="537"/>
      <c r="N56" s="537"/>
      <c r="O56" s="537"/>
      <c r="P56" s="537"/>
      <c r="Q56" s="537"/>
      <c r="R56" s="537"/>
      <c r="S56" s="537"/>
      <c r="T56" s="537"/>
      <c r="U56" s="537"/>
      <c r="V56" s="537"/>
      <c r="W56" s="537"/>
      <c r="X56" s="537"/>
      <c r="Y56" s="537"/>
      <c r="Z56" s="537"/>
    </row>
    <row r="57">
      <c r="A57" s="537"/>
      <c r="B57" s="537"/>
      <c r="C57" s="538"/>
      <c r="D57" s="537"/>
      <c r="E57" s="537"/>
      <c r="F57" s="537"/>
      <c r="G57" s="537"/>
      <c r="H57" s="537"/>
      <c r="I57" s="537"/>
      <c r="J57" s="537"/>
      <c r="K57" s="537"/>
      <c r="L57" s="537"/>
      <c r="M57" s="537"/>
      <c r="N57" s="537"/>
      <c r="O57" s="537"/>
      <c r="P57" s="537"/>
      <c r="Q57" s="537"/>
      <c r="R57" s="537"/>
      <c r="S57" s="537"/>
      <c r="T57" s="537"/>
      <c r="U57" s="537"/>
      <c r="V57" s="537"/>
      <c r="W57" s="537"/>
      <c r="X57" s="537"/>
      <c r="Y57" s="537"/>
      <c r="Z57" s="537"/>
    </row>
    <row r="58">
      <c r="A58" s="537"/>
      <c r="B58" s="537"/>
      <c r="C58" s="538"/>
      <c r="D58" s="537"/>
      <c r="E58" s="537"/>
      <c r="F58" s="537"/>
      <c r="G58" s="537"/>
      <c r="H58" s="537"/>
      <c r="I58" s="537"/>
      <c r="J58" s="537"/>
      <c r="K58" s="537"/>
      <c r="L58" s="537"/>
      <c r="M58" s="537"/>
      <c r="N58" s="537"/>
      <c r="O58" s="537"/>
      <c r="P58" s="537"/>
      <c r="Q58" s="537"/>
      <c r="R58" s="537"/>
      <c r="S58" s="537"/>
      <c r="T58" s="537"/>
      <c r="U58" s="537"/>
      <c r="V58" s="537"/>
      <c r="W58" s="537"/>
      <c r="X58" s="537"/>
      <c r="Y58" s="537"/>
      <c r="Z58" s="537"/>
    </row>
    <row r="59">
      <c r="A59" s="537"/>
      <c r="B59" s="537"/>
      <c r="C59" s="538"/>
      <c r="D59" s="537"/>
      <c r="E59" s="537"/>
      <c r="F59" s="537"/>
      <c r="G59" s="537"/>
      <c r="H59" s="537"/>
      <c r="I59" s="537"/>
      <c r="J59" s="537"/>
      <c r="K59" s="537"/>
      <c r="L59" s="537"/>
      <c r="M59" s="537"/>
      <c r="N59" s="537"/>
      <c r="O59" s="537"/>
      <c r="P59" s="537"/>
      <c r="Q59" s="537"/>
      <c r="R59" s="537"/>
      <c r="S59" s="537"/>
      <c r="T59" s="537"/>
      <c r="U59" s="537"/>
      <c r="V59" s="537"/>
      <c r="W59" s="537"/>
      <c r="X59" s="537"/>
      <c r="Y59" s="537"/>
      <c r="Z59" s="537"/>
    </row>
    <row r="60">
      <c r="A60" s="537"/>
      <c r="B60" s="537"/>
      <c r="C60" s="538"/>
      <c r="D60" s="537"/>
      <c r="E60" s="537"/>
      <c r="F60" s="537"/>
      <c r="G60" s="537"/>
      <c r="H60" s="537"/>
      <c r="I60" s="537"/>
      <c r="J60" s="537"/>
      <c r="K60" s="537"/>
      <c r="L60" s="537"/>
      <c r="M60" s="537"/>
      <c r="N60" s="537"/>
      <c r="O60" s="537"/>
      <c r="P60" s="537"/>
      <c r="Q60" s="537"/>
      <c r="R60" s="537"/>
      <c r="S60" s="537"/>
      <c r="T60" s="537"/>
      <c r="U60" s="537"/>
      <c r="V60" s="537"/>
      <c r="W60" s="537"/>
      <c r="X60" s="537"/>
      <c r="Y60" s="537"/>
      <c r="Z60" s="537"/>
    </row>
    <row r="61">
      <c r="A61" s="537"/>
      <c r="B61" s="537"/>
      <c r="C61" s="538"/>
      <c r="D61" s="537"/>
      <c r="E61" s="537"/>
      <c r="F61" s="537"/>
      <c r="G61" s="537"/>
      <c r="H61" s="537"/>
      <c r="I61" s="537"/>
      <c r="J61" s="537"/>
      <c r="K61" s="537"/>
      <c r="L61" s="537"/>
      <c r="M61" s="537"/>
      <c r="N61" s="537"/>
      <c r="O61" s="537"/>
      <c r="P61" s="537"/>
      <c r="Q61" s="537"/>
      <c r="R61" s="537"/>
      <c r="S61" s="537"/>
      <c r="T61" s="537"/>
      <c r="U61" s="537"/>
      <c r="V61" s="537"/>
      <c r="W61" s="537"/>
      <c r="X61" s="537"/>
      <c r="Y61" s="537"/>
      <c r="Z61" s="537"/>
    </row>
    <row r="62">
      <c r="A62" s="537"/>
      <c r="B62" s="537"/>
      <c r="C62" s="538"/>
      <c r="D62" s="537"/>
      <c r="E62" s="537"/>
      <c r="F62" s="537"/>
      <c r="G62" s="537"/>
      <c r="H62" s="537"/>
      <c r="I62" s="537"/>
      <c r="J62" s="537"/>
      <c r="K62" s="537"/>
      <c r="L62" s="537"/>
      <c r="M62" s="537"/>
      <c r="N62" s="537"/>
      <c r="O62" s="537"/>
      <c r="P62" s="537"/>
      <c r="Q62" s="537"/>
      <c r="R62" s="537"/>
      <c r="S62" s="537"/>
      <c r="T62" s="537"/>
      <c r="U62" s="537"/>
      <c r="V62" s="537"/>
      <c r="W62" s="537"/>
      <c r="X62" s="537"/>
      <c r="Y62" s="537"/>
      <c r="Z62" s="537"/>
    </row>
    <row r="63">
      <c r="A63" s="537"/>
      <c r="B63" s="537"/>
      <c r="C63" s="538"/>
      <c r="D63" s="537"/>
      <c r="E63" s="537"/>
      <c r="F63" s="537"/>
      <c r="G63" s="537"/>
      <c r="H63" s="537"/>
      <c r="I63" s="537"/>
      <c r="J63" s="537"/>
      <c r="K63" s="537"/>
      <c r="L63" s="537"/>
      <c r="M63" s="537"/>
      <c r="N63" s="537"/>
      <c r="O63" s="537"/>
      <c r="P63" s="537"/>
      <c r="Q63" s="537"/>
      <c r="R63" s="537"/>
      <c r="S63" s="537"/>
      <c r="T63" s="537"/>
      <c r="U63" s="537"/>
      <c r="V63" s="537"/>
      <c r="W63" s="537"/>
      <c r="X63" s="537"/>
      <c r="Y63" s="537"/>
      <c r="Z63" s="537"/>
    </row>
    <row r="64">
      <c r="A64" s="537"/>
      <c r="B64" s="537"/>
      <c r="C64" s="538"/>
      <c r="D64" s="537"/>
      <c r="E64" s="537"/>
      <c r="F64" s="537"/>
      <c r="G64" s="537"/>
      <c r="H64" s="537"/>
      <c r="I64" s="537"/>
      <c r="J64" s="537"/>
      <c r="K64" s="537"/>
      <c r="L64" s="537"/>
      <c r="M64" s="537"/>
      <c r="N64" s="537"/>
      <c r="O64" s="537"/>
      <c r="P64" s="537"/>
      <c r="Q64" s="537"/>
      <c r="R64" s="537"/>
      <c r="S64" s="537"/>
      <c r="T64" s="537"/>
      <c r="U64" s="537"/>
      <c r="V64" s="537"/>
      <c r="W64" s="537"/>
      <c r="X64" s="537"/>
      <c r="Y64" s="537"/>
      <c r="Z64" s="537"/>
    </row>
    <row r="65">
      <c r="A65" s="537"/>
      <c r="B65" s="537"/>
      <c r="C65" s="538"/>
      <c r="D65" s="537"/>
      <c r="E65" s="537"/>
      <c r="F65" s="537"/>
      <c r="G65" s="537"/>
      <c r="H65" s="537"/>
      <c r="I65" s="537"/>
      <c r="J65" s="537"/>
      <c r="K65" s="537"/>
      <c r="L65" s="537"/>
      <c r="M65" s="537"/>
      <c r="N65" s="537"/>
      <c r="O65" s="537"/>
      <c r="P65" s="537"/>
      <c r="Q65" s="537"/>
      <c r="R65" s="537"/>
      <c r="S65" s="537"/>
      <c r="T65" s="537"/>
      <c r="U65" s="537"/>
      <c r="V65" s="537"/>
      <c r="W65" s="537"/>
      <c r="X65" s="537"/>
      <c r="Y65" s="537"/>
      <c r="Z65" s="537"/>
    </row>
    <row r="66">
      <c r="A66" s="537"/>
      <c r="B66" s="537"/>
      <c r="C66" s="538"/>
      <c r="D66" s="537"/>
      <c r="E66" s="537"/>
      <c r="F66" s="537"/>
      <c r="G66" s="537"/>
      <c r="H66" s="537"/>
      <c r="I66" s="537"/>
      <c r="J66" s="537"/>
      <c r="K66" s="537"/>
      <c r="L66" s="537"/>
      <c r="M66" s="537"/>
      <c r="N66" s="537"/>
      <c r="O66" s="537"/>
      <c r="P66" s="537"/>
      <c r="Q66" s="537"/>
      <c r="R66" s="537"/>
      <c r="S66" s="537"/>
      <c r="T66" s="537"/>
      <c r="U66" s="537"/>
      <c r="V66" s="537"/>
      <c r="W66" s="537"/>
      <c r="X66" s="537"/>
      <c r="Y66" s="537"/>
      <c r="Z66" s="537"/>
    </row>
    <row r="67">
      <c r="A67" s="537"/>
      <c r="B67" s="537"/>
      <c r="C67" s="538"/>
      <c r="D67" s="537"/>
      <c r="E67" s="537"/>
      <c r="F67" s="537"/>
      <c r="G67" s="537"/>
      <c r="H67" s="537"/>
      <c r="I67" s="537"/>
      <c r="J67" s="537"/>
      <c r="K67" s="537"/>
      <c r="L67" s="537"/>
      <c r="M67" s="537"/>
      <c r="N67" s="537"/>
      <c r="O67" s="537"/>
      <c r="P67" s="537"/>
      <c r="Q67" s="537"/>
      <c r="R67" s="537"/>
      <c r="S67" s="537"/>
      <c r="T67" s="537"/>
      <c r="U67" s="537"/>
      <c r="V67" s="537"/>
      <c r="W67" s="537"/>
      <c r="X67" s="537"/>
      <c r="Y67" s="537"/>
      <c r="Z67" s="537"/>
    </row>
    <row r="68">
      <c r="A68" s="537"/>
      <c r="B68" s="537"/>
      <c r="C68" s="538"/>
      <c r="D68" s="537"/>
      <c r="E68" s="537"/>
      <c r="F68" s="537"/>
      <c r="G68" s="537"/>
      <c r="H68" s="537"/>
      <c r="I68" s="537"/>
      <c r="J68" s="537"/>
      <c r="K68" s="537"/>
      <c r="L68" s="537"/>
      <c r="M68" s="537"/>
      <c r="N68" s="537"/>
      <c r="O68" s="537"/>
      <c r="P68" s="537"/>
      <c r="Q68" s="537"/>
      <c r="R68" s="537"/>
      <c r="S68" s="537"/>
      <c r="T68" s="537"/>
      <c r="U68" s="537"/>
      <c r="V68" s="537"/>
      <c r="W68" s="537"/>
      <c r="X68" s="537"/>
      <c r="Y68" s="537"/>
      <c r="Z68" s="537"/>
    </row>
    <row r="69">
      <c r="A69" s="537"/>
      <c r="B69" s="537"/>
      <c r="C69" s="538"/>
      <c r="D69" s="537"/>
      <c r="E69" s="537"/>
      <c r="F69" s="537"/>
      <c r="G69" s="537"/>
      <c r="H69" s="537"/>
      <c r="I69" s="537"/>
      <c r="J69" s="537"/>
      <c r="K69" s="537"/>
      <c r="L69" s="537"/>
      <c r="M69" s="537"/>
      <c r="N69" s="537"/>
      <c r="O69" s="537"/>
      <c r="P69" s="537"/>
      <c r="Q69" s="537"/>
      <c r="R69" s="537"/>
      <c r="S69" s="537"/>
      <c r="T69" s="537"/>
      <c r="U69" s="537"/>
      <c r="V69" s="537"/>
      <c r="W69" s="537"/>
      <c r="X69" s="537"/>
      <c r="Y69" s="537"/>
      <c r="Z69" s="537"/>
    </row>
    <row r="70">
      <c r="A70" s="537"/>
      <c r="B70" s="537"/>
      <c r="C70" s="538"/>
      <c r="D70" s="537"/>
      <c r="E70" s="537"/>
      <c r="F70" s="537"/>
      <c r="G70" s="537"/>
      <c r="H70" s="537"/>
      <c r="I70" s="537"/>
      <c r="J70" s="537"/>
      <c r="K70" s="537"/>
      <c r="L70" s="537"/>
      <c r="M70" s="537"/>
      <c r="N70" s="537"/>
      <c r="O70" s="537"/>
      <c r="P70" s="537"/>
      <c r="Q70" s="537"/>
      <c r="R70" s="537"/>
      <c r="S70" s="537"/>
      <c r="T70" s="537"/>
      <c r="U70" s="537"/>
      <c r="V70" s="537"/>
      <c r="W70" s="537"/>
      <c r="X70" s="537"/>
      <c r="Y70" s="537"/>
      <c r="Z70" s="537"/>
    </row>
    <row r="71">
      <c r="A71" s="537"/>
      <c r="B71" s="537"/>
      <c r="C71" s="538"/>
      <c r="D71" s="537"/>
      <c r="E71" s="537"/>
      <c r="F71" s="537"/>
      <c r="G71" s="537"/>
      <c r="H71" s="537"/>
      <c r="I71" s="537"/>
      <c r="J71" s="537"/>
      <c r="K71" s="537"/>
      <c r="L71" s="537"/>
      <c r="M71" s="537"/>
      <c r="N71" s="537"/>
      <c r="O71" s="537"/>
      <c r="P71" s="537"/>
      <c r="Q71" s="537"/>
      <c r="R71" s="537"/>
      <c r="S71" s="537"/>
      <c r="T71" s="537"/>
      <c r="U71" s="537"/>
      <c r="V71" s="537"/>
      <c r="W71" s="537"/>
      <c r="X71" s="537"/>
      <c r="Y71" s="537"/>
      <c r="Z71" s="537"/>
    </row>
    <row r="72">
      <c r="A72" s="537"/>
      <c r="B72" s="537"/>
      <c r="C72" s="538"/>
      <c r="D72" s="537"/>
      <c r="E72" s="537"/>
      <c r="F72" s="537"/>
      <c r="G72" s="537"/>
      <c r="H72" s="537"/>
      <c r="I72" s="537"/>
      <c r="J72" s="537"/>
      <c r="K72" s="537"/>
      <c r="L72" s="537"/>
      <c r="M72" s="537"/>
      <c r="N72" s="537"/>
      <c r="O72" s="537"/>
      <c r="P72" s="537"/>
      <c r="Q72" s="537"/>
      <c r="R72" s="537"/>
      <c r="S72" s="537"/>
      <c r="T72" s="537"/>
      <c r="U72" s="537"/>
      <c r="V72" s="537"/>
      <c r="W72" s="537"/>
      <c r="X72" s="537"/>
      <c r="Y72" s="537"/>
      <c r="Z72" s="537"/>
    </row>
    <row r="73">
      <c r="A73" s="537"/>
      <c r="B73" s="537"/>
      <c r="C73" s="538"/>
      <c r="D73" s="537"/>
      <c r="E73" s="537"/>
      <c r="F73" s="537"/>
      <c r="G73" s="537"/>
      <c r="H73" s="537"/>
      <c r="I73" s="537"/>
      <c r="J73" s="537"/>
      <c r="K73" s="537"/>
      <c r="L73" s="537"/>
      <c r="M73" s="537"/>
      <c r="N73" s="537"/>
      <c r="O73" s="537"/>
      <c r="P73" s="537"/>
      <c r="Q73" s="537"/>
      <c r="R73" s="537"/>
      <c r="S73" s="537"/>
      <c r="T73" s="537"/>
      <c r="U73" s="537"/>
      <c r="V73" s="537"/>
      <c r="W73" s="537"/>
      <c r="X73" s="537"/>
      <c r="Y73" s="537"/>
      <c r="Z73" s="537"/>
    </row>
    <row r="74">
      <c r="A74" s="537"/>
      <c r="B74" s="537"/>
      <c r="C74" s="538"/>
      <c r="D74" s="537"/>
      <c r="E74" s="537"/>
      <c r="F74" s="537"/>
      <c r="G74" s="537"/>
      <c r="H74" s="537"/>
      <c r="I74" s="537"/>
      <c r="J74" s="537"/>
      <c r="K74" s="537"/>
      <c r="L74" s="537"/>
      <c r="M74" s="537"/>
      <c r="N74" s="537"/>
      <c r="O74" s="537"/>
      <c r="P74" s="537"/>
      <c r="Q74" s="537"/>
      <c r="R74" s="537"/>
      <c r="S74" s="537"/>
      <c r="T74" s="537"/>
      <c r="U74" s="537"/>
      <c r="V74" s="537"/>
      <c r="W74" s="537"/>
      <c r="X74" s="537"/>
      <c r="Y74" s="537"/>
      <c r="Z74" s="537"/>
    </row>
    <row r="75">
      <c r="A75" s="537"/>
      <c r="B75" s="537"/>
      <c r="C75" s="538"/>
      <c r="D75" s="537"/>
      <c r="E75" s="537"/>
      <c r="F75" s="537"/>
      <c r="G75" s="537"/>
      <c r="H75" s="537"/>
      <c r="I75" s="537"/>
      <c r="J75" s="537"/>
      <c r="K75" s="537"/>
      <c r="L75" s="537"/>
      <c r="M75" s="537"/>
      <c r="N75" s="537"/>
      <c r="O75" s="537"/>
      <c r="P75" s="537"/>
      <c r="Q75" s="537"/>
      <c r="R75" s="537"/>
      <c r="S75" s="537"/>
      <c r="T75" s="537"/>
      <c r="U75" s="537"/>
      <c r="V75" s="537"/>
      <c r="W75" s="537"/>
      <c r="X75" s="537"/>
      <c r="Y75" s="537"/>
      <c r="Z75" s="537"/>
    </row>
    <row r="76">
      <c r="A76" s="537"/>
      <c r="B76" s="537"/>
      <c r="C76" s="538"/>
      <c r="D76" s="537"/>
      <c r="E76" s="537"/>
      <c r="F76" s="537"/>
      <c r="G76" s="537"/>
      <c r="H76" s="537"/>
      <c r="I76" s="537"/>
      <c r="J76" s="537"/>
      <c r="K76" s="537"/>
      <c r="L76" s="537"/>
      <c r="M76" s="537"/>
      <c r="N76" s="537"/>
      <c r="O76" s="537"/>
      <c r="P76" s="537"/>
      <c r="Q76" s="537"/>
      <c r="R76" s="537"/>
      <c r="S76" s="537"/>
      <c r="T76" s="537"/>
      <c r="U76" s="537"/>
      <c r="V76" s="537"/>
      <c r="W76" s="537"/>
      <c r="X76" s="537"/>
      <c r="Y76" s="537"/>
      <c r="Z76" s="537"/>
    </row>
    <row r="77">
      <c r="A77" s="537"/>
      <c r="B77" s="537"/>
      <c r="C77" s="538"/>
      <c r="D77" s="537"/>
      <c r="E77" s="537"/>
      <c r="F77" s="537"/>
      <c r="G77" s="537"/>
      <c r="H77" s="537"/>
      <c r="I77" s="537"/>
      <c r="J77" s="537"/>
      <c r="K77" s="537"/>
      <c r="L77" s="537"/>
      <c r="M77" s="537"/>
      <c r="N77" s="537"/>
      <c r="O77" s="537"/>
      <c r="P77" s="537"/>
      <c r="Q77" s="537"/>
      <c r="R77" s="537"/>
      <c r="S77" s="537"/>
      <c r="T77" s="537"/>
      <c r="U77" s="537"/>
      <c r="V77" s="537"/>
      <c r="W77" s="537"/>
      <c r="X77" s="537"/>
      <c r="Y77" s="537"/>
      <c r="Z77" s="537"/>
    </row>
    <row r="78">
      <c r="A78" s="537"/>
      <c r="B78" s="537"/>
      <c r="C78" s="538"/>
      <c r="D78" s="537"/>
      <c r="E78" s="537"/>
      <c r="F78" s="537"/>
      <c r="G78" s="537"/>
      <c r="H78" s="537"/>
      <c r="I78" s="537"/>
      <c r="J78" s="537"/>
      <c r="K78" s="537"/>
      <c r="L78" s="537"/>
      <c r="M78" s="537"/>
      <c r="N78" s="537"/>
      <c r="O78" s="537"/>
      <c r="P78" s="537"/>
      <c r="Q78" s="537"/>
      <c r="R78" s="537"/>
      <c r="S78" s="537"/>
      <c r="T78" s="537"/>
      <c r="U78" s="537"/>
      <c r="V78" s="537"/>
      <c r="W78" s="537"/>
      <c r="X78" s="537"/>
      <c r="Y78" s="537"/>
      <c r="Z78" s="537"/>
    </row>
    <row r="79">
      <c r="A79" s="537"/>
      <c r="B79" s="537"/>
      <c r="C79" s="538"/>
      <c r="D79" s="537"/>
      <c r="E79" s="537"/>
      <c r="F79" s="537"/>
      <c r="G79" s="537"/>
      <c r="H79" s="537"/>
      <c r="I79" s="537"/>
      <c r="J79" s="537"/>
      <c r="K79" s="537"/>
      <c r="L79" s="537"/>
      <c r="M79" s="537"/>
      <c r="N79" s="537"/>
      <c r="O79" s="537"/>
      <c r="P79" s="537"/>
      <c r="Q79" s="537"/>
      <c r="R79" s="537"/>
      <c r="S79" s="537"/>
      <c r="T79" s="537"/>
      <c r="U79" s="537"/>
      <c r="V79" s="537"/>
      <c r="W79" s="537"/>
      <c r="X79" s="537"/>
      <c r="Y79" s="537"/>
      <c r="Z79" s="537"/>
    </row>
    <row r="80">
      <c r="A80" s="537"/>
      <c r="B80" s="537"/>
      <c r="C80" s="538"/>
      <c r="D80" s="537"/>
      <c r="E80" s="537"/>
      <c r="F80" s="537"/>
      <c r="G80" s="537"/>
      <c r="H80" s="537"/>
      <c r="I80" s="537"/>
      <c r="J80" s="537"/>
      <c r="K80" s="537"/>
      <c r="L80" s="537"/>
      <c r="M80" s="537"/>
      <c r="N80" s="537"/>
      <c r="O80" s="537"/>
      <c r="P80" s="537"/>
      <c r="Q80" s="537"/>
      <c r="R80" s="537"/>
      <c r="S80" s="537"/>
      <c r="T80" s="537"/>
      <c r="U80" s="537"/>
      <c r="V80" s="537"/>
      <c r="W80" s="537"/>
      <c r="X80" s="537"/>
      <c r="Y80" s="537"/>
      <c r="Z80" s="537"/>
    </row>
    <row r="81">
      <c r="A81" s="537"/>
      <c r="B81" s="537"/>
      <c r="C81" s="538"/>
      <c r="D81" s="537"/>
      <c r="E81" s="537"/>
      <c r="F81" s="537"/>
      <c r="G81" s="537"/>
      <c r="H81" s="537"/>
      <c r="I81" s="537"/>
      <c r="J81" s="537"/>
      <c r="K81" s="537"/>
      <c r="L81" s="537"/>
      <c r="M81" s="537"/>
      <c r="N81" s="537"/>
      <c r="O81" s="537"/>
      <c r="P81" s="537"/>
      <c r="Q81" s="537"/>
      <c r="R81" s="537"/>
      <c r="S81" s="537"/>
      <c r="T81" s="537"/>
      <c r="U81" s="537"/>
      <c r="V81" s="537"/>
      <c r="W81" s="537"/>
      <c r="X81" s="537"/>
      <c r="Y81" s="537"/>
      <c r="Z81" s="537"/>
    </row>
    <row r="82">
      <c r="A82" s="537"/>
      <c r="B82" s="537"/>
      <c r="C82" s="538"/>
      <c r="D82" s="537"/>
      <c r="E82" s="537"/>
      <c r="F82" s="537"/>
      <c r="G82" s="537"/>
      <c r="H82" s="537"/>
      <c r="I82" s="537"/>
      <c r="J82" s="537"/>
      <c r="K82" s="537"/>
      <c r="L82" s="537"/>
      <c r="M82" s="537"/>
      <c r="N82" s="537"/>
      <c r="O82" s="537"/>
      <c r="P82" s="537"/>
      <c r="Q82" s="537"/>
      <c r="R82" s="537"/>
      <c r="S82" s="537"/>
      <c r="T82" s="537"/>
      <c r="U82" s="537"/>
      <c r="V82" s="537"/>
      <c r="W82" s="537"/>
      <c r="X82" s="537"/>
      <c r="Y82" s="537"/>
      <c r="Z82" s="537"/>
    </row>
    <row r="83">
      <c r="A83" s="537"/>
      <c r="B83" s="537"/>
      <c r="C83" s="538"/>
      <c r="D83" s="537"/>
      <c r="E83" s="537"/>
      <c r="F83" s="537"/>
      <c r="G83" s="537"/>
      <c r="H83" s="537"/>
      <c r="I83" s="537"/>
      <c r="J83" s="537"/>
      <c r="K83" s="537"/>
      <c r="L83" s="537"/>
      <c r="M83" s="537"/>
      <c r="N83" s="537"/>
      <c r="O83" s="537"/>
      <c r="P83" s="537"/>
      <c r="Q83" s="537"/>
      <c r="R83" s="537"/>
      <c r="S83" s="537"/>
      <c r="T83" s="537"/>
      <c r="U83" s="537"/>
      <c r="V83" s="537"/>
      <c r="W83" s="537"/>
      <c r="X83" s="537"/>
      <c r="Y83" s="537"/>
      <c r="Z83" s="537"/>
    </row>
    <row r="84">
      <c r="A84" s="537"/>
      <c r="B84" s="537"/>
      <c r="C84" s="538"/>
      <c r="D84" s="537"/>
      <c r="E84" s="537"/>
      <c r="F84" s="537"/>
      <c r="G84" s="537"/>
      <c r="H84" s="537"/>
      <c r="I84" s="537"/>
      <c r="J84" s="537"/>
      <c r="K84" s="537"/>
      <c r="L84" s="537"/>
      <c r="M84" s="537"/>
      <c r="N84" s="537"/>
      <c r="O84" s="537"/>
      <c r="P84" s="537"/>
      <c r="Q84" s="537"/>
      <c r="R84" s="537"/>
      <c r="S84" s="537"/>
      <c r="T84" s="537"/>
      <c r="U84" s="537"/>
      <c r="V84" s="537"/>
      <c r="W84" s="537"/>
      <c r="X84" s="537"/>
      <c r="Y84" s="537"/>
      <c r="Z84" s="537"/>
    </row>
    <row r="85">
      <c r="A85" s="537"/>
      <c r="B85" s="537"/>
      <c r="C85" s="538"/>
      <c r="D85" s="537"/>
      <c r="E85" s="537"/>
      <c r="F85" s="537"/>
      <c r="G85" s="537"/>
      <c r="H85" s="537"/>
      <c r="I85" s="537"/>
      <c r="J85" s="537"/>
      <c r="K85" s="537"/>
      <c r="L85" s="537"/>
      <c r="M85" s="537"/>
      <c r="N85" s="537"/>
      <c r="O85" s="537"/>
      <c r="P85" s="537"/>
      <c r="Q85" s="537"/>
      <c r="R85" s="537"/>
      <c r="S85" s="537"/>
      <c r="T85" s="537"/>
      <c r="U85" s="537"/>
      <c r="V85" s="537"/>
      <c r="W85" s="537"/>
      <c r="X85" s="537"/>
      <c r="Y85" s="537"/>
      <c r="Z85" s="537"/>
    </row>
    <row r="86">
      <c r="A86" s="537"/>
      <c r="B86" s="537"/>
      <c r="C86" s="538"/>
      <c r="D86" s="537"/>
      <c r="E86" s="537"/>
      <c r="F86" s="537"/>
      <c r="G86" s="537"/>
      <c r="H86" s="537"/>
      <c r="I86" s="537"/>
      <c r="J86" s="537"/>
      <c r="K86" s="537"/>
      <c r="L86" s="537"/>
      <c r="M86" s="537"/>
      <c r="N86" s="537"/>
      <c r="O86" s="537"/>
      <c r="P86" s="537"/>
      <c r="Q86" s="537"/>
      <c r="R86" s="537"/>
      <c r="S86" s="537"/>
      <c r="T86" s="537"/>
      <c r="U86" s="537"/>
      <c r="V86" s="537"/>
      <c r="W86" s="537"/>
      <c r="X86" s="537"/>
      <c r="Y86" s="537"/>
      <c r="Z86" s="537"/>
    </row>
    <row r="87">
      <c r="A87" s="537"/>
      <c r="B87" s="537"/>
      <c r="C87" s="538"/>
      <c r="D87" s="537"/>
      <c r="E87" s="537"/>
      <c r="F87" s="537"/>
      <c r="G87" s="537"/>
      <c r="H87" s="537"/>
      <c r="I87" s="537"/>
      <c r="J87" s="537"/>
      <c r="K87" s="537"/>
      <c r="L87" s="537"/>
      <c r="M87" s="537"/>
      <c r="N87" s="537"/>
      <c r="O87" s="537"/>
      <c r="P87" s="537"/>
      <c r="Q87" s="537"/>
      <c r="R87" s="537"/>
      <c r="S87" s="537"/>
      <c r="T87" s="537"/>
      <c r="U87" s="537"/>
      <c r="V87" s="537"/>
      <c r="W87" s="537"/>
      <c r="X87" s="537"/>
      <c r="Y87" s="537"/>
      <c r="Z87" s="537"/>
    </row>
    <row r="88">
      <c r="A88" s="537"/>
      <c r="B88" s="537"/>
      <c r="C88" s="538"/>
      <c r="D88" s="537"/>
      <c r="E88" s="537"/>
      <c r="F88" s="537"/>
      <c r="G88" s="537"/>
      <c r="H88" s="537"/>
      <c r="I88" s="537"/>
      <c r="J88" s="537"/>
      <c r="K88" s="537"/>
      <c r="L88" s="537"/>
      <c r="M88" s="537"/>
      <c r="N88" s="537"/>
      <c r="O88" s="537"/>
      <c r="P88" s="537"/>
      <c r="Q88" s="537"/>
      <c r="R88" s="537"/>
      <c r="S88" s="537"/>
      <c r="T88" s="537"/>
      <c r="U88" s="537"/>
      <c r="V88" s="537"/>
      <c r="W88" s="537"/>
      <c r="X88" s="537"/>
      <c r="Y88" s="537"/>
      <c r="Z88" s="537"/>
    </row>
    <row r="89">
      <c r="A89" s="537"/>
      <c r="B89" s="537"/>
      <c r="C89" s="538"/>
      <c r="D89" s="537"/>
      <c r="E89" s="537"/>
      <c r="F89" s="537"/>
      <c r="G89" s="537"/>
      <c r="H89" s="537"/>
      <c r="I89" s="537"/>
      <c r="J89" s="537"/>
      <c r="K89" s="537"/>
      <c r="L89" s="537"/>
      <c r="M89" s="537"/>
      <c r="N89" s="537"/>
      <c r="O89" s="537"/>
      <c r="P89" s="537"/>
      <c r="Q89" s="537"/>
      <c r="R89" s="537"/>
      <c r="S89" s="537"/>
      <c r="T89" s="537"/>
      <c r="U89" s="537"/>
      <c r="V89" s="537"/>
      <c r="W89" s="537"/>
      <c r="X89" s="537"/>
      <c r="Y89" s="537"/>
      <c r="Z89" s="537"/>
    </row>
    <row r="90">
      <c r="A90" s="537"/>
      <c r="B90" s="537"/>
      <c r="C90" s="538"/>
      <c r="D90" s="537"/>
      <c r="E90" s="537"/>
      <c r="F90" s="537"/>
      <c r="G90" s="537"/>
      <c r="H90" s="537"/>
      <c r="I90" s="537"/>
      <c r="J90" s="537"/>
      <c r="K90" s="537"/>
      <c r="L90" s="537"/>
      <c r="M90" s="537"/>
      <c r="N90" s="537"/>
      <c r="O90" s="537"/>
      <c r="P90" s="537"/>
      <c r="Q90" s="537"/>
      <c r="R90" s="537"/>
      <c r="S90" s="537"/>
      <c r="T90" s="537"/>
      <c r="U90" s="537"/>
      <c r="V90" s="537"/>
      <c r="W90" s="537"/>
      <c r="X90" s="537"/>
      <c r="Y90" s="537"/>
      <c r="Z90" s="537"/>
    </row>
    <row r="91">
      <c r="A91" s="537"/>
      <c r="B91" s="537"/>
      <c r="C91" s="538"/>
      <c r="D91" s="537"/>
      <c r="E91" s="537"/>
      <c r="F91" s="537"/>
      <c r="G91" s="537"/>
      <c r="H91" s="537"/>
      <c r="I91" s="537"/>
      <c r="J91" s="537"/>
      <c r="K91" s="537"/>
      <c r="L91" s="537"/>
      <c r="M91" s="537"/>
      <c r="N91" s="537"/>
      <c r="O91" s="537"/>
      <c r="P91" s="537"/>
      <c r="Q91" s="537"/>
      <c r="R91" s="537"/>
      <c r="S91" s="537"/>
      <c r="T91" s="537"/>
      <c r="U91" s="537"/>
      <c r="V91" s="537"/>
      <c r="W91" s="537"/>
      <c r="X91" s="537"/>
      <c r="Y91" s="537"/>
      <c r="Z91" s="537"/>
    </row>
    <row r="92">
      <c r="A92" s="537"/>
      <c r="B92" s="537"/>
      <c r="C92" s="538"/>
      <c r="D92" s="537"/>
      <c r="E92" s="537"/>
      <c r="F92" s="537"/>
      <c r="G92" s="537"/>
      <c r="H92" s="537"/>
      <c r="I92" s="537"/>
      <c r="J92" s="537"/>
      <c r="K92" s="537"/>
      <c r="L92" s="537"/>
      <c r="M92" s="537"/>
      <c r="N92" s="537"/>
      <c r="O92" s="537"/>
      <c r="P92" s="537"/>
      <c r="Q92" s="537"/>
      <c r="R92" s="537"/>
      <c r="S92" s="537"/>
      <c r="T92" s="537"/>
      <c r="U92" s="537"/>
      <c r="V92" s="537"/>
      <c r="W92" s="537"/>
      <c r="X92" s="537"/>
      <c r="Y92" s="537"/>
      <c r="Z92" s="537"/>
    </row>
    <row r="93">
      <c r="A93" s="537"/>
      <c r="B93" s="537"/>
      <c r="C93" s="538"/>
      <c r="D93" s="537"/>
      <c r="E93" s="537"/>
      <c r="F93" s="537"/>
      <c r="G93" s="537"/>
      <c r="H93" s="537"/>
      <c r="I93" s="537"/>
      <c r="J93" s="537"/>
      <c r="K93" s="537"/>
      <c r="L93" s="537"/>
      <c r="M93" s="537"/>
      <c r="N93" s="537"/>
      <c r="O93" s="537"/>
      <c r="P93" s="537"/>
      <c r="Q93" s="537"/>
      <c r="R93" s="537"/>
      <c r="S93" s="537"/>
      <c r="T93" s="537"/>
      <c r="U93" s="537"/>
      <c r="V93" s="537"/>
      <c r="W93" s="537"/>
      <c r="X93" s="537"/>
      <c r="Y93" s="537"/>
      <c r="Z93" s="537"/>
    </row>
    <row r="94">
      <c r="A94" s="537"/>
      <c r="B94" s="537"/>
      <c r="C94" s="538"/>
      <c r="D94" s="537"/>
      <c r="E94" s="537"/>
      <c r="F94" s="537"/>
      <c r="G94" s="537"/>
      <c r="H94" s="537"/>
      <c r="I94" s="537"/>
      <c r="J94" s="537"/>
      <c r="K94" s="537"/>
      <c r="L94" s="537"/>
      <c r="M94" s="537"/>
      <c r="N94" s="537"/>
      <c r="O94" s="537"/>
      <c r="P94" s="537"/>
      <c r="Q94" s="537"/>
      <c r="R94" s="537"/>
      <c r="S94" s="537"/>
      <c r="T94" s="537"/>
      <c r="U94" s="537"/>
      <c r="V94" s="537"/>
      <c r="W94" s="537"/>
      <c r="X94" s="537"/>
      <c r="Y94" s="537"/>
      <c r="Z94" s="537"/>
    </row>
    <row r="95">
      <c r="A95" s="537"/>
      <c r="B95" s="537"/>
      <c r="C95" s="538"/>
      <c r="D95" s="537"/>
      <c r="E95" s="537"/>
      <c r="F95" s="537"/>
      <c r="G95" s="537"/>
      <c r="H95" s="537"/>
      <c r="I95" s="537"/>
      <c r="J95" s="537"/>
      <c r="K95" s="537"/>
      <c r="L95" s="537"/>
      <c r="M95" s="537"/>
      <c r="N95" s="537"/>
      <c r="O95" s="537"/>
      <c r="P95" s="537"/>
      <c r="Q95" s="537"/>
      <c r="R95" s="537"/>
      <c r="S95" s="537"/>
      <c r="T95" s="537"/>
      <c r="U95" s="537"/>
      <c r="V95" s="537"/>
      <c r="W95" s="537"/>
      <c r="X95" s="537"/>
      <c r="Y95" s="537"/>
      <c r="Z95" s="537"/>
    </row>
    <row r="96">
      <c r="A96" s="537"/>
      <c r="B96" s="537"/>
      <c r="C96" s="538"/>
      <c r="D96" s="537"/>
      <c r="E96" s="537"/>
      <c r="F96" s="537"/>
      <c r="G96" s="537"/>
      <c r="H96" s="537"/>
      <c r="I96" s="537"/>
      <c r="J96" s="537"/>
      <c r="K96" s="537"/>
      <c r="L96" s="537"/>
      <c r="M96" s="537"/>
      <c r="N96" s="537"/>
      <c r="O96" s="537"/>
      <c r="P96" s="537"/>
      <c r="Q96" s="537"/>
      <c r="R96" s="537"/>
      <c r="S96" s="537"/>
      <c r="T96" s="537"/>
      <c r="U96" s="537"/>
      <c r="V96" s="537"/>
      <c r="W96" s="537"/>
      <c r="X96" s="537"/>
      <c r="Y96" s="537"/>
      <c r="Z96" s="537"/>
    </row>
    <row r="97">
      <c r="A97" s="537"/>
      <c r="B97" s="537"/>
      <c r="C97" s="538"/>
      <c r="D97" s="537"/>
      <c r="E97" s="537"/>
      <c r="F97" s="537"/>
      <c r="G97" s="537"/>
      <c r="H97" s="537"/>
      <c r="I97" s="537"/>
      <c r="J97" s="537"/>
      <c r="K97" s="537"/>
      <c r="L97" s="537"/>
      <c r="M97" s="537"/>
      <c r="N97" s="537"/>
      <c r="O97" s="537"/>
      <c r="P97" s="537"/>
      <c r="Q97" s="537"/>
      <c r="R97" s="537"/>
      <c r="S97" s="537"/>
      <c r="T97" s="537"/>
      <c r="U97" s="537"/>
      <c r="V97" s="537"/>
      <c r="W97" s="537"/>
      <c r="X97" s="537"/>
      <c r="Y97" s="537"/>
      <c r="Z97" s="537"/>
    </row>
    <row r="98">
      <c r="A98" s="537"/>
      <c r="B98" s="537"/>
      <c r="C98" s="538"/>
      <c r="D98" s="537"/>
      <c r="E98" s="537"/>
      <c r="F98" s="537"/>
      <c r="G98" s="537"/>
      <c r="H98" s="537"/>
      <c r="I98" s="537"/>
      <c r="J98" s="537"/>
      <c r="K98" s="537"/>
      <c r="L98" s="537"/>
      <c r="M98" s="537"/>
      <c r="N98" s="537"/>
      <c r="O98" s="537"/>
      <c r="P98" s="537"/>
      <c r="Q98" s="537"/>
      <c r="R98" s="537"/>
      <c r="S98" s="537"/>
      <c r="T98" s="537"/>
      <c r="U98" s="537"/>
      <c r="V98" s="537"/>
      <c r="W98" s="537"/>
      <c r="X98" s="537"/>
      <c r="Y98" s="537"/>
      <c r="Z98" s="537"/>
    </row>
    <row r="99">
      <c r="A99" s="537"/>
      <c r="B99" s="537"/>
      <c r="C99" s="538"/>
      <c r="D99" s="537"/>
      <c r="E99" s="537"/>
      <c r="F99" s="537"/>
      <c r="G99" s="537"/>
      <c r="H99" s="537"/>
      <c r="I99" s="537"/>
      <c r="J99" s="537"/>
      <c r="K99" s="537"/>
      <c r="L99" s="537"/>
      <c r="M99" s="537"/>
      <c r="N99" s="537"/>
      <c r="O99" s="537"/>
      <c r="P99" s="537"/>
      <c r="Q99" s="537"/>
      <c r="R99" s="537"/>
      <c r="S99" s="537"/>
      <c r="T99" s="537"/>
      <c r="U99" s="537"/>
      <c r="V99" s="537"/>
      <c r="W99" s="537"/>
      <c r="X99" s="537"/>
      <c r="Y99" s="537"/>
      <c r="Z99" s="537"/>
    </row>
    <row r="100">
      <c r="A100" s="537"/>
      <c r="B100" s="537"/>
      <c r="C100" s="538"/>
      <c r="D100" s="537"/>
      <c r="E100" s="537"/>
      <c r="F100" s="537"/>
      <c r="G100" s="537"/>
      <c r="H100" s="537"/>
      <c r="I100" s="537"/>
      <c r="J100" s="537"/>
      <c r="K100" s="537"/>
      <c r="L100" s="537"/>
      <c r="M100" s="537"/>
      <c r="N100" s="537"/>
      <c r="O100" s="537"/>
      <c r="P100" s="537"/>
      <c r="Q100" s="537"/>
      <c r="R100" s="537"/>
      <c r="S100" s="537"/>
      <c r="T100" s="537"/>
      <c r="U100" s="537"/>
      <c r="V100" s="537"/>
      <c r="W100" s="537"/>
      <c r="X100" s="537"/>
      <c r="Y100" s="537"/>
      <c r="Z100" s="537"/>
    </row>
    <row r="101">
      <c r="A101" s="537"/>
      <c r="B101" s="537"/>
      <c r="C101" s="538"/>
      <c r="D101" s="537"/>
      <c r="E101" s="537"/>
      <c r="F101" s="537"/>
      <c r="G101" s="537"/>
      <c r="H101" s="537"/>
      <c r="I101" s="537"/>
      <c r="J101" s="537"/>
      <c r="K101" s="537"/>
      <c r="L101" s="537"/>
      <c r="M101" s="537"/>
      <c r="N101" s="537"/>
      <c r="O101" s="537"/>
      <c r="P101" s="537"/>
      <c r="Q101" s="537"/>
      <c r="R101" s="537"/>
      <c r="S101" s="537"/>
      <c r="T101" s="537"/>
      <c r="U101" s="537"/>
      <c r="V101" s="537"/>
      <c r="W101" s="537"/>
      <c r="X101" s="537"/>
      <c r="Y101" s="537"/>
      <c r="Z101" s="537"/>
    </row>
    <row r="102">
      <c r="A102" s="537"/>
      <c r="B102" s="537"/>
      <c r="C102" s="538"/>
      <c r="D102" s="537"/>
      <c r="E102" s="537"/>
      <c r="F102" s="537"/>
      <c r="G102" s="537"/>
      <c r="H102" s="537"/>
      <c r="I102" s="537"/>
      <c r="J102" s="537"/>
      <c r="K102" s="537"/>
      <c r="L102" s="537"/>
      <c r="M102" s="537"/>
      <c r="N102" s="537"/>
      <c r="O102" s="537"/>
      <c r="P102" s="537"/>
      <c r="Q102" s="537"/>
      <c r="R102" s="537"/>
      <c r="S102" s="537"/>
      <c r="T102" s="537"/>
      <c r="U102" s="537"/>
      <c r="V102" s="537"/>
      <c r="W102" s="537"/>
      <c r="X102" s="537"/>
      <c r="Y102" s="537"/>
      <c r="Z102" s="537"/>
    </row>
    <row r="103">
      <c r="A103" s="537"/>
      <c r="B103" s="537"/>
      <c r="C103" s="538"/>
      <c r="D103" s="537"/>
      <c r="E103" s="537"/>
      <c r="F103" s="537"/>
      <c r="G103" s="537"/>
      <c r="H103" s="537"/>
      <c r="I103" s="537"/>
      <c r="J103" s="537"/>
      <c r="K103" s="537"/>
      <c r="L103" s="537"/>
      <c r="M103" s="537"/>
      <c r="N103" s="537"/>
      <c r="O103" s="537"/>
      <c r="P103" s="537"/>
      <c r="Q103" s="537"/>
      <c r="R103" s="537"/>
      <c r="S103" s="537"/>
      <c r="T103" s="537"/>
      <c r="U103" s="537"/>
      <c r="V103" s="537"/>
      <c r="W103" s="537"/>
      <c r="X103" s="537"/>
      <c r="Y103" s="537"/>
      <c r="Z103" s="537"/>
    </row>
    <row r="104">
      <c r="A104" s="537"/>
      <c r="B104" s="537"/>
      <c r="C104" s="538"/>
      <c r="D104" s="537"/>
      <c r="E104" s="537"/>
      <c r="F104" s="537"/>
      <c r="G104" s="537"/>
      <c r="H104" s="537"/>
      <c r="I104" s="537"/>
      <c r="J104" s="537"/>
      <c r="K104" s="537"/>
      <c r="L104" s="537"/>
      <c r="M104" s="537"/>
      <c r="N104" s="537"/>
      <c r="O104" s="537"/>
      <c r="P104" s="537"/>
      <c r="Q104" s="537"/>
      <c r="R104" s="537"/>
      <c r="S104" s="537"/>
      <c r="T104" s="537"/>
      <c r="U104" s="537"/>
      <c r="V104" s="537"/>
      <c r="W104" s="537"/>
      <c r="X104" s="537"/>
      <c r="Y104" s="537"/>
      <c r="Z104" s="537"/>
    </row>
    <row r="105">
      <c r="A105" s="537"/>
      <c r="B105" s="537"/>
      <c r="C105" s="538"/>
      <c r="D105" s="537"/>
      <c r="E105" s="537"/>
      <c r="F105" s="537"/>
      <c r="G105" s="537"/>
      <c r="H105" s="537"/>
      <c r="I105" s="537"/>
      <c r="J105" s="537"/>
      <c r="K105" s="537"/>
      <c r="L105" s="537"/>
      <c r="M105" s="537"/>
      <c r="N105" s="537"/>
      <c r="O105" s="537"/>
      <c r="P105" s="537"/>
      <c r="Q105" s="537"/>
      <c r="R105" s="537"/>
      <c r="S105" s="537"/>
      <c r="T105" s="537"/>
      <c r="U105" s="537"/>
      <c r="V105" s="537"/>
      <c r="W105" s="537"/>
      <c r="X105" s="537"/>
      <c r="Y105" s="537"/>
      <c r="Z105" s="537"/>
    </row>
    <row r="106">
      <c r="A106" s="537"/>
      <c r="B106" s="537"/>
      <c r="C106" s="538"/>
      <c r="D106" s="537"/>
      <c r="E106" s="537"/>
      <c r="F106" s="537"/>
      <c r="G106" s="537"/>
      <c r="H106" s="537"/>
      <c r="I106" s="537"/>
      <c r="J106" s="537"/>
      <c r="K106" s="537"/>
      <c r="L106" s="537"/>
      <c r="M106" s="537"/>
      <c r="N106" s="537"/>
      <c r="O106" s="537"/>
      <c r="P106" s="537"/>
      <c r="Q106" s="537"/>
      <c r="R106" s="537"/>
      <c r="S106" s="537"/>
      <c r="T106" s="537"/>
      <c r="U106" s="537"/>
      <c r="V106" s="537"/>
      <c r="W106" s="537"/>
      <c r="X106" s="537"/>
      <c r="Y106" s="537"/>
      <c r="Z106" s="537"/>
    </row>
    <row r="107">
      <c r="A107" s="537"/>
      <c r="B107" s="537"/>
      <c r="C107" s="538"/>
      <c r="D107" s="537"/>
      <c r="E107" s="537"/>
      <c r="F107" s="537"/>
      <c r="G107" s="537"/>
      <c r="H107" s="537"/>
      <c r="I107" s="537"/>
      <c r="J107" s="537"/>
      <c r="K107" s="537"/>
      <c r="L107" s="537"/>
      <c r="M107" s="537"/>
      <c r="N107" s="537"/>
      <c r="O107" s="537"/>
      <c r="P107" s="537"/>
      <c r="Q107" s="537"/>
      <c r="R107" s="537"/>
      <c r="S107" s="537"/>
      <c r="T107" s="537"/>
      <c r="U107" s="537"/>
      <c r="V107" s="537"/>
      <c r="W107" s="537"/>
      <c r="X107" s="537"/>
      <c r="Y107" s="537"/>
      <c r="Z107" s="537"/>
    </row>
    <row r="108">
      <c r="A108" s="537"/>
      <c r="B108" s="537"/>
      <c r="C108" s="538"/>
      <c r="D108" s="537"/>
      <c r="E108" s="537"/>
      <c r="F108" s="537"/>
      <c r="G108" s="537"/>
      <c r="H108" s="537"/>
      <c r="I108" s="537"/>
      <c r="J108" s="537"/>
      <c r="K108" s="537"/>
      <c r="L108" s="537"/>
      <c r="M108" s="537"/>
      <c r="N108" s="537"/>
      <c r="O108" s="537"/>
      <c r="P108" s="537"/>
      <c r="Q108" s="537"/>
      <c r="R108" s="537"/>
      <c r="S108" s="537"/>
      <c r="T108" s="537"/>
      <c r="U108" s="537"/>
      <c r="V108" s="537"/>
      <c r="W108" s="537"/>
      <c r="X108" s="537"/>
      <c r="Y108" s="537"/>
      <c r="Z108" s="537"/>
    </row>
    <row r="109">
      <c r="A109" s="537"/>
      <c r="B109" s="537"/>
      <c r="C109" s="538"/>
      <c r="D109" s="537"/>
      <c r="E109" s="537"/>
      <c r="F109" s="537"/>
      <c r="G109" s="537"/>
      <c r="H109" s="537"/>
      <c r="I109" s="537"/>
      <c r="J109" s="537"/>
      <c r="K109" s="537"/>
      <c r="L109" s="537"/>
      <c r="M109" s="537"/>
      <c r="N109" s="537"/>
      <c r="O109" s="537"/>
      <c r="P109" s="537"/>
      <c r="Q109" s="537"/>
      <c r="R109" s="537"/>
      <c r="S109" s="537"/>
      <c r="T109" s="537"/>
      <c r="U109" s="537"/>
      <c r="V109" s="537"/>
      <c r="W109" s="537"/>
      <c r="X109" s="537"/>
      <c r="Y109" s="537"/>
      <c r="Z109" s="537"/>
    </row>
    <row r="110">
      <c r="A110" s="537"/>
      <c r="B110" s="537"/>
      <c r="C110" s="538"/>
      <c r="D110" s="537"/>
      <c r="E110" s="537"/>
      <c r="F110" s="537"/>
      <c r="G110" s="537"/>
      <c r="H110" s="537"/>
      <c r="I110" s="537"/>
      <c r="J110" s="537"/>
      <c r="K110" s="537"/>
      <c r="L110" s="537"/>
      <c r="M110" s="537"/>
      <c r="N110" s="537"/>
      <c r="O110" s="537"/>
      <c r="P110" s="537"/>
      <c r="Q110" s="537"/>
      <c r="R110" s="537"/>
      <c r="S110" s="537"/>
      <c r="T110" s="537"/>
      <c r="U110" s="537"/>
      <c r="V110" s="537"/>
      <c r="W110" s="537"/>
      <c r="X110" s="537"/>
      <c r="Y110" s="537"/>
      <c r="Z110" s="537"/>
    </row>
    <row r="111">
      <c r="A111" s="537"/>
      <c r="B111" s="537"/>
      <c r="C111" s="538"/>
      <c r="D111" s="537"/>
      <c r="E111" s="537"/>
      <c r="F111" s="537"/>
      <c r="G111" s="537"/>
      <c r="H111" s="537"/>
      <c r="I111" s="537"/>
      <c r="J111" s="537"/>
      <c r="K111" s="537"/>
      <c r="L111" s="537"/>
      <c r="M111" s="537"/>
      <c r="N111" s="537"/>
      <c r="O111" s="537"/>
      <c r="P111" s="537"/>
      <c r="Q111" s="537"/>
      <c r="R111" s="537"/>
      <c r="S111" s="537"/>
      <c r="T111" s="537"/>
      <c r="U111" s="537"/>
      <c r="V111" s="537"/>
      <c r="W111" s="537"/>
      <c r="X111" s="537"/>
      <c r="Y111" s="537"/>
      <c r="Z111" s="537"/>
    </row>
    <row r="112">
      <c r="A112" s="537"/>
      <c r="B112" s="537"/>
      <c r="C112" s="538"/>
      <c r="D112" s="537"/>
      <c r="E112" s="537"/>
      <c r="F112" s="537"/>
      <c r="G112" s="537"/>
      <c r="H112" s="537"/>
      <c r="I112" s="537"/>
      <c r="J112" s="537"/>
      <c r="K112" s="537"/>
      <c r="L112" s="537"/>
      <c r="M112" s="537"/>
      <c r="N112" s="537"/>
      <c r="O112" s="537"/>
      <c r="P112" s="537"/>
      <c r="Q112" s="537"/>
      <c r="R112" s="537"/>
      <c r="S112" s="537"/>
      <c r="T112" s="537"/>
      <c r="U112" s="537"/>
      <c r="V112" s="537"/>
      <c r="W112" s="537"/>
      <c r="X112" s="537"/>
      <c r="Y112" s="537"/>
      <c r="Z112" s="537"/>
    </row>
    <row r="113">
      <c r="A113" s="537"/>
      <c r="B113" s="537"/>
      <c r="C113" s="538"/>
      <c r="D113" s="537"/>
      <c r="E113" s="537"/>
      <c r="F113" s="537"/>
      <c r="G113" s="537"/>
      <c r="H113" s="537"/>
      <c r="I113" s="537"/>
      <c r="J113" s="537"/>
      <c r="K113" s="537"/>
      <c r="L113" s="537"/>
      <c r="M113" s="537"/>
      <c r="N113" s="537"/>
      <c r="O113" s="537"/>
      <c r="P113" s="537"/>
      <c r="Q113" s="537"/>
      <c r="R113" s="537"/>
      <c r="S113" s="537"/>
      <c r="T113" s="537"/>
      <c r="U113" s="537"/>
      <c r="V113" s="537"/>
      <c r="W113" s="537"/>
      <c r="X113" s="537"/>
      <c r="Y113" s="537"/>
      <c r="Z113" s="537"/>
    </row>
    <row r="114">
      <c r="A114" s="537"/>
      <c r="B114" s="537"/>
      <c r="C114" s="538"/>
      <c r="D114" s="537"/>
      <c r="E114" s="537"/>
      <c r="F114" s="537"/>
      <c r="G114" s="537"/>
      <c r="H114" s="537"/>
      <c r="I114" s="537"/>
      <c r="J114" s="537"/>
      <c r="K114" s="537"/>
      <c r="L114" s="537"/>
      <c r="M114" s="537"/>
      <c r="N114" s="537"/>
      <c r="O114" s="537"/>
      <c r="P114" s="537"/>
      <c r="Q114" s="537"/>
      <c r="R114" s="537"/>
      <c r="S114" s="537"/>
      <c r="T114" s="537"/>
      <c r="U114" s="537"/>
      <c r="V114" s="537"/>
      <c r="W114" s="537"/>
      <c r="X114" s="537"/>
      <c r="Y114" s="537"/>
      <c r="Z114" s="537"/>
    </row>
    <row r="115">
      <c r="A115" s="537"/>
      <c r="B115" s="537"/>
      <c r="C115" s="538"/>
      <c r="D115" s="537"/>
      <c r="E115" s="537"/>
      <c r="F115" s="537"/>
      <c r="G115" s="537"/>
      <c r="H115" s="537"/>
      <c r="I115" s="537"/>
      <c r="J115" s="537"/>
      <c r="K115" s="537"/>
      <c r="L115" s="537"/>
      <c r="M115" s="537"/>
      <c r="N115" s="537"/>
      <c r="O115" s="537"/>
      <c r="P115" s="537"/>
      <c r="Q115" s="537"/>
      <c r="R115" s="537"/>
      <c r="S115" s="537"/>
      <c r="T115" s="537"/>
      <c r="U115" s="537"/>
      <c r="V115" s="537"/>
      <c r="W115" s="537"/>
      <c r="X115" s="537"/>
      <c r="Y115" s="537"/>
      <c r="Z115" s="537"/>
    </row>
    <row r="116">
      <c r="A116" s="537"/>
      <c r="B116" s="537"/>
      <c r="C116" s="538"/>
      <c r="D116" s="537"/>
      <c r="E116" s="537"/>
      <c r="F116" s="537"/>
      <c r="G116" s="537"/>
      <c r="H116" s="537"/>
      <c r="I116" s="537"/>
      <c r="J116" s="537"/>
      <c r="K116" s="537"/>
      <c r="L116" s="537"/>
      <c r="M116" s="537"/>
      <c r="N116" s="537"/>
      <c r="O116" s="537"/>
      <c r="P116" s="537"/>
      <c r="Q116" s="537"/>
      <c r="R116" s="537"/>
      <c r="S116" s="537"/>
      <c r="T116" s="537"/>
      <c r="U116" s="537"/>
      <c r="V116" s="537"/>
      <c r="W116" s="537"/>
      <c r="X116" s="537"/>
      <c r="Y116" s="537"/>
      <c r="Z116" s="537"/>
    </row>
    <row r="117">
      <c r="A117" s="537"/>
      <c r="B117" s="537"/>
      <c r="C117" s="538"/>
      <c r="D117" s="537"/>
      <c r="E117" s="537"/>
      <c r="F117" s="537"/>
      <c r="G117" s="537"/>
      <c r="H117" s="537"/>
      <c r="I117" s="537"/>
      <c r="J117" s="537"/>
      <c r="K117" s="537"/>
      <c r="L117" s="537"/>
      <c r="M117" s="537"/>
      <c r="N117" s="537"/>
      <c r="O117" s="537"/>
      <c r="P117" s="537"/>
      <c r="Q117" s="537"/>
      <c r="R117" s="537"/>
      <c r="S117" s="537"/>
      <c r="T117" s="537"/>
      <c r="U117" s="537"/>
      <c r="V117" s="537"/>
      <c r="W117" s="537"/>
      <c r="X117" s="537"/>
      <c r="Y117" s="537"/>
      <c r="Z117" s="537"/>
    </row>
    <row r="118">
      <c r="A118" s="537"/>
      <c r="B118" s="537"/>
      <c r="C118" s="538"/>
      <c r="D118" s="537"/>
      <c r="E118" s="537"/>
      <c r="F118" s="537"/>
      <c r="G118" s="537"/>
      <c r="H118" s="537"/>
      <c r="I118" s="537"/>
      <c r="J118" s="537"/>
      <c r="K118" s="537"/>
      <c r="L118" s="537"/>
      <c r="M118" s="537"/>
      <c r="N118" s="537"/>
      <c r="O118" s="537"/>
      <c r="P118" s="537"/>
      <c r="Q118" s="537"/>
      <c r="R118" s="537"/>
      <c r="S118" s="537"/>
      <c r="T118" s="537"/>
      <c r="U118" s="537"/>
      <c r="V118" s="537"/>
      <c r="W118" s="537"/>
      <c r="X118" s="537"/>
      <c r="Y118" s="537"/>
      <c r="Z118" s="537"/>
    </row>
    <row r="119">
      <c r="A119" s="537"/>
      <c r="B119" s="537"/>
      <c r="C119" s="538"/>
      <c r="D119" s="537"/>
      <c r="E119" s="537"/>
      <c r="F119" s="537"/>
      <c r="G119" s="537"/>
      <c r="H119" s="537"/>
      <c r="I119" s="537"/>
      <c r="J119" s="537"/>
      <c r="K119" s="537"/>
      <c r="L119" s="537"/>
      <c r="M119" s="537"/>
      <c r="N119" s="537"/>
      <c r="O119" s="537"/>
      <c r="P119" s="537"/>
      <c r="Q119" s="537"/>
      <c r="R119" s="537"/>
      <c r="S119" s="537"/>
      <c r="T119" s="537"/>
      <c r="U119" s="537"/>
      <c r="V119" s="537"/>
      <c r="W119" s="537"/>
      <c r="X119" s="537"/>
      <c r="Y119" s="537"/>
      <c r="Z119" s="537"/>
    </row>
    <row r="120">
      <c r="A120" s="537"/>
      <c r="B120" s="537"/>
      <c r="C120" s="538"/>
      <c r="D120" s="537"/>
      <c r="E120" s="537"/>
      <c r="F120" s="537"/>
      <c r="G120" s="537"/>
      <c r="H120" s="537"/>
      <c r="I120" s="537"/>
      <c r="J120" s="537"/>
      <c r="K120" s="537"/>
      <c r="L120" s="537"/>
      <c r="M120" s="537"/>
      <c r="N120" s="537"/>
      <c r="O120" s="537"/>
      <c r="P120" s="537"/>
      <c r="Q120" s="537"/>
      <c r="R120" s="537"/>
      <c r="S120" s="537"/>
      <c r="T120" s="537"/>
      <c r="U120" s="537"/>
      <c r="V120" s="537"/>
      <c r="W120" s="537"/>
      <c r="X120" s="537"/>
      <c r="Y120" s="537"/>
      <c r="Z120" s="537"/>
    </row>
    <row r="121">
      <c r="A121" s="537"/>
      <c r="B121" s="537"/>
      <c r="C121" s="538"/>
      <c r="D121" s="537"/>
      <c r="E121" s="537"/>
      <c r="F121" s="537"/>
      <c r="G121" s="537"/>
      <c r="H121" s="537"/>
      <c r="I121" s="537"/>
      <c r="J121" s="537"/>
      <c r="K121" s="537"/>
      <c r="L121" s="537"/>
      <c r="M121" s="537"/>
      <c r="N121" s="537"/>
      <c r="O121" s="537"/>
      <c r="P121" s="537"/>
      <c r="Q121" s="537"/>
      <c r="R121" s="537"/>
      <c r="S121" s="537"/>
      <c r="T121" s="537"/>
      <c r="U121" s="537"/>
      <c r="V121" s="537"/>
      <c r="W121" s="537"/>
      <c r="X121" s="537"/>
      <c r="Y121" s="537"/>
      <c r="Z121" s="537"/>
    </row>
    <row r="122">
      <c r="A122" s="537"/>
      <c r="B122" s="537"/>
      <c r="C122" s="538"/>
      <c r="D122" s="537"/>
      <c r="E122" s="537"/>
      <c r="F122" s="537"/>
      <c r="G122" s="537"/>
      <c r="H122" s="537"/>
      <c r="I122" s="537"/>
      <c r="J122" s="537"/>
      <c r="K122" s="537"/>
      <c r="L122" s="537"/>
      <c r="M122" s="537"/>
      <c r="N122" s="537"/>
      <c r="O122" s="537"/>
      <c r="P122" s="537"/>
      <c r="Q122" s="537"/>
      <c r="R122" s="537"/>
      <c r="S122" s="537"/>
      <c r="T122" s="537"/>
      <c r="U122" s="537"/>
      <c r="V122" s="537"/>
      <c r="W122" s="537"/>
      <c r="X122" s="537"/>
      <c r="Y122" s="537"/>
      <c r="Z122" s="537"/>
    </row>
    <row r="123">
      <c r="A123" s="537"/>
      <c r="B123" s="537"/>
      <c r="C123" s="538"/>
      <c r="D123" s="537"/>
      <c r="E123" s="537"/>
      <c r="F123" s="537"/>
      <c r="G123" s="537"/>
      <c r="H123" s="537"/>
      <c r="I123" s="537"/>
      <c r="J123" s="537"/>
      <c r="K123" s="537"/>
      <c r="L123" s="537"/>
      <c r="M123" s="537"/>
      <c r="N123" s="537"/>
      <c r="O123" s="537"/>
      <c r="P123" s="537"/>
      <c r="Q123" s="537"/>
      <c r="R123" s="537"/>
      <c r="S123" s="537"/>
      <c r="T123" s="537"/>
      <c r="U123" s="537"/>
      <c r="V123" s="537"/>
      <c r="W123" s="537"/>
      <c r="X123" s="537"/>
      <c r="Y123" s="537"/>
      <c r="Z123" s="537"/>
    </row>
    <row r="124">
      <c r="A124" s="537"/>
      <c r="B124" s="537"/>
      <c r="C124" s="538"/>
      <c r="D124" s="537"/>
      <c r="E124" s="537"/>
      <c r="F124" s="537"/>
      <c r="G124" s="537"/>
      <c r="H124" s="537"/>
      <c r="I124" s="537"/>
      <c r="J124" s="537"/>
      <c r="K124" s="537"/>
      <c r="L124" s="537"/>
      <c r="M124" s="537"/>
      <c r="N124" s="537"/>
      <c r="O124" s="537"/>
      <c r="P124" s="537"/>
      <c r="Q124" s="537"/>
      <c r="R124" s="537"/>
      <c r="S124" s="537"/>
      <c r="T124" s="537"/>
      <c r="U124" s="537"/>
      <c r="V124" s="537"/>
      <c r="W124" s="537"/>
      <c r="X124" s="537"/>
      <c r="Y124" s="537"/>
      <c r="Z124" s="537"/>
    </row>
    <row r="125">
      <c r="A125" s="537"/>
      <c r="B125" s="537"/>
      <c r="C125" s="538"/>
      <c r="D125" s="537"/>
      <c r="E125" s="537"/>
      <c r="F125" s="537"/>
      <c r="G125" s="537"/>
      <c r="H125" s="537"/>
      <c r="I125" s="537"/>
      <c r="J125" s="537"/>
      <c r="K125" s="537"/>
      <c r="L125" s="537"/>
      <c r="M125" s="537"/>
      <c r="N125" s="537"/>
      <c r="O125" s="537"/>
      <c r="P125" s="537"/>
      <c r="Q125" s="537"/>
      <c r="R125" s="537"/>
      <c r="S125" s="537"/>
      <c r="T125" s="537"/>
      <c r="U125" s="537"/>
      <c r="V125" s="537"/>
      <c r="W125" s="537"/>
      <c r="X125" s="537"/>
      <c r="Y125" s="537"/>
      <c r="Z125" s="537"/>
    </row>
    <row r="126">
      <c r="A126" s="537"/>
      <c r="B126" s="537"/>
      <c r="C126" s="538"/>
      <c r="D126" s="537"/>
      <c r="E126" s="537"/>
      <c r="F126" s="537"/>
      <c r="G126" s="537"/>
      <c r="H126" s="537"/>
      <c r="I126" s="537"/>
      <c r="J126" s="537"/>
      <c r="K126" s="537"/>
      <c r="L126" s="537"/>
      <c r="M126" s="537"/>
      <c r="N126" s="537"/>
      <c r="O126" s="537"/>
      <c r="P126" s="537"/>
      <c r="Q126" s="537"/>
      <c r="R126" s="537"/>
      <c r="S126" s="537"/>
      <c r="T126" s="537"/>
      <c r="U126" s="537"/>
      <c r="V126" s="537"/>
      <c r="W126" s="537"/>
      <c r="X126" s="537"/>
      <c r="Y126" s="537"/>
      <c r="Z126" s="537"/>
    </row>
    <row r="127">
      <c r="A127" s="537"/>
      <c r="B127" s="537"/>
      <c r="C127" s="538"/>
      <c r="D127" s="537"/>
      <c r="E127" s="537"/>
      <c r="F127" s="537"/>
      <c r="G127" s="537"/>
      <c r="H127" s="537"/>
      <c r="I127" s="537"/>
      <c r="J127" s="537"/>
      <c r="K127" s="537"/>
      <c r="L127" s="537"/>
      <c r="M127" s="537"/>
      <c r="N127" s="537"/>
      <c r="O127" s="537"/>
      <c r="P127" s="537"/>
      <c r="Q127" s="537"/>
      <c r="R127" s="537"/>
      <c r="S127" s="537"/>
      <c r="T127" s="537"/>
      <c r="U127" s="537"/>
      <c r="V127" s="537"/>
      <c r="W127" s="537"/>
      <c r="X127" s="537"/>
      <c r="Y127" s="537"/>
      <c r="Z127" s="537"/>
    </row>
    <row r="128">
      <c r="A128" s="537"/>
      <c r="B128" s="537"/>
      <c r="C128" s="538"/>
      <c r="D128" s="537"/>
      <c r="E128" s="537"/>
      <c r="F128" s="537"/>
      <c r="G128" s="537"/>
      <c r="H128" s="537"/>
      <c r="I128" s="537"/>
      <c r="J128" s="537"/>
      <c r="K128" s="537"/>
      <c r="L128" s="537"/>
      <c r="M128" s="537"/>
      <c r="N128" s="537"/>
      <c r="O128" s="537"/>
      <c r="P128" s="537"/>
      <c r="Q128" s="537"/>
      <c r="R128" s="537"/>
      <c r="S128" s="537"/>
      <c r="T128" s="537"/>
      <c r="U128" s="537"/>
      <c r="V128" s="537"/>
      <c r="W128" s="537"/>
      <c r="X128" s="537"/>
      <c r="Y128" s="537"/>
      <c r="Z128" s="537"/>
    </row>
    <row r="129">
      <c r="A129" s="537"/>
      <c r="B129" s="537"/>
      <c r="C129" s="538"/>
      <c r="D129" s="537"/>
      <c r="E129" s="537"/>
      <c r="F129" s="537"/>
      <c r="G129" s="537"/>
      <c r="H129" s="537"/>
      <c r="I129" s="537"/>
      <c r="J129" s="537"/>
      <c r="K129" s="537"/>
      <c r="L129" s="537"/>
      <c r="M129" s="537"/>
      <c r="N129" s="537"/>
      <c r="O129" s="537"/>
      <c r="P129" s="537"/>
      <c r="Q129" s="537"/>
      <c r="R129" s="537"/>
      <c r="S129" s="537"/>
      <c r="T129" s="537"/>
      <c r="U129" s="537"/>
      <c r="V129" s="537"/>
      <c r="W129" s="537"/>
      <c r="X129" s="537"/>
      <c r="Y129" s="537"/>
      <c r="Z129" s="537"/>
    </row>
    <row r="130">
      <c r="A130" s="537"/>
      <c r="B130" s="537"/>
      <c r="C130" s="538"/>
      <c r="D130" s="537"/>
      <c r="E130" s="537"/>
      <c r="F130" s="537"/>
      <c r="G130" s="537"/>
      <c r="H130" s="537"/>
      <c r="I130" s="537"/>
      <c r="J130" s="537"/>
      <c r="K130" s="537"/>
      <c r="L130" s="537"/>
      <c r="M130" s="537"/>
      <c r="N130" s="537"/>
      <c r="O130" s="537"/>
      <c r="P130" s="537"/>
      <c r="Q130" s="537"/>
      <c r="R130" s="537"/>
      <c r="S130" s="537"/>
      <c r="T130" s="537"/>
      <c r="U130" s="537"/>
      <c r="V130" s="537"/>
      <c r="W130" s="537"/>
      <c r="X130" s="537"/>
      <c r="Y130" s="537"/>
      <c r="Z130" s="537"/>
    </row>
    <row r="131">
      <c r="A131" s="537"/>
      <c r="B131" s="537"/>
      <c r="C131" s="538"/>
      <c r="D131" s="537"/>
      <c r="E131" s="537"/>
      <c r="F131" s="537"/>
      <c r="G131" s="537"/>
      <c r="H131" s="537"/>
      <c r="I131" s="537"/>
      <c r="J131" s="537"/>
      <c r="K131" s="537"/>
      <c r="L131" s="537"/>
      <c r="M131" s="537"/>
      <c r="N131" s="537"/>
      <c r="O131" s="537"/>
      <c r="P131" s="537"/>
      <c r="Q131" s="537"/>
      <c r="R131" s="537"/>
      <c r="S131" s="537"/>
      <c r="T131" s="537"/>
      <c r="U131" s="537"/>
      <c r="V131" s="537"/>
      <c r="W131" s="537"/>
      <c r="X131" s="537"/>
      <c r="Y131" s="537"/>
      <c r="Z131" s="537"/>
    </row>
    <row r="132">
      <c r="A132" s="537"/>
      <c r="B132" s="537"/>
      <c r="C132" s="538"/>
      <c r="D132" s="537"/>
      <c r="E132" s="537"/>
      <c r="F132" s="537"/>
      <c r="G132" s="537"/>
      <c r="H132" s="537"/>
      <c r="I132" s="537"/>
      <c r="J132" s="537"/>
      <c r="K132" s="537"/>
      <c r="L132" s="537"/>
      <c r="M132" s="537"/>
      <c r="N132" s="537"/>
      <c r="O132" s="537"/>
      <c r="P132" s="537"/>
      <c r="Q132" s="537"/>
      <c r="R132" s="537"/>
      <c r="S132" s="537"/>
      <c r="T132" s="537"/>
      <c r="U132" s="537"/>
      <c r="V132" s="537"/>
      <c r="W132" s="537"/>
      <c r="X132" s="537"/>
      <c r="Y132" s="537"/>
      <c r="Z132" s="537"/>
    </row>
    <row r="133">
      <c r="A133" s="537"/>
      <c r="B133" s="537"/>
      <c r="C133" s="538"/>
      <c r="D133" s="537"/>
      <c r="E133" s="537"/>
      <c r="F133" s="537"/>
      <c r="G133" s="537"/>
      <c r="H133" s="537"/>
      <c r="I133" s="537"/>
      <c r="J133" s="537"/>
      <c r="K133" s="537"/>
      <c r="L133" s="537"/>
      <c r="M133" s="537"/>
      <c r="N133" s="537"/>
      <c r="O133" s="537"/>
      <c r="P133" s="537"/>
      <c r="Q133" s="537"/>
      <c r="R133" s="537"/>
      <c r="S133" s="537"/>
      <c r="T133" s="537"/>
      <c r="U133" s="537"/>
      <c r="V133" s="537"/>
      <c r="W133" s="537"/>
      <c r="X133" s="537"/>
      <c r="Y133" s="537"/>
      <c r="Z133" s="537"/>
    </row>
    <row r="134">
      <c r="A134" s="537"/>
      <c r="B134" s="537"/>
      <c r="C134" s="538"/>
      <c r="D134" s="537"/>
      <c r="E134" s="537"/>
      <c r="F134" s="537"/>
      <c r="G134" s="537"/>
      <c r="H134" s="537"/>
      <c r="I134" s="537"/>
      <c r="J134" s="537"/>
      <c r="K134" s="537"/>
      <c r="L134" s="537"/>
      <c r="M134" s="537"/>
      <c r="N134" s="537"/>
      <c r="O134" s="537"/>
      <c r="P134" s="537"/>
      <c r="Q134" s="537"/>
      <c r="R134" s="537"/>
      <c r="S134" s="537"/>
      <c r="T134" s="537"/>
      <c r="U134" s="537"/>
      <c r="V134" s="537"/>
      <c r="W134" s="537"/>
      <c r="X134" s="537"/>
      <c r="Y134" s="537"/>
      <c r="Z134" s="537"/>
    </row>
    <row r="135">
      <c r="A135" s="537"/>
      <c r="B135" s="537"/>
      <c r="C135" s="538"/>
      <c r="D135" s="537"/>
      <c r="E135" s="537"/>
      <c r="F135" s="537"/>
      <c r="G135" s="537"/>
      <c r="H135" s="537"/>
      <c r="I135" s="537"/>
      <c r="J135" s="537"/>
      <c r="K135" s="537"/>
      <c r="L135" s="537"/>
      <c r="M135" s="537"/>
      <c r="N135" s="537"/>
      <c r="O135" s="537"/>
      <c r="P135" s="537"/>
      <c r="Q135" s="537"/>
      <c r="R135" s="537"/>
      <c r="S135" s="537"/>
      <c r="T135" s="537"/>
      <c r="U135" s="537"/>
      <c r="V135" s="537"/>
      <c r="W135" s="537"/>
      <c r="X135" s="537"/>
      <c r="Y135" s="537"/>
      <c r="Z135" s="537"/>
    </row>
    <row r="136">
      <c r="A136" s="537"/>
      <c r="B136" s="537"/>
      <c r="C136" s="538"/>
      <c r="D136" s="537"/>
      <c r="E136" s="537"/>
      <c r="F136" s="537"/>
      <c r="G136" s="537"/>
      <c r="H136" s="537"/>
      <c r="I136" s="537"/>
      <c r="J136" s="537"/>
      <c r="K136" s="537"/>
      <c r="L136" s="537"/>
      <c r="M136" s="537"/>
      <c r="N136" s="537"/>
      <c r="O136" s="537"/>
      <c r="P136" s="537"/>
      <c r="Q136" s="537"/>
      <c r="R136" s="537"/>
      <c r="S136" s="537"/>
      <c r="T136" s="537"/>
      <c r="U136" s="537"/>
      <c r="V136" s="537"/>
      <c r="W136" s="537"/>
      <c r="X136" s="537"/>
      <c r="Y136" s="537"/>
      <c r="Z136" s="537"/>
    </row>
    <row r="137">
      <c r="A137" s="537"/>
      <c r="B137" s="537"/>
      <c r="C137" s="538"/>
      <c r="D137" s="537"/>
      <c r="E137" s="537"/>
      <c r="F137" s="537"/>
      <c r="G137" s="537"/>
      <c r="H137" s="537"/>
      <c r="I137" s="537"/>
      <c r="J137" s="537"/>
      <c r="K137" s="537"/>
      <c r="L137" s="537"/>
      <c r="M137" s="537"/>
      <c r="N137" s="537"/>
      <c r="O137" s="537"/>
      <c r="P137" s="537"/>
      <c r="Q137" s="537"/>
      <c r="R137" s="537"/>
      <c r="S137" s="537"/>
      <c r="T137" s="537"/>
      <c r="U137" s="537"/>
      <c r="V137" s="537"/>
      <c r="W137" s="537"/>
      <c r="X137" s="537"/>
      <c r="Y137" s="537"/>
      <c r="Z137" s="537"/>
    </row>
    <row r="138">
      <c r="A138" s="537"/>
      <c r="B138" s="537"/>
      <c r="C138" s="538"/>
      <c r="D138" s="537"/>
      <c r="E138" s="537"/>
      <c r="F138" s="537"/>
      <c r="G138" s="537"/>
      <c r="H138" s="537"/>
      <c r="I138" s="537"/>
      <c r="J138" s="537"/>
      <c r="K138" s="537"/>
      <c r="L138" s="537"/>
      <c r="M138" s="537"/>
      <c r="N138" s="537"/>
      <c r="O138" s="537"/>
      <c r="P138" s="537"/>
      <c r="Q138" s="537"/>
      <c r="R138" s="537"/>
      <c r="S138" s="537"/>
      <c r="T138" s="537"/>
      <c r="U138" s="537"/>
      <c r="V138" s="537"/>
      <c r="W138" s="537"/>
      <c r="X138" s="537"/>
      <c r="Y138" s="537"/>
      <c r="Z138" s="537"/>
    </row>
    <row r="139">
      <c r="A139" s="537"/>
      <c r="B139" s="537"/>
      <c r="C139" s="538"/>
      <c r="D139" s="537"/>
      <c r="E139" s="537"/>
      <c r="F139" s="537"/>
      <c r="G139" s="537"/>
      <c r="H139" s="537"/>
      <c r="I139" s="537"/>
      <c r="J139" s="537"/>
      <c r="K139" s="537"/>
      <c r="L139" s="537"/>
      <c r="M139" s="537"/>
      <c r="N139" s="537"/>
      <c r="O139" s="537"/>
      <c r="P139" s="537"/>
      <c r="Q139" s="537"/>
      <c r="R139" s="537"/>
      <c r="S139" s="537"/>
      <c r="T139" s="537"/>
      <c r="U139" s="537"/>
      <c r="V139" s="537"/>
      <c r="W139" s="537"/>
      <c r="X139" s="537"/>
      <c r="Y139" s="537"/>
      <c r="Z139" s="537"/>
    </row>
    <row r="140">
      <c r="A140" s="537"/>
      <c r="B140" s="537"/>
      <c r="C140" s="538"/>
      <c r="D140" s="537"/>
      <c r="E140" s="537"/>
      <c r="F140" s="537"/>
      <c r="G140" s="537"/>
      <c r="H140" s="537"/>
      <c r="I140" s="537"/>
      <c r="J140" s="537"/>
      <c r="K140" s="537"/>
      <c r="L140" s="537"/>
      <c r="M140" s="537"/>
      <c r="N140" s="537"/>
      <c r="O140" s="537"/>
      <c r="P140" s="537"/>
      <c r="Q140" s="537"/>
      <c r="R140" s="537"/>
      <c r="S140" s="537"/>
      <c r="T140" s="537"/>
      <c r="U140" s="537"/>
      <c r="V140" s="537"/>
      <c r="W140" s="537"/>
      <c r="X140" s="537"/>
      <c r="Y140" s="537"/>
      <c r="Z140" s="537"/>
    </row>
    <row r="141">
      <c r="A141" s="537"/>
      <c r="B141" s="537"/>
      <c r="C141" s="538"/>
      <c r="D141" s="537"/>
      <c r="E141" s="537"/>
      <c r="F141" s="537"/>
      <c r="G141" s="537"/>
      <c r="H141" s="537"/>
      <c r="I141" s="537"/>
      <c r="J141" s="537"/>
      <c r="K141" s="537"/>
      <c r="L141" s="537"/>
      <c r="M141" s="537"/>
      <c r="N141" s="537"/>
      <c r="O141" s="537"/>
      <c r="P141" s="537"/>
      <c r="Q141" s="537"/>
      <c r="R141" s="537"/>
      <c r="S141" s="537"/>
      <c r="T141" s="537"/>
      <c r="U141" s="537"/>
      <c r="V141" s="537"/>
      <c r="W141" s="537"/>
      <c r="X141" s="537"/>
      <c r="Y141" s="537"/>
      <c r="Z141" s="537"/>
    </row>
    <row r="142">
      <c r="A142" s="537"/>
      <c r="B142" s="537"/>
      <c r="C142" s="538"/>
      <c r="D142" s="537"/>
      <c r="E142" s="537"/>
      <c r="F142" s="537"/>
      <c r="G142" s="537"/>
      <c r="H142" s="537"/>
      <c r="I142" s="537"/>
      <c r="J142" s="537"/>
      <c r="K142" s="537"/>
      <c r="L142" s="537"/>
      <c r="M142" s="537"/>
      <c r="N142" s="537"/>
      <c r="O142" s="537"/>
      <c r="P142" s="537"/>
      <c r="Q142" s="537"/>
      <c r="R142" s="537"/>
      <c r="S142" s="537"/>
      <c r="T142" s="537"/>
      <c r="U142" s="537"/>
      <c r="V142" s="537"/>
      <c r="W142" s="537"/>
      <c r="X142" s="537"/>
      <c r="Y142" s="537"/>
      <c r="Z142" s="537"/>
    </row>
    <row r="143">
      <c r="A143" s="537"/>
      <c r="B143" s="537"/>
      <c r="C143" s="538"/>
      <c r="D143" s="537"/>
      <c r="E143" s="537"/>
      <c r="F143" s="537"/>
      <c r="G143" s="537"/>
      <c r="H143" s="537"/>
      <c r="I143" s="537"/>
      <c r="J143" s="537"/>
      <c r="K143" s="537"/>
      <c r="L143" s="537"/>
      <c r="M143" s="537"/>
      <c r="N143" s="537"/>
      <c r="O143" s="537"/>
      <c r="P143" s="537"/>
      <c r="Q143" s="537"/>
      <c r="R143" s="537"/>
      <c r="S143" s="537"/>
      <c r="T143" s="537"/>
      <c r="U143" s="537"/>
      <c r="V143" s="537"/>
      <c r="W143" s="537"/>
      <c r="X143" s="537"/>
      <c r="Y143" s="537"/>
      <c r="Z143" s="537"/>
    </row>
    <row r="144">
      <c r="A144" s="537"/>
      <c r="B144" s="537"/>
      <c r="C144" s="538"/>
      <c r="D144" s="537"/>
      <c r="E144" s="537"/>
      <c r="F144" s="537"/>
      <c r="G144" s="537"/>
      <c r="H144" s="537"/>
      <c r="I144" s="537"/>
      <c r="J144" s="537"/>
      <c r="K144" s="537"/>
      <c r="L144" s="537"/>
      <c r="M144" s="537"/>
      <c r="N144" s="537"/>
      <c r="O144" s="537"/>
      <c r="P144" s="537"/>
      <c r="Q144" s="537"/>
      <c r="R144" s="537"/>
      <c r="S144" s="537"/>
      <c r="T144" s="537"/>
      <c r="U144" s="537"/>
      <c r="V144" s="537"/>
      <c r="W144" s="537"/>
      <c r="X144" s="537"/>
      <c r="Y144" s="537"/>
      <c r="Z144" s="537"/>
    </row>
    <row r="145">
      <c r="A145" s="537"/>
      <c r="B145" s="537"/>
      <c r="C145" s="538"/>
      <c r="D145" s="537"/>
      <c r="E145" s="537"/>
      <c r="F145" s="537"/>
      <c r="G145" s="537"/>
      <c r="H145" s="537"/>
      <c r="I145" s="537"/>
      <c r="J145" s="537"/>
      <c r="K145" s="537"/>
      <c r="L145" s="537"/>
      <c r="M145" s="537"/>
      <c r="N145" s="537"/>
      <c r="O145" s="537"/>
      <c r="P145" s="537"/>
      <c r="Q145" s="537"/>
      <c r="R145" s="537"/>
      <c r="S145" s="537"/>
      <c r="T145" s="537"/>
      <c r="U145" s="537"/>
      <c r="V145" s="537"/>
      <c r="W145" s="537"/>
      <c r="X145" s="537"/>
      <c r="Y145" s="537"/>
      <c r="Z145" s="537"/>
    </row>
    <row r="146">
      <c r="A146" s="537"/>
      <c r="B146" s="537"/>
      <c r="C146" s="538"/>
      <c r="D146" s="537"/>
      <c r="E146" s="537"/>
      <c r="F146" s="537"/>
      <c r="G146" s="537"/>
      <c r="H146" s="537"/>
      <c r="I146" s="537"/>
      <c r="J146" s="537"/>
      <c r="K146" s="537"/>
      <c r="L146" s="537"/>
      <c r="M146" s="537"/>
      <c r="N146" s="537"/>
      <c r="O146" s="537"/>
      <c r="P146" s="537"/>
      <c r="Q146" s="537"/>
      <c r="R146" s="537"/>
      <c r="S146" s="537"/>
      <c r="T146" s="537"/>
      <c r="U146" s="537"/>
      <c r="V146" s="537"/>
      <c r="W146" s="537"/>
      <c r="X146" s="537"/>
      <c r="Y146" s="537"/>
      <c r="Z146" s="537"/>
    </row>
    <row r="147">
      <c r="A147" s="537"/>
      <c r="B147" s="537"/>
      <c r="C147" s="538"/>
      <c r="D147" s="537"/>
      <c r="E147" s="537"/>
      <c r="F147" s="537"/>
      <c r="G147" s="537"/>
      <c r="H147" s="537"/>
      <c r="I147" s="537"/>
      <c r="J147" s="537"/>
      <c r="K147" s="537"/>
      <c r="L147" s="537"/>
      <c r="M147" s="537"/>
      <c r="N147" s="537"/>
      <c r="O147" s="537"/>
      <c r="P147" s="537"/>
      <c r="Q147" s="537"/>
      <c r="R147" s="537"/>
      <c r="S147" s="537"/>
      <c r="T147" s="537"/>
      <c r="U147" s="537"/>
      <c r="V147" s="537"/>
      <c r="W147" s="537"/>
      <c r="X147" s="537"/>
      <c r="Y147" s="537"/>
      <c r="Z147" s="537"/>
    </row>
    <row r="148">
      <c r="A148" s="537"/>
      <c r="B148" s="537"/>
      <c r="C148" s="538"/>
      <c r="D148" s="537"/>
      <c r="E148" s="537"/>
      <c r="F148" s="537"/>
      <c r="G148" s="537"/>
      <c r="H148" s="537"/>
      <c r="I148" s="537"/>
      <c r="J148" s="537"/>
      <c r="K148" s="537"/>
      <c r="L148" s="537"/>
      <c r="M148" s="537"/>
      <c r="N148" s="537"/>
      <c r="O148" s="537"/>
      <c r="P148" s="537"/>
      <c r="Q148" s="537"/>
      <c r="R148" s="537"/>
      <c r="S148" s="537"/>
      <c r="T148" s="537"/>
      <c r="U148" s="537"/>
      <c r="V148" s="537"/>
      <c r="W148" s="537"/>
      <c r="X148" s="537"/>
      <c r="Y148" s="537"/>
      <c r="Z148" s="537"/>
    </row>
    <row r="149">
      <c r="A149" s="537"/>
      <c r="B149" s="537"/>
      <c r="C149" s="538"/>
      <c r="D149" s="537"/>
      <c r="E149" s="537"/>
      <c r="F149" s="537"/>
      <c r="G149" s="537"/>
      <c r="H149" s="537"/>
      <c r="I149" s="537"/>
      <c r="J149" s="537"/>
      <c r="K149" s="537"/>
      <c r="L149" s="537"/>
      <c r="M149" s="537"/>
      <c r="N149" s="537"/>
      <c r="O149" s="537"/>
      <c r="P149" s="537"/>
      <c r="Q149" s="537"/>
      <c r="R149" s="537"/>
      <c r="S149" s="537"/>
      <c r="T149" s="537"/>
      <c r="U149" s="537"/>
      <c r="V149" s="537"/>
      <c r="W149" s="537"/>
      <c r="X149" s="537"/>
      <c r="Y149" s="537"/>
      <c r="Z149" s="537"/>
    </row>
    <row r="150">
      <c r="A150" s="537"/>
      <c r="B150" s="537"/>
      <c r="C150" s="538"/>
      <c r="D150" s="537"/>
      <c r="E150" s="537"/>
      <c r="F150" s="537"/>
      <c r="G150" s="537"/>
      <c r="H150" s="537"/>
      <c r="I150" s="537"/>
      <c r="J150" s="537"/>
      <c r="K150" s="537"/>
      <c r="L150" s="537"/>
      <c r="M150" s="537"/>
      <c r="N150" s="537"/>
      <c r="O150" s="537"/>
      <c r="P150" s="537"/>
      <c r="Q150" s="537"/>
      <c r="R150" s="537"/>
      <c r="S150" s="537"/>
      <c r="T150" s="537"/>
      <c r="U150" s="537"/>
      <c r="V150" s="537"/>
      <c r="W150" s="537"/>
      <c r="X150" s="537"/>
      <c r="Y150" s="537"/>
      <c r="Z150" s="537"/>
    </row>
    <row r="151">
      <c r="A151" s="537"/>
      <c r="B151" s="537"/>
      <c r="C151" s="538"/>
      <c r="D151" s="537"/>
      <c r="E151" s="537"/>
      <c r="F151" s="537"/>
      <c r="G151" s="537"/>
      <c r="H151" s="537"/>
      <c r="I151" s="537"/>
      <c r="J151" s="537"/>
      <c r="K151" s="537"/>
      <c r="L151" s="537"/>
      <c r="M151" s="537"/>
      <c r="N151" s="537"/>
      <c r="O151" s="537"/>
      <c r="P151" s="537"/>
      <c r="Q151" s="537"/>
      <c r="R151" s="537"/>
      <c r="S151" s="537"/>
      <c r="T151" s="537"/>
      <c r="U151" s="537"/>
      <c r="V151" s="537"/>
      <c r="W151" s="537"/>
      <c r="X151" s="537"/>
      <c r="Y151" s="537"/>
      <c r="Z151" s="537"/>
    </row>
    <row r="152">
      <c r="A152" s="537"/>
      <c r="B152" s="537"/>
      <c r="C152" s="538"/>
      <c r="D152" s="537"/>
      <c r="E152" s="537"/>
      <c r="F152" s="537"/>
      <c r="G152" s="537"/>
      <c r="H152" s="537"/>
      <c r="I152" s="537"/>
      <c r="J152" s="537"/>
      <c r="K152" s="537"/>
      <c r="L152" s="537"/>
      <c r="M152" s="537"/>
      <c r="N152" s="537"/>
      <c r="O152" s="537"/>
      <c r="P152" s="537"/>
      <c r="Q152" s="537"/>
      <c r="R152" s="537"/>
      <c r="S152" s="537"/>
      <c r="T152" s="537"/>
      <c r="U152" s="537"/>
      <c r="V152" s="537"/>
      <c r="W152" s="537"/>
      <c r="X152" s="537"/>
      <c r="Y152" s="537"/>
      <c r="Z152" s="537"/>
    </row>
    <row r="153">
      <c r="A153" s="537"/>
      <c r="B153" s="537"/>
      <c r="C153" s="538"/>
      <c r="D153" s="537"/>
      <c r="E153" s="537"/>
      <c r="F153" s="537"/>
      <c r="G153" s="537"/>
      <c r="H153" s="537"/>
      <c r="I153" s="537"/>
      <c r="J153" s="537"/>
      <c r="K153" s="537"/>
      <c r="L153" s="537"/>
      <c r="M153" s="537"/>
      <c r="N153" s="537"/>
      <c r="O153" s="537"/>
      <c r="P153" s="537"/>
      <c r="Q153" s="537"/>
      <c r="R153" s="537"/>
      <c r="S153" s="537"/>
      <c r="T153" s="537"/>
      <c r="U153" s="537"/>
      <c r="V153" s="537"/>
      <c r="W153" s="537"/>
      <c r="X153" s="537"/>
      <c r="Y153" s="537"/>
      <c r="Z153" s="537"/>
    </row>
    <row r="154">
      <c r="A154" s="537"/>
      <c r="B154" s="537"/>
      <c r="C154" s="538"/>
      <c r="D154" s="537"/>
      <c r="E154" s="537"/>
      <c r="F154" s="537"/>
      <c r="G154" s="537"/>
      <c r="H154" s="537"/>
      <c r="I154" s="537"/>
      <c r="J154" s="537"/>
      <c r="K154" s="537"/>
      <c r="L154" s="537"/>
      <c r="M154" s="537"/>
      <c r="N154" s="537"/>
      <c r="O154" s="537"/>
      <c r="P154" s="537"/>
      <c r="Q154" s="537"/>
      <c r="R154" s="537"/>
      <c r="S154" s="537"/>
      <c r="T154" s="537"/>
      <c r="U154" s="537"/>
      <c r="V154" s="537"/>
      <c r="W154" s="537"/>
      <c r="X154" s="537"/>
      <c r="Y154" s="537"/>
      <c r="Z154" s="537"/>
    </row>
    <row r="155">
      <c r="A155" s="537"/>
      <c r="B155" s="537"/>
      <c r="C155" s="538"/>
      <c r="D155" s="537"/>
      <c r="E155" s="537"/>
      <c r="F155" s="537"/>
      <c r="G155" s="537"/>
      <c r="H155" s="537"/>
      <c r="I155" s="537"/>
      <c r="J155" s="537"/>
      <c r="K155" s="537"/>
      <c r="L155" s="537"/>
      <c r="M155" s="537"/>
      <c r="N155" s="537"/>
      <c r="O155" s="537"/>
      <c r="P155" s="537"/>
      <c r="Q155" s="537"/>
      <c r="R155" s="537"/>
      <c r="S155" s="537"/>
      <c r="T155" s="537"/>
      <c r="U155" s="537"/>
      <c r="V155" s="537"/>
      <c r="W155" s="537"/>
      <c r="X155" s="537"/>
      <c r="Y155" s="537"/>
      <c r="Z155" s="537"/>
    </row>
    <row r="156">
      <c r="A156" s="537"/>
      <c r="B156" s="537"/>
      <c r="C156" s="538"/>
      <c r="D156" s="537"/>
      <c r="E156" s="537"/>
      <c r="F156" s="537"/>
      <c r="G156" s="537"/>
      <c r="H156" s="537"/>
      <c r="I156" s="537"/>
      <c r="J156" s="537"/>
      <c r="K156" s="537"/>
      <c r="L156" s="537"/>
      <c r="M156" s="537"/>
      <c r="N156" s="537"/>
      <c r="O156" s="537"/>
      <c r="P156" s="537"/>
      <c r="Q156" s="537"/>
      <c r="R156" s="537"/>
      <c r="S156" s="537"/>
      <c r="T156" s="537"/>
      <c r="U156" s="537"/>
      <c r="V156" s="537"/>
      <c r="W156" s="537"/>
      <c r="X156" s="537"/>
      <c r="Y156" s="537"/>
      <c r="Z156" s="537"/>
    </row>
    <row r="157">
      <c r="A157" s="537"/>
      <c r="B157" s="537"/>
      <c r="C157" s="538"/>
      <c r="D157" s="537"/>
      <c r="E157" s="537"/>
      <c r="F157" s="537"/>
      <c r="G157" s="537"/>
      <c r="H157" s="537"/>
      <c r="I157" s="537"/>
      <c r="J157" s="537"/>
      <c r="K157" s="537"/>
      <c r="L157" s="537"/>
      <c r="M157" s="537"/>
      <c r="N157" s="537"/>
      <c r="O157" s="537"/>
      <c r="P157" s="537"/>
      <c r="Q157" s="537"/>
      <c r="R157" s="537"/>
      <c r="S157" s="537"/>
      <c r="T157" s="537"/>
      <c r="U157" s="537"/>
      <c r="V157" s="537"/>
      <c r="W157" s="537"/>
      <c r="X157" s="537"/>
      <c r="Y157" s="537"/>
      <c r="Z157" s="537"/>
    </row>
    <row r="158">
      <c r="A158" s="537"/>
      <c r="B158" s="537"/>
      <c r="C158" s="538"/>
      <c r="D158" s="537"/>
      <c r="E158" s="537"/>
      <c r="F158" s="537"/>
      <c r="G158" s="537"/>
      <c r="H158" s="537"/>
      <c r="I158" s="537"/>
      <c r="J158" s="537"/>
      <c r="K158" s="537"/>
      <c r="L158" s="537"/>
      <c r="M158" s="537"/>
      <c r="N158" s="537"/>
      <c r="O158" s="537"/>
      <c r="P158" s="537"/>
      <c r="Q158" s="537"/>
      <c r="R158" s="537"/>
      <c r="S158" s="537"/>
      <c r="T158" s="537"/>
      <c r="U158" s="537"/>
      <c r="V158" s="537"/>
      <c r="W158" s="537"/>
      <c r="X158" s="537"/>
      <c r="Y158" s="537"/>
      <c r="Z158" s="537"/>
    </row>
    <row r="159">
      <c r="A159" s="537"/>
      <c r="B159" s="537"/>
      <c r="C159" s="538"/>
      <c r="D159" s="537"/>
      <c r="E159" s="537"/>
      <c r="F159" s="537"/>
      <c r="G159" s="537"/>
      <c r="H159" s="537"/>
      <c r="I159" s="537"/>
      <c r="J159" s="537"/>
      <c r="K159" s="537"/>
      <c r="L159" s="537"/>
      <c r="M159" s="537"/>
      <c r="N159" s="537"/>
      <c r="O159" s="537"/>
      <c r="P159" s="537"/>
      <c r="Q159" s="537"/>
      <c r="R159" s="537"/>
      <c r="S159" s="537"/>
      <c r="T159" s="537"/>
      <c r="U159" s="537"/>
      <c r="V159" s="537"/>
      <c r="W159" s="537"/>
      <c r="X159" s="537"/>
      <c r="Y159" s="537"/>
      <c r="Z159" s="537"/>
    </row>
    <row r="160">
      <c r="A160" s="537"/>
      <c r="B160" s="537"/>
      <c r="C160" s="538"/>
      <c r="D160" s="537"/>
      <c r="E160" s="537"/>
      <c r="F160" s="537"/>
      <c r="G160" s="537"/>
      <c r="H160" s="537"/>
      <c r="I160" s="537"/>
      <c r="J160" s="537"/>
      <c r="K160" s="537"/>
      <c r="L160" s="537"/>
      <c r="M160" s="537"/>
      <c r="N160" s="537"/>
      <c r="O160" s="537"/>
      <c r="P160" s="537"/>
      <c r="Q160" s="537"/>
      <c r="R160" s="537"/>
      <c r="S160" s="537"/>
      <c r="T160" s="537"/>
      <c r="U160" s="537"/>
      <c r="V160" s="537"/>
      <c r="W160" s="537"/>
      <c r="X160" s="537"/>
      <c r="Y160" s="537"/>
      <c r="Z160" s="537"/>
    </row>
    <row r="161">
      <c r="A161" s="537"/>
      <c r="B161" s="537"/>
      <c r="C161" s="538"/>
      <c r="D161" s="537"/>
      <c r="E161" s="537"/>
      <c r="F161" s="537"/>
      <c r="G161" s="537"/>
      <c r="H161" s="537"/>
      <c r="I161" s="537"/>
      <c r="J161" s="537"/>
      <c r="K161" s="537"/>
      <c r="L161" s="537"/>
      <c r="M161" s="537"/>
      <c r="N161" s="537"/>
      <c r="O161" s="537"/>
      <c r="P161" s="537"/>
      <c r="Q161" s="537"/>
      <c r="R161" s="537"/>
      <c r="S161" s="537"/>
      <c r="T161" s="537"/>
      <c r="U161" s="537"/>
      <c r="V161" s="537"/>
      <c r="W161" s="537"/>
      <c r="X161" s="537"/>
      <c r="Y161" s="537"/>
      <c r="Z161" s="537"/>
    </row>
    <row r="162">
      <c r="A162" s="537"/>
      <c r="B162" s="537"/>
      <c r="C162" s="538"/>
      <c r="D162" s="537"/>
      <c r="E162" s="537"/>
      <c r="F162" s="537"/>
      <c r="G162" s="537"/>
      <c r="H162" s="537"/>
      <c r="I162" s="537"/>
      <c r="J162" s="537"/>
      <c r="K162" s="537"/>
      <c r="L162" s="537"/>
      <c r="M162" s="537"/>
      <c r="N162" s="537"/>
      <c r="O162" s="537"/>
      <c r="P162" s="537"/>
      <c r="Q162" s="537"/>
      <c r="R162" s="537"/>
      <c r="S162" s="537"/>
      <c r="T162" s="537"/>
      <c r="U162" s="537"/>
      <c r="V162" s="537"/>
      <c r="W162" s="537"/>
      <c r="X162" s="537"/>
      <c r="Y162" s="537"/>
      <c r="Z162" s="537"/>
    </row>
    <row r="163">
      <c r="A163" s="537"/>
      <c r="B163" s="537"/>
      <c r="C163" s="538"/>
      <c r="D163" s="537"/>
      <c r="E163" s="537"/>
      <c r="F163" s="537"/>
      <c r="G163" s="537"/>
      <c r="H163" s="537"/>
      <c r="I163" s="537"/>
      <c r="J163" s="537"/>
      <c r="K163" s="537"/>
      <c r="L163" s="537"/>
      <c r="M163" s="537"/>
      <c r="N163" s="537"/>
      <c r="O163" s="537"/>
      <c r="P163" s="537"/>
      <c r="Q163" s="537"/>
      <c r="R163" s="537"/>
      <c r="S163" s="537"/>
      <c r="T163" s="537"/>
      <c r="U163" s="537"/>
      <c r="V163" s="537"/>
      <c r="W163" s="537"/>
      <c r="X163" s="537"/>
      <c r="Y163" s="537"/>
      <c r="Z163" s="537"/>
    </row>
    <row r="164">
      <c r="A164" s="537"/>
      <c r="B164" s="537"/>
      <c r="C164" s="538"/>
      <c r="D164" s="537"/>
      <c r="E164" s="537"/>
      <c r="F164" s="537"/>
      <c r="G164" s="537"/>
      <c r="H164" s="537"/>
      <c r="I164" s="537"/>
      <c r="J164" s="537"/>
      <c r="K164" s="537"/>
      <c r="L164" s="537"/>
      <c r="M164" s="537"/>
      <c r="N164" s="537"/>
      <c r="O164" s="537"/>
      <c r="P164" s="537"/>
      <c r="Q164" s="537"/>
      <c r="R164" s="537"/>
      <c r="S164" s="537"/>
      <c r="T164" s="537"/>
      <c r="U164" s="537"/>
      <c r="V164" s="537"/>
      <c r="W164" s="537"/>
      <c r="X164" s="537"/>
      <c r="Y164" s="537"/>
      <c r="Z164" s="537"/>
    </row>
    <row r="165">
      <c r="A165" s="537"/>
      <c r="B165" s="537"/>
      <c r="C165" s="538"/>
      <c r="D165" s="537"/>
      <c r="E165" s="537"/>
      <c r="F165" s="537"/>
      <c r="G165" s="537"/>
      <c r="H165" s="537"/>
      <c r="I165" s="537"/>
      <c r="J165" s="537"/>
      <c r="K165" s="537"/>
      <c r="L165" s="537"/>
      <c r="M165" s="537"/>
      <c r="N165" s="537"/>
      <c r="O165" s="537"/>
      <c r="P165" s="537"/>
      <c r="Q165" s="537"/>
      <c r="R165" s="537"/>
      <c r="S165" s="537"/>
      <c r="T165" s="537"/>
      <c r="U165" s="537"/>
      <c r="V165" s="537"/>
      <c r="W165" s="537"/>
      <c r="X165" s="537"/>
      <c r="Y165" s="537"/>
      <c r="Z165" s="537"/>
    </row>
    <row r="166">
      <c r="A166" s="537"/>
      <c r="B166" s="537"/>
      <c r="C166" s="538"/>
      <c r="D166" s="537"/>
      <c r="E166" s="537"/>
      <c r="F166" s="537"/>
      <c r="G166" s="537"/>
      <c r="H166" s="537"/>
      <c r="I166" s="537"/>
      <c r="J166" s="537"/>
      <c r="K166" s="537"/>
      <c r="L166" s="537"/>
      <c r="M166" s="537"/>
      <c r="N166" s="537"/>
      <c r="O166" s="537"/>
      <c r="P166" s="537"/>
      <c r="Q166" s="537"/>
      <c r="R166" s="537"/>
      <c r="S166" s="537"/>
      <c r="T166" s="537"/>
      <c r="U166" s="537"/>
      <c r="V166" s="537"/>
      <c r="W166" s="537"/>
      <c r="X166" s="537"/>
      <c r="Y166" s="537"/>
      <c r="Z166" s="537"/>
    </row>
    <row r="167">
      <c r="A167" s="537"/>
      <c r="B167" s="537"/>
      <c r="C167" s="538"/>
      <c r="D167" s="537"/>
      <c r="E167" s="537"/>
      <c r="F167" s="537"/>
      <c r="G167" s="537"/>
      <c r="H167" s="537"/>
      <c r="I167" s="537"/>
      <c r="J167" s="537"/>
      <c r="K167" s="537"/>
      <c r="L167" s="537"/>
      <c r="M167" s="537"/>
      <c r="N167" s="537"/>
      <c r="O167" s="537"/>
      <c r="P167" s="537"/>
      <c r="Q167" s="537"/>
      <c r="R167" s="537"/>
      <c r="S167" s="537"/>
      <c r="T167" s="537"/>
      <c r="U167" s="537"/>
      <c r="V167" s="537"/>
      <c r="W167" s="537"/>
      <c r="X167" s="537"/>
      <c r="Y167" s="537"/>
      <c r="Z167" s="537"/>
    </row>
    <row r="168">
      <c r="A168" s="537"/>
      <c r="B168" s="537"/>
      <c r="C168" s="538"/>
      <c r="D168" s="537"/>
      <c r="E168" s="537"/>
      <c r="F168" s="537"/>
      <c r="G168" s="537"/>
      <c r="H168" s="537"/>
      <c r="I168" s="537"/>
      <c r="J168" s="537"/>
      <c r="K168" s="537"/>
      <c r="L168" s="537"/>
      <c r="M168" s="537"/>
      <c r="N168" s="537"/>
      <c r="O168" s="537"/>
      <c r="P168" s="537"/>
      <c r="Q168" s="537"/>
      <c r="R168" s="537"/>
      <c r="S168" s="537"/>
      <c r="T168" s="537"/>
      <c r="U168" s="537"/>
      <c r="V168" s="537"/>
      <c r="W168" s="537"/>
      <c r="X168" s="537"/>
      <c r="Y168" s="537"/>
      <c r="Z168" s="537"/>
    </row>
    <row r="169">
      <c r="A169" s="537"/>
      <c r="B169" s="537"/>
      <c r="C169" s="538"/>
      <c r="D169" s="537"/>
      <c r="E169" s="537"/>
      <c r="F169" s="537"/>
      <c r="G169" s="537"/>
      <c r="H169" s="537"/>
      <c r="I169" s="537"/>
      <c r="J169" s="537"/>
      <c r="K169" s="537"/>
      <c r="L169" s="537"/>
      <c r="M169" s="537"/>
      <c r="N169" s="537"/>
      <c r="O169" s="537"/>
      <c r="P169" s="537"/>
      <c r="Q169" s="537"/>
      <c r="R169" s="537"/>
      <c r="S169" s="537"/>
      <c r="T169" s="537"/>
      <c r="U169" s="537"/>
      <c r="V169" s="537"/>
      <c r="W169" s="537"/>
      <c r="X169" s="537"/>
      <c r="Y169" s="537"/>
      <c r="Z169" s="537"/>
    </row>
    <row r="170">
      <c r="A170" s="537"/>
      <c r="B170" s="537"/>
      <c r="C170" s="538"/>
      <c r="D170" s="537"/>
      <c r="E170" s="537"/>
      <c r="F170" s="537"/>
      <c r="G170" s="537"/>
      <c r="H170" s="537"/>
      <c r="I170" s="537"/>
      <c r="J170" s="537"/>
      <c r="K170" s="537"/>
      <c r="L170" s="537"/>
      <c r="M170" s="537"/>
      <c r="N170" s="537"/>
      <c r="O170" s="537"/>
      <c r="P170" s="537"/>
      <c r="Q170" s="537"/>
      <c r="R170" s="537"/>
      <c r="S170" s="537"/>
      <c r="T170" s="537"/>
      <c r="U170" s="537"/>
      <c r="V170" s="537"/>
      <c r="W170" s="537"/>
      <c r="X170" s="537"/>
      <c r="Y170" s="537"/>
      <c r="Z170" s="537"/>
    </row>
    <row r="171">
      <c r="A171" s="537"/>
      <c r="B171" s="537"/>
      <c r="C171" s="538"/>
      <c r="D171" s="537"/>
      <c r="E171" s="537"/>
      <c r="F171" s="537"/>
      <c r="G171" s="537"/>
      <c r="H171" s="537"/>
      <c r="I171" s="537"/>
      <c r="J171" s="537"/>
      <c r="K171" s="537"/>
      <c r="L171" s="537"/>
      <c r="M171" s="537"/>
      <c r="N171" s="537"/>
      <c r="O171" s="537"/>
      <c r="P171" s="537"/>
      <c r="Q171" s="537"/>
      <c r="R171" s="537"/>
      <c r="S171" s="537"/>
      <c r="T171" s="537"/>
      <c r="U171" s="537"/>
      <c r="V171" s="537"/>
      <c r="W171" s="537"/>
      <c r="X171" s="537"/>
      <c r="Y171" s="537"/>
      <c r="Z171" s="537"/>
    </row>
    <row r="172">
      <c r="A172" s="537"/>
      <c r="B172" s="537"/>
      <c r="C172" s="538"/>
      <c r="D172" s="537"/>
      <c r="E172" s="537"/>
      <c r="F172" s="537"/>
      <c r="G172" s="537"/>
      <c r="H172" s="537"/>
      <c r="I172" s="537"/>
      <c r="J172" s="537"/>
      <c r="K172" s="537"/>
      <c r="L172" s="537"/>
      <c r="M172" s="537"/>
      <c r="N172" s="537"/>
      <c r="O172" s="537"/>
      <c r="P172" s="537"/>
      <c r="Q172" s="537"/>
      <c r="R172" s="537"/>
      <c r="S172" s="537"/>
      <c r="T172" s="537"/>
      <c r="U172" s="537"/>
      <c r="V172" s="537"/>
      <c r="W172" s="537"/>
      <c r="X172" s="537"/>
      <c r="Y172" s="537"/>
      <c r="Z172" s="537"/>
    </row>
    <row r="173">
      <c r="A173" s="537"/>
      <c r="B173" s="537"/>
      <c r="C173" s="538"/>
      <c r="D173" s="537"/>
      <c r="E173" s="537"/>
      <c r="F173" s="537"/>
      <c r="G173" s="537"/>
      <c r="H173" s="537"/>
      <c r="I173" s="537"/>
      <c r="J173" s="537"/>
      <c r="K173" s="537"/>
      <c r="L173" s="537"/>
      <c r="M173" s="537"/>
      <c r="N173" s="537"/>
      <c r="O173" s="537"/>
      <c r="P173" s="537"/>
      <c r="Q173" s="537"/>
      <c r="R173" s="537"/>
      <c r="S173" s="537"/>
      <c r="T173" s="537"/>
      <c r="U173" s="537"/>
      <c r="V173" s="537"/>
      <c r="W173" s="537"/>
      <c r="X173" s="537"/>
      <c r="Y173" s="537"/>
      <c r="Z173" s="537"/>
    </row>
    <row r="174">
      <c r="A174" s="537"/>
      <c r="B174" s="537"/>
      <c r="C174" s="538"/>
      <c r="D174" s="537"/>
      <c r="E174" s="537"/>
      <c r="F174" s="537"/>
      <c r="G174" s="537"/>
      <c r="H174" s="537"/>
      <c r="I174" s="537"/>
      <c r="J174" s="537"/>
      <c r="K174" s="537"/>
      <c r="L174" s="537"/>
      <c r="M174" s="537"/>
      <c r="N174" s="537"/>
      <c r="O174" s="537"/>
      <c r="P174" s="537"/>
      <c r="Q174" s="537"/>
      <c r="R174" s="537"/>
      <c r="S174" s="537"/>
      <c r="T174" s="537"/>
      <c r="U174" s="537"/>
      <c r="V174" s="537"/>
      <c r="W174" s="537"/>
      <c r="X174" s="537"/>
      <c r="Y174" s="537"/>
      <c r="Z174" s="537"/>
    </row>
    <row r="175">
      <c r="A175" s="537"/>
      <c r="B175" s="537"/>
      <c r="C175" s="538"/>
      <c r="D175" s="537"/>
      <c r="E175" s="537"/>
      <c r="F175" s="537"/>
      <c r="G175" s="537"/>
      <c r="H175" s="537"/>
      <c r="I175" s="537"/>
      <c r="J175" s="537"/>
      <c r="K175" s="537"/>
      <c r="L175" s="537"/>
      <c r="M175" s="537"/>
      <c r="N175" s="537"/>
      <c r="O175" s="537"/>
      <c r="P175" s="537"/>
      <c r="Q175" s="537"/>
      <c r="R175" s="537"/>
      <c r="S175" s="537"/>
      <c r="T175" s="537"/>
      <c r="U175" s="537"/>
      <c r="V175" s="537"/>
      <c r="W175" s="537"/>
      <c r="X175" s="537"/>
      <c r="Y175" s="537"/>
      <c r="Z175" s="537"/>
    </row>
    <row r="176">
      <c r="A176" s="537"/>
      <c r="B176" s="537"/>
      <c r="C176" s="538"/>
      <c r="D176" s="537"/>
      <c r="E176" s="537"/>
      <c r="F176" s="537"/>
      <c r="G176" s="537"/>
      <c r="H176" s="537"/>
      <c r="I176" s="537"/>
      <c r="J176" s="537"/>
      <c r="K176" s="537"/>
      <c r="L176" s="537"/>
      <c r="M176" s="537"/>
      <c r="N176" s="537"/>
      <c r="O176" s="537"/>
      <c r="P176" s="537"/>
      <c r="Q176" s="537"/>
      <c r="R176" s="537"/>
      <c r="S176" s="537"/>
      <c r="T176" s="537"/>
      <c r="U176" s="537"/>
      <c r="V176" s="537"/>
      <c r="W176" s="537"/>
      <c r="X176" s="537"/>
      <c r="Y176" s="537"/>
      <c r="Z176" s="537"/>
    </row>
    <row r="177">
      <c r="A177" s="537"/>
      <c r="B177" s="537"/>
      <c r="C177" s="538"/>
      <c r="D177" s="537"/>
      <c r="E177" s="537"/>
      <c r="F177" s="537"/>
      <c r="G177" s="537"/>
      <c r="H177" s="537"/>
      <c r="I177" s="537"/>
      <c r="J177" s="537"/>
      <c r="K177" s="537"/>
      <c r="L177" s="537"/>
      <c r="M177" s="537"/>
      <c r="N177" s="537"/>
      <c r="O177" s="537"/>
      <c r="P177" s="537"/>
      <c r="Q177" s="537"/>
      <c r="R177" s="537"/>
      <c r="S177" s="537"/>
      <c r="T177" s="537"/>
      <c r="U177" s="537"/>
      <c r="V177" s="537"/>
      <c r="W177" s="537"/>
      <c r="X177" s="537"/>
      <c r="Y177" s="537"/>
      <c r="Z177" s="537"/>
    </row>
    <row r="178">
      <c r="A178" s="537"/>
      <c r="B178" s="537"/>
      <c r="C178" s="538"/>
      <c r="D178" s="537"/>
      <c r="E178" s="537"/>
      <c r="F178" s="537"/>
      <c r="G178" s="537"/>
      <c r="H178" s="537"/>
      <c r="I178" s="537"/>
      <c r="J178" s="537"/>
      <c r="K178" s="537"/>
      <c r="L178" s="537"/>
      <c r="M178" s="537"/>
      <c r="N178" s="537"/>
      <c r="O178" s="537"/>
      <c r="P178" s="537"/>
      <c r="Q178" s="537"/>
      <c r="R178" s="537"/>
      <c r="S178" s="537"/>
      <c r="T178" s="537"/>
      <c r="U178" s="537"/>
      <c r="V178" s="537"/>
      <c r="W178" s="537"/>
      <c r="X178" s="537"/>
      <c r="Y178" s="537"/>
      <c r="Z178" s="537"/>
    </row>
    <row r="179">
      <c r="A179" s="537"/>
      <c r="B179" s="537"/>
      <c r="C179" s="538"/>
      <c r="D179" s="537"/>
      <c r="E179" s="537"/>
      <c r="F179" s="537"/>
      <c r="G179" s="537"/>
      <c r="H179" s="537"/>
      <c r="I179" s="537"/>
      <c r="J179" s="537"/>
      <c r="K179" s="537"/>
      <c r="L179" s="537"/>
      <c r="M179" s="537"/>
      <c r="N179" s="537"/>
      <c r="O179" s="537"/>
      <c r="P179" s="537"/>
      <c r="Q179" s="537"/>
      <c r="R179" s="537"/>
      <c r="S179" s="537"/>
      <c r="T179" s="537"/>
      <c r="U179" s="537"/>
      <c r="V179" s="537"/>
      <c r="W179" s="537"/>
      <c r="X179" s="537"/>
      <c r="Y179" s="537"/>
      <c r="Z179" s="537"/>
    </row>
    <row r="180">
      <c r="A180" s="537"/>
      <c r="B180" s="537"/>
      <c r="C180" s="538"/>
      <c r="D180" s="537"/>
      <c r="E180" s="537"/>
      <c r="F180" s="537"/>
      <c r="G180" s="537"/>
      <c r="H180" s="537"/>
      <c r="I180" s="537"/>
      <c r="J180" s="537"/>
      <c r="K180" s="537"/>
      <c r="L180" s="537"/>
      <c r="M180" s="537"/>
      <c r="N180" s="537"/>
      <c r="O180" s="537"/>
      <c r="P180" s="537"/>
      <c r="Q180" s="537"/>
      <c r="R180" s="537"/>
      <c r="S180" s="537"/>
      <c r="T180" s="537"/>
      <c r="U180" s="537"/>
      <c r="V180" s="537"/>
      <c r="W180" s="537"/>
      <c r="X180" s="537"/>
      <c r="Y180" s="537"/>
      <c r="Z180" s="537"/>
    </row>
    <row r="181">
      <c r="A181" s="537"/>
      <c r="B181" s="537"/>
      <c r="C181" s="538"/>
      <c r="D181" s="537"/>
      <c r="E181" s="537"/>
      <c r="F181" s="537"/>
      <c r="G181" s="537"/>
      <c r="H181" s="537"/>
      <c r="I181" s="537"/>
      <c r="J181" s="537"/>
      <c r="K181" s="537"/>
      <c r="L181" s="537"/>
      <c r="M181" s="537"/>
      <c r="N181" s="537"/>
      <c r="O181" s="537"/>
      <c r="P181" s="537"/>
      <c r="Q181" s="537"/>
      <c r="R181" s="537"/>
      <c r="S181" s="537"/>
      <c r="T181" s="537"/>
      <c r="U181" s="537"/>
      <c r="V181" s="537"/>
      <c r="W181" s="537"/>
      <c r="X181" s="537"/>
      <c r="Y181" s="537"/>
      <c r="Z181" s="537"/>
    </row>
    <row r="182">
      <c r="A182" s="537"/>
      <c r="B182" s="537"/>
      <c r="C182" s="538"/>
      <c r="D182" s="537"/>
      <c r="E182" s="537"/>
      <c r="F182" s="537"/>
      <c r="G182" s="537"/>
      <c r="H182" s="537"/>
      <c r="I182" s="537"/>
      <c r="J182" s="537"/>
      <c r="K182" s="537"/>
      <c r="L182" s="537"/>
      <c r="M182" s="537"/>
      <c r="N182" s="537"/>
      <c r="O182" s="537"/>
      <c r="P182" s="537"/>
      <c r="Q182" s="537"/>
      <c r="R182" s="537"/>
      <c r="S182" s="537"/>
      <c r="T182" s="537"/>
      <c r="U182" s="537"/>
      <c r="V182" s="537"/>
      <c r="W182" s="537"/>
      <c r="X182" s="537"/>
      <c r="Y182" s="537"/>
      <c r="Z182" s="537"/>
    </row>
    <row r="183">
      <c r="A183" s="537"/>
      <c r="B183" s="537"/>
      <c r="C183" s="538"/>
      <c r="D183" s="537"/>
      <c r="E183" s="537"/>
      <c r="F183" s="537"/>
      <c r="G183" s="537"/>
      <c r="H183" s="537"/>
      <c r="I183" s="537"/>
      <c r="J183" s="537"/>
      <c r="K183" s="537"/>
      <c r="L183" s="537"/>
      <c r="M183" s="537"/>
      <c r="N183" s="537"/>
      <c r="O183" s="537"/>
      <c r="P183" s="537"/>
      <c r="Q183" s="537"/>
      <c r="R183" s="537"/>
      <c r="S183" s="537"/>
      <c r="T183" s="537"/>
      <c r="U183" s="537"/>
      <c r="V183" s="537"/>
      <c r="W183" s="537"/>
      <c r="X183" s="537"/>
      <c r="Y183" s="537"/>
      <c r="Z183" s="537"/>
    </row>
    <row r="184">
      <c r="A184" s="537"/>
      <c r="B184" s="537"/>
      <c r="C184" s="538"/>
      <c r="D184" s="537"/>
      <c r="E184" s="537"/>
      <c r="F184" s="537"/>
      <c r="G184" s="537"/>
      <c r="H184" s="537"/>
      <c r="I184" s="537"/>
      <c r="J184" s="537"/>
      <c r="K184" s="537"/>
      <c r="L184" s="537"/>
      <c r="M184" s="537"/>
      <c r="N184" s="537"/>
      <c r="O184" s="537"/>
      <c r="P184" s="537"/>
      <c r="Q184" s="537"/>
      <c r="R184" s="537"/>
      <c r="S184" s="537"/>
      <c r="T184" s="537"/>
      <c r="U184" s="537"/>
      <c r="V184" s="537"/>
      <c r="W184" s="537"/>
      <c r="X184" s="537"/>
      <c r="Y184" s="537"/>
      <c r="Z184" s="537"/>
    </row>
    <row r="185">
      <c r="A185" s="537"/>
      <c r="B185" s="537"/>
      <c r="C185" s="538"/>
      <c r="D185" s="537"/>
      <c r="E185" s="537"/>
      <c r="F185" s="537"/>
      <c r="G185" s="537"/>
      <c r="H185" s="537"/>
      <c r="I185" s="537"/>
      <c r="J185" s="537"/>
      <c r="K185" s="537"/>
      <c r="L185" s="537"/>
      <c r="M185" s="537"/>
      <c r="N185" s="537"/>
      <c r="O185" s="537"/>
      <c r="P185" s="537"/>
      <c r="Q185" s="537"/>
      <c r="R185" s="537"/>
      <c r="S185" s="537"/>
      <c r="T185" s="537"/>
      <c r="U185" s="537"/>
      <c r="V185" s="537"/>
      <c r="W185" s="537"/>
      <c r="X185" s="537"/>
      <c r="Y185" s="537"/>
      <c r="Z185" s="537"/>
    </row>
    <row r="186">
      <c r="A186" s="537"/>
      <c r="B186" s="537"/>
      <c r="C186" s="538"/>
      <c r="D186" s="537"/>
      <c r="E186" s="537"/>
      <c r="F186" s="537"/>
      <c r="G186" s="537"/>
      <c r="H186" s="537"/>
      <c r="I186" s="537"/>
      <c r="J186" s="537"/>
      <c r="K186" s="537"/>
      <c r="L186" s="537"/>
      <c r="M186" s="537"/>
      <c r="N186" s="537"/>
      <c r="O186" s="537"/>
      <c r="P186" s="537"/>
      <c r="Q186" s="537"/>
      <c r="R186" s="537"/>
      <c r="S186" s="537"/>
      <c r="T186" s="537"/>
      <c r="U186" s="537"/>
      <c r="V186" s="537"/>
      <c r="W186" s="537"/>
      <c r="X186" s="537"/>
      <c r="Y186" s="537"/>
      <c r="Z186" s="537"/>
    </row>
    <row r="187">
      <c r="A187" s="537"/>
      <c r="B187" s="537"/>
      <c r="C187" s="538"/>
      <c r="D187" s="537"/>
      <c r="E187" s="537"/>
      <c r="F187" s="537"/>
      <c r="G187" s="537"/>
      <c r="H187" s="537"/>
      <c r="I187" s="537"/>
      <c r="J187" s="537"/>
      <c r="K187" s="537"/>
      <c r="L187" s="537"/>
      <c r="M187" s="537"/>
      <c r="N187" s="537"/>
      <c r="O187" s="537"/>
      <c r="P187" s="537"/>
      <c r="Q187" s="537"/>
      <c r="R187" s="537"/>
      <c r="S187" s="537"/>
      <c r="T187" s="537"/>
      <c r="U187" s="537"/>
      <c r="V187" s="537"/>
      <c r="W187" s="537"/>
      <c r="X187" s="537"/>
      <c r="Y187" s="537"/>
      <c r="Z187" s="537"/>
    </row>
    <row r="188">
      <c r="A188" s="537"/>
      <c r="B188" s="537"/>
      <c r="C188" s="538"/>
      <c r="D188" s="537"/>
      <c r="E188" s="537"/>
      <c r="F188" s="537"/>
      <c r="G188" s="537"/>
      <c r="H188" s="537"/>
      <c r="I188" s="537"/>
      <c r="J188" s="537"/>
      <c r="K188" s="537"/>
      <c r="L188" s="537"/>
      <c r="M188" s="537"/>
      <c r="N188" s="537"/>
      <c r="O188" s="537"/>
      <c r="P188" s="537"/>
      <c r="Q188" s="537"/>
      <c r="R188" s="537"/>
      <c r="S188" s="537"/>
      <c r="T188" s="537"/>
      <c r="U188" s="537"/>
      <c r="V188" s="537"/>
      <c r="W188" s="537"/>
      <c r="X188" s="537"/>
      <c r="Y188" s="537"/>
      <c r="Z188" s="537"/>
    </row>
    <row r="189">
      <c r="A189" s="537"/>
      <c r="B189" s="537"/>
      <c r="C189" s="538"/>
      <c r="D189" s="537"/>
      <c r="E189" s="537"/>
      <c r="F189" s="537"/>
      <c r="G189" s="537"/>
      <c r="H189" s="537"/>
      <c r="I189" s="537"/>
      <c r="J189" s="537"/>
      <c r="K189" s="537"/>
      <c r="L189" s="537"/>
      <c r="M189" s="537"/>
      <c r="N189" s="537"/>
      <c r="O189" s="537"/>
      <c r="P189" s="537"/>
      <c r="Q189" s="537"/>
      <c r="R189" s="537"/>
      <c r="S189" s="537"/>
      <c r="T189" s="537"/>
      <c r="U189" s="537"/>
      <c r="V189" s="537"/>
      <c r="W189" s="537"/>
      <c r="X189" s="537"/>
      <c r="Y189" s="537"/>
      <c r="Z189" s="537"/>
    </row>
    <row r="190">
      <c r="A190" s="537"/>
      <c r="B190" s="537"/>
      <c r="C190" s="538"/>
      <c r="D190" s="537"/>
      <c r="E190" s="537"/>
      <c r="F190" s="537"/>
      <c r="G190" s="537"/>
      <c r="H190" s="537"/>
      <c r="I190" s="537"/>
      <c r="J190" s="537"/>
      <c r="K190" s="537"/>
      <c r="L190" s="537"/>
      <c r="M190" s="537"/>
      <c r="N190" s="537"/>
      <c r="O190" s="537"/>
      <c r="P190" s="537"/>
      <c r="Q190" s="537"/>
      <c r="R190" s="537"/>
      <c r="S190" s="537"/>
      <c r="T190" s="537"/>
      <c r="U190" s="537"/>
      <c r="V190" s="537"/>
      <c r="W190" s="537"/>
      <c r="X190" s="537"/>
      <c r="Y190" s="537"/>
      <c r="Z190" s="537"/>
    </row>
    <row r="191">
      <c r="A191" s="537"/>
      <c r="B191" s="537"/>
      <c r="C191" s="538"/>
      <c r="D191" s="537"/>
      <c r="E191" s="537"/>
      <c r="F191" s="537"/>
      <c r="G191" s="537"/>
      <c r="H191" s="537"/>
      <c r="I191" s="537"/>
      <c r="J191" s="537"/>
      <c r="K191" s="537"/>
      <c r="L191" s="537"/>
      <c r="M191" s="537"/>
      <c r="N191" s="537"/>
      <c r="O191" s="537"/>
      <c r="P191" s="537"/>
      <c r="Q191" s="537"/>
      <c r="R191" s="537"/>
      <c r="S191" s="537"/>
      <c r="T191" s="537"/>
      <c r="U191" s="537"/>
      <c r="V191" s="537"/>
      <c r="W191" s="537"/>
      <c r="X191" s="537"/>
      <c r="Y191" s="537"/>
      <c r="Z191" s="537"/>
    </row>
    <row r="192">
      <c r="A192" s="537"/>
      <c r="B192" s="537"/>
      <c r="C192" s="538"/>
      <c r="D192" s="537"/>
      <c r="E192" s="537"/>
      <c r="F192" s="537"/>
      <c r="G192" s="537"/>
      <c r="H192" s="537"/>
      <c r="I192" s="537"/>
      <c r="J192" s="537"/>
      <c r="K192" s="537"/>
      <c r="L192" s="537"/>
      <c r="M192" s="537"/>
      <c r="N192" s="537"/>
      <c r="O192" s="537"/>
      <c r="P192" s="537"/>
      <c r="Q192" s="537"/>
      <c r="R192" s="537"/>
      <c r="S192" s="537"/>
      <c r="T192" s="537"/>
      <c r="U192" s="537"/>
      <c r="V192" s="537"/>
      <c r="W192" s="537"/>
      <c r="X192" s="537"/>
      <c r="Y192" s="537"/>
      <c r="Z192" s="537"/>
    </row>
    <row r="193">
      <c r="A193" s="537"/>
      <c r="B193" s="537"/>
      <c r="C193" s="538"/>
      <c r="D193" s="537"/>
      <c r="E193" s="537"/>
      <c r="F193" s="537"/>
      <c r="G193" s="537"/>
      <c r="H193" s="537"/>
      <c r="I193" s="537"/>
      <c r="J193" s="537"/>
      <c r="K193" s="537"/>
      <c r="L193" s="537"/>
      <c r="M193" s="537"/>
      <c r="N193" s="537"/>
      <c r="O193" s="537"/>
      <c r="P193" s="537"/>
      <c r="Q193" s="537"/>
      <c r="R193" s="537"/>
      <c r="S193" s="537"/>
      <c r="T193" s="537"/>
      <c r="U193" s="537"/>
      <c r="V193" s="537"/>
      <c r="W193" s="537"/>
      <c r="X193" s="537"/>
      <c r="Y193" s="537"/>
      <c r="Z193" s="537"/>
    </row>
    <row r="194">
      <c r="A194" s="537"/>
      <c r="B194" s="537"/>
      <c r="C194" s="538"/>
      <c r="D194" s="537"/>
      <c r="E194" s="537"/>
      <c r="F194" s="537"/>
      <c r="G194" s="537"/>
      <c r="H194" s="537"/>
      <c r="I194" s="537"/>
      <c r="J194" s="537"/>
      <c r="K194" s="537"/>
      <c r="L194" s="537"/>
      <c r="M194" s="537"/>
      <c r="N194" s="537"/>
      <c r="O194" s="537"/>
      <c r="P194" s="537"/>
      <c r="Q194" s="537"/>
      <c r="R194" s="537"/>
      <c r="S194" s="537"/>
      <c r="T194" s="537"/>
      <c r="U194" s="537"/>
      <c r="V194" s="537"/>
      <c r="W194" s="537"/>
      <c r="X194" s="537"/>
      <c r="Y194" s="537"/>
      <c r="Z194" s="537"/>
    </row>
    <row r="195">
      <c r="A195" s="537"/>
      <c r="B195" s="537"/>
      <c r="C195" s="538"/>
      <c r="D195" s="537"/>
      <c r="E195" s="537"/>
      <c r="F195" s="537"/>
      <c r="G195" s="537"/>
      <c r="H195" s="537"/>
      <c r="I195" s="537"/>
      <c r="J195" s="537"/>
      <c r="K195" s="537"/>
      <c r="L195" s="537"/>
      <c r="M195" s="537"/>
      <c r="N195" s="537"/>
      <c r="O195" s="537"/>
      <c r="P195" s="537"/>
      <c r="Q195" s="537"/>
      <c r="R195" s="537"/>
      <c r="S195" s="537"/>
      <c r="T195" s="537"/>
      <c r="U195" s="537"/>
      <c r="V195" s="537"/>
      <c r="W195" s="537"/>
      <c r="X195" s="537"/>
      <c r="Y195" s="537"/>
      <c r="Z195" s="537"/>
    </row>
    <row r="196">
      <c r="A196" s="537"/>
      <c r="B196" s="537"/>
      <c r="C196" s="538"/>
      <c r="D196" s="537"/>
      <c r="E196" s="537"/>
      <c r="F196" s="537"/>
      <c r="G196" s="537"/>
      <c r="H196" s="537"/>
      <c r="I196" s="537"/>
      <c r="J196" s="537"/>
      <c r="K196" s="537"/>
      <c r="L196" s="537"/>
      <c r="M196" s="537"/>
      <c r="N196" s="537"/>
      <c r="O196" s="537"/>
      <c r="P196" s="537"/>
      <c r="Q196" s="537"/>
      <c r="R196" s="537"/>
      <c r="S196" s="537"/>
      <c r="T196" s="537"/>
      <c r="U196" s="537"/>
      <c r="V196" s="537"/>
      <c r="W196" s="537"/>
      <c r="X196" s="537"/>
      <c r="Y196" s="537"/>
      <c r="Z196" s="537"/>
    </row>
    <row r="197">
      <c r="A197" s="537"/>
      <c r="B197" s="537"/>
      <c r="C197" s="538"/>
      <c r="D197" s="537"/>
      <c r="E197" s="537"/>
      <c r="F197" s="537"/>
      <c r="G197" s="537"/>
      <c r="H197" s="537"/>
      <c r="I197" s="537"/>
      <c r="J197" s="537"/>
      <c r="K197" s="537"/>
      <c r="L197" s="537"/>
      <c r="M197" s="537"/>
      <c r="N197" s="537"/>
      <c r="O197" s="537"/>
      <c r="P197" s="537"/>
      <c r="Q197" s="537"/>
      <c r="R197" s="537"/>
      <c r="S197" s="537"/>
      <c r="T197" s="537"/>
      <c r="U197" s="537"/>
      <c r="V197" s="537"/>
      <c r="W197" s="537"/>
      <c r="X197" s="537"/>
      <c r="Y197" s="537"/>
      <c r="Z197" s="537"/>
    </row>
    <row r="198">
      <c r="A198" s="537"/>
      <c r="B198" s="537"/>
      <c r="C198" s="538"/>
      <c r="D198" s="537"/>
      <c r="E198" s="537"/>
      <c r="F198" s="537"/>
      <c r="G198" s="537"/>
      <c r="H198" s="537"/>
      <c r="I198" s="537"/>
      <c r="J198" s="537"/>
      <c r="K198" s="537"/>
      <c r="L198" s="537"/>
      <c r="M198" s="537"/>
      <c r="N198" s="537"/>
      <c r="O198" s="537"/>
      <c r="P198" s="537"/>
      <c r="Q198" s="537"/>
      <c r="R198" s="537"/>
      <c r="S198" s="537"/>
      <c r="T198" s="537"/>
      <c r="U198" s="537"/>
      <c r="V198" s="537"/>
      <c r="W198" s="537"/>
      <c r="X198" s="537"/>
      <c r="Y198" s="537"/>
      <c r="Z198" s="537"/>
    </row>
    <row r="199">
      <c r="A199" s="537"/>
      <c r="B199" s="537"/>
      <c r="C199" s="538"/>
      <c r="D199" s="537"/>
      <c r="E199" s="537"/>
      <c r="F199" s="537"/>
      <c r="G199" s="537"/>
      <c r="H199" s="537"/>
      <c r="I199" s="537"/>
      <c r="J199" s="537"/>
      <c r="K199" s="537"/>
      <c r="L199" s="537"/>
      <c r="M199" s="537"/>
      <c r="N199" s="537"/>
      <c r="O199" s="537"/>
      <c r="P199" s="537"/>
      <c r="Q199" s="537"/>
      <c r="R199" s="537"/>
      <c r="S199" s="537"/>
      <c r="T199" s="537"/>
      <c r="U199" s="537"/>
      <c r="V199" s="537"/>
      <c r="W199" s="537"/>
      <c r="X199" s="537"/>
      <c r="Y199" s="537"/>
      <c r="Z199" s="537"/>
    </row>
    <row r="200">
      <c r="A200" s="537"/>
      <c r="B200" s="537"/>
      <c r="C200" s="538"/>
      <c r="D200" s="537"/>
      <c r="E200" s="537"/>
      <c r="F200" s="537"/>
      <c r="G200" s="537"/>
      <c r="H200" s="537"/>
      <c r="I200" s="537"/>
      <c r="J200" s="537"/>
      <c r="K200" s="537"/>
      <c r="L200" s="537"/>
      <c r="M200" s="537"/>
      <c r="N200" s="537"/>
      <c r="O200" s="537"/>
      <c r="P200" s="537"/>
      <c r="Q200" s="537"/>
      <c r="R200" s="537"/>
      <c r="S200" s="537"/>
      <c r="T200" s="537"/>
      <c r="U200" s="537"/>
      <c r="V200" s="537"/>
      <c r="W200" s="537"/>
      <c r="X200" s="537"/>
      <c r="Y200" s="537"/>
      <c r="Z200" s="537"/>
    </row>
    <row r="201">
      <c r="A201" s="537"/>
      <c r="B201" s="537"/>
      <c r="C201" s="538"/>
      <c r="D201" s="537"/>
      <c r="E201" s="537"/>
      <c r="F201" s="537"/>
      <c r="G201" s="537"/>
      <c r="H201" s="537"/>
      <c r="I201" s="537"/>
      <c r="J201" s="537"/>
      <c r="K201" s="537"/>
      <c r="L201" s="537"/>
      <c r="M201" s="537"/>
      <c r="N201" s="537"/>
      <c r="O201" s="537"/>
      <c r="P201" s="537"/>
      <c r="Q201" s="537"/>
      <c r="R201" s="537"/>
      <c r="S201" s="537"/>
      <c r="T201" s="537"/>
      <c r="U201" s="537"/>
      <c r="V201" s="537"/>
      <c r="W201" s="537"/>
      <c r="X201" s="537"/>
      <c r="Y201" s="537"/>
      <c r="Z201" s="537"/>
    </row>
    <row r="202">
      <c r="A202" s="537"/>
      <c r="B202" s="537"/>
      <c r="C202" s="538"/>
      <c r="D202" s="537"/>
      <c r="E202" s="537"/>
      <c r="F202" s="537"/>
      <c r="G202" s="537"/>
      <c r="H202" s="537"/>
      <c r="I202" s="537"/>
      <c r="J202" s="537"/>
      <c r="K202" s="537"/>
      <c r="L202" s="537"/>
      <c r="M202" s="537"/>
      <c r="N202" s="537"/>
      <c r="O202" s="537"/>
      <c r="P202" s="537"/>
      <c r="Q202" s="537"/>
      <c r="R202" s="537"/>
      <c r="S202" s="537"/>
      <c r="T202" s="537"/>
      <c r="U202" s="537"/>
      <c r="V202" s="537"/>
      <c r="W202" s="537"/>
      <c r="X202" s="537"/>
      <c r="Y202" s="537"/>
      <c r="Z202" s="537"/>
    </row>
    <row r="203">
      <c r="A203" s="537"/>
      <c r="B203" s="537"/>
      <c r="C203" s="538"/>
      <c r="D203" s="537"/>
      <c r="E203" s="537"/>
      <c r="F203" s="537"/>
      <c r="G203" s="537"/>
      <c r="H203" s="537"/>
      <c r="I203" s="537"/>
      <c r="J203" s="537"/>
      <c r="K203" s="537"/>
      <c r="L203" s="537"/>
      <c r="M203" s="537"/>
      <c r="N203" s="537"/>
      <c r="O203" s="537"/>
      <c r="P203" s="537"/>
      <c r="Q203" s="537"/>
      <c r="R203" s="537"/>
      <c r="S203" s="537"/>
      <c r="T203" s="537"/>
      <c r="U203" s="537"/>
      <c r="V203" s="537"/>
      <c r="W203" s="537"/>
      <c r="X203" s="537"/>
      <c r="Y203" s="537"/>
      <c r="Z203" s="537"/>
    </row>
    <row r="204">
      <c r="A204" s="537"/>
      <c r="B204" s="537"/>
      <c r="C204" s="538"/>
      <c r="D204" s="537"/>
      <c r="E204" s="537"/>
      <c r="F204" s="537"/>
      <c r="G204" s="537"/>
      <c r="H204" s="537"/>
      <c r="I204" s="537"/>
      <c r="J204" s="537"/>
      <c r="K204" s="537"/>
      <c r="L204" s="537"/>
      <c r="M204" s="537"/>
      <c r="N204" s="537"/>
      <c r="O204" s="537"/>
      <c r="P204" s="537"/>
      <c r="Q204" s="537"/>
      <c r="R204" s="537"/>
      <c r="S204" s="537"/>
      <c r="T204" s="537"/>
      <c r="U204" s="537"/>
      <c r="V204" s="537"/>
      <c r="W204" s="537"/>
      <c r="X204" s="537"/>
      <c r="Y204" s="537"/>
      <c r="Z204" s="537"/>
    </row>
    <row r="205">
      <c r="A205" s="537"/>
      <c r="B205" s="537"/>
      <c r="C205" s="538"/>
      <c r="D205" s="537"/>
      <c r="E205" s="537"/>
      <c r="F205" s="537"/>
      <c r="G205" s="537"/>
      <c r="H205" s="537"/>
      <c r="I205" s="537"/>
      <c r="J205" s="537"/>
      <c r="K205" s="537"/>
      <c r="L205" s="537"/>
      <c r="M205" s="537"/>
      <c r="N205" s="537"/>
      <c r="O205" s="537"/>
      <c r="P205" s="537"/>
      <c r="Q205" s="537"/>
      <c r="R205" s="537"/>
      <c r="S205" s="537"/>
      <c r="T205" s="537"/>
      <c r="U205" s="537"/>
      <c r="V205" s="537"/>
      <c r="W205" s="537"/>
      <c r="X205" s="537"/>
      <c r="Y205" s="537"/>
      <c r="Z205" s="537"/>
    </row>
    <row r="206">
      <c r="A206" s="537"/>
      <c r="B206" s="537"/>
      <c r="C206" s="538"/>
      <c r="D206" s="537"/>
      <c r="E206" s="537"/>
      <c r="F206" s="537"/>
      <c r="G206" s="537"/>
      <c r="H206" s="537"/>
      <c r="I206" s="537"/>
      <c r="J206" s="537"/>
      <c r="K206" s="537"/>
      <c r="L206" s="537"/>
      <c r="M206" s="537"/>
      <c r="N206" s="537"/>
      <c r="O206" s="537"/>
      <c r="P206" s="537"/>
      <c r="Q206" s="537"/>
      <c r="R206" s="537"/>
      <c r="S206" s="537"/>
      <c r="T206" s="537"/>
      <c r="U206" s="537"/>
      <c r="V206" s="537"/>
      <c r="W206" s="537"/>
      <c r="X206" s="537"/>
      <c r="Y206" s="537"/>
      <c r="Z206" s="537"/>
    </row>
    <row r="207">
      <c r="A207" s="537"/>
      <c r="B207" s="537"/>
      <c r="C207" s="538"/>
      <c r="D207" s="537"/>
      <c r="E207" s="537"/>
      <c r="F207" s="537"/>
      <c r="G207" s="537"/>
      <c r="H207" s="537"/>
      <c r="I207" s="537"/>
      <c r="J207" s="537"/>
      <c r="K207" s="537"/>
      <c r="L207" s="537"/>
      <c r="M207" s="537"/>
      <c r="N207" s="537"/>
      <c r="O207" s="537"/>
      <c r="P207" s="537"/>
      <c r="Q207" s="537"/>
      <c r="R207" s="537"/>
      <c r="S207" s="537"/>
      <c r="T207" s="537"/>
      <c r="U207" s="537"/>
      <c r="V207" s="537"/>
      <c r="W207" s="537"/>
      <c r="X207" s="537"/>
      <c r="Y207" s="537"/>
      <c r="Z207" s="537"/>
    </row>
    <row r="208">
      <c r="A208" s="537"/>
      <c r="B208" s="537"/>
      <c r="C208" s="538"/>
      <c r="D208" s="537"/>
      <c r="E208" s="537"/>
      <c r="F208" s="537"/>
      <c r="G208" s="537"/>
      <c r="H208" s="537"/>
      <c r="I208" s="537"/>
      <c r="J208" s="537"/>
      <c r="K208" s="537"/>
      <c r="L208" s="537"/>
      <c r="M208" s="537"/>
      <c r="N208" s="537"/>
      <c r="O208" s="537"/>
      <c r="P208" s="537"/>
      <c r="Q208" s="537"/>
      <c r="R208" s="537"/>
      <c r="S208" s="537"/>
      <c r="T208" s="537"/>
      <c r="U208" s="537"/>
      <c r="V208" s="537"/>
      <c r="W208" s="537"/>
      <c r="X208" s="537"/>
      <c r="Y208" s="537"/>
      <c r="Z208" s="537"/>
    </row>
    <row r="209">
      <c r="A209" s="537"/>
      <c r="B209" s="537"/>
      <c r="C209" s="538"/>
      <c r="D209" s="537"/>
      <c r="E209" s="537"/>
      <c r="F209" s="537"/>
      <c r="G209" s="537"/>
      <c r="H209" s="537"/>
      <c r="I209" s="537"/>
      <c r="J209" s="537"/>
      <c r="K209" s="537"/>
      <c r="L209" s="537"/>
      <c r="M209" s="537"/>
      <c r="N209" s="537"/>
      <c r="O209" s="537"/>
      <c r="P209" s="537"/>
      <c r="Q209" s="537"/>
      <c r="R209" s="537"/>
      <c r="S209" s="537"/>
      <c r="T209" s="537"/>
      <c r="U209" s="537"/>
      <c r="V209" s="537"/>
      <c r="W209" s="537"/>
      <c r="X209" s="537"/>
      <c r="Y209" s="537"/>
      <c r="Z209" s="537"/>
    </row>
    <row r="210">
      <c r="A210" s="537"/>
      <c r="B210" s="537"/>
      <c r="C210" s="538"/>
      <c r="D210" s="537"/>
      <c r="E210" s="537"/>
      <c r="F210" s="537"/>
      <c r="G210" s="537"/>
      <c r="H210" s="537"/>
      <c r="I210" s="537"/>
      <c r="J210" s="537"/>
      <c r="K210" s="537"/>
      <c r="L210" s="537"/>
      <c r="M210" s="537"/>
      <c r="N210" s="537"/>
      <c r="O210" s="537"/>
      <c r="P210" s="537"/>
      <c r="Q210" s="537"/>
      <c r="R210" s="537"/>
      <c r="S210" s="537"/>
      <c r="T210" s="537"/>
      <c r="U210" s="537"/>
      <c r="V210" s="537"/>
      <c r="W210" s="537"/>
      <c r="X210" s="537"/>
      <c r="Y210" s="537"/>
      <c r="Z210" s="537"/>
    </row>
    <row r="211">
      <c r="A211" s="537"/>
      <c r="B211" s="537"/>
      <c r="C211" s="538"/>
      <c r="D211" s="537"/>
      <c r="E211" s="537"/>
      <c r="F211" s="537"/>
      <c r="G211" s="537"/>
      <c r="H211" s="537"/>
      <c r="I211" s="537"/>
      <c r="J211" s="537"/>
      <c r="K211" s="537"/>
      <c r="L211" s="537"/>
      <c r="M211" s="537"/>
      <c r="N211" s="537"/>
      <c r="O211" s="537"/>
      <c r="P211" s="537"/>
      <c r="Q211" s="537"/>
      <c r="R211" s="537"/>
      <c r="S211" s="537"/>
      <c r="T211" s="537"/>
      <c r="U211" s="537"/>
      <c r="V211" s="537"/>
      <c r="W211" s="537"/>
      <c r="X211" s="537"/>
      <c r="Y211" s="537"/>
      <c r="Z211" s="537"/>
    </row>
    <row r="212">
      <c r="A212" s="537"/>
      <c r="B212" s="537"/>
      <c r="C212" s="538"/>
      <c r="D212" s="537"/>
      <c r="E212" s="537"/>
      <c r="F212" s="537"/>
      <c r="G212" s="537"/>
      <c r="H212" s="537"/>
      <c r="I212" s="537"/>
      <c r="J212" s="537"/>
      <c r="K212" s="537"/>
      <c r="L212" s="537"/>
      <c r="M212" s="537"/>
      <c r="N212" s="537"/>
      <c r="O212" s="537"/>
      <c r="P212" s="537"/>
      <c r="Q212" s="537"/>
      <c r="R212" s="537"/>
      <c r="S212" s="537"/>
      <c r="T212" s="537"/>
      <c r="U212" s="537"/>
      <c r="V212" s="537"/>
      <c r="W212" s="537"/>
      <c r="X212" s="537"/>
      <c r="Y212" s="537"/>
      <c r="Z212" s="537"/>
    </row>
    <row r="213">
      <c r="A213" s="537"/>
      <c r="B213" s="537"/>
      <c r="C213" s="538"/>
      <c r="D213" s="537"/>
      <c r="E213" s="537"/>
      <c r="F213" s="537"/>
      <c r="G213" s="537"/>
      <c r="H213" s="537"/>
      <c r="I213" s="537"/>
      <c r="J213" s="537"/>
      <c r="K213" s="537"/>
      <c r="L213" s="537"/>
      <c r="M213" s="537"/>
      <c r="N213" s="537"/>
      <c r="O213" s="537"/>
      <c r="P213" s="537"/>
      <c r="Q213" s="537"/>
      <c r="R213" s="537"/>
      <c r="S213" s="537"/>
      <c r="T213" s="537"/>
      <c r="U213" s="537"/>
      <c r="V213" s="537"/>
      <c r="W213" s="537"/>
      <c r="X213" s="537"/>
      <c r="Y213" s="537"/>
      <c r="Z213" s="537"/>
    </row>
    <row r="214">
      <c r="A214" s="537"/>
      <c r="B214" s="537"/>
      <c r="C214" s="538"/>
      <c r="D214" s="537"/>
      <c r="E214" s="537"/>
      <c r="F214" s="537"/>
      <c r="G214" s="537"/>
      <c r="H214" s="537"/>
      <c r="I214" s="537"/>
      <c r="J214" s="537"/>
      <c r="K214" s="537"/>
      <c r="L214" s="537"/>
      <c r="M214" s="537"/>
      <c r="N214" s="537"/>
      <c r="O214" s="537"/>
      <c r="P214" s="537"/>
      <c r="Q214" s="537"/>
      <c r="R214" s="537"/>
      <c r="S214" s="537"/>
      <c r="T214" s="537"/>
      <c r="U214" s="537"/>
      <c r="V214" s="537"/>
      <c r="W214" s="537"/>
      <c r="X214" s="537"/>
      <c r="Y214" s="537"/>
      <c r="Z214" s="537"/>
    </row>
    <row r="215">
      <c r="A215" s="537"/>
      <c r="B215" s="537"/>
      <c r="C215" s="538"/>
      <c r="D215" s="537"/>
      <c r="E215" s="537"/>
      <c r="F215" s="537"/>
      <c r="G215" s="537"/>
      <c r="H215" s="537"/>
      <c r="I215" s="537"/>
      <c r="J215" s="537"/>
      <c r="K215" s="537"/>
      <c r="L215" s="537"/>
      <c r="M215" s="537"/>
      <c r="N215" s="537"/>
      <c r="O215" s="537"/>
      <c r="P215" s="537"/>
      <c r="Q215" s="537"/>
      <c r="R215" s="537"/>
      <c r="S215" s="537"/>
      <c r="T215" s="537"/>
      <c r="U215" s="537"/>
      <c r="V215" s="537"/>
      <c r="W215" s="537"/>
      <c r="X215" s="537"/>
      <c r="Y215" s="537"/>
      <c r="Z215" s="537"/>
    </row>
    <row r="216">
      <c r="A216" s="537"/>
      <c r="B216" s="537"/>
      <c r="C216" s="538"/>
      <c r="D216" s="537"/>
      <c r="E216" s="537"/>
      <c r="F216" s="537"/>
      <c r="G216" s="537"/>
      <c r="H216" s="537"/>
      <c r="I216" s="537"/>
      <c r="J216" s="537"/>
      <c r="K216" s="537"/>
      <c r="L216" s="537"/>
      <c r="M216" s="537"/>
      <c r="N216" s="537"/>
      <c r="O216" s="537"/>
      <c r="P216" s="537"/>
      <c r="Q216" s="537"/>
      <c r="R216" s="537"/>
      <c r="S216" s="537"/>
      <c r="T216" s="537"/>
      <c r="U216" s="537"/>
      <c r="V216" s="537"/>
      <c r="W216" s="537"/>
      <c r="X216" s="537"/>
      <c r="Y216" s="537"/>
      <c r="Z216" s="537"/>
    </row>
    <row r="217">
      <c r="A217" s="537"/>
      <c r="B217" s="537"/>
      <c r="C217" s="538"/>
      <c r="D217" s="537"/>
      <c r="E217" s="537"/>
      <c r="F217" s="537"/>
      <c r="G217" s="537"/>
      <c r="H217" s="537"/>
      <c r="I217" s="537"/>
      <c r="J217" s="537"/>
      <c r="K217" s="537"/>
      <c r="L217" s="537"/>
      <c r="M217" s="537"/>
      <c r="N217" s="537"/>
      <c r="O217" s="537"/>
      <c r="P217" s="537"/>
      <c r="Q217" s="537"/>
      <c r="R217" s="537"/>
      <c r="S217" s="537"/>
      <c r="T217" s="537"/>
      <c r="U217" s="537"/>
      <c r="V217" s="537"/>
      <c r="W217" s="537"/>
      <c r="X217" s="537"/>
      <c r="Y217" s="537"/>
      <c r="Z217" s="537"/>
    </row>
    <row r="218">
      <c r="A218" s="537"/>
      <c r="B218" s="537"/>
      <c r="C218" s="538"/>
      <c r="D218" s="537"/>
      <c r="E218" s="537"/>
      <c r="F218" s="537"/>
      <c r="G218" s="537"/>
      <c r="H218" s="537"/>
      <c r="I218" s="537"/>
      <c r="J218" s="537"/>
      <c r="K218" s="537"/>
      <c r="L218" s="537"/>
      <c r="M218" s="537"/>
      <c r="N218" s="537"/>
      <c r="O218" s="537"/>
      <c r="P218" s="537"/>
      <c r="Q218" s="537"/>
      <c r="R218" s="537"/>
      <c r="S218" s="537"/>
      <c r="T218" s="537"/>
      <c r="U218" s="537"/>
      <c r="V218" s="537"/>
      <c r="W218" s="537"/>
      <c r="X218" s="537"/>
      <c r="Y218" s="537"/>
      <c r="Z218" s="537"/>
    </row>
    <row r="219">
      <c r="A219" s="537"/>
      <c r="B219" s="537"/>
      <c r="C219" s="538"/>
      <c r="D219" s="537"/>
      <c r="E219" s="537"/>
      <c r="F219" s="537"/>
      <c r="G219" s="537"/>
      <c r="H219" s="537"/>
      <c r="I219" s="537"/>
      <c r="J219" s="537"/>
      <c r="K219" s="537"/>
      <c r="L219" s="537"/>
      <c r="M219" s="537"/>
      <c r="N219" s="537"/>
      <c r="O219" s="537"/>
      <c r="P219" s="537"/>
      <c r="Q219" s="537"/>
      <c r="R219" s="537"/>
      <c r="S219" s="537"/>
      <c r="T219" s="537"/>
      <c r="U219" s="537"/>
      <c r="V219" s="537"/>
      <c r="W219" s="537"/>
      <c r="X219" s="537"/>
      <c r="Y219" s="537"/>
      <c r="Z219" s="537"/>
    </row>
    <row r="220">
      <c r="A220" s="537"/>
      <c r="B220" s="537"/>
      <c r="C220" s="538"/>
      <c r="D220" s="537"/>
      <c r="E220" s="537"/>
      <c r="F220" s="537"/>
      <c r="G220" s="537"/>
      <c r="H220" s="537"/>
      <c r="I220" s="537"/>
      <c r="J220" s="537"/>
      <c r="K220" s="537"/>
      <c r="L220" s="537"/>
      <c r="M220" s="537"/>
      <c r="N220" s="537"/>
      <c r="O220" s="537"/>
      <c r="P220" s="537"/>
      <c r="Q220" s="537"/>
      <c r="R220" s="537"/>
      <c r="S220" s="537"/>
      <c r="T220" s="537"/>
      <c r="U220" s="537"/>
      <c r="V220" s="537"/>
      <c r="W220" s="537"/>
      <c r="X220" s="537"/>
      <c r="Y220" s="537"/>
      <c r="Z220" s="537"/>
    </row>
    <row r="221">
      <c r="A221" s="537"/>
      <c r="B221" s="537"/>
      <c r="C221" s="538"/>
      <c r="D221" s="537"/>
      <c r="E221" s="537"/>
      <c r="F221" s="537"/>
      <c r="G221" s="537"/>
      <c r="H221" s="537"/>
      <c r="I221" s="537"/>
      <c r="J221" s="537"/>
      <c r="K221" s="537"/>
      <c r="L221" s="537"/>
      <c r="M221" s="537"/>
      <c r="N221" s="537"/>
      <c r="O221" s="537"/>
      <c r="P221" s="537"/>
      <c r="Q221" s="537"/>
      <c r="R221" s="537"/>
      <c r="S221" s="537"/>
      <c r="T221" s="537"/>
      <c r="U221" s="537"/>
      <c r="V221" s="537"/>
      <c r="W221" s="537"/>
      <c r="X221" s="537"/>
      <c r="Y221" s="537"/>
      <c r="Z221" s="537"/>
    </row>
    <row r="222">
      <c r="A222" s="537"/>
      <c r="B222" s="537"/>
      <c r="C222" s="538"/>
      <c r="D222" s="537"/>
      <c r="E222" s="537"/>
      <c r="F222" s="537"/>
      <c r="G222" s="537"/>
      <c r="H222" s="537"/>
      <c r="I222" s="537"/>
      <c r="J222" s="537"/>
      <c r="K222" s="537"/>
      <c r="L222" s="537"/>
      <c r="M222" s="537"/>
      <c r="N222" s="537"/>
      <c r="O222" s="537"/>
      <c r="P222" s="537"/>
      <c r="Q222" s="537"/>
      <c r="R222" s="537"/>
      <c r="S222" s="537"/>
      <c r="T222" s="537"/>
      <c r="U222" s="537"/>
      <c r="V222" s="537"/>
      <c r="W222" s="537"/>
      <c r="X222" s="537"/>
      <c r="Y222" s="537"/>
      <c r="Z222" s="537"/>
    </row>
    <row r="223">
      <c r="A223" s="537"/>
      <c r="B223" s="537"/>
      <c r="C223" s="538"/>
      <c r="D223" s="537"/>
      <c r="E223" s="537"/>
      <c r="F223" s="537"/>
      <c r="G223" s="537"/>
      <c r="H223" s="537"/>
      <c r="I223" s="537"/>
      <c r="J223" s="537"/>
      <c r="K223" s="537"/>
      <c r="L223" s="537"/>
      <c r="M223" s="537"/>
      <c r="N223" s="537"/>
      <c r="O223" s="537"/>
      <c r="P223" s="537"/>
      <c r="Q223" s="537"/>
      <c r="R223" s="537"/>
      <c r="S223" s="537"/>
      <c r="T223" s="537"/>
      <c r="U223" s="537"/>
      <c r="V223" s="537"/>
      <c r="W223" s="537"/>
      <c r="X223" s="537"/>
      <c r="Y223" s="537"/>
      <c r="Z223" s="537"/>
    </row>
    <row r="224">
      <c r="A224" s="537"/>
      <c r="B224" s="537"/>
      <c r="C224" s="538"/>
      <c r="D224" s="537"/>
      <c r="E224" s="537"/>
      <c r="F224" s="537"/>
      <c r="G224" s="537"/>
      <c r="H224" s="537"/>
      <c r="I224" s="537"/>
      <c r="J224" s="537"/>
      <c r="K224" s="537"/>
      <c r="L224" s="537"/>
      <c r="M224" s="537"/>
      <c r="N224" s="537"/>
      <c r="O224" s="537"/>
      <c r="P224" s="537"/>
      <c r="Q224" s="537"/>
      <c r="R224" s="537"/>
      <c r="S224" s="537"/>
      <c r="T224" s="537"/>
      <c r="U224" s="537"/>
      <c r="V224" s="537"/>
      <c r="W224" s="537"/>
      <c r="X224" s="537"/>
      <c r="Y224" s="537"/>
      <c r="Z224" s="537"/>
    </row>
    <row r="225">
      <c r="A225" s="537"/>
      <c r="B225" s="537"/>
      <c r="C225" s="538"/>
      <c r="D225" s="537"/>
      <c r="E225" s="537"/>
      <c r="F225" s="537"/>
      <c r="G225" s="537"/>
      <c r="H225" s="537"/>
      <c r="I225" s="537"/>
      <c r="J225" s="537"/>
      <c r="K225" s="537"/>
      <c r="L225" s="537"/>
      <c r="M225" s="537"/>
      <c r="N225" s="537"/>
      <c r="O225" s="537"/>
      <c r="P225" s="537"/>
      <c r="Q225" s="537"/>
      <c r="R225" s="537"/>
      <c r="S225" s="537"/>
      <c r="T225" s="537"/>
      <c r="U225" s="537"/>
      <c r="V225" s="537"/>
      <c r="W225" s="537"/>
      <c r="X225" s="537"/>
      <c r="Y225" s="537"/>
      <c r="Z225" s="537"/>
    </row>
    <row r="226">
      <c r="A226" s="537"/>
      <c r="B226" s="537"/>
      <c r="C226" s="538"/>
      <c r="D226" s="537"/>
      <c r="E226" s="537"/>
      <c r="F226" s="537"/>
      <c r="G226" s="537"/>
      <c r="H226" s="537"/>
      <c r="I226" s="537"/>
      <c r="J226" s="537"/>
      <c r="K226" s="537"/>
      <c r="L226" s="537"/>
      <c r="M226" s="537"/>
      <c r="N226" s="537"/>
      <c r="O226" s="537"/>
      <c r="P226" s="537"/>
      <c r="Q226" s="537"/>
      <c r="R226" s="537"/>
      <c r="S226" s="537"/>
      <c r="T226" s="537"/>
      <c r="U226" s="537"/>
      <c r="V226" s="537"/>
      <c r="W226" s="537"/>
      <c r="X226" s="537"/>
      <c r="Y226" s="537"/>
      <c r="Z226" s="537"/>
    </row>
    <row r="227">
      <c r="A227" s="537"/>
      <c r="B227" s="537"/>
      <c r="C227" s="538"/>
      <c r="D227" s="537"/>
      <c r="E227" s="537"/>
      <c r="F227" s="537"/>
      <c r="G227" s="537"/>
      <c r="H227" s="537"/>
      <c r="I227" s="537"/>
      <c r="J227" s="537"/>
      <c r="K227" s="537"/>
      <c r="L227" s="537"/>
      <c r="M227" s="537"/>
      <c r="N227" s="537"/>
      <c r="O227" s="537"/>
      <c r="P227" s="537"/>
      <c r="Q227" s="537"/>
      <c r="R227" s="537"/>
      <c r="S227" s="537"/>
      <c r="T227" s="537"/>
      <c r="U227" s="537"/>
      <c r="V227" s="537"/>
      <c r="W227" s="537"/>
      <c r="X227" s="537"/>
      <c r="Y227" s="537"/>
      <c r="Z227" s="537"/>
    </row>
    <row r="228">
      <c r="A228" s="537"/>
      <c r="B228" s="537"/>
      <c r="C228" s="538"/>
      <c r="D228" s="537"/>
      <c r="E228" s="537"/>
      <c r="F228" s="537"/>
      <c r="G228" s="537"/>
      <c r="H228" s="537"/>
      <c r="I228" s="537"/>
      <c r="J228" s="537"/>
      <c r="K228" s="537"/>
      <c r="L228" s="537"/>
      <c r="M228" s="537"/>
      <c r="N228" s="537"/>
      <c r="O228" s="537"/>
      <c r="P228" s="537"/>
      <c r="Q228" s="537"/>
      <c r="R228" s="537"/>
      <c r="S228" s="537"/>
      <c r="T228" s="537"/>
      <c r="U228" s="537"/>
      <c r="V228" s="537"/>
      <c r="W228" s="537"/>
      <c r="X228" s="537"/>
      <c r="Y228" s="537"/>
      <c r="Z228" s="537"/>
    </row>
    <row r="229">
      <c r="A229" s="537"/>
      <c r="B229" s="537"/>
      <c r="C229" s="538"/>
      <c r="D229" s="537"/>
      <c r="E229" s="537"/>
      <c r="F229" s="537"/>
      <c r="G229" s="537"/>
      <c r="H229" s="537"/>
      <c r="I229" s="537"/>
      <c r="J229" s="537"/>
      <c r="K229" s="537"/>
      <c r="L229" s="537"/>
      <c r="M229" s="537"/>
      <c r="N229" s="537"/>
      <c r="O229" s="537"/>
      <c r="P229" s="537"/>
      <c r="Q229" s="537"/>
      <c r="R229" s="537"/>
      <c r="S229" s="537"/>
      <c r="T229" s="537"/>
      <c r="U229" s="537"/>
      <c r="V229" s="537"/>
      <c r="W229" s="537"/>
      <c r="X229" s="537"/>
      <c r="Y229" s="537"/>
      <c r="Z229" s="537"/>
    </row>
    <row r="230">
      <c r="A230" s="537"/>
      <c r="B230" s="537"/>
      <c r="C230" s="538"/>
      <c r="D230" s="537"/>
      <c r="E230" s="537"/>
      <c r="F230" s="537"/>
      <c r="G230" s="537"/>
      <c r="H230" s="537"/>
      <c r="I230" s="537"/>
      <c r="J230" s="537"/>
      <c r="K230" s="537"/>
      <c r="L230" s="537"/>
      <c r="M230" s="537"/>
      <c r="N230" s="537"/>
      <c r="O230" s="537"/>
      <c r="P230" s="537"/>
      <c r="Q230" s="537"/>
      <c r="R230" s="537"/>
      <c r="S230" s="537"/>
      <c r="T230" s="537"/>
      <c r="U230" s="537"/>
      <c r="V230" s="537"/>
      <c r="W230" s="537"/>
      <c r="X230" s="537"/>
      <c r="Y230" s="537"/>
      <c r="Z230" s="537"/>
    </row>
    <row r="231">
      <c r="A231" s="537"/>
      <c r="B231" s="537"/>
      <c r="C231" s="538"/>
      <c r="D231" s="537"/>
      <c r="E231" s="537"/>
      <c r="F231" s="537"/>
      <c r="G231" s="537"/>
      <c r="H231" s="537"/>
      <c r="I231" s="537"/>
      <c r="J231" s="537"/>
      <c r="K231" s="537"/>
      <c r="L231" s="537"/>
      <c r="M231" s="537"/>
      <c r="N231" s="537"/>
      <c r="O231" s="537"/>
      <c r="P231" s="537"/>
      <c r="Q231" s="537"/>
      <c r="R231" s="537"/>
      <c r="S231" s="537"/>
      <c r="T231" s="537"/>
      <c r="U231" s="537"/>
      <c r="V231" s="537"/>
      <c r="W231" s="537"/>
      <c r="X231" s="537"/>
      <c r="Y231" s="537"/>
      <c r="Z231" s="537"/>
    </row>
    <row r="232">
      <c r="A232" s="537"/>
      <c r="B232" s="537"/>
      <c r="C232" s="538"/>
      <c r="D232" s="537"/>
      <c r="E232" s="537"/>
      <c r="F232" s="537"/>
      <c r="G232" s="537"/>
      <c r="H232" s="537"/>
      <c r="I232" s="537"/>
      <c r="J232" s="537"/>
      <c r="K232" s="537"/>
      <c r="L232" s="537"/>
      <c r="M232" s="537"/>
      <c r="N232" s="537"/>
      <c r="O232" s="537"/>
      <c r="P232" s="537"/>
      <c r="Q232" s="537"/>
      <c r="R232" s="537"/>
      <c r="S232" s="537"/>
      <c r="T232" s="537"/>
      <c r="U232" s="537"/>
      <c r="V232" s="537"/>
      <c r="W232" s="537"/>
      <c r="X232" s="537"/>
      <c r="Y232" s="537"/>
      <c r="Z232" s="537"/>
    </row>
    <row r="233">
      <c r="A233" s="537"/>
      <c r="B233" s="537"/>
      <c r="C233" s="538"/>
      <c r="D233" s="537"/>
      <c r="E233" s="537"/>
      <c r="F233" s="537"/>
      <c r="G233" s="537"/>
      <c r="H233" s="537"/>
      <c r="I233" s="537"/>
      <c r="J233" s="537"/>
      <c r="K233" s="537"/>
      <c r="L233" s="537"/>
      <c r="M233" s="537"/>
      <c r="N233" s="537"/>
      <c r="O233" s="537"/>
      <c r="P233" s="537"/>
      <c r="Q233" s="537"/>
      <c r="R233" s="537"/>
      <c r="S233" s="537"/>
      <c r="T233" s="537"/>
      <c r="U233" s="537"/>
      <c r="V233" s="537"/>
      <c r="W233" s="537"/>
      <c r="X233" s="537"/>
      <c r="Y233" s="537"/>
      <c r="Z233" s="537"/>
    </row>
    <row r="234">
      <c r="A234" s="537"/>
      <c r="B234" s="537"/>
      <c r="C234" s="538"/>
      <c r="D234" s="537"/>
      <c r="E234" s="537"/>
      <c r="F234" s="537"/>
      <c r="G234" s="537"/>
      <c r="H234" s="537"/>
      <c r="I234" s="537"/>
      <c r="J234" s="537"/>
      <c r="K234" s="537"/>
      <c r="L234" s="537"/>
      <c r="M234" s="537"/>
      <c r="N234" s="537"/>
      <c r="O234" s="537"/>
      <c r="P234" s="537"/>
      <c r="Q234" s="537"/>
      <c r="R234" s="537"/>
      <c r="S234" s="537"/>
      <c r="T234" s="537"/>
      <c r="U234" s="537"/>
      <c r="V234" s="537"/>
      <c r="W234" s="537"/>
      <c r="X234" s="537"/>
      <c r="Y234" s="537"/>
      <c r="Z234" s="537"/>
    </row>
    <row r="235">
      <c r="A235" s="537"/>
      <c r="B235" s="537"/>
      <c r="C235" s="538"/>
      <c r="D235" s="537"/>
      <c r="E235" s="537"/>
      <c r="F235" s="537"/>
      <c r="G235" s="537"/>
      <c r="H235" s="537"/>
      <c r="I235" s="537"/>
      <c r="J235" s="537"/>
      <c r="K235" s="537"/>
      <c r="L235" s="537"/>
      <c r="M235" s="537"/>
      <c r="N235" s="537"/>
      <c r="O235" s="537"/>
      <c r="P235" s="537"/>
      <c r="Q235" s="537"/>
      <c r="R235" s="537"/>
      <c r="S235" s="537"/>
      <c r="T235" s="537"/>
      <c r="U235" s="537"/>
      <c r="V235" s="537"/>
      <c r="W235" s="537"/>
      <c r="X235" s="537"/>
      <c r="Y235" s="537"/>
      <c r="Z235" s="537"/>
    </row>
    <row r="236">
      <c r="A236" s="537"/>
      <c r="B236" s="537"/>
      <c r="C236" s="538"/>
      <c r="D236" s="537"/>
      <c r="E236" s="537"/>
      <c r="F236" s="537"/>
      <c r="G236" s="537"/>
      <c r="H236" s="537"/>
      <c r="I236" s="537"/>
      <c r="J236" s="537"/>
      <c r="K236" s="537"/>
      <c r="L236" s="537"/>
      <c r="M236" s="537"/>
      <c r="N236" s="537"/>
      <c r="O236" s="537"/>
      <c r="P236" s="537"/>
      <c r="Q236" s="537"/>
      <c r="R236" s="537"/>
      <c r="S236" s="537"/>
      <c r="T236" s="537"/>
      <c r="U236" s="537"/>
      <c r="V236" s="537"/>
      <c r="W236" s="537"/>
      <c r="X236" s="537"/>
      <c r="Y236" s="537"/>
      <c r="Z236" s="537"/>
    </row>
    <row r="237">
      <c r="A237" s="537"/>
      <c r="B237" s="537"/>
      <c r="C237" s="538"/>
      <c r="D237" s="537"/>
      <c r="E237" s="537"/>
      <c r="F237" s="537"/>
      <c r="G237" s="537"/>
      <c r="H237" s="537"/>
      <c r="I237" s="537"/>
      <c r="J237" s="537"/>
      <c r="K237" s="537"/>
      <c r="L237" s="537"/>
      <c r="M237" s="537"/>
      <c r="N237" s="537"/>
      <c r="O237" s="537"/>
      <c r="P237" s="537"/>
      <c r="Q237" s="537"/>
      <c r="R237" s="537"/>
      <c r="S237" s="537"/>
      <c r="T237" s="537"/>
      <c r="U237" s="537"/>
      <c r="V237" s="537"/>
      <c r="W237" s="537"/>
      <c r="X237" s="537"/>
      <c r="Y237" s="537"/>
      <c r="Z237" s="537"/>
    </row>
    <row r="238">
      <c r="A238" s="537"/>
      <c r="B238" s="537"/>
      <c r="C238" s="538"/>
      <c r="D238" s="537"/>
      <c r="E238" s="537"/>
      <c r="F238" s="537"/>
      <c r="G238" s="537"/>
      <c r="H238" s="537"/>
      <c r="I238" s="537"/>
      <c r="J238" s="537"/>
      <c r="K238" s="537"/>
      <c r="L238" s="537"/>
      <c r="M238" s="537"/>
      <c r="N238" s="537"/>
      <c r="O238" s="537"/>
      <c r="P238" s="537"/>
      <c r="Q238" s="537"/>
      <c r="R238" s="537"/>
      <c r="S238" s="537"/>
      <c r="T238" s="537"/>
      <c r="U238" s="537"/>
      <c r="V238" s="537"/>
      <c r="W238" s="537"/>
      <c r="X238" s="537"/>
      <c r="Y238" s="537"/>
      <c r="Z238" s="537"/>
    </row>
    <row r="239">
      <c r="A239" s="537"/>
      <c r="B239" s="537"/>
      <c r="C239" s="538"/>
      <c r="D239" s="537"/>
      <c r="E239" s="537"/>
      <c r="F239" s="537"/>
      <c r="G239" s="537"/>
      <c r="H239" s="537"/>
      <c r="I239" s="537"/>
      <c r="J239" s="537"/>
      <c r="K239" s="537"/>
      <c r="L239" s="537"/>
      <c r="M239" s="537"/>
      <c r="N239" s="537"/>
      <c r="O239" s="537"/>
      <c r="P239" s="537"/>
      <c r="Q239" s="537"/>
      <c r="R239" s="537"/>
      <c r="S239" s="537"/>
      <c r="T239" s="537"/>
      <c r="U239" s="537"/>
      <c r="V239" s="537"/>
      <c r="W239" s="537"/>
      <c r="X239" s="537"/>
      <c r="Y239" s="537"/>
      <c r="Z239" s="537"/>
    </row>
    <row r="240">
      <c r="A240" s="537"/>
      <c r="B240" s="537"/>
      <c r="C240" s="538"/>
      <c r="D240" s="537"/>
      <c r="E240" s="537"/>
      <c r="F240" s="537"/>
      <c r="G240" s="537"/>
      <c r="H240" s="537"/>
      <c r="I240" s="537"/>
      <c r="J240" s="537"/>
      <c r="K240" s="537"/>
      <c r="L240" s="537"/>
      <c r="M240" s="537"/>
      <c r="N240" s="537"/>
      <c r="O240" s="537"/>
      <c r="P240" s="537"/>
      <c r="Q240" s="537"/>
      <c r="R240" s="537"/>
      <c r="S240" s="537"/>
      <c r="T240" s="537"/>
      <c r="U240" s="537"/>
      <c r="V240" s="537"/>
      <c r="W240" s="537"/>
      <c r="X240" s="537"/>
      <c r="Y240" s="537"/>
      <c r="Z240" s="537"/>
    </row>
    <row r="241">
      <c r="A241" s="537"/>
      <c r="B241" s="537"/>
      <c r="C241" s="538"/>
      <c r="D241" s="537"/>
      <c r="E241" s="537"/>
      <c r="F241" s="537"/>
      <c r="G241" s="537"/>
      <c r="H241" s="537"/>
      <c r="I241" s="537"/>
      <c r="J241" s="537"/>
      <c r="K241" s="537"/>
      <c r="L241" s="537"/>
      <c r="M241" s="537"/>
      <c r="N241" s="537"/>
      <c r="O241" s="537"/>
      <c r="P241" s="537"/>
      <c r="Q241" s="537"/>
      <c r="R241" s="537"/>
      <c r="S241" s="537"/>
      <c r="T241" s="537"/>
      <c r="U241" s="537"/>
      <c r="V241" s="537"/>
      <c r="W241" s="537"/>
      <c r="X241" s="537"/>
      <c r="Y241" s="537"/>
      <c r="Z241" s="537"/>
    </row>
    <row r="242">
      <c r="A242" s="537"/>
      <c r="B242" s="537"/>
      <c r="C242" s="538"/>
      <c r="D242" s="537"/>
      <c r="E242" s="537"/>
      <c r="F242" s="537"/>
      <c r="G242" s="537"/>
      <c r="H242" s="537"/>
      <c r="I242" s="537"/>
      <c r="J242" s="537"/>
      <c r="K242" s="537"/>
      <c r="L242" s="537"/>
      <c r="M242" s="537"/>
      <c r="N242" s="537"/>
      <c r="O242" s="537"/>
      <c r="P242" s="537"/>
      <c r="Q242" s="537"/>
      <c r="R242" s="537"/>
      <c r="S242" s="537"/>
      <c r="T242" s="537"/>
      <c r="U242" s="537"/>
      <c r="V242" s="537"/>
      <c r="W242" s="537"/>
      <c r="X242" s="537"/>
      <c r="Y242" s="537"/>
      <c r="Z242" s="537"/>
    </row>
    <row r="243">
      <c r="A243" s="537"/>
      <c r="B243" s="537"/>
      <c r="C243" s="538"/>
      <c r="D243" s="537"/>
      <c r="E243" s="537"/>
      <c r="F243" s="537"/>
      <c r="G243" s="537"/>
      <c r="H243" s="537"/>
      <c r="I243" s="537"/>
      <c r="J243" s="537"/>
      <c r="K243" s="537"/>
      <c r="L243" s="537"/>
      <c r="M243" s="537"/>
      <c r="N243" s="537"/>
      <c r="O243" s="537"/>
      <c r="P243" s="537"/>
      <c r="Q243" s="537"/>
      <c r="R243" s="537"/>
      <c r="S243" s="537"/>
      <c r="T243" s="537"/>
      <c r="U243" s="537"/>
      <c r="V243" s="537"/>
      <c r="W243" s="537"/>
      <c r="X243" s="537"/>
      <c r="Y243" s="537"/>
      <c r="Z243" s="537"/>
    </row>
    <row r="244">
      <c r="A244" s="537"/>
      <c r="B244" s="537"/>
      <c r="C244" s="538"/>
      <c r="D244" s="537"/>
      <c r="E244" s="537"/>
      <c r="F244" s="537"/>
      <c r="G244" s="537"/>
      <c r="H244" s="537"/>
      <c r="I244" s="537"/>
      <c r="J244" s="537"/>
      <c r="K244" s="537"/>
      <c r="L244" s="537"/>
      <c r="M244" s="537"/>
      <c r="N244" s="537"/>
      <c r="O244" s="537"/>
      <c r="P244" s="537"/>
      <c r="Q244" s="537"/>
      <c r="R244" s="537"/>
      <c r="S244" s="537"/>
      <c r="T244" s="537"/>
      <c r="U244" s="537"/>
      <c r="V244" s="537"/>
      <c r="W244" s="537"/>
      <c r="X244" s="537"/>
      <c r="Y244" s="537"/>
      <c r="Z244" s="537"/>
    </row>
    <row r="245">
      <c r="A245" s="537"/>
      <c r="B245" s="537"/>
      <c r="C245" s="538"/>
      <c r="D245" s="537"/>
      <c r="E245" s="537"/>
      <c r="F245" s="537"/>
      <c r="G245" s="537"/>
      <c r="H245" s="537"/>
      <c r="I245" s="537"/>
      <c r="J245" s="537"/>
      <c r="K245" s="537"/>
      <c r="L245" s="537"/>
      <c r="M245" s="537"/>
      <c r="N245" s="537"/>
      <c r="O245" s="537"/>
      <c r="P245" s="537"/>
      <c r="Q245" s="537"/>
      <c r="R245" s="537"/>
      <c r="S245" s="537"/>
      <c r="T245" s="537"/>
      <c r="U245" s="537"/>
      <c r="V245" s="537"/>
      <c r="W245" s="537"/>
      <c r="X245" s="537"/>
      <c r="Y245" s="537"/>
      <c r="Z245" s="537"/>
    </row>
    <row r="246">
      <c r="A246" s="537"/>
      <c r="B246" s="537"/>
      <c r="C246" s="538"/>
      <c r="D246" s="537"/>
      <c r="E246" s="537"/>
      <c r="F246" s="537"/>
      <c r="G246" s="537"/>
      <c r="H246" s="537"/>
      <c r="I246" s="537"/>
      <c r="J246" s="537"/>
      <c r="K246" s="537"/>
      <c r="L246" s="537"/>
      <c r="M246" s="537"/>
      <c r="N246" s="537"/>
      <c r="O246" s="537"/>
      <c r="P246" s="537"/>
      <c r="Q246" s="537"/>
      <c r="R246" s="537"/>
      <c r="S246" s="537"/>
      <c r="T246" s="537"/>
      <c r="U246" s="537"/>
      <c r="V246" s="537"/>
      <c r="W246" s="537"/>
      <c r="X246" s="537"/>
      <c r="Y246" s="537"/>
      <c r="Z246" s="537"/>
    </row>
    <row r="247">
      <c r="A247" s="537"/>
      <c r="B247" s="537"/>
      <c r="C247" s="538"/>
      <c r="D247" s="537"/>
      <c r="E247" s="537"/>
      <c r="F247" s="537"/>
      <c r="G247" s="537"/>
      <c r="H247" s="537"/>
      <c r="I247" s="537"/>
      <c r="J247" s="537"/>
      <c r="K247" s="537"/>
      <c r="L247" s="537"/>
      <c r="M247" s="537"/>
      <c r="N247" s="537"/>
      <c r="O247" s="537"/>
      <c r="P247" s="537"/>
      <c r="Q247" s="537"/>
      <c r="R247" s="537"/>
      <c r="S247" s="537"/>
      <c r="T247" s="537"/>
      <c r="U247" s="537"/>
      <c r="V247" s="537"/>
      <c r="W247" s="537"/>
      <c r="X247" s="537"/>
      <c r="Y247" s="537"/>
      <c r="Z247" s="537"/>
    </row>
    <row r="248">
      <c r="A248" s="537"/>
      <c r="B248" s="537"/>
      <c r="C248" s="538"/>
      <c r="D248" s="537"/>
      <c r="E248" s="537"/>
      <c r="F248" s="537"/>
      <c r="G248" s="537"/>
      <c r="H248" s="537"/>
      <c r="I248" s="537"/>
      <c r="J248" s="537"/>
      <c r="K248" s="537"/>
      <c r="L248" s="537"/>
      <c r="M248" s="537"/>
      <c r="N248" s="537"/>
      <c r="O248" s="537"/>
      <c r="P248" s="537"/>
      <c r="Q248" s="537"/>
      <c r="R248" s="537"/>
      <c r="S248" s="537"/>
      <c r="T248" s="537"/>
      <c r="U248" s="537"/>
      <c r="V248" s="537"/>
      <c r="W248" s="537"/>
      <c r="X248" s="537"/>
      <c r="Y248" s="537"/>
      <c r="Z248" s="537"/>
    </row>
    <row r="249">
      <c r="A249" s="537"/>
      <c r="B249" s="537"/>
      <c r="C249" s="538"/>
      <c r="D249" s="537"/>
      <c r="E249" s="537"/>
      <c r="F249" s="537"/>
      <c r="G249" s="537"/>
      <c r="H249" s="537"/>
      <c r="I249" s="537"/>
      <c r="J249" s="537"/>
      <c r="K249" s="537"/>
      <c r="L249" s="537"/>
      <c r="M249" s="537"/>
      <c r="N249" s="537"/>
      <c r="O249" s="537"/>
      <c r="P249" s="537"/>
      <c r="Q249" s="537"/>
      <c r="R249" s="537"/>
      <c r="S249" s="537"/>
      <c r="T249" s="537"/>
      <c r="U249" s="537"/>
      <c r="V249" s="537"/>
      <c r="W249" s="537"/>
      <c r="X249" s="537"/>
      <c r="Y249" s="537"/>
      <c r="Z249" s="537"/>
    </row>
    <row r="250">
      <c r="A250" s="537"/>
      <c r="B250" s="537"/>
      <c r="C250" s="538"/>
      <c r="D250" s="537"/>
      <c r="E250" s="537"/>
      <c r="F250" s="537"/>
      <c r="G250" s="537"/>
      <c r="H250" s="537"/>
      <c r="I250" s="537"/>
      <c r="J250" s="537"/>
      <c r="K250" s="537"/>
      <c r="L250" s="537"/>
      <c r="M250" s="537"/>
      <c r="N250" s="537"/>
      <c r="O250" s="537"/>
      <c r="P250" s="537"/>
      <c r="Q250" s="537"/>
      <c r="R250" s="537"/>
      <c r="S250" s="537"/>
      <c r="T250" s="537"/>
      <c r="U250" s="537"/>
      <c r="V250" s="537"/>
      <c r="W250" s="537"/>
      <c r="X250" s="537"/>
      <c r="Y250" s="537"/>
      <c r="Z250" s="537"/>
    </row>
    <row r="251">
      <c r="A251" s="537"/>
      <c r="B251" s="537"/>
      <c r="C251" s="538"/>
      <c r="D251" s="537"/>
      <c r="E251" s="537"/>
      <c r="F251" s="537"/>
      <c r="G251" s="537"/>
      <c r="H251" s="537"/>
      <c r="I251" s="537"/>
      <c r="J251" s="537"/>
      <c r="K251" s="537"/>
      <c r="L251" s="537"/>
      <c r="M251" s="537"/>
      <c r="N251" s="537"/>
      <c r="O251" s="537"/>
      <c r="P251" s="537"/>
      <c r="Q251" s="537"/>
      <c r="R251" s="537"/>
      <c r="S251" s="537"/>
      <c r="T251" s="537"/>
      <c r="U251" s="537"/>
      <c r="V251" s="537"/>
      <c r="W251" s="537"/>
      <c r="X251" s="537"/>
      <c r="Y251" s="537"/>
      <c r="Z251" s="537"/>
    </row>
    <row r="252">
      <c r="A252" s="537"/>
      <c r="B252" s="537"/>
      <c r="C252" s="538"/>
      <c r="D252" s="537"/>
      <c r="E252" s="537"/>
      <c r="F252" s="537"/>
      <c r="G252" s="537"/>
      <c r="H252" s="537"/>
      <c r="I252" s="537"/>
      <c r="J252" s="537"/>
      <c r="K252" s="537"/>
      <c r="L252" s="537"/>
      <c r="M252" s="537"/>
      <c r="N252" s="537"/>
      <c r="O252" s="537"/>
      <c r="P252" s="537"/>
      <c r="Q252" s="537"/>
      <c r="R252" s="537"/>
      <c r="S252" s="537"/>
      <c r="T252" s="537"/>
      <c r="U252" s="537"/>
      <c r="V252" s="537"/>
      <c r="W252" s="537"/>
      <c r="X252" s="537"/>
      <c r="Y252" s="537"/>
      <c r="Z252" s="537"/>
    </row>
    <row r="253">
      <c r="A253" s="537"/>
      <c r="B253" s="537"/>
      <c r="C253" s="538"/>
      <c r="D253" s="537"/>
      <c r="E253" s="537"/>
      <c r="F253" s="537"/>
      <c r="G253" s="537"/>
      <c r="H253" s="537"/>
      <c r="I253" s="537"/>
      <c r="J253" s="537"/>
      <c r="K253" s="537"/>
      <c r="L253" s="537"/>
      <c r="M253" s="537"/>
      <c r="N253" s="537"/>
      <c r="O253" s="537"/>
      <c r="P253" s="537"/>
      <c r="Q253" s="537"/>
      <c r="R253" s="537"/>
      <c r="S253" s="537"/>
      <c r="T253" s="537"/>
      <c r="U253" s="537"/>
      <c r="V253" s="537"/>
      <c r="W253" s="537"/>
      <c r="X253" s="537"/>
      <c r="Y253" s="537"/>
      <c r="Z253" s="537"/>
    </row>
    <row r="254">
      <c r="A254" s="537"/>
      <c r="B254" s="537"/>
      <c r="C254" s="538"/>
      <c r="D254" s="537"/>
      <c r="E254" s="537"/>
      <c r="F254" s="537"/>
      <c r="G254" s="537"/>
      <c r="H254" s="537"/>
      <c r="I254" s="537"/>
      <c r="J254" s="537"/>
      <c r="K254" s="537"/>
      <c r="L254" s="537"/>
      <c r="M254" s="537"/>
      <c r="N254" s="537"/>
      <c r="O254" s="537"/>
      <c r="P254" s="537"/>
      <c r="Q254" s="537"/>
      <c r="R254" s="537"/>
      <c r="S254" s="537"/>
      <c r="T254" s="537"/>
      <c r="U254" s="537"/>
      <c r="V254" s="537"/>
      <c r="W254" s="537"/>
      <c r="X254" s="537"/>
      <c r="Y254" s="537"/>
      <c r="Z254" s="537"/>
    </row>
    <row r="255">
      <c r="A255" s="537"/>
      <c r="B255" s="537"/>
      <c r="C255" s="538"/>
      <c r="D255" s="537"/>
      <c r="E255" s="537"/>
      <c r="F255" s="537"/>
      <c r="G255" s="537"/>
      <c r="H255" s="537"/>
      <c r="I255" s="537"/>
      <c r="J255" s="537"/>
      <c r="K255" s="537"/>
      <c r="L255" s="537"/>
      <c r="M255" s="537"/>
      <c r="N255" s="537"/>
      <c r="O255" s="537"/>
      <c r="P255" s="537"/>
      <c r="Q255" s="537"/>
      <c r="R255" s="537"/>
      <c r="S255" s="537"/>
      <c r="T255" s="537"/>
      <c r="U255" s="537"/>
      <c r="V255" s="537"/>
      <c r="W255" s="537"/>
      <c r="X255" s="537"/>
      <c r="Y255" s="537"/>
      <c r="Z255" s="537"/>
    </row>
    <row r="256">
      <c r="A256" s="537"/>
      <c r="B256" s="537"/>
      <c r="C256" s="538"/>
      <c r="D256" s="537"/>
      <c r="E256" s="537"/>
      <c r="F256" s="537"/>
      <c r="G256" s="537"/>
      <c r="H256" s="537"/>
      <c r="I256" s="537"/>
      <c r="J256" s="537"/>
      <c r="K256" s="537"/>
      <c r="L256" s="537"/>
      <c r="M256" s="537"/>
      <c r="N256" s="537"/>
      <c r="O256" s="537"/>
      <c r="P256" s="537"/>
      <c r="Q256" s="537"/>
      <c r="R256" s="537"/>
      <c r="S256" s="537"/>
      <c r="T256" s="537"/>
      <c r="U256" s="537"/>
      <c r="V256" s="537"/>
      <c r="W256" s="537"/>
      <c r="X256" s="537"/>
      <c r="Y256" s="537"/>
      <c r="Z256" s="537"/>
    </row>
    <row r="257">
      <c r="A257" s="537"/>
      <c r="B257" s="537"/>
      <c r="C257" s="538"/>
      <c r="D257" s="537"/>
      <c r="E257" s="537"/>
      <c r="F257" s="537"/>
      <c r="G257" s="537"/>
      <c r="H257" s="537"/>
      <c r="I257" s="537"/>
      <c r="J257" s="537"/>
      <c r="K257" s="537"/>
      <c r="L257" s="537"/>
      <c r="M257" s="537"/>
      <c r="N257" s="537"/>
      <c r="O257" s="537"/>
      <c r="P257" s="537"/>
      <c r="Q257" s="537"/>
      <c r="R257" s="537"/>
      <c r="S257" s="537"/>
      <c r="T257" s="537"/>
      <c r="U257" s="537"/>
      <c r="V257" s="537"/>
      <c r="W257" s="537"/>
      <c r="X257" s="537"/>
      <c r="Y257" s="537"/>
      <c r="Z257" s="537"/>
    </row>
    <row r="258">
      <c r="A258" s="537"/>
      <c r="B258" s="537"/>
      <c r="C258" s="538"/>
      <c r="D258" s="537"/>
      <c r="E258" s="537"/>
      <c r="F258" s="537"/>
      <c r="G258" s="537"/>
      <c r="H258" s="537"/>
      <c r="I258" s="537"/>
      <c r="J258" s="537"/>
      <c r="K258" s="537"/>
      <c r="L258" s="537"/>
      <c r="M258" s="537"/>
      <c r="N258" s="537"/>
      <c r="O258" s="537"/>
      <c r="P258" s="537"/>
      <c r="Q258" s="537"/>
      <c r="R258" s="537"/>
      <c r="S258" s="537"/>
      <c r="T258" s="537"/>
      <c r="U258" s="537"/>
      <c r="V258" s="537"/>
      <c r="W258" s="537"/>
      <c r="X258" s="537"/>
      <c r="Y258" s="537"/>
      <c r="Z258" s="537"/>
    </row>
    <row r="259">
      <c r="A259" s="537"/>
      <c r="B259" s="537"/>
      <c r="C259" s="538"/>
      <c r="D259" s="537"/>
      <c r="E259" s="537"/>
      <c r="F259" s="537"/>
      <c r="G259" s="537"/>
      <c r="H259" s="537"/>
      <c r="I259" s="537"/>
      <c r="J259" s="537"/>
      <c r="K259" s="537"/>
      <c r="L259" s="537"/>
      <c r="M259" s="537"/>
      <c r="N259" s="537"/>
      <c r="O259" s="537"/>
      <c r="P259" s="537"/>
      <c r="Q259" s="537"/>
      <c r="R259" s="537"/>
      <c r="S259" s="537"/>
      <c r="T259" s="537"/>
      <c r="U259" s="537"/>
      <c r="V259" s="537"/>
      <c r="W259" s="537"/>
      <c r="X259" s="537"/>
      <c r="Y259" s="537"/>
      <c r="Z259" s="537"/>
    </row>
    <row r="260">
      <c r="A260" s="537"/>
      <c r="B260" s="537"/>
      <c r="C260" s="538"/>
      <c r="D260" s="537"/>
      <c r="E260" s="537"/>
      <c r="F260" s="537"/>
      <c r="G260" s="537"/>
      <c r="H260" s="537"/>
      <c r="I260" s="537"/>
      <c r="J260" s="537"/>
      <c r="K260" s="537"/>
      <c r="L260" s="537"/>
      <c r="M260" s="537"/>
      <c r="N260" s="537"/>
      <c r="O260" s="537"/>
      <c r="P260" s="537"/>
      <c r="Q260" s="537"/>
      <c r="R260" s="537"/>
      <c r="S260" s="537"/>
      <c r="T260" s="537"/>
      <c r="U260" s="537"/>
      <c r="V260" s="537"/>
      <c r="W260" s="537"/>
      <c r="X260" s="537"/>
      <c r="Y260" s="537"/>
      <c r="Z260" s="537"/>
    </row>
    <row r="261">
      <c r="A261" s="537"/>
      <c r="B261" s="537"/>
      <c r="C261" s="538"/>
      <c r="D261" s="537"/>
      <c r="E261" s="537"/>
      <c r="F261" s="537"/>
      <c r="G261" s="537"/>
      <c r="H261" s="537"/>
      <c r="I261" s="537"/>
      <c r="J261" s="537"/>
      <c r="K261" s="537"/>
      <c r="L261" s="537"/>
      <c r="M261" s="537"/>
      <c r="N261" s="537"/>
      <c r="O261" s="537"/>
      <c r="P261" s="537"/>
      <c r="Q261" s="537"/>
      <c r="R261" s="537"/>
      <c r="S261" s="537"/>
      <c r="T261" s="537"/>
      <c r="U261" s="537"/>
      <c r="V261" s="537"/>
      <c r="W261" s="537"/>
      <c r="X261" s="537"/>
      <c r="Y261" s="537"/>
      <c r="Z261" s="537"/>
    </row>
    <row r="262">
      <c r="A262" s="537"/>
      <c r="B262" s="537"/>
      <c r="C262" s="538"/>
      <c r="D262" s="537"/>
      <c r="E262" s="537"/>
      <c r="F262" s="537"/>
      <c r="G262" s="537"/>
      <c r="H262" s="537"/>
      <c r="I262" s="537"/>
      <c r="J262" s="537"/>
      <c r="K262" s="537"/>
      <c r="L262" s="537"/>
      <c r="M262" s="537"/>
      <c r="N262" s="537"/>
      <c r="O262" s="537"/>
      <c r="P262" s="537"/>
      <c r="Q262" s="537"/>
      <c r="R262" s="537"/>
      <c r="S262" s="537"/>
      <c r="T262" s="537"/>
      <c r="U262" s="537"/>
      <c r="V262" s="537"/>
      <c r="W262" s="537"/>
      <c r="X262" s="537"/>
      <c r="Y262" s="537"/>
      <c r="Z262" s="537"/>
    </row>
    <row r="263">
      <c r="A263" s="537"/>
      <c r="B263" s="537"/>
      <c r="C263" s="538"/>
      <c r="D263" s="537"/>
      <c r="E263" s="537"/>
      <c r="F263" s="537"/>
      <c r="G263" s="537"/>
      <c r="H263" s="537"/>
      <c r="I263" s="537"/>
      <c r="J263" s="537"/>
      <c r="K263" s="537"/>
      <c r="L263" s="537"/>
      <c r="M263" s="537"/>
      <c r="N263" s="537"/>
      <c r="O263" s="537"/>
      <c r="P263" s="537"/>
      <c r="Q263" s="537"/>
      <c r="R263" s="537"/>
      <c r="S263" s="537"/>
      <c r="T263" s="537"/>
      <c r="U263" s="537"/>
      <c r="V263" s="537"/>
      <c r="W263" s="537"/>
      <c r="X263" s="537"/>
      <c r="Y263" s="537"/>
      <c r="Z263" s="537"/>
    </row>
    <row r="264">
      <c r="A264" s="537"/>
      <c r="B264" s="537"/>
      <c r="C264" s="538"/>
      <c r="D264" s="537"/>
      <c r="E264" s="537"/>
      <c r="F264" s="537"/>
      <c r="G264" s="537"/>
      <c r="H264" s="537"/>
      <c r="I264" s="537"/>
      <c r="J264" s="537"/>
      <c r="K264" s="537"/>
      <c r="L264" s="537"/>
      <c r="M264" s="537"/>
      <c r="N264" s="537"/>
      <c r="O264" s="537"/>
      <c r="P264" s="537"/>
      <c r="Q264" s="537"/>
      <c r="R264" s="537"/>
      <c r="S264" s="537"/>
      <c r="T264" s="537"/>
      <c r="U264" s="537"/>
      <c r="V264" s="537"/>
      <c r="W264" s="537"/>
      <c r="X264" s="537"/>
      <c r="Y264" s="537"/>
      <c r="Z264" s="537"/>
    </row>
    <row r="265">
      <c r="A265" s="537"/>
      <c r="B265" s="537"/>
      <c r="C265" s="538"/>
      <c r="D265" s="537"/>
      <c r="E265" s="537"/>
      <c r="F265" s="537"/>
      <c r="G265" s="537"/>
      <c r="H265" s="537"/>
      <c r="I265" s="537"/>
      <c r="J265" s="537"/>
      <c r="K265" s="537"/>
      <c r="L265" s="537"/>
      <c r="M265" s="537"/>
      <c r="N265" s="537"/>
      <c r="O265" s="537"/>
      <c r="P265" s="537"/>
      <c r="Q265" s="537"/>
      <c r="R265" s="537"/>
      <c r="S265" s="537"/>
      <c r="T265" s="537"/>
      <c r="U265" s="537"/>
      <c r="V265" s="537"/>
      <c r="W265" s="537"/>
      <c r="X265" s="537"/>
      <c r="Y265" s="537"/>
      <c r="Z265" s="537"/>
    </row>
    <row r="266">
      <c r="A266" s="537"/>
      <c r="B266" s="537"/>
      <c r="C266" s="538"/>
      <c r="D266" s="537"/>
      <c r="E266" s="537"/>
      <c r="F266" s="537"/>
      <c r="G266" s="537"/>
      <c r="H266" s="537"/>
      <c r="I266" s="537"/>
      <c r="J266" s="537"/>
      <c r="K266" s="537"/>
      <c r="L266" s="537"/>
      <c r="M266" s="537"/>
      <c r="N266" s="537"/>
      <c r="O266" s="537"/>
      <c r="P266" s="537"/>
      <c r="Q266" s="537"/>
      <c r="R266" s="537"/>
      <c r="S266" s="537"/>
      <c r="T266" s="537"/>
      <c r="U266" s="537"/>
      <c r="V266" s="537"/>
      <c r="W266" s="537"/>
      <c r="X266" s="537"/>
      <c r="Y266" s="537"/>
      <c r="Z266" s="537"/>
    </row>
    <row r="267">
      <c r="A267" s="537"/>
      <c r="B267" s="537"/>
      <c r="C267" s="538"/>
      <c r="D267" s="537"/>
      <c r="E267" s="537"/>
      <c r="F267" s="537"/>
      <c r="G267" s="537"/>
      <c r="H267" s="537"/>
      <c r="I267" s="537"/>
      <c r="J267" s="537"/>
      <c r="K267" s="537"/>
      <c r="L267" s="537"/>
      <c r="M267" s="537"/>
      <c r="N267" s="537"/>
      <c r="O267" s="537"/>
      <c r="P267" s="537"/>
      <c r="Q267" s="537"/>
      <c r="R267" s="537"/>
      <c r="S267" s="537"/>
      <c r="T267" s="537"/>
      <c r="U267" s="537"/>
      <c r="V267" s="537"/>
      <c r="W267" s="537"/>
      <c r="X267" s="537"/>
      <c r="Y267" s="537"/>
      <c r="Z267" s="537"/>
    </row>
    <row r="268">
      <c r="A268" s="537"/>
      <c r="B268" s="537"/>
      <c r="C268" s="538"/>
      <c r="D268" s="537"/>
      <c r="E268" s="537"/>
      <c r="F268" s="537"/>
      <c r="G268" s="537"/>
      <c r="H268" s="537"/>
      <c r="I268" s="537"/>
      <c r="J268" s="537"/>
      <c r="K268" s="537"/>
      <c r="L268" s="537"/>
      <c r="M268" s="537"/>
      <c r="N268" s="537"/>
      <c r="O268" s="537"/>
      <c r="P268" s="537"/>
      <c r="Q268" s="537"/>
      <c r="R268" s="537"/>
      <c r="S268" s="537"/>
      <c r="T268" s="537"/>
      <c r="U268" s="537"/>
      <c r="V268" s="537"/>
      <c r="W268" s="537"/>
      <c r="X268" s="537"/>
      <c r="Y268" s="537"/>
      <c r="Z268" s="537"/>
    </row>
    <row r="269">
      <c r="A269" s="537"/>
      <c r="B269" s="537"/>
      <c r="C269" s="538"/>
      <c r="D269" s="537"/>
      <c r="E269" s="537"/>
      <c r="F269" s="537"/>
      <c r="G269" s="537"/>
      <c r="H269" s="537"/>
      <c r="I269" s="537"/>
      <c r="J269" s="537"/>
      <c r="K269" s="537"/>
      <c r="L269" s="537"/>
      <c r="M269" s="537"/>
      <c r="N269" s="537"/>
      <c r="O269" s="537"/>
      <c r="P269" s="537"/>
      <c r="Q269" s="537"/>
      <c r="R269" s="537"/>
      <c r="S269" s="537"/>
      <c r="T269" s="537"/>
      <c r="U269" s="537"/>
      <c r="V269" s="537"/>
      <c r="W269" s="537"/>
      <c r="X269" s="537"/>
      <c r="Y269" s="537"/>
      <c r="Z269" s="537"/>
    </row>
    <row r="270">
      <c r="A270" s="537"/>
      <c r="B270" s="537"/>
      <c r="C270" s="538"/>
      <c r="D270" s="537"/>
      <c r="E270" s="537"/>
      <c r="F270" s="537"/>
      <c r="G270" s="537"/>
      <c r="H270" s="537"/>
      <c r="I270" s="537"/>
      <c r="J270" s="537"/>
      <c r="K270" s="537"/>
      <c r="L270" s="537"/>
      <c r="M270" s="537"/>
      <c r="N270" s="537"/>
      <c r="O270" s="537"/>
      <c r="P270" s="537"/>
      <c r="Q270" s="537"/>
      <c r="R270" s="537"/>
      <c r="S270" s="537"/>
      <c r="T270" s="537"/>
      <c r="U270" s="537"/>
      <c r="V270" s="537"/>
      <c r="W270" s="537"/>
      <c r="X270" s="537"/>
      <c r="Y270" s="537"/>
      <c r="Z270" s="537"/>
    </row>
    <row r="271">
      <c r="A271" s="537"/>
      <c r="B271" s="537"/>
      <c r="C271" s="538"/>
      <c r="D271" s="537"/>
      <c r="E271" s="537"/>
      <c r="F271" s="537"/>
      <c r="G271" s="537"/>
      <c r="H271" s="537"/>
      <c r="I271" s="537"/>
      <c r="J271" s="537"/>
      <c r="K271" s="537"/>
      <c r="L271" s="537"/>
      <c r="M271" s="537"/>
      <c r="N271" s="537"/>
      <c r="O271" s="537"/>
      <c r="P271" s="537"/>
      <c r="Q271" s="537"/>
      <c r="R271" s="537"/>
      <c r="S271" s="537"/>
      <c r="T271" s="537"/>
      <c r="U271" s="537"/>
      <c r="V271" s="537"/>
      <c r="W271" s="537"/>
      <c r="X271" s="537"/>
      <c r="Y271" s="537"/>
      <c r="Z271" s="537"/>
    </row>
    <row r="272">
      <c r="A272" s="537"/>
      <c r="B272" s="537"/>
      <c r="C272" s="538"/>
      <c r="D272" s="537"/>
      <c r="E272" s="537"/>
      <c r="F272" s="537"/>
      <c r="G272" s="537"/>
      <c r="H272" s="537"/>
      <c r="I272" s="537"/>
      <c r="J272" s="537"/>
      <c r="K272" s="537"/>
      <c r="L272" s="537"/>
      <c r="M272" s="537"/>
      <c r="N272" s="537"/>
      <c r="O272" s="537"/>
      <c r="P272" s="537"/>
      <c r="Q272" s="537"/>
      <c r="R272" s="537"/>
      <c r="S272" s="537"/>
      <c r="T272" s="537"/>
      <c r="U272" s="537"/>
      <c r="V272" s="537"/>
      <c r="W272" s="537"/>
      <c r="X272" s="537"/>
      <c r="Y272" s="537"/>
      <c r="Z272" s="537"/>
    </row>
    <row r="273">
      <c r="A273" s="537"/>
      <c r="B273" s="537"/>
      <c r="C273" s="538"/>
      <c r="D273" s="537"/>
      <c r="E273" s="537"/>
      <c r="F273" s="537"/>
      <c r="G273" s="537"/>
      <c r="H273" s="537"/>
      <c r="I273" s="537"/>
      <c r="J273" s="537"/>
      <c r="K273" s="537"/>
      <c r="L273" s="537"/>
      <c r="M273" s="537"/>
      <c r="N273" s="537"/>
      <c r="O273" s="537"/>
      <c r="P273" s="537"/>
      <c r="Q273" s="537"/>
      <c r="R273" s="537"/>
      <c r="S273" s="537"/>
      <c r="T273" s="537"/>
      <c r="U273" s="537"/>
      <c r="V273" s="537"/>
      <c r="W273" s="537"/>
      <c r="X273" s="537"/>
      <c r="Y273" s="537"/>
      <c r="Z273" s="537"/>
    </row>
    <row r="274">
      <c r="A274" s="537"/>
      <c r="B274" s="537"/>
      <c r="C274" s="538"/>
      <c r="D274" s="537"/>
      <c r="E274" s="537"/>
      <c r="F274" s="537"/>
      <c r="G274" s="537"/>
      <c r="H274" s="537"/>
      <c r="I274" s="537"/>
      <c r="J274" s="537"/>
      <c r="K274" s="537"/>
      <c r="L274" s="537"/>
      <c r="M274" s="537"/>
      <c r="N274" s="537"/>
      <c r="O274" s="537"/>
      <c r="P274" s="537"/>
      <c r="Q274" s="537"/>
      <c r="R274" s="537"/>
      <c r="S274" s="537"/>
      <c r="T274" s="537"/>
      <c r="U274" s="537"/>
      <c r="V274" s="537"/>
      <c r="W274" s="537"/>
      <c r="X274" s="537"/>
      <c r="Y274" s="537"/>
      <c r="Z274" s="537"/>
    </row>
    <row r="275">
      <c r="A275" s="537"/>
      <c r="B275" s="537"/>
      <c r="C275" s="538"/>
      <c r="D275" s="537"/>
      <c r="E275" s="537"/>
      <c r="F275" s="537"/>
      <c r="G275" s="537"/>
      <c r="H275" s="537"/>
      <c r="I275" s="537"/>
      <c r="J275" s="537"/>
      <c r="K275" s="537"/>
      <c r="L275" s="537"/>
      <c r="M275" s="537"/>
      <c r="N275" s="537"/>
      <c r="O275" s="537"/>
      <c r="P275" s="537"/>
      <c r="Q275" s="537"/>
      <c r="R275" s="537"/>
      <c r="S275" s="537"/>
      <c r="T275" s="537"/>
      <c r="U275" s="537"/>
      <c r="V275" s="537"/>
      <c r="W275" s="537"/>
      <c r="X275" s="537"/>
      <c r="Y275" s="537"/>
      <c r="Z275" s="537"/>
    </row>
    <row r="276">
      <c r="A276" s="537"/>
      <c r="B276" s="537"/>
      <c r="C276" s="538"/>
      <c r="D276" s="537"/>
      <c r="E276" s="537"/>
      <c r="F276" s="537"/>
      <c r="G276" s="537"/>
      <c r="H276" s="537"/>
      <c r="I276" s="537"/>
      <c r="J276" s="537"/>
      <c r="K276" s="537"/>
      <c r="L276" s="537"/>
      <c r="M276" s="537"/>
      <c r="N276" s="537"/>
      <c r="O276" s="537"/>
      <c r="P276" s="537"/>
      <c r="Q276" s="537"/>
      <c r="R276" s="537"/>
      <c r="S276" s="537"/>
      <c r="T276" s="537"/>
      <c r="U276" s="537"/>
      <c r="V276" s="537"/>
      <c r="W276" s="537"/>
      <c r="X276" s="537"/>
      <c r="Y276" s="537"/>
      <c r="Z276" s="537"/>
    </row>
    <row r="277">
      <c r="A277" s="537"/>
      <c r="B277" s="537"/>
      <c r="C277" s="538"/>
      <c r="D277" s="537"/>
      <c r="E277" s="537"/>
      <c r="F277" s="537"/>
      <c r="G277" s="537"/>
      <c r="H277" s="537"/>
      <c r="I277" s="537"/>
      <c r="J277" s="537"/>
      <c r="K277" s="537"/>
      <c r="L277" s="537"/>
      <c r="M277" s="537"/>
      <c r="N277" s="537"/>
      <c r="O277" s="537"/>
      <c r="P277" s="537"/>
      <c r="Q277" s="537"/>
      <c r="R277" s="537"/>
      <c r="S277" s="537"/>
      <c r="T277" s="537"/>
      <c r="U277" s="537"/>
      <c r="V277" s="537"/>
      <c r="W277" s="537"/>
      <c r="X277" s="537"/>
      <c r="Y277" s="537"/>
      <c r="Z277" s="537"/>
    </row>
    <row r="278">
      <c r="A278" s="537"/>
      <c r="B278" s="537"/>
      <c r="C278" s="538"/>
      <c r="D278" s="537"/>
      <c r="E278" s="537"/>
      <c r="F278" s="537"/>
      <c r="G278" s="537"/>
      <c r="H278" s="537"/>
      <c r="I278" s="537"/>
      <c r="J278" s="537"/>
      <c r="K278" s="537"/>
      <c r="L278" s="537"/>
      <c r="M278" s="537"/>
      <c r="N278" s="537"/>
      <c r="O278" s="537"/>
      <c r="P278" s="537"/>
      <c r="Q278" s="537"/>
      <c r="R278" s="537"/>
      <c r="S278" s="537"/>
      <c r="T278" s="537"/>
      <c r="U278" s="537"/>
      <c r="V278" s="537"/>
      <c r="W278" s="537"/>
      <c r="X278" s="537"/>
      <c r="Y278" s="537"/>
      <c r="Z278" s="537"/>
    </row>
    <row r="279">
      <c r="A279" s="537"/>
      <c r="B279" s="537"/>
      <c r="C279" s="538"/>
      <c r="D279" s="537"/>
      <c r="E279" s="537"/>
      <c r="F279" s="537"/>
      <c r="G279" s="537"/>
      <c r="H279" s="537"/>
      <c r="I279" s="537"/>
      <c r="J279" s="537"/>
      <c r="K279" s="537"/>
      <c r="L279" s="537"/>
      <c r="M279" s="537"/>
      <c r="N279" s="537"/>
      <c r="O279" s="537"/>
      <c r="P279" s="537"/>
      <c r="Q279" s="537"/>
      <c r="R279" s="537"/>
      <c r="S279" s="537"/>
      <c r="T279" s="537"/>
      <c r="U279" s="537"/>
      <c r="V279" s="537"/>
      <c r="W279" s="537"/>
      <c r="X279" s="537"/>
      <c r="Y279" s="537"/>
      <c r="Z279" s="537"/>
    </row>
    <row r="280">
      <c r="A280" s="537"/>
      <c r="B280" s="537"/>
      <c r="C280" s="538"/>
      <c r="D280" s="537"/>
      <c r="E280" s="537"/>
      <c r="F280" s="537"/>
      <c r="G280" s="537"/>
      <c r="H280" s="537"/>
      <c r="I280" s="537"/>
      <c r="J280" s="537"/>
      <c r="K280" s="537"/>
      <c r="L280" s="537"/>
      <c r="M280" s="537"/>
      <c r="N280" s="537"/>
      <c r="O280" s="537"/>
      <c r="P280" s="537"/>
      <c r="Q280" s="537"/>
      <c r="R280" s="537"/>
      <c r="S280" s="537"/>
      <c r="T280" s="537"/>
      <c r="U280" s="537"/>
      <c r="V280" s="537"/>
      <c r="W280" s="537"/>
      <c r="X280" s="537"/>
      <c r="Y280" s="537"/>
      <c r="Z280" s="537"/>
    </row>
    <row r="281">
      <c r="A281" s="537"/>
      <c r="B281" s="537"/>
      <c r="C281" s="538"/>
      <c r="D281" s="537"/>
      <c r="E281" s="537"/>
      <c r="F281" s="537"/>
      <c r="G281" s="537"/>
      <c r="H281" s="537"/>
      <c r="I281" s="537"/>
      <c r="J281" s="537"/>
      <c r="K281" s="537"/>
      <c r="L281" s="537"/>
      <c r="M281" s="537"/>
      <c r="N281" s="537"/>
      <c r="O281" s="537"/>
      <c r="P281" s="537"/>
      <c r="Q281" s="537"/>
      <c r="R281" s="537"/>
      <c r="S281" s="537"/>
      <c r="T281" s="537"/>
      <c r="U281" s="537"/>
      <c r="V281" s="537"/>
      <c r="W281" s="537"/>
      <c r="X281" s="537"/>
      <c r="Y281" s="537"/>
      <c r="Z281" s="537"/>
    </row>
    <row r="282">
      <c r="A282" s="537"/>
      <c r="B282" s="537"/>
      <c r="C282" s="538"/>
      <c r="D282" s="537"/>
      <c r="E282" s="537"/>
      <c r="F282" s="537"/>
      <c r="G282" s="537"/>
      <c r="H282" s="537"/>
      <c r="I282" s="537"/>
      <c r="J282" s="537"/>
      <c r="K282" s="537"/>
      <c r="L282" s="537"/>
      <c r="M282" s="537"/>
      <c r="N282" s="537"/>
      <c r="O282" s="537"/>
      <c r="P282" s="537"/>
      <c r="Q282" s="537"/>
      <c r="R282" s="537"/>
      <c r="S282" s="537"/>
      <c r="T282" s="537"/>
      <c r="U282" s="537"/>
      <c r="V282" s="537"/>
      <c r="W282" s="537"/>
      <c r="X282" s="537"/>
      <c r="Y282" s="537"/>
      <c r="Z282" s="537"/>
    </row>
    <row r="283">
      <c r="A283" s="537"/>
      <c r="B283" s="537"/>
      <c r="C283" s="538"/>
      <c r="D283" s="537"/>
      <c r="E283" s="537"/>
      <c r="F283" s="537"/>
      <c r="G283" s="537"/>
      <c r="H283" s="537"/>
      <c r="I283" s="537"/>
      <c r="J283" s="537"/>
      <c r="K283" s="537"/>
      <c r="L283" s="537"/>
      <c r="M283" s="537"/>
      <c r="N283" s="537"/>
      <c r="O283" s="537"/>
      <c r="P283" s="537"/>
      <c r="Q283" s="537"/>
      <c r="R283" s="537"/>
      <c r="S283" s="537"/>
      <c r="T283" s="537"/>
      <c r="U283" s="537"/>
      <c r="V283" s="537"/>
      <c r="W283" s="537"/>
      <c r="X283" s="537"/>
      <c r="Y283" s="537"/>
      <c r="Z283" s="537"/>
    </row>
    <row r="284">
      <c r="A284" s="537"/>
      <c r="B284" s="537"/>
      <c r="C284" s="538"/>
      <c r="D284" s="537"/>
      <c r="E284" s="537"/>
      <c r="F284" s="537"/>
      <c r="G284" s="537"/>
      <c r="H284" s="537"/>
      <c r="I284" s="537"/>
      <c r="J284" s="537"/>
      <c r="K284" s="537"/>
      <c r="L284" s="537"/>
      <c r="M284" s="537"/>
      <c r="N284" s="537"/>
      <c r="O284" s="537"/>
      <c r="P284" s="537"/>
      <c r="Q284" s="537"/>
      <c r="R284" s="537"/>
      <c r="S284" s="537"/>
      <c r="T284" s="537"/>
      <c r="U284" s="537"/>
      <c r="V284" s="537"/>
      <c r="W284" s="537"/>
      <c r="X284" s="537"/>
      <c r="Y284" s="537"/>
      <c r="Z284" s="537"/>
    </row>
    <row r="285">
      <c r="A285" s="537"/>
      <c r="B285" s="537"/>
      <c r="C285" s="538"/>
      <c r="D285" s="537"/>
      <c r="E285" s="537"/>
      <c r="F285" s="537"/>
      <c r="G285" s="537"/>
      <c r="H285" s="537"/>
      <c r="I285" s="537"/>
      <c r="J285" s="537"/>
      <c r="K285" s="537"/>
      <c r="L285" s="537"/>
      <c r="M285" s="537"/>
      <c r="N285" s="537"/>
      <c r="O285" s="537"/>
      <c r="P285" s="537"/>
      <c r="Q285" s="537"/>
      <c r="R285" s="537"/>
      <c r="S285" s="537"/>
      <c r="T285" s="537"/>
      <c r="U285" s="537"/>
      <c r="V285" s="537"/>
      <c r="W285" s="537"/>
      <c r="X285" s="537"/>
      <c r="Y285" s="537"/>
      <c r="Z285" s="537"/>
    </row>
    <row r="286">
      <c r="A286" s="537"/>
      <c r="B286" s="537"/>
      <c r="C286" s="538"/>
      <c r="D286" s="537"/>
      <c r="E286" s="537"/>
      <c r="F286" s="537"/>
      <c r="G286" s="537"/>
      <c r="H286" s="537"/>
      <c r="I286" s="537"/>
      <c r="J286" s="537"/>
      <c r="K286" s="537"/>
      <c r="L286" s="537"/>
      <c r="M286" s="537"/>
      <c r="N286" s="537"/>
      <c r="O286" s="537"/>
      <c r="P286" s="537"/>
      <c r="Q286" s="537"/>
      <c r="R286" s="537"/>
      <c r="S286" s="537"/>
      <c r="T286" s="537"/>
      <c r="U286" s="537"/>
      <c r="V286" s="537"/>
      <c r="W286" s="537"/>
      <c r="X286" s="537"/>
      <c r="Y286" s="537"/>
      <c r="Z286" s="537"/>
    </row>
    <row r="287">
      <c r="A287" s="537"/>
      <c r="B287" s="537"/>
      <c r="C287" s="538"/>
      <c r="D287" s="537"/>
      <c r="E287" s="537"/>
      <c r="F287" s="537"/>
      <c r="G287" s="537"/>
      <c r="H287" s="537"/>
      <c r="I287" s="537"/>
      <c r="J287" s="537"/>
      <c r="K287" s="537"/>
      <c r="L287" s="537"/>
      <c r="M287" s="537"/>
      <c r="N287" s="537"/>
      <c r="O287" s="537"/>
      <c r="P287" s="537"/>
      <c r="Q287" s="537"/>
      <c r="R287" s="537"/>
      <c r="S287" s="537"/>
      <c r="T287" s="537"/>
      <c r="U287" s="537"/>
      <c r="V287" s="537"/>
      <c r="W287" s="537"/>
      <c r="X287" s="537"/>
      <c r="Y287" s="537"/>
      <c r="Z287" s="537"/>
    </row>
    <row r="288">
      <c r="A288" s="537"/>
      <c r="B288" s="537"/>
      <c r="C288" s="538"/>
      <c r="D288" s="537"/>
      <c r="E288" s="537"/>
      <c r="F288" s="537"/>
      <c r="G288" s="537"/>
      <c r="H288" s="537"/>
      <c r="I288" s="537"/>
      <c r="J288" s="537"/>
      <c r="K288" s="537"/>
      <c r="L288" s="537"/>
      <c r="M288" s="537"/>
      <c r="N288" s="537"/>
      <c r="O288" s="537"/>
      <c r="P288" s="537"/>
      <c r="Q288" s="537"/>
      <c r="R288" s="537"/>
      <c r="S288" s="537"/>
      <c r="T288" s="537"/>
      <c r="U288" s="537"/>
      <c r="V288" s="537"/>
      <c r="W288" s="537"/>
      <c r="X288" s="537"/>
      <c r="Y288" s="537"/>
      <c r="Z288" s="537"/>
    </row>
    <row r="289">
      <c r="A289" s="537"/>
      <c r="B289" s="537"/>
      <c r="C289" s="538"/>
      <c r="D289" s="537"/>
      <c r="E289" s="537"/>
      <c r="F289" s="537"/>
      <c r="G289" s="537"/>
      <c r="H289" s="537"/>
      <c r="I289" s="537"/>
      <c r="J289" s="537"/>
      <c r="K289" s="537"/>
      <c r="L289" s="537"/>
      <c r="M289" s="537"/>
      <c r="N289" s="537"/>
      <c r="O289" s="537"/>
      <c r="P289" s="537"/>
      <c r="Q289" s="537"/>
      <c r="R289" s="537"/>
      <c r="S289" s="537"/>
      <c r="T289" s="537"/>
      <c r="U289" s="537"/>
      <c r="V289" s="537"/>
      <c r="W289" s="537"/>
      <c r="X289" s="537"/>
      <c r="Y289" s="537"/>
      <c r="Z289" s="537"/>
    </row>
    <row r="290">
      <c r="A290" s="537"/>
      <c r="B290" s="537"/>
      <c r="C290" s="538"/>
      <c r="D290" s="537"/>
      <c r="E290" s="537"/>
      <c r="F290" s="537"/>
      <c r="G290" s="537"/>
      <c r="H290" s="537"/>
      <c r="I290" s="537"/>
      <c r="J290" s="537"/>
      <c r="K290" s="537"/>
      <c r="L290" s="537"/>
      <c r="M290" s="537"/>
      <c r="N290" s="537"/>
      <c r="O290" s="537"/>
      <c r="P290" s="537"/>
      <c r="Q290" s="537"/>
      <c r="R290" s="537"/>
      <c r="S290" s="537"/>
      <c r="T290" s="537"/>
      <c r="U290" s="537"/>
      <c r="V290" s="537"/>
      <c r="W290" s="537"/>
      <c r="X290" s="537"/>
      <c r="Y290" s="537"/>
      <c r="Z290" s="537"/>
    </row>
    <row r="291">
      <c r="A291" s="537"/>
      <c r="B291" s="537"/>
      <c r="C291" s="538"/>
      <c r="D291" s="537"/>
      <c r="E291" s="537"/>
      <c r="F291" s="537"/>
      <c r="G291" s="537"/>
      <c r="H291" s="537"/>
      <c r="I291" s="537"/>
      <c r="J291" s="537"/>
      <c r="K291" s="537"/>
      <c r="L291" s="537"/>
      <c r="M291" s="537"/>
      <c r="N291" s="537"/>
      <c r="O291" s="537"/>
      <c r="P291" s="537"/>
      <c r="Q291" s="537"/>
      <c r="R291" s="537"/>
      <c r="S291" s="537"/>
      <c r="T291" s="537"/>
      <c r="U291" s="537"/>
      <c r="V291" s="537"/>
      <c r="W291" s="537"/>
      <c r="X291" s="537"/>
      <c r="Y291" s="537"/>
      <c r="Z291" s="537"/>
    </row>
    <row r="292">
      <c r="A292" s="537"/>
      <c r="B292" s="537"/>
      <c r="C292" s="538"/>
      <c r="D292" s="537"/>
      <c r="E292" s="537"/>
      <c r="F292" s="537"/>
      <c r="G292" s="537"/>
      <c r="H292" s="537"/>
      <c r="I292" s="537"/>
      <c r="J292" s="537"/>
      <c r="K292" s="537"/>
      <c r="L292" s="537"/>
      <c r="M292" s="537"/>
      <c r="N292" s="537"/>
      <c r="O292" s="537"/>
      <c r="P292" s="537"/>
      <c r="Q292" s="537"/>
      <c r="R292" s="537"/>
      <c r="S292" s="537"/>
      <c r="T292" s="537"/>
      <c r="U292" s="537"/>
      <c r="V292" s="537"/>
      <c r="W292" s="537"/>
      <c r="X292" s="537"/>
      <c r="Y292" s="537"/>
      <c r="Z292" s="537"/>
    </row>
    <row r="293">
      <c r="A293" s="537"/>
      <c r="B293" s="537"/>
      <c r="C293" s="538"/>
      <c r="D293" s="537"/>
      <c r="E293" s="537"/>
      <c r="F293" s="537"/>
      <c r="G293" s="537"/>
      <c r="H293" s="537"/>
      <c r="I293" s="537"/>
      <c r="J293" s="537"/>
      <c r="K293" s="537"/>
      <c r="L293" s="537"/>
      <c r="M293" s="537"/>
      <c r="N293" s="537"/>
      <c r="O293" s="537"/>
      <c r="P293" s="537"/>
      <c r="Q293" s="537"/>
      <c r="R293" s="537"/>
      <c r="S293" s="537"/>
      <c r="T293" s="537"/>
      <c r="U293" s="537"/>
      <c r="V293" s="537"/>
      <c r="W293" s="537"/>
      <c r="X293" s="537"/>
      <c r="Y293" s="537"/>
      <c r="Z293" s="537"/>
    </row>
    <row r="294">
      <c r="A294" s="537"/>
      <c r="B294" s="537"/>
      <c r="C294" s="538"/>
      <c r="D294" s="537"/>
      <c r="E294" s="537"/>
      <c r="F294" s="537"/>
      <c r="G294" s="537"/>
      <c r="H294" s="537"/>
      <c r="I294" s="537"/>
      <c r="J294" s="537"/>
      <c r="K294" s="537"/>
      <c r="L294" s="537"/>
      <c r="M294" s="537"/>
      <c r="N294" s="537"/>
      <c r="O294" s="537"/>
      <c r="P294" s="537"/>
      <c r="Q294" s="537"/>
      <c r="R294" s="537"/>
      <c r="S294" s="537"/>
      <c r="T294" s="537"/>
      <c r="U294" s="537"/>
      <c r="V294" s="537"/>
      <c r="W294" s="537"/>
      <c r="X294" s="537"/>
      <c r="Y294" s="537"/>
      <c r="Z294" s="537"/>
    </row>
    <row r="295">
      <c r="A295" s="537"/>
      <c r="B295" s="537"/>
      <c r="C295" s="538"/>
      <c r="D295" s="537"/>
      <c r="E295" s="537"/>
      <c r="F295" s="537"/>
      <c r="G295" s="537"/>
      <c r="H295" s="537"/>
      <c r="I295" s="537"/>
      <c r="J295" s="537"/>
      <c r="K295" s="537"/>
      <c r="L295" s="537"/>
      <c r="M295" s="537"/>
      <c r="N295" s="537"/>
      <c r="O295" s="537"/>
      <c r="P295" s="537"/>
      <c r="Q295" s="537"/>
      <c r="R295" s="537"/>
      <c r="S295" s="537"/>
      <c r="T295" s="537"/>
      <c r="U295" s="537"/>
      <c r="V295" s="537"/>
      <c r="W295" s="537"/>
      <c r="X295" s="537"/>
      <c r="Y295" s="537"/>
      <c r="Z295" s="537"/>
    </row>
    <row r="296">
      <c r="A296" s="537"/>
      <c r="B296" s="537"/>
      <c r="C296" s="538"/>
      <c r="D296" s="537"/>
      <c r="E296" s="537"/>
      <c r="F296" s="537"/>
      <c r="G296" s="537"/>
      <c r="H296" s="537"/>
      <c r="I296" s="537"/>
      <c r="J296" s="537"/>
      <c r="K296" s="537"/>
      <c r="L296" s="537"/>
      <c r="M296" s="537"/>
      <c r="N296" s="537"/>
      <c r="O296" s="537"/>
      <c r="P296" s="537"/>
      <c r="Q296" s="537"/>
      <c r="R296" s="537"/>
      <c r="S296" s="537"/>
      <c r="T296" s="537"/>
      <c r="U296" s="537"/>
      <c r="V296" s="537"/>
      <c r="W296" s="537"/>
      <c r="X296" s="537"/>
      <c r="Y296" s="537"/>
      <c r="Z296" s="537"/>
    </row>
    <row r="297">
      <c r="A297" s="537"/>
      <c r="B297" s="537"/>
      <c r="C297" s="538"/>
      <c r="D297" s="537"/>
      <c r="E297" s="537"/>
      <c r="F297" s="537"/>
      <c r="G297" s="537"/>
      <c r="H297" s="537"/>
      <c r="I297" s="537"/>
      <c r="J297" s="537"/>
      <c r="K297" s="537"/>
      <c r="L297" s="537"/>
      <c r="M297" s="537"/>
      <c r="N297" s="537"/>
      <c r="O297" s="537"/>
      <c r="P297" s="537"/>
      <c r="Q297" s="537"/>
      <c r="R297" s="537"/>
      <c r="S297" s="537"/>
      <c r="T297" s="537"/>
      <c r="U297" s="537"/>
      <c r="V297" s="537"/>
      <c r="W297" s="537"/>
      <c r="X297" s="537"/>
      <c r="Y297" s="537"/>
      <c r="Z297" s="537"/>
    </row>
    <row r="298">
      <c r="A298" s="537"/>
      <c r="B298" s="537"/>
      <c r="C298" s="538"/>
      <c r="D298" s="537"/>
      <c r="E298" s="537"/>
      <c r="F298" s="537"/>
      <c r="G298" s="537"/>
      <c r="H298" s="537"/>
      <c r="I298" s="537"/>
      <c r="J298" s="537"/>
      <c r="K298" s="537"/>
      <c r="L298" s="537"/>
      <c r="M298" s="537"/>
      <c r="N298" s="537"/>
      <c r="O298" s="537"/>
      <c r="P298" s="537"/>
      <c r="Q298" s="537"/>
      <c r="R298" s="537"/>
      <c r="S298" s="537"/>
      <c r="T298" s="537"/>
      <c r="U298" s="537"/>
      <c r="V298" s="537"/>
      <c r="W298" s="537"/>
      <c r="X298" s="537"/>
      <c r="Y298" s="537"/>
      <c r="Z298" s="537"/>
    </row>
    <row r="299">
      <c r="A299" s="537"/>
      <c r="B299" s="537"/>
      <c r="C299" s="538"/>
      <c r="D299" s="537"/>
      <c r="E299" s="537"/>
      <c r="F299" s="537"/>
      <c r="G299" s="537"/>
      <c r="H299" s="537"/>
      <c r="I299" s="537"/>
      <c r="J299" s="537"/>
      <c r="K299" s="537"/>
      <c r="L299" s="537"/>
      <c r="M299" s="537"/>
      <c r="N299" s="537"/>
      <c r="O299" s="537"/>
      <c r="P299" s="537"/>
      <c r="Q299" s="537"/>
      <c r="R299" s="537"/>
      <c r="S299" s="537"/>
      <c r="T299" s="537"/>
      <c r="U299" s="537"/>
      <c r="V299" s="537"/>
      <c r="W299" s="537"/>
      <c r="X299" s="537"/>
      <c r="Y299" s="537"/>
      <c r="Z299" s="537"/>
    </row>
    <row r="300">
      <c r="A300" s="537"/>
      <c r="B300" s="537"/>
      <c r="C300" s="538"/>
      <c r="D300" s="537"/>
      <c r="E300" s="537"/>
      <c r="F300" s="537"/>
      <c r="G300" s="537"/>
      <c r="H300" s="537"/>
      <c r="I300" s="537"/>
      <c r="J300" s="537"/>
      <c r="K300" s="537"/>
      <c r="L300" s="537"/>
      <c r="M300" s="537"/>
      <c r="N300" s="537"/>
      <c r="O300" s="537"/>
      <c r="P300" s="537"/>
      <c r="Q300" s="537"/>
      <c r="R300" s="537"/>
      <c r="S300" s="537"/>
      <c r="T300" s="537"/>
      <c r="U300" s="537"/>
      <c r="V300" s="537"/>
      <c r="W300" s="537"/>
      <c r="X300" s="537"/>
      <c r="Y300" s="537"/>
      <c r="Z300" s="537"/>
    </row>
    <row r="301">
      <c r="A301" s="537"/>
      <c r="B301" s="537"/>
      <c r="C301" s="538"/>
      <c r="D301" s="537"/>
      <c r="E301" s="537"/>
      <c r="F301" s="537"/>
      <c r="G301" s="537"/>
      <c r="H301" s="537"/>
      <c r="I301" s="537"/>
      <c r="J301" s="537"/>
      <c r="K301" s="537"/>
      <c r="L301" s="537"/>
      <c r="M301" s="537"/>
      <c r="N301" s="537"/>
      <c r="O301" s="537"/>
      <c r="P301" s="537"/>
      <c r="Q301" s="537"/>
      <c r="R301" s="537"/>
      <c r="S301" s="537"/>
      <c r="T301" s="537"/>
      <c r="U301" s="537"/>
      <c r="V301" s="537"/>
      <c r="W301" s="537"/>
      <c r="X301" s="537"/>
      <c r="Y301" s="537"/>
      <c r="Z301" s="537"/>
    </row>
    <row r="302">
      <c r="A302" s="537"/>
      <c r="B302" s="537"/>
      <c r="C302" s="538"/>
      <c r="D302" s="537"/>
      <c r="E302" s="537"/>
      <c r="F302" s="537"/>
      <c r="G302" s="537"/>
      <c r="H302" s="537"/>
      <c r="I302" s="537"/>
      <c r="J302" s="537"/>
      <c r="K302" s="537"/>
      <c r="L302" s="537"/>
      <c r="M302" s="537"/>
      <c r="N302" s="537"/>
      <c r="O302" s="537"/>
      <c r="P302" s="537"/>
      <c r="Q302" s="537"/>
      <c r="R302" s="537"/>
      <c r="S302" s="537"/>
      <c r="T302" s="537"/>
      <c r="U302" s="537"/>
      <c r="V302" s="537"/>
      <c r="W302" s="537"/>
      <c r="X302" s="537"/>
      <c r="Y302" s="537"/>
      <c r="Z302" s="537"/>
    </row>
    <row r="303">
      <c r="A303" s="537"/>
      <c r="B303" s="537"/>
      <c r="C303" s="538"/>
      <c r="D303" s="537"/>
      <c r="E303" s="537"/>
      <c r="F303" s="537"/>
      <c r="G303" s="537"/>
      <c r="H303" s="537"/>
      <c r="I303" s="537"/>
      <c r="J303" s="537"/>
      <c r="K303" s="537"/>
      <c r="L303" s="537"/>
      <c r="M303" s="537"/>
      <c r="N303" s="537"/>
      <c r="O303" s="537"/>
      <c r="P303" s="537"/>
      <c r="Q303" s="537"/>
      <c r="R303" s="537"/>
      <c r="S303" s="537"/>
      <c r="T303" s="537"/>
      <c r="U303" s="537"/>
      <c r="V303" s="537"/>
      <c r="W303" s="537"/>
      <c r="X303" s="537"/>
      <c r="Y303" s="537"/>
      <c r="Z303" s="537"/>
    </row>
    <row r="304">
      <c r="A304" s="537"/>
      <c r="B304" s="537"/>
      <c r="C304" s="538"/>
      <c r="D304" s="537"/>
      <c r="E304" s="537"/>
      <c r="F304" s="537"/>
      <c r="G304" s="537"/>
      <c r="H304" s="537"/>
      <c r="I304" s="537"/>
      <c r="J304" s="537"/>
      <c r="K304" s="537"/>
      <c r="L304" s="537"/>
      <c r="M304" s="537"/>
      <c r="N304" s="537"/>
      <c r="O304" s="537"/>
      <c r="P304" s="537"/>
      <c r="Q304" s="537"/>
      <c r="R304" s="537"/>
      <c r="S304" s="537"/>
      <c r="T304" s="537"/>
      <c r="U304" s="537"/>
      <c r="V304" s="537"/>
      <c r="W304" s="537"/>
      <c r="X304" s="537"/>
      <c r="Y304" s="537"/>
      <c r="Z304" s="537"/>
    </row>
    <row r="305">
      <c r="A305" s="537"/>
      <c r="B305" s="537"/>
      <c r="C305" s="538"/>
      <c r="D305" s="537"/>
      <c r="E305" s="537"/>
      <c r="F305" s="537"/>
      <c r="G305" s="537"/>
      <c r="H305" s="537"/>
      <c r="I305" s="537"/>
      <c r="J305" s="537"/>
      <c r="K305" s="537"/>
      <c r="L305" s="537"/>
      <c r="M305" s="537"/>
      <c r="N305" s="537"/>
      <c r="O305" s="537"/>
      <c r="P305" s="537"/>
      <c r="Q305" s="537"/>
      <c r="R305" s="537"/>
      <c r="S305" s="537"/>
      <c r="T305" s="537"/>
      <c r="U305" s="537"/>
      <c r="V305" s="537"/>
      <c r="W305" s="537"/>
      <c r="X305" s="537"/>
      <c r="Y305" s="537"/>
      <c r="Z305" s="537"/>
    </row>
    <row r="306">
      <c r="A306" s="537"/>
      <c r="B306" s="537"/>
      <c r="C306" s="538"/>
      <c r="D306" s="537"/>
      <c r="E306" s="537"/>
      <c r="F306" s="537"/>
      <c r="G306" s="537"/>
      <c r="H306" s="537"/>
      <c r="I306" s="537"/>
      <c r="J306" s="537"/>
      <c r="K306" s="537"/>
      <c r="L306" s="537"/>
      <c r="M306" s="537"/>
      <c r="N306" s="537"/>
      <c r="O306" s="537"/>
      <c r="P306" s="537"/>
      <c r="Q306" s="537"/>
      <c r="R306" s="537"/>
      <c r="S306" s="537"/>
      <c r="T306" s="537"/>
      <c r="U306" s="537"/>
      <c r="V306" s="537"/>
      <c r="W306" s="537"/>
      <c r="X306" s="537"/>
      <c r="Y306" s="537"/>
      <c r="Z306" s="537"/>
    </row>
    <row r="307">
      <c r="A307" s="537"/>
      <c r="B307" s="537"/>
      <c r="C307" s="538"/>
      <c r="D307" s="537"/>
      <c r="E307" s="537"/>
      <c r="F307" s="537"/>
      <c r="G307" s="537"/>
      <c r="H307" s="537"/>
      <c r="I307" s="537"/>
      <c r="J307" s="537"/>
      <c r="K307" s="537"/>
      <c r="L307" s="537"/>
      <c r="M307" s="537"/>
      <c r="N307" s="537"/>
      <c r="O307" s="537"/>
      <c r="P307" s="537"/>
      <c r="Q307" s="537"/>
      <c r="R307" s="537"/>
      <c r="S307" s="537"/>
      <c r="T307" s="537"/>
      <c r="U307" s="537"/>
      <c r="V307" s="537"/>
      <c r="W307" s="537"/>
      <c r="X307" s="537"/>
      <c r="Y307" s="537"/>
      <c r="Z307" s="537"/>
    </row>
    <row r="308">
      <c r="A308" s="537"/>
      <c r="B308" s="537"/>
      <c r="C308" s="538"/>
      <c r="D308" s="537"/>
      <c r="E308" s="537"/>
      <c r="F308" s="537"/>
      <c r="G308" s="537"/>
      <c r="H308" s="537"/>
      <c r="I308" s="537"/>
      <c r="J308" s="537"/>
      <c r="K308" s="537"/>
      <c r="L308" s="537"/>
      <c r="M308" s="537"/>
      <c r="N308" s="537"/>
      <c r="O308" s="537"/>
      <c r="P308" s="537"/>
      <c r="Q308" s="537"/>
      <c r="R308" s="537"/>
      <c r="S308" s="537"/>
      <c r="T308" s="537"/>
      <c r="U308" s="537"/>
      <c r="V308" s="537"/>
      <c r="W308" s="537"/>
      <c r="X308" s="537"/>
      <c r="Y308" s="537"/>
      <c r="Z308" s="537"/>
    </row>
    <row r="309">
      <c r="A309" s="537"/>
      <c r="B309" s="537"/>
      <c r="C309" s="538"/>
      <c r="D309" s="537"/>
      <c r="E309" s="537"/>
      <c r="F309" s="537"/>
      <c r="G309" s="537"/>
      <c r="H309" s="537"/>
      <c r="I309" s="537"/>
      <c r="J309" s="537"/>
      <c r="K309" s="537"/>
      <c r="L309" s="537"/>
      <c r="M309" s="537"/>
      <c r="N309" s="537"/>
      <c r="O309" s="537"/>
      <c r="P309" s="537"/>
      <c r="Q309" s="537"/>
      <c r="R309" s="537"/>
      <c r="S309" s="537"/>
      <c r="T309" s="537"/>
      <c r="U309" s="537"/>
      <c r="V309" s="537"/>
      <c r="W309" s="537"/>
      <c r="X309" s="537"/>
      <c r="Y309" s="537"/>
      <c r="Z309" s="537"/>
    </row>
    <row r="310">
      <c r="A310" s="537"/>
      <c r="B310" s="537"/>
      <c r="C310" s="538"/>
      <c r="D310" s="537"/>
      <c r="E310" s="537"/>
      <c r="F310" s="537"/>
      <c r="G310" s="537"/>
      <c r="H310" s="537"/>
      <c r="I310" s="537"/>
      <c r="J310" s="537"/>
      <c r="K310" s="537"/>
      <c r="L310" s="537"/>
      <c r="M310" s="537"/>
      <c r="N310" s="537"/>
      <c r="O310" s="537"/>
      <c r="P310" s="537"/>
      <c r="Q310" s="537"/>
      <c r="R310" s="537"/>
      <c r="S310" s="537"/>
      <c r="T310" s="537"/>
      <c r="U310" s="537"/>
      <c r="V310" s="537"/>
      <c r="W310" s="537"/>
      <c r="X310" s="537"/>
      <c r="Y310" s="537"/>
      <c r="Z310" s="537"/>
    </row>
    <row r="311">
      <c r="A311" s="537"/>
      <c r="B311" s="537"/>
      <c r="C311" s="538"/>
      <c r="D311" s="537"/>
      <c r="E311" s="537"/>
      <c r="F311" s="537"/>
      <c r="G311" s="537"/>
      <c r="H311" s="537"/>
      <c r="I311" s="537"/>
      <c r="J311" s="537"/>
      <c r="K311" s="537"/>
      <c r="L311" s="537"/>
      <c r="M311" s="537"/>
      <c r="N311" s="537"/>
      <c r="O311" s="537"/>
      <c r="P311" s="537"/>
      <c r="Q311" s="537"/>
      <c r="R311" s="537"/>
      <c r="S311" s="537"/>
      <c r="T311" s="537"/>
      <c r="U311" s="537"/>
      <c r="V311" s="537"/>
      <c r="W311" s="537"/>
      <c r="X311" s="537"/>
      <c r="Y311" s="537"/>
      <c r="Z311" s="537"/>
    </row>
    <row r="312">
      <c r="A312" s="537"/>
      <c r="B312" s="537"/>
      <c r="C312" s="538"/>
      <c r="D312" s="537"/>
      <c r="E312" s="537"/>
      <c r="F312" s="537"/>
      <c r="G312" s="537"/>
      <c r="H312" s="537"/>
      <c r="I312" s="537"/>
      <c r="J312" s="537"/>
      <c r="K312" s="537"/>
      <c r="L312" s="537"/>
      <c r="M312" s="537"/>
      <c r="N312" s="537"/>
      <c r="O312" s="537"/>
      <c r="P312" s="537"/>
      <c r="Q312" s="537"/>
      <c r="R312" s="537"/>
      <c r="S312" s="537"/>
      <c r="T312" s="537"/>
      <c r="U312" s="537"/>
      <c r="V312" s="537"/>
      <c r="W312" s="537"/>
      <c r="X312" s="537"/>
      <c r="Y312" s="537"/>
      <c r="Z312" s="537"/>
    </row>
    <row r="313">
      <c r="A313" s="537"/>
      <c r="B313" s="537"/>
      <c r="C313" s="538"/>
      <c r="D313" s="537"/>
      <c r="E313" s="537"/>
      <c r="F313" s="537"/>
      <c r="G313" s="537"/>
      <c r="H313" s="537"/>
      <c r="I313" s="537"/>
      <c r="J313" s="537"/>
      <c r="K313" s="537"/>
      <c r="L313" s="537"/>
      <c r="M313" s="537"/>
      <c r="N313" s="537"/>
      <c r="O313" s="537"/>
      <c r="P313" s="537"/>
      <c r="Q313" s="537"/>
      <c r="R313" s="537"/>
      <c r="S313" s="537"/>
      <c r="T313" s="537"/>
      <c r="U313" s="537"/>
      <c r="V313" s="537"/>
      <c r="W313" s="537"/>
      <c r="X313" s="537"/>
      <c r="Y313" s="537"/>
      <c r="Z313" s="537"/>
    </row>
    <row r="314">
      <c r="A314" s="537"/>
      <c r="B314" s="537"/>
      <c r="C314" s="538"/>
      <c r="D314" s="537"/>
      <c r="E314" s="537"/>
      <c r="F314" s="537"/>
      <c r="G314" s="537"/>
      <c r="H314" s="537"/>
      <c r="I314" s="537"/>
      <c r="J314" s="537"/>
      <c r="K314" s="537"/>
      <c r="L314" s="537"/>
      <c r="M314" s="537"/>
      <c r="N314" s="537"/>
      <c r="O314" s="537"/>
      <c r="P314" s="537"/>
      <c r="Q314" s="537"/>
      <c r="R314" s="537"/>
      <c r="S314" s="537"/>
      <c r="T314" s="537"/>
      <c r="U314" s="537"/>
      <c r="V314" s="537"/>
      <c r="W314" s="537"/>
      <c r="X314" s="537"/>
      <c r="Y314" s="537"/>
      <c r="Z314" s="537"/>
    </row>
    <row r="315">
      <c r="A315" s="537"/>
      <c r="B315" s="537"/>
      <c r="C315" s="538"/>
      <c r="D315" s="537"/>
      <c r="E315" s="537"/>
      <c r="F315" s="537"/>
      <c r="G315" s="537"/>
      <c r="H315" s="537"/>
      <c r="I315" s="537"/>
      <c r="J315" s="537"/>
      <c r="K315" s="537"/>
      <c r="L315" s="537"/>
      <c r="M315" s="537"/>
      <c r="N315" s="537"/>
      <c r="O315" s="537"/>
      <c r="P315" s="537"/>
      <c r="Q315" s="537"/>
      <c r="R315" s="537"/>
      <c r="S315" s="537"/>
      <c r="T315" s="537"/>
      <c r="U315" s="537"/>
      <c r="V315" s="537"/>
      <c r="W315" s="537"/>
      <c r="X315" s="537"/>
      <c r="Y315" s="537"/>
      <c r="Z315" s="537"/>
    </row>
    <row r="316">
      <c r="A316" s="537"/>
      <c r="B316" s="537"/>
      <c r="C316" s="538"/>
      <c r="D316" s="537"/>
      <c r="E316" s="537"/>
      <c r="F316" s="537"/>
      <c r="G316" s="537"/>
      <c r="H316" s="537"/>
      <c r="I316" s="537"/>
      <c r="J316" s="537"/>
      <c r="K316" s="537"/>
      <c r="L316" s="537"/>
      <c r="M316" s="537"/>
      <c r="N316" s="537"/>
      <c r="O316" s="537"/>
      <c r="P316" s="537"/>
      <c r="Q316" s="537"/>
      <c r="R316" s="537"/>
      <c r="S316" s="537"/>
      <c r="T316" s="537"/>
      <c r="U316" s="537"/>
      <c r="V316" s="537"/>
      <c r="W316" s="537"/>
      <c r="X316" s="537"/>
      <c r="Y316" s="537"/>
      <c r="Z316" s="537"/>
    </row>
    <row r="317">
      <c r="A317" s="537"/>
      <c r="B317" s="537"/>
      <c r="C317" s="538"/>
      <c r="D317" s="537"/>
      <c r="E317" s="537"/>
      <c r="F317" s="537"/>
      <c r="G317" s="537"/>
      <c r="H317" s="537"/>
      <c r="I317" s="537"/>
      <c r="J317" s="537"/>
      <c r="K317" s="537"/>
      <c r="L317" s="537"/>
      <c r="M317" s="537"/>
      <c r="N317" s="537"/>
      <c r="O317" s="537"/>
      <c r="P317" s="537"/>
      <c r="Q317" s="537"/>
      <c r="R317" s="537"/>
      <c r="S317" s="537"/>
      <c r="T317" s="537"/>
      <c r="U317" s="537"/>
      <c r="V317" s="537"/>
      <c r="W317" s="537"/>
      <c r="X317" s="537"/>
      <c r="Y317" s="537"/>
      <c r="Z317" s="537"/>
    </row>
    <row r="318">
      <c r="A318" s="537"/>
      <c r="B318" s="537"/>
      <c r="C318" s="538"/>
      <c r="D318" s="537"/>
      <c r="E318" s="537"/>
      <c r="F318" s="537"/>
      <c r="G318" s="537"/>
      <c r="H318" s="537"/>
      <c r="I318" s="537"/>
      <c r="J318" s="537"/>
      <c r="K318" s="537"/>
      <c r="L318" s="537"/>
      <c r="M318" s="537"/>
      <c r="N318" s="537"/>
      <c r="O318" s="537"/>
      <c r="P318" s="537"/>
      <c r="Q318" s="537"/>
      <c r="R318" s="537"/>
      <c r="S318" s="537"/>
      <c r="T318" s="537"/>
      <c r="U318" s="537"/>
      <c r="V318" s="537"/>
      <c r="W318" s="537"/>
      <c r="X318" s="537"/>
      <c r="Y318" s="537"/>
      <c r="Z318" s="537"/>
    </row>
    <row r="319">
      <c r="A319" s="537"/>
      <c r="B319" s="537"/>
      <c r="C319" s="538"/>
      <c r="D319" s="537"/>
      <c r="E319" s="537"/>
      <c r="F319" s="537"/>
      <c r="G319" s="537"/>
      <c r="H319" s="537"/>
      <c r="I319" s="537"/>
      <c r="J319" s="537"/>
      <c r="K319" s="537"/>
      <c r="L319" s="537"/>
      <c r="M319" s="537"/>
      <c r="N319" s="537"/>
      <c r="O319" s="537"/>
      <c r="P319" s="537"/>
      <c r="Q319" s="537"/>
      <c r="R319" s="537"/>
      <c r="S319" s="537"/>
      <c r="T319" s="537"/>
      <c r="U319" s="537"/>
      <c r="V319" s="537"/>
      <c r="W319" s="537"/>
      <c r="X319" s="537"/>
      <c r="Y319" s="537"/>
      <c r="Z319" s="537"/>
    </row>
    <row r="320">
      <c r="A320" s="537"/>
      <c r="B320" s="537"/>
      <c r="C320" s="538"/>
      <c r="D320" s="537"/>
      <c r="E320" s="537"/>
      <c r="F320" s="537"/>
      <c r="G320" s="537"/>
      <c r="H320" s="537"/>
      <c r="I320" s="537"/>
      <c r="J320" s="537"/>
      <c r="K320" s="537"/>
      <c r="L320" s="537"/>
      <c r="M320" s="537"/>
      <c r="N320" s="537"/>
      <c r="O320" s="537"/>
      <c r="P320" s="537"/>
      <c r="Q320" s="537"/>
      <c r="R320" s="537"/>
      <c r="S320" s="537"/>
      <c r="T320" s="537"/>
      <c r="U320" s="537"/>
      <c r="V320" s="537"/>
      <c r="W320" s="537"/>
      <c r="X320" s="537"/>
      <c r="Y320" s="537"/>
      <c r="Z320" s="537"/>
    </row>
    <row r="321">
      <c r="A321" s="537"/>
      <c r="B321" s="537"/>
      <c r="C321" s="538"/>
      <c r="D321" s="537"/>
      <c r="E321" s="537"/>
      <c r="F321" s="537"/>
      <c r="G321" s="537"/>
      <c r="H321" s="537"/>
      <c r="I321" s="537"/>
      <c r="J321" s="537"/>
      <c r="K321" s="537"/>
      <c r="L321" s="537"/>
      <c r="M321" s="537"/>
      <c r="N321" s="537"/>
      <c r="O321" s="537"/>
      <c r="P321" s="537"/>
      <c r="Q321" s="537"/>
      <c r="R321" s="537"/>
      <c r="S321" s="537"/>
      <c r="T321" s="537"/>
      <c r="U321" s="537"/>
      <c r="V321" s="537"/>
      <c r="W321" s="537"/>
      <c r="X321" s="537"/>
      <c r="Y321" s="537"/>
      <c r="Z321" s="537"/>
    </row>
    <row r="322">
      <c r="A322" s="537"/>
      <c r="B322" s="537"/>
      <c r="C322" s="538"/>
      <c r="D322" s="537"/>
      <c r="E322" s="537"/>
      <c r="F322" s="537"/>
      <c r="G322" s="537"/>
      <c r="H322" s="537"/>
      <c r="I322" s="537"/>
      <c r="J322" s="537"/>
      <c r="K322" s="537"/>
      <c r="L322" s="537"/>
      <c r="M322" s="537"/>
      <c r="N322" s="537"/>
      <c r="O322" s="537"/>
      <c r="P322" s="537"/>
      <c r="Q322" s="537"/>
      <c r="R322" s="537"/>
      <c r="S322" s="537"/>
      <c r="T322" s="537"/>
      <c r="U322" s="537"/>
      <c r="V322" s="537"/>
      <c r="W322" s="537"/>
      <c r="X322" s="537"/>
      <c r="Y322" s="537"/>
      <c r="Z322" s="537"/>
    </row>
    <row r="323">
      <c r="A323" s="537"/>
      <c r="B323" s="537"/>
      <c r="C323" s="538"/>
      <c r="D323" s="537"/>
      <c r="E323" s="537"/>
      <c r="F323" s="537"/>
      <c r="G323" s="537"/>
      <c r="H323" s="537"/>
      <c r="I323" s="537"/>
      <c r="J323" s="537"/>
      <c r="K323" s="537"/>
      <c r="L323" s="537"/>
      <c r="M323" s="537"/>
      <c r="N323" s="537"/>
      <c r="O323" s="537"/>
      <c r="P323" s="537"/>
      <c r="Q323" s="537"/>
      <c r="R323" s="537"/>
      <c r="S323" s="537"/>
      <c r="T323" s="537"/>
      <c r="U323" s="537"/>
      <c r="V323" s="537"/>
      <c r="W323" s="537"/>
      <c r="X323" s="537"/>
      <c r="Y323" s="537"/>
      <c r="Z323" s="537"/>
    </row>
    <row r="324">
      <c r="A324" s="537"/>
      <c r="B324" s="537"/>
      <c r="C324" s="538"/>
      <c r="D324" s="537"/>
      <c r="E324" s="537"/>
      <c r="F324" s="537"/>
      <c r="G324" s="537"/>
      <c r="H324" s="537"/>
      <c r="I324" s="537"/>
      <c r="J324" s="537"/>
      <c r="K324" s="537"/>
      <c r="L324" s="537"/>
      <c r="M324" s="537"/>
      <c r="N324" s="537"/>
      <c r="O324" s="537"/>
      <c r="P324" s="537"/>
      <c r="Q324" s="537"/>
      <c r="R324" s="537"/>
      <c r="S324" s="537"/>
      <c r="T324" s="537"/>
      <c r="U324" s="537"/>
      <c r="V324" s="537"/>
      <c r="W324" s="537"/>
      <c r="X324" s="537"/>
      <c r="Y324" s="537"/>
      <c r="Z324" s="537"/>
    </row>
    <row r="325">
      <c r="A325" s="537"/>
      <c r="B325" s="537"/>
      <c r="C325" s="538"/>
      <c r="D325" s="537"/>
      <c r="E325" s="537"/>
      <c r="F325" s="537"/>
      <c r="G325" s="537"/>
      <c r="H325" s="537"/>
      <c r="I325" s="537"/>
      <c r="J325" s="537"/>
      <c r="K325" s="537"/>
      <c r="L325" s="537"/>
      <c r="M325" s="537"/>
      <c r="N325" s="537"/>
      <c r="O325" s="537"/>
      <c r="P325" s="537"/>
      <c r="Q325" s="537"/>
      <c r="R325" s="537"/>
      <c r="S325" s="537"/>
      <c r="T325" s="537"/>
      <c r="U325" s="537"/>
      <c r="V325" s="537"/>
      <c r="W325" s="537"/>
      <c r="X325" s="537"/>
      <c r="Y325" s="537"/>
      <c r="Z325" s="537"/>
    </row>
    <row r="326">
      <c r="A326" s="537"/>
      <c r="B326" s="537"/>
      <c r="C326" s="538"/>
      <c r="D326" s="537"/>
      <c r="E326" s="537"/>
      <c r="F326" s="537"/>
      <c r="G326" s="537"/>
      <c r="H326" s="537"/>
      <c r="I326" s="537"/>
      <c r="J326" s="537"/>
      <c r="K326" s="537"/>
      <c r="L326" s="537"/>
      <c r="M326" s="537"/>
      <c r="N326" s="537"/>
      <c r="O326" s="537"/>
      <c r="P326" s="537"/>
      <c r="Q326" s="537"/>
      <c r="R326" s="537"/>
      <c r="S326" s="537"/>
      <c r="T326" s="537"/>
      <c r="U326" s="537"/>
      <c r="V326" s="537"/>
      <c r="W326" s="537"/>
      <c r="X326" s="537"/>
      <c r="Y326" s="537"/>
      <c r="Z326" s="537"/>
    </row>
    <row r="327">
      <c r="A327" s="537"/>
      <c r="B327" s="537"/>
      <c r="C327" s="538"/>
      <c r="D327" s="537"/>
      <c r="E327" s="537"/>
      <c r="F327" s="537"/>
      <c r="G327" s="537"/>
      <c r="H327" s="537"/>
      <c r="I327" s="537"/>
      <c r="J327" s="537"/>
      <c r="K327" s="537"/>
      <c r="L327" s="537"/>
      <c r="M327" s="537"/>
      <c r="N327" s="537"/>
      <c r="O327" s="537"/>
      <c r="P327" s="537"/>
      <c r="Q327" s="537"/>
      <c r="R327" s="537"/>
      <c r="S327" s="537"/>
      <c r="T327" s="537"/>
      <c r="U327" s="537"/>
      <c r="V327" s="537"/>
      <c r="W327" s="537"/>
      <c r="X327" s="537"/>
      <c r="Y327" s="537"/>
      <c r="Z327" s="537"/>
    </row>
    <row r="328">
      <c r="A328" s="537"/>
      <c r="B328" s="537"/>
      <c r="C328" s="538"/>
      <c r="D328" s="537"/>
      <c r="E328" s="537"/>
      <c r="F328" s="537"/>
      <c r="G328" s="537"/>
      <c r="H328" s="537"/>
      <c r="I328" s="537"/>
      <c r="J328" s="537"/>
      <c r="K328" s="537"/>
      <c r="L328" s="537"/>
      <c r="M328" s="537"/>
      <c r="N328" s="537"/>
      <c r="O328" s="537"/>
      <c r="P328" s="537"/>
      <c r="Q328" s="537"/>
      <c r="R328" s="537"/>
      <c r="S328" s="537"/>
      <c r="T328" s="537"/>
      <c r="U328" s="537"/>
      <c r="V328" s="537"/>
      <c r="W328" s="537"/>
      <c r="X328" s="537"/>
      <c r="Y328" s="537"/>
      <c r="Z328" s="537"/>
    </row>
    <row r="329">
      <c r="A329" s="537"/>
      <c r="B329" s="537"/>
      <c r="C329" s="538"/>
      <c r="D329" s="537"/>
      <c r="E329" s="537"/>
      <c r="F329" s="537"/>
      <c r="G329" s="537"/>
      <c r="H329" s="537"/>
      <c r="I329" s="537"/>
      <c r="J329" s="537"/>
      <c r="K329" s="537"/>
      <c r="L329" s="537"/>
      <c r="M329" s="537"/>
      <c r="N329" s="537"/>
      <c r="O329" s="537"/>
      <c r="P329" s="537"/>
      <c r="Q329" s="537"/>
      <c r="R329" s="537"/>
      <c r="S329" s="537"/>
      <c r="T329" s="537"/>
      <c r="U329" s="537"/>
      <c r="V329" s="537"/>
      <c r="W329" s="537"/>
      <c r="X329" s="537"/>
      <c r="Y329" s="537"/>
      <c r="Z329" s="537"/>
    </row>
    <row r="330">
      <c r="A330" s="537"/>
      <c r="B330" s="537"/>
      <c r="C330" s="538"/>
      <c r="D330" s="537"/>
      <c r="E330" s="537"/>
      <c r="F330" s="537"/>
      <c r="G330" s="537"/>
      <c r="H330" s="537"/>
      <c r="I330" s="537"/>
      <c r="J330" s="537"/>
      <c r="K330" s="537"/>
      <c r="L330" s="537"/>
      <c r="M330" s="537"/>
      <c r="N330" s="537"/>
      <c r="O330" s="537"/>
      <c r="P330" s="537"/>
      <c r="Q330" s="537"/>
      <c r="R330" s="537"/>
      <c r="S330" s="537"/>
      <c r="T330" s="537"/>
      <c r="U330" s="537"/>
      <c r="V330" s="537"/>
      <c r="W330" s="537"/>
      <c r="X330" s="537"/>
      <c r="Y330" s="537"/>
      <c r="Z330" s="537"/>
    </row>
    <row r="331">
      <c r="A331" s="537"/>
      <c r="B331" s="537"/>
      <c r="C331" s="538"/>
      <c r="D331" s="537"/>
      <c r="E331" s="537"/>
      <c r="F331" s="537"/>
      <c r="G331" s="537"/>
      <c r="H331" s="537"/>
      <c r="I331" s="537"/>
      <c r="J331" s="537"/>
      <c r="K331" s="537"/>
      <c r="L331" s="537"/>
      <c r="M331" s="537"/>
      <c r="N331" s="537"/>
      <c r="O331" s="537"/>
      <c r="P331" s="537"/>
      <c r="Q331" s="537"/>
      <c r="R331" s="537"/>
      <c r="S331" s="537"/>
      <c r="T331" s="537"/>
      <c r="U331" s="537"/>
      <c r="V331" s="537"/>
      <c r="W331" s="537"/>
      <c r="X331" s="537"/>
      <c r="Y331" s="537"/>
      <c r="Z331" s="537"/>
    </row>
    <row r="332">
      <c r="A332" s="537"/>
      <c r="B332" s="537"/>
      <c r="C332" s="538"/>
      <c r="D332" s="537"/>
      <c r="E332" s="537"/>
      <c r="F332" s="537"/>
      <c r="G332" s="537"/>
      <c r="H332" s="537"/>
      <c r="I332" s="537"/>
      <c r="J332" s="537"/>
      <c r="K332" s="537"/>
      <c r="L332" s="537"/>
      <c r="M332" s="537"/>
      <c r="N332" s="537"/>
      <c r="O332" s="537"/>
      <c r="P332" s="537"/>
      <c r="Q332" s="537"/>
      <c r="R332" s="537"/>
      <c r="S332" s="537"/>
      <c r="T332" s="537"/>
      <c r="U332" s="537"/>
      <c r="V332" s="537"/>
      <c r="W332" s="537"/>
      <c r="X332" s="537"/>
      <c r="Y332" s="537"/>
      <c r="Z332" s="537"/>
    </row>
    <row r="333">
      <c r="A333" s="537"/>
      <c r="B333" s="537"/>
      <c r="C333" s="538"/>
      <c r="D333" s="537"/>
      <c r="E333" s="537"/>
      <c r="F333" s="537"/>
      <c r="G333" s="537"/>
      <c r="H333" s="537"/>
      <c r="I333" s="537"/>
      <c r="J333" s="537"/>
      <c r="K333" s="537"/>
      <c r="L333" s="537"/>
      <c r="M333" s="537"/>
      <c r="N333" s="537"/>
      <c r="O333" s="537"/>
      <c r="P333" s="537"/>
      <c r="Q333" s="537"/>
      <c r="R333" s="537"/>
      <c r="S333" s="537"/>
      <c r="T333" s="537"/>
      <c r="U333" s="537"/>
      <c r="V333" s="537"/>
      <c r="W333" s="537"/>
      <c r="X333" s="537"/>
      <c r="Y333" s="537"/>
      <c r="Z333" s="537"/>
    </row>
    <row r="334">
      <c r="A334" s="537"/>
      <c r="B334" s="537"/>
      <c r="C334" s="538"/>
      <c r="D334" s="537"/>
      <c r="E334" s="537"/>
      <c r="F334" s="537"/>
      <c r="G334" s="537"/>
      <c r="H334" s="537"/>
      <c r="I334" s="537"/>
      <c r="J334" s="537"/>
      <c r="K334" s="537"/>
      <c r="L334" s="537"/>
      <c r="M334" s="537"/>
      <c r="N334" s="537"/>
      <c r="O334" s="537"/>
      <c r="P334" s="537"/>
      <c r="Q334" s="537"/>
      <c r="R334" s="537"/>
      <c r="S334" s="537"/>
      <c r="T334" s="537"/>
      <c r="U334" s="537"/>
      <c r="V334" s="537"/>
      <c r="W334" s="537"/>
      <c r="X334" s="537"/>
      <c r="Y334" s="537"/>
      <c r="Z334" s="537"/>
    </row>
    <row r="335">
      <c r="A335" s="537"/>
      <c r="B335" s="537"/>
      <c r="C335" s="538"/>
      <c r="D335" s="537"/>
      <c r="E335" s="537"/>
      <c r="F335" s="537"/>
      <c r="G335" s="537"/>
      <c r="H335" s="537"/>
      <c r="I335" s="537"/>
      <c r="J335" s="537"/>
      <c r="K335" s="537"/>
      <c r="L335" s="537"/>
      <c r="M335" s="537"/>
      <c r="N335" s="537"/>
      <c r="O335" s="537"/>
      <c r="P335" s="537"/>
      <c r="Q335" s="537"/>
      <c r="R335" s="537"/>
      <c r="S335" s="537"/>
      <c r="T335" s="537"/>
      <c r="U335" s="537"/>
      <c r="V335" s="537"/>
      <c r="W335" s="537"/>
      <c r="X335" s="537"/>
      <c r="Y335" s="537"/>
      <c r="Z335" s="537"/>
    </row>
    <row r="336">
      <c r="A336" s="537"/>
      <c r="B336" s="537"/>
      <c r="C336" s="538"/>
      <c r="D336" s="537"/>
      <c r="E336" s="537"/>
      <c r="F336" s="537"/>
      <c r="G336" s="537"/>
      <c r="H336" s="537"/>
      <c r="I336" s="537"/>
      <c r="J336" s="537"/>
      <c r="K336" s="537"/>
      <c r="L336" s="537"/>
      <c r="M336" s="537"/>
      <c r="N336" s="537"/>
      <c r="O336" s="537"/>
      <c r="P336" s="537"/>
      <c r="Q336" s="537"/>
      <c r="R336" s="537"/>
      <c r="S336" s="537"/>
      <c r="T336" s="537"/>
      <c r="U336" s="537"/>
      <c r="V336" s="537"/>
      <c r="W336" s="537"/>
      <c r="X336" s="537"/>
      <c r="Y336" s="537"/>
      <c r="Z336" s="537"/>
    </row>
    <row r="337">
      <c r="A337" s="537"/>
      <c r="B337" s="537"/>
      <c r="C337" s="538"/>
      <c r="D337" s="537"/>
      <c r="E337" s="537"/>
      <c r="F337" s="537"/>
      <c r="G337" s="537"/>
      <c r="H337" s="537"/>
      <c r="I337" s="537"/>
      <c r="J337" s="537"/>
      <c r="K337" s="537"/>
      <c r="L337" s="537"/>
      <c r="M337" s="537"/>
      <c r="N337" s="537"/>
      <c r="O337" s="537"/>
      <c r="P337" s="537"/>
      <c r="Q337" s="537"/>
      <c r="R337" s="537"/>
      <c r="S337" s="537"/>
      <c r="T337" s="537"/>
      <c r="U337" s="537"/>
      <c r="V337" s="537"/>
      <c r="W337" s="537"/>
      <c r="X337" s="537"/>
      <c r="Y337" s="537"/>
      <c r="Z337" s="537"/>
    </row>
    <row r="338">
      <c r="A338" s="537"/>
      <c r="B338" s="537"/>
      <c r="C338" s="538"/>
      <c r="D338" s="537"/>
      <c r="E338" s="537"/>
      <c r="F338" s="537"/>
      <c r="G338" s="537"/>
      <c r="H338" s="537"/>
      <c r="I338" s="537"/>
      <c r="J338" s="537"/>
      <c r="K338" s="537"/>
      <c r="L338" s="537"/>
      <c r="M338" s="537"/>
      <c r="N338" s="537"/>
      <c r="O338" s="537"/>
      <c r="P338" s="537"/>
      <c r="Q338" s="537"/>
      <c r="R338" s="537"/>
      <c r="S338" s="537"/>
      <c r="T338" s="537"/>
      <c r="U338" s="537"/>
      <c r="V338" s="537"/>
      <c r="W338" s="537"/>
      <c r="X338" s="537"/>
      <c r="Y338" s="537"/>
      <c r="Z338" s="537"/>
    </row>
    <row r="339">
      <c r="A339" s="537"/>
      <c r="B339" s="537"/>
      <c r="C339" s="538"/>
      <c r="D339" s="537"/>
      <c r="E339" s="537"/>
      <c r="F339" s="537"/>
      <c r="G339" s="537"/>
      <c r="H339" s="537"/>
      <c r="I339" s="537"/>
      <c r="J339" s="537"/>
      <c r="K339" s="537"/>
      <c r="L339" s="537"/>
      <c r="M339" s="537"/>
      <c r="N339" s="537"/>
      <c r="O339" s="537"/>
      <c r="P339" s="537"/>
      <c r="Q339" s="537"/>
      <c r="R339" s="537"/>
      <c r="S339" s="537"/>
      <c r="T339" s="537"/>
      <c r="U339" s="537"/>
      <c r="V339" s="537"/>
      <c r="W339" s="537"/>
      <c r="X339" s="537"/>
      <c r="Y339" s="537"/>
      <c r="Z339" s="537"/>
    </row>
    <row r="340">
      <c r="A340" s="537"/>
      <c r="B340" s="537"/>
      <c r="C340" s="538"/>
      <c r="D340" s="537"/>
      <c r="E340" s="537"/>
      <c r="F340" s="537"/>
      <c r="G340" s="537"/>
      <c r="H340" s="537"/>
      <c r="I340" s="537"/>
      <c r="J340" s="537"/>
      <c r="K340" s="537"/>
      <c r="L340" s="537"/>
      <c r="M340" s="537"/>
      <c r="N340" s="537"/>
      <c r="O340" s="537"/>
      <c r="P340" s="537"/>
      <c r="Q340" s="537"/>
      <c r="R340" s="537"/>
      <c r="S340" s="537"/>
      <c r="T340" s="537"/>
      <c r="U340" s="537"/>
      <c r="V340" s="537"/>
      <c r="W340" s="537"/>
      <c r="X340" s="537"/>
      <c r="Y340" s="537"/>
      <c r="Z340" s="537"/>
    </row>
    <row r="341">
      <c r="A341" s="537"/>
      <c r="B341" s="537"/>
      <c r="C341" s="538"/>
      <c r="D341" s="537"/>
      <c r="E341" s="537"/>
      <c r="F341" s="537"/>
      <c r="G341" s="537"/>
      <c r="H341" s="537"/>
      <c r="I341" s="537"/>
      <c r="J341" s="537"/>
      <c r="K341" s="537"/>
      <c r="L341" s="537"/>
      <c r="M341" s="537"/>
      <c r="N341" s="537"/>
      <c r="O341" s="537"/>
      <c r="P341" s="537"/>
      <c r="Q341" s="537"/>
      <c r="R341" s="537"/>
      <c r="S341" s="537"/>
      <c r="T341" s="537"/>
      <c r="U341" s="537"/>
      <c r="V341" s="537"/>
      <c r="W341" s="537"/>
      <c r="X341" s="537"/>
      <c r="Y341" s="537"/>
      <c r="Z341" s="537"/>
    </row>
    <row r="342">
      <c r="A342" s="537"/>
      <c r="B342" s="537"/>
      <c r="C342" s="538"/>
      <c r="D342" s="537"/>
      <c r="E342" s="537"/>
      <c r="F342" s="537"/>
      <c r="G342" s="537"/>
      <c r="H342" s="537"/>
      <c r="I342" s="537"/>
      <c r="J342" s="537"/>
      <c r="K342" s="537"/>
      <c r="L342" s="537"/>
      <c r="M342" s="537"/>
      <c r="N342" s="537"/>
      <c r="O342" s="537"/>
      <c r="P342" s="537"/>
      <c r="Q342" s="537"/>
      <c r="R342" s="537"/>
      <c r="S342" s="537"/>
      <c r="T342" s="537"/>
      <c r="U342" s="537"/>
      <c r="V342" s="537"/>
      <c r="W342" s="537"/>
      <c r="X342" s="537"/>
      <c r="Y342" s="537"/>
      <c r="Z342" s="537"/>
    </row>
    <row r="343">
      <c r="A343" s="537"/>
      <c r="B343" s="537"/>
      <c r="C343" s="538"/>
      <c r="D343" s="537"/>
      <c r="E343" s="537"/>
      <c r="F343" s="537"/>
      <c r="G343" s="537"/>
      <c r="H343" s="537"/>
      <c r="I343" s="537"/>
      <c r="J343" s="537"/>
      <c r="K343" s="537"/>
      <c r="L343" s="537"/>
      <c r="M343" s="537"/>
      <c r="N343" s="537"/>
      <c r="O343" s="537"/>
      <c r="P343" s="537"/>
      <c r="Q343" s="537"/>
      <c r="R343" s="537"/>
      <c r="S343" s="537"/>
      <c r="T343" s="537"/>
      <c r="U343" s="537"/>
      <c r="V343" s="537"/>
      <c r="W343" s="537"/>
      <c r="X343" s="537"/>
      <c r="Y343" s="537"/>
      <c r="Z343" s="537"/>
    </row>
    <row r="344">
      <c r="A344" s="537"/>
      <c r="B344" s="537"/>
      <c r="C344" s="538"/>
      <c r="D344" s="537"/>
      <c r="E344" s="537"/>
      <c r="F344" s="537"/>
      <c r="G344" s="537"/>
      <c r="H344" s="537"/>
      <c r="I344" s="537"/>
      <c r="J344" s="537"/>
      <c r="K344" s="537"/>
      <c r="L344" s="537"/>
      <c r="M344" s="537"/>
      <c r="N344" s="537"/>
      <c r="O344" s="537"/>
      <c r="P344" s="537"/>
      <c r="Q344" s="537"/>
      <c r="R344" s="537"/>
      <c r="S344" s="537"/>
      <c r="T344" s="537"/>
      <c r="U344" s="537"/>
      <c r="V344" s="537"/>
      <c r="W344" s="537"/>
      <c r="X344" s="537"/>
      <c r="Y344" s="537"/>
      <c r="Z344" s="537"/>
    </row>
    <row r="345">
      <c r="A345" s="537"/>
      <c r="B345" s="537"/>
      <c r="C345" s="538"/>
      <c r="D345" s="537"/>
      <c r="E345" s="537"/>
      <c r="F345" s="537"/>
      <c r="G345" s="537"/>
      <c r="H345" s="537"/>
      <c r="I345" s="537"/>
      <c r="J345" s="537"/>
      <c r="K345" s="537"/>
      <c r="L345" s="537"/>
      <c r="M345" s="537"/>
      <c r="N345" s="537"/>
      <c r="O345" s="537"/>
      <c r="P345" s="537"/>
      <c r="Q345" s="537"/>
      <c r="R345" s="537"/>
      <c r="S345" s="537"/>
      <c r="T345" s="537"/>
      <c r="U345" s="537"/>
      <c r="V345" s="537"/>
      <c r="W345" s="537"/>
      <c r="X345" s="537"/>
      <c r="Y345" s="537"/>
      <c r="Z345" s="537"/>
    </row>
    <row r="346">
      <c r="A346" s="537"/>
      <c r="B346" s="537"/>
      <c r="C346" s="538"/>
      <c r="D346" s="537"/>
      <c r="E346" s="537"/>
      <c r="F346" s="537"/>
      <c r="G346" s="537"/>
      <c r="H346" s="537"/>
      <c r="I346" s="537"/>
      <c r="J346" s="537"/>
      <c r="K346" s="537"/>
      <c r="L346" s="537"/>
      <c r="M346" s="537"/>
      <c r="N346" s="537"/>
      <c r="O346" s="537"/>
      <c r="P346" s="537"/>
      <c r="Q346" s="537"/>
      <c r="R346" s="537"/>
      <c r="S346" s="537"/>
      <c r="T346" s="537"/>
      <c r="U346" s="537"/>
      <c r="V346" s="537"/>
      <c r="W346" s="537"/>
      <c r="X346" s="537"/>
      <c r="Y346" s="537"/>
      <c r="Z346" s="537"/>
    </row>
    <row r="347">
      <c r="A347" s="537"/>
      <c r="B347" s="537"/>
      <c r="C347" s="538"/>
      <c r="D347" s="537"/>
      <c r="E347" s="537"/>
      <c r="F347" s="537"/>
      <c r="G347" s="537"/>
      <c r="H347" s="537"/>
      <c r="I347" s="537"/>
      <c r="J347" s="537"/>
      <c r="K347" s="537"/>
      <c r="L347" s="537"/>
      <c r="M347" s="537"/>
      <c r="N347" s="537"/>
      <c r="O347" s="537"/>
      <c r="P347" s="537"/>
      <c r="Q347" s="537"/>
      <c r="R347" s="537"/>
      <c r="S347" s="537"/>
      <c r="T347" s="537"/>
      <c r="U347" s="537"/>
      <c r="V347" s="537"/>
      <c r="W347" s="537"/>
      <c r="X347" s="537"/>
      <c r="Y347" s="537"/>
      <c r="Z347" s="537"/>
    </row>
    <row r="348">
      <c r="A348" s="537"/>
      <c r="B348" s="537"/>
      <c r="C348" s="538"/>
      <c r="D348" s="537"/>
      <c r="E348" s="537"/>
      <c r="F348" s="537"/>
      <c r="G348" s="537"/>
      <c r="H348" s="537"/>
      <c r="I348" s="537"/>
      <c r="J348" s="537"/>
      <c r="K348" s="537"/>
      <c r="L348" s="537"/>
      <c r="M348" s="537"/>
      <c r="N348" s="537"/>
      <c r="O348" s="537"/>
      <c r="P348" s="537"/>
      <c r="Q348" s="537"/>
      <c r="R348" s="537"/>
      <c r="S348" s="537"/>
      <c r="T348" s="537"/>
      <c r="U348" s="537"/>
      <c r="V348" s="537"/>
      <c r="W348" s="537"/>
      <c r="X348" s="537"/>
      <c r="Y348" s="537"/>
      <c r="Z348" s="537"/>
    </row>
    <row r="349">
      <c r="A349" s="537"/>
      <c r="B349" s="537"/>
      <c r="C349" s="538"/>
      <c r="D349" s="537"/>
      <c r="E349" s="537"/>
      <c r="F349" s="537"/>
      <c r="G349" s="537"/>
      <c r="H349" s="537"/>
      <c r="I349" s="537"/>
      <c r="J349" s="537"/>
      <c r="K349" s="537"/>
      <c r="L349" s="537"/>
      <c r="M349" s="537"/>
      <c r="N349" s="537"/>
      <c r="O349" s="537"/>
      <c r="P349" s="537"/>
      <c r="Q349" s="537"/>
      <c r="R349" s="537"/>
      <c r="S349" s="537"/>
      <c r="T349" s="537"/>
      <c r="U349" s="537"/>
      <c r="V349" s="537"/>
      <c r="W349" s="537"/>
      <c r="X349" s="537"/>
      <c r="Y349" s="537"/>
      <c r="Z349" s="537"/>
    </row>
    <row r="350">
      <c r="A350" s="537"/>
      <c r="B350" s="537"/>
      <c r="C350" s="538"/>
      <c r="D350" s="537"/>
      <c r="E350" s="537"/>
      <c r="F350" s="537"/>
      <c r="G350" s="537"/>
      <c r="H350" s="537"/>
      <c r="I350" s="537"/>
      <c r="J350" s="537"/>
      <c r="K350" s="537"/>
      <c r="L350" s="537"/>
      <c r="M350" s="537"/>
      <c r="N350" s="537"/>
      <c r="O350" s="537"/>
      <c r="P350" s="537"/>
      <c r="Q350" s="537"/>
      <c r="R350" s="537"/>
      <c r="S350" s="537"/>
      <c r="T350" s="537"/>
      <c r="U350" s="537"/>
      <c r="V350" s="537"/>
      <c r="W350" s="537"/>
      <c r="X350" s="537"/>
      <c r="Y350" s="537"/>
      <c r="Z350" s="537"/>
    </row>
    <row r="351">
      <c r="A351" s="537"/>
      <c r="B351" s="537"/>
      <c r="C351" s="538"/>
      <c r="D351" s="537"/>
      <c r="E351" s="537"/>
      <c r="F351" s="537"/>
      <c r="G351" s="537"/>
      <c r="H351" s="537"/>
      <c r="I351" s="537"/>
      <c r="J351" s="537"/>
      <c r="K351" s="537"/>
      <c r="L351" s="537"/>
      <c r="M351" s="537"/>
      <c r="N351" s="537"/>
      <c r="O351" s="537"/>
      <c r="P351" s="537"/>
      <c r="Q351" s="537"/>
      <c r="R351" s="537"/>
      <c r="S351" s="537"/>
      <c r="T351" s="537"/>
      <c r="U351" s="537"/>
      <c r="V351" s="537"/>
      <c r="W351" s="537"/>
      <c r="X351" s="537"/>
      <c r="Y351" s="537"/>
      <c r="Z351" s="537"/>
    </row>
    <row r="352">
      <c r="A352" s="537"/>
      <c r="B352" s="537"/>
      <c r="C352" s="538"/>
      <c r="D352" s="537"/>
      <c r="E352" s="537"/>
      <c r="F352" s="537"/>
      <c r="G352" s="537"/>
      <c r="H352" s="537"/>
      <c r="I352" s="537"/>
      <c r="J352" s="537"/>
      <c r="K352" s="537"/>
      <c r="L352" s="537"/>
      <c r="M352" s="537"/>
      <c r="N352" s="537"/>
      <c r="O352" s="537"/>
      <c r="P352" s="537"/>
      <c r="Q352" s="537"/>
      <c r="R352" s="537"/>
      <c r="S352" s="537"/>
      <c r="T352" s="537"/>
      <c r="U352" s="537"/>
      <c r="V352" s="537"/>
      <c r="W352" s="537"/>
      <c r="X352" s="537"/>
      <c r="Y352" s="537"/>
      <c r="Z352" s="537"/>
    </row>
    <row r="353">
      <c r="A353" s="537"/>
      <c r="B353" s="537"/>
      <c r="C353" s="538"/>
      <c r="D353" s="537"/>
      <c r="E353" s="537"/>
      <c r="F353" s="537"/>
      <c r="G353" s="537"/>
      <c r="H353" s="537"/>
      <c r="I353" s="537"/>
      <c r="J353" s="537"/>
      <c r="K353" s="537"/>
      <c r="L353" s="537"/>
      <c r="M353" s="537"/>
      <c r="N353" s="537"/>
      <c r="O353" s="537"/>
      <c r="P353" s="537"/>
      <c r="Q353" s="537"/>
      <c r="R353" s="537"/>
      <c r="S353" s="537"/>
      <c r="T353" s="537"/>
      <c r="U353" s="537"/>
      <c r="V353" s="537"/>
      <c r="W353" s="537"/>
      <c r="X353" s="537"/>
      <c r="Y353" s="537"/>
      <c r="Z353" s="537"/>
    </row>
    <row r="354">
      <c r="A354" s="537"/>
      <c r="B354" s="537"/>
      <c r="C354" s="538"/>
      <c r="D354" s="537"/>
      <c r="E354" s="537"/>
      <c r="F354" s="537"/>
      <c r="G354" s="537"/>
      <c r="H354" s="537"/>
      <c r="I354" s="537"/>
      <c r="J354" s="537"/>
      <c r="K354" s="537"/>
      <c r="L354" s="537"/>
      <c r="M354" s="537"/>
      <c r="N354" s="537"/>
      <c r="O354" s="537"/>
      <c r="P354" s="537"/>
      <c r="Q354" s="537"/>
      <c r="R354" s="537"/>
      <c r="S354" s="537"/>
      <c r="T354" s="537"/>
      <c r="U354" s="537"/>
      <c r="V354" s="537"/>
      <c r="W354" s="537"/>
      <c r="X354" s="537"/>
      <c r="Y354" s="537"/>
      <c r="Z354" s="537"/>
    </row>
    <row r="355">
      <c r="A355" s="537"/>
      <c r="B355" s="537"/>
      <c r="C355" s="538"/>
      <c r="D355" s="537"/>
      <c r="E355" s="537"/>
      <c r="F355" s="537"/>
      <c r="G355" s="537"/>
      <c r="H355" s="537"/>
      <c r="I355" s="537"/>
      <c r="J355" s="537"/>
      <c r="K355" s="537"/>
      <c r="L355" s="537"/>
      <c r="M355" s="537"/>
      <c r="N355" s="537"/>
      <c r="O355" s="537"/>
      <c r="P355" s="537"/>
      <c r="Q355" s="537"/>
      <c r="R355" s="537"/>
      <c r="S355" s="537"/>
      <c r="T355" s="537"/>
      <c r="U355" s="537"/>
      <c r="V355" s="537"/>
      <c r="W355" s="537"/>
      <c r="X355" s="537"/>
      <c r="Y355" s="537"/>
      <c r="Z355" s="537"/>
    </row>
    <row r="356">
      <c r="A356" s="537"/>
      <c r="B356" s="537"/>
      <c r="C356" s="538"/>
      <c r="D356" s="537"/>
      <c r="E356" s="537"/>
      <c r="F356" s="537"/>
      <c r="G356" s="537"/>
      <c r="H356" s="537"/>
      <c r="I356" s="537"/>
      <c r="J356" s="537"/>
      <c r="K356" s="537"/>
      <c r="L356" s="537"/>
      <c r="M356" s="537"/>
      <c r="N356" s="537"/>
      <c r="O356" s="537"/>
      <c r="P356" s="537"/>
      <c r="Q356" s="537"/>
      <c r="R356" s="537"/>
      <c r="S356" s="537"/>
      <c r="T356" s="537"/>
      <c r="U356" s="537"/>
      <c r="V356" s="537"/>
      <c r="W356" s="537"/>
      <c r="X356" s="537"/>
      <c r="Y356" s="537"/>
      <c r="Z356" s="537"/>
    </row>
    <row r="357">
      <c r="A357" s="537"/>
      <c r="B357" s="537"/>
      <c r="C357" s="538"/>
      <c r="D357" s="537"/>
      <c r="E357" s="537"/>
      <c r="F357" s="537"/>
      <c r="G357" s="537"/>
      <c r="H357" s="537"/>
      <c r="I357" s="537"/>
      <c r="J357" s="537"/>
      <c r="K357" s="537"/>
      <c r="L357" s="537"/>
      <c r="M357" s="537"/>
      <c r="N357" s="537"/>
      <c r="O357" s="537"/>
      <c r="P357" s="537"/>
      <c r="Q357" s="537"/>
      <c r="R357" s="537"/>
      <c r="S357" s="537"/>
      <c r="T357" s="537"/>
      <c r="U357" s="537"/>
      <c r="V357" s="537"/>
      <c r="W357" s="537"/>
      <c r="X357" s="537"/>
      <c r="Y357" s="537"/>
      <c r="Z357" s="537"/>
    </row>
    <row r="358">
      <c r="A358" s="537"/>
      <c r="B358" s="537"/>
      <c r="C358" s="538"/>
      <c r="D358" s="537"/>
      <c r="E358" s="537"/>
      <c r="F358" s="537"/>
      <c r="G358" s="537"/>
      <c r="H358" s="537"/>
      <c r="I358" s="537"/>
      <c r="J358" s="537"/>
      <c r="K358" s="537"/>
      <c r="L358" s="537"/>
      <c r="M358" s="537"/>
      <c r="N358" s="537"/>
      <c r="O358" s="537"/>
      <c r="P358" s="537"/>
      <c r="Q358" s="537"/>
      <c r="R358" s="537"/>
      <c r="S358" s="537"/>
      <c r="T358" s="537"/>
      <c r="U358" s="537"/>
      <c r="V358" s="537"/>
      <c r="W358" s="537"/>
      <c r="X358" s="537"/>
      <c r="Y358" s="537"/>
      <c r="Z358" s="537"/>
    </row>
    <row r="359">
      <c r="A359" s="537"/>
      <c r="B359" s="537"/>
      <c r="C359" s="538"/>
      <c r="D359" s="537"/>
      <c r="E359" s="537"/>
      <c r="F359" s="537"/>
      <c r="G359" s="537"/>
      <c r="H359" s="537"/>
      <c r="I359" s="537"/>
      <c r="J359" s="537"/>
      <c r="K359" s="537"/>
      <c r="L359" s="537"/>
      <c r="M359" s="537"/>
      <c r="N359" s="537"/>
      <c r="O359" s="537"/>
      <c r="P359" s="537"/>
      <c r="Q359" s="537"/>
      <c r="R359" s="537"/>
      <c r="S359" s="537"/>
      <c r="T359" s="537"/>
      <c r="U359" s="537"/>
      <c r="V359" s="537"/>
      <c r="W359" s="537"/>
      <c r="X359" s="537"/>
      <c r="Y359" s="537"/>
      <c r="Z359" s="537"/>
    </row>
    <row r="360">
      <c r="A360" s="537"/>
      <c r="B360" s="537"/>
      <c r="C360" s="538"/>
      <c r="D360" s="537"/>
      <c r="E360" s="537"/>
      <c r="F360" s="537"/>
      <c r="G360" s="537"/>
      <c r="H360" s="537"/>
      <c r="I360" s="537"/>
      <c r="J360" s="537"/>
      <c r="K360" s="537"/>
      <c r="L360" s="537"/>
      <c r="M360" s="537"/>
      <c r="N360" s="537"/>
      <c r="O360" s="537"/>
      <c r="P360" s="537"/>
      <c r="Q360" s="537"/>
      <c r="R360" s="537"/>
      <c r="S360" s="537"/>
      <c r="T360" s="537"/>
      <c r="U360" s="537"/>
      <c r="V360" s="537"/>
      <c r="W360" s="537"/>
      <c r="X360" s="537"/>
      <c r="Y360" s="537"/>
      <c r="Z360" s="537"/>
    </row>
    <row r="361">
      <c r="A361" s="537"/>
      <c r="B361" s="537"/>
      <c r="C361" s="538"/>
      <c r="D361" s="537"/>
      <c r="E361" s="537"/>
      <c r="F361" s="537"/>
      <c r="G361" s="537"/>
      <c r="H361" s="537"/>
      <c r="I361" s="537"/>
      <c r="J361" s="537"/>
      <c r="K361" s="537"/>
      <c r="L361" s="537"/>
      <c r="M361" s="537"/>
      <c r="N361" s="537"/>
      <c r="O361" s="537"/>
      <c r="P361" s="537"/>
      <c r="Q361" s="537"/>
      <c r="R361" s="537"/>
      <c r="S361" s="537"/>
      <c r="T361" s="537"/>
      <c r="U361" s="537"/>
      <c r="V361" s="537"/>
      <c r="W361" s="537"/>
      <c r="X361" s="537"/>
      <c r="Y361" s="537"/>
      <c r="Z361" s="537"/>
    </row>
    <row r="362">
      <c r="A362" s="537"/>
      <c r="B362" s="537"/>
      <c r="C362" s="538"/>
      <c r="D362" s="537"/>
      <c r="E362" s="537"/>
      <c r="F362" s="537"/>
      <c r="G362" s="537"/>
      <c r="H362" s="537"/>
      <c r="I362" s="537"/>
      <c r="J362" s="537"/>
      <c r="K362" s="537"/>
      <c r="L362" s="537"/>
      <c r="M362" s="537"/>
      <c r="N362" s="537"/>
      <c r="O362" s="537"/>
      <c r="P362" s="537"/>
      <c r="Q362" s="537"/>
      <c r="R362" s="537"/>
      <c r="S362" s="537"/>
      <c r="T362" s="537"/>
      <c r="U362" s="537"/>
      <c r="V362" s="537"/>
      <c r="W362" s="537"/>
      <c r="X362" s="537"/>
      <c r="Y362" s="537"/>
      <c r="Z362" s="537"/>
    </row>
    <row r="363">
      <c r="A363" s="537"/>
      <c r="B363" s="537"/>
      <c r="C363" s="538"/>
      <c r="D363" s="537"/>
      <c r="E363" s="537"/>
      <c r="F363" s="537"/>
      <c r="G363" s="537"/>
      <c r="H363" s="537"/>
      <c r="I363" s="537"/>
      <c r="J363" s="537"/>
      <c r="K363" s="537"/>
      <c r="L363" s="537"/>
      <c r="M363" s="537"/>
      <c r="N363" s="537"/>
      <c r="O363" s="537"/>
      <c r="P363" s="537"/>
      <c r="Q363" s="537"/>
      <c r="R363" s="537"/>
      <c r="S363" s="537"/>
      <c r="T363" s="537"/>
      <c r="U363" s="537"/>
      <c r="V363" s="537"/>
      <c r="W363" s="537"/>
      <c r="X363" s="537"/>
      <c r="Y363" s="537"/>
      <c r="Z363" s="537"/>
    </row>
    <row r="364">
      <c r="A364" s="537"/>
      <c r="B364" s="537"/>
      <c r="C364" s="538"/>
      <c r="D364" s="537"/>
      <c r="E364" s="537"/>
      <c r="F364" s="537"/>
      <c r="G364" s="537"/>
      <c r="H364" s="537"/>
      <c r="I364" s="537"/>
      <c r="J364" s="537"/>
      <c r="K364" s="537"/>
      <c r="L364" s="537"/>
      <c r="M364" s="537"/>
      <c r="N364" s="537"/>
      <c r="O364" s="537"/>
      <c r="P364" s="537"/>
      <c r="Q364" s="537"/>
      <c r="R364" s="537"/>
      <c r="S364" s="537"/>
      <c r="T364" s="537"/>
      <c r="U364" s="537"/>
      <c r="V364" s="537"/>
      <c r="W364" s="537"/>
      <c r="X364" s="537"/>
      <c r="Y364" s="537"/>
      <c r="Z364" s="537"/>
    </row>
    <row r="365">
      <c r="A365" s="537"/>
      <c r="B365" s="537"/>
      <c r="C365" s="538"/>
      <c r="D365" s="537"/>
      <c r="E365" s="537"/>
      <c r="F365" s="537"/>
      <c r="G365" s="537"/>
      <c r="H365" s="537"/>
      <c r="I365" s="537"/>
      <c r="J365" s="537"/>
      <c r="K365" s="537"/>
      <c r="L365" s="537"/>
      <c r="M365" s="537"/>
      <c r="N365" s="537"/>
      <c r="O365" s="537"/>
      <c r="P365" s="537"/>
      <c r="Q365" s="537"/>
      <c r="R365" s="537"/>
      <c r="S365" s="537"/>
      <c r="T365" s="537"/>
      <c r="U365" s="537"/>
      <c r="V365" s="537"/>
      <c r="W365" s="537"/>
      <c r="X365" s="537"/>
      <c r="Y365" s="537"/>
      <c r="Z365" s="537"/>
    </row>
    <row r="366">
      <c r="A366" s="537"/>
      <c r="B366" s="537"/>
      <c r="C366" s="538"/>
      <c r="D366" s="537"/>
      <c r="E366" s="537"/>
      <c r="F366" s="537"/>
      <c r="G366" s="537"/>
      <c r="H366" s="537"/>
      <c r="I366" s="537"/>
      <c r="J366" s="537"/>
      <c r="K366" s="537"/>
      <c r="L366" s="537"/>
      <c r="M366" s="537"/>
      <c r="N366" s="537"/>
      <c r="O366" s="537"/>
      <c r="P366" s="537"/>
      <c r="Q366" s="537"/>
      <c r="R366" s="537"/>
      <c r="S366" s="537"/>
      <c r="T366" s="537"/>
      <c r="U366" s="537"/>
      <c r="V366" s="537"/>
      <c r="W366" s="537"/>
      <c r="X366" s="537"/>
      <c r="Y366" s="537"/>
      <c r="Z366" s="537"/>
    </row>
    <row r="367">
      <c r="A367" s="537"/>
      <c r="B367" s="537"/>
      <c r="C367" s="538"/>
      <c r="D367" s="537"/>
      <c r="E367" s="537"/>
      <c r="F367" s="537"/>
      <c r="G367" s="537"/>
      <c r="H367" s="537"/>
      <c r="I367" s="537"/>
      <c r="J367" s="537"/>
      <c r="K367" s="537"/>
      <c r="L367" s="537"/>
      <c r="M367" s="537"/>
      <c r="N367" s="537"/>
      <c r="O367" s="537"/>
      <c r="P367" s="537"/>
      <c r="Q367" s="537"/>
      <c r="R367" s="537"/>
      <c r="S367" s="537"/>
      <c r="T367" s="537"/>
      <c r="U367" s="537"/>
      <c r="V367" s="537"/>
      <c r="W367" s="537"/>
      <c r="X367" s="537"/>
      <c r="Y367" s="537"/>
      <c r="Z367" s="537"/>
    </row>
    <row r="368">
      <c r="A368" s="537"/>
      <c r="B368" s="537"/>
      <c r="C368" s="538"/>
      <c r="D368" s="537"/>
      <c r="E368" s="537"/>
      <c r="F368" s="537"/>
      <c r="G368" s="537"/>
      <c r="H368" s="537"/>
      <c r="I368" s="537"/>
      <c r="J368" s="537"/>
      <c r="K368" s="537"/>
      <c r="L368" s="537"/>
      <c r="M368" s="537"/>
      <c r="N368" s="537"/>
      <c r="O368" s="537"/>
      <c r="P368" s="537"/>
      <c r="Q368" s="537"/>
      <c r="R368" s="537"/>
      <c r="S368" s="537"/>
      <c r="T368" s="537"/>
      <c r="U368" s="537"/>
      <c r="V368" s="537"/>
      <c r="W368" s="537"/>
      <c r="X368" s="537"/>
      <c r="Y368" s="537"/>
      <c r="Z368" s="537"/>
    </row>
    <row r="369">
      <c r="A369" s="537"/>
      <c r="B369" s="537"/>
      <c r="C369" s="538"/>
      <c r="D369" s="537"/>
      <c r="E369" s="537"/>
      <c r="F369" s="537"/>
      <c r="G369" s="537"/>
      <c r="H369" s="537"/>
      <c r="I369" s="537"/>
      <c r="J369" s="537"/>
      <c r="K369" s="537"/>
      <c r="L369" s="537"/>
      <c r="M369" s="537"/>
      <c r="N369" s="537"/>
      <c r="O369" s="537"/>
      <c r="P369" s="537"/>
      <c r="Q369" s="537"/>
      <c r="R369" s="537"/>
      <c r="S369" s="537"/>
      <c r="T369" s="537"/>
      <c r="U369" s="537"/>
      <c r="V369" s="537"/>
      <c r="W369" s="537"/>
      <c r="X369" s="537"/>
      <c r="Y369" s="537"/>
      <c r="Z369" s="537"/>
    </row>
    <row r="370">
      <c r="A370" s="537"/>
      <c r="B370" s="537"/>
      <c r="C370" s="538"/>
      <c r="D370" s="537"/>
      <c r="E370" s="537"/>
      <c r="F370" s="537"/>
      <c r="G370" s="537"/>
      <c r="H370" s="537"/>
      <c r="I370" s="537"/>
      <c r="J370" s="537"/>
      <c r="K370" s="537"/>
      <c r="L370" s="537"/>
      <c r="M370" s="537"/>
      <c r="N370" s="537"/>
      <c r="O370" s="537"/>
      <c r="P370" s="537"/>
      <c r="Q370" s="537"/>
      <c r="R370" s="537"/>
      <c r="S370" s="537"/>
      <c r="T370" s="537"/>
      <c r="U370" s="537"/>
      <c r="V370" s="537"/>
      <c r="W370" s="537"/>
      <c r="X370" s="537"/>
      <c r="Y370" s="537"/>
      <c r="Z370" s="537"/>
    </row>
    <row r="371">
      <c r="A371" s="537"/>
      <c r="B371" s="537"/>
      <c r="C371" s="538"/>
      <c r="D371" s="537"/>
      <c r="E371" s="537"/>
      <c r="F371" s="537"/>
      <c r="G371" s="537"/>
      <c r="H371" s="537"/>
      <c r="I371" s="537"/>
      <c r="J371" s="537"/>
      <c r="K371" s="537"/>
      <c r="L371" s="537"/>
      <c r="M371" s="537"/>
      <c r="N371" s="537"/>
      <c r="O371" s="537"/>
      <c r="P371" s="537"/>
      <c r="Q371" s="537"/>
      <c r="R371" s="537"/>
      <c r="S371" s="537"/>
      <c r="T371" s="537"/>
      <c r="U371" s="537"/>
      <c r="V371" s="537"/>
      <c r="W371" s="537"/>
      <c r="X371" s="537"/>
      <c r="Y371" s="537"/>
      <c r="Z371" s="537"/>
    </row>
    <row r="372">
      <c r="A372" s="537"/>
      <c r="B372" s="537"/>
      <c r="C372" s="538"/>
      <c r="D372" s="537"/>
      <c r="E372" s="537"/>
      <c r="F372" s="537"/>
      <c r="G372" s="537"/>
      <c r="H372" s="537"/>
      <c r="I372" s="537"/>
      <c r="J372" s="537"/>
      <c r="K372" s="537"/>
      <c r="L372" s="537"/>
      <c r="M372" s="537"/>
      <c r="N372" s="537"/>
      <c r="O372" s="537"/>
      <c r="P372" s="537"/>
      <c r="Q372" s="537"/>
      <c r="R372" s="537"/>
      <c r="S372" s="537"/>
      <c r="T372" s="537"/>
      <c r="U372" s="537"/>
      <c r="V372" s="537"/>
      <c r="W372" s="537"/>
      <c r="X372" s="537"/>
      <c r="Y372" s="537"/>
      <c r="Z372" s="537"/>
    </row>
    <row r="373">
      <c r="A373" s="537"/>
      <c r="B373" s="537"/>
      <c r="C373" s="538"/>
      <c r="D373" s="537"/>
      <c r="E373" s="537"/>
      <c r="F373" s="537"/>
      <c r="G373" s="537"/>
      <c r="H373" s="537"/>
      <c r="I373" s="537"/>
      <c r="J373" s="537"/>
      <c r="K373" s="537"/>
      <c r="L373" s="537"/>
      <c r="M373" s="537"/>
      <c r="N373" s="537"/>
      <c r="O373" s="537"/>
      <c r="P373" s="537"/>
      <c r="Q373" s="537"/>
      <c r="R373" s="537"/>
      <c r="S373" s="537"/>
      <c r="T373" s="537"/>
      <c r="U373" s="537"/>
      <c r="V373" s="537"/>
      <c r="W373" s="537"/>
      <c r="X373" s="537"/>
      <c r="Y373" s="537"/>
      <c r="Z373" s="537"/>
    </row>
    <row r="374">
      <c r="A374" s="537"/>
      <c r="B374" s="537"/>
      <c r="C374" s="538"/>
      <c r="D374" s="537"/>
      <c r="E374" s="537"/>
      <c r="F374" s="537"/>
      <c r="G374" s="537"/>
      <c r="H374" s="537"/>
      <c r="I374" s="537"/>
      <c r="J374" s="537"/>
      <c r="K374" s="537"/>
      <c r="L374" s="537"/>
      <c r="M374" s="537"/>
      <c r="N374" s="537"/>
      <c r="O374" s="537"/>
      <c r="P374" s="537"/>
      <c r="Q374" s="537"/>
      <c r="R374" s="537"/>
      <c r="S374" s="537"/>
      <c r="T374" s="537"/>
      <c r="U374" s="537"/>
      <c r="V374" s="537"/>
      <c r="W374" s="537"/>
      <c r="X374" s="537"/>
      <c r="Y374" s="537"/>
      <c r="Z374" s="537"/>
    </row>
    <row r="375">
      <c r="A375" s="537"/>
      <c r="B375" s="537"/>
      <c r="C375" s="538"/>
      <c r="D375" s="537"/>
      <c r="E375" s="537"/>
      <c r="F375" s="537"/>
      <c r="G375" s="537"/>
      <c r="H375" s="537"/>
      <c r="I375" s="537"/>
      <c r="J375" s="537"/>
      <c r="K375" s="537"/>
      <c r="L375" s="537"/>
      <c r="M375" s="537"/>
      <c r="N375" s="537"/>
      <c r="O375" s="537"/>
      <c r="P375" s="537"/>
      <c r="Q375" s="537"/>
      <c r="R375" s="537"/>
      <c r="S375" s="537"/>
      <c r="T375" s="537"/>
      <c r="U375" s="537"/>
      <c r="V375" s="537"/>
      <c r="W375" s="537"/>
      <c r="X375" s="537"/>
      <c r="Y375" s="537"/>
      <c r="Z375" s="537"/>
    </row>
    <row r="376">
      <c r="A376" s="537"/>
      <c r="B376" s="537"/>
      <c r="C376" s="538"/>
      <c r="D376" s="537"/>
      <c r="E376" s="537"/>
      <c r="F376" s="537"/>
      <c r="G376" s="537"/>
      <c r="H376" s="537"/>
      <c r="I376" s="537"/>
      <c r="J376" s="537"/>
      <c r="K376" s="537"/>
      <c r="L376" s="537"/>
      <c r="M376" s="537"/>
      <c r="N376" s="537"/>
      <c r="O376" s="537"/>
      <c r="P376" s="537"/>
      <c r="Q376" s="537"/>
      <c r="R376" s="537"/>
      <c r="S376" s="537"/>
      <c r="T376" s="537"/>
      <c r="U376" s="537"/>
      <c r="V376" s="537"/>
      <c r="W376" s="537"/>
      <c r="X376" s="537"/>
      <c r="Y376" s="537"/>
      <c r="Z376" s="537"/>
    </row>
    <row r="377">
      <c r="A377" s="537"/>
      <c r="B377" s="537"/>
      <c r="C377" s="538"/>
      <c r="D377" s="537"/>
      <c r="E377" s="537"/>
      <c r="F377" s="537"/>
      <c r="G377" s="537"/>
      <c r="H377" s="537"/>
      <c r="I377" s="537"/>
      <c r="J377" s="537"/>
      <c r="K377" s="537"/>
      <c r="L377" s="537"/>
      <c r="M377" s="537"/>
      <c r="N377" s="537"/>
      <c r="O377" s="537"/>
      <c r="P377" s="537"/>
      <c r="Q377" s="537"/>
      <c r="R377" s="537"/>
      <c r="S377" s="537"/>
      <c r="T377" s="537"/>
      <c r="U377" s="537"/>
      <c r="V377" s="537"/>
      <c r="W377" s="537"/>
      <c r="X377" s="537"/>
      <c r="Y377" s="537"/>
      <c r="Z377" s="537"/>
    </row>
    <row r="378">
      <c r="A378" s="537"/>
      <c r="B378" s="537"/>
      <c r="C378" s="538"/>
      <c r="D378" s="537"/>
      <c r="E378" s="537"/>
      <c r="F378" s="537"/>
      <c r="G378" s="537"/>
      <c r="H378" s="537"/>
      <c r="I378" s="537"/>
      <c r="J378" s="537"/>
      <c r="K378" s="537"/>
      <c r="L378" s="537"/>
      <c r="M378" s="537"/>
      <c r="N378" s="537"/>
      <c r="O378" s="537"/>
      <c r="P378" s="537"/>
      <c r="Q378" s="537"/>
      <c r="R378" s="537"/>
      <c r="S378" s="537"/>
      <c r="T378" s="537"/>
      <c r="U378" s="537"/>
      <c r="V378" s="537"/>
      <c r="W378" s="537"/>
      <c r="X378" s="537"/>
      <c r="Y378" s="537"/>
      <c r="Z378" s="537"/>
    </row>
    <row r="379">
      <c r="A379" s="537"/>
      <c r="B379" s="537"/>
      <c r="C379" s="538"/>
      <c r="D379" s="537"/>
      <c r="E379" s="537"/>
      <c r="F379" s="537"/>
      <c r="G379" s="537"/>
      <c r="H379" s="537"/>
      <c r="I379" s="537"/>
      <c r="J379" s="537"/>
      <c r="K379" s="537"/>
      <c r="L379" s="537"/>
      <c r="M379" s="537"/>
      <c r="N379" s="537"/>
      <c r="O379" s="537"/>
      <c r="P379" s="537"/>
      <c r="Q379" s="537"/>
      <c r="R379" s="537"/>
      <c r="S379" s="537"/>
      <c r="T379" s="537"/>
      <c r="U379" s="537"/>
      <c r="V379" s="537"/>
      <c r="W379" s="537"/>
      <c r="X379" s="537"/>
      <c r="Y379" s="537"/>
      <c r="Z379" s="537"/>
    </row>
    <row r="380">
      <c r="A380" s="537"/>
      <c r="B380" s="537"/>
      <c r="C380" s="538"/>
      <c r="D380" s="537"/>
      <c r="E380" s="537"/>
      <c r="F380" s="537"/>
      <c r="G380" s="537"/>
      <c r="H380" s="537"/>
      <c r="I380" s="537"/>
      <c r="J380" s="537"/>
      <c r="K380" s="537"/>
      <c r="L380" s="537"/>
      <c r="M380" s="537"/>
      <c r="N380" s="537"/>
      <c r="O380" s="537"/>
      <c r="P380" s="537"/>
      <c r="Q380" s="537"/>
      <c r="R380" s="537"/>
      <c r="S380" s="537"/>
      <c r="T380" s="537"/>
      <c r="U380" s="537"/>
      <c r="V380" s="537"/>
      <c r="W380" s="537"/>
      <c r="X380" s="537"/>
      <c r="Y380" s="537"/>
      <c r="Z380" s="537"/>
    </row>
    <row r="381">
      <c r="A381" s="537"/>
      <c r="B381" s="537"/>
      <c r="C381" s="538"/>
      <c r="D381" s="537"/>
      <c r="E381" s="537"/>
      <c r="F381" s="537"/>
      <c r="G381" s="537"/>
      <c r="H381" s="537"/>
      <c r="I381" s="537"/>
      <c r="J381" s="537"/>
      <c r="K381" s="537"/>
      <c r="L381" s="537"/>
      <c r="M381" s="537"/>
      <c r="N381" s="537"/>
      <c r="O381" s="537"/>
      <c r="P381" s="537"/>
      <c r="Q381" s="537"/>
      <c r="R381" s="537"/>
      <c r="S381" s="537"/>
      <c r="T381" s="537"/>
      <c r="U381" s="537"/>
      <c r="V381" s="537"/>
      <c r="W381" s="537"/>
      <c r="X381" s="537"/>
      <c r="Y381" s="537"/>
      <c r="Z381" s="537"/>
    </row>
    <row r="382">
      <c r="A382" s="537"/>
      <c r="B382" s="537"/>
      <c r="C382" s="538"/>
      <c r="D382" s="537"/>
      <c r="E382" s="537"/>
      <c r="F382" s="537"/>
      <c r="G382" s="537"/>
      <c r="H382" s="537"/>
      <c r="I382" s="537"/>
      <c r="J382" s="537"/>
      <c r="K382" s="537"/>
      <c r="L382" s="537"/>
      <c r="M382" s="537"/>
      <c r="N382" s="537"/>
      <c r="O382" s="537"/>
      <c r="P382" s="537"/>
      <c r="Q382" s="537"/>
      <c r="R382" s="537"/>
      <c r="S382" s="537"/>
      <c r="T382" s="537"/>
      <c r="U382" s="537"/>
      <c r="V382" s="537"/>
      <c r="W382" s="537"/>
      <c r="X382" s="537"/>
      <c r="Y382" s="537"/>
      <c r="Z382" s="537"/>
    </row>
    <row r="383">
      <c r="A383" s="537"/>
      <c r="B383" s="537"/>
      <c r="C383" s="538"/>
      <c r="D383" s="537"/>
      <c r="E383" s="537"/>
      <c r="F383" s="537"/>
      <c r="G383" s="537"/>
      <c r="H383" s="537"/>
      <c r="I383" s="537"/>
      <c r="J383" s="537"/>
      <c r="K383" s="537"/>
      <c r="L383" s="537"/>
      <c r="M383" s="537"/>
      <c r="N383" s="537"/>
      <c r="O383" s="537"/>
      <c r="P383" s="537"/>
      <c r="Q383" s="537"/>
      <c r="R383" s="537"/>
      <c r="S383" s="537"/>
      <c r="T383" s="537"/>
      <c r="U383" s="537"/>
      <c r="V383" s="537"/>
      <c r="W383" s="537"/>
      <c r="X383" s="537"/>
      <c r="Y383" s="537"/>
      <c r="Z383" s="537"/>
    </row>
    <row r="384">
      <c r="A384" s="537"/>
      <c r="B384" s="537"/>
      <c r="C384" s="538"/>
      <c r="D384" s="537"/>
      <c r="E384" s="537"/>
      <c r="F384" s="537"/>
      <c r="G384" s="537"/>
      <c r="H384" s="537"/>
      <c r="I384" s="537"/>
      <c r="J384" s="537"/>
      <c r="K384" s="537"/>
      <c r="L384" s="537"/>
      <c r="M384" s="537"/>
      <c r="N384" s="537"/>
      <c r="O384" s="537"/>
      <c r="P384" s="537"/>
      <c r="Q384" s="537"/>
      <c r="R384" s="537"/>
      <c r="S384" s="537"/>
      <c r="T384" s="537"/>
      <c r="U384" s="537"/>
      <c r="V384" s="537"/>
      <c r="W384" s="537"/>
      <c r="X384" s="537"/>
      <c r="Y384" s="537"/>
      <c r="Z384" s="537"/>
    </row>
    <row r="385">
      <c r="A385" s="537"/>
      <c r="B385" s="537"/>
      <c r="C385" s="538"/>
      <c r="D385" s="537"/>
      <c r="E385" s="537"/>
      <c r="F385" s="537"/>
      <c r="G385" s="537"/>
      <c r="H385" s="537"/>
      <c r="I385" s="537"/>
      <c r="J385" s="537"/>
      <c r="K385" s="537"/>
      <c r="L385" s="537"/>
      <c r="M385" s="537"/>
      <c r="N385" s="537"/>
      <c r="O385" s="537"/>
      <c r="P385" s="537"/>
      <c r="Q385" s="537"/>
      <c r="R385" s="537"/>
      <c r="S385" s="537"/>
      <c r="T385" s="537"/>
      <c r="U385" s="537"/>
      <c r="V385" s="537"/>
      <c r="W385" s="537"/>
      <c r="X385" s="537"/>
      <c r="Y385" s="537"/>
      <c r="Z385" s="537"/>
    </row>
    <row r="386">
      <c r="A386" s="537"/>
      <c r="B386" s="537"/>
      <c r="C386" s="538"/>
      <c r="D386" s="537"/>
      <c r="E386" s="537"/>
      <c r="F386" s="537"/>
      <c r="G386" s="537"/>
      <c r="H386" s="537"/>
      <c r="I386" s="537"/>
      <c r="J386" s="537"/>
      <c r="K386" s="537"/>
      <c r="L386" s="537"/>
      <c r="M386" s="537"/>
      <c r="N386" s="537"/>
      <c r="O386" s="537"/>
      <c r="P386" s="537"/>
      <c r="Q386" s="537"/>
      <c r="R386" s="537"/>
      <c r="S386" s="537"/>
      <c r="T386" s="537"/>
      <c r="U386" s="537"/>
      <c r="V386" s="537"/>
      <c r="W386" s="537"/>
      <c r="X386" s="537"/>
      <c r="Y386" s="537"/>
      <c r="Z386" s="537"/>
    </row>
    <row r="387">
      <c r="A387" s="537"/>
      <c r="B387" s="537"/>
      <c r="C387" s="538"/>
      <c r="D387" s="537"/>
      <c r="E387" s="537"/>
      <c r="F387" s="537"/>
      <c r="G387" s="537"/>
      <c r="H387" s="537"/>
      <c r="I387" s="537"/>
      <c r="J387" s="537"/>
      <c r="K387" s="537"/>
      <c r="L387" s="537"/>
      <c r="M387" s="537"/>
      <c r="N387" s="537"/>
      <c r="O387" s="537"/>
      <c r="P387" s="537"/>
      <c r="Q387" s="537"/>
      <c r="R387" s="537"/>
      <c r="S387" s="537"/>
      <c r="T387" s="537"/>
      <c r="U387" s="537"/>
      <c r="V387" s="537"/>
      <c r="W387" s="537"/>
      <c r="X387" s="537"/>
      <c r="Y387" s="537"/>
      <c r="Z387" s="537"/>
    </row>
    <row r="388">
      <c r="A388" s="537"/>
      <c r="B388" s="537"/>
      <c r="C388" s="538"/>
      <c r="D388" s="537"/>
      <c r="E388" s="537"/>
      <c r="F388" s="537"/>
      <c r="G388" s="537"/>
      <c r="H388" s="537"/>
      <c r="I388" s="537"/>
      <c r="J388" s="537"/>
      <c r="K388" s="537"/>
      <c r="L388" s="537"/>
      <c r="M388" s="537"/>
      <c r="N388" s="537"/>
      <c r="O388" s="537"/>
      <c r="P388" s="537"/>
      <c r="Q388" s="537"/>
      <c r="R388" s="537"/>
      <c r="S388" s="537"/>
      <c r="T388" s="537"/>
      <c r="U388" s="537"/>
      <c r="V388" s="537"/>
      <c r="W388" s="537"/>
      <c r="X388" s="537"/>
      <c r="Y388" s="537"/>
      <c r="Z388" s="537"/>
    </row>
    <row r="389">
      <c r="A389" s="537"/>
      <c r="B389" s="537"/>
      <c r="C389" s="538"/>
      <c r="D389" s="537"/>
      <c r="E389" s="537"/>
      <c r="F389" s="537"/>
      <c r="G389" s="537"/>
      <c r="H389" s="537"/>
      <c r="I389" s="537"/>
      <c r="J389" s="537"/>
      <c r="K389" s="537"/>
      <c r="L389" s="537"/>
      <c r="M389" s="537"/>
      <c r="N389" s="537"/>
      <c r="O389" s="537"/>
      <c r="P389" s="537"/>
      <c r="Q389" s="537"/>
      <c r="R389" s="537"/>
      <c r="S389" s="537"/>
      <c r="T389" s="537"/>
      <c r="U389" s="537"/>
      <c r="V389" s="537"/>
      <c r="W389" s="537"/>
      <c r="X389" s="537"/>
      <c r="Y389" s="537"/>
      <c r="Z389" s="537"/>
    </row>
    <row r="390">
      <c r="A390" s="537"/>
      <c r="B390" s="537"/>
      <c r="C390" s="538"/>
      <c r="D390" s="537"/>
      <c r="E390" s="537"/>
      <c r="F390" s="537"/>
      <c r="G390" s="537"/>
      <c r="H390" s="537"/>
      <c r="I390" s="537"/>
      <c r="J390" s="537"/>
      <c r="K390" s="537"/>
      <c r="L390" s="537"/>
      <c r="M390" s="537"/>
      <c r="N390" s="537"/>
      <c r="O390" s="537"/>
      <c r="P390" s="537"/>
      <c r="Q390" s="537"/>
      <c r="R390" s="537"/>
      <c r="S390" s="537"/>
      <c r="T390" s="537"/>
      <c r="U390" s="537"/>
      <c r="V390" s="537"/>
      <c r="W390" s="537"/>
      <c r="X390" s="537"/>
      <c r="Y390" s="537"/>
      <c r="Z390" s="537"/>
    </row>
    <row r="391">
      <c r="A391" s="537"/>
      <c r="B391" s="537"/>
      <c r="C391" s="538"/>
      <c r="D391" s="537"/>
      <c r="E391" s="537"/>
      <c r="F391" s="537"/>
      <c r="G391" s="537"/>
      <c r="H391" s="537"/>
      <c r="I391" s="537"/>
      <c r="J391" s="537"/>
      <c r="K391" s="537"/>
      <c r="L391" s="537"/>
      <c r="M391" s="537"/>
      <c r="N391" s="537"/>
      <c r="O391" s="537"/>
      <c r="P391" s="537"/>
      <c r="Q391" s="537"/>
      <c r="R391" s="537"/>
      <c r="S391" s="537"/>
      <c r="T391" s="537"/>
      <c r="U391" s="537"/>
      <c r="V391" s="537"/>
      <c r="W391" s="537"/>
      <c r="X391" s="537"/>
      <c r="Y391" s="537"/>
      <c r="Z391" s="537"/>
    </row>
    <row r="392">
      <c r="A392" s="537"/>
      <c r="B392" s="537"/>
      <c r="C392" s="538"/>
      <c r="D392" s="537"/>
      <c r="E392" s="537"/>
      <c r="F392" s="537"/>
      <c r="G392" s="537"/>
      <c r="H392" s="537"/>
      <c r="I392" s="537"/>
      <c r="J392" s="537"/>
      <c r="K392" s="537"/>
      <c r="L392" s="537"/>
      <c r="M392" s="537"/>
      <c r="N392" s="537"/>
      <c r="O392" s="537"/>
      <c r="P392" s="537"/>
      <c r="Q392" s="537"/>
      <c r="R392" s="537"/>
      <c r="S392" s="537"/>
      <c r="T392" s="537"/>
      <c r="U392" s="537"/>
      <c r="V392" s="537"/>
      <c r="W392" s="537"/>
      <c r="X392" s="537"/>
      <c r="Y392" s="537"/>
      <c r="Z392" s="537"/>
    </row>
    <row r="393">
      <c r="A393" s="537"/>
      <c r="B393" s="537"/>
      <c r="C393" s="538"/>
      <c r="D393" s="537"/>
      <c r="E393" s="537"/>
      <c r="F393" s="537"/>
      <c r="G393" s="537"/>
      <c r="H393" s="537"/>
      <c r="I393" s="537"/>
      <c r="J393" s="537"/>
      <c r="K393" s="537"/>
      <c r="L393" s="537"/>
      <c r="M393" s="537"/>
      <c r="N393" s="537"/>
      <c r="O393" s="537"/>
      <c r="P393" s="537"/>
      <c r="Q393" s="537"/>
      <c r="R393" s="537"/>
      <c r="S393" s="537"/>
      <c r="T393" s="537"/>
      <c r="U393" s="537"/>
      <c r="V393" s="537"/>
      <c r="W393" s="537"/>
      <c r="X393" s="537"/>
      <c r="Y393" s="537"/>
      <c r="Z393" s="537"/>
    </row>
    <row r="394">
      <c r="A394" s="537"/>
      <c r="B394" s="537"/>
      <c r="C394" s="538"/>
      <c r="D394" s="537"/>
      <c r="E394" s="537"/>
      <c r="F394" s="537"/>
      <c r="G394" s="537"/>
      <c r="H394" s="537"/>
      <c r="I394" s="537"/>
      <c r="J394" s="537"/>
      <c r="K394" s="537"/>
      <c r="L394" s="537"/>
      <c r="M394" s="537"/>
      <c r="N394" s="537"/>
      <c r="O394" s="537"/>
      <c r="P394" s="537"/>
      <c r="Q394" s="537"/>
      <c r="R394" s="537"/>
      <c r="S394" s="537"/>
      <c r="T394" s="537"/>
      <c r="U394" s="537"/>
      <c r="V394" s="537"/>
      <c r="W394" s="537"/>
      <c r="X394" s="537"/>
      <c r="Y394" s="537"/>
      <c r="Z394" s="537"/>
    </row>
    <row r="395">
      <c r="A395" s="537"/>
      <c r="B395" s="537"/>
      <c r="C395" s="538"/>
      <c r="D395" s="537"/>
      <c r="E395" s="537"/>
      <c r="F395" s="537"/>
      <c r="G395" s="537"/>
      <c r="H395" s="537"/>
      <c r="I395" s="537"/>
      <c r="J395" s="537"/>
      <c r="K395" s="537"/>
      <c r="L395" s="537"/>
      <c r="M395" s="537"/>
      <c r="N395" s="537"/>
      <c r="O395" s="537"/>
      <c r="P395" s="537"/>
      <c r="Q395" s="537"/>
      <c r="R395" s="537"/>
      <c r="S395" s="537"/>
      <c r="T395" s="537"/>
      <c r="U395" s="537"/>
      <c r="V395" s="537"/>
      <c r="W395" s="537"/>
      <c r="X395" s="537"/>
      <c r="Y395" s="537"/>
      <c r="Z395" s="537"/>
    </row>
    <row r="396">
      <c r="A396" s="537"/>
      <c r="B396" s="537"/>
      <c r="C396" s="538"/>
      <c r="D396" s="537"/>
      <c r="E396" s="537"/>
      <c r="F396" s="537"/>
      <c r="G396" s="537"/>
      <c r="H396" s="537"/>
      <c r="I396" s="537"/>
      <c r="J396" s="537"/>
      <c r="K396" s="537"/>
      <c r="L396" s="537"/>
      <c r="M396" s="537"/>
      <c r="N396" s="537"/>
      <c r="O396" s="537"/>
      <c r="P396" s="537"/>
      <c r="Q396" s="537"/>
      <c r="R396" s="537"/>
      <c r="S396" s="537"/>
      <c r="T396" s="537"/>
      <c r="U396" s="537"/>
      <c r="V396" s="537"/>
      <c r="W396" s="537"/>
      <c r="X396" s="537"/>
      <c r="Y396" s="537"/>
      <c r="Z396" s="537"/>
    </row>
    <row r="397">
      <c r="A397" s="537"/>
      <c r="B397" s="537"/>
      <c r="C397" s="538"/>
      <c r="D397" s="537"/>
      <c r="E397" s="537"/>
      <c r="F397" s="537"/>
      <c r="G397" s="537"/>
      <c r="H397" s="537"/>
      <c r="I397" s="537"/>
      <c r="J397" s="537"/>
      <c r="K397" s="537"/>
      <c r="L397" s="537"/>
      <c r="M397" s="537"/>
      <c r="N397" s="537"/>
      <c r="O397" s="537"/>
      <c r="P397" s="537"/>
      <c r="Q397" s="537"/>
      <c r="R397" s="537"/>
      <c r="S397" s="537"/>
      <c r="T397" s="537"/>
      <c r="U397" s="537"/>
      <c r="V397" s="537"/>
      <c r="W397" s="537"/>
      <c r="X397" s="537"/>
      <c r="Y397" s="537"/>
      <c r="Z397" s="537"/>
    </row>
    <row r="398">
      <c r="A398" s="537"/>
      <c r="B398" s="537"/>
      <c r="C398" s="538"/>
      <c r="D398" s="537"/>
      <c r="E398" s="537"/>
      <c r="F398" s="537"/>
      <c r="G398" s="537"/>
      <c r="H398" s="537"/>
      <c r="I398" s="537"/>
      <c r="J398" s="537"/>
      <c r="K398" s="537"/>
      <c r="L398" s="537"/>
      <c r="M398" s="537"/>
      <c r="N398" s="537"/>
      <c r="O398" s="537"/>
      <c r="P398" s="537"/>
      <c r="Q398" s="537"/>
      <c r="R398" s="537"/>
      <c r="S398" s="537"/>
      <c r="T398" s="537"/>
      <c r="U398" s="537"/>
      <c r="V398" s="537"/>
      <c r="W398" s="537"/>
      <c r="X398" s="537"/>
      <c r="Y398" s="537"/>
      <c r="Z398" s="537"/>
    </row>
    <row r="399">
      <c r="A399" s="537"/>
      <c r="B399" s="537"/>
      <c r="C399" s="538"/>
      <c r="D399" s="537"/>
      <c r="E399" s="537"/>
      <c r="F399" s="537"/>
      <c r="G399" s="537"/>
      <c r="H399" s="537"/>
      <c r="I399" s="537"/>
      <c r="J399" s="537"/>
      <c r="K399" s="537"/>
      <c r="L399" s="537"/>
      <c r="M399" s="537"/>
      <c r="N399" s="537"/>
      <c r="O399" s="537"/>
      <c r="P399" s="537"/>
      <c r="Q399" s="537"/>
      <c r="R399" s="537"/>
      <c r="S399" s="537"/>
      <c r="T399" s="537"/>
      <c r="U399" s="537"/>
      <c r="V399" s="537"/>
      <c r="W399" s="537"/>
      <c r="X399" s="537"/>
      <c r="Y399" s="537"/>
      <c r="Z399" s="537"/>
    </row>
    <row r="400">
      <c r="A400" s="537"/>
      <c r="B400" s="537"/>
      <c r="C400" s="538"/>
      <c r="D400" s="537"/>
      <c r="E400" s="537"/>
      <c r="F400" s="537"/>
      <c r="G400" s="537"/>
      <c r="H400" s="537"/>
      <c r="I400" s="537"/>
      <c r="J400" s="537"/>
      <c r="K400" s="537"/>
      <c r="L400" s="537"/>
      <c r="M400" s="537"/>
      <c r="N400" s="537"/>
      <c r="O400" s="537"/>
      <c r="P400" s="537"/>
      <c r="Q400" s="537"/>
      <c r="R400" s="537"/>
      <c r="S400" s="537"/>
      <c r="T400" s="537"/>
      <c r="U400" s="537"/>
      <c r="V400" s="537"/>
      <c r="W400" s="537"/>
      <c r="X400" s="537"/>
      <c r="Y400" s="537"/>
      <c r="Z400" s="537"/>
    </row>
    <row r="401">
      <c r="A401" s="537"/>
      <c r="B401" s="537"/>
      <c r="C401" s="538"/>
      <c r="D401" s="537"/>
      <c r="E401" s="537"/>
      <c r="F401" s="537"/>
      <c r="G401" s="537"/>
      <c r="H401" s="537"/>
      <c r="I401" s="537"/>
      <c r="J401" s="537"/>
      <c r="K401" s="537"/>
      <c r="L401" s="537"/>
      <c r="M401" s="537"/>
      <c r="N401" s="537"/>
      <c r="O401" s="537"/>
      <c r="P401" s="537"/>
      <c r="Q401" s="537"/>
      <c r="R401" s="537"/>
      <c r="S401" s="537"/>
      <c r="T401" s="537"/>
      <c r="U401" s="537"/>
      <c r="V401" s="537"/>
      <c r="W401" s="537"/>
      <c r="X401" s="537"/>
      <c r="Y401" s="537"/>
      <c r="Z401" s="537"/>
    </row>
    <row r="402">
      <c r="A402" s="537"/>
      <c r="B402" s="537"/>
      <c r="C402" s="538"/>
      <c r="D402" s="537"/>
      <c r="E402" s="537"/>
      <c r="F402" s="537"/>
      <c r="G402" s="537"/>
      <c r="H402" s="537"/>
      <c r="I402" s="537"/>
      <c r="J402" s="537"/>
      <c r="K402" s="537"/>
      <c r="L402" s="537"/>
      <c r="M402" s="537"/>
      <c r="N402" s="537"/>
      <c r="O402" s="537"/>
      <c r="P402" s="537"/>
      <c r="Q402" s="537"/>
      <c r="R402" s="537"/>
      <c r="S402" s="537"/>
      <c r="T402" s="537"/>
      <c r="U402" s="537"/>
      <c r="V402" s="537"/>
      <c r="W402" s="537"/>
      <c r="X402" s="537"/>
      <c r="Y402" s="537"/>
      <c r="Z402" s="537"/>
    </row>
    <row r="403">
      <c r="A403" s="537"/>
      <c r="B403" s="537"/>
      <c r="C403" s="538"/>
      <c r="D403" s="537"/>
      <c r="E403" s="537"/>
      <c r="F403" s="537"/>
      <c r="G403" s="537"/>
      <c r="H403" s="537"/>
      <c r="I403" s="537"/>
      <c r="J403" s="537"/>
      <c r="K403" s="537"/>
      <c r="L403" s="537"/>
      <c r="M403" s="537"/>
      <c r="N403" s="537"/>
      <c r="O403" s="537"/>
      <c r="P403" s="537"/>
      <c r="Q403" s="537"/>
      <c r="R403" s="537"/>
      <c r="S403" s="537"/>
      <c r="T403" s="537"/>
      <c r="U403" s="537"/>
      <c r="V403" s="537"/>
      <c r="W403" s="537"/>
      <c r="X403" s="537"/>
      <c r="Y403" s="537"/>
      <c r="Z403" s="537"/>
    </row>
    <row r="404">
      <c r="A404" s="537"/>
      <c r="B404" s="537"/>
      <c r="C404" s="538"/>
      <c r="D404" s="537"/>
      <c r="E404" s="537"/>
      <c r="F404" s="537"/>
      <c r="G404" s="537"/>
      <c r="H404" s="537"/>
      <c r="I404" s="537"/>
      <c r="J404" s="537"/>
      <c r="K404" s="537"/>
      <c r="L404" s="537"/>
      <c r="M404" s="537"/>
      <c r="N404" s="537"/>
      <c r="O404" s="537"/>
      <c r="P404" s="537"/>
      <c r="Q404" s="537"/>
      <c r="R404" s="537"/>
      <c r="S404" s="537"/>
      <c r="T404" s="537"/>
      <c r="U404" s="537"/>
      <c r="V404" s="537"/>
      <c r="W404" s="537"/>
      <c r="X404" s="537"/>
      <c r="Y404" s="537"/>
      <c r="Z404" s="537"/>
    </row>
    <row r="405">
      <c r="A405" s="537"/>
      <c r="B405" s="537"/>
      <c r="C405" s="538"/>
      <c r="D405" s="537"/>
      <c r="E405" s="537"/>
      <c r="F405" s="537"/>
      <c r="G405" s="537"/>
      <c r="H405" s="537"/>
      <c r="I405" s="537"/>
      <c r="J405" s="537"/>
      <c r="K405" s="537"/>
      <c r="L405" s="537"/>
      <c r="M405" s="537"/>
      <c r="N405" s="537"/>
      <c r="O405" s="537"/>
      <c r="P405" s="537"/>
      <c r="Q405" s="537"/>
      <c r="R405" s="537"/>
      <c r="S405" s="537"/>
      <c r="T405" s="537"/>
      <c r="U405" s="537"/>
      <c r="V405" s="537"/>
      <c r="W405" s="537"/>
      <c r="X405" s="537"/>
      <c r="Y405" s="537"/>
      <c r="Z405" s="537"/>
    </row>
    <row r="406">
      <c r="A406" s="537"/>
      <c r="B406" s="537"/>
      <c r="C406" s="538"/>
      <c r="D406" s="537"/>
      <c r="E406" s="537"/>
      <c r="F406" s="537"/>
      <c r="G406" s="537"/>
      <c r="H406" s="537"/>
      <c r="I406" s="537"/>
      <c r="J406" s="537"/>
      <c r="K406" s="537"/>
      <c r="L406" s="537"/>
      <c r="M406" s="537"/>
      <c r="N406" s="537"/>
      <c r="O406" s="537"/>
      <c r="P406" s="537"/>
      <c r="Q406" s="537"/>
      <c r="R406" s="537"/>
      <c r="S406" s="537"/>
      <c r="T406" s="537"/>
      <c r="U406" s="537"/>
      <c r="V406" s="537"/>
      <c r="W406" s="537"/>
      <c r="X406" s="537"/>
      <c r="Y406" s="537"/>
      <c r="Z406" s="537"/>
    </row>
    <row r="407">
      <c r="A407" s="537"/>
      <c r="B407" s="537"/>
      <c r="C407" s="538"/>
      <c r="D407" s="537"/>
      <c r="E407" s="537"/>
      <c r="F407" s="537"/>
      <c r="G407" s="537"/>
      <c r="H407" s="537"/>
      <c r="I407" s="537"/>
      <c r="J407" s="537"/>
      <c r="K407" s="537"/>
      <c r="L407" s="537"/>
      <c r="M407" s="537"/>
      <c r="N407" s="537"/>
      <c r="O407" s="537"/>
      <c r="P407" s="537"/>
      <c r="Q407" s="537"/>
      <c r="R407" s="537"/>
      <c r="S407" s="537"/>
      <c r="T407" s="537"/>
      <c r="U407" s="537"/>
      <c r="V407" s="537"/>
      <c r="W407" s="537"/>
      <c r="X407" s="537"/>
      <c r="Y407" s="537"/>
      <c r="Z407" s="537"/>
    </row>
    <row r="408">
      <c r="A408" s="537"/>
      <c r="B408" s="537"/>
      <c r="C408" s="538"/>
      <c r="D408" s="537"/>
      <c r="E408" s="537"/>
      <c r="F408" s="537"/>
      <c r="G408" s="537"/>
      <c r="H408" s="537"/>
      <c r="I408" s="537"/>
      <c r="J408" s="537"/>
      <c r="K408" s="537"/>
      <c r="L408" s="537"/>
      <c r="M408" s="537"/>
      <c r="N408" s="537"/>
      <c r="O408" s="537"/>
      <c r="P408" s="537"/>
      <c r="Q408" s="537"/>
      <c r="R408" s="537"/>
      <c r="S408" s="537"/>
      <c r="T408" s="537"/>
      <c r="U408" s="537"/>
      <c r="V408" s="537"/>
      <c r="W408" s="537"/>
      <c r="X408" s="537"/>
      <c r="Y408" s="537"/>
      <c r="Z408" s="537"/>
    </row>
    <row r="409">
      <c r="A409" s="537"/>
      <c r="B409" s="537"/>
      <c r="C409" s="538"/>
      <c r="D409" s="537"/>
      <c r="E409" s="537"/>
      <c r="F409" s="537"/>
      <c r="G409" s="537"/>
      <c r="H409" s="537"/>
      <c r="I409" s="537"/>
      <c r="J409" s="537"/>
      <c r="K409" s="537"/>
      <c r="L409" s="537"/>
      <c r="M409" s="537"/>
      <c r="N409" s="537"/>
      <c r="O409" s="537"/>
      <c r="P409" s="537"/>
      <c r="Q409" s="537"/>
      <c r="R409" s="537"/>
      <c r="S409" s="537"/>
      <c r="T409" s="537"/>
      <c r="U409" s="537"/>
      <c r="V409" s="537"/>
      <c r="W409" s="537"/>
      <c r="X409" s="537"/>
      <c r="Y409" s="537"/>
      <c r="Z409" s="537"/>
    </row>
    <row r="410">
      <c r="A410" s="537"/>
      <c r="B410" s="537"/>
      <c r="C410" s="538"/>
      <c r="D410" s="537"/>
      <c r="E410" s="537"/>
      <c r="F410" s="537"/>
      <c r="G410" s="537"/>
      <c r="H410" s="537"/>
      <c r="I410" s="537"/>
      <c r="J410" s="537"/>
      <c r="K410" s="537"/>
      <c r="L410" s="537"/>
      <c r="M410" s="537"/>
      <c r="N410" s="537"/>
      <c r="O410" s="537"/>
      <c r="P410" s="537"/>
      <c r="Q410" s="537"/>
      <c r="R410" s="537"/>
      <c r="S410" s="537"/>
      <c r="T410" s="537"/>
      <c r="U410" s="537"/>
      <c r="V410" s="537"/>
      <c r="W410" s="537"/>
      <c r="X410" s="537"/>
      <c r="Y410" s="537"/>
      <c r="Z410" s="537"/>
    </row>
    <row r="411">
      <c r="A411" s="537"/>
      <c r="B411" s="537"/>
      <c r="C411" s="538"/>
      <c r="D411" s="537"/>
      <c r="E411" s="537"/>
      <c r="F411" s="537"/>
      <c r="G411" s="537"/>
      <c r="H411" s="537"/>
      <c r="I411" s="537"/>
      <c r="J411" s="537"/>
      <c r="K411" s="537"/>
      <c r="L411" s="537"/>
      <c r="M411" s="537"/>
      <c r="N411" s="537"/>
      <c r="O411" s="537"/>
      <c r="P411" s="537"/>
      <c r="Q411" s="537"/>
      <c r="R411" s="537"/>
      <c r="S411" s="537"/>
      <c r="T411" s="537"/>
      <c r="U411" s="537"/>
      <c r="V411" s="537"/>
      <c r="W411" s="537"/>
      <c r="X411" s="537"/>
      <c r="Y411" s="537"/>
      <c r="Z411" s="537"/>
    </row>
    <row r="412">
      <c r="A412" s="537"/>
      <c r="B412" s="537"/>
      <c r="C412" s="538"/>
      <c r="D412" s="537"/>
      <c r="E412" s="537"/>
      <c r="F412" s="537"/>
      <c r="G412" s="537"/>
      <c r="H412" s="537"/>
      <c r="I412" s="537"/>
      <c r="J412" s="537"/>
      <c r="K412" s="537"/>
      <c r="L412" s="537"/>
      <c r="M412" s="537"/>
      <c r="N412" s="537"/>
      <c r="O412" s="537"/>
      <c r="P412" s="537"/>
      <c r="Q412" s="537"/>
      <c r="R412" s="537"/>
      <c r="S412" s="537"/>
      <c r="T412" s="537"/>
      <c r="U412" s="537"/>
      <c r="V412" s="537"/>
      <c r="W412" s="537"/>
      <c r="X412" s="537"/>
      <c r="Y412" s="537"/>
      <c r="Z412" s="537"/>
    </row>
    <row r="413">
      <c r="A413" s="537"/>
      <c r="B413" s="537"/>
      <c r="C413" s="538"/>
      <c r="D413" s="537"/>
      <c r="E413" s="537"/>
      <c r="F413" s="537"/>
      <c r="G413" s="537"/>
      <c r="H413" s="537"/>
      <c r="I413" s="537"/>
      <c r="J413" s="537"/>
      <c r="K413" s="537"/>
      <c r="L413" s="537"/>
      <c r="M413" s="537"/>
      <c r="N413" s="537"/>
      <c r="O413" s="537"/>
      <c r="P413" s="537"/>
      <c r="Q413" s="537"/>
      <c r="R413" s="537"/>
      <c r="S413" s="537"/>
      <c r="T413" s="537"/>
      <c r="U413" s="537"/>
      <c r="V413" s="537"/>
      <c r="W413" s="537"/>
      <c r="X413" s="537"/>
      <c r="Y413" s="537"/>
      <c r="Z413" s="537"/>
    </row>
    <row r="414">
      <c r="A414" s="537"/>
      <c r="B414" s="537"/>
      <c r="C414" s="538"/>
      <c r="D414" s="537"/>
      <c r="E414" s="537"/>
      <c r="F414" s="537"/>
      <c r="G414" s="537"/>
      <c r="H414" s="537"/>
      <c r="I414" s="537"/>
      <c r="J414" s="537"/>
      <c r="K414" s="537"/>
      <c r="L414" s="537"/>
      <c r="M414" s="537"/>
      <c r="N414" s="537"/>
      <c r="O414" s="537"/>
      <c r="P414" s="537"/>
      <c r="Q414" s="537"/>
      <c r="R414" s="537"/>
      <c r="S414" s="537"/>
      <c r="T414" s="537"/>
      <c r="U414" s="537"/>
      <c r="V414" s="537"/>
      <c r="W414" s="537"/>
      <c r="X414" s="537"/>
      <c r="Y414" s="537"/>
      <c r="Z414" s="537"/>
    </row>
    <row r="415">
      <c r="A415" s="537"/>
      <c r="B415" s="537"/>
      <c r="C415" s="538"/>
      <c r="D415" s="537"/>
      <c r="E415" s="537"/>
      <c r="F415" s="537"/>
      <c r="G415" s="537"/>
      <c r="H415" s="537"/>
      <c r="I415" s="537"/>
      <c r="J415" s="537"/>
      <c r="K415" s="537"/>
      <c r="L415" s="537"/>
      <c r="M415" s="537"/>
      <c r="N415" s="537"/>
      <c r="O415" s="537"/>
      <c r="P415" s="537"/>
      <c r="Q415" s="537"/>
      <c r="R415" s="537"/>
      <c r="S415" s="537"/>
      <c r="T415" s="537"/>
      <c r="U415" s="537"/>
      <c r="V415" s="537"/>
      <c r="W415" s="537"/>
      <c r="X415" s="537"/>
      <c r="Y415" s="537"/>
      <c r="Z415" s="537"/>
    </row>
    <row r="416">
      <c r="A416" s="537"/>
      <c r="B416" s="537"/>
      <c r="C416" s="538"/>
      <c r="D416" s="537"/>
      <c r="E416" s="537"/>
      <c r="F416" s="537"/>
      <c r="G416" s="537"/>
      <c r="H416" s="537"/>
      <c r="I416" s="537"/>
      <c r="J416" s="537"/>
      <c r="K416" s="537"/>
      <c r="L416" s="537"/>
      <c r="M416" s="537"/>
      <c r="N416" s="537"/>
      <c r="O416" s="537"/>
      <c r="P416" s="537"/>
      <c r="Q416" s="537"/>
      <c r="R416" s="537"/>
      <c r="S416" s="537"/>
      <c r="T416" s="537"/>
      <c r="U416" s="537"/>
      <c r="V416" s="537"/>
      <c r="W416" s="537"/>
      <c r="X416" s="537"/>
      <c r="Y416" s="537"/>
      <c r="Z416" s="537"/>
    </row>
    <row r="417">
      <c r="A417" s="537"/>
      <c r="B417" s="537"/>
      <c r="C417" s="538"/>
      <c r="D417" s="537"/>
      <c r="E417" s="537"/>
      <c r="F417" s="537"/>
      <c r="G417" s="537"/>
      <c r="H417" s="537"/>
      <c r="I417" s="537"/>
      <c r="J417" s="537"/>
      <c r="K417" s="537"/>
      <c r="L417" s="537"/>
      <c r="M417" s="537"/>
      <c r="N417" s="537"/>
      <c r="O417" s="537"/>
      <c r="P417" s="537"/>
      <c r="Q417" s="537"/>
      <c r="R417" s="537"/>
      <c r="S417" s="537"/>
      <c r="T417" s="537"/>
      <c r="U417" s="537"/>
      <c r="V417" s="537"/>
      <c r="W417" s="537"/>
      <c r="X417" s="537"/>
      <c r="Y417" s="537"/>
      <c r="Z417" s="537"/>
    </row>
    <row r="418">
      <c r="A418" s="537"/>
      <c r="B418" s="537"/>
      <c r="C418" s="538"/>
      <c r="D418" s="537"/>
      <c r="E418" s="537"/>
      <c r="F418" s="537"/>
      <c r="G418" s="537"/>
      <c r="H418" s="537"/>
      <c r="I418" s="537"/>
      <c r="J418" s="537"/>
      <c r="K418" s="537"/>
      <c r="L418" s="537"/>
      <c r="M418" s="537"/>
      <c r="N418" s="537"/>
      <c r="O418" s="537"/>
      <c r="P418" s="537"/>
      <c r="Q418" s="537"/>
      <c r="R418" s="537"/>
      <c r="S418" s="537"/>
      <c r="T418" s="537"/>
      <c r="U418" s="537"/>
      <c r="V418" s="537"/>
      <c r="W418" s="537"/>
      <c r="X418" s="537"/>
      <c r="Y418" s="537"/>
      <c r="Z418" s="537"/>
    </row>
    <row r="419">
      <c r="A419" s="537"/>
      <c r="B419" s="537"/>
      <c r="C419" s="538"/>
      <c r="D419" s="537"/>
      <c r="E419" s="537"/>
      <c r="F419" s="537"/>
      <c r="G419" s="537"/>
      <c r="H419" s="537"/>
      <c r="I419" s="537"/>
      <c r="J419" s="537"/>
      <c r="K419" s="537"/>
      <c r="L419" s="537"/>
      <c r="M419" s="537"/>
      <c r="N419" s="537"/>
      <c r="O419" s="537"/>
      <c r="P419" s="537"/>
      <c r="Q419" s="537"/>
      <c r="R419" s="537"/>
      <c r="S419" s="537"/>
      <c r="T419" s="537"/>
      <c r="U419" s="537"/>
      <c r="V419" s="537"/>
      <c r="W419" s="537"/>
      <c r="X419" s="537"/>
      <c r="Y419" s="537"/>
      <c r="Z419" s="537"/>
    </row>
    <row r="420">
      <c r="A420" s="537"/>
      <c r="B420" s="537"/>
      <c r="C420" s="538"/>
      <c r="D420" s="537"/>
      <c r="E420" s="537"/>
      <c r="F420" s="537"/>
      <c r="G420" s="537"/>
      <c r="H420" s="537"/>
      <c r="I420" s="537"/>
      <c r="J420" s="537"/>
      <c r="K420" s="537"/>
      <c r="L420" s="537"/>
      <c r="M420" s="537"/>
      <c r="N420" s="537"/>
      <c r="O420" s="537"/>
      <c r="P420" s="537"/>
      <c r="Q420" s="537"/>
      <c r="R420" s="537"/>
      <c r="S420" s="537"/>
      <c r="T420" s="537"/>
      <c r="U420" s="537"/>
      <c r="V420" s="537"/>
      <c r="W420" s="537"/>
      <c r="X420" s="537"/>
      <c r="Y420" s="537"/>
      <c r="Z420" s="537"/>
    </row>
    <row r="421">
      <c r="A421" s="537"/>
      <c r="B421" s="537"/>
      <c r="C421" s="538"/>
      <c r="D421" s="537"/>
      <c r="E421" s="537"/>
      <c r="F421" s="537"/>
      <c r="G421" s="537"/>
      <c r="H421" s="537"/>
      <c r="I421" s="537"/>
      <c r="J421" s="537"/>
      <c r="K421" s="537"/>
      <c r="L421" s="537"/>
      <c r="M421" s="537"/>
      <c r="N421" s="537"/>
      <c r="O421" s="537"/>
      <c r="P421" s="537"/>
      <c r="Q421" s="537"/>
      <c r="R421" s="537"/>
      <c r="S421" s="537"/>
      <c r="T421" s="537"/>
      <c r="U421" s="537"/>
      <c r="V421" s="537"/>
      <c r="W421" s="537"/>
      <c r="X421" s="537"/>
      <c r="Y421" s="537"/>
      <c r="Z421" s="537"/>
    </row>
    <row r="422">
      <c r="A422" s="537"/>
      <c r="B422" s="537"/>
      <c r="C422" s="538"/>
      <c r="D422" s="537"/>
      <c r="E422" s="537"/>
      <c r="F422" s="537"/>
      <c r="G422" s="537"/>
      <c r="H422" s="537"/>
      <c r="I422" s="537"/>
      <c r="J422" s="537"/>
      <c r="K422" s="537"/>
      <c r="L422" s="537"/>
      <c r="M422" s="537"/>
      <c r="N422" s="537"/>
      <c r="O422" s="537"/>
      <c r="P422" s="537"/>
      <c r="Q422" s="537"/>
      <c r="R422" s="537"/>
      <c r="S422" s="537"/>
      <c r="T422" s="537"/>
      <c r="U422" s="537"/>
      <c r="V422" s="537"/>
      <c r="W422" s="537"/>
      <c r="X422" s="537"/>
      <c r="Y422" s="537"/>
      <c r="Z422" s="537"/>
    </row>
    <row r="423">
      <c r="A423" s="537"/>
      <c r="B423" s="537"/>
      <c r="C423" s="538"/>
      <c r="D423" s="537"/>
      <c r="E423" s="537"/>
      <c r="F423" s="537"/>
      <c r="G423" s="537"/>
      <c r="H423" s="537"/>
      <c r="I423" s="537"/>
      <c r="J423" s="537"/>
      <c r="K423" s="537"/>
      <c r="L423" s="537"/>
      <c r="M423" s="537"/>
      <c r="N423" s="537"/>
      <c r="O423" s="537"/>
      <c r="P423" s="537"/>
      <c r="Q423" s="537"/>
      <c r="R423" s="537"/>
      <c r="S423" s="537"/>
      <c r="T423" s="537"/>
      <c r="U423" s="537"/>
      <c r="V423" s="537"/>
      <c r="W423" s="537"/>
      <c r="X423" s="537"/>
      <c r="Y423" s="537"/>
      <c r="Z423" s="537"/>
    </row>
    <row r="424">
      <c r="A424" s="537"/>
      <c r="B424" s="537"/>
      <c r="C424" s="538"/>
      <c r="D424" s="537"/>
      <c r="E424" s="537"/>
      <c r="F424" s="537"/>
      <c r="G424" s="537"/>
      <c r="H424" s="537"/>
      <c r="I424" s="537"/>
      <c r="J424" s="537"/>
      <c r="K424" s="537"/>
      <c r="L424" s="537"/>
      <c r="M424" s="537"/>
      <c r="N424" s="537"/>
      <c r="O424" s="537"/>
      <c r="P424" s="537"/>
      <c r="Q424" s="537"/>
      <c r="R424" s="537"/>
      <c r="S424" s="537"/>
      <c r="T424" s="537"/>
      <c r="U424" s="537"/>
      <c r="V424" s="537"/>
      <c r="W424" s="537"/>
      <c r="X424" s="537"/>
      <c r="Y424" s="537"/>
      <c r="Z424" s="537"/>
    </row>
    <row r="425">
      <c r="A425" s="537"/>
      <c r="B425" s="537"/>
      <c r="C425" s="538"/>
      <c r="D425" s="537"/>
      <c r="E425" s="537"/>
      <c r="F425" s="537"/>
      <c r="G425" s="537"/>
      <c r="H425" s="537"/>
      <c r="I425" s="537"/>
      <c r="J425" s="537"/>
      <c r="K425" s="537"/>
      <c r="L425" s="537"/>
      <c r="M425" s="537"/>
      <c r="N425" s="537"/>
      <c r="O425" s="537"/>
      <c r="P425" s="537"/>
      <c r="Q425" s="537"/>
      <c r="R425" s="537"/>
      <c r="S425" s="537"/>
      <c r="T425" s="537"/>
      <c r="U425" s="537"/>
      <c r="V425" s="537"/>
      <c r="W425" s="537"/>
      <c r="X425" s="537"/>
      <c r="Y425" s="537"/>
      <c r="Z425" s="537"/>
    </row>
    <row r="426">
      <c r="A426" s="537"/>
      <c r="B426" s="537"/>
      <c r="C426" s="538"/>
      <c r="D426" s="537"/>
      <c r="E426" s="537"/>
      <c r="F426" s="537"/>
      <c r="G426" s="537"/>
      <c r="H426" s="537"/>
      <c r="I426" s="537"/>
      <c r="J426" s="537"/>
      <c r="K426" s="537"/>
      <c r="L426" s="537"/>
      <c r="M426" s="537"/>
      <c r="N426" s="537"/>
      <c r="O426" s="537"/>
      <c r="P426" s="537"/>
      <c r="Q426" s="537"/>
      <c r="R426" s="537"/>
      <c r="S426" s="537"/>
      <c r="T426" s="537"/>
      <c r="U426" s="537"/>
      <c r="V426" s="537"/>
      <c r="W426" s="537"/>
      <c r="X426" s="537"/>
      <c r="Y426" s="537"/>
      <c r="Z426" s="537"/>
    </row>
    <row r="427">
      <c r="A427" s="537"/>
      <c r="B427" s="537"/>
      <c r="C427" s="538"/>
      <c r="D427" s="537"/>
      <c r="E427" s="537"/>
      <c r="F427" s="537"/>
      <c r="G427" s="537"/>
      <c r="H427" s="537"/>
      <c r="I427" s="537"/>
      <c r="J427" s="537"/>
      <c r="K427" s="537"/>
      <c r="L427" s="537"/>
      <c r="M427" s="537"/>
      <c r="N427" s="537"/>
      <c r="O427" s="537"/>
      <c r="P427" s="537"/>
      <c r="Q427" s="537"/>
      <c r="R427" s="537"/>
      <c r="S427" s="537"/>
      <c r="T427" s="537"/>
      <c r="U427" s="537"/>
      <c r="V427" s="537"/>
      <c r="W427" s="537"/>
      <c r="X427" s="537"/>
      <c r="Y427" s="537"/>
      <c r="Z427" s="537"/>
    </row>
    <row r="428">
      <c r="A428" s="537"/>
      <c r="B428" s="537"/>
      <c r="C428" s="538"/>
      <c r="D428" s="537"/>
      <c r="E428" s="537"/>
      <c r="F428" s="537"/>
      <c r="G428" s="537"/>
      <c r="H428" s="537"/>
      <c r="I428" s="537"/>
      <c r="J428" s="537"/>
      <c r="K428" s="537"/>
      <c r="L428" s="537"/>
      <c r="M428" s="537"/>
      <c r="N428" s="537"/>
      <c r="O428" s="537"/>
      <c r="P428" s="537"/>
      <c r="Q428" s="537"/>
      <c r="R428" s="537"/>
      <c r="S428" s="537"/>
      <c r="T428" s="537"/>
      <c r="U428" s="537"/>
      <c r="V428" s="537"/>
      <c r="W428" s="537"/>
      <c r="X428" s="537"/>
      <c r="Y428" s="537"/>
      <c r="Z428" s="537"/>
    </row>
    <row r="429">
      <c r="A429" s="537"/>
      <c r="B429" s="537"/>
      <c r="C429" s="538"/>
      <c r="D429" s="537"/>
      <c r="E429" s="537"/>
      <c r="F429" s="537"/>
      <c r="G429" s="537"/>
      <c r="H429" s="537"/>
      <c r="I429" s="537"/>
      <c r="J429" s="537"/>
      <c r="K429" s="537"/>
      <c r="L429" s="537"/>
      <c r="M429" s="537"/>
      <c r="N429" s="537"/>
      <c r="O429" s="537"/>
      <c r="P429" s="537"/>
      <c r="Q429" s="537"/>
      <c r="R429" s="537"/>
      <c r="S429" s="537"/>
      <c r="T429" s="537"/>
      <c r="U429" s="537"/>
      <c r="V429" s="537"/>
      <c r="W429" s="537"/>
      <c r="X429" s="537"/>
      <c r="Y429" s="537"/>
      <c r="Z429" s="537"/>
    </row>
    <row r="430">
      <c r="A430" s="537"/>
      <c r="B430" s="537"/>
      <c r="C430" s="538"/>
      <c r="D430" s="537"/>
      <c r="E430" s="537"/>
      <c r="F430" s="537"/>
      <c r="G430" s="537"/>
      <c r="H430" s="537"/>
      <c r="I430" s="537"/>
      <c r="J430" s="537"/>
      <c r="K430" s="537"/>
      <c r="L430" s="537"/>
      <c r="M430" s="537"/>
      <c r="N430" s="537"/>
      <c r="O430" s="537"/>
      <c r="P430" s="537"/>
      <c r="Q430" s="537"/>
      <c r="R430" s="537"/>
      <c r="S430" s="537"/>
      <c r="T430" s="537"/>
      <c r="U430" s="537"/>
      <c r="V430" s="537"/>
      <c r="W430" s="537"/>
      <c r="X430" s="537"/>
      <c r="Y430" s="537"/>
      <c r="Z430" s="537"/>
    </row>
    <row r="431">
      <c r="A431" s="537"/>
      <c r="B431" s="537"/>
      <c r="C431" s="538"/>
      <c r="D431" s="537"/>
      <c r="E431" s="537"/>
      <c r="F431" s="537"/>
      <c r="G431" s="537"/>
      <c r="H431" s="537"/>
      <c r="I431" s="537"/>
      <c r="J431" s="537"/>
      <c r="K431" s="537"/>
      <c r="L431" s="537"/>
      <c r="M431" s="537"/>
      <c r="N431" s="537"/>
      <c r="O431" s="537"/>
      <c r="P431" s="537"/>
      <c r="Q431" s="537"/>
      <c r="R431" s="537"/>
      <c r="S431" s="537"/>
      <c r="T431" s="537"/>
      <c r="U431" s="537"/>
      <c r="V431" s="537"/>
      <c r="W431" s="537"/>
      <c r="X431" s="537"/>
      <c r="Y431" s="537"/>
      <c r="Z431" s="537"/>
    </row>
    <row r="432">
      <c r="A432" s="537"/>
      <c r="B432" s="537"/>
      <c r="C432" s="538"/>
      <c r="D432" s="537"/>
      <c r="E432" s="537"/>
      <c r="F432" s="537"/>
      <c r="G432" s="537"/>
      <c r="H432" s="537"/>
      <c r="I432" s="537"/>
      <c r="J432" s="537"/>
      <c r="K432" s="537"/>
      <c r="L432" s="537"/>
      <c r="M432" s="537"/>
      <c r="N432" s="537"/>
      <c r="O432" s="537"/>
      <c r="P432" s="537"/>
      <c r="Q432" s="537"/>
      <c r="R432" s="537"/>
      <c r="S432" s="537"/>
      <c r="T432" s="537"/>
      <c r="U432" s="537"/>
      <c r="V432" s="537"/>
      <c r="W432" s="537"/>
      <c r="X432" s="537"/>
      <c r="Y432" s="537"/>
      <c r="Z432" s="537"/>
    </row>
    <row r="433">
      <c r="A433" s="537"/>
      <c r="B433" s="537"/>
      <c r="C433" s="538"/>
      <c r="D433" s="537"/>
      <c r="E433" s="537"/>
      <c r="F433" s="537"/>
      <c r="G433" s="537"/>
      <c r="H433" s="537"/>
      <c r="I433" s="537"/>
      <c r="J433" s="537"/>
      <c r="K433" s="537"/>
      <c r="L433" s="537"/>
      <c r="M433" s="537"/>
      <c r="N433" s="537"/>
      <c r="O433" s="537"/>
      <c r="P433" s="537"/>
      <c r="Q433" s="537"/>
      <c r="R433" s="537"/>
      <c r="S433" s="537"/>
      <c r="T433" s="537"/>
      <c r="U433" s="537"/>
      <c r="V433" s="537"/>
      <c r="W433" s="537"/>
      <c r="X433" s="537"/>
      <c r="Y433" s="537"/>
      <c r="Z433" s="537"/>
    </row>
    <row r="434">
      <c r="A434" s="537"/>
      <c r="B434" s="537"/>
      <c r="C434" s="538"/>
      <c r="D434" s="537"/>
      <c r="E434" s="537"/>
      <c r="F434" s="537"/>
      <c r="G434" s="537"/>
      <c r="H434" s="537"/>
      <c r="I434" s="537"/>
      <c r="J434" s="537"/>
      <c r="K434" s="537"/>
      <c r="L434" s="537"/>
      <c r="M434" s="537"/>
      <c r="N434" s="537"/>
      <c r="O434" s="537"/>
      <c r="P434" s="537"/>
      <c r="Q434" s="537"/>
      <c r="R434" s="537"/>
      <c r="S434" s="537"/>
      <c r="T434" s="537"/>
      <c r="U434" s="537"/>
      <c r="V434" s="537"/>
      <c r="W434" s="537"/>
      <c r="X434" s="537"/>
      <c r="Y434" s="537"/>
      <c r="Z434" s="537"/>
    </row>
    <row r="435">
      <c r="A435" s="537"/>
      <c r="B435" s="537"/>
      <c r="C435" s="538"/>
      <c r="D435" s="537"/>
      <c r="E435" s="537"/>
      <c r="F435" s="537"/>
      <c r="G435" s="537"/>
      <c r="H435" s="537"/>
      <c r="I435" s="537"/>
      <c r="J435" s="537"/>
      <c r="K435" s="537"/>
      <c r="L435" s="537"/>
      <c r="M435" s="537"/>
      <c r="N435" s="537"/>
      <c r="O435" s="537"/>
      <c r="P435" s="537"/>
      <c r="Q435" s="537"/>
      <c r="R435" s="537"/>
      <c r="S435" s="537"/>
      <c r="T435" s="537"/>
      <c r="U435" s="537"/>
      <c r="V435" s="537"/>
      <c r="W435" s="537"/>
      <c r="X435" s="537"/>
      <c r="Y435" s="537"/>
      <c r="Z435" s="537"/>
    </row>
    <row r="436">
      <c r="A436" s="537"/>
      <c r="B436" s="537"/>
      <c r="C436" s="538"/>
      <c r="D436" s="537"/>
      <c r="E436" s="537"/>
      <c r="F436" s="537"/>
      <c r="G436" s="537"/>
      <c r="H436" s="537"/>
      <c r="I436" s="537"/>
      <c r="J436" s="537"/>
      <c r="K436" s="537"/>
      <c r="L436" s="537"/>
      <c r="M436" s="537"/>
      <c r="N436" s="537"/>
      <c r="O436" s="537"/>
      <c r="P436" s="537"/>
      <c r="Q436" s="537"/>
      <c r="R436" s="537"/>
      <c r="S436" s="537"/>
      <c r="T436" s="537"/>
      <c r="U436" s="537"/>
      <c r="V436" s="537"/>
      <c r="W436" s="537"/>
      <c r="X436" s="537"/>
      <c r="Y436" s="537"/>
      <c r="Z436" s="537"/>
    </row>
    <row r="437">
      <c r="A437" s="537"/>
      <c r="B437" s="537"/>
      <c r="C437" s="538"/>
      <c r="D437" s="537"/>
      <c r="E437" s="537"/>
      <c r="F437" s="537"/>
      <c r="G437" s="537"/>
      <c r="H437" s="537"/>
      <c r="I437" s="537"/>
      <c r="J437" s="537"/>
      <c r="K437" s="537"/>
      <c r="L437" s="537"/>
      <c r="M437" s="537"/>
      <c r="N437" s="537"/>
      <c r="O437" s="537"/>
      <c r="P437" s="537"/>
      <c r="Q437" s="537"/>
      <c r="R437" s="537"/>
      <c r="S437" s="537"/>
      <c r="T437" s="537"/>
      <c r="U437" s="537"/>
      <c r="V437" s="537"/>
      <c r="W437" s="537"/>
      <c r="X437" s="537"/>
      <c r="Y437" s="537"/>
      <c r="Z437" s="537"/>
    </row>
    <row r="438">
      <c r="A438" s="537"/>
      <c r="B438" s="537"/>
      <c r="C438" s="538"/>
      <c r="D438" s="537"/>
      <c r="E438" s="537"/>
      <c r="F438" s="537"/>
      <c r="G438" s="537"/>
      <c r="H438" s="537"/>
      <c r="I438" s="537"/>
      <c r="J438" s="537"/>
      <c r="K438" s="537"/>
      <c r="L438" s="537"/>
      <c r="M438" s="537"/>
      <c r="N438" s="537"/>
      <c r="O438" s="537"/>
      <c r="P438" s="537"/>
      <c r="Q438" s="537"/>
      <c r="R438" s="537"/>
      <c r="S438" s="537"/>
      <c r="T438" s="537"/>
      <c r="U438" s="537"/>
      <c r="V438" s="537"/>
      <c r="W438" s="537"/>
      <c r="X438" s="537"/>
      <c r="Y438" s="537"/>
      <c r="Z438" s="537"/>
    </row>
    <row r="439">
      <c r="A439" s="537"/>
      <c r="B439" s="537"/>
      <c r="C439" s="538"/>
      <c r="D439" s="537"/>
      <c r="E439" s="537"/>
      <c r="F439" s="537"/>
      <c r="G439" s="537"/>
      <c r="H439" s="537"/>
      <c r="I439" s="537"/>
      <c r="J439" s="537"/>
      <c r="K439" s="537"/>
      <c r="L439" s="537"/>
      <c r="M439" s="537"/>
      <c r="N439" s="537"/>
      <c r="O439" s="537"/>
      <c r="P439" s="537"/>
      <c r="Q439" s="537"/>
      <c r="R439" s="537"/>
      <c r="S439" s="537"/>
      <c r="T439" s="537"/>
      <c r="U439" s="537"/>
      <c r="V439" s="537"/>
      <c r="W439" s="537"/>
      <c r="X439" s="537"/>
      <c r="Y439" s="537"/>
      <c r="Z439" s="537"/>
    </row>
    <row r="440">
      <c r="A440" s="537"/>
      <c r="B440" s="537"/>
      <c r="C440" s="538"/>
      <c r="D440" s="537"/>
      <c r="E440" s="537"/>
      <c r="F440" s="537"/>
      <c r="G440" s="537"/>
      <c r="H440" s="537"/>
      <c r="I440" s="537"/>
      <c r="J440" s="537"/>
      <c r="K440" s="537"/>
      <c r="L440" s="537"/>
      <c r="M440" s="537"/>
      <c r="N440" s="537"/>
      <c r="O440" s="537"/>
      <c r="P440" s="537"/>
      <c r="Q440" s="537"/>
      <c r="R440" s="537"/>
      <c r="S440" s="537"/>
      <c r="T440" s="537"/>
      <c r="U440" s="537"/>
      <c r="V440" s="537"/>
      <c r="W440" s="537"/>
      <c r="X440" s="537"/>
      <c r="Y440" s="537"/>
      <c r="Z440" s="537"/>
    </row>
    <row r="441">
      <c r="A441" s="537"/>
      <c r="B441" s="537"/>
      <c r="C441" s="538"/>
      <c r="D441" s="537"/>
      <c r="E441" s="537"/>
      <c r="F441" s="537"/>
      <c r="G441" s="537"/>
      <c r="H441" s="537"/>
      <c r="I441" s="537"/>
      <c r="J441" s="537"/>
      <c r="K441" s="537"/>
      <c r="L441" s="537"/>
      <c r="M441" s="537"/>
      <c r="N441" s="537"/>
      <c r="O441" s="537"/>
      <c r="P441" s="537"/>
      <c r="Q441" s="537"/>
      <c r="R441" s="537"/>
      <c r="S441" s="537"/>
      <c r="T441" s="537"/>
      <c r="U441" s="537"/>
      <c r="V441" s="537"/>
      <c r="W441" s="537"/>
      <c r="X441" s="537"/>
      <c r="Y441" s="537"/>
      <c r="Z441" s="537"/>
    </row>
    <row r="442">
      <c r="A442" s="537"/>
      <c r="B442" s="537"/>
      <c r="C442" s="538"/>
      <c r="D442" s="537"/>
      <c r="E442" s="537"/>
      <c r="F442" s="537"/>
      <c r="G442" s="537"/>
      <c r="H442" s="537"/>
      <c r="I442" s="537"/>
      <c r="J442" s="537"/>
      <c r="K442" s="537"/>
      <c r="L442" s="537"/>
      <c r="M442" s="537"/>
      <c r="N442" s="537"/>
      <c r="O442" s="537"/>
      <c r="P442" s="537"/>
      <c r="Q442" s="537"/>
      <c r="R442" s="537"/>
      <c r="S442" s="537"/>
      <c r="T442" s="537"/>
      <c r="U442" s="537"/>
      <c r="V442" s="537"/>
      <c r="W442" s="537"/>
      <c r="X442" s="537"/>
      <c r="Y442" s="537"/>
      <c r="Z442" s="537"/>
    </row>
    <row r="443">
      <c r="A443" s="537"/>
      <c r="B443" s="537"/>
      <c r="C443" s="538"/>
      <c r="D443" s="537"/>
      <c r="E443" s="537"/>
      <c r="F443" s="537"/>
      <c r="G443" s="537"/>
      <c r="H443" s="537"/>
      <c r="I443" s="537"/>
      <c r="J443" s="537"/>
      <c r="K443" s="537"/>
      <c r="L443" s="537"/>
      <c r="M443" s="537"/>
      <c r="N443" s="537"/>
      <c r="O443" s="537"/>
      <c r="P443" s="537"/>
      <c r="Q443" s="537"/>
      <c r="R443" s="537"/>
      <c r="S443" s="537"/>
      <c r="T443" s="537"/>
      <c r="U443" s="537"/>
      <c r="V443" s="537"/>
      <c r="W443" s="537"/>
      <c r="X443" s="537"/>
      <c r="Y443" s="537"/>
      <c r="Z443" s="537"/>
    </row>
    <row r="444">
      <c r="A444" s="537"/>
      <c r="B444" s="537"/>
      <c r="C444" s="538"/>
      <c r="D444" s="537"/>
      <c r="E444" s="537"/>
      <c r="F444" s="537"/>
      <c r="G444" s="537"/>
      <c r="H444" s="537"/>
      <c r="I444" s="537"/>
      <c r="J444" s="537"/>
      <c r="K444" s="537"/>
      <c r="L444" s="537"/>
      <c r="M444" s="537"/>
      <c r="N444" s="537"/>
      <c r="O444" s="537"/>
      <c r="P444" s="537"/>
      <c r="Q444" s="537"/>
      <c r="R444" s="537"/>
      <c r="S444" s="537"/>
      <c r="T444" s="537"/>
      <c r="U444" s="537"/>
      <c r="V444" s="537"/>
      <c r="W444" s="537"/>
      <c r="X444" s="537"/>
      <c r="Y444" s="537"/>
      <c r="Z444" s="537"/>
    </row>
    <row r="445">
      <c r="A445" s="537"/>
      <c r="B445" s="537"/>
      <c r="C445" s="538"/>
      <c r="D445" s="537"/>
      <c r="E445" s="537"/>
      <c r="F445" s="537"/>
      <c r="G445" s="537"/>
      <c r="H445" s="537"/>
      <c r="I445" s="537"/>
      <c r="J445" s="537"/>
      <c r="K445" s="537"/>
      <c r="L445" s="537"/>
      <c r="M445" s="537"/>
      <c r="N445" s="537"/>
      <c r="O445" s="537"/>
      <c r="P445" s="537"/>
      <c r="Q445" s="537"/>
      <c r="R445" s="537"/>
      <c r="S445" s="537"/>
      <c r="T445" s="537"/>
      <c r="U445" s="537"/>
      <c r="V445" s="537"/>
      <c r="W445" s="537"/>
      <c r="X445" s="537"/>
      <c r="Y445" s="537"/>
      <c r="Z445" s="537"/>
    </row>
    <row r="446">
      <c r="A446" s="537"/>
      <c r="B446" s="537"/>
      <c r="C446" s="538"/>
      <c r="D446" s="537"/>
      <c r="E446" s="537"/>
      <c r="F446" s="537"/>
      <c r="G446" s="537"/>
      <c r="H446" s="537"/>
      <c r="I446" s="537"/>
      <c r="J446" s="537"/>
      <c r="K446" s="537"/>
      <c r="L446" s="537"/>
      <c r="M446" s="537"/>
      <c r="N446" s="537"/>
      <c r="O446" s="537"/>
      <c r="P446" s="537"/>
      <c r="Q446" s="537"/>
      <c r="R446" s="537"/>
      <c r="S446" s="537"/>
      <c r="T446" s="537"/>
      <c r="U446" s="537"/>
      <c r="V446" s="537"/>
      <c r="W446" s="537"/>
      <c r="X446" s="537"/>
      <c r="Y446" s="537"/>
      <c r="Z446" s="537"/>
    </row>
    <row r="447">
      <c r="A447" s="537"/>
      <c r="B447" s="537"/>
      <c r="C447" s="538"/>
      <c r="D447" s="537"/>
      <c r="E447" s="537"/>
      <c r="F447" s="537"/>
      <c r="G447" s="537"/>
      <c r="H447" s="537"/>
      <c r="I447" s="537"/>
      <c r="J447" s="537"/>
      <c r="K447" s="537"/>
      <c r="L447" s="537"/>
      <c r="M447" s="537"/>
      <c r="N447" s="537"/>
      <c r="O447" s="537"/>
      <c r="P447" s="537"/>
      <c r="Q447" s="537"/>
      <c r="R447" s="537"/>
      <c r="S447" s="537"/>
      <c r="T447" s="537"/>
      <c r="U447" s="537"/>
      <c r="V447" s="537"/>
      <c r="W447" s="537"/>
      <c r="X447" s="537"/>
      <c r="Y447" s="537"/>
      <c r="Z447" s="537"/>
    </row>
    <row r="448">
      <c r="A448" s="537"/>
      <c r="B448" s="537"/>
      <c r="C448" s="538"/>
      <c r="D448" s="537"/>
      <c r="E448" s="537"/>
      <c r="F448" s="537"/>
      <c r="G448" s="537"/>
      <c r="H448" s="537"/>
      <c r="I448" s="537"/>
      <c r="J448" s="537"/>
      <c r="K448" s="537"/>
      <c r="L448" s="537"/>
      <c r="M448" s="537"/>
      <c r="N448" s="537"/>
      <c r="O448" s="537"/>
      <c r="P448" s="537"/>
      <c r="Q448" s="537"/>
      <c r="R448" s="537"/>
      <c r="S448" s="537"/>
      <c r="T448" s="537"/>
      <c r="U448" s="537"/>
      <c r="V448" s="537"/>
      <c r="W448" s="537"/>
      <c r="X448" s="537"/>
      <c r="Y448" s="537"/>
      <c r="Z448" s="537"/>
    </row>
    <row r="449">
      <c r="A449" s="537"/>
      <c r="B449" s="537"/>
      <c r="C449" s="538"/>
      <c r="D449" s="537"/>
      <c r="E449" s="537"/>
      <c r="F449" s="537"/>
      <c r="G449" s="537"/>
      <c r="H449" s="537"/>
      <c r="I449" s="537"/>
      <c r="J449" s="537"/>
      <c r="K449" s="537"/>
      <c r="L449" s="537"/>
      <c r="M449" s="537"/>
      <c r="N449" s="537"/>
      <c r="O449" s="537"/>
      <c r="P449" s="537"/>
      <c r="Q449" s="537"/>
      <c r="R449" s="537"/>
      <c r="S449" s="537"/>
      <c r="T449" s="537"/>
      <c r="U449" s="537"/>
      <c r="V449" s="537"/>
      <c r="W449" s="537"/>
      <c r="X449" s="537"/>
      <c r="Y449" s="537"/>
      <c r="Z449" s="537"/>
    </row>
    <row r="450">
      <c r="A450" s="537"/>
      <c r="B450" s="537"/>
      <c r="C450" s="538"/>
      <c r="D450" s="537"/>
      <c r="E450" s="537"/>
      <c r="F450" s="537"/>
      <c r="G450" s="537"/>
      <c r="H450" s="537"/>
      <c r="I450" s="537"/>
      <c r="J450" s="537"/>
      <c r="K450" s="537"/>
      <c r="L450" s="537"/>
      <c r="M450" s="537"/>
      <c r="N450" s="537"/>
      <c r="O450" s="537"/>
      <c r="P450" s="537"/>
      <c r="Q450" s="537"/>
      <c r="R450" s="537"/>
      <c r="S450" s="537"/>
      <c r="T450" s="537"/>
      <c r="U450" s="537"/>
      <c r="V450" s="537"/>
      <c r="W450" s="537"/>
      <c r="X450" s="537"/>
      <c r="Y450" s="537"/>
      <c r="Z450" s="537"/>
    </row>
    <row r="451">
      <c r="A451" s="537"/>
      <c r="B451" s="537"/>
      <c r="C451" s="538"/>
      <c r="D451" s="537"/>
      <c r="E451" s="537"/>
      <c r="F451" s="537"/>
      <c r="G451" s="537"/>
      <c r="H451" s="537"/>
      <c r="I451" s="537"/>
      <c r="J451" s="537"/>
      <c r="K451" s="537"/>
      <c r="L451" s="537"/>
      <c r="M451" s="537"/>
      <c r="N451" s="537"/>
      <c r="O451" s="537"/>
      <c r="P451" s="537"/>
      <c r="Q451" s="537"/>
      <c r="R451" s="537"/>
      <c r="S451" s="537"/>
      <c r="T451" s="537"/>
      <c r="U451" s="537"/>
      <c r="V451" s="537"/>
      <c r="W451" s="537"/>
      <c r="X451" s="537"/>
      <c r="Y451" s="537"/>
      <c r="Z451" s="537"/>
    </row>
    <row r="452">
      <c r="A452" s="537"/>
      <c r="B452" s="537"/>
      <c r="C452" s="538"/>
      <c r="D452" s="537"/>
      <c r="E452" s="537"/>
      <c r="F452" s="537"/>
      <c r="G452" s="537"/>
      <c r="H452" s="537"/>
      <c r="I452" s="537"/>
      <c r="J452" s="537"/>
      <c r="K452" s="537"/>
      <c r="L452" s="537"/>
      <c r="M452" s="537"/>
      <c r="N452" s="537"/>
      <c r="O452" s="537"/>
      <c r="P452" s="537"/>
      <c r="Q452" s="537"/>
      <c r="R452" s="537"/>
      <c r="S452" s="537"/>
      <c r="T452" s="537"/>
      <c r="U452" s="537"/>
      <c r="V452" s="537"/>
      <c r="W452" s="537"/>
      <c r="X452" s="537"/>
      <c r="Y452" s="537"/>
      <c r="Z452" s="537"/>
    </row>
    <row r="453">
      <c r="A453" s="537"/>
      <c r="B453" s="537"/>
      <c r="C453" s="538"/>
      <c r="D453" s="537"/>
      <c r="E453" s="537"/>
      <c r="F453" s="537"/>
      <c r="G453" s="537"/>
      <c r="H453" s="537"/>
      <c r="I453" s="537"/>
      <c r="J453" s="537"/>
      <c r="K453" s="537"/>
      <c r="L453" s="537"/>
      <c r="M453" s="537"/>
      <c r="N453" s="537"/>
      <c r="O453" s="537"/>
      <c r="P453" s="537"/>
      <c r="Q453" s="537"/>
      <c r="R453" s="537"/>
      <c r="S453" s="537"/>
      <c r="T453" s="537"/>
      <c r="U453" s="537"/>
      <c r="V453" s="537"/>
      <c r="W453" s="537"/>
      <c r="X453" s="537"/>
      <c r="Y453" s="537"/>
      <c r="Z453" s="537"/>
    </row>
    <row r="454">
      <c r="A454" s="537"/>
      <c r="B454" s="537"/>
      <c r="C454" s="538"/>
      <c r="D454" s="537"/>
      <c r="E454" s="537"/>
      <c r="F454" s="537"/>
      <c r="G454" s="537"/>
      <c r="H454" s="537"/>
      <c r="I454" s="537"/>
      <c r="J454" s="537"/>
      <c r="K454" s="537"/>
      <c r="L454" s="537"/>
      <c r="M454" s="537"/>
      <c r="N454" s="537"/>
      <c r="O454" s="537"/>
      <c r="P454" s="537"/>
      <c r="Q454" s="537"/>
      <c r="R454" s="537"/>
      <c r="S454" s="537"/>
      <c r="T454" s="537"/>
      <c r="U454" s="537"/>
      <c r="V454" s="537"/>
      <c r="W454" s="537"/>
      <c r="X454" s="537"/>
      <c r="Y454" s="537"/>
      <c r="Z454" s="537"/>
    </row>
    <row r="455">
      <c r="A455" s="537"/>
      <c r="B455" s="537"/>
      <c r="C455" s="538"/>
      <c r="D455" s="537"/>
      <c r="E455" s="537"/>
      <c r="F455" s="537"/>
      <c r="G455" s="537"/>
      <c r="H455" s="537"/>
      <c r="I455" s="537"/>
      <c r="J455" s="537"/>
      <c r="K455" s="537"/>
      <c r="L455" s="537"/>
      <c r="M455" s="537"/>
      <c r="N455" s="537"/>
      <c r="O455" s="537"/>
      <c r="P455" s="537"/>
      <c r="Q455" s="537"/>
      <c r="R455" s="537"/>
      <c r="S455" s="537"/>
      <c r="T455" s="537"/>
      <c r="U455" s="537"/>
      <c r="V455" s="537"/>
      <c r="W455" s="537"/>
      <c r="X455" s="537"/>
      <c r="Y455" s="537"/>
      <c r="Z455" s="537"/>
    </row>
    <row r="456">
      <c r="A456" s="537"/>
      <c r="B456" s="537"/>
      <c r="C456" s="538"/>
      <c r="D456" s="537"/>
      <c r="E456" s="537"/>
      <c r="F456" s="537"/>
      <c r="G456" s="537"/>
      <c r="H456" s="537"/>
      <c r="I456" s="537"/>
      <c r="J456" s="537"/>
      <c r="K456" s="537"/>
      <c r="L456" s="537"/>
      <c r="M456" s="537"/>
      <c r="N456" s="537"/>
      <c r="O456" s="537"/>
      <c r="P456" s="537"/>
      <c r="Q456" s="537"/>
      <c r="R456" s="537"/>
      <c r="S456" s="537"/>
      <c r="T456" s="537"/>
      <c r="U456" s="537"/>
      <c r="V456" s="537"/>
      <c r="W456" s="537"/>
      <c r="X456" s="537"/>
      <c r="Y456" s="537"/>
      <c r="Z456" s="537"/>
    </row>
    <row r="457">
      <c r="A457" s="537"/>
      <c r="B457" s="537"/>
      <c r="C457" s="538"/>
      <c r="D457" s="537"/>
      <c r="E457" s="537"/>
      <c r="F457" s="537"/>
      <c r="G457" s="537"/>
      <c r="H457" s="537"/>
      <c r="I457" s="537"/>
      <c r="J457" s="537"/>
      <c r="K457" s="537"/>
      <c r="L457" s="537"/>
      <c r="M457" s="537"/>
      <c r="N457" s="537"/>
      <c r="O457" s="537"/>
      <c r="P457" s="537"/>
      <c r="Q457" s="537"/>
      <c r="R457" s="537"/>
      <c r="S457" s="537"/>
      <c r="T457" s="537"/>
      <c r="U457" s="537"/>
      <c r="V457" s="537"/>
      <c r="W457" s="537"/>
      <c r="X457" s="537"/>
      <c r="Y457" s="537"/>
      <c r="Z457" s="537"/>
    </row>
    <row r="458">
      <c r="A458" s="537"/>
      <c r="B458" s="537"/>
      <c r="C458" s="538"/>
      <c r="D458" s="537"/>
      <c r="E458" s="537"/>
      <c r="F458" s="537"/>
      <c r="G458" s="537"/>
      <c r="H458" s="537"/>
      <c r="I458" s="537"/>
      <c r="J458" s="537"/>
      <c r="K458" s="537"/>
      <c r="L458" s="537"/>
      <c r="M458" s="537"/>
      <c r="N458" s="537"/>
      <c r="O458" s="537"/>
      <c r="P458" s="537"/>
      <c r="Q458" s="537"/>
      <c r="R458" s="537"/>
      <c r="S458" s="537"/>
      <c r="T458" s="537"/>
      <c r="U458" s="537"/>
      <c r="V458" s="537"/>
      <c r="W458" s="537"/>
      <c r="X458" s="537"/>
      <c r="Y458" s="537"/>
      <c r="Z458" s="537"/>
    </row>
    <row r="459">
      <c r="A459" s="537"/>
      <c r="B459" s="537"/>
      <c r="C459" s="538"/>
      <c r="D459" s="537"/>
      <c r="E459" s="537"/>
      <c r="F459" s="537"/>
      <c r="G459" s="537"/>
      <c r="H459" s="537"/>
      <c r="I459" s="537"/>
      <c r="J459" s="537"/>
      <c r="K459" s="537"/>
      <c r="L459" s="537"/>
      <c r="M459" s="537"/>
      <c r="N459" s="537"/>
      <c r="O459" s="537"/>
      <c r="P459" s="537"/>
      <c r="Q459" s="537"/>
      <c r="R459" s="537"/>
      <c r="S459" s="537"/>
      <c r="T459" s="537"/>
      <c r="U459" s="537"/>
      <c r="V459" s="537"/>
      <c r="W459" s="537"/>
      <c r="X459" s="537"/>
      <c r="Y459" s="537"/>
      <c r="Z459" s="537"/>
    </row>
    <row r="460">
      <c r="A460" s="537"/>
      <c r="B460" s="537"/>
      <c r="C460" s="538"/>
      <c r="D460" s="537"/>
      <c r="E460" s="537"/>
      <c r="F460" s="537"/>
      <c r="G460" s="537"/>
      <c r="H460" s="537"/>
      <c r="I460" s="537"/>
      <c r="J460" s="537"/>
      <c r="K460" s="537"/>
      <c r="L460" s="537"/>
      <c r="M460" s="537"/>
      <c r="N460" s="537"/>
      <c r="O460" s="537"/>
      <c r="P460" s="537"/>
      <c r="Q460" s="537"/>
      <c r="R460" s="537"/>
      <c r="S460" s="537"/>
      <c r="T460" s="537"/>
      <c r="U460" s="537"/>
      <c r="V460" s="537"/>
      <c r="W460" s="537"/>
      <c r="X460" s="537"/>
      <c r="Y460" s="537"/>
      <c r="Z460" s="537"/>
    </row>
    <row r="461">
      <c r="A461" s="537"/>
      <c r="B461" s="537"/>
      <c r="C461" s="538"/>
      <c r="D461" s="537"/>
      <c r="E461" s="537"/>
      <c r="F461" s="537"/>
      <c r="G461" s="537"/>
      <c r="H461" s="537"/>
      <c r="I461" s="537"/>
      <c r="J461" s="537"/>
      <c r="K461" s="537"/>
      <c r="L461" s="537"/>
      <c r="M461" s="537"/>
      <c r="N461" s="537"/>
      <c r="O461" s="537"/>
      <c r="P461" s="537"/>
      <c r="Q461" s="537"/>
      <c r="R461" s="537"/>
      <c r="S461" s="537"/>
      <c r="T461" s="537"/>
      <c r="U461" s="537"/>
      <c r="V461" s="537"/>
      <c r="W461" s="537"/>
      <c r="X461" s="537"/>
      <c r="Y461" s="537"/>
      <c r="Z461" s="537"/>
    </row>
    <row r="462">
      <c r="A462" s="537"/>
      <c r="B462" s="537"/>
      <c r="C462" s="538"/>
      <c r="D462" s="537"/>
      <c r="E462" s="537"/>
      <c r="F462" s="537"/>
      <c r="G462" s="537"/>
      <c r="H462" s="537"/>
      <c r="I462" s="537"/>
      <c r="J462" s="537"/>
      <c r="K462" s="537"/>
      <c r="L462" s="537"/>
      <c r="M462" s="537"/>
      <c r="N462" s="537"/>
      <c r="O462" s="537"/>
      <c r="P462" s="537"/>
      <c r="Q462" s="537"/>
      <c r="R462" s="537"/>
      <c r="S462" s="537"/>
      <c r="T462" s="537"/>
      <c r="U462" s="537"/>
      <c r="V462" s="537"/>
      <c r="W462" s="537"/>
      <c r="X462" s="537"/>
      <c r="Y462" s="537"/>
      <c r="Z462" s="537"/>
    </row>
    <row r="463">
      <c r="A463" s="537"/>
      <c r="B463" s="537"/>
      <c r="C463" s="538"/>
      <c r="D463" s="537"/>
      <c r="E463" s="537"/>
      <c r="F463" s="537"/>
      <c r="G463" s="537"/>
      <c r="H463" s="537"/>
      <c r="I463" s="537"/>
      <c r="J463" s="537"/>
      <c r="K463" s="537"/>
      <c r="L463" s="537"/>
      <c r="M463" s="537"/>
      <c r="N463" s="537"/>
      <c r="O463" s="537"/>
      <c r="P463" s="537"/>
      <c r="Q463" s="537"/>
      <c r="R463" s="537"/>
      <c r="S463" s="537"/>
      <c r="T463" s="537"/>
      <c r="U463" s="537"/>
      <c r="V463" s="537"/>
      <c r="W463" s="537"/>
      <c r="X463" s="537"/>
      <c r="Y463" s="537"/>
      <c r="Z463" s="537"/>
    </row>
    <row r="464">
      <c r="A464" s="537"/>
      <c r="B464" s="537"/>
      <c r="C464" s="538"/>
      <c r="D464" s="537"/>
      <c r="E464" s="537"/>
      <c r="F464" s="537"/>
      <c r="G464" s="537"/>
      <c r="H464" s="537"/>
      <c r="I464" s="537"/>
      <c r="J464" s="537"/>
      <c r="K464" s="537"/>
      <c r="L464" s="537"/>
      <c r="M464" s="537"/>
      <c r="N464" s="537"/>
      <c r="O464" s="537"/>
      <c r="P464" s="537"/>
      <c r="Q464" s="537"/>
      <c r="R464" s="537"/>
      <c r="S464" s="537"/>
      <c r="T464" s="537"/>
      <c r="U464" s="537"/>
      <c r="V464" s="537"/>
      <c r="W464" s="537"/>
      <c r="X464" s="537"/>
      <c r="Y464" s="537"/>
      <c r="Z464" s="537"/>
    </row>
    <row r="465">
      <c r="A465" s="537"/>
      <c r="B465" s="537"/>
      <c r="C465" s="538"/>
      <c r="D465" s="537"/>
      <c r="E465" s="537"/>
      <c r="F465" s="537"/>
      <c r="G465" s="537"/>
      <c r="H465" s="537"/>
      <c r="I465" s="537"/>
      <c r="J465" s="537"/>
      <c r="K465" s="537"/>
      <c r="L465" s="537"/>
      <c r="M465" s="537"/>
      <c r="N465" s="537"/>
      <c r="O465" s="537"/>
      <c r="P465" s="537"/>
      <c r="Q465" s="537"/>
      <c r="R465" s="537"/>
      <c r="S465" s="537"/>
      <c r="T465" s="537"/>
      <c r="U465" s="537"/>
      <c r="V465" s="537"/>
      <c r="W465" s="537"/>
      <c r="X465" s="537"/>
      <c r="Y465" s="537"/>
      <c r="Z465" s="537"/>
    </row>
    <row r="466">
      <c r="A466" s="537"/>
      <c r="B466" s="537"/>
      <c r="C466" s="538"/>
      <c r="D466" s="537"/>
      <c r="E466" s="537"/>
      <c r="F466" s="537"/>
      <c r="G466" s="537"/>
      <c r="H466" s="537"/>
      <c r="I466" s="537"/>
      <c r="J466" s="537"/>
      <c r="K466" s="537"/>
      <c r="L466" s="537"/>
      <c r="M466" s="537"/>
      <c r="N466" s="537"/>
      <c r="O466" s="537"/>
      <c r="P466" s="537"/>
      <c r="Q466" s="537"/>
      <c r="R466" s="537"/>
      <c r="S466" s="537"/>
      <c r="T466" s="537"/>
      <c r="U466" s="537"/>
      <c r="V466" s="537"/>
      <c r="W466" s="537"/>
      <c r="X466" s="537"/>
      <c r="Y466" s="537"/>
      <c r="Z466" s="537"/>
    </row>
    <row r="467">
      <c r="A467" s="537"/>
      <c r="B467" s="537"/>
      <c r="C467" s="538"/>
      <c r="D467" s="537"/>
      <c r="E467" s="537"/>
      <c r="F467" s="537"/>
      <c r="G467" s="537"/>
      <c r="H467" s="537"/>
      <c r="I467" s="537"/>
      <c r="J467" s="537"/>
      <c r="K467" s="537"/>
      <c r="L467" s="537"/>
      <c r="M467" s="537"/>
      <c r="N467" s="537"/>
      <c r="O467" s="537"/>
      <c r="P467" s="537"/>
      <c r="Q467" s="537"/>
      <c r="R467" s="537"/>
      <c r="S467" s="537"/>
      <c r="T467" s="537"/>
      <c r="U467" s="537"/>
      <c r="V467" s="537"/>
      <c r="W467" s="537"/>
      <c r="X467" s="537"/>
      <c r="Y467" s="537"/>
      <c r="Z467" s="537"/>
    </row>
    <row r="468">
      <c r="A468" s="537"/>
      <c r="B468" s="537"/>
      <c r="C468" s="538"/>
      <c r="D468" s="537"/>
      <c r="E468" s="537"/>
      <c r="F468" s="537"/>
      <c r="G468" s="537"/>
      <c r="H468" s="537"/>
      <c r="I468" s="537"/>
      <c r="J468" s="537"/>
      <c r="K468" s="537"/>
      <c r="L468" s="537"/>
      <c r="M468" s="537"/>
      <c r="N468" s="537"/>
      <c r="O468" s="537"/>
      <c r="P468" s="537"/>
      <c r="Q468" s="537"/>
      <c r="R468" s="537"/>
      <c r="S468" s="537"/>
      <c r="T468" s="537"/>
      <c r="U468" s="537"/>
      <c r="V468" s="537"/>
      <c r="W468" s="537"/>
      <c r="X468" s="537"/>
      <c r="Y468" s="537"/>
      <c r="Z468" s="537"/>
    </row>
    <row r="469">
      <c r="A469" s="537"/>
      <c r="B469" s="537"/>
      <c r="C469" s="538"/>
      <c r="D469" s="537"/>
      <c r="E469" s="537"/>
      <c r="F469" s="537"/>
      <c r="G469" s="537"/>
      <c r="H469" s="537"/>
      <c r="I469" s="537"/>
      <c r="J469" s="537"/>
      <c r="K469" s="537"/>
      <c r="L469" s="537"/>
      <c r="M469" s="537"/>
      <c r="N469" s="537"/>
      <c r="O469" s="537"/>
      <c r="P469" s="537"/>
      <c r="Q469" s="537"/>
      <c r="R469" s="537"/>
      <c r="S469" s="537"/>
      <c r="T469" s="537"/>
      <c r="U469" s="537"/>
      <c r="V469" s="537"/>
      <c r="W469" s="537"/>
      <c r="X469" s="537"/>
      <c r="Y469" s="537"/>
      <c r="Z469" s="537"/>
    </row>
    <row r="470">
      <c r="A470" s="537"/>
      <c r="B470" s="537"/>
      <c r="C470" s="538"/>
      <c r="D470" s="537"/>
      <c r="E470" s="537"/>
      <c r="F470" s="537"/>
      <c r="G470" s="537"/>
      <c r="H470" s="537"/>
      <c r="I470" s="537"/>
      <c r="J470" s="537"/>
      <c r="K470" s="537"/>
      <c r="L470" s="537"/>
      <c r="M470" s="537"/>
      <c r="N470" s="537"/>
      <c r="O470" s="537"/>
      <c r="P470" s="537"/>
      <c r="Q470" s="537"/>
      <c r="R470" s="537"/>
      <c r="S470" s="537"/>
      <c r="T470" s="537"/>
      <c r="U470" s="537"/>
      <c r="V470" s="537"/>
      <c r="W470" s="537"/>
      <c r="X470" s="537"/>
      <c r="Y470" s="537"/>
      <c r="Z470" s="537"/>
    </row>
    <row r="471">
      <c r="A471" s="537"/>
      <c r="B471" s="537"/>
      <c r="C471" s="538"/>
      <c r="D471" s="537"/>
      <c r="E471" s="537"/>
      <c r="F471" s="537"/>
      <c r="G471" s="537"/>
      <c r="H471" s="537"/>
      <c r="I471" s="537"/>
      <c r="J471" s="537"/>
      <c r="K471" s="537"/>
      <c r="L471" s="537"/>
      <c r="M471" s="537"/>
      <c r="N471" s="537"/>
      <c r="O471" s="537"/>
      <c r="P471" s="537"/>
      <c r="Q471" s="537"/>
      <c r="R471" s="537"/>
      <c r="S471" s="537"/>
      <c r="T471" s="537"/>
      <c r="U471" s="537"/>
      <c r="V471" s="537"/>
      <c r="W471" s="537"/>
      <c r="X471" s="537"/>
      <c r="Y471" s="537"/>
      <c r="Z471" s="537"/>
    </row>
    <row r="472">
      <c r="A472" s="537"/>
      <c r="B472" s="537"/>
      <c r="C472" s="538"/>
      <c r="D472" s="537"/>
      <c r="E472" s="537"/>
      <c r="F472" s="537"/>
      <c r="G472" s="537"/>
      <c r="H472" s="537"/>
      <c r="I472" s="537"/>
      <c r="J472" s="537"/>
      <c r="K472" s="537"/>
      <c r="L472" s="537"/>
      <c r="M472" s="537"/>
      <c r="N472" s="537"/>
      <c r="O472" s="537"/>
      <c r="P472" s="537"/>
      <c r="Q472" s="537"/>
      <c r="R472" s="537"/>
      <c r="S472" s="537"/>
      <c r="T472" s="537"/>
      <c r="U472" s="537"/>
      <c r="V472" s="537"/>
      <c r="W472" s="537"/>
      <c r="X472" s="537"/>
      <c r="Y472" s="537"/>
      <c r="Z472" s="537"/>
    </row>
    <row r="473">
      <c r="A473" s="537"/>
      <c r="B473" s="537"/>
      <c r="C473" s="538"/>
      <c r="D473" s="537"/>
      <c r="E473" s="537"/>
      <c r="F473" s="537"/>
      <c r="G473" s="537"/>
      <c r="H473" s="537"/>
      <c r="I473" s="537"/>
      <c r="J473" s="537"/>
      <c r="K473" s="537"/>
      <c r="L473" s="537"/>
      <c r="M473" s="537"/>
      <c r="N473" s="537"/>
      <c r="O473" s="537"/>
      <c r="P473" s="537"/>
      <c r="Q473" s="537"/>
      <c r="R473" s="537"/>
      <c r="S473" s="537"/>
      <c r="T473" s="537"/>
      <c r="U473" s="537"/>
      <c r="V473" s="537"/>
      <c r="W473" s="537"/>
      <c r="X473" s="537"/>
      <c r="Y473" s="537"/>
      <c r="Z473" s="537"/>
    </row>
    <row r="474">
      <c r="A474" s="537"/>
      <c r="B474" s="537"/>
      <c r="C474" s="538"/>
      <c r="D474" s="537"/>
      <c r="E474" s="537"/>
      <c r="F474" s="537"/>
      <c r="G474" s="537"/>
      <c r="H474" s="537"/>
      <c r="I474" s="537"/>
      <c r="J474" s="537"/>
      <c r="K474" s="537"/>
      <c r="L474" s="537"/>
      <c r="M474" s="537"/>
      <c r="N474" s="537"/>
      <c r="O474" s="537"/>
      <c r="P474" s="537"/>
      <c r="Q474" s="537"/>
      <c r="R474" s="537"/>
      <c r="S474" s="537"/>
      <c r="T474" s="537"/>
      <c r="U474" s="537"/>
      <c r="V474" s="537"/>
      <c r="W474" s="537"/>
      <c r="X474" s="537"/>
      <c r="Y474" s="537"/>
      <c r="Z474" s="537"/>
    </row>
    <row r="475">
      <c r="A475" s="537"/>
      <c r="B475" s="537"/>
      <c r="C475" s="538"/>
      <c r="D475" s="537"/>
      <c r="E475" s="537"/>
      <c r="F475" s="537"/>
      <c r="G475" s="537"/>
      <c r="H475" s="537"/>
      <c r="I475" s="537"/>
      <c r="J475" s="537"/>
      <c r="K475" s="537"/>
      <c r="L475" s="537"/>
      <c r="M475" s="537"/>
      <c r="N475" s="537"/>
      <c r="O475" s="537"/>
      <c r="P475" s="537"/>
      <c r="Q475" s="537"/>
      <c r="R475" s="537"/>
      <c r="S475" s="537"/>
      <c r="T475" s="537"/>
      <c r="U475" s="537"/>
      <c r="V475" s="537"/>
      <c r="W475" s="537"/>
      <c r="X475" s="537"/>
      <c r="Y475" s="537"/>
      <c r="Z475" s="537"/>
    </row>
    <row r="476">
      <c r="A476" s="537"/>
      <c r="B476" s="537"/>
      <c r="C476" s="538"/>
      <c r="D476" s="537"/>
      <c r="E476" s="537"/>
      <c r="F476" s="537"/>
      <c r="G476" s="537"/>
      <c r="H476" s="537"/>
      <c r="I476" s="537"/>
      <c r="J476" s="537"/>
      <c r="K476" s="537"/>
      <c r="L476" s="537"/>
      <c r="M476" s="537"/>
      <c r="N476" s="537"/>
      <c r="O476" s="537"/>
      <c r="P476" s="537"/>
      <c r="Q476" s="537"/>
      <c r="R476" s="537"/>
      <c r="S476" s="537"/>
      <c r="T476" s="537"/>
      <c r="U476" s="537"/>
      <c r="V476" s="537"/>
      <c r="W476" s="537"/>
      <c r="X476" s="537"/>
      <c r="Y476" s="537"/>
      <c r="Z476" s="537"/>
    </row>
    <row r="477">
      <c r="A477" s="537"/>
      <c r="B477" s="537"/>
      <c r="C477" s="538"/>
      <c r="D477" s="537"/>
      <c r="E477" s="537"/>
      <c r="F477" s="537"/>
      <c r="G477" s="537"/>
      <c r="H477" s="537"/>
      <c r="I477" s="537"/>
      <c r="J477" s="537"/>
      <c r="K477" s="537"/>
      <c r="L477" s="537"/>
      <c r="M477" s="537"/>
      <c r="N477" s="537"/>
      <c r="O477" s="537"/>
      <c r="P477" s="537"/>
      <c r="Q477" s="537"/>
      <c r="R477" s="537"/>
      <c r="S477" s="537"/>
      <c r="T477" s="537"/>
      <c r="U477" s="537"/>
      <c r="V477" s="537"/>
      <c r="W477" s="537"/>
      <c r="X477" s="537"/>
      <c r="Y477" s="537"/>
      <c r="Z477" s="537"/>
    </row>
    <row r="478">
      <c r="A478" s="537"/>
      <c r="B478" s="537"/>
      <c r="C478" s="538"/>
      <c r="D478" s="537"/>
      <c r="E478" s="537"/>
      <c r="F478" s="537"/>
      <c r="G478" s="537"/>
      <c r="H478" s="537"/>
      <c r="I478" s="537"/>
      <c r="J478" s="537"/>
      <c r="K478" s="537"/>
      <c r="L478" s="537"/>
      <c r="M478" s="537"/>
      <c r="N478" s="537"/>
      <c r="O478" s="537"/>
      <c r="P478" s="537"/>
      <c r="Q478" s="537"/>
      <c r="R478" s="537"/>
      <c r="S478" s="537"/>
      <c r="T478" s="537"/>
      <c r="U478" s="537"/>
      <c r="V478" s="537"/>
      <c r="W478" s="537"/>
      <c r="X478" s="537"/>
      <c r="Y478" s="537"/>
      <c r="Z478" s="537"/>
    </row>
    <row r="479">
      <c r="A479" s="537"/>
      <c r="B479" s="537"/>
      <c r="C479" s="538"/>
      <c r="D479" s="537"/>
      <c r="E479" s="537"/>
      <c r="F479" s="537"/>
      <c r="G479" s="537"/>
      <c r="H479" s="537"/>
      <c r="I479" s="537"/>
      <c r="J479" s="537"/>
      <c r="K479" s="537"/>
      <c r="L479" s="537"/>
      <c r="M479" s="537"/>
      <c r="N479" s="537"/>
      <c r="O479" s="537"/>
      <c r="P479" s="537"/>
      <c r="Q479" s="537"/>
      <c r="R479" s="537"/>
      <c r="S479" s="537"/>
      <c r="T479" s="537"/>
      <c r="U479" s="537"/>
      <c r="V479" s="537"/>
      <c r="W479" s="537"/>
      <c r="X479" s="537"/>
      <c r="Y479" s="537"/>
      <c r="Z479" s="537"/>
    </row>
    <row r="480">
      <c r="A480" s="537"/>
      <c r="B480" s="537"/>
      <c r="C480" s="538"/>
      <c r="D480" s="537"/>
      <c r="E480" s="537"/>
      <c r="F480" s="537"/>
      <c r="G480" s="537"/>
      <c r="H480" s="537"/>
      <c r="I480" s="537"/>
      <c r="J480" s="537"/>
      <c r="K480" s="537"/>
      <c r="L480" s="537"/>
      <c r="M480" s="537"/>
      <c r="N480" s="537"/>
      <c r="O480" s="537"/>
      <c r="P480" s="537"/>
      <c r="Q480" s="537"/>
      <c r="R480" s="537"/>
      <c r="S480" s="537"/>
      <c r="T480" s="537"/>
      <c r="U480" s="537"/>
      <c r="V480" s="537"/>
      <c r="W480" s="537"/>
      <c r="X480" s="537"/>
      <c r="Y480" s="537"/>
      <c r="Z480" s="537"/>
    </row>
    <row r="481">
      <c r="A481" s="537"/>
      <c r="B481" s="537"/>
      <c r="C481" s="538"/>
      <c r="D481" s="537"/>
      <c r="E481" s="537"/>
      <c r="F481" s="537"/>
      <c r="G481" s="537"/>
      <c r="H481" s="537"/>
      <c r="I481" s="537"/>
      <c r="J481" s="537"/>
      <c r="K481" s="537"/>
      <c r="L481" s="537"/>
      <c r="M481" s="537"/>
      <c r="N481" s="537"/>
      <c r="O481" s="537"/>
      <c r="P481" s="537"/>
      <c r="Q481" s="537"/>
      <c r="R481" s="537"/>
      <c r="S481" s="537"/>
      <c r="T481" s="537"/>
      <c r="U481" s="537"/>
      <c r="V481" s="537"/>
      <c r="W481" s="537"/>
      <c r="X481" s="537"/>
      <c r="Y481" s="537"/>
      <c r="Z481" s="537"/>
    </row>
    <row r="482">
      <c r="A482" s="537"/>
      <c r="B482" s="537"/>
      <c r="C482" s="538"/>
      <c r="D482" s="537"/>
      <c r="E482" s="537"/>
      <c r="F482" s="537"/>
      <c r="G482" s="537"/>
      <c r="H482" s="537"/>
      <c r="I482" s="537"/>
      <c r="J482" s="537"/>
      <c r="K482" s="537"/>
      <c r="L482" s="537"/>
      <c r="M482" s="537"/>
      <c r="N482" s="537"/>
      <c r="O482" s="537"/>
      <c r="P482" s="537"/>
      <c r="Q482" s="537"/>
      <c r="R482" s="537"/>
      <c r="S482" s="537"/>
      <c r="T482" s="537"/>
      <c r="U482" s="537"/>
      <c r="V482" s="537"/>
      <c r="W482" s="537"/>
      <c r="X482" s="537"/>
      <c r="Y482" s="537"/>
      <c r="Z482" s="537"/>
    </row>
    <row r="483">
      <c r="A483" s="537"/>
      <c r="B483" s="537"/>
      <c r="C483" s="538"/>
      <c r="D483" s="537"/>
      <c r="E483" s="537"/>
      <c r="F483" s="537"/>
      <c r="G483" s="537"/>
      <c r="H483" s="537"/>
      <c r="I483" s="537"/>
      <c r="J483" s="537"/>
      <c r="K483" s="537"/>
      <c r="L483" s="537"/>
      <c r="M483" s="537"/>
      <c r="N483" s="537"/>
      <c r="O483" s="537"/>
      <c r="P483" s="537"/>
      <c r="Q483" s="537"/>
      <c r="R483" s="537"/>
      <c r="S483" s="537"/>
      <c r="T483" s="537"/>
      <c r="U483" s="537"/>
      <c r="V483" s="537"/>
      <c r="W483" s="537"/>
      <c r="X483" s="537"/>
      <c r="Y483" s="537"/>
      <c r="Z483" s="537"/>
    </row>
    <row r="484">
      <c r="A484" s="537"/>
      <c r="B484" s="537"/>
      <c r="C484" s="538"/>
      <c r="D484" s="537"/>
      <c r="E484" s="537"/>
      <c r="F484" s="537"/>
      <c r="G484" s="537"/>
      <c r="H484" s="537"/>
      <c r="I484" s="537"/>
      <c r="J484" s="537"/>
      <c r="K484" s="537"/>
      <c r="L484" s="537"/>
      <c r="M484" s="537"/>
      <c r="N484" s="537"/>
      <c r="O484" s="537"/>
      <c r="P484" s="537"/>
      <c r="Q484" s="537"/>
      <c r="R484" s="537"/>
      <c r="S484" s="537"/>
      <c r="T484" s="537"/>
      <c r="U484" s="537"/>
      <c r="V484" s="537"/>
      <c r="W484" s="537"/>
      <c r="X484" s="537"/>
      <c r="Y484" s="537"/>
      <c r="Z484" s="537"/>
    </row>
    <row r="485">
      <c r="A485" s="537"/>
      <c r="B485" s="537"/>
      <c r="C485" s="538"/>
      <c r="D485" s="537"/>
      <c r="E485" s="537"/>
      <c r="F485" s="537"/>
      <c r="G485" s="537"/>
      <c r="H485" s="537"/>
      <c r="I485" s="537"/>
      <c r="J485" s="537"/>
      <c r="K485" s="537"/>
      <c r="L485" s="537"/>
      <c r="M485" s="537"/>
      <c r="N485" s="537"/>
      <c r="O485" s="537"/>
      <c r="P485" s="537"/>
      <c r="Q485" s="537"/>
      <c r="R485" s="537"/>
      <c r="S485" s="537"/>
      <c r="T485" s="537"/>
      <c r="U485" s="537"/>
      <c r="V485" s="537"/>
      <c r="W485" s="537"/>
      <c r="X485" s="537"/>
      <c r="Y485" s="537"/>
      <c r="Z485" s="537"/>
    </row>
    <row r="486">
      <c r="A486" s="537"/>
      <c r="B486" s="537"/>
      <c r="C486" s="538"/>
      <c r="D486" s="537"/>
      <c r="E486" s="537"/>
      <c r="F486" s="537"/>
      <c r="G486" s="537"/>
      <c r="H486" s="537"/>
      <c r="I486" s="537"/>
      <c r="J486" s="537"/>
      <c r="K486" s="537"/>
      <c r="L486" s="537"/>
      <c r="M486" s="537"/>
      <c r="N486" s="537"/>
      <c r="O486" s="537"/>
      <c r="P486" s="537"/>
      <c r="Q486" s="537"/>
      <c r="R486" s="537"/>
      <c r="S486" s="537"/>
      <c r="T486" s="537"/>
      <c r="U486" s="537"/>
      <c r="V486" s="537"/>
      <c r="W486" s="537"/>
      <c r="X486" s="537"/>
      <c r="Y486" s="537"/>
      <c r="Z486" s="537"/>
    </row>
    <row r="487">
      <c r="A487" s="537"/>
      <c r="B487" s="537"/>
      <c r="C487" s="538"/>
      <c r="D487" s="537"/>
      <c r="E487" s="537"/>
      <c r="F487" s="537"/>
      <c r="G487" s="537"/>
      <c r="H487" s="537"/>
      <c r="I487" s="537"/>
      <c r="J487" s="537"/>
      <c r="K487" s="537"/>
      <c r="L487" s="537"/>
      <c r="M487" s="537"/>
      <c r="N487" s="537"/>
      <c r="O487" s="537"/>
      <c r="P487" s="537"/>
      <c r="Q487" s="537"/>
      <c r="R487" s="537"/>
      <c r="S487" s="537"/>
      <c r="T487" s="537"/>
      <c r="U487" s="537"/>
      <c r="V487" s="537"/>
      <c r="W487" s="537"/>
      <c r="X487" s="537"/>
      <c r="Y487" s="537"/>
      <c r="Z487" s="537"/>
    </row>
    <row r="488">
      <c r="A488" s="537"/>
      <c r="B488" s="537"/>
      <c r="C488" s="538"/>
      <c r="D488" s="537"/>
      <c r="E488" s="537"/>
      <c r="F488" s="537"/>
      <c r="G488" s="537"/>
      <c r="H488" s="537"/>
      <c r="I488" s="537"/>
      <c r="J488" s="537"/>
      <c r="K488" s="537"/>
      <c r="L488" s="537"/>
      <c r="M488" s="537"/>
      <c r="N488" s="537"/>
      <c r="O488" s="537"/>
      <c r="P488" s="537"/>
      <c r="Q488" s="537"/>
      <c r="R488" s="537"/>
      <c r="S488" s="537"/>
      <c r="T488" s="537"/>
      <c r="U488" s="537"/>
      <c r="V488" s="537"/>
      <c r="W488" s="537"/>
      <c r="X488" s="537"/>
      <c r="Y488" s="537"/>
      <c r="Z488" s="537"/>
    </row>
    <row r="489">
      <c r="A489" s="537"/>
      <c r="B489" s="537"/>
      <c r="C489" s="538"/>
      <c r="D489" s="537"/>
      <c r="E489" s="537"/>
      <c r="F489" s="537"/>
      <c r="G489" s="537"/>
      <c r="H489" s="537"/>
      <c r="I489" s="537"/>
      <c r="J489" s="537"/>
      <c r="K489" s="537"/>
      <c r="L489" s="537"/>
      <c r="M489" s="537"/>
      <c r="N489" s="537"/>
      <c r="O489" s="537"/>
      <c r="P489" s="537"/>
      <c r="Q489" s="537"/>
      <c r="R489" s="537"/>
      <c r="S489" s="537"/>
      <c r="T489" s="537"/>
      <c r="U489" s="537"/>
      <c r="V489" s="537"/>
      <c r="W489" s="537"/>
      <c r="X489" s="537"/>
      <c r="Y489" s="537"/>
      <c r="Z489" s="537"/>
    </row>
    <row r="490">
      <c r="A490" s="537"/>
      <c r="B490" s="537"/>
      <c r="C490" s="538"/>
      <c r="D490" s="537"/>
      <c r="E490" s="537"/>
      <c r="F490" s="537"/>
      <c r="G490" s="537"/>
      <c r="H490" s="537"/>
      <c r="I490" s="537"/>
      <c r="J490" s="537"/>
      <c r="K490" s="537"/>
      <c r="L490" s="537"/>
      <c r="M490" s="537"/>
      <c r="N490" s="537"/>
      <c r="O490" s="537"/>
      <c r="P490" s="537"/>
      <c r="Q490" s="537"/>
      <c r="R490" s="537"/>
      <c r="S490" s="537"/>
      <c r="T490" s="537"/>
      <c r="U490" s="537"/>
      <c r="V490" s="537"/>
      <c r="W490" s="537"/>
      <c r="X490" s="537"/>
      <c r="Y490" s="537"/>
      <c r="Z490" s="537"/>
    </row>
    <row r="491">
      <c r="A491" s="537"/>
      <c r="B491" s="537"/>
      <c r="C491" s="538"/>
      <c r="D491" s="537"/>
      <c r="E491" s="537"/>
      <c r="F491" s="537"/>
      <c r="G491" s="537"/>
      <c r="H491" s="537"/>
      <c r="I491" s="537"/>
      <c r="J491" s="537"/>
      <c r="K491" s="537"/>
      <c r="L491" s="537"/>
      <c r="M491" s="537"/>
      <c r="N491" s="537"/>
      <c r="O491" s="537"/>
      <c r="P491" s="537"/>
      <c r="Q491" s="537"/>
      <c r="R491" s="537"/>
      <c r="S491" s="537"/>
      <c r="T491" s="537"/>
      <c r="U491" s="537"/>
      <c r="V491" s="537"/>
      <c r="W491" s="537"/>
      <c r="X491" s="537"/>
      <c r="Y491" s="537"/>
      <c r="Z491" s="537"/>
    </row>
    <row r="492">
      <c r="A492" s="537"/>
      <c r="B492" s="537"/>
      <c r="C492" s="538"/>
      <c r="D492" s="537"/>
      <c r="E492" s="537"/>
      <c r="F492" s="537"/>
      <c r="G492" s="537"/>
      <c r="H492" s="537"/>
      <c r="I492" s="537"/>
      <c r="J492" s="537"/>
      <c r="K492" s="537"/>
      <c r="L492" s="537"/>
      <c r="M492" s="537"/>
      <c r="N492" s="537"/>
      <c r="O492" s="537"/>
      <c r="P492" s="537"/>
      <c r="Q492" s="537"/>
      <c r="R492" s="537"/>
      <c r="S492" s="537"/>
      <c r="T492" s="537"/>
      <c r="U492" s="537"/>
      <c r="V492" s="537"/>
      <c r="W492" s="537"/>
      <c r="X492" s="537"/>
      <c r="Y492" s="537"/>
      <c r="Z492" s="537"/>
    </row>
    <row r="493">
      <c r="A493" s="537"/>
      <c r="B493" s="537"/>
      <c r="C493" s="538"/>
      <c r="D493" s="537"/>
      <c r="E493" s="537"/>
      <c r="F493" s="537"/>
      <c r="G493" s="537"/>
      <c r="H493" s="537"/>
      <c r="I493" s="537"/>
      <c r="J493" s="537"/>
      <c r="K493" s="537"/>
      <c r="L493" s="537"/>
      <c r="M493" s="537"/>
      <c r="N493" s="537"/>
      <c r="O493" s="537"/>
      <c r="P493" s="537"/>
      <c r="Q493" s="537"/>
      <c r="R493" s="537"/>
      <c r="S493" s="537"/>
      <c r="T493" s="537"/>
      <c r="U493" s="537"/>
      <c r="V493" s="537"/>
      <c r="W493" s="537"/>
      <c r="X493" s="537"/>
      <c r="Y493" s="537"/>
      <c r="Z493" s="537"/>
    </row>
    <row r="494">
      <c r="A494" s="537"/>
      <c r="B494" s="537"/>
      <c r="C494" s="538"/>
      <c r="D494" s="537"/>
      <c r="E494" s="537"/>
      <c r="F494" s="537"/>
      <c r="G494" s="537"/>
      <c r="H494" s="537"/>
      <c r="I494" s="537"/>
      <c r="J494" s="537"/>
      <c r="K494" s="537"/>
      <c r="L494" s="537"/>
      <c r="M494" s="537"/>
      <c r="N494" s="537"/>
      <c r="O494" s="537"/>
      <c r="P494" s="537"/>
      <c r="Q494" s="537"/>
      <c r="R494" s="537"/>
      <c r="S494" s="537"/>
      <c r="T494" s="537"/>
      <c r="U494" s="537"/>
      <c r="V494" s="537"/>
      <c r="W494" s="537"/>
      <c r="X494" s="537"/>
      <c r="Y494" s="537"/>
      <c r="Z494" s="537"/>
    </row>
    <row r="495">
      <c r="A495" s="537"/>
      <c r="B495" s="537"/>
      <c r="C495" s="538"/>
      <c r="D495" s="537"/>
      <c r="E495" s="537"/>
      <c r="F495" s="537"/>
      <c r="G495" s="537"/>
      <c r="H495" s="537"/>
      <c r="I495" s="537"/>
      <c r="J495" s="537"/>
      <c r="K495" s="537"/>
      <c r="L495" s="537"/>
      <c r="M495" s="537"/>
      <c r="N495" s="537"/>
      <c r="O495" s="537"/>
      <c r="P495" s="537"/>
      <c r="Q495" s="537"/>
      <c r="R495" s="537"/>
      <c r="S495" s="537"/>
      <c r="T495" s="537"/>
      <c r="U495" s="537"/>
      <c r="V495" s="537"/>
      <c r="W495" s="537"/>
      <c r="X495" s="537"/>
      <c r="Y495" s="537"/>
      <c r="Z495" s="537"/>
    </row>
    <row r="496">
      <c r="A496" s="537"/>
      <c r="B496" s="537"/>
      <c r="C496" s="538"/>
      <c r="D496" s="537"/>
      <c r="E496" s="537"/>
      <c r="F496" s="537"/>
      <c r="G496" s="537"/>
      <c r="H496" s="537"/>
      <c r="I496" s="537"/>
      <c r="J496" s="537"/>
      <c r="K496" s="537"/>
      <c r="L496" s="537"/>
      <c r="M496" s="537"/>
      <c r="N496" s="537"/>
      <c r="O496" s="537"/>
      <c r="P496" s="537"/>
      <c r="Q496" s="537"/>
      <c r="R496" s="537"/>
      <c r="S496" s="537"/>
      <c r="T496" s="537"/>
      <c r="U496" s="537"/>
      <c r="V496" s="537"/>
      <c r="W496" s="537"/>
      <c r="X496" s="537"/>
      <c r="Y496" s="537"/>
      <c r="Z496" s="537"/>
    </row>
    <row r="497">
      <c r="A497" s="537"/>
      <c r="B497" s="537"/>
      <c r="C497" s="538"/>
      <c r="D497" s="537"/>
      <c r="E497" s="537"/>
      <c r="F497" s="537"/>
      <c r="G497" s="537"/>
      <c r="H497" s="537"/>
      <c r="I497" s="537"/>
      <c r="J497" s="537"/>
      <c r="K497" s="537"/>
      <c r="L497" s="537"/>
      <c r="M497" s="537"/>
      <c r="N497" s="537"/>
      <c r="O497" s="537"/>
      <c r="P497" s="537"/>
      <c r="Q497" s="537"/>
      <c r="R497" s="537"/>
      <c r="S497" s="537"/>
      <c r="T497" s="537"/>
      <c r="U497" s="537"/>
      <c r="V497" s="537"/>
      <c r="W497" s="537"/>
      <c r="X497" s="537"/>
      <c r="Y497" s="537"/>
      <c r="Z497" s="537"/>
    </row>
    <row r="498">
      <c r="A498" s="537"/>
      <c r="B498" s="537"/>
      <c r="C498" s="538"/>
      <c r="D498" s="537"/>
      <c r="E498" s="537"/>
      <c r="F498" s="537"/>
      <c r="G498" s="537"/>
      <c r="H498" s="537"/>
      <c r="I498" s="537"/>
      <c r="J498" s="537"/>
      <c r="K498" s="537"/>
      <c r="L498" s="537"/>
      <c r="M498" s="537"/>
      <c r="N498" s="537"/>
      <c r="O498" s="537"/>
      <c r="P498" s="537"/>
      <c r="Q498" s="537"/>
      <c r="R498" s="537"/>
      <c r="S498" s="537"/>
      <c r="T498" s="537"/>
      <c r="U498" s="537"/>
      <c r="V498" s="537"/>
      <c r="W498" s="537"/>
      <c r="X498" s="537"/>
      <c r="Y498" s="537"/>
      <c r="Z498" s="537"/>
    </row>
    <row r="499">
      <c r="A499" s="537"/>
      <c r="B499" s="537"/>
      <c r="C499" s="538"/>
      <c r="D499" s="537"/>
      <c r="E499" s="537"/>
      <c r="F499" s="537"/>
      <c r="G499" s="537"/>
      <c r="H499" s="537"/>
      <c r="I499" s="537"/>
      <c r="J499" s="537"/>
      <c r="K499" s="537"/>
      <c r="L499" s="537"/>
      <c r="M499" s="537"/>
      <c r="N499" s="537"/>
      <c r="O499" s="537"/>
      <c r="P499" s="537"/>
      <c r="Q499" s="537"/>
      <c r="R499" s="537"/>
      <c r="S499" s="537"/>
      <c r="T499" s="537"/>
      <c r="U499" s="537"/>
      <c r="V499" s="537"/>
      <c r="W499" s="537"/>
      <c r="X499" s="537"/>
      <c r="Y499" s="537"/>
      <c r="Z499" s="537"/>
    </row>
    <row r="500">
      <c r="A500" s="537"/>
      <c r="B500" s="537"/>
      <c r="C500" s="538"/>
      <c r="D500" s="537"/>
      <c r="E500" s="537"/>
      <c r="F500" s="537"/>
      <c r="G500" s="537"/>
      <c r="H500" s="537"/>
      <c r="I500" s="537"/>
      <c r="J500" s="537"/>
      <c r="K500" s="537"/>
      <c r="L500" s="537"/>
      <c r="M500" s="537"/>
      <c r="N500" s="537"/>
      <c r="O500" s="537"/>
      <c r="P500" s="537"/>
      <c r="Q500" s="537"/>
      <c r="R500" s="537"/>
      <c r="S500" s="537"/>
      <c r="T500" s="537"/>
      <c r="U500" s="537"/>
      <c r="V500" s="537"/>
      <c r="W500" s="537"/>
      <c r="X500" s="537"/>
      <c r="Y500" s="537"/>
      <c r="Z500" s="537"/>
    </row>
    <row r="501">
      <c r="A501" s="537"/>
      <c r="B501" s="537"/>
      <c r="C501" s="538"/>
      <c r="D501" s="537"/>
      <c r="E501" s="537"/>
      <c r="F501" s="537"/>
      <c r="G501" s="537"/>
      <c r="H501" s="537"/>
      <c r="I501" s="537"/>
      <c r="J501" s="537"/>
      <c r="K501" s="537"/>
      <c r="L501" s="537"/>
      <c r="M501" s="537"/>
      <c r="N501" s="537"/>
      <c r="O501" s="537"/>
      <c r="P501" s="537"/>
      <c r="Q501" s="537"/>
      <c r="R501" s="537"/>
      <c r="S501" s="537"/>
      <c r="T501" s="537"/>
      <c r="U501" s="537"/>
      <c r="V501" s="537"/>
      <c r="W501" s="537"/>
      <c r="X501" s="537"/>
      <c r="Y501" s="537"/>
      <c r="Z501" s="537"/>
    </row>
    <row r="502">
      <c r="A502" s="537"/>
      <c r="B502" s="537"/>
      <c r="C502" s="538"/>
      <c r="D502" s="537"/>
      <c r="E502" s="537"/>
      <c r="F502" s="537"/>
      <c r="G502" s="537"/>
      <c r="H502" s="537"/>
      <c r="I502" s="537"/>
      <c r="J502" s="537"/>
      <c r="K502" s="537"/>
      <c r="L502" s="537"/>
      <c r="M502" s="537"/>
      <c r="N502" s="537"/>
      <c r="O502" s="537"/>
      <c r="P502" s="537"/>
      <c r="Q502" s="537"/>
      <c r="R502" s="537"/>
      <c r="S502" s="537"/>
      <c r="T502" s="537"/>
      <c r="U502" s="537"/>
      <c r="V502" s="537"/>
      <c r="W502" s="537"/>
      <c r="X502" s="537"/>
      <c r="Y502" s="537"/>
      <c r="Z502" s="537"/>
    </row>
    <row r="503">
      <c r="A503" s="537"/>
      <c r="B503" s="537"/>
      <c r="C503" s="538"/>
      <c r="D503" s="537"/>
      <c r="E503" s="537"/>
      <c r="F503" s="537"/>
      <c r="G503" s="537"/>
      <c r="H503" s="537"/>
      <c r="I503" s="537"/>
      <c r="J503" s="537"/>
      <c r="K503" s="537"/>
      <c r="L503" s="537"/>
      <c r="M503" s="537"/>
      <c r="N503" s="537"/>
      <c r="O503" s="537"/>
      <c r="P503" s="537"/>
      <c r="Q503" s="537"/>
      <c r="R503" s="537"/>
      <c r="S503" s="537"/>
      <c r="T503" s="537"/>
      <c r="U503" s="537"/>
      <c r="V503" s="537"/>
      <c r="W503" s="537"/>
      <c r="X503" s="537"/>
      <c r="Y503" s="537"/>
      <c r="Z503" s="537"/>
    </row>
    <row r="504">
      <c r="A504" s="537"/>
      <c r="B504" s="537"/>
      <c r="C504" s="538"/>
      <c r="D504" s="537"/>
      <c r="E504" s="537"/>
      <c r="F504" s="537"/>
      <c r="G504" s="537"/>
      <c r="H504" s="537"/>
      <c r="I504" s="537"/>
      <c r="J504" s="537"/>
      <c r="K504" s="537"/>
      <c r="L504" s="537"/>
      <c r="M504" s="537"/>
      <c r="N504" s="537"/>
      <c r="O504" s="537"/>
      <c r="P504" s="537"/>
      <c r="Q504" s="537"/>
      <c r="R504" s="537"/>
      <c r="S504" s="537"/>
      <c r="T504" s="537"/>
      <c r="U504" s="537"/>
      <c r="V504" s="537"/>
      <c r="W504" s="537"/>
      <c r="X504" s="537"/>
      <c r="Y504" s="537"/>
      <c r="Z504" s="537"/>
    </row>
    <row r="505">
      <c r="A505" s="537"/>
      <c r="B505" s="537"/>
      <c r="C505" s="538"/>
      <c r="D505" s="537"/>
      <c r="E505" s="537"/>
      <c r="F505" s="537"/>
      <c r="G505" s="537"/>
      <c r="H505" s="537"/>
      <c r="I505" s="537"/>
      <c r="J505" s="537"/>
      <c r="K505" s="537"/>
      <c r="L505" s="537"/>
      <c r="M505" s="537"/>
      <c r="N505" s="537"/>
      <c r="O505" s="537"/>
      <c r="P505" s="537"/>
      <c r="Q505" s="537"/>
      <c r="R505" s="537"/>
      <c r="S505" s="537"/>
      <c r="T505" s="537"/>
      <c r="U505" s="537"/>
      <c r="V505" s="537"/>
      <c r="W505" s="537"/>
      <c r="X505" s="537"/>
      <c r="Y505" s="537"/>
      <c r="Z505" s="537"/>
    </row>
    <row r="506">
      <c r="A506" s="537"/>
      <c r="B506" s="537"/>
      <c r="C506" s="538"/>
      <c r="D506" s="537"/>
      <c r="E506" s="537"/>
      <c r="F506" s="537"/>
      <c r="G506" s="537"/>
      <c r="H506" s="537"/>
      <c r="I506" s="537"/>
      <c r="J506" s="537"/>
      <c r="K506" s="537"/>
      <c r="L506" s="537"/>
      <c r="M506" s="537"/>
      <c r="N506" s="537"/>
      <c r="O506" s="537"/>
      <c r="P506" s="537"/>
      <c r="Q506" s="537"/>
      <c r="R506" s="537"/>
      <c r="S506" s="537"/>
      <c r="T506" s="537"/>
      <c r="U506" s="537"/>
      <c r="V506" s="537"/>
      <c r="W506" s="537"/>
      <c r="X506" s="537"/>
      <c r="Y506" s="537"/>
      <c r="Z506" s="537"/>
    </row>
    <row r="507">
      <c r="A507" s="537"/>
      <c r="B507" s="537"/>
      <c r="C507" s="538"/>
      <c r="D507" s="537"/>
      <c r="E507" s="537"/>
      <c r="F507" s="537"/>
      <c r="G507" s="537"/>
      <c r="H507" s="537"/>
      <c r="I507" s="537"/>
      <c r="J507" s="537"/>
      <c r="K507" s="537"/>
      <c r="L507" s="537"/>
      <c r="M507" s="537"/>
      <c r="N507" s="537"/>
      <c r="O507" s="537"/>
      <c r="P507" s="537"/>
      <c r="Q507" s="537"/>
      <c r="R507" s="537"/>
      <c r="S507" s="537"/>
      <c r="T507" s="537"/>
      <c r="U507" s="537"/>
      <c r="V507" s="537"/>
      <c r="W507" s="537"/>
      <c r="X507" s="537"/>
      <c r="Y507" s="537"/>
      <c r="Z507" s="537"/>
    </row>
    <row r="508">
      <c r="A508" s="537"/>
      <c r="B508" s="537"/>
      <c r="C508" s="538"/>
      <c r="D508" s="537"/>
      <c r="E508" s="537"/>
      <c r="F508" s="537"/>
      <c r="G508" s="537"/>
      <c r="H508" s="537"/>
      <c r="I508" s="537"/>
      <c r="J508" s="537"/>
      <c r="K508" s="537"/>
      <c r="L508" s="537"/>
      <c r="M508" s="537"/>
      <c r="N508" s="537"/>
      <c r="O508" s="537"/>
      <c r="P508" s="537"/>
      <c r="Q508" s="537"/>
      <c r="R508" s="537"/>
      <c r="S508" s="537"/>
      <c r="T508" s="537"/>
      <c r="U508" s="537"/>
      <c r="V508" s="537"/>
      <c r="W508" s="537"/>
      <c r="X508" s="537"/>
      <c r="Y508" s="537"/>
      <c r="Z508" s="537"/>
    </row>
    <row r="509">
      <c r="A509" s="537"/>
      <c r="B509" s="537"/>
      <c r="C509" s="538"/>
      <c r="D509" s="537"/>
      <c r="E509" s="537"/>
      <c r="F509" s="537"/>
      <c r="G509" s="537"/>
      <c r="H509" s="537"/>
      <c r="I509" s="537"/>
      <c r="J509" s="537"/>
      <c r="K509" s="537"/>
      <c r="L509" s="537"/>
      <c r="M509" s="537"/>
      <c r="N509" s="537"/>
      <c r="O509" s="537"/>
      <c r="P509" s="537"/>
      <c r="Q509" s="537"/>
      <c r="R509" s="537"/>
      <c r="S509" s="537"/>
      <c r="T509" s="537"/>
      <c r="U509" s="537"/>
      <c r="V509" s="537"/>
      <c r="W509" s="537"/>
      <c r="X509" s="537"/>
      <c r="Y509" s="537"/>
      <c r="Z509" s="537"/>
    </row>
    <row r="510">
      <c r="A510" s="537"/>
      <c r="B510" s="537"/>
      <c r="C510" s="538"/>
      <c r="D510" s="537"/>
      <c r="E510" s="537"/>
      <c r="F510" s="537"/>
      <c r="G510" s="537"/>
      <c r="H510" s="537"/>
      <c r="I510" s="537"/>
      <c r="J510" s="537"/>
      <c r="K510" s="537"/>
      <c r="L510" s="537"/>
      <c r="M510" s="537"/>
      <c r="N510" s="537"/>
      <c r="O510" s="537"/>
      <c r="P510" s="537"/>
      <c r="Q510" s="537"/>
      <c r="R510" s="537"/>
      <c r="S510" s="537"/>
      <c r="T510" s="537"/>
      <c r="U510" s="537"/>
      <c r="V510" s="537"/>
      <c r="W510" s="537"/>
      <c r="X510" s="537"/>
      <c r="Y510" s="537"/>
      <c r="Z510" s="537"/>
    </row>
    <row r="511">
      <c r="A511" s="537"/>
      <c r="B511" s="537"/>
      <c r="C511" s="538"/>
      <c r="D511" s="537"/>
      <c r="E511" s="537"/>
      <c r="F511" s="537"/>
      <c r="G511" s="537"/>
      <c r="H511" s="537"/>
      <c r="I511" s="537"/>
      <c r="J511" s="537"/>
      <c r="K511" s="537"/>
      <c r="L511" s="537"/>
      <c r="M511" s="537"/>
      <c r="N511" s="537"/>
      <c r="O511" s="537"/>
      <c r="P511" s="537"/>
      <c r="Q511" s="537"/>
      <c r="R511" s="537"/>
      <c r="S511" s="537"/>
      <c r="T511" s="537"/>
      <c r="U511" s="537"/>
      <c r="V511" s="537"/>
      <c r="W511" s="537"/>
      <c r="X511" s="537"/>
      <c r="Y511" s="537"/>
      <c r="Z511" s="537"/>
    </row>
    <row r="512">
      <c r="A512" s="537"/>
      <c r="B512" s="537"/>
      <c r="C512" s="538"/>
      <c r="D512" s="537"/>
      <c r="E512" s="537"/>
      <c r="F512" s="537"/>
      <c r="G512" s="537"/>
      <c r="H512" s="537"/>
      <c r="I512" s="537"/>
      <c r="J512" s="537"/>
      <c r="K512" s="537"/>
      <c r="L512" s="537"/>
      <c r="M512" s="537"/>
      <c r="N512" s="537"/>
      <c r="O512" s="537"/>
      <c r="P512" s="537"/>
      <c r="Q512" s="537"/>
      <c r="R512" s="537"/>
      <c r="S512" s="537"/>
      <c r="T512" s="537"/>
      <c r="U512" s="537"/>
      <c r="V512" s="537"/>
      <c r="W512" s="537"/>
      <c r="X512" s="537"/>
      <c r="Y512" s="537"/>
      <c r="Z512" s="537"/>
    </row>
    <row r="513">
      <c r="A513" s="537"/>
      <c r="B513" s="537"/>
      <c r="C513" s="538"/>
      <c r="D513" s="537"/>
      <c r="E513" s="537"/>
      <c r="F513" s="537"/>
      <c r="G513" s="537"/>
      <c r="H513" s="537"/>
      <c r="I513" s="537"/>
      <c r="J513" s="537"/>
      <c r="K513" s="537"/>
      <c r="L513" s="537"/>
      <c r="M513" s="537"/>
      <c r="N513" s="537"/>
      <c r="O513" s="537"/>
      <c r="P513" s="537"/>
      <c r="Q513" s="537"/>
      <c r="R513" s="537"/>
      <c r="S513" s="537"/>
      <c r="T513" s="537"/>
      <c r="U513" s="537"/>
      <c r="V513" s="537"/>
      <c r="W513" s="537"/>
      <c r="X513" s="537"/>
      <c r="Y513" s="537"/>
      <c r="Z513" s="537"/>
    </row>
    <row r="514">
      <c r="A514" s="537"/>
      <c r="B514" s="537"/>
      <c r="C514" s="538"/>
      <c r="D514" s="537"/>
      <c r="E514" s="537"/>
      <c r="F514" s="537"/>
      <c r="G514" s="537"/>
      <c r="H514" s="537"/>
      <c r="I514" s="537"/>
      <c r="J514" s="537"/>
      <c r="K514" s="537"/>
      <c r="L514" s="537"/>
      <c r="M514" s="537"/>
      <c r="N514" s="537"/>
      <c r="O514" s="537"/>
      <c r="P514" s="537"/>
      <c r="Q514" s="537"/>
      <c r="R514" s="537"/>
      <c r="S514" s="537"/>
      <c r="T514" s="537"/>
      <c r="U514" s="537"/>
      <c r="V514" s="537"/>
      <c r="W514" s="537"/>
      <c r="X514" s="537"/>
      <c r="Y514" s="537"/>
      <c r="Z514" s="537"/>
    </row>
    <row r="515">
      <c r="A515" s="537"/>
      <c r="B515" s="537"/>
      <c r="C515" s="538"/>
      <c r="D515" s="537"/>
      <c r="E515" s="537"/>
      <c r="F515" s="537"/>
      <c r="G515" s="537"/>
      <c r="H515" s="537"/>
      <c r="I515" s="537"/>
      <c r="J515" s="537"/>
      <c r="K515" s="537"/>
      <c r="L515" s="537"/>
      <c r="M515" s="537"/>
      <c r="N515" s="537"/>
      <c r="O515" s="537"/>
      <c r="P515" s="537"/>
      <c r="Q515" s="537"/>
      <c r="R515" s="537"/>
      <c r="S515" s="537"/>
      <c r="T515" s="537"/>
      <c r="U515" s="537"/>
      <c r="V515" s="537"/>
      <c r="W515" s="537"/>
      <c r="X515" s="537"/>
      <c r="Y515" s="537"/>
      <c r="Z515" s="537"/>
    </row>
    <row r="516">
      <c r="A516" s="537"/>
      <c r="B516" s="537"/>
      <c r="C516" s="538"/>
      <c r="D516" s="537"/>
      <c r="E516" s="537"/>
      <c r="F516" s="537"/>
      <c r="G516" s="537"/>
      <c r="H516" s="537"/>
      <c r="I516" s="537"/>
      <c r="J516" s="537"/>
      <c r="K516" s="537"/>
      <c r="L516" s="537"/>
      <c r="M516" s="537"/>
      <c r="N516" s="537"/>
      <c r="O516" s="537"/>
      <c r="P516" s="537"/>
      <c r="Q516" s="537"/>
      <c r="R516" s="537"/>
      <c r="S516" s="537"/>
      <c r="T516" s="537"/>
      <c r="U516" s="537"/>
      <c r="V516" s="537"/>
      <c r="W516" s="537"/>
      <c r="X516" s="537"/>
      <c r="Y516" s="537"/>
      <c r="Z516" s="537"/>
    </row>
    <row r="517">
      <c r="A517" s="537"/>
      <c r="B517" s="537"/>
      <c r="C517" s="538"/>
      <c r="D517" s="537"/>
      <c r="E517" s="537"/>
      <c r="F517" s="537"/>
      <c r="G517" s="537"/>
      <c r="H517" s="537"/>
      <c r="I517" s="537"/>
      <c r="J517" s="537"/>
      <c r="K517" s="537"/>
      <c r="L517" s="537"/>
      <c r="M517" s="537"/>
      <c r="N517" s="537"/>
      <c r="O517" s="537"/>
      <c r="P517" s="537"/>
      <c r="Q517" s="537"/>
      <c r="R517" s="537"/>
      <c r="S517" s="537"/>
      <c r="T517" s="537"/>
      <c r="U517" s="537"/>
      <c r="V517" s="537"/>
      <c r="W517" s="537"/>
      <c r="X517" s="537"/>
      <c r="Y517" s="537"/>
      <c r="Z517" s="537"/>
    </row>
    <row r="518">
      <c r="A518" s="537"/>
      <c r="B518" s="537"/>
      <c r="C518" s="538"/>
      <c r="D518" s="537"/>
      <c r="E518" s="537"/>
      <c r="F518" s="537"/>
      <c r="G518" s="537"/>
      <c r="H518" s="537"/>
      <c r="I518" s="537"/>
      <c r="J518" s="537"/>
      <c r="K518" s="537"/>
      <c r="L518" s="537"/>
      <c r="M518" s="537"/>
      <c r="N518" s="537"/>
      <c r="O518" s="537"/>
      <c r="P518" s="537"/>
      <c r="Q518" s="537"/>
      <c r="R518" s="537"/>
      <c r="S518" s="537"/>
      <c r="T518" s="537"/>
      <c r="U518" s="537"/>
      <c r="V518" s="537"/>
      <c r="W518" s="537"/>
      <c r="X518" s="537"/>
      <c r="Y518" s="537"/>
      <c r="Z518" s="537"/>
    </row>
    <row r="519">
      <c r="A519" s="537"/>
      <c r="B519" s="537"/>
      <c r="C519" s="538"/>
      <c r="D519" s="537"/>
      <c r="E519" s="537"/>
      <c r="F519" s="537"/>
      <c r="G519" s="537"/>
      <c r="H519" s="537"/>
      <c r="I519" s="537"/>
      <c r="J519" s="537"/>
      <c r="K519" s="537"/>
      <c r="L519" s="537"/>
      <c r="M519" s="537"/>
      <c r="N519" s="537"/>
      <c r="O519" s="537"/>
      <c r="P519" s="537"/>
      <c r="Q519" s="537"/>
      <c r="R519" s="537"/>
      <c r="S519" s="537"/>
      <c r="T519" s="537"/>
      <c r="U519" s="537"/>
      <c r="V519" s="537"/>
      <c r="W519" s="537"/>
      <c r="X519" s="537"/>
      <c r="Y519" s="537"/>
      <c r="Z519" s="537"/>
    </row>
    <row r="520">
      <c r="A520" s="537"/>
      <c r="B520" s="537"/>
      <c r="C520" s="538"/>
      <c r="D520" s="537"/>
      <c r="E520" s="537"/>
      <c r="F520" s="537"/>
      <c r="G520" s="537"/>
      <c r="H520" s="537"/>
      <c r="I520" s="537"/>
      <c r="J520" s="537"/>
      <c r="K520" s="537"/>
      <c r="L520" s="537"/>
      <c r="M520" s="537"/>
      <c r="N520" s="537"/>
      <c r="O520" s="537"/>
      <c r="P520" s="537"/>
      <c r="Q520" s="537"/>
      <c r="R520" s="537"/>
      <c r="S520" s="537"/>
      <c r="T520" s="537"/>
      <c r="U520" s="537"/>
      <c r="V520" s="537"/>
      <c r="W520" s="537"/>
      <c r="X520" s="537"/>
      <c r="Y520" s="537"/>
      <c r="Z520" s="537"/>
    </row>
    <row r="521">
      <c r="A521" s="537"/>
      <c r="B521" s="537"/>
      <c r="C521" s="538"/>
      <c r="D521" s="537"/>
      <c r="E521" s="537"/>
      <c r="F521" s="537"/>
      <c r="G521" s="537"/>
      <c r="H521" s="537"/>
      <c r="I521" s="537"/>
      <c r="J521" s="537"/>
      <c r="K521" s="537"/>
      <c r="L521" s="537"/>
      <c r="M521" s="537"/>
      <c r="N521" s="537"/>
      <c r="O521" s="537"/>
      <c r="P521" s="537"/>
      <c r="Q521" s="537"/>
      <c r="R521" s="537"/>
      <c r="S521" s="537"/>
      <c r="T521" s="537"/>
      <c r="U521" s="537"/>
      <c r="V521" s="537"/>
      <c r="W521" s="537"/>
      <c r="X521" s="537"/>
      <c r="Y521" s="537"/>
      <c r="Z521" s="537"/>
    </row>
    <row r="522">
      <c r="A522" s="537"/>
      <c r="B522" s="537"/>
      <c r="C522" s="538"/>
      <c r="D522" s="537"/>
      <c r="E522" s="537"/>
      <c r="F522" s="537"/>
      <c r="G522" s="537"/>
      <c r="H522" s="537"/>
      <c r="I522" s="537"/>
      <c r="J522" s="537"/>
      <c r="K522" s="537"/>
      <c r="L522" s="537"/>
      <c r="M522" s="537"/>
      <c r="N522" s="537"/>
      <c r="O522" s="537"/>
      <c r="P522" s="537"/>
      <c r="Q522" s="537"/>
      <c r="R522" s="537"/>
      <c r="S522" s="537"/>
      <c r="T522" s="537"/>
      <c r="U522" s="537"/>
      <c r="V522" s="537"/>
      <c r="W522" s="537"/>
      <c r="X522" s="537"/>
      <c r="Y522" s="537"/>
      <c r="Z522" s="537"/>
    </row>
    <row r="523">
      <c r="A523" s="537"/>
      <c r="B523" s="537"/>
      <c r="C523" s="538"/>
      <c r="D523" s="537"/>
      <c r="E523" s="537"/>
      <c r="F523" s="537"/>
      <c r="G523" s="537"/>
      <c r="H523" s="537"/>
      <c r="I523" s="537"/>
      <c r="J523" s="537"/>
      <c r="K523" s="537"/>
      <c r="L523" s="537"/>
      <c r="M523" s="537"/>
      <c r="N523" s="537"/>
      <c r="O523" s="537"/>
      <c r="P523" s="537"/>
      <c r="Q523" s="537"/>
      <c r="R523" s="537"/>
      <c r="S523" s="537"/>
      <c r="T523" s="537"/>
      <c r="U523" s="537"/>
      <c r="V523" s="537"/>
      <c r="W523" s="537"/>
      <c r="X523" s="537"/>
      <c r="Y523" s="537"/>
      <c r="Z523" s="537"/>
    </row>
    <row r="524">
      <c r="A524" s="537"/>
      <c r="B524" s="537"/>
      <c r="C524" s="538"/>
      <c r="D524" s="537"/>
      <c r="E524" s="537"/>
      <c r="F524" s="537"/>
      <c r="G524" s="537"/>
      <c r="H524" s="537"/>
      <c r="I524" s="537"/>
      <c r="J524" s="537"/>
      <c r="K524" s="537"/>
      <c r="L524" s="537"/>
      <c r="M524" s="537"/>
      <c r="N524" s="537"/>
      <c r="O524" s="537"/>
      <c r="P524" s="537"/>
      <c r="Q524" s="537"/>
      <c r="R524" s="537"/>
      <c r="S524" s="537"/>
      <c r="T524" s="537"/>
      <c r="U524" s="537"/>
      <c r="V524" s="537"/>
      <c r="W524" s="537"/>
      <c r="X524" s="537"/>
      <c r="Y524" s="537"/>
      <c r="Z524" s="537"/>
    </row>
    <row r="525">
      <c r="A525" s="537"/>
      <c r="B525" s="537"/>
      <c r="C525" s="538"/>
      <c r="D525" s="537"/>
      <c r="E525" s="537"/>
      <c r="F525" s="537"/>
      <c r="G525" s="537"/>
      <c r="H525" s="537"/>
      <c r="I525" s="537"/>
      <c r="J525" s="537"/>
      <c r="K525" s="537"/>
      <c r="L525" s="537"/>
      <c r="M525" s="537"/>
      <c r="N525" s="537"/>
      <c r="O525" s="537"/>
      <c r="P525" s="537"/>
      <c r="Q525" s="537"/>
      <c r="R525" s="537"/>
      <c r="S525" s="537"/>
      <c r="T525" s="537"/>
      <c r="U525" s="537"/>
      <c r="V525" s="537"/>
      <c r="W525" s="537"/>
      <c r="X525" s="537"/>
      <c r="Y525" s="537"/>
      <c r="Z525" s="537"/>
    </row>
    <row r="526">
      <c r="A526" s="537"/>
      <c r="B526" s="537"/>
      <c r="C526" s="538"/>
      <c r="D526" s="537"/>
      <c r="E526" s="537"/>
      <c r="F526" s="537"/>
      <c r="G526" s="537"/>
      <c r="H526" s="537"/>
      <c r="I526" s="537"/>
      <c r="J526" s="537"/>
      <c r="K526" s="537"/>
      <c r="L526" s="537"/>
      <c r="M526" s="537"/>
      <c r="N526" s="537"/>
      <c r="O526" s="537"/>
      <c r="P526" s="537"/>
      <c r="Q526" s="537"/>
      <c r="R526" s="537"/>
      <c r="S526" s="537"/>
      <c r="T526" s="537"/>
      <c r="U526" s="537"/>
      <c r="V526" s="537"/>
      <c r="W526" s="537"/>
      <c r="X526" s="537"/>
      <c r="Y526" s="537"/>
      <c r="Z526" s="537"/>
    </row>
    <row r="527">
      <c r="A527" s="537"/>
      <c r="B527" s="537"/>
      <c r="C527" s="538"/>
      <c r="D527" s="537"/>
      <c r="E527" s="537"/>
      <c r="F527" s="537"/>
      <c r="G527" s="537"/>
      <c r="H527" s="537"/>
      <c r="I527" s="537"/>
      <c r="J527" s="537"/>
      <c r="K527" s="537"/>
      <c r="L527" s="537"/>
      <c r="M527" s="537"/>
      <c r="N527" s="537"/>
      <c r="O527" s="537"/>
      <c r="P527" s="537"/>
      <c r="Q527" s="537"/>
      <c r="R527" s="537"/>
      <c r="S527" s="537"/>
      <c r="T527" s="537"/>
      <c r="U527" s="537"/>
      <c r="V527" s="537"/>
      <c r="W527" s="537"/>
      <c r="X527" s="537"/>
      <c r="Y527" s="537"/>
      <c r="Z527" s="537"/>
    </row>
    <row r="528">
      <c r="A528" s="537"/>
      <c r="B528" s="537"/>
      <c r="C528" s="538"/>
      <c r="D528" s="537"/>
      <c r="E528" s="537"/>
      <c r="F528" s="537"/>
      <c r="G528" s="537"/>
      <c r="H528" s="537"/>
      <c r="I528" s="537"/>
      <c r="J528" s="537"/>
      <c r="K528" s="537"/>
      <c r="L528" s="537"/>
      <c r="M528" s="537"/>
      <c r="N528" s="537"/>
      <c r="O528" s="537"/>
      <c r="P528" s="537"/>
      <c r="Q528" s="537"/>
      <c r="R528" s="537"/>
      <c r="S528" s="537"/>
      <c r="T528" s="537"/>
      <c r="U528" s="537"/>
      <c r="V528" s="537"/>
      <c r="W528" s="537"/>
      <c r="X528" s="537"/>
      <c r="Y528" s="537"/>
      <c r="Z528" s="537"/>
    </row>
    <row r="529">
      <c r="A529" s="537"/>
      <c r="B529" s="537"/>
      <c r="C529" s="538"/>
      <c r="D529" s="537"/>
      <c r="E529" s="537"/>
      <c r="F529" s="537"/>
      <c r="G529" s="537"/>
      <c r="H529" s="537"/>
      <c r="I529" s="537"/>
      <c r="J529" s="537"/>
      <c r="K529" s="537"/>
      <c r="L529" s="537"/>
      <c r="M529" s="537"/>
      <c r="N529" s="537"/>
      <c r="O529" s="537"/>
      <c r="P529" s="537"/>
      <c r="Q529" s="537"/>
      <c r="R529" s="537"/>
      <c r="S529" s="537"/>
      <c r="T529" s="537"/>
      <c r="U529" s="537"/>
      <c r="V529" s="537"/>
      <c r="W529" s="537"/>
      <c r="X529" s="537"/>
      <c r="Y529" s="537"/>
      <c r="Z529" s="537"/>
    </row>
    <row r="530">
      <c r="A530" s="537"/>
      <c r="B530" s="537"/>
      <c r="C530" s="538"/>
      <c r="D530" s="537"/>
      <c r="E530" s="537"/>
      <c r="F530" s="537"/>
      <c r="G530" s="537"/>
      <c r="H530" s="537"/>
      <c r="I530" s="537"/>
      <c r="J530" s="537"/>
      <c r="K530" s="537"/>
      <c r="L530" s="537"/>
      <c r="M530" s="537"/>
      <c r="N530" s="537"/>
      <c r="O530" s="537"/>
      <c r="P530" s="537"/>
      <c r="Q530" s="537"/>
      <c r="R530" s="537"/>
      <c r="S530" s="537"/>
      <c r="T530" s="537"/>
      <c r="U530" s="537"/>
      <c r="V530" s="537"/>
      <c r="W530" s="537"/>
      <c r="X530" s="537"/>
      <c r="Y530" s="537"/>
      <c r="Z530" s="537"/>
    </row>
    <row r="531">
      <c r="A531" s="537"/>
      <c r="B531" s="537"/>
      <c r="C531" s="538"/>
      <c r="D531" s="537"/>
      <c r="E531" s="537"/>
      <c r="F531" s="537"/>
      <c r="G531" s="537"/>
      <c r="H531" s="537"/>
      <c r="I531" s="537"/>
      <c r="J531" s="537"/>
      <c r="K531" s="537"/>
      <c r="L531" s="537"/>
      <c r="M531" s="537"/>
      <c r="N531" s="537"/>
      <c r="O531" s="537"/>
      <c r="P531" s="537"/>
      <c r="Q531" s="537"/>
      <c r="R531" s="537"/>
      <c r="S531" s="537"/>
      <c r="T531" s="537"/>
      <c r="U531" s="537"/>
      <c r="V531" s="537"/>
      <c r="W531" s="537"/>
      <c r="X531" s="537"/>
      <c r="Y531" s="537"/>
      <c r="Z531" s="537"/>
    </row>
    <row r="532">
      <c r="A532" s="537"/>
      <c r="B532" s="537"/>
      <c r="C532" s="538"/>
      <c r="D532" s="537"/>
      <c r="E532" s="537"/>
      <c r="F532" s="537"/>
      <c r="G532" s="537"/>
      <c r="H532" s="537"/>
      <c r="I532" s="537"/>
      <c r="J532" s="537"/>
      <c r="K532" s="537"/>
      <c r="L532" s="537"/>
      <c r="M532" s="537"/>
      <c r="N532" s="537"/>
      <c r="O532" s="537"/>
      <c r="P532" s="537"/>
      <c r="Q532" s="537"/>
      <c r="R532" s="537"/>
      <c r="S532" s="537"/>
      <c r="T532" s="537"/>
      <c r="U532" s="537"/>
      <c r="V532" s="537"/>
      <c r="W532" s="537"/>
      <c r="X532" s="537"/>
      <c r="Y532" s="537"/>
      <c r="Z532" s="537"/>
    </row>
    <row r="533">
      <c r="A533" s="537"/>
      <c r="B533" s="537"/>
      <c r="C533" s="538"/>
      <c r="D533" s="537"/>
      <c r="E533" s="537"/>
      <c r="F533" s="537"/>
      <c r="G533" s="537"/>
      <c r="H533" s="537"/>
      <c r="I533" s="537"/>
      <c r="J533" s="537"/>
      <c r="K533" s="537"/>
      <c r="L533" s="537"/>
      <c r="M533" s="537"/>
      <c r="N533" s="537"/>
      <c r="O533" s="537"/>
      <c r="P533" s="537"/>
      <c r="Q533" s="537"/>
      <c r="R533" s="537"/>
      <c r="S533" s="537"/>
      <c r="T533" s="537"/>
      <c r="U533" s="537"/>
      <c r="V533" s="537"/>
      <c r="W533" s="537"/>
      <c r="X533" s="537"/>
      <c r="Y533" s="537"/>
      <c r="Z533" s="537"/>
    </row>
    <row r="534">
      <c r="A534" s="537"/>
      <c r="B534" s="537"/>
      <c r="C534" s="538"/>
      <c r="D534" s="537"/>
      <c r="E534" s="537"/>
      <c r="F534" s="537"/>
      <c r="G534" s="537"/>
      <c r="H534" s="537"/>
      <c r="I534" s="537"/>
      <c r="J534" s="537"/>
      <c r="K534" s="537"/>
      <c r="L534" s="537"/>
      <c r="M534" s="537"/>
      <c r="N534" s="537"/>
      <c r="O534" s="537"/>
      <c r="P534" s="537"/>
      <c r="Q534" s="537"/>
      <c r="R534" s="537"/>
      <c r="S534" s="537"/>
      <c r="T534" s="537"/>
      <c r="U534" s="537"/>
      <c r="V534" s="537"/>
      <c r="W534" s="537"/>
      <c r="X534" s="537"/>
      <c r="Y534" s="537"/>
      <c r="Z534" s="537"/>
    </row>
    <row r="535">
      <c r="A535" s="537"/>
      <c r="B535" s="537"/>
      <c r="C535" s="538"/>
      <c r="D535" s="537"/>
      <c r="E535" s="537"/>
      <c r="F535" s="537"/>
      <c r="G535" s="537"/>
      <c r="H535" s="537"/>
      <c r="I535" s="537"/>
      <c r="J535" s="537"/>
      <c r="K535" s="537"/>
      <c r="L535" s="537"/>
      <c r="M535" s="537"/>
      <c r="N535" s="537"/>
      <c r="O535" s="537"/>
      <c r="P535" s="537"/>
      <c r="Q535" s="537"/>
      <c r="R535" s="537"/>
      <c r="S535" s="537"/>
      <c r="T535" s="537"/>
      <c r="U535" s="537"/>
      <c r="V535" s="537"/>
      <c r="W535" s="537"/>
      <c r="X535" s="537"/>
      <c r="Y535" s="537"/>
      <c r="Z535" s="537"/>
    </row>
    <row r="536">
      <c r="A536" s="537"/>
      <c r="B536" s="537"/>
      <c r="C536" s="538"/>
      <c r="D536" s="537"/>
      <c r="E536" s="537"/>
      <c r="F536" s="537"/>
      <c r="G536" s="537"/>
      <c r="H536" s="537"/>
      <c r="I536" s="537"/>
      <c r="J536" s="537"/>
      <c r="K536" s="537"/>
      <c r="L536" s="537"/>
      <c r="M536" s="537"/>
      <c r="N536" s="537"/>
      <c r="O536" s="537"/>
      <c r="P536" s="537"/>
      <c r="Q536" s="537"/>
      <c r="R536" s="537"/>
      <c r="S536" s="537"/>
      <c r="T536" s="537"/>
      <c r="U536" s="537"/>
      <c r="V536" s="537"/>
      <c r="W536" s="537"/>
      <c r="X536" s="537"/>
      <c r="Y536" s="537"/>
      <c r="Z536" s="537"/>
    </row>
    <row r="537">
      <c r="A537" s="537"/>
      <c r="B537" s="537"/>
      <c r="C537" s="538"/>
      <c r="D537" s="537"/>
      <c r="E537" s="537"/>
      <c r="F537" s="537"/>
      <c r="G537" s="537"/>
      <c r="H537" s="537"/>
      <c r="I537" s="537"/>
      <c r="J537" s="537"/>
      <c r="K537" s="537"/>
      <c r="L537" s="537"/>
      <c r="M537" s="537"/>
      <c r="N537" s="537"/>
      <c r="O537" s="537"/>
      <c r="P537" s="537"/>
      <c r="Q537" s="537"/>
      <c r="R537" s="537"/>
      <c r="S537" s="537"/>
      <c r="T537" s="537"/>
      <c r="U537" s="537"/>
      <c r="V537" s="537"/>
      <c r="W537" s="537"/>
      <c r="X537" s="537"/>
      <c r="Y537" s="537"/>
      <c r="Z537" s="537"/>
    </row>
    <row r="538">
      <c r="A538" s="537"/>
      <c r="B538" s="537"/>
      <c r="C538" s="538"/>
      <c r="D538" s="537"/>
      <c r="E538" s="537"/>
      <c r="F538" s="537"/>
      <c r="G538" s="537"/>
      <c r="H538" s="537"/>
      <c r="I538" s="537"/>
      <c r="J538" s="537"/>
      <c r="K538" s="537"/>
      <c r="L538" s="537"/>
      <c r="M538" s="537"/>
      <c r="N538" s="537"/>
      <c r="O538" s="537"/>
      <c r="P538" s="537"/>
      <c r="Q538" s="537"/>
      <c r="R538" s="537"/>
      <c r="S538" s="537"/>
      <c r="T538" s="537"/>
      <c r="U538" s="537"/>
      <c r="V538" s="537"/>
      <c r="W538" s="537"/>
      <c r="X538" s="537"/>
      <c r="Y538" s="537"/>
      <c r="Z538" s="537"/>
    </row>
    <row r="539">
      <c r="A539" s="537"/>
      <c r="B539" s="537"/>
      <c r="C539" s="538"/>
      <c r="D539" s="537"/>
      <c r="E539" s="537"/>
      <c r="F539" s="537"/>
      <c r="G539" s="537"/>
      <c r="H539" s="537"/>
      <c r="I539" s="537"/>
      <c r="J539" s="537"/>
      <c r="K539" s="537"/>
      <c r="L539" s="537"/>
      <c r="M539" s="537"/>
      <c r="N539" s="537"/>
      <c r="O539" s="537"/>
      <c r="P539" s="537"/>
      <c r="Q539" s="537"/>
      <c r="R539" s="537"/>
      <c r="S539" s="537"/>
      <c r="T539" s="537"/>
      <c r="U539" s="537"/>
      <c r="V539" s="537"/>
      <c r="W539" s="537"/>
      <c r="X539" s="537"/>
      <c r="Y539" s="537"/>
      <c r="Z539" s="537"/>
    </row>
    <row r="540">
      <c r="A540" s="537"/>
      <c r="B540" s="537"/>
      <c r="C540" s="538"/>
      <c r="D540" s="537"/>
      <c r="E540" s="537"/>
      <c r="F540" s="537"/>
      <c r="G540" s="537"/>
      <c r="H540" s="537"/>
      <c r="I540" s="537"/>
      <c r="J540" s="537"/>
      <c r="K540" s="537"/>
      <c r="L540" s="537"/>
      <c r="M540" s="537"/>
      <c r="N540" s="537"/>
      <c r="O540" s="537"/>
      <c r="P540" s="537"/>
      <c r="Q540" s="537"/>
      <c r="R540" s="537"/>
      <c r="S540" s="537"/>
      <c r="T540" s="537"/>
      <c r="U540" s="537"/>
      <c r="V540" s="537"/>
      <c r="W540" s="537"/>
      <c r="X540" s="537"/>
      <c r="Y540" s="537"/>
      <c r="Z540" s="537"/>
    </row>
    <row r="541">
      <c r="A541" s="537"/>
      <c r="B541" s="537"/>
      <c r="C541" s="538"/>
      <c r="D541" s="537"/>
      <c r="E541" s="537"/>
      <c r="F541" s="537"/>
      <c r="G541" s="537"/>
      <c r="H541" s="537"/>
      <c r="I541" s="537"/>
      <c r="J541" s="537"/>
      <c r="K541" s="537"/>
      <c r="L541" s="537"/>
      <c r="M541" s="537"/>
      <c r="N541" s="537"/>
      <c r="O541" s="537"/>
      <c r="P541" s="537"/>
      <c r="Q541" s="537"/>
      <c r="R541" s="537"/>
      <c r="S541" s="537"/>
      <c r="T541" s="537"/>
      <c r="U541" s="537"/>
      <c r="V541" s="537"/>
      <c r="W541" s="537"/>
      <c r="X541" s="537"/>
      <c r="Y541" s="537"/>
      <c r="Z541" s="537"/>
    </row>
    <row r="542">
      <c r="A542" s="537"/>
      <c r="B542" s="537"/>
      <c r="C542" s="538"/>
      <c r="D542" s="537"/>
      <c r="E542" s="537"/>
      <c r="F542" s="537"/>
      <c r="G542" s="537"/>
      <c r="H542" s="537"/>
      <c r="I542" s="537"/>
      <c r="J542" s="537"/>
      <c r="K542" s="537"/>
      <c r="L542" s="537"/>
      <c r="M542" s="537"/>
      <c r="N542" s="537"/>
      <c r="O542" s="537"/>
      <c r="P542" s="537"/>
      <c r="Q542" s="537"/>
      <c r="R542" s="537"/>
      <c r="S542" s="537"/>
      <c r="T542" s="537"/>
      <c r="U542" s="537"/>
      <c r="V542" s="537"/>
      <c r="W542" s="537"/>
      <c r="X542" s="537"/>
      <c r="Y542" s="537"/>
      <c r="Z542" s="537"/>
    </row>
    <row r="543">
      <c r="A543" s="537"/>
      <c r="B543" s="537"/>
      <c r="C543" s="538"/>
      <c r="D543" s="537"/>
      <c r="E543" s="537"/>
      <c r="F543" s="537"/>
      <c r="G543" s="537"/>
      <c r="H543" s="537"/>
      <c r="I543" s="537"/>
      <c r="J543" s="537"/>
      <c r="K543" s="537"/>
      <c r="L543" s="537"/>
      <c r="M543" s="537"/>
      <c r="N543" s="537"/>
      <c r="O543" s="537"/>
      <c r="P543" s="537"/>
      <c r="Q543" s="537"/>
      <c r="R543" s="537"/>
      <c r="S543" s="537"/>
      <c r="T543" s="537"/>
      <c r="U543" s="537"/>
      <c r="V543" s="537"/>
      <c r="W543" s="537"/>
      <c r="X543" s="537"/>
      <c r="Y543" s="537"/>
      <c r="Z543" s="537"/>
    </row>
    <row r="544">
      <c r="A544" s="537"/>
      <c r="B544" s="537"/>
      <c r="C544" s="538"/>
      <c r="D544" s="537"/>
      <c r="E544" s="537"/>
      <c r="F544" s="537"/>
      <c r="G544" s="537"/>
      <c r="H544" s="537"/>
      <c r="I544" s="537"/>
      <c r="J544" s="537"/>
      <c r="K544" s="537"/>
      <c r="L544" s="537"/>
      <c r="M544" s="537"/>
      <c r="N544" s="537"/>
      <c r="O544" s="537"/>
      <c r="P544" s="537"/>
      <c r="Q544" s="537"/>
      <c r="R544" s="537"/>
      <c r="S544" s="537"/>
      <c r="T544" s="537"/>
      <c r="U544" s="537"/>
      <c r="V544" s="537"/>
      <c r="W544" s="537"/>
      <c r="X544" s="537"/>
      <c r="Y544" s="537"/>
      <c r="Z544" s="537"/>
    </row>
    <row r="545">
      <c r="A545" s="537"/>
      <c r="B545" s="537"/>
      <c r="C545" s="538"/>
      <c r="D545" s="537"/>
      <c r="E545" s="537"/>
      <c r="F545" s="537"/>
      <c r="G545" s="537"/>
      <c r="H545" s="537"/>
      <c r="I545" s="537"/>
      <c r="J545" s="537"/>
      <c r="K545" s="537"/>
      <c r="L545" s="537"/>
      <c r="M545" s="537"/>
      <c r="N545" s="537"/>
      <c r="O545" s="537"/>
      <c r="P545" s="537"/>
      <c r="Q545" s="537"/>
      <c r="R545" s="537"/>
      <c r="S545" s="537"/>
      <c r="T545" s="537"/>
      <c r="U545" s="537"/>
      <c r="V545" s="537"/>
      <c r="W545" s="537"/>
      <c r="X545" s="537"/>
      <c r="Y545" s="537"/>
      <c r="Z545" s="537"/>
    </row>
    <row r="546">
      <c r="A546" s="537"/>
      <c r="B546" s="537"/>
      <c r="C546" s="538"/>
      <c r="D546" s="537"/>
      <c r="E546" s="537"/>
      <c r="F546" s="537"/>
      <c r="G546" s="537"/>
      <c r="H546" s="537"/>
      <c r="I546" s="537"/>
      <c r="J546" s="537"/>
      <c r="K546" s="537"/>
      <c r="L546" s="537"/>
      <c r="M546" s="537"/>
      <c r="N546" s="537"/>
      <c r="O546" s="537"/>
      <c r="P546" s="537"/>
      <c r="Q546" s="537"/>
      <c r="R546" s="537"/>
      <c r="S546" s="537"/>
      <c r="T546" s="537"/>
      <c r="U546" s="537"/>
      <c r="V546" s="537"/>
      <c r="W546" s="537"/>
      <c r="X546" s="537"/>
      <c r="Y546" s="537"/>
      <c r="Z546" s="537"/>
    </row>
    <row r="547">
      <c r="A547" s="537"/>
      <c r="B547" s="537"/>
      <c r="C547" s="538"/>
      <c r="D547" s="537"/>
      <c r="E547" s="537"/>
      <c r="F547" s="537"/>
      <c r="G547" s="537"/>
      <c r="H547" s="537"/>
      <c r="I547" s="537"/>
      <c r="J547" s="537"/>
      <c r="K547" s="537"/>
      <c r="L547" s="537"/>
      <c r="M547" s="537"/>
      <c r="N547" s="537"/>
      <c r="O547" s="537"/>
      <c r="P547" s="537"/>
      <c r="Q547" s="537"/>
      <c r="R547" s="537"/>
      <c r="S547" s="537"/>
      <c r="T547" s="537"/>
      <c r="U547" s="537"/>
      <c r="V547" s="537"/>
      <c r="W547" s="537"/>
      <c r="X547" s="537"/>
      <c r="Y547" s="537"/>
      <c r="Z547" s="537"/>
    </row>
    <row r="548">
      <c r="A548" s="537"/>
      <c r="B548" s="537"/>
      <c r="C548" s="538"/>
      <c r="D548" s="537"/>
      <c r="E548" s="537"/>
      <c r="F548" s="537"/>
      <c r="G548" s="537"/>
      <c r="H548" s="537"/>
      <c r="I548" s="537"/>
      <c r="J548" s="537"/>
      <c r="K548" s="537"/>
      <c r="L548" s="537"/>
      <c r="M548" s="537"/>
      <c r="N548" s="537"/>
      <c r="O548" s="537"/>
      <c r="P548" s="537"/>
      <c r="Q548" s="537"/>
      <c r="R548" s="537"/>
      <c r="S548" s="537"/>
      <c r="T548" s="537"/>
      <c r="U548" s="537"/>
      <c r="V548" s="537"/>
      <c r="W548" s="537"/>
      <c r="X548" s="537"/>
      <c r="Y548" s="537"/>
      <c r="Z548" s="537"/>
    </row>
    <row r="549">
      <c r="A549" s="537"/>
      <c r="B549" s="537"/>
      <c r="C549" s="538"/>
      <c r="D549" s="537"/>
      <c r="E549" s="537"/>
      <c r="F549" s="537"/>
      <c r="G549" s="537"/>
      <c r="H549" s="537"/>
      <c r="I549" s="537"/>
      <c r="J549" s="537"/>
      <c r="K549" s="537"/>
      <c r="L549" s="537"/>
      <c r="M549" s="537"/>
      <c r="N549" s="537"/>
      <c r="O549" s="537"/>
      <c r="P549" s="537"/>
      <c r="Q549" s="537"/>
      <c r="R549" s="537"/>
      <c r="S549" s="537"/>
      <c r="T549" s="537"/>
      <c r="U549" s="537"/>
      <c r="V549" s="537"/>
      <c r="W549" s="537"/>
      <c r="X549" s="537"/>
      <c r="Y549" s="537"/>
      <c r="Z549" s="537"/>
    </row>
    <row r="550">
      <c r="A550" s="537"/>
      <c r="B550" s="537"/>
      <c r="C550" s="538"/>
      <c r="D550" s="537"/>
      <c r="E550" s="537"/>
      <c r="F550" s="537"/>
      <c r="G550" s="537"/>
      <c r="H550" s="537"/>
      <c r="I550" s="537"/>
      <c r="J550" s="537"/>
      <c r="K550" s="537"/>
      <c r="L550" s="537"/>
      <c r="M550" s="537"/>
      <c r="N550" s="537"/>
      <c r="O550" s="537"/>
      <c r="P550" s="537"/>
      <c r="Q550" s="537"/>
      <c r="R550" s="537"/>
      <c r="S550" s="537"/>
      <c r="T550" s="537"/>
      <c r="U550" s="537"/>
      <c r="V550" s="537"/>
      <c r="W550" s="537"/>
      <c r="X550" s="537"/>
      <c r="Y550" s="537"/>
      <c r="Z550" s="537"/>
    </row>
    <row r="551">
      <c r="A551" s="537"/>
      <c r="B551" s="537"/>
      <c r="C551" s="538"/>
      <c r="D551" s="537"/>
      <c r="E551" s="537"/>
      <c r="F551" s="537"/>
      <c r="G551" s="537"/>
      <c r="H551" s="537"/>
      <c r="I551" s="537"/>
      <c r="J551" s="537"/>
      <c r="K551" s="537"/>
      <c r="L551" s="537"/>
      <c r="M551" s="537"/>
      <c r="N551" s="537"/>
      <c r="O551" s="537"/>
      <c r="P551" s="537"/>
      <c r="Q551" s="537"/>
      <c r="R551" s="537"/>
      <c r="S551" s="537"/>
      <c r="T551" s="537"/>
      <c r="U551" s="537"/>
      <c r="V551" s="537"/>
      <c r="W551" s="537"/>
      <c r="X551" s="537"/>
      <c r="Y551" s="537"/>
      <c r="Z551" s="537"/>
    </row>
    <row r="552">
      <c r="A552" s="537"/>
      <c r="B552" s="537"/>
      <c r="C552" s="538"/>
      <c r="D552" s="537"/>
      <c r="E552" s="537"/>
      <c r="F552" s="537"/>
      <c r="G552" s="537"/>
      <c r="H552" s="537"/>
      <c r="I552" s="537"/>
      <c r="J552" s="537"/>
      <c r="K552" s="537"/>
      <c r="L552" s="537"/>
      <c r="M552" s="537"/>
      <c r="N552" s="537"/>
      <c r="O552" s="537"/>
      <c r="P552" s="537"/>
      <c r="Q552" s="537"/>
      <c r="R552" s="537"/>
      <c r="S552" s="537"/>
      <c r="T552" s="537"/>
      <c r="U552" s="537"/>
      <c r="V552" s="537"/>
      <c r="W552" s="537"/>
      <c r="X552" s="537"/>
      <c r="Y552" s="537"/>
      <c r="Z552" s="537"/>
    </row>
    <row r="553">
      <c r="A553" s="537"/>
      <c r="B553" s="537"/>
      <c r="C553" s="538"/>
      <c r="D553" s="537"/>
      <c r="E553" s="537"/>
      <c r="F553" s="537"/>
      <c r="G553" s="537"/>
      <c r="H553" s="537"/>
      <c r="I553" s="537"/>
      <c r="J553" s="537"/>
      <c r="K553" s="537"/>
      <c r="L553" s="537"/>
      <c r="M553" s="537"/>
      <c r="N553" s="537"/>
      <c r="O553" s="537"/>
      <c r="P553" s="537"/>
      <c r="Q553" s="537"/>
      <c r="R553" s="537"/>
      <c r="S553" s="537"/>
      <c r="T553" s="537"/>
      <c r="U553" s="537"/>
      <c r="V553" s="537"/>
      <c r="W553" s="537"/>
      <c r="X553" s="537"/>
      <c r="Y553" s="537"/>
      <c r="Z553" s="537"/>
    </row>
    <row r="554">
      <c r="A554" s="537"/>
      <c r="B554" s="537"/>
      <c r="C554" s="538"/>
      <c r="D554" s="537"/>
      <c r="E554" s="537"/>
      <c r="F554" s="537"/>
      <c r="G554" s="537"/>
      <c r="H554" s="537"/>
      <c r="I554" s="537"/>
      <c r="J554" s="537"/>
      <c r="K554" s="537"/>
      <c r="L554" s="537"/>
      <c r="M554" s="537"/>
      <c r="N554" s="537"/>
      <c r="O554" s="537"/>
      <c r="P554" s="537"/>
      <c r="Q554" s="537"/>
      <c r="R554" s="537"/>
      <c r="S554" s="537"/>
      <c r="T554" s="537"/>
      <c r="U554" s="537"/>
      <c r="V554" s="537"/>
      <c r="W554" s="537"/>
      <c r="X554" s="537"/>
      <c r="Y554" s="537"/>
      <c r="Z554" s="537"/>
    </row>
    <row r="555">
      <c r="A555" s="537"/>
      <c r="B555" s="537"/>
      <c r="C555" s="538"/>
      <c r="D555" s="537"/>
      <c r="E555" s="537"/>
      <c r="F555" s="537"/>
      <c r="G555" s="537"/>
      <c r="H555" s="537"/>
      <c r="I555" s="537"/>
      <c r="J555" s="537"/>
      <c r="K555" s="537"/>
      <c r="L555" s="537"/>
      <c r="M555" s="537"/>
      <c r="N555" s="537"/>
      <c r="O555" s="537"/>
      <c r="P555" s="537"/>
      <c r="Q555" s="537"/>
      <c r="R555" s="537"/>
      <c r="S555" s="537"/>
      <c r="T555" s="537"/>
      <c r="U555" s="537"/>
      <c r="V555" s="537"/>
      <c r="W555" s="537"/>
      <c r="X555" s="537"/>
      <c r="Y555" s="537"/>
      <c r="Z555" s="537"/>
    </row>
    <row r="556">
      <c r="A556" s="537"/>
      <c r="B556" s="537"/>
      <c r="C556" s="538"/>
      <c r="D556" s="537"/>
      <c r="E556" s="537"/>
      <c r="F556" s="537"/>
      <c r="G556" s="537"/>
      <c r="H556" s="537"/>
      <c r="I556" s="537"/>
      <c r="J556" s="537"/>
      <c r="K556" s="537"/>
      <c r="L556" s="537"/>
      <c r="M556" s="537"/>
      <c r="N556" s="537"/>
      <c r="O556" s="537"/>
      <c r="P556" s="537"/>
      <c r="Q556" s="537"/>
      <c r="R556" s="537"/>
      <c r="S556" s="537"/>
      <c r="T556" s="537"/>
      <c r="U556" s="537"/>
      <c r="V556" s="537"/>
      <c r="W556" s="537"/>
      <c r="X556" s="537"/>
      <c r="Y556" s="537"/>
      <c r="Z556" s="537"/>
    </row>
    <row r="557">
      <c r="A557" s="537"/>
      <c r="B557" s="537"/>
      <c r="C557" s="538"/>
      <c r="D557" s="537"/>
      <c r="E557" s="537"/>
      <c r="F557" s="537"/>
      <c r="G557" s="537"/>
      <c r="H557" s="537"/>
      <c r="I557" s="537"/>
      <c r="J557" s="537"/>
      <c r="K557" s="537"/>
      <c r="L557" s="537"/>
      <c r="M557" s="537"/>
      <c r="N557" s="537"/>
      <c r="O557" s="537"/>
      <c r="P557" s="537"/>
      <c r="Q557" s="537"/>
      <c r="R557" s="537"/>
      <c r="S557" s="537"/>
      <c r="T557" s="537"/>
      <c r="U557" s="537"/>
      <c r="V557" s="537"/>
      <c r="W557" s="537"/>
      <c r="X557" s="537"/>
      <c r="Y557" s="537"/>
      <c r="Z557" s="537"/>
    </row>
    <row r="558">
      <c r="A558" s="537"/>
      <c r="B558" s="537"/>
      <c r="C558" s="538"/>
      <c r="D558" s="537"/>
      <c r="E558" s="537"/>
      <c r="F558" s="537"/>
      <c r="G558" s="537"/>
      <c r="H558" s="537"/>
      <c r="I558" s="537"/>
      <c r="J558" s="537"/>
      <c r="K558" s="537"/>
      <c r="L558" s="537"/>
      <c r="M558" s="537"/>
      <c r="N558" s="537"/>
      <c r="O558" s="537"/>
      <c r="P558" s="537"/>
      <c r="Q558" s="537"/>
      <c r="R558" s="537"/>
      <c r="S558" s="537"/>
      <c r="T558" s="537"/>
      <c r="U558" s="537"/>
      <c r="V558" s="537"/>
      <c r="W558" s="537"/>
      <c r="X558" s="537"/>
      <c r="Y558" s="537"/>
      <c r="Z558" s="537"/>
    </row>
    <row r="559">
      <c r="A559" s="537"/>
      <c r="B559" s="537"/>
      <c r="C559" s="538"/>
      <c r="D559" s="537"/>
      <c r="E559" s="537"/>
      <c r="F559" s="537"/>
      <c r="G559" s="537"/>
      <c r="H559" s="537"/>
      <c r="I559" s="537"/>
      <c r="J559" s="537"/>
      <c r="K559" s="537"/>
      <c r="L559" s="537"/>
      <c r="M559" s="537"/>
      <c r="N559" s="537"/>
      <c r="O559" s="537"/>
      <c r="P559" s="537"/>
      <c r="Q559" s="537"/>
      <c r="R559" s="537"/>
      <c r="S559" s="537"/>
      <c r="T559" s="537"/>
      <c r="U559" s="537"/>
      <c r="V559" s="537"/>
      <c r="W559" s="537"/>
      <c r="X559" s="537"/>
      <c r="Y559" s="537"/>
      <c r="Z559" s="537"/>
    </row>
    <row r="560">
      <c r="A560" s="537"/>
      <c r="B560" s="537"/>
      <c r="C560" s="538"/>
      <c r="D560" s="537"/>
      <c r="E560" s="537"/>
      <c r="F560" s="537"/>
      <c r="G560" s="537"/>
      <c r="H560" s="537"/>
      <c r="I560" s="537"/>
      <c r="J560" s="537"/>
      <c r="K560" s="537"/>
      <c r="L560" s="537"/>
      <c r="M560" s="537"/>
      <c r="N560" s="537"/>
      <c r="O560" s="537"/>
      <c r="P560" s="537"/>
      <c r="Q560" s="537"/>
      <c r="R560" s="537"/>
      <c r="S560" s="537"/>
      <c r="T560" s="537"/>
      <c r="U560" s="537"/>
      <c r="V560" s="537"/>
      <c r="W560" s="537"/>
      <c r="X560" s="537"/>
      <c r="Y560" s="537"/>
      <c r="Z560" s="537"/>
    </row>
    <row r="561">
      <c r="A561" s="537"/>
      <c r="B561" s="537"/>
      <c r="C561" s="538"/>
      <c r="D561" s="537"/>
      <c r="E561" s="537"/>
      <c r="F561" s="537"/>
      <c r="G561" s="537"/>
      <c r="H561" s="537"/>
      <c r="I561" s="537"/>
      <c r="J561" s="537"/>
      <c r="K561" s="537"/>
      <c r="L561" s="537"/>
      <c r="M561" s="537"/>
      <c r="N561" s="537"/>
      <c r="O561" s="537"/>
      <c r="P561" s="537"/>
      <c r="Q561" s="537"/>
      <c r="R561" s="537"/>
      <c r="S561" s="537"/>
      <c r="T561" s="537"/>
      <c r="U561" s="537"/>
      <c r="V561" s="537"/>
      <c r="W561" s="537"/>
      <c r="X561" s="537"/>
      <c r="Y561" s="537"/>
      <c r="Z561" s="537"/>
    </row>
    <row r="562">
      <c r="A562" s="537"/>
      <c r="B562" s="537"/>
      <c r="C562" s="538"/>
      <c r="D562" s="537"/>
      <c r="E562" s="537"/>
      <c r="F562" s="537"/>
      <c r="G562" s="537"/>
      <c r="H562" s="537"/>
      <c r="I562" s="537"/>
      <c r="J562" s="537"/>
      <c r="K562" s="537"/>
      <c r="L562" s="537"/>
      <c r="M562" s="537"/>
      <c r="N562" s="537"/>
      <c r="O562" s="537"/>
      <c r="P562" s="537"/>
      <c r="Q562" s="537"/>
      <c r="R562" s="537"/>
      <c r="S562" s="537"/>
      <c r="T562" s="537"/>
      <c r="U562" s="537"/>
      <c r="V562" s="537"/>
      <c r="W562" s="537"/>
      <c r="X562" s="537"/>
      <c r="Y562" s="537"/>
      <c r="Z562" s="537"/>
    </row>
    <row r="563">
      <c r="A563" s="537"/>
      <c r="B563" s="537"/>
      <c r="C563" s="538"/>
      <c r="D563" s="537"/>
      <c r="E563" s="537"/>
      <c r="F563" s="537"/>
      <c r="G563" s="537"/>
      <c r="H563" s="537"/>
      <c r="I563" s="537"/>
      <c r="J563" s="537"/>
      <c r="K563" s="537"/>
      <c r="L563" s="537"/>
      <c r="M563" s="537"/>
      <c r="N563" s="537"/>
      <c r="O563" s="537"/>
      <c r="P563" s="537"/>
      <c r="Q563" s="537"/>
      <c r="R563" s="537"/>
      <c r="S563" s="537"/>
      <c r="T563" s="537"/>
      <c r="U563" s="537"/>
      <c r="V563" s="537"/>
      <c r="W563" s="537"/>
      <c r="X563" s="537"/>
      <c r="Y563" s="537"/>
      <c r="Z563" s="537"/>
    </row>
    <row r="564">
      <c r="A564" s="537"/>
      <c r="B564" s="537"/>
      <c r="C564" s="538"/>
      <c r="D564" s="537"/>
      <c r="E564" s="537"/>
      <c r="F564" s="537"/>
      <c r="G564" s="537"/>
      <c r="H564" s="537"/>
      <c r="I564" s="537"/>
      <c r="J564" s="537"/>
      <c r="K564" s="537"/>
      <c r="L564" s="537"/>
      <c r="M564" s="537"/>
      <c r="N564" s="537"/>
      <c r="O564" s="537"/>
      <c r="P564" s="537"/>
      <c r="Q564" s="537"/>
      <c r="R564" s="537"/>
      <c r="S564" s="537"/>
      <c r="T564" s="537"/>
      <c r="U564" s="537"/>
      <c r="V564" s="537"/>
      <c r="W564" s="537"/>
      <c r="X564" s="537"/>
      <c r="Y564" s="537"/>
      <c r="Z564" s="537"/>
    </row>
    <row r="565">
      <c r="A565" s="537"/>
      <c r="B565" s="537"/>
      <c r="C565" s="538"/>
      <c r="D565" s="537"/>
      <c r="E565" s="537"/>
      <c r="F565" s="537"/>
      <c r="G565" s="537"/>
      <c r="H565" s="537"/>
      <c r="I565" s="537"/>
      <c r="J565" s="537"/>
      <c r="K565" s="537"/>
      <c r="L565" s="537"/>
      <c r="M565" s="537"/>
      <c r="N565" s="537"/>
      <c r="O565" s="537"/>
      <c r="P565" s="537"/>
      <c r="Q565" s="537"/>
      <c r="R565" s="537"/>
      <c r="S565" s="537"/>
      <c r="T565" s="537"/>
      <c r="U565" s="537"/>
      <c r="V565" s="537"/>
      <c r="W565" s="537"/>
      <c r="X565" s="537"/>
      <c r="Y565" s="537"/>
      <c r="Z565" s="537"/>
    </row>
    <row r="566">
      <c r="A566" s="537"/>
      <c r="B566" s="537"/>
      <c r="C566" s="538"/>
      <c r="D566" s="537"/>
      <c r="E566" s="537"/>
      <c r="F566" s="537"/>
      <c r="G566" s="537"/>
      <c r="H566" s="537"/>
      <c r="I566" s="537"/>
      <c r="J566" s="537"/>
      <c r="K566" s="537"/>
      <c r="L566" s="537"/>
      <c r="M566" s="537"/>
      <c r="N566" s="537"/>
      <c r="O566" s="537"/>
      <c r="P566" s="537"/>
      <c r="Q566" s="537"/>
      <c r="R566" s="537"/>
      <c r="S566" s="537"/>
      <c r="T566" s="537"/>
      <c r="U566" s="537"/>
      <c r="V566" s="537"/>
      <c r="W566" s="537"/>
      <c r="X566" s="537"/>
      <c r="Y566" s="537"/>
      <c r="Z566" s="537"/>
    </row>
    <row r="567">
      <c r="A567" s="537"/>
      <c r="B567" s="537"/>
      <c r="C567" s="538"/>
      <c r="D567" s="537"/>
      <c r="E567" s="537"/>
      <c r="F567" s="537"/>
      <c r="G567" s="537"/>
      <c r="H567" s="537"/>
      <c r="I567" s="537"/>
      <c r="J567" s="537"/>
      <c r="K567" s="537"/>
      <c r="L567" s="537"/>
      <c r="M567" s="537"/>
      <c r="N567" s="537"/>
      <c r="O567" s="537"/>
      <c r="P567" s="537"/>
      <c r="Q567" s="537"/>
      <c r="R567" s="537"/>
      <c r="S567" s="537"/>
      <c r="T567" s="537"/>
      <c r="U567" s="537"/>
      <c r="V567" s="537"/>
      <c r="W567" s="537"/>
      <c r="X567" s="537"/>
      <c r="Y567" s="537"/>
      <c r="Z567" s="537"/>
    </row>
    <row r="568">
      <c r="A568" s="537"/>
      <c r="B568" s="537"/>
      <c r="C568" s="538"/>
      <c r="D568" s="537"/>
      <c r="E568" s="537"/>
      <c r="F568" s="537"/>
      <c r="G568" s="537"/>
      <c r="H568" s="537"/>
      <c r="I568" s="537"/>
      <c r="J568" s="537"/>
      <c r="K568" s="537"/>
      <c r="L568" s="537"/>
      <c r="M568" s="537"/>
      <c r="N568" s="537"/>
      <c r="O568" s="537"/>
      <c r="P568" s="537"/>
      <c r="Q568" s="537"/>
      <c r="R568" s="537"/>
      <c r="S568" s="537"/>
      <c r="T568" s="537"/>
      <c r="U568" s="537"/>
      <c r="V568" s="537"/>
      <c r="W568" s="537"/>
      <c r="X568" s="537"/>
      <c r="Y568" s="537"/>
      <c r="Z568" s="537"/>
    </row>
    <row r="569">
      <c r="A569" s="537"/>
      <c r="B569" s="537"/>
      <c r="C569" s="538"/>
      <c r="D569" s="537"/>
      <c r="E569" s="537"/>
      <c r="F569" s="537"/>
      <c r="G569" s="537"/>
      <c r="H569" s="537"/>
      <c r="I569" s="537"/>
      <c r="J569" s="537"/>
      <c r="K569" s="537"/>
      <c r="L569" s="537"/>
      <c r="M569" s="537"/>
      <c r="N569" s="537"/>
      <c r="O569" s="537"/>
      <c r="P569" s="537"/>
      <c r="Q569" s="537"/>
      <c r="R569" s="537"/>
      <c r="S569" s="537"/>
      <c r="T569" s="537"/>
      <c r="U569" s="537"/>
      <c r="V569" s="537"/>
      <c r="W569" s="537"/>
      <c r="X569" s="537"/>
      <c r="Y569" s="537"/>
      <c r="Z569" s="537"/>
    </row>
    <row r="570">
      <c r="A570" s="537"/>
      <c r="B570" s="537"/>
      <c r="C570" s="538"/>
      <c r="D570" s="537"/>
      <c r="E570" s="537"/>
      <c r="F570" s="537"/>
      <c r="G570" s="537"/>
      <c r="H570" s="537"/>
      <c r="I570" s="537"/>
      <c r="J570" s="537"/>
      <c r="K570" s="537"/>
      <c r="L570" s="537"/>
      <c r="M570" s="537"/>
      <c r="N570" s="537"/>
      <c r="O570" s="537"/>
      <c r="P570" s="537"/>
      <c r="Q570" s="537"/>
      <c r="R570" s="537"/>
      <c r="S570" s="537"/>
      <c r="T570" s="537"/>
      <c r="U570" s="537"/>
      <c r="V570" s="537"/>
      <c r="W570" s="537"/>
      <c r="X570" s="537"/>
      <c r="Y570" s="537"/>
      <c r="Z570" s="537"/>
    </row>
    <row r="571">
      <c r="A571" s="537"/>
      <c r="B571" s="537"/>
      <c r="C571" s="538"/>
      <c r="D571" s="537"/>
      <c r="E571" s="537"/>
      <c r="F571" s="537"/>
      <c r="G571" s="537"/>
      <c r="H571" s="537"/>
      <c r="I571" s="537"/>
      <c r="J571" s="537"/>
      <c r="K571" s="537"/>
      <c r="L571" s="537"/>
      <c r="M571" s="537"/>
      <c r="N571" s="537"/>
      <c r="O571" s="537"/>
      <c r="P571" s="537"/>
      <c r="Q571" s="537"/>
      <c r="R571" s="537"/>
      <c r="S571" s="537"/>
      <c r="T571" s="537"/>
      <c r="U571" s="537"/>
      <c r="V571" s="537"/>
      <c r="W571" s="537"/>
      <c r="X571" s="537"/>
      <c r="Y571" s="537"/>
      <c r="Z571" s="537"/>
    </row>
    <row r="572">
      <c r="A572" s="537"/>
      <c r="B572" s="537"/>
      <c r="C572" s="538"/>
      <c r="D572" s="537"/>
      <c r="E572" s="537"/>
      <c r="F572" s="537"/>
      <c r="G572" s="537"/>
      <c r="H572" s="537"/>
      <c r="I572" s="537"/>
      <c r="J572" s="537"/>
      <c r="K572" s="537"/>
      <c r="L572" s="537"/>
      <c r="M572" s="537"/>
      <c r="N572" s="537"/>
      <c r="O572" s="537"/>
      <c r="P572" s="537"/>
      <c r="Q572" s="537"/>
      <c r="R572" s="537"/>
      <c r="S572" s="537"/>
      <c r="T572" s="537"/>
      <c r="U572" s="537"/>
      <c r="V572" s="537"/>
      <c r="W572" s="537"/>
      <c r="X572" s="537"/>
      <c r="Y572" s="537"/>
      <c r="Z572" s="537"/>
    </row>
    <row r="573">
      <c r="A573" s="537"/>
      <c r="B573" s="537"/>
      <c r="C573" s="538"/>
      <c r="D573" s="537"/>
      <c r="E573" s="537"/>
      <c r="F573" s="537"/>
      <c r="G573" s="537"/>
      <c r="H573" s="537"/>
      <c r="I573" s="537"/>
      <c r="J573" s="537"/>
      <c r="K573" s="537"/>
      <c r="L573" s="537"/>
      <c r="M573" s="537"/>
      <c r="N573" s="537"/>
      <c r="O573" s="537"/>
      <c r="P573" s="537"/>
      <c r="Q573" s="537"/>
      <c r="R573" s="537"/>
      <c r="S573" s="537"/>
      <c r="T573" s="537"/>
      <c r="U573" s="537"/>
      <c r="V573" s="537"/>
      <c r="W573" s="537"/>
      <c r="X573" s="537"/>
      <c r="Y573" s="537"/>
      <c r="Z573" s="537"/>
    </row>
    <row r="574">
      <c r="A574" s="537"/>
      <c r="B574" s="537"/>
      <c r="C574" s="538"/>
      <c r="D574" s="537"/>
      <c r="E574" s="537"/>
      <c r="F574" s="537"/>
      <c r="G574" s="537"/>
      <c r="H574" s="537"/>
      <c r="I574" s="537"/>
      <c r="J574" s="537"/>
      <c r="K574" s="537"/>
      <c r="L574" s="537"/>
      <c r="M574" s="537"/>
      <c r="N574" s="537"/>
      <c r="O574" s="537"/>
      <c r="P574" s="537"/>
      <c r="Q574" s="537"/>
      <c r="R574" s="537"/>
      <c r="S574" s="537"/>
      <c r="T574" s="537"/>
      <c r="U574" s="537"/>
      <c r="V574" s="537"/>
      <c r="W574" s="537"/>
      <c r="X574" s="537"/>
      <c r="Y574" s="537"/>
      <c r="Z574" s="537"/>
    </row>
    <row r="575">
      <c r="A575" s="537"/>
      <c r="B575" s="537"/>
      <c r="C575" s="538"/>
      <c r="D575" s="537"/>
      <c r="E575" s="537"/>
      <c r="F575" s="537"/>
      <c r="G575" s="537"/>
      <c r="H575" s="537"/>
      <c r="I575" s="537"/>
      <c r="J575" s="537"/>
      <c r="K575" s="537"/>
      <c r="L575" s="537"/>
      <c r="M575" s="537"/>
      <c r="N575" s="537"/>
      <c r="O575" s="537"/>
      <c r="P575" s="537"/>
      <c r="Q575" s="537"/>
      <c r="R575" s="537"/>
      <c r="S575" s="537"/>
      <c r="T575" s="537"/>
      <c r="U575" s="537"/>
      <c r="V575" s="537"/>
      <c r="W575" s="537"/>
      <c r="X575" s="537"/>
      <c r="Y575" s="537"/>
      <c r="Z575" s="537"/>
    </row>
    <row r="576">
      <c r="A576" s="537"/>
      <c r="B576" s="537"/>
      <c r="C576" s="538"/>
      <c r="D576" s="537"/>
      <c r="E576" s="537"/>
      <c r="F576" s="537"/>
      <c r="G576" s="537"/>
      <c r="H576" s="537"/>
      <c r="I576" s="537"/>
      <c r="J576" s="537"/>
      <c r="K576" s="537"/>
      <c r="L576" s="537"/>
      <c r="M576" s="537"/>
      <c r="N576" s="537"/>
      <c r="O576" s="537"/>
      <c r="P576" s="537"/>
      <c r="Q576" s="537"/>
      <c r="R576" s="537"/>
      <c r="S576" s="537"/>
      <c r="T576" s="537"/>
      <c r="U576" s="537"/>
      <c r="V576" s="537"/>
      <c r="W576" s="537"/>
      <c r="X576" s="537"/>
      <c r="Y576" s="537"/>
      <c r="Z576" s="537"/>
    </row>
    <row r="577">
      <c r="A577" s="537"/>
      <c r="B577" s="537"/>
      <c r="C577" s="538"/>
      <c r="D577" s="537"/>
      <c r="E577" s="537"/>
      <c r="F577" s="537"/>
      <c r="G577" s="537"/>
      <c r="H577" s="537"/>
      <c r="I577" s="537"/>
      <c r="J577" s="537"/>
      <c r="K577" s="537"/>
      <c r="L577" s="537"/>
      <c r="M577" s="537"/>
      <c r="N577" s="537"/>
      <c r="O577" s="537"/>
      <c r="P577" s="537"/>
      <c r="Q577" s="537"/>
      <c r="R577" s="537"/>
      <c r="S577" s="537"/>
      <c r="T577" s="537"/>
      <c r="U577" s="537"/>
      <c r="V577" s="537"/>
      <c r="W577" s="537"/>
      <c r="X577" s="537"/>
      <c r="Y577" s="537"/>
      <c r="Z577" s="537"/>
    </row>
    <row r="578">
      <c r="A578" s="537"/>
      <c r="B578" s="537"/>
      <c r="C578" s="538"/>
      <c r="D578" s="537"/>
      <c r="E578" s="537"/>
      <c r="F578" s="537"/>
      <c r="G578" s="537"/>
      <c r="H578" s="537"/>
      <c r="I578" s="537"/>
      <c r="J578" s="537"/>
      <c r="K578" s="537"/>
      <c r="L578" s="537"/>
      <c r="M578" s="537"/>
      <c r="N578" s="537"/>
      <c r="O578" s="537"/>
      <c r="P578" s="537"/>
      <c r="Q578" s="537"/>
      <c r="R578" s="537"/>
      <c r="S578" s="537"/>
      <c r="T578" s="537"/>
      <c r="U578" s="537"/>
      <c r="V578" s="537"/>
      <c r="W578" s="537"/>
      <c r="X578" s="537"/>
      <c r="Y578" s="537"/>
      <c r="Z578" s="537"/>
    </row>
    <row r="579">
      <c r="A579" s="537"/>
      <c r="B579" s="537"/>
      <c r="C579" s="538"/>
      <c r="D579" s="537"/>
      <c r="E579" s="537"/>
      <c r="F579" s="537"/>
      <c r="G579" s="537"/>
      <c r="H579" s="537"/>
      <c r="I579" s="537"/>
      <c r="J579" s="537"/>
      <c r="K579" s="537"/>
      <c r="L579" s="537"/>
      <c r="M579" s="537"/>
      <c r="N579" s="537"/>
      <c r="O579" s="537"/>
      <c r="P579" s="537"/>
      <c r="Q579" s="537"/>
      <c r="R579" s="537"/>
      <c r="S579" s="537"/>
      <c r="T579" s="537"/>
      <c r="U579" s="537"/>
      <c r="V579" s="537"/>
      <c r="W579" s="537"/>
      <c r="X579" s="537"/>
      <c r="Y579" s="537"/>
      <c r="Z579" s="537"/>
    </row>
    <row r="580">
      <c r="A580" s="537"/>
      <c r="B580" s="537"/>
      <c r="C580" s="538"/>
      <c r="D580" s="537"/>
      <c r="E580" s="537"/>
      <c r="F580" s="537"/>
      <c r="G580" s="537"/>
      <c r="H580" s="537"/>
      <c r="I580" s="537"/>
      <c r="J580" s="537"/>
      <c r="K580" s="537"/>
      <c r="L580" s="537"/>
      <c r="M580" s="537"/>
      <c r="N580" s="537"/>
      <c r="O580" s="537"/>
      <c r="P580" s="537"/>
      <c r="Q580" s="537"/>
      <c r="R580" s="537"/>
      <c r="S580" s="537"/>
      <c r="T580" s="537"/>
      <c r="U580" s="537"/>
      <c r="V580" s="537"/>
      <c r="W580" s="537"/>
      <c r="X580" s="537"/>
      <c r="Y580" s="537"/>
      <c r="Z580" s="537"/>
    </row>
    <row r="581">
      <c r="A581" s="537"/>
      <c r="B581" s="537"/>
      <c r="C581" s="538"/>
      <c r="D581" s="537"/>
      <c r="E581" s="537"/>
      <c r="F581" s="537"/>
      <c r="G581" s="537"/>
      <c r="H581" s="537"/>
      <c r="I581" s="537"/>
      <c r="J581" s="537"/>
      <c r="K581" s="537"/>
      <c r="L581" s="537"/>
      <c r="M581" s="537"/>
      <c r="N581" s="537"/>
      <c r="O581" s="537"/>
      <c r="P581" s="537"/>
      <c r="Q581" s="537"/>
      <c r="R581" s="537"/>
      <c r="S581" s="537"/>
      <c r="T581" s="537"/>
      <c r="U581" s="537"/>
      <c r="V581" s="537"/>
      <c r="W581" s="537"/>
      <c r="X581" s="537"/>
      <c r="Y581" s="537"/>
      <c r="Z581" s="537"/>
    </row>
    <row r="582">
      <c r="A582" s="537"/>
      <c r="B582" s="537"/>
      <c r="C582" s="538"/>
      <c r="D582" s="537"/>
      <c r="E582" s="537"/>
      <c r="F582" s="537"/>
      <c r="G582" s="537"/>
      <c r="H582" s="537"/>
      <c r="I582" s="537"/>
      <c r="J582" s="537"/>
      <c r="K582" s="537"/>
      <c r="L582" s="537"/>
      <c r="M582" s="537"/>
      <c r="N582" s="537"/>
      <c r="O582" s="537"/>
      <c r="P582" s="537"/>
      <c r="Q582" s="537"/>
      <c r="R582" s="537"/>
      <c r="S582" s="537"/>
      <c r="T582" s="537"/>
      <c r="U582" s="537"/>
      <c r="V582" s="537"/>
      <c r="W582" s="537"/>
      <c r="X582" s="537"/>
      <c r="Y582" s="537"/>
      <c r="Z582" s="537"/>
    </row>
    <row r="583">
      <c r="A583" s="537"/>
      <c r="B583" s="537"/>
      <c r="C583" s="538"/>
      <c r="D583" s="537"/>
      <c r="E583" s="537"/>
      <c r="F583" s="537"/>
      <c r="G583" s="537"/>
      <c r="H583" s="537"/>
      <c r="I583" s="537"/>
      <c r="J583" s="537"/>
      <c r="K583" s="537"/>
      <c r="L583" s="537"/>
      <c r="M583" s="537"/>
      <c r="N583" s="537"/>
      <c r="O583" s="537"/>
      <c r="P583" s="537"/>
      <c r="Q583" s="537"/>
      <c r="R583" s="537"/>
      <c r="S583" s="537"/>
      <c r="T583" s="537"/>
      <c r="U583" s="537"/>
      <c r="V583" s="537"/>
      <c r="W583" s="537"/>
      <c r="X583" s="537"/>
      <c r="Y583" s="537"/>
      <c r="Z583" s="537"/>
    </row>
    <row r="584">
      <c r="A584" s="537"/>
      <c r="B584" s="537"/>
      <c r="C584" s="538"/>
      <c r="D584" s="537"/>
      <c r="E584" s="537"/>
      <c r="F584" s="537"/>
      <c r="G584" s="537"/>
      <c r="H584" s="537"/>
      <c r="I584" s="537"/>
      <c r="J584" s="537"/>
      <c r="K584" s="537"/>
      <c r="L584" s="537"/>
      <c r="M584" s="537"/>
      <c r="N584" s="537"/>
      <c r="O584" s="537"/>
      <c r="P584" s="537"/>
      <c r="Q584" s="537"/>
      <c r="R584" s="537"/>
      <c r="S584" s="537"/>
      <c r="T584" s="537"/>
      <c r="U584" s="537"/>
      <c r="V584" s="537"/>
      <c r="W584" s="537"/>
      <c r="X584" s="537"/>
      <c r="Y584" s="537"/>
      <c r="Z584" s="537"/>
    </row>
    <row r="585">
      <c r="A585" s="537"/>
      <c r="B585" s="537"/>
      <c r="C585" s="538"/>
      <c r="D585" s="537"/>
      <c r="E585" s="537"/>
      <c r="F585" s="537"/>
      <c r="G585" s="537"/>
      <c r="H585" s="537"/>
      <c r="I585" s="537"/>
      <c r="J585" s="537"/>
      <c r="K585" s="537"/>
      <c r="L585" s="537"/>
      <c r="M585" s="537"/>
      <c r="N585" s="537"/>
      <c r="O585" s="537"/>
      <c r="P585" s="537"/>
      <c r="Q585" s="537"/>
      <c r="R585" s="537"/>
      <c r="S585" s="537"/>
      <c r="T585" s="537"/>
      <c r="U585" s="537"/>
      <c r="V585" s="537"/>
      <c r="W585" s="537"/>
      <c r="X585" s="537"/>
      <c r="Y585" s="537"/>
      <c r="Z585" s="537"/>
    </row>
    <row r="586">
      <c r="A586" s="537"/>
      <c r="B586" s="537"/>
      <c r="C586" s="538"/>
      <c r="D586" s="537"/>
      <c r="E586" s="537"/>
      <c r="F586" s="537"/>
      <c r="G586" s="537"/>
      <c r="H586" s="537"/>
      <c r="I586" s="537"/>
      <c r="J586" s="537"/>
      <c r="K586" s="537"/>
      <c r="L586" s="537"/>
      <c r="M586" s="537"/>
      <c r="N586" s="537"/>
      <c r="O586" s="537"/>
      <c r="P586" s="537"/>
      <c r="Q586" s="537"/>
      <c r="R586" s="537"/>
      <c r="S586" s="537"/>
      <c r="T586" s="537"/>
      <c r="U586" s="537"/>
      <c r="V586" s="537"/>
      <c r="W586" s="537"/>
      <c r="X586" s="537"/>
      <c r="Y586" s="537"/>
      <c r="Z586" s="537"/>
    </row>
    <row r="587">
      <c r="A587" s="537"/>
      <c r="B587" s="537"/>
      <c r="C587" s="538"/>
      <c r="D587" s="537"/>
      <c r="E587" s="537"/>
      <c r="F587" s="537"/>
      <c r="G587" s="537"/>
      <c r="H587" s="537"/>
      <c r="I587" s="537"/>
      <c r="J587" s="537"/>
      <c r="K587" s="537"/>
      <c r="L587" s="537"/>
      <c r="M587" s="537"/>
      <c r="N587" s="537"/>
      <c r="O587" s="537"/>
      <c r="P587" s="537"/>
      <c r="Q587" s="537"/>
      <c r="R587" s="537"/>
      <c r="S587" s="537"/>
      <c r="T587" s="537"/>
      <c r="U587" s="537"/>
      <c r="V587" s="537"/>
      <c r="W587" s="537"/>
      <c r="X587" s="537"/>
      <c r="Y587" s="537"/>
      <c r="Z587" s="537"/>
    </row>
    <row r="588">
      <c r="A588" s="537"/>
      <c r="B588" s="537"/>
      <c r="C588" s="538"/>
      <c r="D588" s="537"/>
      <c r="E588" s="537"/>
      <c r="F588" s="537"/>
      <c r="G588" s="537"/>
      <c r="H588" s="537"/>
      <c r="I588" s="537"/>
      <c r="J588" s="537"/>
      <c r="K588" s="537"/>
      <c r="L588" s="537"/>
      <c r="M588" s="537"/>
      <c r="N588" s="537"/>
      <c r="O588" s="537"/>
      <c r="P588" s="537"/>
      <c r="Q588" s="537"/>
      <c r="R588" s="537"/>
      <c r="S588" s="537"/>
      <c r="T588" s="537"/>
      <c r="U588" s="537"/>
      <c r="V588" s="537"/>
      <c r="W588" s="537"/>
      <c r="X588" s="537"/>
      <c r="Y588" s="537"/>
      <c r="Z588" s="537"/>
    </row>
    <row r="589">
      <c r="A589" s="537"/>
      <c r="B589" s="537"/>
      <c r="C589" s="538"/>
      <c r="D589" s="537"/>
      <c r="E589" s="537"/>
      <c r="F589" s="537"/>
      <c r="G589" s="537"/>
      <c r="H589" s="537"/>
      <c r="I589" s="537"/>
      <c r="J589" s="537"/>
      <c r="K589" s="537"/>
      <c r="L589" s="537"/>
      <c r="M589" s="537"/>
      <c r="N589" s="537"/>
      <c r="O589" s="537"/>
      <c r="P589" s="537"/>
      <c r="Q589" s="537"/>
      <c r="R589" s="537"/>
      <c r="S589" s="537"/>
      <c r="T589" s="537"/>
      <c r="U589" s="537"/>
      <c r="V589" s="537"/>
      <c r="W589" s="537"/>
      <c r="X589" s="537"/>
      <c r="Y589" s="537"/>
      <c r="Z589" s="537"/>
    </row>
    <row r="590">
      <c r="A590" s="537"/>
      <c r="B590" s="537"/>
      <c r="C590" s="538"/>
      <c r="D590" s="537"/>
      <c r="E590" s="537"/>
      <c r="F590" s="537"/>
      <c r="G590" s="537"/>
      <c r="H590" s="537"/>
      <c r="I590" s="537"/>
      <c r="J590" s="537"/>
      <c r="K590" s="537"/>
      <c r="L590" s="537"/>
      <c r="M590" s="537"/>
      <c r="N590" s="537"/>
      <c r="O590" s="537"/>
      <c r="P590" s="537"/>
      <c r="Q590" s="537"/>
      <c r="R590" s="537"/>
      <c r="S590" s="537"/>
      <c r="T590" s="537"/>
      <c r="U590" s="537"/>
      <c r="V590" s="537"/>
      <c r="W590" s="537"/>
      <c r="X590" s="537"/>
      <c r="Y590" s="537"/>
      <c r="Z590" s="537"/>
    </row>
    <row r="591">
      <c r="A591" s="537"/>
      <c r="B591" s="537"/>
      <c r="C591" s="538"/>
      <c r="D591" s="537"/>
      <c r="E591" s="537"/>
      <c r="F591" s="537"/>
      <c r="G591" s="537"/>
      <c r="H591" s="537"/>
      <c r="I591" s="537"/>
      <c r="J591" s="537"/>
      <c r="K591" s="537"/>
      <c r="L591" s="537"/>
      <c r="M591" s="537"/>
      <c r="N591" s="537"/>
      <c r="O591" s="537"/>
      <c r="P591" s="537"/>
      <c r="Q591" s="537"/>
      <c r="R591" s="537"/>
      <c r="S591" s="537"/>
      <c r="T591" s="537"/>
      <c r="U591" s="537"/>
      <c r="V591" s="537"/>
      <c r="W591" s="537"/>
      <c r="X591" s="537"/>
      <c r="Y591" s="537"/>
      <c r="Z591" s="537"/>
    </row>
    <row r="592">
      <c r="A592" s="537"/>
      <c r="B592" s="537"/>
      <c r="C592" s="538"/>
      <c r="D592" s="537"/>
      <c r="E592" s="537"/>
      <c r="F592" s="537"/>
      <c r="G592" s="537"/>
      <c r="H592" s="537"/>
      <c r="I592" s="537"/>
      <c r="J592" s="537"/>
      <c r="K592" s="537"/>
      <c r="L592" s="537"/>
      <c r="M592" s="537"/>
      <c r="N592" s="537"/>
      <c r="O592" s="537"/>
      <c r="P592" s="537"/>
      <c r="Q592" s="537"/>
      <c r="R592" s="537"/>
      <c r="S592" s="537"/>
      <c r="T592" s="537"/>
      <c r="U592" s="537"/>
      <c r="V592" s="537"/>
      <c r="W592" s="537"/>
      <c r="X592" s="537"/>
      <c r="Y592" s="537"/>
      <c r="Z592" s="537"/>
    </row>
    <row r="593">
      <c r="A593" s="537"/>
      <c r="B593" s="537"/>
      <c r="C593" s="538"/>
      <c r="D593" s="537"/>
      <c r="E593" s="537"/>
      <c r="F593" s="537"/>
      <c r="G593" s="537"/>
      <c r="H593" s="537"/>
      <c r="I593" s="537"/>
      <c r="J593" s="537"/>
      <c r="K593" s="537"/>
      <c r="L593" s="537"/>
      <c r="M593" s="537"/>
      <c r="N593" s="537"/>
      <c r="O593" s="537"/>
      <c r="P593" s="537"/>
      <c r="Q593" s="537"/>
      <c r="R593" s="537"/>
      <c r="S593" s="537"/>
      <c r="T593" s="537"/>
      <c r="U593" s="537"/>
      <c r="V593" s="537"/>
      <c r="W593" s="537"/>
      <c r="X593" s="537"/>
      <c r="Y593" s="537"/>
      <c r="Z593" s="537"/>
    </row>
    <row r="594">
      <c r="A594" s="537"/>
      <c r="B594" s="537"/>
      <c r="C594" s="538"/>
      <c r="D594" s="537"/>
      <c r="E594" s="537"/>
      <c r="F594" s="537"/>
      <c r="G594" s="537"/>
      <c r="H594" s="537"/>
      <c r="I594" s="537"/>
      <c r="J594" s="537"/>
      <c r="K594" s="537"/>
      <c r="L594" s="537"/>
      <c r="M594" s="537"/>
      <c r="N594" s="537"/>
      <c r="O594" s="537"/>
      <c r="P594" s="537"/>
      <c r="Q594" s="537"/>
      <c r="R594" s="537"/>
      <c r="S594" s="537"/>
      <c r="T594" s="537"/>
      <c r="U594" s="537"/>
      <c r="V594" s="537"/>
      <c r="W594" s="537"/>
      <c r="X594" s="537"/>
      <c r="Y594" s="537"/>
      <c r="Z594" s="537"/>
    </row>
    <row r="595">
      <c r="A595" s="537"/>
      <c r="B595" s="537"/>
      <c r="C595" s="538"/>
      <c r="D595" s="537"/>
      <c r="E595" s="537"/>
      <c r="F595" s="537"/>
      <c r="G595" s="537"/>
      <c r="H595" s="537"/>
      <c r="I595" s="537"/>
      <c r="J595" s="537"/>
      <c r="K595" s="537"/>
      <c r="L595" s="537"/>
      <c r="M595" s="537"/>
      <c r="N595" s="537"/>
      <c r="O595" s="537"/>
      <c r="P595" s="537"/>
      <c r="Q595" s="537"/>
      <c r="R595" s="537"/>
      <c r="S595" s="537"/>
      <c r="T595" s="537"/>
      <c r="U595" s="537"/>
      <c r="V595" s="537"/>
      <c r="W595" s="537"/>
      <c r="X595" s="537"/>
      <c r="Y595" s="537"/>
      <c r="Z595" s="537"/>
    </row>
    <row r="596">
      <c r="A596" s="537"/>
      <c r="B596" s="537"/>
      <c r="C596" s="538"/>
      <c r="D596" s="537"/>
      <c r="E596" s="537"/>
      <c r="F596" s="537"/>
      <c r="G596" s="537"/>
      <c r="H596" s="537"/>
      <c r="I596" s="537"/>
      <c r="J596" s="537"/>
      <c r="K596" s="537"/>
      <c r="L596" s="537"/>
      <c r="M596" s="537"/>
      <c r="N596" s="537"/>
      <c r="O596" s="537"/>
      <c r="P596" s="537"/>
      <c r="Q596" s="537"/>
      <c r="R596" s="537"/>
      <c r="S596" s="537"/>
      <c r="T596" s="537"/>
      <c r="U596" s="537"/>
      <c r="V596" s="537"/>
      <c r="W596" s="537"/>
      <c r="X596" s="537"/>
      <c r="Y596" s="537"/>
      <c r="Z596" s="537"/>
    </row>
    <row r="597">
      <c r="A597" s="537"/>
      <c r="B597" s="537"/>
      <c r="C597" s="538"/>
      <c r="D597" s="537"/>
      <c r="E597" s="537"/>
      <c r="F597" s="537"/>
      <c r="G597" s="537"/>
      <c r="H597" s="537"/>
      <c r="I597" s="537"/>
      <c r="J597" s="537"/>
      <c r="K597" s="537"/>
      <c r="L597" s="537"/>
      <c r="M597" s="537"/>
      <c r="N597" s="537"/>
      <c r="O597" s="537"/>
      <c r="P597" s="537"/>
      <c r="Q597" s="537"/>
      <c r="R597" s="537"/>
      <c r="S597" s="537"/>
      <c r="T597" s="537"/>
      <c r="U597" s="537"/>
      <c r="V597" s="537"/>
      <c r="W597" s="537"/>
      <c r="X597" s="537"/>
      <c r="Y597" s="537"/>
      <c r="Z597" s="537"/>
    </row>
    <row r="598">
      <c r="A598" s="537"/>
      <c r="B598" s="537"/>
      <c r="C598" s="538"/>
      <c r="D598" s="537"/>
      <c r="E598" s="537"/>
      <c r="F598" s="537"/>
      <c r="G598" s="537"/>
      <c r="H598" s="537"/>
      <c r="I598" s="537"/>
      <c r="J598" s="537"/>
      <c r="K598" s="537"/>
      <c r="L598" s="537"/>
      <c r="M598" s="537"/>
      <c r="N598" s="537"/>
      <c r="O598" s="537"/>
      <c r="P598" s="537"/>
      <c r="Q598" s="537"/>
      <c r="R598" s="537"/>
      <c r="S598" s="537"/>
      <c r="T598" s="537"/>
      <c r="U598" s="537"/>
      <c r="V598" s="537"/>
      <c r="W598" s="537"/>
      <c r="X598" s="537"/>
      <c r="Y598" s="537"/>
      <c r="Z598" s="537"/>
    </row>
    <row r="599">
      <c r="A599" s="537"/>
      <c r="B599" s="537"/>
      <c r="C599" s="538"/>
      <c r="D599" s="537"/>
      <c r="E599" s="537"/>
      <c r="F599" s="537"/>
      <c r="G599" s="537"/>
      <c r="H599" s="537"/>
      <c r="I599" s="537"/>
      <c r="J599" s="537"/>
      <c r="K599" s="537"/>
      <c r="L599" s="537"/>
      <c r="M599" s="537"/>
      <c r="N599" s="537"/>
      <c r="O599" s="537"/>
      <c r="P599" s="537"/>
      <c r="Q599" s="537"/>
      <c r="R599" s="537"/>
      <c r="S599" s="537"/>
      <c r="T599" s="537"/>
      <c r="U599" s="537"/>
      <c r="V599" s="537"/>
      <c r="W599" s="537"/>
      <c r="X599" s="537"/>
      <c r="Y599" s="537"/>
      <c r="Z599" s="537"/>
    </row>
    <row r="600">
      <c r="A600" s="537"/>
      <c r="B600" s="537"/>
      <c r="C600" s="538"/>
      <c r="D600" s="537"/>
      <c r="E600" s="537"/>
      <c r="F600" s="537"/>
      <c r="G600" s="537"/>
      <c r="H600" s="537"/>
      <c r="I600" s="537"/>
      <c r="J600" s="537"/>
      <c r="K600" s="537"/>
      <c r="L600" s="537"/>
      <c r="M600" s="537"/>
      <c r="N600" s="537"/>
      <c r="O600" s="537"/>
      <c r="P600" s="537"/>
      <c r="Q600" s="537"/>
      <c r="R600" s="537"/>
      <c r="S600" s="537"/>
      <c r="T600" s="537"/>
      <c r="U600" s="537"/>
      <c r="V600" s="537"/>
      <c r="W600" s="537"/>
      <c r="X600" s="537"/>
      <c r="Y600" s="537"/>
      <c r="Z600" s="537"/>
    </row>
    <row r="601">
      <c r="A601" s="537"/>
      <c r="B601" s="537"/>
      <c r="C601" s="538"/>
      <c r="D601" s="537"/>
      <c r="E601" s="537"/>
      <c r="F601" s="537"/>
      <c r="G601" s="537"/>
      <c r="H601" s="537"/>
      <c r="I601" s="537"/>
      <c r="J601" s="537"/>
      <c r="K601" s="537"/>
      <c r="L601" s="537"/>
      <c r="M601" s="537"/>
      <c r="N601" s="537"/>
      <c r="O601" s="537"/>
      <c r="P601" s="537"/>
      <c r="Q601" s="537"/>
      <c r="R601" s="537"/>
      <c r="S601" s="537"/>
      <c r="T601" s="537"/>
      <c r="U601" s="537"/>
      <c r="V601" s="537"/>
      <c r="W601" s="537"/>
      <c r="X601" s="537"/>
      <c r="Y601" s="537"/>
      <c r="Z601" s="537"/>
    </row>
    <row r="602">
      <c r="A602" s="537"/>
      <c r="B602" s="537"/>
      <c r="C602" s="538"/>
      <c r="D602" s="537"/>
      <c r="E602" s="537"/>
      <c r="F602" s="537"/>
      <c r="G602" s="537"/>
      <c r="H602" s="537"/>
      <c r="I602" s="537"/>
      <c r="J602" s="537"/>
      <c r="K602" s="537"/>
      <c r="L602" s="537"/>
      <c r="M602" s="537"/>
      <c r="N602" s="537"/>
      <c r="O602" s="537"/>
      <c r="P602" s="537"/>
      <c r="Q602" s="537"/>
      <c r="R602" s="537"/>
      <c r="S602" s="537"/>
      <c r="T602" s="537"/>
      <c r="U602" s="537"/>
      <c r="V602" s="537"/>
      <c r="W602" s="537"/>
      <c r="X602" s="537"/>
      <c r="Y602" s="537"/>
      <c r="Z602" s="537"/>
    </row>
    <row r="603">
      <c r="A603" s="537"/>
      <c r="B603" s="537"/>
      <c r="C603" s="538"/>
      <c r="D603" s="537"/>
      <c r="E603" s="537"/>
      <c r="F603" s="537"/>
      <c r="G603" s="537"/>
      <c r="H603" s="537"/>
      <c r="I603" s="537"/>
      <c r="J603" s="537"/>
      <c r="K603" s="537"/>
      <c r="L603" s="537"/>
      <c r="M603" s="537"/>
      <c r="N603" s="537"/>
      <c r="O603" s="537"/>
      <c r="P603" s="537"/>
      <c r="Q603" s="537"/>
      <c r="R603" s="537"/>
      <c r="S603" s="537"/>
      <c r="T603" s="537"/>
      <c r="U603" s="537"/>
      <c r="V603" s="537"/>
      <c r="W603" s="537"/>
      <c r="X603" s="537"/>
      <c r="Y603" s="537"/>
      <c r="Z603" s="537"/>
    </row>
    <row r="604">
      <c r="A604" s="537"/>
      <c r="B604" s="537"/>
      <c r="C604" s="538"/>
      <c r="D604" s="537"/>
      <c r="E604" s="537"/>
      <c r="F604" s="537"/>
      <c r="G604" s="537"/>
      <c r="H604" s="537"/>
      <c r="I604" s="537"/>
      <c r="J604" s="537"/>
      <c r="K604" s="537"/>
      <c r="L604" s="537"/>
      <c r="M604" s="537"/>
      <c r="N604" s="537"/>
      <c r="O604" s="537"/>
      <c r="P604" s="537"/>
      <c r="Q604" s="537"/>
      <c r="R604" s="537"/>
      <c r="S604" s="537"/>
      <c r="T604" s="537"/>
      <c r="U604" s="537"/>
      <c r="V604" s="537"/>
      <c r="W604" s="537"/>
      <c r="X604" s="537"/>
      <c r="Y604" s="537"/>
      <c r="Z604" s="537"/>
    </row>
    <row r="605">
      <c r="A605" s="537"/>
      <c r="B605" s="537"/>
      <c r="C605" s="538"/>
      <c r="D605" s="537"/>
      <c r="E605" s="537"/>
      <c r="F605" s="537"/>
      <c r="G605" s="537"/>
      <c r="H605" s="537"/>
      <c r="I605" s="537"/>
      <c r="J605" s="537"/>
      <c r="K605" s="537"/>
      <c r="L605" s="537"/>
      <c r="M605" s="537"/>
      <c r="N605" s="537"/>
      <c r="O605" s="537"/>
      <c r="P605" s="537"/>
      <c r="Q605" s="537"/>
      <c r="R605" s="537"/>
      <c r="S605" s="537"/>
      <c r="T605" s="537"/>
      <c r="U605" s="537"/>
      <c r="V605" s="537"/>
      <c r="W605" s="537"/>
      <c r="X605" s="537"/>
      <c r="Y605" s="537"/>
      <c r="Z605" s="537"/>
    </row>
    <row r="606">
      <c r="A606" s="537"/>
      <c r="B606" s="537"/>
      <c r="C606" s="538"/>
      <c r="D606" s="537"/>
      <c r="E606" s="537"/>
      <c r="F606" s="537"/>
      <c r="G606" s="537"/>
      <c r="H606" s="537"/>
      <c r="I606" s="537"/>
      <c r="J606" s="537"/>
      <c r="K606" s="537"/>
      <c r="L606" s="537"/>
      <c r="M606" s="537"/>
      <c r="N606" s="537"/>
      <c r="O606" s="537"/>
      <c r="P606" s="537"/>
      <c r="Q606" s="537"/>
      <c r="R606" s="537"/>
      <c r="S606" s="537"/>
      <c r="T606" s="537"/>
      <c r="U606" s="537"/>
      <c r="V606" s="537"/>
      <c r="W606" s="537"/>
      <c r="X606" s="537"/>
      <c r="Y606" s="537"/>
      <c r="Z606" s="537"/>
    </row>
    <row r="607">
      <c r="A607" s="537"/>
      <c r="B607" s="537"/>
      <c r="C607" s="538"/>
      <c r="D607" s="537"/>
      <c r="E607" s="537"/>
      <c r="F607" s="537"/>
      <c r="G607" s="537"/>
      <c r="H607" s="537"/>
      <c r="I607" s="537"/>
      <c r="J607" s="537"/>
      <c r="K607" s="537"/>
      <c r="L607" s="537"/>
      <c r="M607" s="537"/>
      <c r="N607" s="537"/>
      <c r="O607" s="537"/>
      <c r="P607" s="537"/>
      <c r="Q607" s="537"/>
      <c r="R607" s="537"/>
      <c r="S607" s="537"/>
      <c r="T607" s="537"/>
      <c r="U607" s="537"/>
      <c r="V607" s="537"/>
      <c r="W607" s="537"/>
      <c r="X607" s="537"/>
      <c r="Y607" s="537"/>
      <c r="Z607" s="537"/>
    </row>
    <row r="608">
      <c r="A608" s="537"/>
      <c r="B608" s="537"/>
      <c r="C608" s="538"/>
      <c r="D608" s="537"/>
      <c r="E608" s="537"/>
      <c r="F608" s="537"/>
      <c r="G608" s="537"/>
      <c r="H608" s="537"/>
      <c r="I608" s="537"/>
      <c r="J608" s="537"/>
      <c r="K608" s="537"/>
      <c r="L608" s="537"/>
      <c r="M608" s="537"/>
      <c r="N608" s="537"/>
      <c r="O608" s="537"/>
      <c r="P608" s="537"/>
      <c r="Q608" s="537"/>
      <c r="R608" s="537"/>
      <c r="S608" s="537"/>
      <c r="T608" s="537"/>
      <c r="U608" s="537"/>
      <c r="V608" s="537"/>
      <c r="W608" s="537"/>
      <c r="X608" s="537"/>
      <c r="Y608" s="537"/>
      <c r="Z608" s="537"/>
    </row>
    <row r="609">
      <c r="A609" s="537"/>
      <c r="B609" s="537"/>
      <c r="C609" s="538"/>
      <c r="D609" s="537"/>
      <c r="E609" s="537"/>
      <c r="F609" s="537"/>
      <c r="G609" s="537"/>
      <c r="H609" s="537"/>
      <c r="I609" s="537"/>
      <c r="J609" s="537"/>
      <c r="K609" s="537"/>
      <c r="L609" s="537"/>
      <c r="M609" s="537"/>
      <c r="N609" s="537"/>
      <c r="O609" s="537"/>
      <c r="P609" s="537"/>
      <c r="Q609" s="537"/>
      <c r="R609" s="537"/>
      <c r="S609" s="537"/>
      <c r="T609" s="537"/>
      <c r="U609" s="537"/>
      <c r="V609" s="537"/>
      <c r="W609" s="537"/>
      <c r="X609" s="537"/>
      <c r="Y609" s="537"/>
      <c r="Z609" s="537"/>
    </row>
    <row r="610">
      <c r="A610" s="537"/>
      <c r="B610" s="537"/>
      <c r="C610" s="538"/>
      <c r="D610" s="537"/>
      <c r="E610" s="537"/>
      <c r="F610" s="537"/>
      <c r="G610" s="537"/>
      <c r="H610" s="537"/>
      <c r="I610" s="537"/>
      <c r="J610" s="537"/>
      <c r="K610" s="537"/>
      <c r="L610" s="537"/>
      <c r="M610" s="537"/>
      <c r="N610" s="537"/>
      <c r="O610" s="537"/>
      <c r="P610" s="537"/>
      <c r="Q610" s="537"/>
      <c r="R610" s="537"/>
      <c r="S610" s="537"/>
      <c r="T610" s="537"/>
      <c r="U610" s="537"/>
      <c r="V610" s="537"/>
      <c r="W610" s="537"/>
      <c r="X610" s="537"/>
      <c r="Y610" s="537"/>
      <c r="Z610" s="537"/>
    </row>
    <row r="611">
      <c r="A611" s="537"/>
      <c r="B611" s="537"/>
      <c r="C611" s="538"/>
      <c r="D611" s="537"/>
      <c r="E611" s="537"/>
      <c r="F611" s="537"/>
      <c r="G611" s="537"/>
      <c r="H611" s="537"/>
      <c r="I611" s="537"/>
      <c r="J611" s="537"/>
      <c r="K611" s="537"/>
      <c r="L611" s="537"/>
      <c r="M611" s="537"/>
      <c r="N611" s="537"/>
      <c r="O611" s="537"/>
      <c r="P611" s="537"/>
      <c r="Q611" s="537"/>
      <c r="R611" s="537"/>
      <c r="S611" s="537"/>
      <c r="T611" s="537"/>
      <c r="U611" s="537"/>
      <c r="V611" s="537"/>
      <c r="W611" s="537"/>
      <c r="X611" s="537"/>
      <c r="Y611" s="537"/>
      <c r="Z611" s="537"/>
    </row>
    <row r="612">
      <c r="A612" s="537"/>
      <c r="B612" s="537"/>
      <c r="C612" s="538"/>
      <c r="D612" s="537"/>
      <c r="E612" s="537"/>
      <c r="F612" s="537"/>
      <c r="G612" s="537"/>
      <c r="H612" s="537"/>
      <c r="I612" s="537"/>
      <c r="J612" s="537"/>
      <c r="K612" s="537"/>
      <c r="L612" s="537"/>
      <c r="M612" s="537"/>
      <c r="N612" s="537"/>
      <c r="O612" s="537"/>
      <c r="P612" s="537"/>
      <c r="Q612" s="537"/>
      <c r="R612" s="537"/>
      <c r="S612" s="537"/>
      <c r="T612" s="537"/>
      <c r="U612" s="537"/>
      <c r="V612" s="537"/>
      <c r="W612" s="537"/>
      <c r="X612" s="537"/>
      <c r="Y612" s="537"/>
      <c r="Z612" s="537"/>
    </row>
    <row r="613">
      <c r="A613" s="537"/>
      <c r="B613" s="537"/>
      <c r="C613" s="538"/>
      <c r="D613" s="537"/>
      <c r="E613" s="537"/>
      <c r="F613" s="537"/>
      <c r="G613" s="537"/>
      <c r="H613" s="537"/>
      <c r="I613" s="537"/>
      <c r="J613" s="537"/>
      <c r="K613" s="537"/>
      <c r="L613" s="537"/>
      <c r="M613" s="537"/>
      <c r="N613" s="537"/>
      <c r="O613" s="537"/>
      <c r="P613" s="537"/>
      <c r="Q613" s="537"/>
      <c r="R613" s="537"/>
      <c r="S613" s="537"/>
      <c r="T613" s="537"/>
      <c r="U613" s="537"/>
      <c r="V613" s="537"/>
      <c r="W613" s="537"/>
      <c r="X613" s="537"/>
      <c r="Y613" s="537"/>
      <c r="Z613" s="537"/>
    </row>
    <row r="614">
      <c r="A614" s="537"/>
      <c r="B614" s="537"/>
      <c r="C614" s="538"/>
      <c r="D614" s="537"/>
      <c r="E614" s="537"/>
      <c r="F614" s="537"/>
      <c r="G614" s="537"/>
      <c r="H614" s="537"/>
      <c r="I614" s="537"/>
      <c r="J614" s="537"/>
      <c r="K614" s="537"/>
      <c r="L614" s="537"/>
      <c r="M614" s="537"/>
      <c r="N614" s="537"/>
      <c r="O614" s="537"/>
      <c r="P614" s="537"/>
      <c r="Q614" s="537"/>
      <c r="R614" s="537"/>
      <c r="S614" s="537"/>
      <c r="T614" s="537"/>
      <c r="U614" s="537"/>
      <c r="V614" s="537"/>
      <c r="W614" s="537"/>
      <c r="X614" s="537"/>
      <c r="Y614" s="537"/>
      <c r="Z614" s="537"/>
    </row>
    <row r="615">
      <c r="A615" s="537"/>
      <c r="B615" s="537"/>
      <c r="C615" s="538"/>
      <c r="D615" s="537"/>
      <c r="E615" s="537"/>
      <c r="F615" s="537"/>
      <c r="G615" s="537"/>
      <c r="H615" s="537"/>
      <c r="I615" s="537"/>
      <c r="J615" s="537"/>
      <c r="K615" s="537"/>
      <c r="L615" s="537"/>
      <c r="M615" s="537"/>
      <c r="N615" s="537"/>
      <c r="O615" s="537"/>
      <c r="P615" s="537"/>
      <c r="Q615" s="537"/>
      <c r="R615" s="537"/>
      <c r="S615" s="537"/>
      <c r="T615" s="537"/>
      <c r="U615" s="537"/>
      <c r="V615" s="537"/>
      <c r="W615" s="537"/>
      <c r="X615" s="537"/>
      <c r="Y615" s="537"/>
      <c r="Z615" s="537"/>
    </row>
    <row r="616">
      <c r="A616" s="537"/>
      <c r="B616" s="537"/>
      <c r="C616" s="538"/>
      <c r="D616" s="537"/>
      <c r="E616" s="537"/>
      <c r="F616" s="537"/>
      <c r="G616" s="537"/>
      <c r="H616" s="537"/>
      <c r="I616" s="537"/>
      <c r="J616" s="537"/>
      <c r="K616" s="537"/>
      <c r="L616" s="537"/>
      <c r="M616" s="537"/>
      <c r="N616" s="537"/>
      <c r="O616" s="537"/>
      <c r="P616" s="537"/>
      <c r="Q616" s="537"/>
      <c r="R616" s="537"/>
      <c r="S616" s="537"/>
      <c r="T616" s="537"/>
      <c r="U616" s="537"/>
      <c r="V616" s="537"/>
      <c r="W616" s="537"/>
      <c r="X616" s="537"/>
      <c r="Y616" s="537"/>
      <c r="Z616" s="537"/>
    </row>
    <row r="617">
      <c r="A617" s="537"/>
      <c r="B617" s="537"/>
      <c r="C617" s="538"/>
      <c r="D617" s="537"/>
      <c r="E617" s="537"/>
      <c r="F617" s="537"/>
      <c r="G617" s="537"/>
      <c r="H617" s="537"/>
      <c r="I617" s="537"/>
      <c r="J617" s="537"/>
      <c r="K617" s="537"/>
      <c r="L617" s="537"/>
      <c r="M617" s="537"/>
      <c r="N617" s="537"/>
      <c r="O617" s="537"/>
      <c r="P617" s="537"/>
      <c r="Q617" s="537"/>
      <c r="R617" s="537"/>
      <c r="S617" s="537"/>
      <c r="T617" s="537"/>
      <c r="U617" s="537"/>
      <c r="V617" s="537"/>
      <c r="W617" s="537"/>
      <c r="X617" s="537"/>
      <c r="Y617" s="537"/>
      <c r="Z617" s="537"/>
    </row>
    <row r="618">
      <c r="A618" s="537"/>
      <c r="B618" s="537"/>
      <c r="C618" s="538"/>
      <c r="D618" s="537"/>
      <c r="E618" s="537"/>
      <c r="F618" s="537"/>
      <c r="G618" s="537"/>
      <c r="H618" s="537"/>
      <c r="I618" s="537"/>
      <c r="J618" s="537"/>
      <c r="K618" s="537"/>
      <c r="L618" s="537"/>
      <c r="M618" s="537"/>
      <c r="N618" s="537"/>
      <c r="O618" s="537"/>
      <c r="P618" s="537"/>
      <c r="Q618" s="537"/>
      <c r="R618" s="537"/>
      <c r="S618" s="537"/>
      <c r="T618" s="537"/>
      <c r="U618" s="537"/>
      <c r="V618" s="537"/>
      <c r="W618" s="537"/>
      <c r="X618" s="537"/>
      <c r="Y618" s="537"/>
      <c r="Z618" s="537"/>
    </row>
    <row r="619">
      <c r="A619" s="537"/>
      <c r="B619" s="537"/>
      <c r="C619" s="538"/>
      <c r="D619" s="537"/>
      <c r="E619" s="537"/>
      <c r="F619" s="537"/>
      <c r="G619" s="537"/>
      <c r="H619" s="537"/>
      <c r="I619" s="537"/>
      <c r="J619" s="537"/>
      <c r="K619" s="537"/>
      <c r="L619" s="537"/>
      <c r="M619" s="537"/>
      <c r="N619" s="537"/>
      <c r="O619" s="537"/>
      <c r="P619" s="537"/>
      <c r="Q619" s="537"/>
      <c r="R619" s="537"/>
      <c r="S619" s="537"/>
      <c r="T619" s="537"/>
      <c r="U619" s="537"/>
      <c r="V619" s="537"/>
      <c r="W619" s="537"/>
      <c r="X619" s="537"/>
      <c r="Y619" s="537"/>
      <c r="Z619" s="537"/>
    </row>
    <row r="620">
      <c r="A620" s="537"/>
      <c r="B620" s="537"/>
      <c r="C620" s="538"/>
      <c r="D620" s="537"/>
      <c r="E620" s="537"/>
      <c r="F620" s="537"/>
      <c r="G620" s="537"/>
      <c r="H620" s="537"/>
      <c r="I620" s="537"/>
      <c r="J620" s="537"/>
      <c r="K620" s="537"/>
      <c r="L620" s="537"/>
      <c r="M620" s="537"/>
      <c r="N620" s="537"/>
      <c r="O620" s="537"/>
      <c r="P620" s="537"/>
      <c r="Q620" s="537"/>
      <c r="R620" s="537"/>
      <c r="S620" s="537"/>
      <c r="T620" s="537"/>
      <c r="U620" s="537"/>
      <c r="V620" s="537"/>
      <c r="W620" s="537"/>
      <c r="X620" s="537"/>
      <c r="Y620" s="537"/>
      <c r="Z620" s="537"/>
    </row>
    <row r="621">
      <c r="A621" s="537"/>
      <c r="B621" s="537"/>
      <c r="C621" s="538"/>
      <c r="D621" s="537"/>
      <c r="E621" s="537"/>
      <c r="F621" s="537"/>
      <c r="G621" s="537"/>
      <c r="H621" s="537"/>
      <c r="I621" s="537"/>
      <c r="J621" s="537"/>
      <c r="K621" s="537"/>
      <c r="L621" s="537"/>
      <c r="M621" s="537"/>
      <c r="N621" s="537"/>
      <c r="O621" s="537"/>
      <c r="P621" s="537"/>
      <c r="Q621" s="537"/>
      <c r="R621" s="537"/>
      <c r="S621" s="537"/>
      <c r="T621" s="537"/>
      <c r="U621" s="537"/>
      <c r="V621" s="537"/>
      <c r="W621" s="537"/>
      <c r="X621" s="537"/>
      <c r="Y621" s="537"/>
      <c r="Z621" s="537"/>
    </row>
    <row r="622">
      <c r="A622" s="537"/>
      <c r="B622" s="537"/>
      <c r="C622" s="538"/>
      <c r="D622" s="537"/>
      <c r="E622" s="537"/>
      <c r="F622" s="537"/>
      <c r="G622" s="537"/>
      <c r="H622" s="537"/>
      <c r="I622" s="537"/>
      <c r="J622" s="537"/>
      <c r="K622" s="537"/>
      <c r="L622" s="537"/>
      <c r="M622" s="537"/>
      <c r="N622" s="537"/>
      <c r="O622" s="537"/>
      <c r="P622" s="537"/>
      <c r="Q622" s="537"/>
      <c r="R622" s="537"/>
      <c r="S622" s="537"/>
      <c r="T622" s="537"/>
      <c r="U622" s="537"/>
      <c r="V622" s="537"/>
      <c r="W622" s="537"/>
      <c r="X622" s="537"/>
      <c r="Y622" s="537"/>
      <c r="Z622" s="537"/>
    </row>
    <row r="623">
      <c r="A623" s="537"/>
      <c r="B623" s="537"/>
      <c r="C623" s="538"/>
      <c r="D623" s="537"/>
      <c r="E623" s="537"/>
      <c r="F623" s="537"/>
      <c r="G623" s="537"/>
      <c r="H623" s="537"/>
      <c r="I623" s="537"/>
      <c r="J623" s="537"/>
      <c r="K623" s="537"/>
      <c r="L623" s="537"/>
      <c r="M623" s="537"/>
      <c r="N623" s="537"/>
      <c r="O623" s="537"/>
      <c r="P623" s="537"/>
      <c r="Q623" s="537"/>
      <c r="R623" s="537"/>
      <c r="S623" s="537"/>
      <c r="T623" s="537"/>
      <c r="U623" s="537"/>
      <c r="V623" s="537"/>
      <c r="W623" s="537"/>
      <c r="X623" s="537"/>
      <c r="Y623" s="537"/>
      <c r="Z623" s="537"/>
    </row>
    <row r="624">
      <c r="A624" s="537"/>
      <c r="B624" s="537"/>
      <c r="C624" s="538"/>
      <c r="D624" s="537"/>
      <c r="E624" s="537"/>
      <c r="F624" s="537"/>
      <c r="G624" s="537"/>
      <c r="H624" s="537"/>
      <c r="I624" s="537"/>
      <c r="J624" s="537"/>
      <c r="K624" s="537"/>
      <c r="L624" s="537"/>
      <c r="M624" s="537"/>
      <c r="N624" s="537"/>
      <c r="O624" s="537"/>
      <c r="P624" s="537"/>
      <c r="Q624" s="537"/>
      <c r="R624" s="537"/>
      <c r="S624" s="537"/>
      <c r="T624" s="537"/>
      <c r="U624" s="537"/>
      <c r="V624" s="537"/>
      <c r="W624" s="537"/>
      <c r="X624" s="537"/>
      <c r="Y624" s="537"/>
      <c r="Z624" s="537"/>
    </row>
    <row r="625">
      <c r="A625" s="537"/>
      <c r="B625" s="537"/>
      <c r="C625" s="538"/>
      <c r="D625" s="537"/>
      <c r="E625" s="537"/>
      <c r="F625" s="537"/>
      <c r="G625" s="537"/>
      <c r="H625" s="537"/>
      <c r="I625" s="537"/>
      <c r="J625" s="537"/>
      <c r="K625" s="537"/>
      <c r="L625" s="537"/>
      <c r="M625" s="537"/>
      <c r="N625" s="537"/>
      <c r="O625" s="537"/>
      <c r="P625" s="537"/>
      <c r="Q625" s="537"/>
      <c r="R625" s="537"/>
      <c r="S625" s="537"/>
      <c r="T625" s="537"/>
      <c r="U625" s="537"/>
      <c r="V625" s="537"/>
      <c r="W625" s="537"/>
      <c r="X625" s="537"/>
      <c r="Y625" s="537"/>
      <c r="Z625" s="537"/>
    </row>
    <row r="626">
      <c r="A626" s="537"/>
      <c r="B626" s="537"/>
      <c r="C626" s="538"/>
      <c r="D626" s="537"/>
      <c r="E626" s="537"/>
      <c r="F626" s="537"/>
      <c r="G626" s="537"/>
      <c r="H626" s="537"/>
      <c r="I626" s="537"/>
      <c r="J626" s="537"/>
      <c r="K626" s="537"/>
      <c r="L626" s="537"/>
      <c r="M626" s="537"/>
      <c r="N626" s="537"/>
      <c r="O626" s="537"/>
      <c r="P626" s="537"/>
      <c r="Q626" s="537"/>
      <c r="R626" s="537"/>
      <c r="S626" s="537"/>
      <c r="T626" s="537"/>
      <c r="U626" s="537"/>
      <c r="V626" s="537"/>
      <c r="W626" s="537"/>
      <c r="X626" s="537"/>
      <c r="Y626" s="537"/>
      <c r="Z626" s="537"/>
    </row>
    <row r="627">
      <c r="A627" s="537"/>
      <c r="B627" s="537"/>
      <c r="C627" s="538"/>
      <c r="D627" s="537"/>
      <c r="E627" s="537"/>
      <c r="F627" s="537"/>
      <c r="G627" s="537"/>
      <c r="H627" s="537"/>
      <c r="I627" s="537"/>
      <c r="J627" s="537"/>
      <c r="K627" s="537"/>
      <c r="L627" s="537"/>
      <c r="M627" s="537"/>
      <c r="N627" s="537"/>
      <c r="O627" s="537"/>
      <c r="P627" s="537"/>
      <c r="Q627" s="537"/>
      <c r="R627" s="537"/>
      <c r="S627" s="537"/>
      <c r="T627" s="537"/>
      <c r="U627" s="537"/>
      <c r="V627" s="537"/>
      <c r="W627" s="537"/>
      <c r="X627" s="537"/>
      <c r="Y627" s="537"/>
      <c r="Z627" s="537"/>
    </row>
    <row r="628">
      <c r="A628" s="537"/>
      <c r="B628" s="537"/>
      <c r="C628" s="538"/>
      <c r="D628" s="537"/>
      <c r="E628" s="537"/>
      <c r="F628" s="537"/>
      <c r="G628" s="537"/>
      <c r="H628" s="537"/>
      <c r="I628" s="537"/>
      <c r="J628" s="537"/>
      <c r="K628" s="537"/>
      <c r="L628" s="537"/>
      <c r="M628" s="537"/>
      <c r="N628" s="537"/>
      <c r="O628" s="537"/>
      <c r="P628" s="537"/>
      <c r="Q628" s="537"/>
      <c r="R628" s="537"/>
      <c r="S628" s="537"/>
      <c r="T628" s="537"/>
      <c r="U628" s="537"/>
      <c r="V628" s="537"/>
      <c r="W628" s="537"/>
      <c r="X628" s="537"/>
      <c r="Y628" s="537"/>
      <c r="Z628" s="537"/>
    </row>
    <row r="629">
      <c r="A629" s="537"/>
      <c r="B629" s="537"/>
      <c r="C629" s="538"/>
      <c r="D629" s="537"/>
      <c r="E629" s="537"/>
      <c r="F629" s="537"/>
      <c r="G629" s="537"/>
      <c r="H629" s="537"/>
      <c r="I629" s="537"/>
      <c r="J629" s="537"/>
      <c r="K629" s="537"/>
      <c r="L629" s="537"/>
      <c r="M629" s="537"/>
      <c r="N629" s="537"/>
      <c r="O629" s="537"/>
      <c r="P629" s="537"/>
      <c r="Q629" s="537"/>
      <c r="R629" s="537"/>
      <c r="S629" s="537"/>
      <c r="T629" s="537"/>
      <c r="U629" s="537"/>
      <c r="V629" s="537"/>
      <c r="W629" s="537"/>
      <c r="X629" s="537"/>
      <c r="Y629" s="537"/>
      <c r="Z629" s="537"/>
    </row>
    <row r="630">
      <c r="A630" s="537"/>
      <c r="B630" s="537"/>
      <c r="C630" s="538"/>
      <c r="D630" s="537"/>
      <c r="E630" s="537"/>
      <c r="F630" s="537"/>
      <c r="G630" s="537"/>
      <c r="H630" s="537"/>
      <c r="I630" s="537"/>
      <c r="J630" s="537"/>
      <c r="K630" s="537"/>
      <c r="L630" s="537"/>
      <c r="M630" s="537"/>
      <c r="N630" s="537"/>
      <c r="O630" s="537"/>
      <c r="P630" s="537"/>
      <c r="Q630" s="537"/>
      <c r="R630" s="537"/>
      <c r="S630" s="537"/>
      <c r="T630" s="537"/>
      <c r="U630" s="537"/>
      <c r="V630" s="537"/>
      <c r="W630" s="537"/>
      <c r="X630" s="537"/>
      <c r="Y630" s="537"/>
      <c r="Z630" s="537"/>
    </row>
    <row r="631">
      <c r="A631" s="537"/>
      <c r="B631" s="537"/>
      <c r="C631" s="538"/>
      <c r="D631" s="537"/>
      <c r="E631" s="537"/>
      <c r="F631" s="537"/>
      <c r="G631" s="537"/>
      <c r="H631" s="537"/>
      <c r="I631" s="537"/>
      <c r="J631" s="537"/>
      <c r="K631" s="537"/>
      <c r="L631" s="537"/>
      <c r="M631" s="537"/>
      <c r="N631" s="537"/>
      <c r="O631" s="537"/>
      <c r="P631" s="537"/>
      <c r="Q631" s="537"/>
      <c r="R631" s="537"/>
      <c r="S631" s="537"/>
      <c r="T631" s="537"/>
      <c r="U631" s="537"/>
      <c r="V631" s="537"/>
      <c r="W631" s="537"/>
      <c r="X631" s="537"/>
      <c r="Y631" s="537"/>
      <c r="Z631" s="537"/>
    </row>
    <row r="632">
      <c r="A632" s="537"/>
      <c r="B632" s="537"/>
      <c r="C632" s="538"/>
      <c r="D632" s="537"/>
      <c r="E632" s="537"/>
      <c r="F632" s="537"/>
      <c r="G632" s="537"/>
      <c r="H632" s="537"/>
      <c r="I632" s="537"/>
      <c r="J632" s="537"/>
      <c r="K632" s="537"/>
      <c r="L632" s="537"/>
      <c r="M632" s="537"/>
      <c r="N632" s="537"/>
      <c r="O632" s="537"/>
      <c r="P632" s="537"/>
      <c r="Q632" s="537"/>
      <c r="R632" s="537"/>
      <c r="S632" s="537"/>
      <c r="T632" s="537"/>
      <c r="U632" s="537"/>
      <c r="V632" s="537"/>
      <c r="W632" s="537"/>
      <c r="X632" s="537"/>
      <c r="Y632" s="537"/>
      <c r="Z632" s="537"/>
    </row>
    <row r="633">
      <c r="A633" s="537"/>
      <c r="B633" s="537"/>
      <c r="C633" s="538"/>
      <c r="D633" s="537"/>
      <c r="E633" s="537"/>
      <c r="F633" s="537"/>
      <c r="G633" s="537"/>
      <c r="H633" s="537"/>
      <c r="I633" s="537"/>
      <c r="J633" s="537"/>
      <c r="K633" s="537"/>
      <c r="L633" s="537"/>
      <c r="M633" s="537"/>
      <c r="N633" s="537"/>
      <c r="O633" s="537"/>
      <c r="P633" s="537"/>
      <c r="Q633" s="537"/>
      <c r="R633" s="537"/>
      <c r="S633" s="537"/>
      <c r="T633" s="537"/>
      <c r="U633" s="537"/>
      <c r="V633" s="537"/>
      <c r="W633" s="537"/>
      <c r="X633" s="537"/>
      <c r="Y633" s="537"/>
      <c r="Z633" s="537"/>
    </row>
    <row r="634">
      <c r="A634" s="537"/>
      <c r="B634" s="537"/>
      <c r="C634" s="538"/>
      <c r="D634" s="537"/>
      <c r="E634" s="537"/>
      <c r="F634" s="537"/>
      <c r="G634" s="537"/>
      <c r="H634" s="537"/>
      <c r="I634" s="537"/>
      <c r="J634" s="537"/>
      <c r="K634" s="537"/>
      <c r="L634" s="537"/>
      <c r="M634" s="537"/>
      <c r="N634" s="537"/>
      <c r="O634" s="537"/>
      <c r="P634" s="537"/>
      <c r="Q634" s="537"/>
      <c r="R634" s="537"/>
      <c r="S634" s="537"/>
      <c r="T634" s="537"/>
      <c r="U634" s="537"/>
      <c r="V634" s="537"/>
      <c r="W634" s="537"/>
      <c r="X634" s="537"/>
      <c r="Y634" s="537"/>
      <c r="Z634" s="537"/>
    </row>
    <row r="635">
      <c r="A635" s="537"/>
      <c r="B635" s="537"/>
      <c r="C635" s="538"/>
      <c r="D635" s="537"/>
      <c r="E635" s="537"/>
      <c r="F635" s="537"/>
      <c r="G635" s="537"/>
      <c r="H635" s="537"/>
      <c r="I635" s="537"/>
      <c r="J635" s="537"/>
      <c r="K635" s="537"/>
      <c r="L635" s="537"/>
      <c r="M635" s="537"/>
      <c r="N635" s="537"/>
      <c r="O635" s="537"/>
      <c r="P635" s="537"/>
      <c r="Q635" s="537"/>
      <c r="R635" s="537"/>
      <c r="S635" s="537"/>
      <c r="T635" s="537"/>
      <c r="U635" s="537"/>
      <c r="V635" s="537"/>
      <c r="W635" s="537"/>
      <c r="X635" s="537"/>
      <c r="Y635" s="537"/>
      <c r="Z635" s="537"/>
    </row>
    <row r="636">
      <c r="A636" s="537"/>
      <c r="B636" s="537"/>
      <c r="C636" s="538"/>
      <c r="D636" s="537"/>
      <c r="E636" s="537"/>
      <c r="F636" s="537"/>
      <c r="G636" s="537"/>
      <c r="H636" s="537"/>
      <c r="I636" s="537"/>
      <c r="J636" s="537"/>
      <c r="K636" s="537"/>
      <c r="L636" s="537"/>
      <c r="M636" s="537"/>
      <c r="N636" s="537"/>
      <c r="O636" s="537"/>
      <c r="P636" s="537"/>
      <c r="Q636" s="537"/>
      <c r="R636" s="537"/>
      <c r="S636" s="537"/>
      <c r="T636" s="537"/>
      <c r="U636" s="537"/>
      <c r="V636" s="537"/>
      <c r="W636" s="537"/>
      <c r="X636" s="537"/>
      <c r="Y636" s="537"/>
      <c r="Z636" s="537"/>
    </row>
    <row r="637">
      <c r="A637" s="537"/>
      <c r="B637" s="537"/>
      <c r="C637" s="538"/>
      <c r="D637" s="537"/>
      <c r="E637" s="537"/>
      <c r="F637" s="537"/>
      <c r="G637" s="537"/>
      <c r="H637" s="537"/>
      <c r="I637" s="537"/>
      <c r="J637" s="537"/>
      <c r="K637" s="537"/>
      <c r="L637" s="537"/>
      <c r="M637" s="537"/>
      <c r="N637" s="537"/>
      <c r="O637" s="537"/>
      <c r="P637" s="537"/>
      <c r="Q637" s="537"/>
      <c r="R637" s="537"/>
      <c r="S637" s="537"/>
      <c r="T637" s="537"/>
      <c r="U637" s="537"/>
      <c r="V637" s="537"/>
      <c r="W637" s="537"/>
      <c r="X637" s="537"/>
      <c r="Y637" s="537"/>
      <c r="Z637" s="537"/>
    </row>
    <row r="638">
      <c r="A638" s="537"/>
      <c r="B638" s="537"/>
      <c r="C638" s="538"/>
      <c r="D638" s="537"/>
      <c r="E638" s="537"/>
      <c r="F638" s="537"/>
      <c r="G638" s="537"/>
      <c r="H638" s="537"/>
      <c r="I638" s="537"/>
      <c r="J638" s="537"/>
      <c r="K638" s="537"/>
      <c r="L638" s="537"/>
      <c r="M638" s="537"/>
      <c r="N638" s="537"/>
      <c r="O638" s="537"/>
      <c r="P638" s="537"/>
      <c r="Q638" s="537"/>
      <c r="R638" s="537"/>
      <c r="S638" s="537"/>
      <c r="T638" s="537"/>
      <c r="U638" s="537"/>
      <c r="V638" s="537"/>
      <c r="W638" s="537"/>
      <c r="X638" s="537"/>
      <c r="Y638" s="537"/>
      <c r="Z638" s="537"/>
    </row>
    <row r="639">
      <c r="A639" s="537"/>
      <c r="B639" s="537"/>
      <c r="C639" s="538"/>
      <c r="D639" s="537"/>
      <c r="E639" s="537"/>
      <c r="F639" s="537"/>
      <c r="G639" s="537"/>
      <c r="H639" s="537"/>
      <c r="I639" s="537"/>
      <c r="J639" s="537"/>
      <c r="K639" s="537"/>
      <c r="L639" s="537"/>
      <c r="M639" s="537"/>
      <c r="N639" s="537"/>
      <c r="O639" s="537"/>
      <c r="P639" s="537"/>
      <c r="Q639" s="537"/>
      <c r="R639" s="537"/>
      <c r="S639" s="537"/>
      <c r="T639" s="537"/>
      <c r="U639" s="537"/>
      <c r="V639" s="537"/>
      <c r="W639" s="537"/>
      <c r="X639" s="537"/>
      <c r="Y639" s="537"/>
      <c r="Z639" s="537"/>
    </row>
    <row r="640">
      <c r="A640" s="537"/>
      <c r="B640" s="537"/>
      <c r="C640" s="538"/>
      <c r="D640" s="537"/>
      <c r="E640" s="537"/>
      <c r="F640" s="537"/>
      <c r="G640" s="537"/>
      <c r="H640" s="537"/>
      <c r="I640" s="537"/>
      <c r="J640" s="537"/>
      <c r="K640" s="537"/>
      <c r="L640" s="537"/>
      <c r="M640" s="537"/>
      <c r="N640" s="537"/>
      <c r="O640" s="537"/>
      <c r="P640" s="537"/>
      <c r="Q640" s="537"/>
      <c r="R640" s="537"/>
      <c r="S640" s="537"/>
      <c r="T640" s="537"/>
      <c r="U640" s="537"/>
      <c r="V640" s="537"/>
      <c r="W640" s="537"/>
      <c r="X640" s="537"/>
      <c r="Y640" s="537"/>
      <c r="Z640" s="537"/>
    </row>
    <row r="641">
      <c r="A641" s="537"/>
      <c r="B641" s="537"/>
      <c r="C641" s="538"/>
      <c r="D641" s="537"/>
      <c r="E641" s="537"/>
      <c r="F641" s="537"/>
      <c r="G641" s="537"/>
      <c r="H641" s="537"/>
      <c r="I641" s="537"/>
      <c r="J641" s="537"/>
      <c r="K641" s="537"/>
      <c r="L641" s="537"/>
      <c r="M641" s="537"/>
      <c r="N641" s="537"/>
      <c r="O641" s="537"/>
      <c r="P641" s="537"/>
      <c r="Q641" s="537"/>
      <c r="R641" s="537"/>
      <c r="S641" s="537"/>
      <c r="T641" s="537"/>
      <c r="U641" s="537"/>
      <c r="V641" s="537"/>
      <c r="W641" s="537"/>
      <c r="X641" s="537"/>
      <c r="Y641" s="537"/>
      <c r="Z641" s="537"/>
    </row>
    <row r="642">
      <c r="A642" s="537"/>
      <c r="B642" s="537"/>
      <c r="C642" s="538"/>
      <c r="D642" s="537"/>
      <c r="E642" s="537"/>
      <c r="F642" s="537"/>
      <c r="G642" s="537"/>
      <c r="H642" s="537"/>
      <c r="I642" s="537"/>
      <c r="J642" s="537"/>
      <c r="K642" s="537"/>
      <c r="L642" s="537"/>
      <c r="M642" s="537"/>
      <c r="N642" s="537"/>
      <c r="O642" s="537"/>
      <c r="P642" s="537"/>
      <c r="Q642" s="537"/>
      <c r="R642" s="537"/>
      <c r="S642" s="537"/>
      <c r="T642" s="537"/>
      <c r="U642" s="537"/>
      <c r="V642" s="537"/>
      <c r="W642" s="537"/>
      <c r="X642" s="537"/>
      <c r="Y642" s="537"/>
      <c r="Z642" s="537"/>
    </row>
    <row r="643">
      <c r="A643" s="537"/>
      <c r="B643" s="537"/>
      <c r="C643" s="538"/>
      <c r="D643" s="537"/>
      <c r="E643" s="537"/>
      <c r="F643" s="537"/>
      <c r="G643" s="537"/>
      <c r="H643" s="537"/>
      <c r="I643" s="537"/>
      <c r="J643" s="537"/>
      <c r="K643" s="537"/>
      <c r="L643" s="537"/>
      <c r="M643" s="537"/>
      <c r="N643" s="537"/>
      <c r="O643" s="537"/>
      <c r="P643" s="537"/>
      <c r="Q643" s="537"/>
      <c r="R643" s="537"/>
      <c r="S643" s="537"/>
      <c r="T643" s="537"/>
      <c r="U643" s="537"/>
      <c r="V643" s="537"/>
      <c r="W643" s="537"/>
      <c r="X643" s="537"/>
      <c r="Y643" s="537"/>
      <c r="Z643" s="537"/>
    </row>
    <row r="644">
      <c r="A644" s="537"/>
      <c r="B644" s="537"/>
      <c r="C644" s="538"/>
      <c r="D644" s="537"/>
      <c r="E644" s="537"/>
      <c r="F644" s="537"/>
      <c r="G644" s="537"/>
      <c r="H644" s="537"/>
      <c r="I644" s="537"/>
      <c r="J644" s="537"/>
      <c r="K644" s="537"/>
      <c r="L644" s="537"/>
      <c r="M644" s="537"/>
      <c r="N644" s="537"/>
      <c r="O644" s="537"/>
      <c r="P644" s="537"/>
      <c r="Q644" s="537"/>
      <c r="R644" s="537"/>
      <c r="S644" s="537"/>
      <c r="T644" s="537"/>
      <c r="U644" s="537"/>
      <c r="V644" s="537"/>
      <c r="W644" s="537"/>
      <c r="X644" s="537"/>
      <c r="Y644" s="537"/>
      <c r="Z644" s="537"/>
    </row>
    <row r="645">
      <c r="A645" s="537"/>
      <c r="B645" s="537"/>
      <c r="C645" s="538"/>
      <c r="D645" s="537"/>
      <c r="E645" s="537"/>
      <c r="F645" s="537"/>
      <c r="G645" s="537"/>
      <c r="H645" s="537"/>
      <c r="I645" s="537"/>
      <c r="J645" s="537"/>
      <c r="K645" s="537"/>
      <c r="L645" s="537"/>
      <c r="M645" s="537"/>
      <c r="N645" s="537"/>
      <c r="O645" s="537"/>
      <c r="P645" s="537"/>
      <c r="Q645" s="537"/>
      <c r="R645" s="537"/>
      <c r="S645" s="537"/>
      <c r="T645" s="537"/>
      <c r="U645" s="537"/>
      <c r="V645" s="537"/>
      <c r="W645" s="537"/>
      <c r="X645" s="537"/>
      <c r="Y645" s="537"/>
      <c r="Z645" s="537"/>
    </row>
    <row r="646">
      <c r="A646" s="537"/>
      <c r="B646" s="537"/>
      <c r="C646" s="538"/>
      <c r="D646" s="537"/>
      <c r="E646" s="537"/>
      <c r="F646" s="537"/>
      <c r="G646" s="537"/>
      <c r="H646" s="537"/>
      <c r="I646" s="537"/>
      <c r="J646" s="537"/>
      <c r="K646" s="537"/>
      <c r="L646" s="537"/>
      <c r="M646" s="537"/>
      <c r="N646" s="537"/>
      <c r="O646" s="537"/>
      <c r="P646" s="537"/>
      <c r="Q646" s="537"/>
      <c r="R646" s="537"/>
      <c r="S646" s="537"/>
      <c r="T646" s="537"/>
      <c r="U646" s="537"/>
      <c r="V646" s="537"/>
      <c r="W646" s="537"/>
      <c r="X646" s="537"/>
      <c r="Y646" s="537"/>
      <c r="Z646" s="537"/>
    </row>
    <row r="647">
      <c r="A647" s="537"/>
      <c r="B647" s="537"/>
      <c r="C647" s="538"/>
      <c r="D647" s="537"/>
      <c r="E647" s="537"/>
      <c r="F647" s="537"/>
      <c r="G647" s="537"/>
      <c r="H647" s="537"/>
      <c r="I647" s="537"/>
      <c r="J647" s="537"/>
      <c r="K647" s="537"/>
      <c r="L647" s="537"/>
      <c r="M647" s="537"/>
      <c r="N647" s="537"/>
      <c r="O647" s="537"/>
      <c r="P647" s="537"/>
      <c r="Q647" s="537"/>
      <c r="R647" s="537"/>
      <c r="S647" s="537"/>
      <c r="T647" s="537"/>
      <c r="U647" s="537"/>
      <c r="V647" s="537"/>
      <c r="W647" s="537"/>
      <c r="X647" s="537"/>
      <c r="Y647" s="537"/>
      <c r="Z647" s="537"/>
    </row>
    <row r="648">
      <c r="A648" s="537"/>
      <c r="B648" s="537"/>
      <c r="C648" s="538"/>
      <c r="D648" s="537"/>
      <c r="E648" s="537"/>
      <c r="F648" s="537"/>
      <c r="G648" s="537"/>
      <c r="H648" s="537"/>
      <c r="I648" s="537"/>
      <c r="J648" s="537"/>
      <c r="K648" s="537"/>
      <c r="L648" s="537"/>
      <c r="M648" s="537"/>
      <c r="N648" s="537"/>
      <c r="O648" s="537"/>
      <c r="P648" s="537"/>
      <c r="Q648" s="537"/>
      <c r="R648" s="537"/>
      <c r="S648" s="537"/>
      <c r="T648" s="537"/>
      <c r="U648" s="537"/>
      <c r="V648" s="537"/>
      <c r="W648" s="537"/>
      <c r="X648" s="537"/>
      <c r="Y648" s="537"/>
      <c r="Z648" s="537"/>
    </row>
    <row r="649">
      <c r="A649" s="537"/>
      <c r="B649" s="537"/>
      <c r="C649" s="538"/>
      <c r="D649" s="537"/>
      <c r="E649" s="537"/>
      <c r="F649" s="537"/>
      <c r="G649" s="537"/>
      <c r="H649" s="537"/>
      <c r="I649" s="537"/>
      <c r="J649" s="537"/>
      <c r="K649" s="537"/>
      <c r="L649" s="537"/>
      <c r="M649" s="537"/>
      <c r="N649" s="537"/>
      <c r="O649" s="537"/>
      <c r="P649" s="537"/>
      <c r="Q649" s="537"/>
      <c r="R649" s="537"/>
      <c r="S649" s="537"/>
      <c r="T649" s="537"/>
      <c r="U649" s="537"/>
      <c r="V649" s="537"/>
      <c r="W649" s="537"/>
      <c r="X649" s="537"/>
      <c r="Y649" s="537"/>
      <c r="Z649" s="537"/>
    </row>
    <row r="650">
      <c r="A650" s="537"/>
      <c r="B650" s="537"/>
      <c r="C650" s="538"/>
      <c r="D650" s="537"/>
      <c r="E650" s="537"/>
      <c r="F650" s="537"/>
      <c r="G650" s="537"/>
      <c r="H650" s="537"/>
      <c r="I650" s="537"/>
      <c r="J650" s="537"/>
      <c r="K650" s="537"/>
      <c r="L650" s="537"/>
      <c r="M650" s="537"/>
      <c r="N650" s="537"/>
      <c r="O650" s="537"/>
      <c r="P650" s="537"/>
      <c r="Q650" s="537"/>
      <c r="R650" s="537"/>
      <c r="S650" s="537"/>
      <c r="T650" s="537"/>
      <c r="U650" s="537"/>
      <c r="V650" s="537"/>
      <c r="W650" s="537"/>
      <c r="X650" s="537"/>
      <c r="Y650" s="537"/>
      <c r="Z650" s="537"/>
    </row>
    <row r="651">
      <c r="A651" s="537"/>
      <c r="B651" s="537"/>
      <c r="C651" s="538"/>
      <c r="D651" s="537"/>
      <c r="E651" s="537"/>
      <c r="F651" s="537"/>
      <c r="G651" s="537"/>
      <c r="H651" s="537"/>
      <c r="I651" s="537"/>
      <c r="J651" s="537"/>
      <c r="K651" s="537"/>
      <c r="L651" s="537"/>
      <c r="M651" s="537"/>
      <c r="N651" s="537"/>
      <c r="O651" s="537"/>
      <c r="P651" s="537"/>
      <c r="Q651" s="537"/>
      <c r="R651" s="537"/>
      <c r="S651" s="537"/>
      <c r="T651" s="537"/>
      <c r="U651" s="537"/>
      <c r="V651" s="537"/>
      <c r="W651" s="537"/>
      <c r="X651" s="537"/>
      <c r="Y651" s="537"/>
      <c r="Z651" s="537"/>
    </row>
    <row r="652">
      <c r="A652" s="537"/>
      <c r="B652" s="537"/>
      <c r="C652" s="538"/>
      <c r="D652" s="537"/>
      <c r="E652" s="537"/>
      <c r="F652" s="537"/>
      <c r="G652" s="537"/>
      <c r="H652" s="537"/>
      <c r="I652" s="537"/>
      <c r="J652" s="537"/>
      <c r="K652" s="537"/>
      <c r="L652" s="537"/>
      <c r="M652" s="537"/>
      <c r="N652" s="537"/>
      <c r="O652" s="537"/>
      <c r="P652" s="537"/>
      <c r="Q652" s="537"/>
      <c r="R652" s="537"/>
      <c r="S652" s="537"/>
      <c r="T652" s="537"/>
      <c r="U652" s="537"/>
      <c r="V652" s="537"/>
      <c r="W652" s="537"/>
      <c r="X652" s="537"/>
      <c r="Y652" s="537"/>
      <c r="Z652" s="537"/>
    </row>
    <row r="653">
      <c r="A653" s="537"/>
      <c r="B653" s="537"/>
      <c r="C653" s="538"/>
      <c r="D653" s="537"/>
      <c r="E653" s="537"/>
      <c r="F653" s="537"/>
      <c r="G653" s="537"/>
      <c r="H653" s="537"/>
      <c r="I653" s="537"/>
      <c r="J653" s="537"/>
      <c r="K653" s="537"/>
      <c r="L653" s="537"/>
      <c r="M653" s="537"/>
      <c r="N653" s="537"/>
      <c r="O653" s="537"/>
      <c r="P653" s="537"/>
      <c r="Q653" s="537"/>
      <c r="R653" s="537"/>
      <c r="S653" s="537"/>
      <c r="T653" s="537"/>
      <c r="U653" s="537"/>
      <c r="V653" s="537"/>
      <c r="W653" s="537"/>
      <c r="X653" s="537"/>
      <c r="Y653" s="537"/>
      <c r="Z653" s="537"/>
    </row>
    <row r="654">
      <c r="A654" s="537"/>
      <c r="B654" s="537"/>
      <c r="C654" s="538"/>
      <c r="D654" s="537"/>
      <c r="E654" s="537"/>
      <c r="F654" s="537"/>
      <c r="G654" s="537"/>
      <c r="H654" s="537"/>
      <c r="I654" s="537"/>
      <c r="J654" s="537"/>
      <c r="K654" s="537"/>
      <c r="L654" s="537"/>
      <c r="M654" s="537"/>
      <c r="N654" s="537"/>
      <c r="O654" s="537"/>
      <c r="P654" s="537"/>
      <c r="Q654" s="537"/>
      <c r="R654" s="537"/>
      <c r="S654" s="537"/>
      <c r="T654" s="537"/>
      <c r="U654" s="537"/>
      <c r="V654" s="537"/>
      <c r="W654" s="537"/>
      <c r="X654" s="537"/>
      <c r="Y654" s="537"/>
      <c r="Z654" s="537"/>
    </row>
    <row r="655">
      <c r="A655" s="537"/>
      <c r="B655" s="537"/>
      <c r="C655" s="538"/>
      <c r="D655" s="537"/>
      <c r="E655" s="537"/>
      <c r="F655" s="537"/>
      <c r="G655" s="537"/>
      <c r="H655" s="537"/>
      <c r="I655" s="537"/>
      <c r="J655" s="537"/>
      <c r="K655" s="537"/>
      <c r="L655" s="537"/>
      <c r="M655" s="537"/>
      <c r="N655" s="537"/>
      <c r="O655" s="537"/>
      <c r="P655" s="537"/>
      <c r="Q655" s="537"/>
      <c r="R655" s="537"/>
      <c r="S655" s="537"/>
      <c r="T655" s="537"/>
      <c r="U655" s="537"/>
      <c r="V655" s="537"/>
      <c r="W655" s="537"/>
      <c r="X655" s="537"/>
      <c r="Y655" s="537"/>
      <c r="Z655" s="537"/>
    </row>
    <row r="656">
      <c r="A656" s="537"/>
      <c r="B656" s="537"/>
      <c r="C656" s="538"/>
      <c r="D656" s="537"/>
      <c r="E656" s="537"/>
      <c r="F656" s="537"/>
      <c r="G656" s="537"/>
      <c r="H656" s="537"/>
      <c r="I656" s="537"/>
      <c r="J656" s="537"/>
      <c r="K656" s="537"/>
      <c r="L656" s="537"/>
      <c r="M656" s="537"/>
      <c r="N656" s="537"/>
      <c r="O656" s="537"/>
      <c r="P656" s="537"/>
      <c r="Q656" s="537"/>
      <c r="R656" s="537"/>
      <c r="S656" s="537"/>
      <c r="T656" s="537"/>
      <c r="U656" s="537"/>
      <c r="V656" s="537"/>
      <c r="W656" s="537"/>
      <c r="X656" s="537"/>
      <c r="Y656" s="537"/>
      <c r="Z656" s="537"/>
    </row>
    <row r="657">
      <c r="A657" s="537"/>
      <c r="B657" s="537"/>
      <c r="C657" s="538"/>
      <c r="D657" s="537"/>
      <c r="E657" s="537"/>
      <c r="F657" s="537"/>
      <c r="G657" s="537"/>
      <c r="H657" s="537"/>
      <c r="I657" s="537"/>
      <c r="J657" s="537"/>
      <c r="K657" s="537"/>
      <c r="L657" s="537"/>
      <c r="M657" s="537"/>
      <c r="N657" s="537"/>
      <c r="O657" s="537"/>
      <c r="P657" s="537"/>
      <c r="Q657" s="537"/>
      <c r="R657" s="537"/>
      <c r="S657" s="537"/>
      <c r="T657" s="537"/>
      <c r="U657" s="537"/>
      <c r="V657" s="537"/>
      <c r="W657" s="537"/>
      <c r="X657" s="537"/>
      <c r="Y657" s="537"/>
      <c r="Z657" s="537"/>
    </row>
    <row r="658">
      <c r="A658" s="537"/>
      <c r="B658" s="537"/>
      <c r="C658" s="538"/>
      <c r="D658" s="537"/>
      <c r="E658" s="537"/>
      <c r="F658" s="537"/>
      <c r="G658" s="537"/>
      <c r="H658" s="537"/>
      <c r="I658" s="537"/>
      <c r="J658" s="537"/>
      <c r="K658" s="537"/>
      <c r="L658" s="537"/>
      <c r="M658" s="537"/>
      <c r="N658" s="537"/>
      <c r="O658" s="537"/>
      <c r="P658" s="537"/>
      <c r="Q658" s="537"/>
      <c r="R658" s="537"/>
      <c r="S658" s="537"/>
      <c r="T658" s="537"/>
      <c r="U658" s="537"/>
      <c r="V658" s="537"/>
      <c r="W658" s="537"/>
      <c r="X658" s="537"/>
      <c r="Y658" s="537"/>
      <c r="Z658" s="537"/>
    </row>
    <row r="659">
      <c r="A659" s="537"/>
      <c r="B659" s="537"/>
      <c r="C659" s="538"/>
      <c r="D659" s="537"/>
      <c r="E659" s="537"/>
      <c r="F659" s="537"/>
      <c r="G659" s="537"/>
      <c r="H659" s="537"/>
      <c r="I659" s="537"/>
      <c r="J659" s="537"/>
      <c r="K659" s="537"/>
      <c r="L659" s="537"/>
      <c r="M659" s="537"/>
      <c r="N659" s="537"/>
      <c r="O659" s="537"/>
      <c r="P659" s="537"/>
      <c r="Q659" s="537"/>
      <c r="R659" s="537"/>
      <c r="S659" s="537"/>
      <c r="T659" s="537"/>
      <c r="U659" s="537"/>
      <c r="V659" s="537"/>
      <c r="W659" s="537"/>
      <c r="X659" s="537"/>
      <c r="Y659" s="537"/>
      <c r="Z659" s="537"/>
    </row>
    <row r="660">
      <c r="A660" s="537"/>
      <c r="B660" s="537"/>
      <c r="C660" s="538"/>
      <c r="D660" s="537"/>
      <c r="E660" s="537"/>
      <c r="F660" s="537"/>
      <c r="G660" s="537"/>
      <c r="H660" s="537"/>
      <c r="I660" s="537"/>
      <c r="J660" s="537"/>
      <c r="K660" s="537"/>
      <c r="L660" s="537"/>
      <c r="M660" s="537"/>
      <c r="N660" s="537"/>
      <c r="O660" s="537"/>
      <c r="P660" s="537"/>
      <c r="Q660" s="537"/>
      <c r="R660" s="537"/>
      <c r="S660" s="537"/>
      <c r="T660" s="537"/>
      <c r="U660" s="537"/>
      <c r="V660" s="537"/>
      <c r="W660" s="537"/>
      <c r="X660" s="537"/>
      <c r="Y660" s="537"/>
      <c r="Z660" s="537"/>
    </row>
    <row r="661">
      <c r="A661" s="537"/>
      <c r="B661" s="537"/>
      <c r="C661" s="538"/>
      <c r="D661" s="537"/>
      <c r="E661" s="537"/>
      <c r="F661" s="537"/>
      <c r="G661" s="537"/>
      <c r="H661" s="537"/>
      <c r="I661" s="537"/>
      <c r="J661" s="537"/>
      <c r="K661" s="537"/>
      <c r="L661" s="537"/>
      <c r="M661" s="537"/>
      <c r="N661" s="537"/>
      <c r="O661" s="537"/>
      <c r="P661" s="537"/>
      <c r="Q661" s="537"/>
      <c r="R661" s="537"/>
      <c r="S661" s="537"/>
      <c r="T661" s="537"/>
      <c r="U661" s="537"/>
      <c r="V661" s="537"/>
      <c r="W661" s="537"/>
      <c r="X661" s="537"/>
      <c r="Y661" s="537"/>
      <c r="Z661" s="537"/>
    </row>
    <row r="662">
      <c r="A662" s="537"/>
      <c r="B662" s="537"/>
      <c r="C662" s="538"/>
      <c r="D662" s="537"/>
      <c r="E662" s="537"/>
      <c r="F662" s="537"/>
      <c r="G662" s="537"/>
      <c r="H662" s="537"/>
      <c r="I662" s="537"/>
      <c r="J662" s="537"/>
      <c r="K662" s="537"/>
      <c r="L662" s="537"/>
      <c r="M662" s="537"/>
      <c r="N662" s="537"/>
      <c r="O662" s="537"/>
      <c r="P662" s="537"/>
      <c r="Q662" s="537"/>
      <c r="R662" s="537"/>
      <c r="S662" s="537"/>
      <c r="T662" s="537"/>
      <c r="U662" s="537"/>
      <c r="V662" s="537"/>
      <c r="W662" s="537"/>
      <c r="X662" s="537"/>
      <c r="Y662" s="537"/>
      <c r="Z662" s="537"/>
    </row>
    <row r="663">
      <c r="A663" s="537"/>
      <c r="B663" s="537"/>
      <c r="C663" s="538"/>
      <c r="D663" s="537"/>
      <c r="E663" s="537"/>
      <c r="F663" s="537"/>
      <c r="G663" s="537"/>
      <c r="H663" s="537"/>
      <c r="I663" s="537"/>
      <c r="J663" s="537"/>
      <c r="K663" s="537"/>
      <c r="L663" s="537"/>
      <c r="M663" s="537"/>
      <c r="N663" s="537"/>
      <c r="O663" s="537"/>
      <c r="P663" s="537"/>
      <c r="Q663" s="537"/>
      <c r="R663" s="537"/>
      <c r="S663" s="537"/>
      <c r="T663" s="537"/>
      <c r="U663" s="537"/>
      <c r="V663" s="537"/>
      <c r="W663" s="537"/>
      <c r="X663" s="537"/>
      <c r="Y663" s="537"/>
      <c r="Z663" s="537"/>
    </row>
    <row r="664">
      <c r="A664" s="537"/>
      <c r="B664" s="537"/>
      <c r="C664" s="538"/>
      <c r="D664" s="537"/>
      <c r="E664" s="537"/>
      <c r="F664" s="537"/>
      <c r="G664" s="537"/>
      <c r="H664" s="537"/>
      <c r="I664" s="537"/>
      <c r="J664" s="537"/>
      <c r="K664" s="537"/>
      <c r="L664" s="537"/>
      <c r="M664" s="537"/>
      <c r="N664" s="537"/>
      <c r="O664" s="537"/>
      <c r="P664" s="537"/>
      <c r="Q664" s="537"/>
      <c r="R664" s="537"/>
      <c r="S664" s="537"/>
      <c r="T664" s="537"/>
      <c r="U664" s="537"/>
      <c r="V664" s="537"/>
      <c r="W664" s="537"/>
      <c r="X664" s="537"/>
      <c r="Y664" s="537"/>
      <c r="Z664" s="537"/>
    </row>
    <row r="665">
      <c r="A665" s="537"/>
      <c r="B665" s="537"/>
      <c r="C665" s="538"/>
      <c r="D665" s="537"/>
      <c r="E665" s="537"/>
      <c r="F665" s="537"/>
      <c r="G665" s="537"/>
      <c r="H665" s="537"/>
      <c r="I665" s="537"/>
      <c r="J665" s="537"/>
      <c r="K665" s="537"/>
      <c r="L665" s="537"/>
      <c r="M665" s="537"/>
      <c r="N665" s="537"/>
      <c r="O665" s="537"/>
      <c r="P665" s="537"/>
      <c r="Q665" s="537"/>
      <c r="R665" s="537"/>
      <c r="S665" s="537"/>
      <c r="T665" s="537"/>
      <c r="U665" s="537"/>
      <c r="V665" s="537"/>
      <c r="W665" s="537"/>
      <c r="X665" s="537"/>
      <c r="Y665" s="537"/>
      <c r="Z665" s="537"/>
    </row>
    <row r="666">
      <c r="A666" s="537"/>
      <c r="B666" s="537"/>
      <c r="C666" s="538"/>
      <c r="D666" s="537"/>
      <c r="E666" s="537"/>
      <c r="F666" s="537"/>
      <c r="G666" s="537"/>
      <c r="H666" s="537"/>
      <c r="I666" s="537"/>
      <c r="J666" s="537"/>
      <c r="K666" s="537"/>
      <c r="L666" s="537"/>
      <c r="M666" s="537"/>
      <c r="N666" s="537"/>
      <c r="O666" s="537"/>
      <c r="P666" s="537"/>
      <c r="Q666" s="537"/>
      <c r="R666" s="537"/>
      <c r="S666" s="537"/>
      <c r="T666" s="537"/>
      <c r="U666" s="537"/>
      <c r="V666" s="537"/>
      <c r="W666" s="537"/>
      <c r="X666" s="537"/>
      <c r="Y666" s="537"/>
      <c r="Z666" s="537"/>
    </row>
    <row r="667">
      <c r="A667" s="537"/>
      <c r="B667" s="537"/>
      <c r="C667" s="538"/>
      <c r="D667" s="537"/>
      <c r="E667" s="537"/>
      <c r="F667" s="537"/>
      <c r="G667" s="537"/>
      <c r="H667" s="537"/>
      <c r="I667" s="537"/>
      <c r="J667" s="537"/>
      <c r="K667" s="537"/>
      <c r="L667" s="537"/>
      <c r="M667" s="537"/>
      <c r="N667" s="537"/>
      <c r="O667" s="537"/>
      <c r="P667" s="537"/>
      <c r="Q667" s="537"/>
      <c r="R667" s="537"/>
      <c r="S667" s="537"/>
      <c r="T667" s="537"/>
      <c r="U667" s="537"/>
      <c r="V667" s="537"/>
      <c r="W667" s="537"/>
      <c r="X667" s="537"/>
      <c r="Y667" s="537"/>
      <c r="Z667" s="537"/>
    </row>
    <row r="668">
      <c r="A668" s="537"/>
      <c r="B668" s="537"/>
      <c r="C668" s="538"/>
      <c r="D668" s="537"/>
      <c r="E668" s="537"/>
      <c r="F668" s="537"/>
      <c r="G668" s="537"/>
      <c r="H668" s="537"/>
      <c r="I668" s="537"/>
      <c r="J668" s="537"/>
      <c r="K668" s="537"/>
      <c r="L668" s="537"/>
      <c r="M668" s="537"/>
      <c r="N668" s="537"/>
      <c r="O668" s="537"/>
      <c r="P668" s="537"/>
      <c r="Q668" s="537"/>
      <c r="R668" s="537"/>
      <c r="S668" s="537"/>
      <c r="T668" s="537"/>
      <c r="U668" s="537"/>
      <c r="V668" s="537"/>
      <c r="W668" s="537"/>
      <c r="X668" s="537"/>
      <c r="Y668" s="537"/>
      <c r="Z668" s="537"/>
    </row>
    <row r="669">
      <c r="A669" s="537"/>
      <c r="B669" s="537"/>
      <c r="C669" s="538"/>
      <c r="D669" s="537"/>
      <c r="E669" s="537"/>
      <c r="F669" s="537"/>
      <c r="G669" s="537"/>
      <c r="H669" s="537"/>
      <c r="I669" s="537"/>
      <c r="J669" s="537"/>
      <c r="K669" s="537"/>
      <c r="L669" s="537"/>
      <c r="M669" s="537"/>
      <c r="N669" s="537"/>
      <c r="O669" s="537"/>
      <c r="P669" s="537"/>
      <c r="Q669" s="537"/>
      <c r="R669" s="537"/>
      <c r="S669" s="537"/>
      <c r="T669" s="537"/>
      <c r="U669" s="537"/>
      <c r="V669" s="537"/>
      <c r="W669" s="537"/>
      <c r="X669" s="537"/>
      <c r="Y669" s="537"/>
      <c r="Z669" s="537"/>
    </row>
    <row r="670">
      <c r="A670" s="537"/>
      <c r="B670" s="537"/>
      <c r="C670" s="538"/>
      <c r="D670" s="537"/>
      <c r="E670" s="537"/>
      <c r="F670" s="537"/>
      <c r="G670" s="537"/>
      <c r="H670" s="537"/>
      <c r="I670" s="537"/>
      <c r="J670" s="537"/>
      <c r="K670" s="537"/>
      <c r="L670" s="537"/>
      <c r="M670" s="537"/>
      <c r="N670" s="537"/>
      <c r="O670" s="537"/>
      <c r="P670" s="537"/>
      <c r="Q670" s="537"/>
      <c r="R670" s="537"/>
      <c r="S670" s="537"/>
      <c r="T670" s="537"/>
      <c r="U670" s="537"/>
      <c r="V670" s="537"/>
      <c r="W670" s="537"/>
      <c r="X670" s="537"/>
      <c r="Y670" s="537"/>
      <c r="Z670" s="537"/>
    </row>
    <row r="671">
      <c r="A671" s="537"/>
      <c r="B671" s="537"/>
      <c r="C671" s="538"/>
      <c r="D671" s="537"/>
      <c r="E671" s="537"/>
      <c r="F671" s="537"/>
      <c r="G671" s="537"/>
      <c r="H671" s="537"/>
      <c r="I671" s="537"/>
      <c r="J671" s="537"/>
      <c r="K671" s="537"/>
      <c r="L671" s="537"/>
      <c r="M671" s="537"/>
      <c r="N671" s="537"/>
      <c r="O671" s="537"/>
      <c r="P671" s="537"/>
      <c r="Q671" s="537"/>
      <c r="R671" s="537"/>
      <c r="S671" s="537"/>
      <c r="T671" s="537"/>
      <c r="U671" s="537"/>
      <c r="V671" s="537"/>
      <c r="W671" s="537"/>
      <c r="X671" s="537"/>
      <c r="Y671" s="537"/>
      <c r="Z671" s="537"/>
    </row>
    <row r="672">
      <c r="A672" s="537"/>
      <c r="B672" s="537"/>
      <c r="C672" s="538"/>
      <c r="D672" s="537"/>
      <c r="E672" s="537"/>
      <c r="F672" s="537"/>
      <c r="G672" s="537"/>
      <c r="H672" s="537"/>
      <c r="I672" s="537"/>
      <c r="J672" s="537"/>
      <c r="K672" s="537"/>
      <c r="L672" s="537"/>
      <c r="M672" s="537"/>
      <c r="N672" s="537"/>
      <c r="O672" s="537"/>
      <c r="P672" s="537"/>
      <c r="Q672" s="537"/>
      <c r="R672" s="537"/>
      <c r="S672" s="537"/>
      <c r="T672" s="537"/>
      <c r="U672" s="537"/>
      <c r="V672" s="537"/>
      <c r="W672" s="537"/>
      <c r="X672" s="537"/>
      <c r="Y672" s="537"/>
      <c r="Z672" s="537"/>
    </row>
    <row r="673">
      <c r="A673" s="537"/>
      <c r="B673" s="537"/>
      <c r="C673" s="538"/>
      <c r="D673" s="537"/>
      <c r="E673" s="537"/>
      <c r="F673" s="537"/>
      <c r="G673" s="537"/>
      <c r="H673" s="537"/>
      <c r="I673" s="537"/>
      <c r="J673" s="537"/>
      <c r="K673" s="537"/>
      <c r="L673" s="537"/>
      <c r="M673" s="537"/>
      <c r="N673" s="537"/>
      <c r="O673" s="537"/>
      <c r="P673" s="537"/>
      <c r="Q673" s="537"/>
      <c r="R673" s="537"/>
      <c r="S673" s="537"/>
      <c r="T673" s="537"/>
      <c r="U673" s="537"/>
      <c r="V673" s="537"/>
      <c r="W673" s="537"/>
      <c r="X673" s="537"/>
      <c r="Y673" s="537"/>
      <c r="Z673" s="537"/>
    </row>
    <row r="674">
      <c r="A674" s="537"/>
      <c r="B674" s="537"/>
      <c r="C674" s="538"/>
      <c r="D674" s="537"/>
      <c r="E674" s="537"/>
      <c r="F674" s="537"/>
      <c r="G674" s="537"/>
      <c r="H674" s="537"/>
      <c r="I674" s="537"/>
      <c r="J674" s="537"/>
      <c r="K674" s="537"/>
      <c r="L674" s="537"/>
      <c r="M674" s="537"/>
      <c r="N674" s="537"/>
      <c r="O674" s="537"/>
      <c r="P674" s="537"/>
      <c r="Q674" s="537"/>
      <c r="R674" s="537"/>
      <c r="S674" s="537"/>
      <c r="T674" s="537"/>
      <c r="U674" s="537"/>
      <c r="V674" s="537"/>
      <c r="W674" s="537"/>
      <c r="X674" s="537"/>
      <c r="Y674" s="537"/>
      <c r="Z674" s="537"/>
    </row>
    <row r="675">
      <c r="A675" s="537"/>
      <c r="B675" s="537"/>
      <c r="C675" s="538"/>
      <c r="D675" s="537"/>
      <c r="E675" s="537"/>
      <c r="F675" s="537"/>
      <c r="G675" s="537"/>
      <c r="H675" s="537"/>
      <c r="I675" s="537"/>
      <c r="J675" s="537"/>
      <c r="K675" s="537"/>
      <c r="L675" s="537"/>
      <c r="M675" s="537"/>
      <c r="N675" s="537"/>
      <c r="O675" s="537"/>
      <c r="P675" s="537"/>
      <c r="Q675" s="537"/>
      <c r="R675" s="537"/>
      <c r="S675" s="537"/>
      <c r="T675" s="537"/>
      <c r="U675" s="537"/>
      <c r="V675" s="537"/>
      <c r="W675" s="537"/>
      <c r="X675" s="537"/>
      <c r="Y675" s="537"/>
      <c r="Z675" s="537"/>
    </row>
    <row r="676">
      <c r="A676" s="537"/>
      <c r="B676" s="537"/>
      <c r="C676" s="538"/>
      <c r="D676" s="537"/>
      <c r="E676" s="537"/>
      <c r="F676" s="537"/>
      <c r="G676" s="537"/>
      <c r="H676" s="537"/>
      <c r="I676" s="537"/>
      <c r="J676" s="537"/>
      <c r="K676" s="537"/>
      <c r="L676" s="537"/>
      <c r="M676" s="537"/>
      <c r="N676" s="537"/>
      <c r="O676" s="537"/>
      <c r="P676" s="537"/>
      <c r="Q676" s="537"/>
      <c r="R676" s="537"/>
      <c r="S676" s="537"/>
      <c r="T676" s="537"/>
      <c r="U676" s="537"/>
      <c r="V676" s="537"/>
      <c r="W676" s="537"/>
      <c r="X676" s="537"/>
      <c r="Y676" s="537"/>
      <c r="Z676" s="537"/>
    </row>
    <row r="677">
      <c r="A677" s="537"/>
      <c r="B677" s="537"/>
      <c r="C677" s="538"/>
      <c r="D677" s="537"/>
      <c r="E677" s="537"/>
      <c r="F677" s="537"/>
      <c r="G677" s="537"/>
      <c r="H677" s="537"/>
      <c r="I677" s="537"/>
      <c r="J677" s="537"/>
      <c r="K677" s="537"/>
      <c r="L677" s="537"/>
      <c r="M677" s="537"/>
      <c r="N677" s="537"/>
      <c r="O677" s="537"/>
      <c r="P677" s="537"/>
      <c r="Q677" s="537"/>
      <c r="R677" s="537"/>
      <c r="S677" s="537"/>
      <c r="T677" s="537"/>
      <c r="U677" s="537"/>
      <c r="V677" s="537"/>
      <c r="W677" s="537"/>
      <c r="X677" s="537"/>
      <c r="Y677" s="537"/>
      <c r="Z677" s="537"/>
    </row>
    <row r="678">
      <c r="A678" s="537"/>
      <c r="B678" s="537"/>
      <c r="C678" s="538"/>
      <c r="D678" s="537"/>
      <c r="E678" s="537"/>
      <c r="F678" s="537"/>
      <c r="G678" s="537"/>
      <c r="H678" s="537"/>
      <c r="I678" s="537"/>
      <c r="J678" s="537"/>
      <c r="K678" s="537"/>
      <c r="L678" s="537"/>
      <c r="M678" s="537"/>
      <c r="N678" s="537"/>
      <c r="O678" s="537"/>
      <c r="P678" s="537"/>
      <c r="Q678" s="537"/>
      <c r="R678" s="537"/>
      <c r="S678" s="537"/>
      <c r="T678" s="537"/>
      <c r="U678" s="537"/>
      <c r="V678" s="537"/>
      <c r="W678" s="537"/>
      <c r="X678" s="537"/>
      <c r="Y678" s="537"/>
      <c r="Z678" s="537"/>
    </row>
    <row r="679">
      <c r="A679" s="537"/>
      <c r="B679" s="537"/>
      <c r="C679" s="538"/>
      <c r="D679" s="537"/>
      <c r="E679" s="537"/>
      <c r="F679" s="537"/>
      <c r="G679" s="537"/>
      <c r="H679" s="537"/>
      <c r="I679" s="537"/>
      <c r="J679" s="537"/>
      <c r="K679" s="537"/>
      <c r="L679" s="537"/>
      <c r="M679" s="537"/>
      <c r="N679" s="537"/>
      <c r="O679" s="537"/>
      <c r="P679" s="537"/>
      <c r="Q679" s="537"/>
      <c r="R679" s="537"/>
      <c r="S679" s="537"/>
      <c r="T679" s="537"/>
      <c r="U679" s="537"/>
      <c r="V679" s="537"/>
      <c r="W679" s="537"/>
      <c r="X679" s="537"/>
      <c r="Y679" s="537"/>
      <c r="Z679" s="537"/>
    </row>
    <row r="680">
      <c r="A680" s="537"/>
      <c r="B680" s="537"/>
      <c r="C680" s="538"/>
      <c r="D680" s="537"/>
      <c r="E680" s="537"/>
      <c r="F680" s="537"/>
      <c r="G680" s="537"/>
      <c r="H680" s="537"/>
      <c r="I680" s="537"/>
      <c r="J680" s="537"/>
      <c r="K680" s="537"/>
      <c r="L680" s="537"/>
      <c r="M680" s="537"/>
      <c r="N680" s="537"/>
      <c r="O680" s="537"/>
      <c r="P680" s="537"/>
      <c r="Q680" s="537"/>
      <c r="R680" s="537"/>
      <c r="S680" s="537"/>
      <c r="T680" s="537"/>
      <c r="U680" s="537"/>
      <c r="V680" s="537"/>
      <c r="W680" s="537"/>
      <c r="X680" s="537"/>
      <c r="Y680" s="537"/>
      <c r="Z680" s="537"/>
    </row>
    <row r="681">
      <c r="A681" s="537"/>
      <c r="B681" s="537"/>
      <c r="C681" s="538"/>
      <c r="D681" s="537"/>
      <c r="E681" s="537"/>
      <c r="F681" s="537"/>
      <c r="G681" s="537"/>
      <c r="H681" s="537"/>
      <c r="I681" s="537"/>
      <c r="J681" s="537"/>
      <c r="K681" s="537"/>
      <c r="L681" s="537"/>
      <c r="M681" s="537"/>
      <c r="N681" s="537"/>
      <c r="O681" s="537"/>
      <c r="P681" s="537"/>
      <c r="Q681" s="537"/>
      <c r="R681" s="537"/>
      <c r="S681" s="537"/>
      <c r="T681" s="537"/>
      <c r="U681" s="537"/>
      <c r="V681" s="537"/>
      <c r="W681" s="537"/>
      <c r="X681" s="537"/>
      <c r="Y681" s="537"/>
      <c r="Z681" s="537"/>
    </row>
    <row r="682">
      <c r="A682" s="537"/>
      <c r="B682" s="537"/>
      <c r="C682" s="538"/>
      <c r="D682" s="537"/>
      <c r="E682" s="537"/>
      <c r="F682" s="537"/>
      <c r="G682" s="537"/>
      <c r="H682" s="537"/>
      <c r="I682" s="537"/>
      <c r="J682" s="537"/>
      <c r="K682" s="537"/>
      <c r="L682" s="537"/>
      <c r="M682" s="537"/>
      <c r="N682" s="537"/>
      <c r="O682" s="537"/>
      <c r="P682" s="537"/>
      <c r="Q682" s="537"/>
      <c r="R682" s="537"/>
      <c r="S682" s="537"/>
      <c r="T682" s="537"/>
      <c r="U682" s="537"/>
      <c r="V682" s="537"/>
      <c r="W682" s="537"/>
      <c r="X682" s="537"/>
      <c r="Y682" s="537"/>
      <c r="Z682" s="537"/>
    </row>
    <row r="683">
      <c r="A683" s="537"/>
      <c r="B683" s="537"/>
      <c r="C683" s="538"/>
      <c r="D683" s="537"/>
      <c r="E683" s="537"/>
      <c r="F683" s="537"/>
      <c r="G683" s="537"/>
      <c r="H683" s="537"/>
      <c r="I683" s="537"/>
      <c r="J683" s="537"/>
      <c r="K683" s="537"/>
      <c r="L683" s="537"/>
      <c r="M683" s="537"/>
      <c r="N683" s="537"/>
      <c r="O683" s="537"/>
      <c r="P683" s="537"/>
      <c r="Q683" s="537"/>
      <c r="R683" s="537"/>
      <c r="S683" s="537"/>
      <c r="T683" s="537"/>
      <c r="U683" s="537"/>
      <c r="V683" s="537"/>
      <c r="W683" s="537"/>
      <c r="X683" s="537"/>
      <c r="Y683" s="537"/>
      <c r="Z683" s="537"/>
    </row>
    <row r="684">
      <c r="A684" s="537"/>
      <c r="B684" s="537"/>
      <c r="C684" s="538"/>
      <c r="D684" s="537"/>
      <c r="E684" s="537"/>
      <c r="F684" s="537"/>
      <c r="G684" s="537"/>
      <c r="H684" s="537"/>
      <c r="I684" s="537"/>
      <c r="J684" s="537"/>
      <c r="K684" s="537"/>
      <c r="L684" s="537"/>
      <c r="M684" s="537"/>
      <c r="N684" s="537"/>
      <c r="O684" s="537"/>
      <c r="P684" s="537"/>
      <c r="Q684" s="537"/>
      <c r="R684" s="537"/>
      <c r="S684" s="537"/>
      <c r="T684" s="537"/>
      <c r="U684" s="537"/>
      <c r="V684" s="537"/>
      <c r="W684" s="537"/>
      <c r="X684" s="537"/>
      <c r="Y684" s="537"/>
      <c r="Z684" s="537"/>
    </row>
    <row r="685">
      <c r="A685" s="537"/>
      <c r="B685" s="537"/>
      <c r="C685" s="538"/>
      <c r="D685" s="537"/>
      <c r="E685" s="537"/>
      <c r="F685" s="537"/>
      <c r="G685" s="537"/>
      <c r="H685" s="537"/>
      <c r="I685" s="537"/>
      <c r="J685" s="537"/>
      <c r="K685" s="537"/>
      <c r="L685" s="537"/>
      <c r="M685" s="537"/>
      <c r="N685" s="537"/>
      <c r="O685" s="537"/>
      <c r="P685" s="537"/>
      <c r="Q685" s="537"/>
      <c r="R685" s="537"/>
      <c r="S685" s="537"/>
      <c r="T685" s="537"/>
      <c r="U685" s="537"/>
      <c r="V685" s="537"/>
      <c r="W685" s="537"/>
      <c r="X685" s="537"/>
      <c r="Y685" s="537"/>
      <c r="Z685" s="537"/>
    </row>
    <row r="686">
      <c r="A686" s="537"/>
      <c r="B686" s="537"/>
      <c r="C686" s="538"/>
      <c r="D686" s="537"/>
      <c r="E686" s="537"/>
      <c r="F686" s="537"/>
      <c r="G686" s="537"/>
      <c r="H686" s="537"/>
      <c r="I686" s="537"/>
      <c r="J686" s="537"/>
      <c r="K686" s="537"/>
      <c r="L686" s="537"/>
      <c r="M686" s="537"/>
      <c r="N686" s="537"/>
      <c r="O686" s="537"/>
      <c r="P686" s="537"/>
      <c r="Q686" s="537"/>
      <c r="R686" s="537"/>
      <c r="S686" s="537"/>
      <c r="T686" s="537"/>
      <c r="U686" s="537"/>
      <c r="V686" s="537"/>
      <c r="W686" s="537"/>
      <c r="X686" s="537"/>
      <c r="Y686" s="537"/>
      <c r="Z686" s="537"/>
    </row>
    <row r="687">
      <c r="A687" s="537"/>
      <c r="B687" s="537"/>
      <c r="C687" s="538"/>
      <c r="D687" s="537"/>
      <c r="E687" s="537"/>
      <c r="F687" s="537"/>
      <c r="G687" s="537"/>
      <c r="H687" s="537"/>
      <c r="I687" s="537"/>
      <c r="J687" s="537"/>
      <c r="K687" s="537"/>
      <c r="L687" s="537"/>
      <c r="M687" s="537"/>
      <c r="N687" s="537"/>
      <c r="O687" s="537"/>
      <c r="P687" s="537"/>
      <c r="Q687" s="537"/>
      <c r="R687" s="537"/>
      <c r="S687" s="537"/>
      <c r="T687" s="537"/>
      <c r="U687" s="537"/>
      <c r="V687" s="537"/>
      <c r="W687" s="537"/>
      <c r="X687" s="537"/>
      <c r="Y687" s="537"/>
      <c r="Z687" s="537"/>
    </row>
    <row r="688">
      <c r="A688" s="537"/>
      <c r="B688" s="537"/>
      <c r="C688" s="538"/>
      <c r="D688" s="537"/>
      <c r="E688" s="537"/>
      <c r="F688" s="537"/>
      <c r="G688" s="537"/>
      <c r="H688" s="537"/>
      <c r="I688" s="537"/>
      <c r="J688" s="537"/>
      <c r="K688" s="537"/>
      <c r="L688" s="537"/>
      <c r="M688" s="537"/>
      <c r="N688" s="537"/>
      <c r="O688" s="537"/>
      <c r="P688" s="537"/>
      <c r="Q688" s="537"/>
      <c r="R688" s="537"/>
      <c r="S688" s="537"/>
      <c r="T688" s="537"/>
      <c r="U688" s="537"/>
      <c r="V688" s="537"/>
      <c r="W688" s="537"/>
      <c r="X688" s="537"/>
      <c r="Y688" s="537"/>
      <c r="Z688" s="537"/>
    </row>
    <row r="689">
      <c r="A689" s="537"/>
      <c r="B689" s="537"/>
      <c r="C689" s="538"/>
      <c r="D689" s="537"/>
      <c r="E689" s="537"/>
      <c r="F689" s="537"/>
      <c r="G689" s="537"/>
      <c r="H689" s="537"/>
      <c r="I689" s="537"/>
      <c r="J689" s="537"/>
      <c r="K689" s="537"/>
      <c r="L689" s="537"/>
      <c r="M689" s="537"/>
      <c r="N689" s="537"/>
      <c r="O689" s="537"/>
      <c r="P689" s="537"/>
      <c r="Q689" s="537"/>
      <c r="R689" s="537"/>
      <c r="S689" s="537"/>
      <c r="T689" s="537"/>
      <c r="U689" s="537"/>
      <c r="V689" s="537"/>
      <c r="W689" s="537"/>
      <c r="X689" s="537"/>
      <c r="Y689" s="537"/>
      <c r="Z689" s="537"/>
    </row>
    <row r="690">
      <c r="A690" s="537"/>
      <c r="B690" s="537"/>
      <c r="C690" s="538"/>
      <c r="D690" s="537"/>
      <c r="E690" s="537"/>
      <c r="F690" s="537"/>
      <c r="G690" s="537"/>
      <c r="H690" s="537"/>
      <c r="I690" s="537"/>
      <c r="J690" s="537"/>
      <c r="K690" s="537"/>
      <c r="L690" s="537"/>
      <c r="M690" s="537"/>
      <c r="N690" s="537"/>
      <c r="O690" s="537"/>
      <c r="P690" s="537"/>
      <c r="Q690" s="537"/>
      <c r="R690" s="537"/>
      <c r="S690" s="537"/>
      <c r="T690" s="537"/>
      <c r="U690" s="537"/>
      <c r="V690" s="537"/>
      <c r="W690" s="537"/>
      <c r="X690" s="537"/>
      <c r="Y690" s="537"/>
      <c r="Z690" s="537"/>
    </row>
    <row r="691">
      <c r="A691" s="537"/>
      <c r="B691" s="537"/>
      <c r="C691" s="538"/>
      <c r="D691" s="537"/>
      <c r="E691" s="537"/>
      <c r="F691" s="537"/>
      <c r="G691" s="537"/>
      <c r="H691" s="537"/>
      <c r="I691" s="537"/>
      <c r="J691" s="537"/>
      <c r="K691" s="537"/>
      <c r="L691" s="537"/>
      <c r="M691" s="537"/>
      <c r="N691" s="537"/>
      <c r="O691" s="537"/>
      <c r="P691" s="537"/>
      <c r="Q691" s="537"/>
      <c r="R691" s="537"/>
      <c r="S691" s="537"/>
      <c r="T691" s="537"/>
      <c r="U691" s="537"/>
      <c r="V691" s="537"/>
      <c r="W691" s="537"/>
      <c r="X691" s="537"/>
      <c r="Y691" s="537"/>
      <c r="Z691" s="537"/>
    </row>
    <row r="692">
      <c r="A692" s="537"/>
      <c r="B692" s="537"/>
      <c r="C692" s="538"/>
      <c r="D692" s="537"/>
      <c r="E692" s="537"/>
      <c r="F692" s="537"/>
      <c r="G692" s="537"/>
      <c r="H692" s="537"/>
      <c r="I692" s="537"/>
      <c r="J692" s="537"/>
      <c r="K692" s="537"/>
      <c r="L692" s="537"/>
      <c r="M692" s="537"/>
      <c r="N692" s="537"/>
      <c r="O692" s="537"/>
      <c r="P692" s="537"/>
      <c r="Q692" s="537"/>
      <c r="R692" s="537"/>
      <c r="S692" s="537"/>
      <c r="T692" s="537"/>
      <c r="U692" s="537"/>
      <c r="V692" s="537"/>
      <c r="W692" s="537"/>
      <c r="X692" s="537"/>
      <c r="Y692" s="537"/>
      <c r="Z692" s="537"/>
    </row>
    <row r="693">
      <c r="A693" s="537"/>
      <c r="B693" s="537"/>
      <c r="C693" s="538"/>
      <c r="D693" s="537"/>
      <c r="E693" s="537"/>
      <c r="F693" s="537"/>
      <c r="G693" s="537"/>
      <c r="H693" s="537"/>
      <c r="I693" s="537"/>
      <c r="J693" s="537"/>
      <c r="K693" s="537"/>
      <c r="L693" s="537"/>
      <c r="M693" s="537"/>
      <c r="N693" s="537"/>
      <c r="O693" s="537"/>
      <c r="P693" s="537"/>
      <c r="Q693" s="537"/>
      <c r="R693" s="537"/>
      <c r="S693" s="537"/>
      <c r="T693" s="537"/>
      <c r="U693" s="537"/>
      <c r="V693" s="537"/>
      <c r="W693" s="537"/>
      <c r="X693" s="537"/>
      <c r="Y693" s="537"/>
      <c r="Z693" s="537"/>
    </row>
    <row r="694">
      <c r="A694" s="537"/>
      <c r="B694" s="537"/>
      <c r="C694" s="538"/>
      <c r="D694" s="537"/>
      <c r="E694" s="537"/>
      <c r="F694" s="537"/>
      <c r="G694" s="537"/>
      <c r="H694" s="537"/>
      <c r="I694" s="537"/>
      <c r="J694" s="537"/>
      <c r="K694" s="537"/>
      <c r="L694" s="537"/>
      <c r="M694" s="537"/>
      <c r="N694" s="537"/>
      <c r="O694" s="537"/>
      <c r="P694" s="537"/>
      <c r="Q694" s="537"/>
      <c r="R694" s="537"/>
      <c r="S694" s="537"/>
      <c r="T694" s="537"/>
      <c r="U694" s="537"/>
      <c r="V694" s="537"/>
      <c r="W694" s="537"/>
      <c r="X694" s="537"/>
      <c r="Y694" s="537"/>
      <c r="Z694" s="537"/>
    </row>
    <row r="695">
      <c r="A695" s="537"/>
      <c r="B695" s="537"/>
      <c r="C695" s="538"/>
      <c r="D695" s="537"/>
      <c r="E695" s="537"/>
      <c r="F695" s="537"/>
      <c r="G695" s="537"/>
      <c r="H695" s="537"/>
      <c r="I695" s="537"/>
      <c r="J695" s="537"/>
      <c r="K695" s="537"/>
      <c r="L695" s="537"/>
      <c r="M695" s="537"/>
      <c r="N695" s="537"/>
      <c r="O695" s="537"/>
      <c r="P695" s="537"/>
      <c r="Q695" s="537"/>
      <c r="R695" s="537"/>
      <c r="S695" s="537"/>
      <c r="T695" s="537"/>
      <c r="U695" s="537"/>
      <c r="V695" s="537"/>
      <c r="W695" s="537"/>
      <c r="X695" s="537"/>
      <c r="Y695" s="537"/>
      <c r="Z695" s="537"/>
    </row>
    <row r="696">
      <c r="A696" s="537"/>
      <c r="B696" s="537"/>
      <c r="C696" s="538"/>
      <c r="D696" s="537"/>
      <c r="E696" s="537"/>
      <c r="F696" s="537"/>
      <c r="G696" s="537"/>
      <c r="H696" s="537"/>
      <c r="I696" s="537"/>
      <c r="J696" s="537"/>
      <c r="K696" s="537"/>
      <c r="L696" s="537"/>
      <c r="M696" s="537"/>
      <c r="N696" s="537"/>
      <c r="O696" s="537"/>
      <c r="P696" s="537"/>
      <c r="Q696" s="537"/>
      <c r="R696" s="537"/>
      <c r="S696" s="537"/>
      <c r="T696" s="537"/>
      <c r="U696" s="537"/>
      <c r="V696" s="537"/>
      <c r="W696" s="537"/>
      <c r="X696" s="537"/>
      <c r="Y696" s="537"/>
      <c r="Z696" s="537"/>
    </row>
    <row r="697">
      <c r="A697" s="537"/>
      <c r="B697" s="537"/>
      <c r="C697" s="538"/>
      <c r="D697" s="537"/>
      <c r="E697" s="537"/>
      <c r="F697" s="537"/>
      <c r="G697" s="537"/>
      <c r="H697" s="537"/>
      <c r="I697" s="537"/>
      <c r="J697" s="537"/>
      <c r="K697" s="537"/>
      <c r="L697" s="537"/>
      <c r="M697" s="537"/>
      <c r="N697" s="537"/>
      <c r="O697" s="537"/>
      <c r="P697" s="537"/>
      <c r="Q697" s="537"/>
      <c r="R697" s="537"/>
      <c r="S697" s="537"/>
      <c r="T697" s="537"/>
      <c r="U697" s="537"/>
      <c r="V697" s="537"/>
      <c r="W697" s="537"/>
      <c r="X697" s="537"/>
      <c r="Y697" s="537"/>
      <c r="Z697" s="537"/>
    </row>
    <row r="698">
      <c r="A698" s="537"/>
      <c r="B698" s="537"/>
      <c r="C698" s="538"/>
      <c r="D698" s="537"/>
      <c r="E698" s="537"/>
      <c r="F698" s="537"/>
      <c r="G698" s="537"/>
      <c r="H698" s="537"/>
      <c r="I698" s="537"/>
      <c r="J698" s="537"/>
      <c r="K698" s="537"/>
      <c r="L698" s="537"/>
      <c r="M698" s="537"/>
      <c r="N698" s="537"/>
      <c r="O698" s="537"/>
      <c r="P698" s="537"/>
      <c r="Q698" s="537"/>
      <c r="R698" s="537"/>
      <c r="S698" s="537"/>
      <c r="T698" s="537"/>
      <c r="U698" s="537"/>
      <c r="V698" s="537"/>
      <c r="W698" s="537"/>
      <c r="X698" s="537"/>
      <c r="Y698" s="537"/>
      <c r="Z698" s="537"/>
    </row>
    <row r="699">
      <c r="A699" s="537"/>
      <c r="B699" s="537"/>
      <c r="C699" s="538"/>
      <c r="D699" s="537"/>
      <c r="E699" s="537"/>
      <c r="F699" s="537"/>
      <c r="G699" s="537"/>
      <c r="H699" s="537"/>
      <c r="I699" s="537"/>
      <c r="J699" s="537"/>
      <c r="K699" s="537"/>
      <c r="L699" s="537"/>
      <c r="M699" s="537"/>
      <c r="N699" s="537"/>
      <c r="O699" s="537"/>
      <c r="P699" s="537"/>
      <c r="Q699" s="537"/>
      <c r="R699" s="537"/>
      <c r="S699" s="537"/>
      <c r="T699" s="537"/>
      <c r="U699" s="537"/>
      <c r="V699" s="537"/>
      <c r="W699" s="537"/>
      <c r="X699" s="537"/>
      <c r="Y699" s="537"/>
      <c r="Z699" s="537"/>
    </row>
    <row r="700">
      <c r="A700" s="537"/>
      <c r="B700" s="537"/>
      <c r="C700" s="538"/>
      <c r="D700" s="537"/>
      <c r="E700" s="537"/>
      <c r="F700" s="537"/>
      <c r="G700" s="537"/>
      <c r="H700" s="537"/>
      <c r="I700" s="537"/>
      <c r="J700" s="537"/>
      <c r="K700" s="537"/>
      <c r="L700" s="537"/>
      <c r="M700" s="537"/>
      <c r="N700" s="537"/>
      <c r="O700" s="537"/>
      <c r="P700" s="537"/>
      <c r="Q700" s="537"/>
      <c r="R700" s="537"/>
      <c r="S700" s="537"/>
      <c r="T700" s="537"/>
      <c r="U700" s="537"/>
      <c r="V700" s="537"/>
      <c r="W700" s="537"/>
      <c r="X700" s="537"/>
      <c r="Y700" s="537"/>
      <c r="Z700" s="537"/>
    </row>
    <row r="701">
      <c r="A701" s="537"/>
      <c r="B701" s="537"/>
      <c r="C701" s="538"/>
      <c r="D701" s="537"/>
      <c r="E701" s="537"/>
      <c r="F701" s="537"/>
      <c r="G701" s="537"/>
      <c r="H701" s="537"/>
      <c r="I701" s="537"/>
      <c r="J701" s="537"/>
      <c r="K701" s="537"/>
      <c r="L701" s="537"/>
      <c r="M701" s="537"/>
      <c r="N701" s="537"/>
      <c r="O701" s="537"/>
      <c r="P701" s="537"/>
      <c r="Q701" s="537"/>
      <c r="R701" s="537"/>
      <c r="S701" s="537"/>
      <c r="T701" s="537"/>
      <c r="U701" s="537"/>
      <c r="V701" s="537"/>
      <c r="W701" s="537"/>
      <c r="X701" s="537"/>
      <c r="Y701" s="537"/>
      <c r="Z701" s="537"/>
    </row>
    <row r="702">
      <c r="A702" s="537"/>
      <c r="B702" s="537"/>
      <c r="C702" s="538"/>
      <c r="D702" s="537"/>
      <c r="E702" s="537"/>
      <c r="F702" s="537"/>
      <c r="G702" s="537"/>
      <c r="H702" s="537"/>
      <c r="I702" s="537"/>
      <c r="J702" s="537"/>
      <c r="K702" s="537"/>
      <c r="L702" s="537"/>
      <c r="M702" s="537"/>
      <c r="N702" s="537"/>
      <c r="O702" s="537"/>
      <c r="P702" s="537"/>
      <c r="Q702" s="537"/>
      <c r="R702" s="537"/>
      <c r="S702" s="537"/>
      <c r="T702" s="537"/>
      <c r="U702" s="537"/>
      <c r="V702" s="537"/>
      <c r="W702" s="537"/>
      <c r="X702" s="537"/>
      <c r="Y702" s="537"/>
      <c r="Z702" s="537"/>
    </row>
    <row r="703">
      <c r="A703" s="537"/>
      <c r="B703" s="537"/>
      <c r="C703" s="538"/>
      <c r="D703" s="537"/>
      <c r="E703" s="537"/>
      <c r="F703" s="537"/>
      <c r="G703" s="537"/>
      <c r="H703" s="537"/>
      <c r="I703" s="537"/>
      <c r="J703" s="537"/>
      <c r="K703" s="537"/>
      <c r="L703" s="537"/>
      <c r="M703" s="537"/>
      <c r="N703" s="537"/>
      <c r="O703" s="537"/>
      <c r="P703" s="537"/>
      <c r="Q703" s="537"/>
      <c r="R703" s="537"/>
      <c r="S703" s="537"/>
      <c r="T703" s="537"/>
      <c r="U703" s="537"/>
      <c r="V703" s="537"/>
      <c r="W703" s="537"/>
      <c r="X703" s="537"/>
      <c r="Y703" s="537"/>
      <c r="Z703" s="537"/>
    </row>
    <row r="704">
      <c r="A704" s="537"/>
      <c r="B704" s="537"/>
      <c r="C704" s="538"/>
      <c r="D704" s="537"/>
      <c r="E704" s="537"/>
      <c r="F704" s="537"/>
      <c r="G704" s="537"/>
      <c r="H704" s="537"/>
      <c r="I704" s="537"/>
      <c r="J704" s="537"/>
      <c r="K704" s="537"/>
      <c r="L704" s="537"/>
      <c r="M704" s="537"/>
      <c r="N704" s="537"/>
      <c r="O704" s="537"/>
      <c r="P704" s="537"/>
      <c r="Q704" s="537"/>
      <c r="R704" s="537"/>
      <c r="S704" s="537"/>
      <c r="T704" s="537"/>
      <c r="U704" s="537"/>
      <c r="V704" s="537"/>
      <c r="W704" s="537"/>
      <c r="X704" s="537"/>
      <c r="Y704" s="537"/>
      <c r="Z704" s="537"/>
    </row>
    <row r="705">
      <c r="A705" s="537"/>
      <c r="B705" s="537"/>
      <c r="C705" s="538"/>
      <c r="D705" s="537"/>
      <c r="E705" s="537"/>
      <c r="F705" s="537"/>
      <c r="G705" s="537"/>
      <c r="H705" s="537"/>
      <c r="I705" s="537"/>
      <c r="J705" s="537"/>
      <c r="K705" s="537"/>
      <c r="L705" s="537"/>
      <c r="M705" s="537"/>
      <c r="N705" s="537"/>
      <c r="O705" s="537"/>
      <c r="P705" s="537"/>
      <c r="Q705" s="537"/>
      <c r="R705" s="537"/>
      <c r="S705" s="537"/>
      <c r="T705" s="537"/>
      <c r="U705" s="537"/>
      <c r="V705" s="537"/>
      <c r="W705" s="537"/>
      <c r="X705" s="537"/>
      <c r="Y705" s="537"/>
      <c r="Z705" s="537"/>
    </row>
    <row r="706">
      <c r="A706" s="537"/>
      <c r="B706" s="537"/>
      <c r="C706" s="538"/>
      <c r="D706" s="537"/>
      <c r="E706" s="537"/>
      <c r="F706" s="537"/>
      <c r="G706" s="537"/>
      <c r="H706" s="537"/>
      <c r="I706" s="537"/>
      <c r="J706" s="537"/>
      <c r="K706" s="537"/>
      <c r="L706" s="537"/>
      <c r="M706" s="537"/>
      <c r="N706" s="537"/>
      <c r="O706" s="537"/>
      <c r="P706" s="537"/>
      <c r="Q706" s="537"/>
      <c r="R706" s="537"/>
      <c r="S706" s="537"/>
      <c r="T706" s="537"/>
      <c r="U706" s="537"/>
      <c r="V706" s="537"/>
      <c r="W706" s="537"/>
      <c r="X706" s="537"/>
      <c r="Y706" s="537"/>
      <c r="Z706" s="537"/>
    </row>
    <row r="707">
      <c r="A707" s="537"/>
      <c r="B707" s="537"/>
      <c r="C707" s="538"/>
      <c r="D707" s="537"/>
      <c r="E707" s="537"/>
      <c r="F707" s="537"/>
      <c r="G707" s="537"/>
      <c r="H707" s="537"/>
      <c r="I707" s="537"/>
      <c r="J707" s="537"/>
      <c r="K707" s="537"/>
      <c r="L707" s="537"/>
      <c r="M707" s="537"/>
      <c r="N707" s="537"/>
      <c r="O707" s="537"/>
      <c r="P707" s="537"/>
      <c r="Q707" s="537"/>
      <c r="R707" s="537"/>
      <c r="S707" s="537"/>
      <c r="T707" s="537"/>
      <c r="U707" s="537"/>
      <c r="V707" s="537"/>
      <c r="W707" s="537"/>
      <c r="X707" s="537"/>
      <c r="Y707" s="537"/>
      <c r="Z707" s="537"/>
    </row>
    <row r="708">
      <c r="A708" s="537"/>
      <c r="B708" s="537"/>
      <c r="C708" s="538"/>
      <c r="D708" s="537"/>
      <c r="E708" s="537"/>
      <c r="F708" s="537"/>
      <c r="G708" s="537"/>
      <c r="H708" s="537"/>
      <c r="I708" s="537"/>
      <c r="J708" s="537"/>
      <c r="K708" s="537"/>
      <c r="L708" s="537"/>
      <c r="M708" s="537"/>
      <c r="N708" s="537"/>
      <c r="O708" s="537"/>
      <c r="P708" s="537"/>
      <c r="Q708" s="537"/>
      <c r="R708" s="537"/>
      <c r="S708" s="537"/>
      <c r="T708" s="537"/>
      <c r="U708" s="537"/>
      <c r="V708" s="537"/>
      <c r="W708" s="537"/>
      <c r="X708" s="537"/>
      <c r="Y708" s="537"/>
      <c r="Z708" s="537"/>
    </row>
    <row r="709">
      <c r="A709" s="537"/>
      <c r="B709" s="537"/>
      <c r="C709" s="538"/>
      <c r="D709" s="537"/>
      <c r="E709" s="537"/>
      <c r="F709" s="537"/>
      <c r="G709" s="537"/>
      <c r="H709" s="537"/>
      <c r="I709" s="537"/>
      <c r="J709" s="537"/>
      <c r="K709" s="537"/>
      <c r="L709" s="537"/>
      <c r="M709" s="537"/>
      <c r="N709" s="537"/>
      <c r="O709" s="537"/>
      <c r="P709" s="537"/>
      <c r="Q709" s="537"/>
      <c r="R709" s="537"/>
      <c r="S709" s="537"/>
      <c r="T709" s="537"/>
      <c r="U709" s="537"/>
      <c r="V709" s="537"/>
      <c r="W709" s="537"/>
      <c r="X709" s="537"/>
      <c r="Y709" s="537"/>
      <c r="Z709" s="537"/>
    </row>
    <row r="710">
      <c r="A710" s="537"/>
      <c r="B710" s="537"/>
      <c r="C710" s="538"/>
      <c r="D710" s="537"/>
      <c r="E710" s="537"/>
      <c r="F710" s="537"/>
      <c r="G710" s="537"/>
      <c r="H710" s="537"/>
      <c r="I710" s="537"/>
      <c r="J710" s="537"/>
      <c r="K710" s="537"/>
      <c r="L710" s="537"/>
      <c r="M710" s="537"/>
      <c r="N710" s="537"/>
      <c r="O710" s="537"/>
      <c r="P710" s="537"/>
      <c r="Q710" s="537"/>
      <c r="R710" s="537"/>
      <c r="S710" s="537"/>
      <c r="T710" s="537"/>
      <c r="U710" s="537"/>
      <c r="V710" s="537"/>
      <c r="W710" s="537"/>
      <c r="X710" s="537"/>
      <c r="Y710" s="537"/>
      <c r="Z710" s="537"/>
    </row>
    <row r="711">
      <c r="A711" s="537"/>
      <c r="B711" s="537"/>
      <c r="C711" s="538"/>
      <c r="D711" s="537"/>
      <c r="E711" s="537"/>
      <c r="F711" s="537"/>
      <c r="G711" s="537"/>
      <c r="H711" s="537"/>
      <c r="I711" s="537"/>
      <c r="J711" s="537"/>
      <c r="K711" s="537"/>
      <c r="L711" s="537"/>
      <c r="M711" s="537"/>
      <c r="N711" s="537"/>
      <c r="O711" s="537"/>
      <c r="P711" s="537"/>
      <c r="Q711" s="537"/>
      <c r="R711" s="537"/>
      <c r="S711" s="537"/>
      <c r="T711" s="537"/>
      <c r="U711" s="537"/>
      <c r="V711" s="537"/>
      <c r="W711" s="537"/>
      <c r="X711" s="537"/>
      <c r="Y711" s="537"/>
      <c r="Z711" s="537"/>
    </row>
    <row r="712">
      <c r="A712" s="537"/>
      <c r="B712" s="537"/>
      <c r="C712" s="538"/>
      <c r="D712" s="537"/>
      <c r="E712" s="537"/>
      <c r="F712" s="537"/>
      <c r="G712" s="537"/>
      <c r="H712" s="537"/>
      <c r="I712" s="537"/>
      <c r="J712" s="537"/>
      <c r="K712" s="537"/>
      <c r="L712" s="537"/>
      <c r="M712" s="537"/>
      <c r="N712" s="537"/>
      <c r="O712" s="537"/>
      <c r="P712" s="537"/>
      <c r="Q712" s="537"/>
      <c r="R712" s="537"/>
      <c r="S712" s="537"/>
      <c r="T712" s="537"/>
      <c r="U712" s="537"/>
      <c r="V712" s="537"/>
      <c r="W712" s="537"/>
      <c r="X712" s="537"/>
      <c r="Y712" s="537"/>
      <c r="Z712" s="537"/>
    </row>
    <row r="713">
      <c r="A713" s="537"/>
      <c r="B713" s="537"/>
      <c r="C713" s="538"/>
      <c r="D713" s="537"/>
      <c r="E713" s="537"/>
      <c r="F713" s="537"/>
      <c r="G713" s="537"/>
      <c r="H713" s="537"/>
      <c r="I713" s="537"/>
      <c r="J713" s="537"/>
      <c r="K713" s="537"/>
      <c r="L713" s="537"/>
      <c r="M713" s="537"/>
      <c r="N713" s="537"/>
      <c r="O713" s="537"/>
      <c r="P713" s="537"/>
      <c r="Q713" s="537"/>
      <c r="R713" s="537"/>
      <c r="S713" s="537"/>
      <c r="T713" s="537"/>
      <c r="U713" s="537"/>
      <c r="V713" s="537"/>
      <c r="W713" s="537"/>
      <c r="X713" s="537"/>
      <c r="Y713" s="537"/>
      <c r="Z713" s="537"/>
    </row>
    <row r="714">
      <c r="A714" s="537"/>
      <c r="B714" s="537"/>
      <c r="C714" s="538"/>
      <c r="D714" s="537"/>
      <c r="E714" s="537"/>
      <c r="F714" s="537"/>
      <c r="G714" s="537"/>
      <c r="H714" s="537"/>
      <c r="I714" s="537"/>
      <c r="J714" s="537"/>
      <c r="K714" s="537"/>
      <c r="L714" s="537"/>
      <c r="M714" s="537"/>
      <c r="N714" s="537"/>
      <c r="O714" s="537"/>
      <c r="P714" s="537"/>
      <c r="Q714" s="537"/>
      <c r="R714" s="537"/>
      <c r="S714" s="537"/>
      <c r="T714" s="537"/>
      <c r="U714" s="537"/>
      <c r="V714" s="537"/>
      <c r="W714" s="537"/>
      <c r="X714" s="537"/>
      <c r="Y714" s="537"/>
      <c r="Z714" s="537"/>
    </row>
    <row r="715">
      <c r="A715" s="537"/>
      <c r="B715" s="537"/>
      <c r="C715" s="538"/>
      <c r="D715" s="537"/>
      <c r="E715" s="537"/>
      <c r="F715" s="537"/>
      <c r="G715" s="537"/>
      <c r="H715" s="537"/>
      <c r="I715" s="537"/>
      <c r="J715" s="537"/>
      <c r="K715" s="537"/>
      <c r="L715" s="537"/>
      <c r="M715" s="537"/>
      <c r="N715" s="537"/>
      <c r="O715" s="537"/>
      <c r="P715" s="537"/>
      <c r="Q715" s="537"/>
      <c r="R715" s="537"/>
      <c r="S715" s="537"/>
      <c r="T715" s="537"/>
      <c r="U715" s="537"/>
      <c r="V715" s="537"/>
      <c r="W715" s="537"/>
      <c r="X715" s="537"/>
      <c r="Y715" s="537"/>
      <c r="Z715" s="537"/>
    </row>
    <row r="716">
      <c r="A716" s="537"/>
      <c r="B716" s="537"/>
      <c r="C716" s="538"/>
      <c r="D716" s="537"/>
      <c r="E716" s="537"/>
      <c r="F716" s="537"/>
      <c r="G716" s="537"/>
      <c r="H716" s="537"/>
      <c r="I716" s="537"/>
      <c r="J716" s="537"/>
      <c r="K716" s="537"/>
      <c r="L716" s="537"/>
      <c r="M716" s="537"/>
      <c r="N716" s="537"/>
      <c r="O716" s="537"/>
      <c r="P716" s="537"/>
      <c r="Q716" s="537"/>
      <c r="R716" s="537"/>
      <c r="S716" s="537"/>
      <c r="T716" s="537"/>
      <c r="U716" s="537"/>
      <c r="V716" s="537"/>
      <c r="W716" s="537"/>
      <c r="X716" s="537"/>
      <c r="Y716" s="537"/>
      <c r="Z716" s="537"/>
    </row>
    <row r="717">
      <c r="A717" s="537"/>
      <c r="B717" s="537"/>
      <c r="C717" s="538"/>
      <c r="D717" s="537"/>
      <c r="E717" s="537"/>
      <c r="F717" s="537"/>
      <c r="G717" s="537"/>
      <c r="H717" s="537"/>
      <c r="I717" s="537"/>
      <c r="J717" s="537"/>
      <c r="K717" s="537"/>
      <c r="L717" s="537"/>
      <c r="M717" s="537"/>
      <c r="N717" s="537"/>
      <c r="O717" s="537"/>
      <c r="P717" s="537"/>
      <c r="Q717" s="537"/>
      <c r="R717" s="537"/>
      <c r="S717" s="537"/>
      <c r="T717" s="537"/>
      <c r="U717" s="537"/>
      <c r="V717" s="537"/>
      <c r="W717" s="537"/>
      <c r="X717" s="537"/>
      <c r="Y717" s="537"/>
      <c r="Z717" s="537"/>
    </row>
    <row r="718">
      <c r="A718" s="537"/>
      <c r="B718" s="537"/>
      <c r="C718" s="538"/>
      <c r="D718" s="537"/>
      <c r="E718" s="537"/>
      <c r="F718" s="537"/>
      <c r="G718" s="537"/>
      <c r="H718" s="537"/>
      <c r="I718" s="537"/>
      <c r="J718" s="537"/>
      <c r="K718" s="537"/>
      <c r="L718" s="537"/>
      <c r="M718" s="537"/>
      <c r="N718" s="537"/>
      <c r="O718" s="537"/>
      <c r="P718" s="537"/>
      <c r="Q718" s="537"/>
      <c r="R718" s="537"/>
      <c r="S718" s="537"/>
      <c r="T718" s="537"/>
      <c r="U718" s="537"/>
      <c r="V718" s="537"/>
      <c r="W718" s="537"/>
      <c r="X718" s="537"/>
      <c r="Y718" s="537"/>
      <c r="Z718" s="537"/>
    </row>
    <row r="719">
      <c r="A719" s="537"/>
      <c r="B719" s="537"/>
      <c r="C719" s="538"/>
      <c r="D719" s="537"/>
      <c r="E719" s="537"/>
      <c r="F719" s="537"/>
      <c r="G719" s="537"/>
      <c r="H719" s="537"/>
      <c r="I719" s="537"/>
      <c r="J719" s="537"/>
      <c r="K719" s="537"/>
      <c r="L719" s="537"/>
      <c r="M719" s="537"/>
      <c r="N719" s="537"/>
      <c r="O719" s="537"/>
      <c r="P719" s="537"/>
      <c r="Q719" s="537"/>
      <c r="R719" s="537"/>
      <c r="S719" s="537"/>
      <c r="T719" s="537"/>
      <c r="U719" s="537"/>
      <c r="V719" s="537"/>
      <c r="W719" s="537"/>
      <c r="X719" s="537"/>
      <c r="Y719" s="537"/>
      <c r="Z719" s="537"/>
    </row>
    <row r="720">
      <c r="A720" s="537"/>
      <c r="B720" s="537"/>
      <c r="C720" s="538"/>
      <c r="D720" s="537"/>
      <c r="E720" s="537"/>
      <c r="F720" s="537"/>
      <c r="G720" s="537"/>
      <c r="H720" s="537"/>
      <c r="I720" s="537"/>
      <c r="J720" s="537"/>
      <c r="K720" s="537"/>
      <c r="L720" s="537"/>
      <c r="M720" s="537"/>
      <c r="N720" s="537"/>
      <c r="O720" s="537"/>
      <c r="P720" s="537"/>
      <c r="Q720" s="537"/>
      <c r="R720" s="537"/>
      <c r="S720" s="537"/>
      <c r="T720" s="537"/>
      <c r="U720" s="537"/>
      <c r="V720" s="537"/>
      <c r="W720" s="537"/>
      <c r="X720" s="537"/>
      <c r="Y720" s="537"/>
      <c r="Z720" s="537"/>
    </row>
    <row r="721">
      <c r="A721" s="537"/>
      <c r="B721" s="537"/>
      <c r="C721" s="538"/>
      <c r="D721" s="537"/>
      <c r="E721" s="537"/>
      <c r="F721" s="537"/>
      <c r="G721" s="537"/>
      <c r="H721" s="537"/>
      <c r="I721" s="537"/>
      <c r="J721" s="537"/>
      <c r="K721" s="537"/>
      <c r="L721" s="537"/>
      <c r="M721" s="537"/>
      <c r="N721" s="537"/>
      <c r="O721" s="537"/>
      <c r="P721" s="537"/>
      <c r="Q721" s="537"/>
      <c r="R721" s="537"/>
      <c r="S721" s="537"/>
      <c r="T721" s="537"/>
      <c r="U721" s="537"/>
      <c r="V721" s="537"/>
      <c r="W721" s="537"/>
      <c r="X721" s="537"/>
      <c r="Y721" s="537"/>
      <c r="Z721" s="537"/>
    </row>
    <row r="722">
      <c r="A722" s="537"/>
      <c r="B722" s="537"/>
      <c r="C722" s="538"/>
      <c r="D722" s="537"/>
      <c r="E722" s="537"/>
      <c r="F722" s="537"/>
      <c r="G722" s="537"/>
      <c r="H722" s="537"/>
      <c r="I722" s="537"/>
      <c r="J722" s="537"/>
      <c r="K722" s="537"/>
      <c r="L722" s="537"/>
      <c r="M722" s="537"/>
      <c r="N722" s="537"/>
      <c r="O722" s="537"/>
      <c r="P722" s="537"/>
      <c r="Q722" s="537"/>
      <c r="R722" s="537"/>
      <c r="S722" s="537"/>
      <c r="T722" s="537"/>
      <c r="U722" s="537"/>
      <c r="V722" s="537"/>
      <c r="W722" s="537"/>
      <c r="X722" s="537"/>
      <c r="Y722" s="537"/>
      <c r="Z722" s="537"/>
    </row>
    <row r="723">
      <c r="A723" s="537"/>
      <c r="B723" s="537"/>
      <c r="C723" s="538"/>
      <c r="D723" s="537"/>
      <c r="E723" s="537"/>
      <c r="F723" s="537"/>
      <c r="G723" s="537"/>
      <c r="H723" s="537"/>
      <c r="I723" s="537"/>
      <c r="J723" s="537"/>
      <c r="K723" s="537"/>
      <c r="L723" s="537"/>
      <c r="M723" s="537"/>
      <c r="N723" s="537"/>
      <c r="O723" s="537"/>
      <c r="P723" s="537"/>
      <c r="Q723" s="537"/>
      <c r="R723" s="537"/>
      <c r="S723" s="537"/>
      <c r="T723" s="537"/>
      <c r="U723" s="537"/>
      <c r="V723" s="537"/>
      <c r="W723" s="537"/>
      <c r="X723" s="537"/>
      <c r="Y723" s="537"/>
      <c r="Z723" s="537"/>
    </row>
    <row r="724">
      <c r="A724" s="537"/>
      <c r="B724" s="537"/>
      <c r="C724" s="538"/>
      <c r="D724" s="537"/>
      <c r="E724" s="537"/>
      <c r="F724" s="537"/>
      <c r="G724" s="537"/>
      <c r="H724" s="537"/>
      <c r="I724" s="537"/>
      <c r="J724" s="537"/>
      <c r="K724" s="537"/>
      <c r="L724" s="537"/>
      <c r="M724" s="537"/>
      <c r="N724" s="537"/>
      <c r="O724" s="537"/>
      <c r="P724" s="537"/>
      <c r="Q724" s="537"/>
      <c r="R724" s="537"/>
      <c r="S724" s="537"/>
      <c r="T724" s="537"/>
      <c r="U724" s="537"/>
      <c r="V724" s="537"/>
      <c r="W724" s="537"/>
      <c r="X724" s="537"/>
      <c r="Y724" s="537"/>
      <c r="Z724" s="537"/>
    </row>
    <row r="725">
      <c r="A725" s="537"/>
      <c r="B725" s="537"/>
      <c r="C725" s="538"/>
      <c r="D725" s="537"/>
      <c r="E725" s="537"/>
      <c r="F725" s="537"/>
      <c r="G725" s="537"/>
      <c r="H725" s="537"/>
      <c r="I725" s="537"/>
      <c r="J725" s="537"/>
      <c r="K725" s="537"/>
      <c r="L725" s="537"/>
      <c r="M725" s="537"/>
      <c r="N725" s="537"/>
      <c r="O725" s="537"/>
      <c r="P725" s="537"/>
      <c r="Q725" s="537"/>
      <c r="R725" s="537"/>
      <c r="S725" s="537"/>
      <c r="T725" s="537"/>
      <c r="U725" s="537"/>
      <c r="V725" s="537"/>
      <c r="W725" s="537"/>
      <c r="X725" s="537"/>
      <c r="Y725" s="537"/>
      <c r="Z725" s="537"/>
    </row>
    <row r="726">
      <c r="A726" s="537"/>
      <c r="B726" s="537"/>
      <c r="C726" s="538"/>
      <c r="D726" s="537"/>
      <c r="E726" s="537"/>
      <c r="F726" s="537"/>
      <c r="G726" s="537"/>
      <c r="H726" s="537"/>
      <c r="I726" s="537"/>
      <c r="J726" s="537"/>
      <c r="K726" s="537"/>
      <c r="L726" s="537"/>
      <c r="M726" s="537"/>
      <c r="N726" s="537"/>
      <c r="O726" s="537"/>
      <c r="P726" s="537"/>
      <c r="Q726" s="537"/>
      <c r="R726" s="537"/>
      <c r="S726" s="537"/>
      <c r="T726" s="537"/>
      <c r="U726" s="537"/>
      <c r="V726" s="537"/>
      <c r="W726" s="537"/>
      <c r="X726" s="537"/>
      <c r="Y726" s="537"/>
      <c r="Z726" s="537"/>
    </row>
    <row r="727">
      <c r="A727" s="537"/>
      <c r="B727" s="537"/>
      <c r="C727" s="538"/>
      <c r="D727" s="537"/>
      <c r="E727" s="537"/>
      <c r="F727" s="537"/>
      <c r="G727" s="537"/>
      <c r="H727" s="537"/>
      <c r="I727" s="537"/>
      <c r="J727" s="537"/>
      <c r="K727" s="537"/>
      <c r="L727" s="537"/>
      <c r="M727" s="537"/>
      <c r="N727" s="537"/>
      <c r="O727" s="537"/>
      <c r="P727" s="537"/>
      <c r="Q727" s="537"/>
      <c r="R727" s="537"/>
      <c r="S727" s="537"/>
      <c r="T727" s="537"/>
      <c r="U727" s="537"/>
      <c r="V727" s="537"/>
      <c r="W727" s="537"/>
      <c r="X727" s="537"/>
      <c r="Y727" s="537"/>
      <c r="Z727" s="537"/>
    </row>
    <row r="728">
      <c r="A728" s="537"/>
      <c r="B728" s="537"/>
      <c r="C728" s="538"/>
      <c r="D728" s="537"/>
      <c r="E728" s="537"/>
      <c r="F728" s="537"/>
      <c r="G728" s="537"/>
      <c r="H728" s="537"/>
      <c r="I728" s="537"/>
      <c r="J728" s="537"/>
      <c r="K728" s="537"/>
      <c r="L728" s="537"/>
      <c r="M728" s="537"/>
      <c r="N728" s="537"/>
      <c r="O728" s="537"/>
      <c r="P728" s="537"/>
      <c r="Q728" s="537"/>
      <c r="R728" s="537"/>
      <c r="S728" s="537"/>
      <c r="T728" s="537"/>
      <c r="U728" s="537"/>
      <c r="V728" s="537"/>
      <c r="W728" s="537"/>
      <c r="X728" s="537"/>
      <c r="Y728" s="537"/>
      <c r="Z728" s="537"/>
    </row>
    <row r="729">
      <c r="A729" s="537"/>
      <c r="B729" s="537"/>
      <c r="C729" s="538"/>
      <c r="D729" s="537"/>
      <c r="E729" s="537"/>
      <c r="F729" s="537"/>
      <c r="G729" s="537"/>
      <c r="H729" s="537"/>
      <c r="I729" s="537"/>
      <c r="J729" s="537"/>
      <c r="K729" s="537"/>
      <c r="L729" s="537"/>
      <c r="M729" s="537"/>
      <c r="N729" s="537"/>
      <c r="O729" s="537"/>
      <c r="P729" s="537"/>
      <c r="Q729" s="537"/>
      <c r="R729" s="537"/>
      <c r="S729" s="537"/>
      <c r="T729" s="537"/>
      <c r="U729" s="537"/>
      <c r="V729" s="537"/>
      <c r="W729" s="537"/>
      <c r="X729" s="537"/>
      <c r="Y729" s="537"/>
      <c r="Z729" s="537"/>
    </row>
    <row r="730">
      <c r="A730" s="537"/>
      <c r="B730" s="537"/>
      <c r="C730" s="538"/>
      <c r="D730" s="537"/>
      <c r="E730" s="537"/>
      <c r="F730" s="537"/>
      <c r="G730" s="537"/>
      <c r="H730" s="537"/>
      <c r="I730" s="537"/>
      <c r="J730" s="537"/>
      <c r="K730" s="537"/>
      <c r="L730" s="537"/>
      <c r="M730" s="537"/>
      <c r="N730" s="537"/>
      <c r="O730" s="537"/>
      <c r="P730" s="537"/>
      <c r="Q730" s="537"/>
      <c r="R730" s="537"/>
      <c r="S730" s="537"/>
      <c r="T730" s="537"/>
      <c r="U730" s="537"/>
      <c r="V730" s="537"/>
      <c r="W730" s="537"/>
      <c r="X730" s="537"/>
      <c r="Y730" s="537"/>
      <c r="Z730" s="537"/>
    </row>
    <row r="731">
      <c r="A731" s="537"/>
      <c r="B731" s="537"/>
      <c r="C731" s="538"/>
      <c r="D731" s="537"/>
      <c r="E731" s="537"/>
      <c r="F731" s="537"/>
      <c r="G731" s="537"/>
      <c r="H731" s="537"/>
      <c r="I731" s="537"/>
      <c r="J731" s="537"/>
      <c r="K731" s="537"/>
      <c r="L731" s="537"/>
      <c r="M731" s="537"/>
      <c r="N731" s="537"/>
      <c r="O731" s="537"/>
      <c r="P731" s="537"/>
      <c r="Q731" s="537"/>
      <c r="R731" s="537"/>
      <c r="S731" s="537"/>
      <c r="T731" s="537"/>
      <c r="U731" s="537"/>
      <c r="V731" s="537"/>
      <c r="W731" s="537"/>
      <c r="X731" s="537"/>
      <c r="Y731" s="537"/>
      <c r="Z731" s="537"/>
    </row>
    <row r="732">
      <c r="A732" s="537"/>
      <c r="B732" s="537"/>
      <c r="C732" s="538"/>
      <c r="D732" s="537"/>
      <c r="E732" s="537"/>
      <c r="F732" s="537"/>
      <c r="G732" s="537"/>
      <c r="H732" s="537"/>
      <c r="I732" s="537"/>
      <c r="J732" s="537"/>
      <c r="K732" s="537"/>
      <c r="L732" s="537"/>
      <c r="M732" s="537"/>
      <c r="N732" s="537"/>
      <c r="O732" s="537"/>
      <c r="P732" s="537"/>
      <c r="Q732" s="537"/>
      <c r="R732" s="537"/>
      <c r="S732" s="537"/>
      <c r="T732" s="537"/>
      <c r="U732" s="537"/>
      <c r="V732" s="537"/>
      <c r="W732" s="537"/>
      <c r="X732" s="537"/>
      <c r="Y732" s="537"/>
      <c r="Z732" s="537"/>
    </row>
    <row r="733">
      <c r="A733" s="537"/>
      <c r="B733" s="537"/>
      <c r="C733" s="538"/>
      <c r="D733" s="537"/>
      <c r="E733" s="537"/>
      <c r="F733" s="537"/>
      <c r="G733" s="537"/>
      <c r="H733" s="537"/>
      <c r="I733" s="537"/>
      <c r="J733" s="537"/>
      <c r="K733" s="537"/>
      <c r="L733" s="537"/>
      <c r="M733" s="537"/>
      <c r="N733" s="537"/>
      <c r="O733" s="537"/>
      <c r="P733" s="537"/>
      <c r="Q733" s="537"/>
      <c r="R733" s="537"/>
      <c r="S733" s="537"/>
      <c r="T733" s="537"/>
      <c r="U733" s="537"/>
      <c r="V733" s="537"/>
      <c r="W733" s="537"/>
      <c r="X733" s="537"/>
      <c r="Y733" s="537"/>
      <c r="Z733" s="537"/>
    </row>
    <row r="734">
      <c r="A734" s="537"/>
      <c r="B734" s="537"/>
      <c r="C734" s="538"/>
      <c r="D734" s="537"/>
      <c r="E734" s="537"/>
      <c r="F734" s="537"/>
      <c r="G734" s="537"/>
      <c r="H734" s="537"/>
      <c r="I734" s="537"/>
      <c r="J734" s="537"/>
      <c r="K734" s="537"/>
      <c r="L734" s="537"/>
      <c r="M734" s="537"/>
      <c r="N734" s="537"/>
      <c r="O734" s="537"/>
      <c r="P734" s="537"/>
      <c r="Q734" s="537"/>
      <c r="R734" s="537"/>
      <c r="S734" s="537"/>
      <c r="T734" s="537"/>
      <c r="U734" s="537"/>
      <c r="V734" s="537"/>
      <c r="W734" s="537"/>
      <c r="X734" s="537"/>
      <c r="Y734" s="537"/>
      <c r="Z734" s="537"/>
    </row>
    <row r="735">
      <c r="A735" s="537"/>
      <c r="B735" s="537"/>
      <c r="C735" s="538"/>
      <c r="D735" s="537"/>
      <c r="E735" s="537"/>
      <c r="F735" s="537"/>
      <c r="G735" s="537"/>
      <c r="H735" s="537"/>
      <c r="I735" s="537"/>
      <c r="J735" s="537"/>
      <c r="K735" s="537"/>
      <c r="L735" s="537"/>
      <c r="M735" s="537"/>
      <c r="N735" s="537"/>
      <c r="O735" s="537"/>
      <c r="P735" s="537"/>
      <c r="Q735" s="537"/>
      <c r="R735" s="537"/>
      <c r="S735" s="537"/>
      <c r="T735" s="537"/>
      <c r="U735" s="537"/>
      <c r="V735" s="537"/>
      <c r="W735" s="537"/>
      <c r="X735" s="537"/>
      <c r="Y735" s="537"/>
      <c r="Z735" s="537"/>
    </row>
    <row r="736">
      <c r="A736" s="537"/>
      <c r="B736" s="537"/>
      <c r="C736" s="538"/>
      <c r="D736" s="537"/>
      <c r="E736" s="537"/>
      <c r="F736" s="537"/>
      <c r="G736" s="537"/>
      <c r="H736" s="537"/>
      <c r="I736" s="537"/>
      <c r="J736" s="537"/>
      <c r="K736" s="537"/>
      <c r="L736" s="537"/>
      <c r="M736" s="537"/>
      <c r="N736" s="537"/>
      <c r="O736" s="537"/>
      <c r="P736" s="537"/>
      <c r="Q736" s="537"/>
      <c r="R736" s="537"/>
      <c r="S736" s="537"/>
      <c r="T736" s="537"/>
      <c r="U736" s="537"/>
      <c r="V736" s="537"/>
      <c r="W736" s="537"/>
      <c r="X736" s="537"/>
      <c r="Y736" s="537"/>
      <c r="Z736" s="537"/>
    </row>
    <row r="737">
      <c r="A737" s="537"/>
      <c r="B737" s="537"/>
      <c r="C737" s="538"/>
      <c r="D737" s="537"/>
      <c r="E737" s="537"/>
      <c r="F737" s="537"/>
      <c r="G737" s="537"/>
      <c r="H737" s="537"/>
      <c r="I737" s="537"/>
      <c r="J737" s="537"/>
      <c r="K737" s="537"/>
      <c r="L737" s="537"/>
      <c r="M737" s="537"/>
      <c r="N737" s="537"/>
      <c r="O737" s="537"/>
      <c r="P737" s="537"/>
      <c r="Q737" s="537"/>
      <c r="R737" s="537"/>
      <c r="S737" s="537"/>
      <c r="T737" s="537"/>
      <c r="U737" s="537"/>
      <c r="V737" s="537"/>
      <c r="W737" s="537"/>
      <c r="X737" s="537"/>
      <c r="Y737" s="537"/>
      <c r="Z737" s="537"/>
    </row>
    <row r="738">
      <c r="A738" s="537"/>
      <c r="B738" s="537"/>
      <c r="C738" s="538"/>
      <c r="D738" s="537"/>
      <c r="E738" s="537"/>
      <c r="F738" s="537"/>
      <c r="G738" s="537"/>
      <c r="H738" s="537"/>
      <c r="I738" s="537"/>
      <c r="J738" s="537"/>
      <c r="K738" s="537"/>
      <c r="L738" s="537"/>
      <c r="M738" s="537"/>
      <c r="N738" s="537"/>
      <c r="O738" s="537"/>
      <c r="P738" s="537"/>
      <c r="Q738" s="537"/>
      <c r="R738" s="537"/>
      <c r="S738" s="537"/>
      <c r="T738" s="537"/>
      <c r="U738" s="537"/>
      <c r="V738" s="537"/>
      <c r="W738" s="537"/>
      <c r="X738" s="537"/>
      <c r="Y738" s="537"/>
      <c r="Z738" s="537"/>
    </row>
    <row r="739">
      <c r="A739" s="537"/>
      <c r="B739" s="537"/>
      <c r="C739" s="538"/>
      <c r="D739" s="537"/>
      <c r="E739" s="537"/>
      <c r="F739" s="537"/>
      <c r="G739" s="537"/>
      <c r="H739" s="537"/>
      <c r="I739" s="537"/>
      <c r="J739" s="537"/>
      <c r="K739" s="537"/>
      <c r="L739" s="537"/>
      <c r="M739" s="537"/>
      <c r="N739" s="537"/>
      <c r="O739" s="537"/>
      <c r="P739" s="537"/>
      <c r="Q739" s="537"/>
      <c r="R739" s="537"/>
      <c r="S739" s="537"/>
      <c r="T739" s="537"/>
      <c r="U739" s="537"/>
      <c r="V739" s="537"/>
      <c r="W739" s="537"/>
      <c r="X739" s="537"/>
      <c r="Y739" s="537"/>
      <c r="Z739" s="537"/>
    </row>
    <row r="740">
      <c r="A740" s="537"/>
      <c r="B740" s="537"/>
      <c r="C740" s="538"/>
      <c r="D740" s="537"/>
      <c r="E740" s="537"/>
      <c r="F740" s="537"/>
      <c r="G740" s="537"/>
      <c r="H740" s="537"/>
      <c r="I740" s="537"/>
      <c r="J740" s="537"/>
      <c r="K740" s="537"/>
      <c r="L740" s="537"/>
      <c r="M740" s="537"/>
      <c r="N740" s="537"/>
      <c r="O740" s="537"/>
      <c r="P740" s="537"/>
      <c r="Q740" s="537"/>
      <c r="R740" s="537"/>
      <c r="S740" s="537"/>
      <c r="T740" s="537"/>
      <c r="U740" s="537"/>
      <c r="V740" s="537"/>
      <c r="W740" s="537"/>
      <c r="X740" s="537"/>
      <c r="Y740" s="537"/>
      <c r="Z740" s="537"/>
    </row>
    <row r="741">
      <c r="A741" s="537"/>
      <c r="B741" s="537"/>
      <c r="C741" s="538"/>
      <c r="D741" s="537"/>
      <c r="E741" s="537"/>
      <c r="F741" s="537"/>
      <c r="G741" s="537"/>
      <c r="H741" s="537"/>
      <c r="I741" s="537"/>
      <c r="J741" s="537"/>
      <c r="K741" s="537"/>
      <c r="L741" s="537"/>
      <c r="M741" s="537"/>
      <c r="N741" s="537"/>
      <c r="O741" s="537"/>
      <c r="P741" s="537"/>
      <c r="Q741" s="537"/>
      <c r="R741" s="537"/>
      <c r="S741" s="537"/>
      <c r="T741" s="537"/>
      <c r="U741" s="537"/>
      <c r="V741" s="537"/>
      <c r="W741" s="537"/>
      <c r="X741" s="537"/>
      <c r="Y741" s="537"/>
      <c r="Z741" s="537"/>
    </row>
    <row r="742">
      <c r="A742" s="537"/>
      <c r="B742" s="537"/>
      <c r="C742" s="538"/>
      <c r="D742" s="537"/>
      <c r="E742" s="537"/>
      <c r="F742" s="537"/>
      <c r="G742" s="537"/>
      <c r="H742" s="537"/>
      <c r="I742" s="537"/>
      <c r="J742" s="537"/>
      <c r="K742" s="537"/>
      <c r="L742" s="537"/>
      <c r="M742" s="537"/>
      <c r="N742" s="537"/>
      <c r="O742" s="537"/>
      <c r="P742" s="537"/>
      <c r="Q742" s="537"/>
      <c r="R742" s="537"/>
      <c r="S742" s="537"/>
      <c r="T742" s="537"/>
      <c r="U742" s="537"/>
      <c r="V742" s="537"/>
      <c r="W742" s="537"/>
      <c r="X742" s="537"/>
      <c r="Y742" s="537"/>
      <c r="Z742" s="537"/>
    </row>
    <row r="743">
      <c r="A743" s="537"/>
      <c r="B743" s="537"/>
      <c r="C743" s="538"/>
      <c r="D743" s="537"/>
      <c r="E743" s="537"/>
      <c r="F743" s="537"/>
      <c r="G743" s="537"/>
      <c r="H743" s="537"/>
      <c r="I743" s="537"/>
      <c r="J743" s="537"/>
      <c r="K743" s="537"/>
      <c r="L743" s="537"/>
      <c r="M743" s="537"/>
      <c r="N743" s="537"/>
      <c r="O743" s="537"/>
      <c r="P743" s="537"/>
      <c r="Q743" s="537"/>
      <c r="R743" s="537"/>
      <c r="S743" s="537"/>
      <c r="T743" s="537"/>
      <c r="U743" s="537"/>
      <c r="V743" s="537"/>
      <c r="W743" s="537"/>
      <c r="X743" s="537"/>
      <c r="Y743" s="537"/>
      <c r="Z743" s="537"/>
    </row>
    <row r="744">
      <c r="A744" s="537"/>
      <c r="B744" s="537"/>
      <c r="C744" s="538"/>
      <c r="D744" s="537"/>
      <c r="E744" s="537"/>
      <c r="F744" s="537"/>
      <c r="G744" s="537"/>
      <c r="H744" s="537"/>
      <c r="I744" s="537"/>
      <c r="J744" s="537"/>
      <c r="K744" s="537"/>
      <c r="L744" s="537"/>
      <c r="M744" s="537"/>
      <c r="N744" s="537"/>
      <c r="O744" s="537"/>
      <c r="P744" s="537"/>
      <c r="Q744" s="537"/>
      <c r="R744" s="537"/>
      <c r="S744" s="537"/>
      <c r="T744" s="537"/>
      <c r="U744" s="537"/>
      <c r="V744" s="537"/>
      <c r="W744" s="537"/>
      <c r="X744" s="537"/>
      <c r="Y744" s="537"/>
      <c r="Z744" s="537"/>
    </row>
    <row r="745">
      <c r="A745" s="537"/>
      <c r="B745" s="537"/>
      <c r="C745" s="538"/>
      <c r="D745" s="537"/>
      <c r="E745" s="537"/>
      <c r="F745" s="537"/>
      <c r="G745" s="537"/>
      <c r="H745" s="537"/>
      <c r="I745" s="537"/>
      <c r="J745" s="537"/>
      <c r="K745" s="537"/>
      <c r="L745" s="537"/>
      <c r="M745" s="537"/>
      <c r="N745" s="537"/>
      <c r="O745" s="537"/>
      <c r="P745" s="537"/>
      <c r="Q745" s="537"/>
      <c r="R745" s="537"/>
      <c r="S745" s="537"/>
      <c r="T745" s="537"/>
      <c r="U745" s="537"/>
      <c r="V745" s="537"/>
      <c r="W745" s="537"/>
      <c r="X745" s="537"/>
      <c r="Y745" s="537"/>
      <c r="Z745" s="537"/>
    </row>
    <row r="746">
      <c r="A746" s="537"/>
      <c r="B746" s="537"/>
      <c r="C746" s="538"/>
      <c r="D746" s="537"/>
      <c r="E746" s="537"/>
      <c r="F746" s="537"/>
      <c r="G746" s="537"/>
      <c r="H746" s="537"/>
      <c r="I746" s="537"/>
      <c r="J746" s="537"/>
      <c r="K746" s="537"/>
      <c r="L746" s="537"/>
      <c r="M746" s="537"/>
      <c r="N746" s="537"/>
      <c r="O746" s="537"/>
      <c r="P746" s="537"/>
      <c r="Q746" s="537"/>
      <c r="R746" s="537"/>
      <c r="S746" s="537"/>
      <c r="T746" s="537"/>
      <c r="U746" s="537"/>
      <c r="V746" s="537"/>
      <c r="W746" s="537"/>
      <c r="X746" s="537"/>
      <c r="Y746" s="537"/>
      <c r="Z746" s="537"/>
    </row>
    <row r="747">
      <c r="A747" s="537"/>
      <c r="B747" s="537"/>
      <c r="C747" s="538"/>
      <c r="D747" s="537"/>
      <c r="E747" s="537"/>
      <c r="F747" s="537"/>
      <c r="G747" s="537"/>
      <c r="H747" s="537"/>
      <c r="I747" s="537"/>
      <c r="J747" s="537"/>
      <c r="K747" s="537"/>
      <c r="L747" s="537"/>
      <c r="M747" s="537"/>
      <c r="N747" s="537"/>
      <c r="O747" s="537"/>
      <c r="P747" s="537"/>
      <c r="Q747" s="537"/>
      <c r="R747" s="537"/>
      <c r="S747" s="537"/>
      <c r="T747" s="537"/>
      <c r="U747" s="537"/>
      <c r="V747" s="537"/>
      <c r="W747" s="537"/>
      <c r="X747" s="537"/>
      <c r="Y747" s="537"/>
      <c r="Z747" s="537"/>
    </row>
    <row r="748">
      <c r="A748" s="537"/>
      <c r="B748" s="537"/>
      <c r="C748" s="538"/>
      <c r="D748" s="537"/>
      <c r="E748" s="537"/>
      <c r="F748" s="537"/>
      <c r="G748" s="537"/>
      <c r="H748" s="537"/>
      <c r="I748" s="537"/>
      <c r="J748" s="537"/>
      <c r="K748" s="537"/>
      <c r="L748" s="537"/>
      <c r="M748" s="537"/>
      <c r="N748" s="537"/>
      <c r="O748" s="537"/>
      <c r="P748" s="537"/>
      <c r="Q748" s="537"/>
      <c r="R748" s="537"/>
      <c r="S748" s="537"/>
      <c r="T748" s="537"/>
      <c r="U748" s="537"/>
      <c r="V748" s="537"/>
      <c r="W748" s="537"/>
      <c r="X748" s="537"/>
      <c r="Y748" s="537"/>
      <c r="Z748" s="537"/>
    </row>
    <row r="749">
      <c r="A749" s="537"/>
      <c r="B749" s="537"/>
      <c r="C749" s="538"/>
      <c r="D749" s="537"/>
      <c r="E749" s="537"/>
      <c r="F749" s="537"/>
      <c r="G749" s="537"/>
      <c r="H749" s="537"/>
      <c r="I749" s="537"/>
      <c r="J749" s="537"/>
      <c r="K749" s="537"/>
      <c r="L749" s="537"/>
      <c r="M749" s="537"/>
      <c r="N749" s="537"/>
      <c r="O749" s="537"/>
      <c r="P749" s="537"/>
      <c r="Q749" s="537"/>
      <c r="R749" s="537"/>
      <c r="S749" s="537"/>
      <c r="T749" s="537"/>
      <c r="U749" s="537"/>
      <c r="V749" s="537"/>
      <c r="W749" s="537"/>
      <c r="X749" s="537"/>
      <c r="Y749" s="537"/>
      <c r="Z749" s="537"/>
    </row>
    <row r="750">
      <c r="A750" s="537"/>
      <c r="B750" s="537"/>
      <c r="C750" s="538"/>
      <c r="D750" s="537"/>
      <c r="E750" s="537"/>
      <c r="F750" s="537"/>
      <c r="G750" s="537"/>
      <c r="H750" s="537"/>
      <c r="I750" s="537"/>
      <c r="J750" s="537"/>
      <c r="K750" s="537"/>
      <c r="L750" s="537"/>
      <c r="M750" s="537"/>
      <c r="N750" s="537"/>
      <c r="O750" s="537"/>
      <c r="P750" s="537"/>
      <c r="Q750" s="537"/>
      <c r="R750" s="537"/>
      <c r="S750" s="537"/>
      <c r="T750" s="537"/>
      <c r="U750" s="537"/>
      <c r="V750" s="537"/>
      <c r="W750" s="537"/>
      <c r="X750" s="537"/>
      <c r="Y750" s="537"/>
      <c r="Z750" s="537"/>
    </row>
    <row r="751">
      <c r="A751" s="537"/>
      <c r="B751" s="537"/>
      <c r="C751" s="538"/>
      <c r="D751" s="537"/>
      <c r="E751" s="537"/>
      <c r="F751" s="537"/>
      <c r="G751" s="537"/>
      <c r="H751" s="537"/>
      <c r="I751" s="537"/>
      <c r="J751" s="537"/>
      <c r="K751" s="537"/>
      <c r="L751" s="537"/>
      <c r="M751" s="537"/>
      <c r="N751" s="537"/>
      <c r="O751" s="537"/>
      <c r="P751" s="537"/>
      <c r="Q751" s="537"/>
      <c r="R751" s="537"/>
      <c r="S751" s="537"/>
      <c r="T751" s="537"/>
      <c r="U751" s="537"/>
      <c r="V751" s="537"/>
      <c r="W751" s="537"/>
      <c r="X751" s="537"/>
      <c r="Y751" s="537"/>
      <c r="Z751" s="537"/>
    </row>
    <row r="752">
      <c r="A752" s="537"/>
      <c r="B752" s="537"/>
      <c r="C752" s="538"/>
      <c r="D752" s="537"/>
      <c r="E752" s="537"/>
      <c r="F752" s="537"/>
      <c r="G752" s="537"/>
      <c r="H752" s="537"/>
      <c r="I752" s="537"/>
      <c r="J752" s="537"/>
      <c r="K752" s="537"/>
      <c r="L752" s="537"/>
      <c r="M752" s="537"/>
      <c r="N752" s="537"/>
      <c r="O752" s="537"/>
      <c r="P752" s="537"/>
      <c r="Q752" s="537"/>
      <c r="R752" s="537"/>
      <c r="S752" s="537"/>
      <c r="T752" s="537"/>
      <c r="U752" s="537"/>
      <c r="V752" s="537"/>
      <c r="W752" s="537"/>
      <c r="X752" s="537"/>
      <c r="Y752" s="537"/>
      <c r="Z752" s="537"/>
    </row>
    <row r="753">
      <c r="A753" s="537"/>
      <c r="B753" s="537"/>
      <c r="C753" s="538"/>
      <c r="D753" s="537"/>
      <c r="E753" s="537"/>
      <c r="F753" s="537"/>
      <c r="G753" s="537"/>
      <c r="H753" s="537"/>
      <c r="I753" s="537"/>
      <c r="J753" s="537"/>
      <c r="K753" s="537"/>
      <c r="L753" s="537"/>
      <c r="M753" s="537"/>
      <c r="N753" s="537"/>
      <c r="O753" s="537"/>
      <c r="P753" s="537"/>
      <c r="Q753" s="537"/>
      <c r="R753" s="537"/>
      <c r="S753" s="537"/>
      <c r="T753" s="537"/>
      <c r="U753" s="537"/>
      <c r="V753" s="537"/>
      <c r="W753" s="537"/>
      <c r="X753" s="537"/>
      <c r="Y753" s="537"/>
      <c r="Z753" s="537"/>
    </row>
    <row r="754">
      <c r="A754" s="537"/>
      <c r="B754" s="537"/>
      <c r="C754" s="538"/>
      <c r="D754" s="537"/>
      <c r="E754" s="537"/>
      <c r="F754" s="537"/>
      <c r="G754" s="537"/>
      <c r="H754" s="537"/>
      <c r="I754" s="537"/>
      <c r="J754" s="537"/>
      <c r="K754" s="537"/>
      <c r="L754" s="537"/>
      <c r="M754" s="537"/>
      <c r="N754" s="537"/>
      <c r="O754" s="537"/>
      <c r="P754" s="537"/>
      <c r="Q754" s="537"/>
      <c r="R754" s="537"/>
      <c r="S754" s="537"/>
      <c r="T754" s="537"/>
      <c r="U754" s="537"/>
      <c r="V754" s="537"/>
      <c r="W754" s="537"/>
      <c r="X754" s="537"/>
      <c r="Y754" s="537"/>
      <c r="Z754" s="537"/>
    </row>
    <row r="755">
      <c r="A755" s="537"/>
      <c r="B755" s="537"/>
      <c r="C755" s="538"/>
      <c r="D755" s="537"/>
      <c r="E755" s="537"/>
      <c r="F755" s="537"/>
      <c r="G755" s="537"/>
      <c r="H755" s="537"/>
      <c r="I755" s="537"/>
      <c r="J755" s="537"/>
      <c r="K755" s="537"/>
      <c r="L755" s="537"/>
      <c r="M755" s="537"/>
      <c r="N755" s="537"/>
      <c r="O755" s="537"/>
      <c r="P755" s="537"/>
      <c r="Q755" s="537"/>
      <c r="R755" s="537"/>
      <c r="S755" s="537"/>
      <c r="T755" s="537"/>
      <c r="U755" s="537"/>
      <c r="V755" s="537"/>
      <c r="W755" s="537"/>
      <c r="X755" s="537"/>
      <c r="Y755" s="537"/>
      <c r="Z755" s="537"/>
    </row>
    <row r="756">
      <c r="A756" s="537"/>
      <c r="B756" s="537"/>
      <c r="C756" s="538"/>
      <c r="D756" s="537"/>
      <c r="E756" s="537"/>
      <c r="F756" s="537"/>
      <c r="G756" s="537"/>
      <c r="H756" s="537"/>
      <c r="I756" s="537"/>
      <c r="J756" s="537"/>
      <c r="K756" s="537"/>
      <c r="L756" s="537"/>
      <c r="M756" s="537"/>
      <c r="N756" s="537"/>
      <c r="O756" s="537"/>
      <c r="P756" s="537"/>
      <c r="Q756" s="537"/>
      <c r="R756" s="537"/>
      <c r="S756" s="537"/>
      <c r="T756" s="537"/>
      <c r="U756" s="537"/>
      <c r="V756" s="537"/>
      <c r="W756" s="537"/>
      <c r="X756" s="537"/>
      <c r="Y756" s="537"/>
      <c r="Z756" s="537"/>
    </row>
    <row r="757">
      <c r="A757" s="537"/>
      <c r="B757" s="537"/>
      <c r="C757" s="538"/>
      <c r="D757" s="537"/>
      <c r="E757" s="537"/>
      <c r="F757" s="537"/>
      <c r="G757" s="537"/>
      <c r="H757" s="537"/>
      <c r="I757" s="537"/>
      <c r="J757" s="537"/>
      <c r="K757" s="537"/>
      <c r="L757" s="537"/>
      <c r="M757" s="537"/>
      <c r="N757" s="537"/>
      <c r="O757" s="537"/>
      <c r="P757" s="537"/>
      <c r="Q757" s="537"/>
      <c r="R757" s="537"/>
      <c r="S757" s="537"/>
      <c r="T757" s="537"/>
      <c r="U757" s="537"/>
      <c r="V757" s="537"/>
      <c r="W757" s="537"/>
      <c r="X757" s="537"/>
      <c r="Y757" s="537"/>
      <c r="Z757" s="537"/>
    </row>
    <row r="758">
      <c r="A758" s="537"/>
      <c r="B758" s="537"/>
      <c r="C758" s="538"/>
      <c r="D758" s="537"/>
      <c r="E758" s="537"/>
      <c r="F758" s="537"/>
      <c r="G758" s="537"/>
      <c r="H758" s="537"/>
      <c r="I758" s="537"/>
      <c r="J758" s="537"/>
      <c r="K758" s="537"/>
      <c r="L758" s="537"/>
      <c r="M758" s="537"/>
      <c r="N758" s="537"/>
      <c r="O758" s="537"/>
      <c r="P758" s="537"/>
      <c r="Q758" s="537"/>
      <c r="R758" s="537"/>
      <c r="S758" s="537"/>
      <c r="T758" s="537"/>
      <c r="U758" s="537"/>
      <c r="V758" s="537"/>
      <c r="W758" s="537"/>
      <c r="X758" s="537"/>
      <c r="Y758" s="537"/>
      <c r="Z758" s="537"/>
    </row>
    <row r="759">
      <c r="A759" s="537"/>
      <c r="B759" s="537"/>
      <c r="C759" s="538"/>
      <c r="D759" s="537"/>
      <c r="E759" s="537"/>
      <c r="F759" s="537"/>
      <c r="G759" s="537"/>
      <c r="H759" s="537"/>
      <c r="I759" s="537"/>
      <c r="J759" s="537"/>
      <c r="K759" s="537"/>
      <c r="L759" s="537"/>
      <c r="M759" s="537"/>
      <c r="N759" s="537"/>
      <c r="O759" s="537"/>
      <c r="P759" s="537"/>
      <c r="Q759" s="537"/>
      <c r="R759" s="537"/>
      <c r="S759" s="537"/>
      <c r="T759" s="537"/>
      <c r="U759" s="537"/>
      <c r="V759" s="537"/>
      <c r="W759" s="537"/>
      <c r="X759" s="537"/>
      <c r="Y759" s="537"/>
      <c r="Z759" s="537"/>
    </row>
    <row r="760">
      <c r="A760" s="537"/>
      <c r="B760" s="537"/>
      <c r="C760" s="538"/>
      <c r="D760" s="537"/>
      <c r="E760" s="537"/>
      <c r="F760" s="537"/>
      <c r="G760" s="537"/>
      <c r="H760" s="537"/>
      <c r="I760" s="537"/>
      <c r="J760" s="537"/>
      <c r="K760" s="537"/>
      <c r="L760" s="537"/>
      <c r="M760" s="537"/>
      <c r="N760" s="537"/>
      <c r="O760" s="537"/>
      <c r="P760" s="537"/>
      <c r="Q760" s="537"/>
      <c r="R760" s="537"/>
      <c r="S760" s="537"/>
      <c r="T760" s="537"/>
      <c r="U760" s="537"/>
      <c r="V760" s="537"/>
      <c r="W760" s="537"/>
      <c r="X760" s="537"/>
      <c r="Y760" s="537"/>
      <c r="Z760" s="537"/>
    </row>
    <row r="761">
      <c r="A761" s="537"/>
      <c r="B761" s="537"/>
      <c r="C761" s="538"/>
      <c r="D761" s="537"/>
      <c r="E761" s="537"/>
      <c r="F761" s="537"/>
      <c r="G761" s="537"/>
      <c r="H761" s="537"/>
      <c r="I761" s="537"/>
      <c r="J761" s="537"/>
      <c r="K761" s="537"/>
      <c r="L761" s="537"/>
      <c r="M761" s="537"/>
      <c r="N761" s="537"/>
      <c r="O761" s="537"/>
      <c r="P761" s="537"/>
      <c r="Q761" s="537"/>
      <c r="R761" s="537"/>
      <c r="S761" s="537"/>
      <c r="T761" s="537"/>
      <c r="U761" s="537"/>
      <c r="V761" s="537"/>
      <c r="W761" s="537"/>
      <c r="X761" s="537"/>
      <c r="Y761" s="537"/>
      <c r="Z761" s="537"/>
    </row>
    <row r="762">
      <c r="A762" s="537"/>
      <c r="B762" s="537"/>
      <c r="C762" s="538"/>
      <c r="D762" s="537"/>
      <c r="E762" s="537"/>
      <c r="F762" s="537"/>
      <c r="G762" s="537"/>
      <c r="H762" s="537"/>
      <c r="I762" s="537"/>
      <c r="J762" s="537"/>
      <c r="K762" s="537"/>
      <c r="L762" s="537"/>
      <c r="M762" s="537"/>
      <c r="N762" s="537"/>
      <c r="O762" s="537"/>
      <c r="P762" s="537"/>
      <c r="Q762" s="537"/>
      <c r="R762" s="537"/>
      <c r="S762" s="537"/>
      <c r="T762" s="537"/>
      <c r="U762" s="537"/>
      <c r="V762" s="537"/>
      <c r="W762" s="537"/>
      <c r="X762" s="537"/>
      <c r="Y762" s="537"/>
      <c r="Z762" s="537"/>
    </row>
    <row r="763">
      <c r="A763" s="537"/>
      <c r="B763" s="537"/>
      <c r="C763" s="538"/>
      <c r="D763" s="537"/>
      <c r="E763" s="537"/>
      <c r="F763" s="537"/>
      <c r="G763" s="537"/>
      <c r="H763" s="537"/>
      <c r="I763" s="537"/>
      <c r="J763" s="537"/>
      <c r="K763" s="537"/>
      <c r="L763" s="537"/>
      <c r="M763" s="537"/>
      <c r="N763" s="537"/>
      <c r="O763" s="537"/>
      <c r="P763" s="537"/>
      <c r="Q763" s="537"/>
      <c r="R763" s="537"/>
      <c r="S763" s="537"/>
      <c r="T763" s="537"/>
      <c r="U763" s="537"/>
      <c r="V763" s="537"/>
      <c r="W763" s="537"/>
      <c r="X763" s="537"/>
      <c r="Y763" s="537"/>
      <c r="Z763" s="537"/>
    </row>
    <row r="764">
      <c r="A764" s="537"/>
      <c r="B764" s="537"/>
      <c r="C764" s="538"/>
      <c r="D764" s="537"/>
      <c r="E764" s="537"/>
      <c r="F764" s="537"/>
      <c r="G764" s="537"/>
      <c r="H764" s="537"/>
      <c r="I764" s="537"/>
      <c r="J764" s="537"/>
      <c r="K764" s="537"/>
      <c r="L764" s="537"/>
      <c r="M764" s="537"/>
      <c r="N764" s="537"/>
      <c r="O764" s="537"/>
      <c r="P764" s="537"/>
      <c r="Q764" s="537"/>
      <c r="R764" s="537"/>
      <c r="S764" s="537"/>
      <c r="T764" s="537"/>
      <c r="U764" s="537"/>
      <c r="V764" s="537"/>
      <c r="W764" s="537"/>
      <c r="X764" s="537"/>
      <c r="Y764" s="537"/>
      <c r="Z764" s="537"/>
    </row>
    <row r="765">
      <c r="A765" s="537"/>
      <c r="B765" s="537"/>
      <c r="C765" s="538"/>
      <c r="D765" s="537"/>
      <c r="E765" s="537"/>
      <c r="F765" s="537"/>
      <c r="G765" s="537"/>
      <c r="H765" s="537"/>
      <c r="I765" s="537"/>
      <c r="J765" s="537"/>
      <c r="K765" s="537"/>
      <c r="L765" s="537"/>
      <c r="M765" s="537"/>
      <c r="N765" s="537"/>
      <c r="O765" s="537"/>
      <c r="P765" s="537"/>
      <c r="Q765" s="537"/>
      <c r="R765" s="537"/>
      <c r="S765" s="537"/>
      <c r="T765" s="537"/>
      <c r="U765" s="537"/>
      <c r="V765" s="537"/>
      <c r="W765" s="537"/>
      <c r="X765" s="537"/>
      <c r="Y765" s="537"/>
      <c r="Z765" s="537"/>
    </row>
    <row r="766">
      <c r="A766" s="537"/>
      <c r="B766" s="537"/>
      <c r="C766" s="538"/>
      <c r="D766" s="537"/>
      <c r="E766" s="537"/>
      <c r="F766" s="537"/>
      <c r="G766" s="537"/>
      <c r="H766" s="537"/>
      <c r="I766" s="537"/>
      <c r="J766" s="537"/>
      <c r="K766" s="537"/>
      <c r="L766" s="537"/>
      <c r="M766" s="537"/>
      <c r="N766" s="537"/>
      <c r="O766" s="537"/>
      <c r="P766" s="537"/>
      <c r="Q766" s="537"/>
      <c r="R766" s="537"/>
      <c r="S766" s="537"/>
      <c r="T766" s="537"/>
      <c r="U766" s="537"/>
      <c r="V766" s="537"/>
      <c r="W766" s="537"/>
      <c r="X766" s="537"/>
      <c r="Y766" s="537"/>
      <c r="Z766" s="537"/>
    </row>
    <row r="767">
      <c r="A767" s="537"/>
      <c r="B767" s="537"/>
      <c r="C767" s="538"/>
      <c r="D767" s="537"/>
      <c r="E767" s="537"/>
      <c r="F767" s="537"/>
      <c r="G767" s="537"/>
      <c r="H767" s="537"/>
      <c r="I767" s="537"/>
      <c r="J767" s="537"/>
      <c r="K767" s="537"/>
      <c r="L767" s="537"/>
      <c r="M767" s="537"/>
      <c r="N767" s="537"/>
      <c r="O767" s="537"/>
      <c r="P767" s="537"/>
      <c r="Q767" s="537"/>
      <c r="R767" s="537"/>
      <c r="S767" s="537"/>
      <c r="T767" s="537"/>
      <c r="U767" s="537"/>
      <c r="V767" s="537"/>
      <c r="W767" s="537"/>
      <c r="X767" s="537"/>
      <c r="Y767" s="537"/>
      <c r="Z767" s="537"/>
    </row>
    <row r="768">
      <c r="A768" s="537"/>
      <c r="B768" s="537"/>
      <c r="C768" s="538"/>
      <c r="D768" s="537"/>
      <c r="E768" s="537"/>
      <c r="F768" s="537"/>
      <c r="G768" s="537"/>
      <c r="H768" s="537"/>
      <c r="I768" s="537"/>
      <c r="J768" s="537"/>
      <c r="K768" s="537"/>
      <c r="L768" s="537"/>
      <c r="M768" s="537"/>
      <c r="N768" s="537"/>
      <c r="O768" s="537"/>
      <c r="P768" s="537"/>
      <c r="Q768" s="537"/>
      <c r="R768" s="537"/>
      <c r="S768" s="537"/>
      <c r="T768" s="537"/>
      <c r="U768" s="537"/>
      <c r="V768" s="537"/>
      <c r="W768" s="537"/>
      <c r="X768" s="537"/>
      <c r="Y768" s="537"/>
      <c r="Z768" s="537"/>
    </row>
    <row r="769">
      <c r="A769" s="537"/>
      <c r="B769" s="537"/>
      <c r="C769" s="538"/>
      <c r="D769" s="537"/>
      <c r="E769" s="537"/>
      <c r="F769" s="537"/>
      <c r="G769" s="537"/>
      <c r="H769" s="537"/>
      <c r="I769" s="537"/>
      <c r="J769" s="537"/>
      <c r="K769" s="537"/>
      <c r="L769" s="537"/>
      <c r="M769" s="537"/>
      <c r="N769" s="537"/>
      <c r="O769" s="537"/>
      <c r="P769" s="537"/>
      <c r="Q769" s="537"/>
      <c r="R769" s="537"/>
      <c r="S769" s="537"/>
      <c r="T769" s="537"/>
      <c r="U769" s="537"/>
      <c r="V769" s="537"/>
      <c r="W769" s="537"/>
      <c r="X769" s="537"/>
      <c r="Y769" s="537"/>
      <c r="Z769" s="537"/>
    </row>
    <row r="770">
      <c r="A770" s="537"/>
      <c r="B770" s="537"/>
      <c r="C770" s="538"/>
      <c r="D770" s="537"/>
      <c r="E770" s="537"/>
      <c r="F770" s="537"/>
      <c r="G770" s="537"/>
      <c r="H770" s="537"/>
      <c r="I770" s="537"/>
      <c r="J770" s="537"/>
      <c r="K770" s="537"/>
      <c r="L770" s="537"/>
      <c r="M770" s="537"/>
      <c r="N770" s="537"/>
      <c r="O770" s="537"/>
      <c r="P770" s="537"/>
      <c r="Q770" s="537"/>
      <c r="R770" s="537"/>
      <c r="S770" s="537"/>
      <c r="T770" s="537"/>
      <c r="U770" s="537"/>
      <c r="V770" s="537"/>
      <c r="W770" s="537"/>
      <c r="X770" s="537"/>
      <c r="Y770" s="537"/>
      <c r="Z770" s="537"/>
    </row>
    <row r="771">
      <c r="A771" s="537"/>
      <c r="B771" s="537"/>
      <c r="C771" s="538"/>
      <c r="D771" s="537"/>
      <c r="E771" s="537"/>
      <c r="F771" s="537"/>
      <c r="G771" s="537"/>
      <c r="H771" s="537"/>
      <c r="I771" s="537"/>
      <c r="J771" s="537"/>
      <c r="K771" s="537"/>
      <c r="L771" s="537"/>
      <c r="M771" s="537"/>
      <c r="N771" s="537"/>
      <c r="O771" s="537"/>
      <c r="P771" s="537"/>
      <c r="Q771" s="537"/>
      <c r="R771" s="537"/>
      <c r="S771" s="537"/>
      <c r="T771" s="537"/>
      <c r="U771" s="537"/>
      <c r="V771" s="537"/>
      <c r="W771" s="537"/>
      <c r="X771" s="537"/>
      <c r="Y771" s="537"/>
      <c r="Z771" s="537"/>
    </row>
    <row r="772">
      <c r="A772" s="537"/>
      <c r="B772" s="537"/>
      <c r="C772" s="538"/>
      <c r="D772" s="537"/>
      <c r="E772" s="537"/>
      <c r="F772" s="537"/>
      <c r="G772" s="537"/>
      <c r="H772" s="537"/>
      <c r="I772" s="537"/>
      <c r="J772" s="537"/>
      <c r="K772" s="537"/>
      <c r="L772" s="537"/>
      <c r="M772" s="537"/>
      <c r="N772" s="537"/>
      <c r="O772" s="537"/>
      <c r="P772" s="537"/>
      <c r="Q772" s="537"/>
      <c r="R772" s="537"/>
      <c r="S772" s="537"/>
      <c r="T772" s="537"/>
      <c r="U772" s="537"/>
      <c r="V772" s="537"/>
      <c r="W772" s="537"/>
      <c r="X772" s="537"/>
      <c r="Y772" s="537"/>
      <c r="Z772" s="537"/>
    </row>
    <row r="773">
      <c r="A773" s="537"/>
      <c r="B773" s="537"/>
      <c r="C773" s="538"/>
      <c r="D773" s="537"/>
      <c r="E773" s="537"/>
      <c r="F773" s="537"/>
      <c r="G773" s="537"/>
      <c r="H773" s="537"/>
      <c r="I773" s="537"/>
      <c r="J773" s="537"/>
      <c r="K773" s="537"/>
      <c r="L773" s="537"/>
      <c r="M773" s="537"/>
      <c r="N773" s="537"/>
      <c r="O773" s="537"/>
      <c r="P773" s="537"/>
      <c r="Q773" s="537"/>
      <c r="R773" s="537"/>
      <c r="S773" s="537"/>
      <c r="T773" s="537"/>
      <c r="U773" s="537"/>
      <c r="V773" s="537"/>
      <c r="W773" s="537"/>
      <c r="X773" s="537"/>
      <c r="Y773" s="537"/>
      <c r="Z773" s="537"/>
    </row>
    <row r="774">
      <c r="A774" s="537"/>
      <c r="B774" s="537"/>
      <c r="C774" s="538"/>
      <c r="D774" s="537"/>
      <c r="E774" s="537"/>
      <c r="F774" s="537"/>
      <c r="G774" s="537"/>
      <c r="H774" s="537"/>
      <c r="I774" s="537"/>
      <c r="J774" s="537"/>
      <c r="K774" s="537"/>
      <c r="L774" s="537"/>
      <c r="M774" s="537"/>
      <c r="N774" s="537"/>
      <c r="O774" s="537"/>
      <c r="P774" s="537"/>
      <c r="Q774" s="537"/>
      <c r="R774" s="537"/>
      <c r="S774" s="537"/>
      <c r="T774" s="537"/>
      <c r="U774" s="537"/>
      <c r="V774" s="537"/>
      <c r="W774" s="537"/>
      <c r="X774" s="537"/>
      <c r="Y774" s="537"/>
      <c r="Z774" s="537"/>
    </row>
    <row r="775">
      <c r="A775" s="537"/>
      <c r="B775" s="537"/>
      <c r="C775" s="538"/>
      <c r="D775" s="537"/>
      <c r="E775" s="537"/>
      <c r="F775" s="537"/>
      <c r="G775" s="537"/>
      <c r="H775" s="537"/>
      <c r="I775" s="537"/>
      <c r="J775" s="537"/>
      <c r="K775" s="537"/>
      <c r="L775" s="537"/>
      <c r="M775" s="537"/>
      <c r="N775" s="537"/>
      <c r="O775" s="537"/>
      <c r="P775" s="537"/>
      <c r="Q775" s="537"/>
      <c r="R775" s="537"/>
      <c r="S775" s="537"/>
      <c r="T775" s="537"/>
      <c r="U775" s="537"/>
      <c r="V775" s="537"/>
      <c r="W775" s="537"/>
      <c r="X775" s="537"/>
      <c r="Y775" s="537"/>
      <c r="Z775" s="537"/>
    </row>
    <row r="776">
      <c r="A776" s="537"/>
      <c r="B776" s="537"/>
      <c r="C776" s="538"/>
      <c r="D776" s="537"/>
      <c r="E776" s="537"/>
      <c r="F776" s="537"/>
      <c r="G776" s="537"/>
      <c r="H776" s="537"/>
      <c r="I776" s="537"/>
      <c r="J776" s="537"/>
      <c r="K776" s="537"/>
      <c r="L776" s="537"/>
      <c r="M776" s="537"/>
      <c r="N776" s="537"/>
      <c r="O776" s="537"/>
      <c r="P776" s="537"/>
      <c r="Q776" s="537"/>
      <c r="R776" s="537"/>
      <c r="S776" s="537"/>
      <c r="T776" s="537"/>
      <c r="U776" s="537"/>
      <c r="V776" s="537"/>
      <c r="W776" s="537"/>
      <c r="X776" s="537"/>
      <c r="Y776" s="537"/>
      <c r="Z776" s="537"/>
    </row>
    <row r="777">
      <c r="A777" s="537"/>
      <c r="B777" s="537"/>
      <c r="C777" s="538"/>
      <c r="D777" s="537"/>
      <c r="E777" s="537"/>
      <c r="F777" s="537"/>
      <c r="G777" s="537"/>
      <c r="H777" s="537"/>
      <c r="I777" s="537"/>
      <c r="J777" s="537"/>
      <c r="K777" s="537"/>
      <c r="L777" s="537"/>
      <c r="M777" s="537"/>
      <c r="N777" s="537"/>
      <c r="O777" s="537"/>
      <c r="P777" s="537"/>
      <c r="Q777" s="537"/>
      <c r="R777" s="537"/>
      <c r="S777" s="537"/>
      <c r="T777" s="537"/>
      <c r="U777" s="537"/>
      <c r="V777" s="537"/>
      <c r="W777" s="537"/>
      <c r="X777" s="537"/>
      <c r="Y777" s="537"/>
      <c r="Z777" s="537"/>
    </row>
    <row r="778">
      <c r="A778" s="537"/>
      <c r="B778" s="537"/>
      <c r="C778" s="538"/>
      <c r="D778" s="537"/>
      <c r="E778" s="537"/>
      <c r="F778" s="537"/>
      <c r="G778" s="537"/>
      <c r="H778" s="537"/>
      <c r="I778" s="537"/>
      <c r="J778" s="537"/>
      <c r="K778" s="537"/>
      <c r="L778" s="537"/>
      <c r="M778" s="537"/>
      <c r="N778" s="537"/>
      <c r="O778" s="537"/>
      <c r="P778" s="537"/>
      <c r="Q778" s="537"/>
      <c r="R778" s="537"/>
      <c r="S778" s="537"/>
      <c r="T778" s="537"/>
      <c r="U778" s="537"/>
      <c r="V778" s="537"/>
      <c r="W778" s="537"/>
      <c r="X778" s="537"/>
      <c r="Y778" s="537"/>
      <c r="Z778" s="537"/>
    </row>
    <row r="779">
      <c r="A779" s="537"/>
      <c r="B779" s="537"/>
      <c r="C779" s="538"/>
      <c r="D779" s="537"/>
      <c r="E779" s="537"/>
      <c r="F779" s="537"/>
      <c r="G779" s="537"/>
      <c r="H779" s="537"/>
      <c r="I779" s="537"/>
      <c r="J779" s="537"/>
      <c r="K779" s="537"/>
      <c r="L779" s="537"/>
      <c r="M779" s="537"/>
      <c r="N779" s="537"/>
      <c r="O779" s="537"/>
      <c r="P779" s="537"/>
      <c r="Q779" s="537"/>
      <c r="R779" s="537"/>
      <c r="S779" s="537"/>
      <c r="T779" s="537"/>
      <c r="U779" s="537"/>
      <c r="V779" s="537"/>
      <c r="W779" s="537"/>
      <c r="X779" s="537"/>
      <c r="Y779" s="537"/>
      <c r="Z779" s="537"/>
    </row>
    <row r="780">
      <c r="A780" s="537"/>
      <c r="B780" s="537"/>
      <c r="C780" s="538"/>
      <c r="D780" s="537"/>
      <c r="E780" s="537"/>
      <c r="F780" s="537"/>
      <c r="G780" s="537"/>
      <c r="H780" s="537"/>
      <c r="I780" s="537"/>
      <c r="J780" s="537"/>
      <c r="K780" s="537"/>
      <c r="L780" s="537"/>
      <c r="M780" s="537"/>
      <c r="N780" s="537"/>
      <c r="O780" s="537"/>
      <c r="P780" s="537"/>
      <c r="Q780" s="537"/>
      <c r="R780" s="537"/>
      <c r="S780" s="537"/>
      <c r="T780" s="537"/>
      <c r="U780" s="537"/>
      <c r="V780" s="537"/>
      <c r="W780" s="537"/>
      <c r="X780" s="537"/>
      <c r="Y780" s="537"/>
      <c r="Z780" s="537"/>
    </row>
    <row r="781">
      <c r="A781" s="537"/>
      <c r="B781" s="537"/>
      <c r="C781" s="538"/>
      <c r="D781" s="537"/>
      <c r="E781" s="537"/>
      <c r="F781" s="537"/>
      <c r="G781" s="537"/>
      <c r="H781" s="537"/>
      <c r="I781" s="537"/>
      <c r="J781" s="537"/>
      <c r="K781" s="537"/>
      <c r="L781" s="537"/>
      <c r="M781" s="537"/>
      <c r="N781" s="537"/>
      <c r="O781" s="537"/>
      <c r="P781" s="537"/>
      <c r="Q781" s="537"/>
      <c r="R781" s="537"/>
      <c r="S781" s="537"/>
      <c r="T781" s="537"/>
      <c r="U781" s="537"/>
      <c r="V781" s="537"/>
      <c r="W781" s="537"/>
      <c r="X781" s="537"/>
      <c r="Y781" s="537"/>
      <c r="Z781" s="537"/>
    </row>
    <row r="782">
      <c r="A782" s="537"/>
      <c r="B782" s="537"/>
      <c r="C782" s="538"/>
      <c r="D782" s="537"/>
      <c r="E782" s="537"/>
      <c r="F782" s="537"/>
      <c r="G782" s="537"/>
      <c r="H782" s="537"/>
      <c r="I782" s="537"/>
      <c r="J782" s="537"/>
      <c r="K782" s="537"/>
      <c r="L782" s="537"/>
      <c r="M782" s="537"/>
      <c r="N782" s="537"/>
      <c r="O782" s="537"/>
      <c r="P782" s="537"/>
      <c r="Q782" s="537"/>
      <c r="R782" s="537"/>
      <c r="S782" s="537"/>
      <c r="T782" s="537"/>
      <c r="U782" s="537"/>
      <c r="V782" s="537"/>
      <c r="W782" s="537"/>
      <c r="X782" s="537"/>
      <c r="Y782" s="537"/>
      <c r="Z782" s="537"/>
    </row>
    <row r="783">
      <c r="A783" s="537"/>
      <c r="B783" s="537"/>
      <c r="C783" s="538"/>
      <c r="D783" s="537"/>
      <c r="E783" s="537"/>
      <c r="F783" s="537"/>
      <c r="G783" s="537"/>
      <c r="H783" s="537"/>
      <c r="I783" s="537"/>
      <c r="J783" s="537"/>
      <c r="K783" s="537"/>
      <c r="L783" s="537"/>
      <c r="M783" s="537"/>
      <c r="N783" s="537"/>
      <c r="O783" s="537"/>
      <c r="P783" s="537"/>
      <c r="Q783" s="537"/>
      <c r="R783" s="537"/>
      <c r="S783" s="537"/>
      <c r="T783" s="537"/>
      <c r="U783" s="537"/>
      <c r="V783" s="537"/>
      <c r="W783" s="537"/>
      <c r="X783" s="537"/>
      <c r="Y783" s="537"/>
      <c r="Z783" s="537"/>
    </row>
    <row r="784">
      <c r="A784" s="537"/>
      <c r="B784" s="537"/>
      <c r="C784" s="538"/>
      <c r="D784" s="537"/>
      <c r="E784" s="537"/>
      <c r="F784" s="537"/>
      <c r="G784" s="537"/>
      <c r="H784" s="537"/>
      <c r="I784" s="537"/>
      <c r="J784" s="537"/>
      <c r="K784" s="537"/>
      <c r="L784" s="537"/>
      <c r="M784" s="537"/>
      <c r="N784" s="537"/>
      <c r="O784" s="537"/>
      <c r="P784" s="537"/>
      <c r="Q784" s="537"/>
      <c r="R784" s="537"/>
      <c r="S784" s="537"/>
      <c r="T784" s="537"/>
      <c r="U784" s="537"/>
      <c r="V784" s="537"/>
      <c r="W784" s="537"/>
      <c r="X784" s="537"/>
      <c r="Y784" s="537"/>
      <c r="Z784" s="537"/>
    </row>
    <row r="785">
      <c r="A785" s="537"/>
      <c r="B785" s="537"/>
      <c r="C785" s="538"/>
      <c r="D785" s="537"/>
      <c r="E785" s="537"/>
      <c r="F785" s="537"/>
      <c r="G785" s="537"/>
      <c r="H785" s="537"/>
      <c r="I785" s="537"/>
      <c r="J785" s="537"/>
      <c r="K785" s="537"/>
      <c r="L785" s="537"/>
      <c r="M785" s="537"/>
      <c r="N785" s="537"/>
      <c r="O785" s="537"/>
      <c r="P785" s="537"/>
      <c r="Q785" s="537"/>
      <c r="R785" s="537"/>
      <c r="S785" s="537"/>
      <c r="T785" s="537"/>
      <c r="U785" s="537"/>
      <c r="V785" s="537"/>
      <c r="W785" s="537"/>
      <c r="X785" s="537"/>
      <c r="Y785" s="537"/>
      <c r="Z785" s="537"/>
    </row>
    <row r="786">
      <c r="A786" s="537"/>
      <c r="B786" s="537"/>
      <c r="C786" s="538"/>
      <c r="D786" s="537"/>
      <c r="E786" s="537"/>
      <c r="F786" s="537"/>
      <c r="G786" s="537"/>
      <c r="H786" s="537"/>
      <c r="I786" s="537"/>
      <c r="J786" s="537"/>
      <c r="K786" s="537"/>
      <c r="L786" s="537"/>
      <c r="M786" s="537"/>
      <c r="N786" s="537"/>
      <c r="O786" s="537"/>
      <c r="P786" s="537"/>
      <c r="Q786" s="537"/>
      <c r="R786" s="537"/>
      <c r="S786" s="537"/>
      <c r="T786" s="537"/>
      <c r="U786" s="537"/>
      <c r="V786" s="537"/>
      <c r="W786" s="537"/>
      <c r="X786" s="537"/>
      <c r="Y786" s="537"/>
      <c r="Z786" s="537"/>
    </row>
    <row r="787">
      <c r="A787" s="537"/>
      <c r="B787" s="537"/>
      <c r="C787" s="538"/>
      <c r="D787" s="537"/>
      <c r="E787" s="537"/>
      <c r="F787" s="537"/>
      <c r="G787" s="537"/>
      <c r="H787" s="537"/>
      <c r="I787" s="537"/>
      <c r="J787" s="537"/>
      <c r="K787" s="537"/>
      <c r="L787" s="537"/>
      <c r="M787" s="537"/>
      <c r="N787" s="537"/>
      <c r="O787" s="537"/>
      <c r="P787" s="537"/>
      <c r="Q787" s="537"/>
      <c r="R787" s="537"/>
      <c r="S787" s="537"/>
      <c r="T787" s="537"/>
      <c r="U787" s="537"/>
      <c r="V787" s="537"/>
      <c r="W787" s="537"/>
      <c r="X787" s="537"/>
      <c r="Y787" s="537"/>
      <c r="Z787" s="537"/>
    </row>
    <row r="788">
      <c r="A788" s="537"/>
      <c r="B788" s="537"/>
      <c r="C788" s="538"/>
      <c r="D788" s="537"/>
      <c r="E788" s="537"/>
      <c r="F788" s="537"/>
      <c r="G788" s="537"/>
      <c r="H788" s="537"/>
      <c r="I788" s="537"/>
      <c r="J788" s="537"/>
      <c r="K788" s="537"/>
      <c r="L788" s="537"/>
      <c r="M788" s="537"/>
      <c r="N788" s="537"/>
      <c r="O788" s="537"/>
      <c r="P788" s="537"/>
      <c r="Q788" s="537"/>
      <c r="R788" s="537"/>
      <c r="S788" s="537"/>
      <c r="T788" s="537"/>
      <c r="U788" s="537"/>
      <c r="V788" s="537"/>
      <c r="W788" s="537"/>
      <c r="X788" s="537"/>
      <c r="Y788" s="537"/>
      <c r="Z788" s="537"/>
    </row>
    <row r="789">
      <c r="A789" s="537"/>
      <c r="B789" s="537"/>
      <c r="C789" s="538"/>
      <c r="D789" s="537"/>
      <c r="E789" s="537"/>
      <c r="F789" s="537"/>
      <c r="G789" s="537"/>
      <c r="H789" s="537"/>
      <c r="I789" s="537"/>
      <c r="J789" s="537"/>
      <c r="K789" s="537"/>
      <c r="L789" s="537"/>
      <c r="M789" s="537"/>
      <c r="N789" s="537"/>
      <c r="O789" s="537"/>
      <c r="P789" s="537"/>
      <c r="Q789" s="537"/>
      <c r="R789" s="537"/>
      <c r="S789" s="537"/>
      <c r="T789" s="537"/>
      <c r="U789" s="537"/>
      <c r="V789" s="537"/>
      <c r="W789" s="537"/>
      <c r="X789" s="537"/>
      <c r="Y789" s="537"/>
      <c r="Z789" s="537"/>
    </row>
    <row r="790">
      <c r="A790" s="537"/>
      <c r="B790" s="537"/>
      <c r="C790" s="538"/>
      <c r="D790" s="537"/>
      <c r="E790" s="537"/>
      <c r="F790" s="537"/>
      <c r="G790" s="537"/>
      <c r="H790" s="537"/>
      <c r="I790" s="537"/>
      <c r="J790" s="537"/>
      <c r="K790" s="537"/>
      <c r="L790" s="537"/>
      <c r="M790" s="537"/>
      <c r="N790" s="537"/>
      <c r="O790" s="537"/>
      <c r="P790" s="537"/>
      <c r="Q790" s="537"/>
      <c r="R790" s="537"/>
      <c r="S790" s="537"/>
      <c r="T790" s="537"/>
      <c r="U790" s="537"/>
      <c r="V790" s="537"/>
      <c r="W790" s="537"/>
      <c r="X790" s="537"/>
      <c r="Y790" s="537"/>
      <c r="Z790" s="537"/>
    </row>
    <row r="791">
      <c r="A791" s="537"/>
      <c r="B791" s="537"/>
      <c r="C791" s="538"/>
      <c r="D791" s="537"/>
      <c r="E791" s="537"/>
      <c r="F791" s="537"/>
      <c r="G791" s="537"/>
      <c r="H791" s="537"/>
      <c r="I791" s="537"/>
      <c r="J791" s="537"/>
      <c r="K791" s="537"/>
      <c r="L791" s="537"/>
      <c r="M791" s="537"/>
      <c r="N791" s="537"/>
      <c r="O791" s="537"/>
      <c r="P791" s="537"/>
      <c r="Q791" s="537"/>
      <c r="R791" s="537"/>
      <c r="S791" s="537"/>
      <c r="T791" s="537"/>
      <c r="U791" s="537"/>
      <c r="V791" s="537"/>
      <c r="W791" s="537"/>
      <c r="X791" s="537"/>
      <c r="Y791" s="537"/>
      <c r="Z791" s="537"/>
    </row>
    <row r="792">
      <c r="A792" s="537"/>
      <c r="B792" s="537"/>
      <c r="C792" s="538"/>
      <c r="D792" s="537"/>
      <c r="E792" s="537"/>
      <c r="F792" s="537"/>
      <c r="G792" s="537"/>
      <c r="H792" s="537"/>
      <c r="I792" s="537"/>
      <c r="J792" s="537"/>
      <c r="K792" s="537"/>
      <c r="L792" s="537"/>
      <c r="M792" s="537"/>
      <c r="N792" s="537"/>
      <c r="O792" s="537"/>
      <c r="P792" s="537"/>
      <c r="Q792" s="537"/>
      <c r="R792" s="537"/>
      <c r="S792" s="537"/>
      <c r="T792" s="537"/>
      <c r="U792" s="537"/>
      <c r="V792" s="537"/>
      <c r="W792" s="537"/>
      <c r="X792" s="537"/>
      <c r="Y792" s="537"/>
      <c r="Z792" s="537"/>
    </row>
    <row r="793">
      <c r="A793" s="537"/>
      <c r="B793" s="537"/>
      <c r="C793" s="538"/>
      <c r="D793" s="537"/>
      <c r="E793" s="537"/>
      <c r="F793" s="537"/>
      <c r="G793" s="537"/>
      <c r="H793" s="537"/>
      <c r="I793" s="537"/>
      <c r="J793" s="537"/>
      <c r="K793" s="537"/>
      <c r="L793" s="537"/>
      <c r="M793" s="537"/>
      <c r="N793" s="537"/>
      <c r="O793" s="537"/>
      <c r="P793" s="537"/>
      <c r="Q793" s="537"/>
      <c r="R793" s="537"/>
      <c r="S793" s="537"/>
      <c r="T793" s="537"/>
      <c r="U793" s="537"/>
      <c r="V793" s="537"/>
      <c r="W793" s="537"/>
      <c r="X793" s="537"/>
      <c r="Y793" s="537"/>
      <c r="Z793" s="537"/>
    </row>
    <row r="794">
      <c r="A794" s="537"/>
      <c r="B794" s="537"/>
      <c r="C794" s="538"/>
      <c r="D794" s="537"/>
      <c r="E794" s="537"/>
      <c r="F794" s="537"/>
      <c r="G794" s="537"/>
      <c r="H794" s="537"/>
      <c r="I794" s="537"/>
      <c r="J794" s="537"/>
      <c r="K794" s="537"/>
      <c r="L794" s="537"/>
      <c r="M794" s="537"/>
      <c r="N794" s="537"/>
      <c r="O794" s="537"/>
      <c r="P794" s="537"/>
      <c r="Q794" s="537"/>
      <c r="R794" s="537"/>
      <c r="S794" s="537"/>
      <c r="T794" s="537"/>
      <c r="U794" s="537"/>
      <c r="V794" s="537"/>
      <c r="W794" s="537"/>
      <c r="X794" s="537"/>
      <c r="Y794" s="537"/>
      <c r="Z794" s="537"/>
    </row>
    <row r="795">
      <c r="A795" s="537"/>
      <c r="B795" s="537"/>
      <c r="C795" s="538"/>
      <c r="D795" s="537"/>
      <c r="E795" s="537"/>
      <c r="F795" s="537"/>
      <c r="G795" s="537"/>
      <c r="H795" s="537"/>
      <c r="I795" s="537"/>
      <c r="J795" s="537"/>
      <c r="K795" s="537"/>
      <c r="L795" s="537"/>
      <c r="M795" s="537"/>
      <c r="N795" s="537"/>
      <c r="O795" s="537"/>
      <c r="P795" s="537"/>
      <c r="Q795" s="537"/>
      <c r="R795" s="537"/>
      <c r="S795" s="537"/>
      <c r="T795" s="537"/>
      <c r="U795" s="537"/>
      <c r="V795" s="537"/>
      <c r="W795" s="537"/>
      <c r="X795" s="537"/>
      <c r="Y795" s="537"/>
      <c r="Z795" s="537"/>
    </row>
    <row r="796">
      <c r="A796" s="537"/>
      <c r="B796" s="537"/>
      <c r="C796" s="538"/>
      <c r="D796" s="537"/>
      <c r="E796" s="537"/>
      <c r="F796" s="537"/>
      <c r="G796" s="537"/>
      <c r="H796" s="537"/>
      <c r="I796" s="537"/>
      <c r="J796" s="537"/>
      <c r="K796" s="537"/>
      <c r="L796" s="537"/>
      <c r="M796" s="537"/>
      <c r="N796" s="537"/>
      <c r="O796" s="537"/>
      <c r="P796" s="537"/>
      <c r="Q796" s="537"/>
      <c r="R796" s="537"/>
      <c r="S796" s="537"/>
      <c r="T796" s="537"/>
      <c r="U796" s="537"/>
      <c r="V796" s="537"/>
      <c r="W796" s="537"/>
      <c r="X796" s="537"/>
      <c r="Y796" s="537"/>
      <c r="Z796" s="537"/>
    </row>
    <row r="797">
      <c r="A797" s="537"/>
      <c r="B797" s="537"/>
      <c r="C797" s="538"/>
      <c r="D797" s="537"/>
      <c r="E797" s="537"/>
      <c r="F797" s="537"/>
      <c r="G797" s="537"/>
      <c r="H797" s="537"/>
      <c r="I797" s="537"/>
      <c r="J797" s="537"/>
      <c r="K797" s="537"/>
      <c r="L797" s="537"/>
      <c r="M797" s="537"/>
      <c r="N797" s="537"/>
      <c r="O797" s="537"/>
      <c r="P797" s="537"/>
      <c r="Q797" s="537"/>
      <c r="R797" s="537"/>
      <c r="S797" s="537"/>
      <c r="T797" s="537"/>
      <c r="U797" s="537"/>
      <c r="V797" s="537"/>
      <c r="W797" s="537"/>
      <c r="X797" s="537"/>
      <c r="Y797" s="537"/>
      <c r="Z797" s="537"/>
    </row>
    <row r="798">
      <c r="A798" s="537"/>
      <c r="B798" s="537"/>
      <c r="C798" s="538"/>
      <c r="D798" s="537"/>
      <c r="E798" s="537"/>
      <c r="F798" s="537"/>
      <c r="G798" s="537"/>
      <c r="H798" s="537"/>
      <c r="I798" s="537"/>
      <c r="J798" s="537"/>
      <c r="K798" s="537"/>
      <c r="L798" s="537"/>
      <c r="M798" s="537"/>
      <c r="N798" s="537"/>
      <c r="O798" s="537"/>
      <c r="P798" s="537"/>
      <c r="Q798" s="537"/>
      <c r="R798" s="537"/>
      <c r="S798" s="537"/>
      <c r="T798" s="537"/>
      <c r="U798" s="537"/>
      <c r="V798" s="537"/>
      <c r="W798" s="537"/>
      <c r="X798" s="537"/>
      <c r="Y798" s="537"/>
      <c r="Z798" s="537"/>
    </row>
    <row r="799">
      <c r="A799" s="537"/>
      <c r="B799" s="537"/>
      <c r="C799" s="538"/>
      <c r="D799" s="537"/>
      <c r="E799" s="537"/>
      <c r="F799" s="537"/>
      <c r="G799" s="537"/>
      <c r="H799" s="537"/>
      <c r="I799" s="537"/>
      <c r="J799" s="537"/>
      <c r="K799" s="537"/>
      <c r="L799" s="537"/>
      <c r="M799" s="537"/>
      <c r="N799" s="537"/>
      <c r="O799" s="537"/>
      <c r="P799" s="537"/>
      <c r="Q799" s="537"/>
      <c r="R799" s="537"/>
      <c r="S799" s="537"/>
      <c r="T799" s="537"/>
      <c r="U799" s="537"/>
      <c r="V799" s="537"/>
      <c r="W799" s="537"/>
      <c r="X799" s="537"/>
      <c r="Y799" s="537"/>
      <c r="Z799" s="537"/>
    </row>
    <row r="800">
      <c r="A800" s="537"/>
      <c r="B800" s="537"/>
      <c r="C800" s="538"/>
      <c r="D800" s="537"/>
      <c r="E800" s="537"/>
      <c r="F800" s="537"/>
      <c r="G800" s="537"/>
      <c r="H800" s="537"/>
      <c r="I800" s="537"/>
      <c r="J800" s="537"/>
      <c r="K800" s="537"/>
      <c r="L800" s="537"/>
      <c r="M800" s="537"/>
      <c r="N800" s="537"/>
      <c r="O800" s="537"/>
      <c r="P800" s="537"/>
      <c r="Q800" s="537"/>
      <c r="R800" s="537"/>
      <c r="S800" s="537"/>
      <c r="T800" s="537"/>
      <c r="U800" s="537"/>
      <c r="V800" s="537"/>
      <c r="W800" s="537"/>
      <c r="X800" s="537"/>
      <c r="Y800" s="537"/>
      <c r="Z800" s="537"/>
    </row>
    <row r="801">
      <c r="A801" s="537"/>
      <c r="B801" s="537"/>
      <c r="C801" s="538"/>
      <c r="D801" s="537"/>
      <c r="E801" s="537"/>
      <c r="F801" s="537"/>
      <c r="G801" s="537"/>
      <c r="H801" s="537"/>
      <c r="I801" s="537"/>
      <c r="J801" s="537"/>
      <c r="K801" s="537"/>
      <c r="L801" s="537"/>
      <c r="M801" s="537"/>
      <c r="N801" s="537"/>
      <c r="O801" s="537"/>
      <c r="P801" s="537"/>
      <c r="Q801" s="537"/>
      <c r="R801" s="537"/>
      <c r="S801" s="537"/>
      <c r="T801" s="537"/>
      <c r="U801" s="537"/>
      <c r="V801" s="537"/>
      <c r="W801" s="537"/>
      <c r="X801" s="537"/>
      <c r="Y801" s="537"/>
      <c r="Z801" s="537"/>
    </row>
    <row r="802">
      <c r="A802" s="537"/>
      <c r="B802" s="537"/>
      <c r="C802" s="538"/>
      <c r="D802" s="537"/>
      <c r="E802" s="537"/>
      <c r="F802" s="537"/>
      <c r="G802" s="537"/>
      <c r="H802" s="537"/>
      <c r="I802" s="537"/>
      <c r="J802" s="537"/>
      <c r="K802" s="537"/>
      <c r="L802" s="537"/>
      <c r="M802" s="537"/>
      <c r="N802" s="537"/>
      <c r="O802" s="537"/>
      <c r="P802" s="537"/>
      <c r="Q802" s="537"/>
      <c r="R802" s="537"/>
      <c r="S802" s="537"/>
      <c r="T802" s="537"/>
      <c r="U802" s="537"/>
      <c r="V802" s="537"/>
      <c r="W802" s="537"/>
      <c r="X802" s="537"/>
      <c r="Y802" s="537"/>
      <c r="Z802" s="537"/>
    </row>
    <row r="803">
      <c r="A803" s="537"/>
      <c r="B803" s="537"/>
      <c r="C803" s="538"/>
      <c r="D803" s="537"/>
      <c r="E803" s="537"/>
      <c r="F803" s="537"/>
      <c r="G803" s="537"/>
      <c r="H803" s="537"/>
      <c r="I803" s="537"/>
      <c r="J803" s="537"/>
      <c r="K803" s="537"/>
      <c r="L803" s="537"/>
      <c r="M803" s="537"/>
      <c r="N803" s="537"/>
      <c r="O803" s="537"/>
      <c r="P803" s="537"/>
      <c r="Q803" s="537"/>
      <c r="R803" s="537"/>
      <c r="S803" s="537"/>
      <c r="T803" s="537"/>
      <c r="U803" s="537"/>
      <c r="V803" s="537"/>
      <c r="W803" s="537"/>
      <c r="X803" s="537"/>
      <c r="Y803" s="537"/>
      <c r="Z803" s="537"/>
    </row>
    <row r="804">
      <c r="A804" s="537"/>
      <c r="B804" s="537"/>
      <c r="C804" s="538"/>
      <c r="D804" s="537"/>
      <c r="E804" s="537"/>
      <c r="F804" s="537"/>
      <c r="G804" s="537"/>
      <c r="H804" s="537"/>
      <c r="I804" s="537"/>
      <c r="J804" s="537"/>
      <c r="K804" s="537"/>
      <c r="L804" s="537"/>
      <c r="M804" s="537"/>
      <c r="N804" s="537"/>
      <c r="O804" s="537"/>
      <c r="P804" s="537"/>
      <c r="Q804" s="537"/>
      <c r="R804" s="537"/>
      <c r="S804" s="537"/>
      <c r="T804" s="537"/>
      <c r="U804" s="537"/>
      <c r="V804" s="537"/>
      <c r="W804" s="537"/>
      <c r="X804" s="537"/>
      <c r="Y804" s="537"/>
      <c r="Z804" s="537"/>
    </row>
    <row r="805">
      <c r="A805" s="537"/>
      <c r="B805" s="537"/>
      <c r="C805" s="538"/>
      <c r="D805" s="537"/>
      <c r="E805" s="537"/>
      <c r="F805" s="537"/>
      <c r="G805" s="537"/>
      <c r="H805" s="537"/>
      <c r="I805" s="537"/>
      <c r="J805" s="537"/>
      <c r="K805" s="537"/>
      <c r="L805" s="537"/>
      <c r="M805" s="537"/>
      <c r="N805" s="537"/>
      <c r="O805" s="537"/>
      <c r="P805" s="537"/>
      <c r="Q805" s="537"/>
      <c r="R805" s="537"/>
      <c r="S805" s="537"/>
      <c r="T805" s="537"/>
      <c r="U805" s="537"/>
      <c r="V805" s="537"/>
      <c r="W805" s="537"/>
      <c r="X805" s="537"/>
      <c r="Y805" s="537"/>
      <c r="Z805" s="537"/>
    </row>
    <row r="806">
      <c r="A806" s="537"/>
      <c r="B806" s="537"/>
      <c r="C806" s="538"/>
      <c r="D806" s="537"/>
      <c r="E806" s="537"/>
      <c r="F806" s="537"/>
      <c r="G806" s="537"/>
      <c r="H806" s="537"/>
      <c r="I806" s="537"/>
      <c r="J806" s="537"/>
      <c r="K806" s="537"/>
      <c r="L806" s="537"/>
      <c r="M806" s="537"/>
      <c r="N806" s="537"/>
      <c r="O806" s="537"/>
      <c r="P806" s="537"/>
      <c r="Q806" s="537"/>
      <c r="R806" s="537"/>
      <c r="S806" s="537"/>
      <c r="T806" s="537"/>
      <c r="U806" s="537"/>
      <c r="V806" s="537"/>
      <c r="W806" s="537"/>
      <c r="X806" s="537"/>
      <c r="Y806" s="537"/>
      <c r="Z806" s="537"/>
    </row>
    <row r="807">
      <c r="A807" s="537"/>
      <c r="B807" s="537"/>
      <c r="C807" s="538"/>
      <c r="D807" s="537"/>
      <c r="E807" s="537"/>
      <c r="F807" s="537"/>
      <c r="G807" s="537"/>
      <c r="H807" s="537"/>
      <c r="I807" s="537"/>
      <c r="J807" s="537"/>
      <c r="K807" s="537"/>
      <c r="L807" s="537"/>
      <c r="M807" s="537"/>
      <c r="N807" s="537"/>
      <c r="O807" s="537"/>
      <c r="P807" s="537"/>
      <c r="Q807" s="537"/>
      <c r="R807" s="537"/>
      <c r="S807" s="537"/>
      <c r="T807" s="537"/>
      <c r="U807" s="537"/>
      <c r="V807" s="537"/>
      <c r="W807" s="537"/>
      <c r="X807" s="537"/>
      <c r="Y807" s="537"/>
      <c r="Z807" s="537"/>
    </row>
    <row r="808">
      <c r="A808" s="537"/>
      <c r="B808" s="537"/>
      <c r="C808" s="538"/>
      <c r="D808" s="537"/>
      <c r="E808" s="537"/>
      <c r="F808" s="537"/>
      <c r="G808" s="537"/>
      <c r="H808" s="537"/>
      <c r="I808" s="537"/>
      <c r="J808" s="537"/>
      <c r="K808" s="537"/>
      <c r="L808" s="537"/>
      <c r="M808" s="537"/>
      <c r="N808" s="537"/>
      <c r="O808" s="537"/>
      <c r="P808" s="537"/>
      <c r="Q808" s="537"/>
      <c r="R808" s="537"/>
      <c r="S808" s="537"/>
      <c r="T808" s="537"/>
      <c r="U808" s="537"/>
      <c r="V808" s="537"/>
      <c r="W808" s="537"/>
      <c r="X808" s="537"/>
      <c r="Y808" s="537"/>
      <c r="Z808" s="537"/>
    </row>
    <row r="809">
      <c r="A809" s="537"/>
      <c r="B809" s="537"/>
      <c r="C809" s="538"/>
      <c r="D809" s="537"/>
      <c r="E809" s="537"/>
      <c r="F809" s="537"/>
      <c r="G809" s="537"/>
      <c r="H809" s="537"/>
      <c r="I809" s="537"/>
      <c r="J809" s="537"/>
      <c r="K809" s="537"/>
      <c r="L809" s="537"/>
      <c r="M809" s="537"/>
      <c r="N809" s="537"/>
      <c r="O809" s="537"/>
      <c r="P809" s="537"/>
      <c r="Q809" s="537"/>
      <c r="R809" s="537"/>
      <c r="S809" s="537"/>
      <c r="T809" s="537"/>
      <c r="U809" s="537"/>
      <c r="V809" s="537"/>
      <c r="W809" s="537"/>
      <c r="X809" s="537"/>
      <c r="Y809" s="537"/>
      <c r="Z809" s="537"/>
    </row>
    <row r="810">
      <c r="A810" s="537"/>
      <c r="B810" s="537"/>
      <c r="C810" s="538"/>
      <c r="D810" s="537"/>
      <c r="E810" s="537"/>
      <c r="F810" s="537"/>
      <c r="G810" s="537"/>
      <c r="H810" s="537"/>
      <c r="I810" s="537"/>
      <c r="J810" s="537"/>
      <c r="K810" s="537"/>
      <c r="L810" s="537"/>
      <c r="M810" s="537"/>
      <c r="N810" s="537"/>
      <c r="O810" s="537"/>
      <c r="P810" s="537"/>
      <c r="Q810" s="537"/>
      <c r="R810" s="537"/>
      <c r="S810" s="537"/>
      <c r="T810" s="537"/>
      <c r="U810" s="537"/>
      <c r="V810" s="537"/>
      <c r="W810" s="537"/>
      <c r="X810" s="537"/>
      <c r="Y810" s="537"/>
      <c r="Z810" s="537"/>
    </row>
    <row r="811">
      <c r="A811" s="537"/>
      <c r="B811" s="537"/>
      <c r="C811" s="538"/>
      <c r="D811" s="537"/>
      <c r="E811" s="537"/>
      <c r="F811" s="537"/>
      <c r="G811" s="537"/>
      <c r="H811" s="537"/>
      <c r="I811" s="537"/>
      <c r="J811" s="537"/>
      <c r="K811" s="537"/>
      <c r="L811" s="537"/>
      <c r="M811" s="537"/>
      <c r="N811" s="537"/>
      <c r="O811" s="537"/>
      <c r="P811" s="537"/>
      <c r="Q811" s="537"/>
      <c r="R811" s="537"/>
      <c r="S811" s="537"/>
      <c r="T811" s="537"/>
      <c r="U811" s="537"/>
      <c r="V811" s="537"/>
      <c r="W811" s="537"/>
      <c r="X811" s="537"/>
      <c r="Y811" s="537"/>
      <c r="Z811" s="537"/>
    </row>
    <row r="812">
      <c r="A812" s="537"/>
      <c r="B812" s="537"/>
      <c r="C812" s="538"/>
      <c r="D812" s="537"/>
      <c r="E812" s="537"/>
      <c r="F812" s="537"/>
      <c r="G812" s="537"/>
      <c r="H812" s="537"/>
      <c r="I812" s="537"/>
      <c r="J812" s="537"/>
      <c r="K812" s="537"/>
      <c r="L812" s="537"/>
      <c r="M812" s="537"/>
      <c r="N812" s="537"/>
      <c r="O812" s="537"/>
      <c r="P812" s="537"/>
      <c r="Q812" s="537"/>
      <c r="R812" s="537"/>
      <c r="S812" s="537"/>
      <c r="T812" s="537"/>
      <c r="U812" s="537"/>
      <c r="V812" s="537"/>
      <c r="W812" s="537"/>
      <c r="X812" s="537"/>
      <c r="Y812" s="537"/>
      <c r="Z812" s="537"/>
    </row>
    <row r="813">
      <c r="A813" s="537"/>
      <c r="B813" s="537"/>
      <c r="C813" s="538"/>
      <c r="D813" s="537"/>
      <c r="E813" s="537"/>
      <c r="F813" s="537"/>
      <c r="G813" s="537"/>
      <c r="H813" s="537"/>
      <c r="I813" s="537"/>
      <c r="J813" s="537"/>
      <c r="K813" s="537"/>
      <c r="L813" s="537"/>
      <c r="M813" s="537"/>
      <c r="N813" s="537"/>
      <c r="O813" s="537"/>
      <c r="P813" s="537"/>
      <c r="Q813" s="537"/>
      <c r="R813" s="537"/>
      <c r="S813" s="537"/>
      <c r="T813" s="537"/>
      <c r="U813" s="537"/>
      <c r="V813" s="537"/>
      <c r="W813" s="537"/>
      <c r="X813" s="537"/>
      <c r="Y813" s="537"/>
      <c r="Z813" s="537"/>
    </row>
    <row r="814">
      <c r="A814" s="537"/>
      <c r="B814" s="537"/>
      <c r="C814" s="538"/>
      <c r="D814" s="537"/>
      <c r="E814" s="537"/>
      <c r="F814" s="537"/>
      <c r="G814" s="537"/>
      <c r="H814" s="537"/>
      <c r="I814" s="537"/>
      <c r="J814" s="537"/>
      <c r="K814" s="537"/>
      <c r="L814" s="537"/>
      <c r="M814" s="537"/>
      <c r="N814" s="537"/>
      <c r="O814" s="537"/>
      <c r="P814" s="537"/>
      <c r="Q814" s="537"/>
      <c r="R814" s="537"/>
      <c r="S814" s="537"/>
      <c r="T814" s="537"/>
      <c r="U814" s="537"/>
      <c r="V814" s="537"/>
      <c r="W814" s="537"/>
      <c r="X814" s="537"/>
      <c r="Y814" s="537"/>
      <c r="Z814" s="537"/>
    </row>
    <row r="815">
      <c r="A815" s="537"/>
      <c r="B815" s="537"/>
      <c r="C815" s="538"/>
      <c r="D815" s="537"/>
      <c r="E815" s="537"/>
      <c r="F815" s="537"/>
      <c r="G815" s="537"/>
      <c r="H815" s="537"/>
      <c r="I815" s="537"/>
      <c r="J815" s="537"/>
      <c r="K815" s="537"/>
      <c r="L815" s="537"/>
      <c r="M815" s="537"/>
      <c r="N815" s="537"/>
      <c r="O815" s="537"/>
      <c r="P815" s="537"/>
      <c r="Q815" s="537"/>
      <c r="R815" s="537"/>
      <c r="S815" s="537"/>
      <c r="T815" s="537"/>
      <c r="U815" s="537"/>
      <c r="V815" s="537"/>
      <c r="W815" s="537"/>
      <c r="X815" s="537"/>
      <c r="Y815" s="537"/>
      <c r="Z815" s="537"/>
    </row>
    <row r="816">
      <c r="A816" s="537"/>
      <c r="B816" s="537"/>
      <c r="C816" s="538"/>
      <c r="D816" s="537"/>
      <c r="E816" s="537"/>
      <c r="F816" s="537"/>
      <c r="G816" s="537"/>
      <c r="H816" s="537"/>
      <c r="I816" s="537"/>
      <c r="J816" s="537"/>
      <c r="K816" s="537"/>
      <c r="L816" s="537"/>
      <c r="M816" s="537"/>
      <c r="N816" s="537"/>
      <c r="O816" s="537"/>
      <c r="P816" s="537"/>
      <c r="Q816" s="537"/>
      <c r="R816" s="537"/>
      <c r="S816" s="537"/>
      <c r="T816" s="537"/>
      <c r="U816" s="537"/>
      <c r="V816" s="537"/>
      <c r="W816" s="537"/>
      <c r="X816" s="537"/>
      <c r="Y816" s="537"/>
      <c r="Z816" s="537"/>
    </row>
    <row r="817">
      <c r="A817" s="537"/>
      <c r="B817" s="537"/>
      <c r="C817" s="538"/>
      <c r="D817" s="537"/>
      <c r="E817" s="537"/>
      <c r="F817" s="537"/>
      <c r="G817" s="537"/>
      <c r="H817" s="537"/>
      <c r="I817" s="537"/>
      <c r="J817" s="537"/>
      <c r="K817" s="537"/>
      <c r="L817" s="537"/>
      <c r="M817" s="537"/>
      <c r="N817" s="537"/>
      <c r="O817" s="537"/>
      <c r="P817" s="537"/>
      <c r="Q817" s="537"/>
      <c r="R817" s="537"/>
      <c r="S817" s="537"/>
      <c r="T817" s="537"/>
      <c r="U817" s="537"/>
      <c r="V817" s="537"/>
      <c r="W817" s="537"/>
      <c r="X817" s="537"/>
      <c r="Y817" s="537"/>
      <c r="Z817" s="537"/>
    </row>
    <row r="818">
      <c r="A818" s="537"/>
      <c r="B818" s="537"/>
      <c r="C818" s="538"/>
      <c r="D818" s="537"/>
      <c r="E818" s="537"/>
      <c r="F818" s="537"/>
      <c r="G818" s="537"/>
      <c r="H818" s="537"/>
      <c r="I818" s="537"/>
      <c r="J818" s="537"/>
      <c r="K818" s="537"/>
      <c r="L818" s="537"/>
      <c r="M818" s="537"/>
      <c r="N818" s="537"/>
      <c r="O818" s="537"/>
      <c r="P818" s="537"/>
      <c r="Q818" s="537"/>
      <c r="R818" s="537"/>
      <c r="S818" s="537"/>
      <c r="T818" s="537"/>
      <c r="U818" s="537"/>
      <c r="V818" s="537"/>
      <c r="W818" s="537"/>
      <c r="X818" s="537"/>
      <c r="Y818" s="537"/>
      <c r="Z818" s="537"/>
    </row>
    <row r="819">
      <c r="A819" s="537"/>
      <c r="B819" s="537"/>
      <c r="C819" s="538"/>
      <c r="D819" s="537"/>
      <c r="E819" s="537"/>
      <c r="F819" s="537"/>
      <c r="G819" s="537"/>
      <c r="H819" s="537"/>
      <c r="I819" s="537"/>
      <c r="J819" s="537"/>
      <c r="K819" s="537"/>
      <c r="L819" s="537"/>
      <c r="M819" s="537"/>
      <c r="N819" s="537"/>
      <c r="O819" s="537"/>
      <c r="P819" s="537"/>
      <c r="Q819" s="537"/>
      <c r="R819" s="537"/>
      <c r="S819" s="537"/>
      <c r="T819" s="537"/>
      <c r="U819" s="537"/>
      <c r="V819" s="537"/>
      <c r="W819" s="537"/>
      <c r="X819" s="537"/>
      <c r="Y819" s="537"/>
      <c r="Z819" s="537"/>
    </row>
    <row r="820">
      <c r="A820" s="537"/>
      <c r="B820" s="537"/>
      <c r="C820" s="538"/>
      <c r="D820" s="537"/>
      <c r="E820" s="537"/>
      <c r="F820" s="537"/>
      <c r="G820" s="537"/>
      <c r="H820" s="537"/>
      <c r="I820" s="537"/>
      <c r="J820" s="537"/>
      <c r="K820" s="537"/>
      <c r="L820" s="537"/>
      <c r="M820" s="537"/>
      <c r="N820" s="537"/>
      <c r="O820" s="537"/>
      <c r="P820" s="537"/>
      <c r="Q820" s="537"/>
      <c r="R820" s="537"/>
      <c r="S820" s="537"/>
      <c r="T820" s="537"/>
      <c r="U820" s="537"/>
      <c r="V820" s="537"/>
      <c r="W820" s="537"/>
      <c r="X820" s="537"/>
      <c r="Y820" s="537"/>
      <c r="Z820" s="537"/>
    </row>
    <row r="821">
      <c r="A821" s="537"/>
      <c r="B821" s="537"/>
      <c r="C821" s="538"/>
      <c r="D821" s="537"/>
      <c r="E821" s="537"/>
      <c r="F821" s="537"/>
      <c r="G821" s="537"/>
      <c r="H821" s="537"/>
      <c r="I821" s="537"/>
      <c r="J821" s="537"/>
      <c r="K821" s="537"/>
      <c r="L821" s="537"/>
      <c r="M821" s="537"/>
      <c r="N821" s="537"/>
      <c r="O821" s="537"/>
      <c r="P821" s="537"/>
      <c r="Q821" s="537"/>
      <c r="R821" s="537"/>
      <c r="S821" s="537"/>
      <c r="T821" s="537"/>
      <c r="U821" s="537"/>
      <c r="V821" s="537"/>
      <c r="W821" s="537"/>
      <c r="X821" s="537"/>
      <c r="Y821" s="537"/>
      <c r="Z821" s="537"/>
    </row>
    <row r="822">
      <c r="A822" s="537"/>
      <c r="B822" s="537"/>
      <c r="C822" s="538"/>
      <c r="D822" s="537"/>
      <c r="E822" s="537"/>
      <c r="F822" s="537"/>
      <c r="G822" s="537"/>
      <c r="H822" s="537"/>
      <c r="I822" s="537"/>
      <c r="J822" s="537"/>
      <c r="K822" s="537"/>
      <c r="L822" s="537"/>
      <c r="M822" s="537"/>
      <c r="N822" s="537"/>
      <c r="O822" s="537"/>
      <c r="P822" s="537"/>
      <c r="Q822" s="537"/>
      <c r="R822" s="537"/>
      <c r="S822" s="537"/>
      <c r="T822" s="537"/>
      <c r="U822" s="537"/>
      <c r="V822" s="537"/>
      <c r="W822" s="537"/>
      <c r="X822" s="537"/>
      <c r="Y822" s="537"/>
      <c r="Z822" s="537"/>
    </row>
    <row r="823">
      <c r="A823" s="537"/>
      <c r="B823" s="537"/>
      <c r="C823" s="538"/>
      <c r="D823" s="537"/>
      <c r="E823" s="537"/>
      <c r="F823" s="537"/>
      <c r="G823" s="537"/>
      <c r="H823" s="537"/>
      <c r="I823" s="537"/>
      <c r="J823" s="537"/>
      <c r="K823" s="537"/>
      <c r="L823" s="537"/>
      <c r="M823" s="537"/>
      <c r="N823" s="537"/>
      <c r="O823" s="537"/>
      <c r="P823" s="537"/>
      <c r="Q823" s="537"/>
      <c r="R823" s="537"/>
      <c r="S823" s="537"/>
      <c r="T823" s="537"/>
      <c r="U823" s="537"/>
      <c r="V823" s="537"/>
      <c r="W823" s="537"/>
      <c r="X823" s="537"/>
      <c r="Y823" s="537"/>
      <c r="Z823" s="537"/>
    </row>
    <row r="824">
      <c r="A824" s="537"/>
      <c r="B824" s="537"/>
      <c r="C824" s="538"/>
      <c r="D824" s="537"/>
      <c r="E824" s="537"/>
      <c r="F824" s="537"/>
      <c r="G824" s="537"/>
      <c r="H824" s="537"/>
      <c r="I824" s="537"/>
      <c r="J824" s="537"/>
      <c r="K824" s="537"/>
      <c r="L824" s="537"/>
      <c r="M824" s="537"/>
      <c r="N824" s="537"/>
      <c r="O824" s="537"/>
      <c r="P824" s="537"/>
      <c r="Q824" s="537"/>
      <c r="R824" s="537"/>
      <c r="S824" s="537"/>
      <c r="T824" s="537"/>
      <c r="U824" s="537"/>
      <c r="V824" s="537"/>
      <c r="W824" s="537"/>
      <c r="X824" s="537"/>
      <c r="Y824" s="537"/>
      <c r="Z824" s="537"/>
    </row>
    <row r="825">
      <c r="A825" s="537"/>
      <c r="B825" s="537"/>
      <c r="C825" s="538"/>
      <c r="D825" s="537"/>
      <c r="E825" s="537"/>
      <c r="F825" s="537"/>
      <c r="G825" s="537"/>
      <c r="H825" s="537"/>
      <c r="I825" s="537"/>
      <c r="J825" s="537"/>
      <c r="K825" s="537"/>
      <c r="L825" s="537"/>
      <c r="M825" s="537"/>
      <c r="N825" s="537"/>
      <c r="O825" s="537"/>
      <c r="P825" s="537"/>
      <c r="Q825" s="537"/>
      <c r="R825" s="537"/>
      <c r="S825" s="537"/>
      <c r="T825" s="537"/>
      <c r="U825" s="537"/>
      <c r="V825" s="537"/>
      <c r="W825" s="537"/>
      <c r="X825" s="537"/>
      <c r="Y825" s="537"/>
      <c r="Z825" s="537"/>
    </row>
    <row r="826">
      <c r="A826" s="537"/>
      <c r="B826" s="537"/>
      <c r="C826" s="538"/>
      <c r="D826" s="537"/>
      <c r="E826" s="537"/>
      <c r="F826" s="537"/>
      <c r="G826" s="537"/>
      <c r="H826" s="537"/>
      <c r="I826" s="537"/>
      <c r="J826" s="537"/>
      <c r="K826" s="537"/>
      <c r="L826" s="537"/>
      <c r="M826" s="537"/>
      <c r="N826" s="537"/>
      <c r="O826" s="537"/>
      <c r="P826" s="537"/>
      <c r="Q826" s="537"/>
      <c r="R826" s="537"/>
      <c r="S826" s="537"/>
      <c r="T826" s="537"/>
      <c r="U826" s="537"/>
      <c r="V826" s="537"/>
      <c r="W826" s="537"/>
      <c r="X826" s="537"/>
      <c r="Y826" s="537"/>
      <c r="Z826" s="537"/>
    </row>
    <row r="827">
      <c r="A827" s="537"/>
      <c r="B827" s="537"/>
      <c r="C827" s="538"/>
      <c r="D827" s="537"/>
      <c r="E827" s="537"/>
      <c r="F827" s="537"/>
      <c r="G827" s="537"/>
      <c r="H827" s="537"/>
      <c r="I827" s="537"/>
      <c r="J827" s="537"/>
      <c r="K827" s="537"/>
      <c r="L827" s="537"/>
      <c r="M827" s="537"/>
      <c r="N827" s="537"/>
      <c r="O827" s="537"/>
      <c r="P827" s="537"/>
      <c r="Q827" s="537"/>
      <c r="R827" s="537"/>
      <c r="S827" s="537"/>
      <c r="T827" s="537"/>
      <c r="U827" s="537"/>
      <c r="V827" s="537"/>
      <c r="W827" s="537"/>
      <c r="X827" s="537"/>
      <c r="Y827" s="537"/>
      <c r="Z827" s="537"/>
    </row>
    <row r="828">
      <c r="A828" s="537"/>
      <c r="B828" s="537"/>
      <c r="C828" s="538"/>
      <c r="D828" s="537"/>
      <c r="E828" s="537"/>
      <c r="F828" s="537"/>
      <c r="G828" s="537"/>
      <c r="H828" s="537"/>
      <c r="I828" s="537"/>
      <c r="J828" s="537"/>
      <c r="K828" s="537"/>
      <c r="L828" s="537"/>
      <c r="M828" s="537"/>
      <c r="N828" s="537"/>
      <c r="O828" s="537"/>
      <c r="P828" s="537"/>
      <c r="Q828" s="537"/>
      <c r="R828" s="537"/>
      <c r="S828" s="537"/>
      <c r="T828" s="537"/>
      <c r="U828" s="537"/>
      <c r="V828" s="537"/>
      <c r="W828" s="537"/>
      <c r="X828" s="537"/>
      <c r="Y828" s="537"/>
      <c r="Z828" s="537"/>
    </row>
    <row r="829">
      <c r="A829" s="537"/>
      <c r="B829" s="537"/>
      <c r="C829" s="538"/>
      <c r="D829" s="537"/>
      <c r="E829" s="537"/>
      <c r="F829" s="537"/>
      <c r="G829" s="537"/>
      <c r="H829" s="537"/>
      <c r="I829" s="537"/>
      <c r="J829" s="537"/>
      <c r="K829" s="537"/>
      <c r="L829" s="537"/>
      <c r="M829" s="537"/>
      <c r="N829" s="537"/>
      <c r="O829" s="537"/>
      <c r="P829" s="537"/>
      <c r="Q829" s="537"/>
      <c r="R829" s="537"/>
      <c r="S829" s="537"/>
      <c r="T829" s="537"/>
      <c r="U829" s="537"/>
      <c r="V829" s="537"/>
      <c r="W829" s="537"/>
      <c r="X829" s="537"/>
      <c r="Y829" s="537"/>
      <c r="Z829" s="537"/>
    </row>
    <row r="830">
      <c r="A830" s="537"/>
      <c r="B830" s="537"/>
      <c r="C830" s="538"/>
      <c r="D830" s="537"/>
      <c r="E830" s="537"/>
      <c r="F830" s="537"/>
      <c r="G830" s="537"/>
      <c r="H830" s="537"/>
      <c r="I830" s="537"/>
      <c r="J830" s="537"/>
      <c r="K830" s="537"/>
      <c r="L830" s="537"/>
      <c r="M830" s="537"/>
      <c r="N830" s="537"/>
      <c r="O830" s="537"/>
      <c r="P830" s="537"/>
      <c r="Q830" s="537"/>
      <c r="R830" s="537"/>
      <c r="S830" s="537"/>
      <c r="T830" s="537"/>
      <c r="U830" s="537"/>
      <c r="V830" s="537"/>
      <c r="W830" s="537"/>
      <c r="X830" s="537"/>
      <c r="Y830" s="537"/>
      <c r="Z830" s="537"/>
    </row>
    <row r="831">
      <c r="A831" s="537"/>
      <c r="B831" s="537"/>
      <c r="C831" s="538"/>
      <c r="D831" s="537"/>
      <c r="E831" s="537"/>
      <c r="F831" s="537"/>
      <c r="G831" s="537"/>
      <c r="H831" s="537"/>
      <c r="I831" s="537"/>
      <c r="J831" s="537"/>
      <c r="K831" s="537"/>
      <c r="L831" s="537"/>
      <c r="M831" s="537"/>
      <c r="N831" s="537"/>
      <c r="O831" s="537"/>
      <c r="P831" s="537"/>
      <c r="Q831" s="537"/>
      <c r="R831" s="537"/>
      <c r="S831" s="537"/>
      <c r="T831" s="537"/>
      <c r="U831" s="537"/>
      <c r="V831" s="537"/>
      <c r="W831" s="537"/>
      <c r="X831" s="537"/>
      <c r="Y831" s="537"/>
      <c r="Z831" s="537"/>
    </row>
    <row r="832">
      <c r="A832" s="537"/>
      <c r="B832" s="537"/>
      <c r="C832" s="538"/>
      <c r="D832" s="537"/>
      <c r="E832" s="537"/>
      <c r="F832" s="537"/>
      <c r="G832" s="537"/>
      <c r="H832" s="537"/>
      <c r="I832" s="537"/>
      <c r="J832" s="537"/>
      <c r="K832" s="537"/>
      <c r="L832" s="537"/>
      <c r="M832" s="537"/>
      <c r="N832" s="537"/>
      <c r="O832" s="537"/>
      <c r="P832" s="537"/>
      <c r="Q832" s="537"/>
      <c r="R832" s="537"/>
      <c r="S832" s="537"/>
      <c r="T832" s="537"/>
      <c r="U832" s="537"/>
      <c r="V832" s="537"/>
      <c r="W832" s="537"/>
      <c r="X832" s="537"/>
      <c r="Y832" s="537"/>
      <c r="Z832" s="537"/>
    </row>
    <row r="833">
      <c r="A833" s="537"/>
      <c r="B833" s="537"/>
      <c r="C833" s="538"/>
      <c r="D833" s="537"/>
      <c r="E833" s="537"/>
      <c r="F833" s="537"/>
      <c r="G833" s="537"/>
      <c r="H833" s="537"/>
      <c r="I833" s="537"/>
      <c r="J833" s="537"/>
      <c r="K833" s="537"/>
      <c r="L833" s="537"/>
      <c r="M833" s="537"/>
      <c r="N833" s="537"/>
      <c r="O833" s="537"/>
      <c r="P833" s="537"/>
      <c r="Q833" s="537"/>
      <c r="R833" s="537"/>
      <c r="S833" s="537"/>
      <c r="T833" s="537"/>
      <c r="U833" s="537"/>
      <c r="V833" s="537"/>
      <c r="W833" s="537"/>
      <c r="X833" s="537"/>
      <c r="Y833" s="537"/>
      <c r="Z833" s="537"/>
    </row>
    <row r="834">
      <c r="A834" s="537"/>
      <c r="B834" s="537"/>
      <c r="C834" s="538"/>
      <c r="D834" s="537"/>
      <c r="E834" s="537"/>
      <c r="F834" s="537"/>
      <c r="G834" s="537"/>
      <c r="H834" s="537"/>
      <c r="I834" s="537"/>
      <c r="J834" s="537"/>
      <c r="K834" s="537"/>
      <c r="L834" s="537"/>
      <c r="M834" s="537"/>
      <c r="N834" s="537"/>
      <c r="O834" s="537"/>
      <c r="P834" s="537"/>
      <c r="Q834" s="537"/>
      <c r="R834" s="537"/>
      <c r="S834" s="537"/>
      <c r="T834" s="537"/>
      <c r="U834" s="537"/>
      <c r="V834" s="537"/>
      <c r="W834" s="537"/>
      <c r="X834" s="537"/>
      <c r="Y834" s="537"/>
      <c r="Z834" s="537"/>
    </row>
    <row r="835">
      <c r="A835" s="537"/>
      <c r="B835" s="537"/>
      <c r="C835" s="538"/>
      <c r="D835" s="537"/>
      <c r="E835" s="537"/>
      <c r="F835" s="537"/>
      <c r="G835" s="537"/>
      <c r="H835" s="537"/>
      <c r="I835" s="537"/>
      <c r="J835" s="537"/>
      <c r="K835" s="537"/>
      <c r="L835" s="537"/>
      <c r="M835" s="537"/>
      <c r="N835" s="537"/>
      <c r="O835" s="537"/>
      <c r="P835" s="537"/>
      <c r="Q835" s="537"/>
      <c r="R835" s="537"/>
      <c r="S835" s="537"/>
      <c r="T835" s="537"/>
      <c r="U835" s="537"/>
      <c r="V835" s="537"/>
      <c r="W835" s="537"/>
      <c r="X835" s="537"/>
      <c r="Y835" s="537"/>
      <c r="Z835" s="537"/>
    </row>
    <row r="836">
      <c r="A836" s="537"/>
      <c r="B836" s="537"/>
      <c r="C836" s="538"/>
      <c r="D836" s="537"/>
      <c r="E836" s="537"/>
      <c r="F836" s="537"/>
      <c r="G836" s="537"/>
      <c r="H836" s="537"/>
      <c r="I836" s="537"/>
      <c r="J836" s="537"/>
      <c r="K836" s="537"/>
      <c r="L836" s="537"/>
      <c r="M836" s="537"/>
      <c r="N836" s="537"/>
      <c r="O836" s="537"/>
      <c r="P836" s="537"/>
      <c r="Q836" s="537"/>
      <c r="R836" s="537"/>
      <c r="S836" s="537"/>
      <c r="T836" s="537"/>
      <c r="U836" s="537"/>
      <c r="V836" s="537"/>
      <c r="W836" s="537"/>
      <c r="X836" s="537"/>
      <c r="Y836" s="537"/>
      <c r="Z836" s="537"/>
    </row>
    <row r="837">
      <c r="A837" s="537"/>
      <c r="B837" s="537"/>
      <c r="C837" s="538"/>
      <c r="D837" s="537"/>
      <c r="E837" s="537"/>
      <c r="F837" s="537"/>
      <c r="G837" s="537"/>
      <c r="H837" s="537"/>
      <c r="I837" s="537"/>
      <c r="J837" s="537"/>
      <c r="K837" s="537"/>
      <c r="L837" s="537"/>
      <c r="M837" s="537"/>
      <c r="N837" s="537"/>
      <c r="O837" s="537"/>
      <c r="P837" s="537"/>
      <c r="Q837" s="537"/>
      <c r="R837" s="537"/>
      <c r="S837" s="537"/>
      <c r="T837" s="537"/>
      <c r="U837" s="537"/>
      <c r="V837" s="537"/>
      <c r="W837" s="537"/>
      <c r="X837" s="537"/>
      <c r="Y837" s="537"/>
      <c r="Z837" s="537"/>
    </row>
    <row r="838">
      <c r="A838" s="537"/>
      <c r="B838" s="537"/>
      <c r="C838" s="538"/>
      <c r="D838" s="537"/>
      <c r="E838" s="537"/>
      <c r="F838" s="537"/>
      <c r="G838" s="537"/>
      <c r="H838" s="537"/>
      <c r="I838" s="537"/>
      <c r="J838" s="537"/>
      <c r="K838" s="537"/>
      <c r="L838" s="537"/>
      <c r="M838" s="537"/>
      <c r="N838" s="537"/>
      <c r="O838" s="537"/>
      <c r="P838" s="537"/>
      <c r="Q838" s="537"/>
      <c r="R838" s="537"/>
      <c r="S838" s="537"/>
      <c r="T838" s="537"/>
      <c r="U838" s="537"/>
      <c r="V838" s="537"/>
      <c r="W838" s="537"/>
      <c r="X838" s="537"/>
      <c r="Y838" s="537"/>
      <c r="Z838" s="537"/>
    </row>
    <row r="839">
      <c r="A839" s="537"/>
      <c r="B839" s="537"/>
      <c r="C839" s="538"/>
      <c r="D839" s="537"/>
      <c r="E839" s="537"/>
      <c r="F839" s="537"/>
      <c r="G839" s="537"/>
      <c r="H839" s="537"/>
      <c r="I839" s="537"/>
      <c r="J839" s="537"/>
      <c r="K839" s="537"/>
      <c r="L839" s="537"/>
      <c r="M839" s="537"/>
      <c r="N839" s="537"/>
      <c r="O839" s="537"/>
      <c r="P839" s="537"/>
      <c r="Q839" s="537"/>
      <c r="R839" s="537"/>
      <c r="S839" s="537"/>
      <c r="T839" s="537"/>
      <c r="U839" s="537"/>
      <c r="V839" s="537"/>
      <c r="W839" s="537"/>
      <c r="X839" s="537"/>
      <c r="Y839" s="537"/>
      <c r="Z839" s="537"/>
    </row>
    <row r="840">
      <c r="A840" s="537"/>
      <c r="B840" s="537"/>
      <c r="C840" s="538"/>
      <c r="D840" s="537"/>
      <c r="E840" s="537"/>
      <c r="F840" s="537"/>
      <c r="G840" s="537"/>
      <c r="H840" s="537"/>
      <c r="I840" s="537"/>
      <c r="J840" s="537"/>
      <c r="K840" s="537"/>
      <c r="L840" s="537"/>
      <c r="M840" s="537"/>
      <c r="N840" s="537"/>
      <c r="O840" s="537"/>
      <c r="P840" s="537"/>
      <c r="Q840" s="537"/>
      <c r="R840" s="537"/>
      <c r="S840" s="537"/>
      <c r="T840" s="537"/>
      <c r="U840" s="537"/>
      <c r="V840" s="537"/>
      <c r="W840" s="537"/>
      <c r="X840" s="537"/>
      <c r="Y840" s="537"/>
      <c r="Z840" s="537"/>
    </row>
    <row r="841">
      <c r="A841" s="537"/>
      <c r="B841" s="537"/>
      <c r="C841" s="538"/>
      <c r="D841" s="537"/>
      <c r="E841" s="537"/>
      <c r="F841" s="537"/>
      <c r="G841" s="537"/>
      <c r="H841" s="537"/>
      <c r="I841" s="537"/>
      <c r="J841" s="537"/>
      <c r="K841" s="537"/>
      <c r="L841" s="537"/>
      <c r="M841" s="537"/>
      <c r="N841" s="537"/>
      <c r="O841" s="537"/>
      <c r="P841" s="537"/>
      <c r="Q841" s="537"/>
      <c r="R841" s="537"/>
      <c r="S841" s="537"/>
      <c r="T841" s="537"/>
      <c r="U841" s="537"/>
      <c r="V841" s="537"/>
      <c r="W841" s="537"/>
      <c r="X841" s="537"/>
      <c r="Y841" s="537"/>
      <c r="Z841" s="537"/>
    </row>
    <row r="842">
      <c r="A842" s="537"/>
      <c r="B842" s="537"/>
      <c r="C842" s="538"/>
      <c r="D842" s="537"/>
      <c r="E842" s="537"/>
      <c r="F842" s="537"/>
      <c r="G842" s="537"/>
      <c r="H842" s="537"/>
      <c r="I842" s="537"/>
      <c r="J842" s="537"/>
      <c r="K842" s="537"/>
      <c r="L842" s="537"/>
      <c r="M842" s="537"/>
      <c r="N842" s="537"/>
      <c r="O842" s="537"/>
      <c r="P842" s="537"/>
      <c r="Q842" s="537"/>
      <c r="R842" s="537"/>
      <c r="S842" s="537"/>
      <c r="T842" s="537"/>
      <c r="U842" s="537"/>
      <c r="V842" s="537"/>
      <c r="W842" s="537"/>
      <c r="X842" s="537"/>
      <c r="Y842" s="537"/>
      <c r="Z842" s="537"/>
    </row>
    <row r="843">
      <c r="A843" s="537"/>
      <c r="B843" s="537"/>
      <c r="C843" s="538"/>
      <c r="D843" s="537"/>
      <c r="E843" s="537"/>
      <c r="F843" s="537"/>
      <c r="G843" s="537"/>
      <c r="H843" s="537"/>
      <c r="I843" s="537"/>
      <c r="J843" s="537"/>
      <c r="K843" s="537"/>
      <c r="L843" s="537"/>
      <c r="M843" s="537"/>
      <c r="N843" s="537"/>
      <c r="O843" s="537"/>
      <c r="P843" s="537"/>
      <c r="Q843" s="537"/>
      <c r="R843" s="537"/>
      <c r="S843" s="537"/>
      <c r="T843" s="537"/>
      <c r="U843" s="537"/>
      <c r="V843" s="537"/>
      <c r="W843" s="537"/>
      <c r="X843" s="537"/>
      <c r="Y843" s="537"/>
      <c r="Z843" s="537"/>
    </row>
    <row r="844">
      <c r="A844" s="537"/>
      <c r="B844" s="537"/>
      <c r="C844" s="538"/>
      <c r="D844" s="537"/>
      <c r="E844" s="537"/>
      <c r="F844" s="537"/>
      <c r="G844" s="537"/>
      <c r="H844" s="537"/>
      <c r="I844" s="537"/>
      <c r="J844" s="537"/>
      <c r="K844" s="537"/>
      <c r="L844" s="537"/>
      <c r="M844" s="537"/>
      <c r="N844" s="537"/>
      <c r="O844" s="537"/>
      <c r="P844" s="537"/>
      <c r="Q844" s="537"/>
      <c r="R844" s="537"/>
      <c r="S844" s="537"/>
      <c r="T844" s="537"/>
      <c r="U844" s="537"/>
      <c r="V844" s="537"/>
      <c r="W844" s="537"/>
      <c r="X844" s="537"/>
      <c r="Y844" s="537"/>
      <c r="Z844" s="537"/>
    </row>
    <row r="845">
      <c r="A845" s="537"/>
      <c r="B845" s="537"/>
      <c r="C845" s="538"/>
      <c r="D845" s="537"/>
      <c r="E845" s="537"/>
      <c r="F845" s="537"/>
      <c r="G845" s="537"/>
      <c r="H845" s="537"/>
      <c r="I845" s="537"/>
      <c r="J845" s="537"/>
      <c r="K845" s="537"/>
      <c r="L845" s="537"/>
      <c r="M845" s="537"/>
      <c r="N845" s="537"/>
      <c r="O845" s="537"/>
      <c r="P845" s="537"/>
      <c r="Q845" s="537"/>
      <c r="R845" s="537"/>
      <c r="S845" s="537"/>
      <c r="T845" s="537"/>
      <c r="U845" s="537"/>
      <c r="V845" s="537"/>
      <c r="W845" s="537"/>
      <c r="X845" s="537"/>
      <c r="Y845" s="537"/>
      <c r="Z845" s="537"/>
    </row>
    <row r="846">
      <c r="A846" s="537"/>
      <c r="B846" s="537"/>
      <c r="C846" s="538"/>
      <c r="D846" s="537"/>
      <c r="E846" s="537"/>
      <c r="F846" s="537"/>
      <c r="G846" s="537"/>
      <c r="H846" s="537"/>
      <c r="I846" s="537"/>
      <c r="J846" s="537"/>
      <c r="K846" s="537"/>
      <c r="L846" s="537"/>
      <c r="M846" s="537"/>
      <c r="N846" s="537"/>
      <c r="O846" s="537"/>
      <c r="P846" s="537"/>
      <c r="Q846" s="537"/>
      <c r="R846" s="537"/>
      <c r="S846" s="537"/>
      <c r="T846" s="537"/>
      <c r="U846" s="537"/>
      <c r="V846" s="537"/>
      <c r="W846" s="537"/>
      <c r="X846" s="537"/>
      <c r="Y846" s="537"/>
      <c r="Z846" s="537"/>
    </row>
    <row r="847">
      <c r="A847" s="537"/>
      <c r="B847" s="537"/>
      <c r="C847" s="538"/>
      <c r="D847" s="537"/>
      <c r="E847" s="537"/>
      <c r="F847" s="537"/>
      <c r="G847" s="537"/>
      <c r="H847" s="537"/>
      <c r="I847" s="537"/>
      <c r="J847" s="537"/>
      <c r="K847" s="537"/>
      <c r="L847" s="537"/>
      <c r="M847" s="537"/>
      <c r="N847" s="537"/>
      <c r="O847" s="537"/>
      <c r="P847" s="537"/>
      <c r="Q847" s="537"/>
      <c r="R847" s="537"/>
      <c r="S847" s="537"/>
      <c r="T847" s="537"/>
      <c r="U847" s="537"/>
      <c r="V847" s="537"/>
      <c r="W847" s="537"/>
      <c r="X847" s="537"/>
      <c r="Y847" s="537"/>
      <c r="Z847" s="537"/>
    </row>
    <row r="848">
      <c r="A848" s="537"/>
      <c r="B848" s="537"/>
      <c r="C848" s="538"/>
      <c r="D848" s="537"/>
      <c r="E848" s="537"/>
      <c r="F848" s="537"/>
      <c r="G848" s="537"/>
      <c r="H848" s="537"/>
      <c r="I848" s="537"/>
      <c r="J848" s="537"/>
      <c r="K848" s="537"/>
      <c r="L848" s="537"/>
      <c r="M848" s="537"/>
      <c r="N848" s="537"/>
      <c r="O848" s="537"/>
      <c r="P848" s="537"/>
      <c r="Q848" s="537"/>
      <c r="R848" s="537"/>
      <c r="S848" s="537"/>
      <c r="T848" s="537"/>
      <c r="U848" s="537"/>
      <c r="V848" s="537"/>
      <c r="W848" s="537"/>
      <c r="X848" s="537"/>
      <c r="Y848" s="537"/>
      <c r="Z848" s="537"/>
    </row>
    <row r="849">
      <c r="A849" s="537"/>
      <c r="B849" s="537"/>
      <c r="C849" s="538"/>
      <c r="D849" s="537"/>
      <c r="E849" s="537"/>
      <c r="F849" s="537"/>
      <c r="G849" s="537"/>
      <c r="H849" s="537"/>
      <c r="I849" s="537"/>
      <c r="J849" s="537"/>
      <c r="K849" s="537"/>
      <c r="L849" s="537"/>
      <c r="M849" s="537"/>
      <c r="N849" s="537"/>
      <c r="O849" s="537"/>
      <c r="P849" s="537"/>
      <c r="Q849" s="537"/>
      <c r="R849" s="537"/>
      <c r="S849" s="537"/>
      <c r="T849" s="537"/>
      <c r="U849" s="537"/>
      <c r="V849" s="537"/>
      <c r="W849" s="537"/>
      <c r="X849" s="537"/>
      <c r="Y849" s="537"/>
      <c r="Z849" s="537"/>
    </row>
    <row r="850">
      <c r="A850" s="537"/>
      <c r="B850" s="537"/>
      <c r="C850" s="538"/>
      <c r="D850" s="537"/>
      <c r="E850" s="537"/>
      <c r="F850" s="537"/>
      <c r="G850" s="537"/>
      <c r="H850" s="537"/>
      <c r="I850" s="537"/>
      <c r="J850" s="537"/>
      <c r="K850" s="537"/>
      <c r="L850" s="537"/>
      <c r="M850" s="537"/>
      <c r="N850" s="537"/>
      <c r="O850" s="537"/>
      <c r="P850" s="537"/>
      <c r="Q850" s="537"/>
      <c r="R850" s="537"/>
      <c r="S850" s="537"/>
      <c r="T850" s="537"/>
      <c r="U850" s="537"/>
      <c r="V850" s="537"/>
      <c r="W850" s="537"/>
      <c r="X850" s="537"/>
      <c r="Y850" s="537"/>
      <c r="Z850" s="537"/>
    </row>
    <row r="851">
      <c r="A851" s="537"/>
      <c r="B851" s="537"/>
      <c r="C851" s="538"/>
      <c r="D851" s="537"/>
      <c r="E851" s="537"/>
      <c r="F851" s="537"/>
      <c r="G851" s="537"/>
      <c r="H851" s="537"/>
      <c r="I851" s="537"/>
      <c r="J851" s="537"/>
      <c r="K851" s="537"/>
      <c r="L851" s="537"/>
      <c r="M851" s="537"/>
      <c r="N851" s="537"/>
      <c r="O851" s="537"/>
      <c r="P851" s="537"/>
      <c r="Q851" s="537"/>
      <c r="R851" s="537"/>
      <c r="S851" s="537"/>
      <c r="T851" s="537"/>
      <c r="U851" s="537"/>
      <c r="V851" s="537"/>
      <c r="W851" s="537"/>
      <c r="X851" s="537"/>
      <c r="Y851" s="537"/>
      <c r="Z851" s="537"/>
    </row>
    <row r="852">
      <c r="A852" s="537"/>
      <c r="B852" s="537"/>
      <c r="C852" s="538"/>
      <c r="D852" s="537"/>
      <c r="E852" s="537"/>
      <c r="F852" s="537"/>
      <c r="G852" s="537"/>
      <c r="H852" s="537"/>
      <c r="I852" s="537"/>
      <c r="J852" s="537"/>
      <c r="K852" s="537"/>
      <c r="L852" s="537"/>
      <c r="M852" s="537"/>
      <c r="N852" s="537"/>
      <c r="O852" s="537"/>
      <c r="P852" s="537"/>
      <c r="Q852" s="537"/>
      <c r="R852" s="537"/>
      <c r="S852" s="537"/>
      <c r="T852" s="537"/>
      <c r="U852" s="537"/>
      <c r="V852" s="537"/>
      <c r="W852" s="537"/>
      <c r="X852" s="537"/>
      <c r="Y852" s="537"/>
      <c r="Z852" s="537"/>
    </row>
    <row r="853">
      <c r="A853" s="537"/>
      <c r="B853" s="537"/>
      <c r="C853" s="538"/>
      <c r="D853" s="537"/>
      <c r="E853" s="537"/>
      <c r="F853" s="537"/>
      <c r="G853" s="537"/>
      <c r="H853" s="537"/>
      <c r="I853" s="537"/>
      <c r="J853" s="537"/>
      <c r="K853" s="537"/>
      <c r="L853" s="537"/>
      <c r="M853" s="537"/>
      <c r="N853" s="537"/>
      <c r="O853" s="537"/>
      <c r="P853" s="537"/>
      <c r="Q853" s="537"/>
      <c r="R853" s="537"/>
      <c r="S853" s="537"/>
      <c r="T853" s="537"/>
      <c r="U853" s="537"/>
      <c r="V853" s="537"/>
      <c r="W853" s="537"/>
      <c r="X853" s="537"/>
      <c r="Y853" s="537"/>
      <c r="Z853" s="537"/>
    </row>
    <row r="854">
      <c r="A854" s="537"/>
      <c r="B854" s="537"/>
      <c r="C854" s="538"/>
      <c r="D854" s="537"/>
      <c r="E854" s="537"/>
      <c r="F854" s="537"/>
      <c r="G854" s="537"/>
      <c r="H854" s="537"/>
      <c r="I854" s="537"/>
      <c r="J854" s="537"/>
      <c r="K854" s="537"/>
      <c r="L854" s="537"/>
      <c r="M854" s="537"/>
      <c r="N854" s="537"/>
      <c r="O854" s="537"/>
      <c r="P854" s="537"/>
      <c r="Q854" s="537"/>
      <c r="R854" s="537"/>
      <c r="S854" s="537"/>
      <c r="T854" s="537"/>
      <c r="U854" s="537"/>
      <c r="V854" s="537"/>
      <c r="W854" s="537"/>
      <c r="X854" s="537"/>
      <c r="Y854" s="537"/>
      <c r="Z854" s="537"/>
    </row>
    <row r="855">
      <c r="A855" s="537"/>
      <c r="B855" s="537"/>
      <c r="C855" s="538"/>
      <c r="D855" s="537"/>
      <c r="E855" s="537"/>
      <c r="F855" s="537"/>
      <c r="G855" s="537"/>
      <c r="H855" s="537"/>
      <c r="I855" s="537"/>
      <c r="J855" s="537"/>
      <c r="K855" s="537"/>
      <c r="L855" s="537"/>
      <c r="M855" s="537"/>
      <c r="N855" s="537"/>
      <c r="O855" s="537"/>
      <c r="P855" s="537"/>
      <c r="Q855" s="537"/>
      <c r="R855" s="537"/>
      <c r="S855" s="537"/>
      <c r="T855" s="537"/>
      <c r="U855" s="537"/>
      <c r="V855" s="537"/>
      <c r="W855" s="537"/>
      <c r="X855" s="537"/>
      <c r="Y855" s="537"/>
      <c r="Z855" s="537"/>
    </row>
    <row r="856">
      <c r="A856" s="537"/>
      <c r="B856" s="537"/>
      <c r="C856" s="538"/>
      <c r="D856" s="537"/>
      <c r="E856" s="537"/>
      <c r="F856" s="537"/>
      <c r="G856" s="537"/>
      <c r="H856" s="537"/>
      <c r="I856" s="537"/>
      <c r="J856" s="537"/>
      <c r="K856" s="537"/>
      <c r="L856" s="537"/>
      <c r="M856" s="537"/>
      <c r="N856" s="537"/>
      <c r="O856" s="537"/>
      <c r="P856" s="537"/>
      <c r="Q856" s="537"/>
      <c r="R856" s="537"/>
      <c r="S856" s="537"/>
      <c r="T856" s="537"/>
      <c r="U856" s="537"/>
      <c r="V856" s="537"/>
      <c r="W856" s="537"/>
      <c r="X856" s="537"/>
      <c r="Y856" s="537"/>
      <c r="Z856" s="537"/>
    </row>
    <row r="857">
      <c r="A857" s="537"/>
      <c r="B857" s="537"/>
      <c r="C857" s="538"/>
      <c r="D857" s="537"/>
      <c r="E857" s="537"/>
      <c r="F857" s="537"/>
      <c r="G857" s="537"/>
      <c r="H857" s="537"/>
      <c r="I857" s="537"/>
      <c r="J857" s="537"/>
      <c r="K857" s="537"/>
      <c r="L857" s="537"/>
      <c r="M857" s="537"/>
      <c r="N857" s="537"/>
      <c r="O857" s="537"/>
      <c r="P857" s="537"/>
      <c r="Q857" s="537"/>
      <c r="R857" s="537"/>
      <c r="S857" s="537"/>
      <c r="T857" s="537"/>
      <c r="U857" s="537"/>
      <c r="V857" s="537"/>
      <c r="W857" s="537"/>
      <c r="X857" s="537"/>
      <c r="Y857" s="537"/>
      <c r="Z857" s="537"/>
    </row>
    <row r="858">
      <c r="A858" s="537"/>
      <c r="B858" s="537"/>
      <c r="C858" s="538"/>
      <c r="D858" s="537"/>
      <c r="E858" s="537"/>
      <c r="F858" s="537"/>
      <c r="G858" s="537"/>
      <c r="H858" s="537"/>
      <c r="I858" s="537"/>
      <c r="J858" s="537"/>
      <c r="K858" s="537"/>
      <c r="L858" s="537"/>
      <c r="M858" s="537"/>
      <c r="N858" s="537"/>
      <c r="O858" s="537"/>
      <c r="P858" s="537"/>
      <c r="Q858" s="537"/>
      <c r="R858" s="537"/>
      <c r="S858" s="537"/>
      <c r="T858" s="537"/>
      <c r="U858" s="537"/>
      <c r="V858" s="537"/>
      <c r="W858" s="537"/>
      <c r="X858" s="537"/>
      <c r="Y858" s="537"/>
      <c r="Z858" s="537"/>
    </row>
    <row r="859">
      <c r="A859" s="537"/>
      <c r="B859" s="537"/>
      <c r="C859" s="538"/>
      <c r="D859" s="537"/>
      <c r="E859" s="537"/>
      <c r="F859" s="537"/>
      <c r="G859" s="537"/>
      <c r="H859" s="537"/>
      <c r="I859" s="537"/>
      <c r="J859" s="537"/>
      <c r="K859" s="537"/>
      <c r="L859" s="537"/>
      <c r="M859" s="537"/>
      <c r="N859" s="537"/>
      <c r="O859" s="537"/>
      <c r="P859" s="537"/>
      <c r="Q859" s="537"/>
      <c r="R859" s="537"/>
      <c r="S859" s="537"/>
      <c r="T859" s="537"/>
      <c r="U859" s="537"/>
      <c r="V859" s="537"/>
      <c r="W859" s="537"/>
      <c r="X859" s="537"/>
      <c r="Y859" s="537"/>
      <c r="Z859" s="537"/>
    </row>
    <row r="860">
      <c r="A860" s="537"/>
      <c r="B860" s="537"/>
      <c r="C860" s="538"/>
      <c r="D860" s="537"/>
      <c r="E860" s="537"/>
      <c r="F860" s="537"/>
      <c r="G860" s="537"/>
      <c r="H860" s="537"/>
      <c r="I860" s="537"/>
      <c r="J860" s="537"/>
      <c r="K860" s="537"/>
      <c r="L860" s="537"/>
      <c r="M860" s="537"/>
      <c r="N860" s="537"/>
      <c r="O860" s="537"/>
      <c r="P860" s="537"/>
      <c r="Q860" s="537"/>
      <c r="R860" s="537"/>
      <c r="S860" s="537"/>
      <c r="T860" s="537"/>
      <c r="U860" s="537"/>
      <c r="V860" s="537"/>
      <c r="W860" s="537"/>
      <c r="X860" s="537"/>
      <c r="Y860" s="537"/>
      <c r="Z860" s="537"/>
    </row>
    <row r="861">
      <c r="A861" s="537"/>
      <c r="B861" s="537"/>
      <c r="C861" s="538"/>
      <c r="D861" s="537"/>
      <c r="E861" s="537"/>
      <c r="F861" s="537"/>
      <c r="G861" s="537"/>
      <c r="H861" s="537"/>
      <c r="I861" s="537"/>
      <c r="J861" s="537"/>
      <c r="K861" s="537"/>
      <c r="L861" s="537"/>
      <c r="M861" s="537"/>
      <c r="N861" s="537"/>
      <c r="O861" s="537"/>
      <c r="P861" s="537"/>
      <c r="Q861" s="537"/>
      <c r="R861" s="537"/>
      <c r="S861" s="537"/>
      <c r="T861" s="537"/>
      <c r="U861" s="537"/>
      <c r="V861" s="537"/>
      <c r="W861" s="537"/>
      <c r="X861" s="537"/>
      <c r="Y861" s="537"/>
      <c r="Z861" s="537"/>
    </row>
    <row r="862">
      <c r="A862" s="537"/>
      <c r="B862" s="537"/>
      <c r="C862" s="538"/>
      <c r="D862" s="537"/>
      <c r="E862" s="537"/>
      <c r="F862" s="537"/>
      <c r="G862" s="537"/>
      <c r="H862" s="537"/>
      <c r="I862" s="537"/>
      <c r="J862" s="537"/>
      <c r="K862" s="537"/>
      <c r="L862" s="537"/>
      <c r="M862" s="537"/>
      <c r="N862" s="537"/>
      <c r="O862" s="537"/>
      <c r="P862" s="537"/>
      <c r="Q862" s="537"/>
      <c r="R862" s="537"/>
      <c r="S862" s="537"/>
      <c r="T862" s="537"/>
      <c r="U862" s="537"/>
      <c r="V862" s="537"/>
      <c r="W862" s="537"/>
      <c r="X862" s="537"/>
      <c r="Y862" s="537"/>
      <c r="Z862" s="537"/>
    </row>
    <row r="863">
      <c r="A863" s="537"/>
      <c r="B863" s="537"/>
      <c r="C863" s="538"/>
      <c r="D863" s="537"/>
      <c r="E863" s="537"/>
      <c r="F863" s="537"/>
      <c r="G863" s="537"/>
      <c r="H863" s="537"/>
      <c r="I863" s="537"/>
      <c r="J863" s="537"/>
      <c r="K863" s="537"/>
      <c r="L863" s="537"/>
      <c r="M863" s="537"/>
      <c r="N863" s="537"/>
      <c r="O863" s="537"/>
      <c r="P863" s="537"/>
      <c r="Q863" s="537"/>
      <c r="R863" s="537"/>
      <c r="S863" s="537"/>
      <c r="T863" s="537"/>
      <c r="U863" s="537"/>
      <c r="V863" s="537"/>
      <c r="W863" s="537"/>
      <c r="X863" s="537"/>
      <c r="Y863" s="537"/>
      <c r="Z863" s="537"/>
    </row>
    <row r="864">
      <c r="A864" s="537"/>
      <c r="B864" s="537"/>
      <c r="C864" s="538"/>
      <c r="D864" s="537"/>
      <c r="E864" s="537"/>
      <c r="F864" s="537"/>
      <c r="G864" s="537"/>
      <c r="H864" s="537"/>
      <c r="I864" s="537"/>
      <c r="J864" s="537"/>
      <c r="K864" s="537"/>
      <c r="L864" s="537"/>
      <c r="M864" s="537"/>
      <c r="N864" s="537"/>
      <c r="O864" s="537"/>
      <c r="P864" s="537"/>
      <c r="Q864" s="537"/>
      <c r="R864" s="537"/>
      <c r="S864" s="537"/>
      <c r="T864" s="537"/>
      <c r="U864" s="537"/>
      <c r="V864" s="537"/>
      <c r="W864" s="537"/>
      <c r="X864" s="537"/>
      <c r="Y864" s="537"/>
      <c r="Z864" s="537"/>
    </row>
    <row r="865">
      <c r="A865" s="537"/>
      <c r="B865" s="537"/>
      <c r="C865" s="538"/>
      <c r="D865" s="537"/>
      <c r="E865" s="537"/>
      <c r="F865" s="537"/>
      <c r="G865" s="537"/>
      <c r="H865" s="537"/>
      <c r="I865" s="537"/>
      <c r="J865" s="537"/>
      <c r="K865" s="537"/>
      <c r="L865" s="537"/>
      <c r="M865" s="537"/>
      <c r="N865" s="537"/>
      <c r="O865" s="537"/>
      <c r="P865" s="537"/>
      <c r="Q865" s="537"/>
      <c r="R865" s="537"/>
      <c r="S865" s="537"/>
      <c r="T865" s="537"/>
      <c r="U865" s="537"/>
      <c r="V865" s="537"/>
      <c r="W865" s="537"/>
      <c r="X865" s="537"/>
      <c r="Y865" s="537"/>
      <c r="Z865" s="537"/>
    </row>
    <row r="866">
      <c r="A866" s="537"/>
      <c r="B866" s="537"/>
      <c r="C866" s="538"/>
      <c r="D866" s="537"/>
      <c r="E866" s="537"/>
      <c r="F866" s="537"/>
      <c r="G866" s="537"/>
      <c r="H866" s="537"/>
      <c r="I866" s="537"/>
      <c r="J866" s="537"/>
      <c r="K866" s="537"/>
      <c r="L866" s="537"/>
      <c r="M866" s="537"/>
      <c r="N866" s="537"/>
      <c r="O866" s="537"/>
      <c r="P866" s="537"/>
      <c r="Q866" s="537"/>
      <c r="R866" s="537"/>
      <c r="S866" s="537"/>
      <c r="T866" s="537"/>
      <c r="U866" s="537"/>
      <c r="V866" s="537"/>
      <c r="W866" s="537"/>
      <c r="X866" s="537"/>
      <c r="Y866" s="537"/>
      <c r="Z866" s="537"/>
    </row>
    <row r="867">
      <c r="A867" s="537"/>
      <c r="B867" s="537"/>
      <c r="C867" s="538"/>
      <c r="D867" s="537"/>
      <c r="E867" s="537"/>
      <c r="F867" s="537"/>
      <c r="G867" s="537"/>
      <c r="H867" s="537"/>
      <c r="I867" s="537"/>
      <c r="J867" s="537"/>
      <c r="K867" s="537"/>
      <c r="L867" s="537"/>
      <c r="M867" s="537"/>
      <c r="N867" s="537"/>
      <c r="O867" s="537"/>
      <c r="P867" s="537"/>
      <c r="Q867" s="537"/>
      <c r="R867" s="537"/>
      <c r="S867" s="537"/>
      <c r="T867" s="537"/>
      <c r="U867" s="537"/>
      <c r="V867" s="537"/>
      <c r="W867" s="537"/>
      <c r="X867" s="537"/>
      <c r="Y867" s="537"/>
      <c r="Z867" s="537"/>
    </row>
    <row r="868">
      <c r="A868" s="537"/>
      <c r="B868" s="537"/>
      <c r="C868" s="538"/>
      <c r="D868" s="537"/>
      <c r="E868" s="537"/>
      <c r="F868" s="537"/>
      <c r="G868" s="537"/>
      <c r="H868" s="537"/>
      <c r="I868" s="537"/>
      <c r="J868" s="537"/>
      <c r="K868" s="537"/>
      <c r="L868" s="537"/>
      <c r="M868" s="537"/>
      <c r="N868" s="537"/>
      <c r="O868" s="537"/>
      <c r="P868" s="537"/>
      <c r="Q868" s="537"/>
      <c r="R868" s="537"/>
      <c r="S868" s="537"/>
      <c r="T868" s="537"/>
      <c r="U868" s="537"/>
      <c r="V868" s="537"/>
      <c r="W868" s="537"/>
      <c r="X868" s="537"/>
      <c r="Y868" s="537"/>
      <c r="Z868" s="537"/>
    </row>
    <row r="869">
      <c r="A869" s="537"/>
      <c r="B869" s="537"/>
      <c r="C869" s="538"/>
      <c r="D869" s="537"/>
      <c r="E869" s="537"/>
      <c r="F869" s="537"/>
      <c r="G869" s="537"/>
      <c r="H869" s="537"/>
      <c r="I869" s="537"/>
      <c r="J869" s="537"/>
      <c r="K869" s="537"/>
      <c r="L869" s="537"/>
      <c r="M869" s="537"/>
      <c r="N869" s="537"/>
      <c r="O869" s="537"/>
      <c r="P869" s="537"/>
      <c r="Q869" s="537"/>
      <c r="R869" s="537"/>
      <c r="S869" s="537"/>
      <c r="T869" s="537"/>
      <c r="U869" s="537"/>
      <c r="V869" s="537"/>
      <c r="W869" s="537"/>
      <c r="X869" s="537"/>
      <c r="Y869" s="537"/>
      <c r="Z869" s="537"/>
    </row>
    <row r="870">
      <c r="A870" s="537"/>
      <c r="B870" s="537"/>
      <c r="C870" s="538"/>
      <c r="D870" s="537"/>
      <c r="E870" s="537"/>
      <c r="F870" s="537"/>
      <c r="G870" s="537"/>
      <c r="H870" s="537"/>
      <c r="I870" s="537"/>
      <c r="J870" s="537"/>
      <c r="K870" s="537"/>
      <c r="L870" s="537"/>
      <c r="M870" s="537"/>
      <c r="N870" s="537"/>
      <c r="O870" s="537"/>
      <c r="P870" s="537"/>
      <c r="Q870" s="537"/>
      <c r="R870" s="537"/>
      <c r="S870" s="537"/>
      <c r="T870" s="537"/>
      <c r="U870" s="537"/>
      <c r="V870" s="537"/>
      <c r="W870" s="537"/>
      <c r="X870" s="537"/>
      <c r="Y870" s="537"/>
      <c r="Z870" s="537"/>
    </row>
    <row r="871">
      <c r="A871" s="537"/>
      <c r="B871" s="537"/>
      <c r="C871" s="538"/>
      <c r="D871" s="537"/>
      <c r="E871" s="537"/>
      <c r="F871" s="537"/>
      <c r="G871" s="537"/>
      <c r="H871" s="537"/>
      <c r="I871" s="537"/>
      <c r="J871" s="537"/>
      <c r="K871" s="537"/>
      <c r="L871" s="537"/>
      <c r="M871" s="537"/>
      <c r="N871" s="537"/>
      <c r="O871" s="537"/>
      <c r="P871" s="537"/>
      <c r="Q871" s="537"/>
      <c r="R871" s="537"/>
      <c r="S871" s="537"/>
      <c r="T871" s="537"/>
      <c r="U871" s="537"/>
      <c r="V871" s="537"/>
      <c r="W871" s="537"/>
      <c r="X871" s="537"/>
      <c r="Y871" s="537"/>
      <c r="Z871" s="537"/>
    </row>
    <row r="872">
      <c r="A872" s="537"/>
      <c r="B872" s="537"/>
      <c r="C872" s="538"/>
      <c r="D872" s="537"/>
      <c r="E872" s="537"/>
      <c r="F872" s="537"/>
      <c r="G872" s="537"/>
      <c r="H872" s="537"/>
      <c r="I872" s="537"/>
      <c r="J872" s="537"/>
      <c r="K872" s="537"/>
      <c r="L872" s="537"/>
      <c r="M872" s="537"/>
      <c r="N872" s="537"/>
      <c r="O872" s="537"/>
      <c r="P872" s="537"/>
      <c r="Q872" s="537"/>
      <c r="R872" s="537"/>
      <c r="S872" s="537"/>
      <c r="T872" s="537"/>
      <c r="U872" s="537"/>
      <c r="V872" s="537"/>
      <c r="W872" s="537"/>
      <c r="X872" s="537"/>
      <c r="Y872" s="537"/>
      <c r="Z872" s="537"/>
    </row>
    <row r="873">
      <c r="A873" s="537"/>
      <c r="B873" s="537"/>
      <c r="C873" s="538"/>
      <c r="D873" s="537"/>
      <c r="E873" s="537"/>
      <c r="F873" s="537"/>
      <c r="G873" s="537"/>
      <c r="H873" s="537"/>
      <c r="I873" s="537"/>
      <c r="J873" s="537"/>
      <c r="K873" s="537"/>
      <c r="L873" s="537"/>
      <c r="M873" s="537"/>
      <c r="N873" s="537"/>
      <c r="O873" s="537"/>
      <c r="P873" s="537"/>
      <c r="Q873" s="537"/>
      <c r="R873" s="537"/>
      <c r="S873" s="537"/>
      <c r="T873" s="537"/>
      <c r="U873" s="537"/>
      <c r="V873" s="537"/>
      <c r="W873" s="537"/>
      <c r="X873" s="537"/>
      <c r="Y873" s="537"/>
      <c r="Z873" s="537"/>
    </row>
    <row r="874">
      <c r="A874" s="537"/>
      <c r="B874" s="537"/>
      <c r="C874" s="538"/>
      <c r="D874" s="537"/>
      <c r="E874" s="537"/>
      <c r="F874" s="537"/>
      <c r="G874" s="537"/>
      <c r="H874" s="537"/>
      <c r="I874" s="537"/>
      <c r="J874" s="537"/>
      <c r="K874" s="537"/>
      <c r="L874" s="537"/>
      <c r="M874" s="537"/>
      <c r="N874" s="537"/>
      <c r="O874" s="537"/>
      <c r="P874" s="537"/>
      <c r="Q874" s="537"/>
      <c r="R874" s="537"/>
      <c r="S874" s="537"/>
      <c r="T874" s="537"/>
      <c r="U874" s="537"/>
      <c r="V874" s="537"/>
      <c r="W874" s="537"/>
      <c r="X874" s="537"/>
      <c r="Y874" s="537"/>
      <c r="Z874" s="537"/>
    </row>
    <row r="875">
      <c r="A875" s="537"/>
      <c r="B875" s="537"/>
      <c r="C875" s="538"/>
      <c r="D875" s="537"/>
      <c r="E875" s="537"/>
      <c r="F875" s="537"/>
      <c r="G875" s="537"/>
      <c r="H875" s="537"/>
      <c r="I875" s="537"/>
      <c r="J875" s="537"/>
      <c r="K875" s="537"/>
      <c r="L875" s="537"/>
      <c r="M875" s="537"/>
      <c r="N875" s="537"/>
      <c r="O875" s="537"/>
      <c r="P875" s="537"/>
      <c r="Q875" s="537"/>
      <c r="R875" s="537"/>
      <c r="S875" s="537"/>
      <c r="T875" s="537"/>
      <c r="U875" s="537"/>
      <c r="V875" s="537"/>
      <c r="W875" s="537"/>
      <c r="X875" s="537"/>
      <c r="Y875" s="537"/>
      <c r="Z875" s="537"/>
    </row>
    <row r="876">
      <c r="A876" s="537"/>
      <c r="B876" s="537"/>
      <c r="C876" s="538"/>
      <c r="D876" s="537"/>
      <c r="E876" s="537"/>
      <c r="F876" s="537"/>
      <c r="G876" s="537"/>
      <c r="H876" s="537"/>
      <c r="I876" s="537"/>
      <c r="J876" s="537"/>
      <c r="K876" s="537"/>
      <c r="L876" s="537"/>
      <c r="M876" s="537"/>
      <c r="N876" s="537"/>
      <c r="O876" s="537"/>
      <c r="P876" s="537"/>
      <c r="Q876" s="537"/>
      <c r="R876" s="537"/>
      <c r="S876" s="537"/>
      <c r="T876" s="537"/>
      <c r="U876" s="537"/>
      <c r="V876" s="537"/>
      <c r="W876" s="537"/>
      <c r="X876" s="537"/>
      <c r="Y876" s="537"/>
      <c r="Z876" s="537"/>
    </row>
    <row r="877">
      <c r="A877" s="537"/>
      <c r="B877" s="537"/>
      <c r="C877" s="538"/>
      <c r="D877" s="537"/>
      <c r="E877" s="537"/>
      <c r="F877" s="537"/>
      <c r="G877" s="537"/>
      <c r="H877" s="537"/>
      <c r="I877" s="537"/>
      <c r="J877" s="537"/>
      <c r="K877" s="537"/>
      <c r="L877" s="537"/>
      <c r="M877" s="537"/>
      <c r="N877" s="537"/>
      <c r="O877" s="537"/>
      <c r="P877" s="537"/>
      <c r="Q877" s="537"/>
      <c r="R877" s="537"/>
      <c r="S877" s="537"/>
      <c r="T877" s="537"/>
      <c r="U877" s="537"/>
      <c r="V877" s="537"/>
      <c r="W877" s="537"/>
      <c r="X877" s="537"/>
      <c r="Y877" s="537"/>
      <c r="Z877" s="537"/>
    </row>
    <row r="878">
      <c r="A878" s="537"/>
      <c r="B878" s="537"/>
      <c r="C878" s="538"/>
      <c r="D878" s="537"/>
      <c r="E878" s="537"/>
      <c r="F878" s="537"/>
      <c r="G878" s="537"/>
      <c r="H878" s="537"/>
      <c r="I878" s="537"/>
      <c r="J878" s="537"/>
      <c r="K878" s="537"/>
      <c r="L878" s="537"/>
      <c r="M878" s="537"/>
      <c r="N878" s="537"/>
      <c r="O878" s="537"/>
      <c r="P878" s="537"/>
      <c r="Q878" s="537"/>
      <c r="R878" s="537"/>
      <c r="S878" s="537"/>
      <c r="T878" s="537"/>
      <c r="U878" s="537"/>
      <c r="V878" s="537"/>
      <c r="W878" s="537"/>
      <c r="X878" s="537"/>
      <c r="Y878" s="537"/>
      <c r="Z878" s="537"/>
    </row>
    <row r="879">
      <c r="A879" s="537"/>
      <c r="B879" s="537"/>
      <c r="C879" s="538"/>
      <c r="D879" s="537"/>
      <c r="E879" s="537"/>
      <c r="F879" s="537"/>
      <c r="G879" s="537"/>
      <c r="H879" s="537"/>
      <c r="I879" s="537"/>
      <c r="J879" s="537"/>
      <c r="K879" s="537"/>
      <c r="L879" s="537"/>
      <c r="M879" s="537"/>
      <c r="N879" s="537"/>
      <c r="O879" s="537"/>
      <c r="P879" s="537"/>
      <c r="Q879" s="537"/>
      <c r="R879" s="537"/>
      <c r="S879" s="537"/>
      <c r="T879" s="537"/>
      <c r="U879" s="537"/>
      <c r="V879" s="537"/>
      <c r="W879" s="537"/>
      <c r="X879" s="537"/>
      <c r="Y879" s="537"/>
      <c r="Z879" s="537"/>
    </row>
    <row r="880">
      <c r="A880" s="537"/>
      <c r="B880" s="537"/>
      <c r="C880" s="538"/>
      <c r="D880" s="537"/>
      <c r="E880" s="537"/>
      <c r="F880" s="537"/>
      <c r="G880" s="537"/>
      <c r="H880" s="537"/>
      <c r="I880" s="537"/>
      <c r="J880" s="537"/>
      <c r="K880" s="537"/>
      <c r="L880" s="537"/>
      <c r="M880" s="537"/>
      <c r="N880" s="537"/>
      <c r="O880" s="537"/>
      <c r="P880" s="537"/>
      <c r="Q880" s="537"/>
      <c r="R880" s="537"/>
      <c r="S880" s="537"/>
      <c r="T880" s="537"/>
      <c r="U880" s="537"/>
      <c r="V880" s="537"/>
      <c r="W880" s="537"/>
      <c r="X880" s="537"/>
      <c r="Y880" s="537"/>
      <c r="Z880" s="537"/>
    </row>
    <row r="881">
      <c r="A881" s="537"/>
      <c r="B881" s="537"/>
      <c r="C881" s="538"/>
      <c r="D881" s="537"/>
      <c r="E881" s="537"/>
      <c r="F881" s="537"/>
      <c r="G881" s="537"/>
      <c r="H881" s="537"/>
      <c r="I881" s="537"/>
      <c r="J881" s="537"/>
      <c r="K881" s="537"/>
      <c r="L881" s="537"/>
      <c r="M881" s="537"/>
      <c r="N881" s="537"/>
      <c r="O881" s="537"/>
      <c r="P881" s="537"/>
      <c r="Q881" s="537"/>
      <c r="R881" s="537"/>
      <c r="S881" s="537"/>
      <c r="T881" s="537"/>
      <c r="U881" s="537"/>
      <c r="V881" s="537"/>
      <c r="W881" s="537"/>
      <c r="X881" s="537"/>
      <c r="Y881" s="537"/>
      <c r="Z881" s="537"/>
    </row>
    <row r="882">
      <c r="A882" s="537"/>
      <c r="B882" s="537"/>
      <c r="C882" s="538"/>
      <c r="D882" s="537"/>
      <c r="E882" s="537"/>
      <c r="F882" s="537"/>
      <c r="G882" s="537"/>
      <c r="H882" s="537"/>
      <c r="I882" s="537"/>
      <c r="J882" s="537"/>
      <c r="K882" s="537"/>
      <c r="L882" s="537"/>
      <c r="M882" s="537"/>
      <c r="N882" s="537"/>
      <c r="O882" s="537"/>
      <c r="P882" s="537"/>
      <c r="Q882" s="537"/>
      <c r="R882" s="537"/>
      <c r="S882" s="537"/>
      <c r="T882" s="537"/>
      <c r="U882" s="537"/>
      <c r="V882" s="537"/>
      <c r="W882" s="537"/>
      <c r="X882" s="537"/>
      <c r="Y882" s="537"/>
      <c r="Z882" s="537"/>
    </row>
    <row r="883">
      <c r="A883" s="537"/>
      <c r="B883" s="537"/>
      <c r="C883" s="538"/>
      <c r="D883" s="537"/>
      <c r="E883" s="537"/>
      <c r="F883" s="537"/>
      <c r="G883" s="537"/>
      <c r="H883" s="537"/>
      <c r="I883" s="537"/>
      <c r="J883" s="537"/>
      <c r="K883" s="537"/>
      <c r="L883" s="537"/>
      <c r="M883" s="537"/>
      <c r="N883" s="537"/>
      <c r="O883" s="537"/>
      <c r="P883" s="537"/>
      <c r="Q883" s="537"/>
      <c r="R883" s="537"/>
      <c r="S883" s="537"/>
      <c r="T883" s="537"/>
      <c r="U883" s="537"/>
      <c r="V883" s="537"/>
      <c r="W883" s="537"/>
      <c r="X883" s="537"/>
      <c r="Y883" s="537"/>
      <c r="Z883" s="537"/>
    </row>
    <row r="884">
      <c r="A884" s="537"/>
      <c r="B884" s="537"/>
      <c r="C884" s="538"/>
      <c r="D884" s="537"/>
      <c r="E884" s="537"/>
      <c r="F884" s="537"/>
      <c r="G884" s="537"/>
      <c r="H884" s="537"/>
      <c r="I884" s="537"/>
      <c r="J884" s="537"/>
      <c r="K884" s="537"/>
      <c r="L884" s="537"/>
      <c r="M884" s="537"/>
      <c r="N884" s="537"/>
      <c r="O884" s="537"/>
      <c r="P884" s="537"/>
      <c r="Q884" s="537"/>
      <c r="R884" s="537"/>
      <c r="S884" s="537"/>
      <c r="T884" s="537"/>
      <c r="U884" s="537"/>
      <c r="V884" s="537"/>
      <c r="W884" s="537"/>
      <c r="X884" s="537"/>
      <c r="Y884" s="537"/>
      <c r="Z884" s="537"/>
    </row>
    <row r="885">
      <c r="A885" s="537"/>
      <c r="B885" s="537"/>
      <c r="C885" s="538"/>
      <c r="D885" s="537"/>
      <c r="E885" s="537"/>
      <c r="F885" s="537"/>
      <c r="G885" s="537"/>
      <c r="H885" s="537"/>
      <c r="I885" s="537"/>
      <c r="J885" s="537"/>
      <c r="K885" s="537"/>
      <c r="L885" s="537"/>
      <c r="M885" s="537"/>
      <c r="N885" s="537"/>
      <c r="O885" s="537"/>
      <c r="P885" s="537"/>
      <c r="Q885" s="537"/>
      <c r="R885" s="537"/>
      <c r="S885" s="537"/>
      <c r="T885" s="537"/>
      <c r="U885" s="537"/>
      <c r="V885" s="537"/>
      <c r="W885" s="537"/>
      <c r="X885" s="537"/>
      <c r="Y885" s="537"/>
      <c r="Z885" s="537"/>
    </row>
    <row r="886">
      <c r="A886" s="537"/>
      <c r="B886" s="537"/>
      <c r="C886" s="538"/>
      <c r="D886" s="537"/>
      <c r="E886" s="537"/>
      <c r="F886" s="537"/>
      <c r="G886" s="537"/>
      <c r="H886" s="537"/>
      <c r="I886" s="537"/>
      <c r="J886" s="537"/>
      <c r="K886" s="537"/>
      <c r="L886" s="537"/>
      <c r="M886" s="537"/>
      <c r="N886" s="537"/>
      <c r="O886" s="537"/>
      <c r="P886" s="537"/>
      <c r="Q886" s="537"/>
      <c r="R886" s="537"/>
      <c r="S886" s="537"/>
      <c r="T886" s="537"/>
      <c r="U886" s="537"/>
      <c r="V886" s="537"/>
      <c r="W886" s="537"/>
      <c r="X886" s="537"/>
      <c r="Y886" s="537"/>
      <c r="Z886" s="537"/>
    </row>
    <row r="887">
      <c r="A887" s="537"/>
      <c r="B887" s="537"/>
      <c r="C887" s="538"/>
      <c r="D887" s="537"/>
      <c r="E887" s="537"/>
      <c r="F887" s="537"/>
      <c r="G887" s="537"/>
      <c r="H887" s="537"/>
      <c r="I887" s="537"/>
      <c r="J887" s="537"/>
      <c r="K887" s="537"/>
      <c r="L887" s="537"/>
      <c r="M887" s="537"/>
      <c r="N887" s="537"/>
      <c r="O887" s="537"/>
      <c r="P887" s="537"/>
      <c r="Q887" s="537"/>
      <c r="R887" s="537"/>
      <c r="S887" s="537"/>
      <c r="T887" s="537"/>
      <c r="U887" s="537"/>
      <c r="V887" s="537"/>
      <c r="W887" s="537"/>
      <c r="X887" s="537"/>
      <c r="Y887" s="537"/>
      <c r="Z887" s="537"/>
    </row>
    <row r="888">
      <c r="A888" s="537"/>
      <c r="B888" s="537"/>
      <c r="C888" s="538"/>
      <c r="D888" s="537"/>
      <c r="E888" s="537"/>
      <c r="F888" s="537"/>
      <c r="G888" s="537"/>
      <c r="H888" s="537"/>
      <c r="I888" s="537"/>
      <c r="J888" s="537"/>
      <c r="K888" s="537"/>
      <c r="L888" s="537"/>
      <c r="M888" s="537"/>
      <c r="N888" s="537"/>
      <c r="O888" s="537"/>
      <c r="P888" s="537"/>
      <c r="Q888" s="537"/>
      <c r="R888" s="537"/>
      <c r="S888" s="537"/>
      <c r="T888" s="537"/>
      <c r="U888" s="537"/>
      <c r="V888" s="537"/>
      <c r="W888" s="537"/>
      <c r="X888" s="537"/>
      <c r="Y888" s="537"/>
      <c r="Z888" s="537"/>
    </row>
    <row r="889">
      <c r="A889" s="537"/>
      <c r="B889" s="537"/>
      <c r="C889" s="538"/>
      <c r="D889" s="537"/>
      <c r="E889" s="537"/>
      <c r="F889" s="537"/>
      <c r="G889" s="537"/>
      <c r="H889" s="537"/>
      <c r="I889" s="537"/>
      <c r="J889" s="537"/>
      <c r="K889" s="537"/>
      <c r="L889" s="537"/>
      <c r="M889" s="537"/>
      <c r="N889" s="537"/>
      <c r="O889" s="537"/>
      <c r="P889" s="537"/>
      <c r="Q889" s="537"/>
      <c r="R889" s="537"/>
      <c r="S889" s="537"/>
      <c r="T889" s="537"/>
      <c r="U889" s="537"/>
      <c r="V889" s="537"/>
      <c r="W889" s="537"/>
      <c r="X889" s="537"/>
      <c r="Y889" s="537"/>
      <c r="Z889" s="537"/>
    </row>
    <row r="890">
      <c r="A890" s="537"/>
      <c r="B890" s="537"/>
      <c r="C890" s="538"/>
      <c r="D890" s="537"/>
      <c r="E890" s="537"/>
      <c r="F890" s="537"/>
      <c r="G890" s="537"/>
      <c r="H890" s="537"/>
      <c r="I890" s="537"/>
      <c r="J890" s="537"/>
      <c r="K890" s="537"/>
      <c r="L890" s="537"/>
      <c r="M890" s="537"/>
      <c r="N890" s="537"/>
      <c r="O890" s="537"/>
      <c r="P890" s="537"/>
      <c r="Q890" s="537"/>
      <c r="R890" s="537"/>
      <c r="S890" s="537"/>
      <c r="T890" s="537"/>
      <c r="U890" s="537"/>
      <c r="V890" s="537"/>
      <c r="W890" s="537"/>
      <c r="X890" s="537"/>
      <c r="Y890" s="537"/>
      <c r="Z890" s="537"/>
    </row>
    <row r="891">
      <c r="A891" s="537"/>
      <c r="B891" s="537"/>
      <c r="C891" s="538"/>
      <c r="D891" s="537"/>
      <c r="E891" s="537"/>
      <c r="F891" s="537"/>
      <c r="G891" s="537"/>
      <c r="H891" s="537"/>
      <c r="I891" s="537"/>
      <c r="J891" s="537"/>
      <c r="K891" s="537"/>
      <c r="L891" s="537"/>
      <c r="M891" s="537"/>
      <c r="N891" s="537"/>
      <c r="O891" s="537"/>
      <c r="P891" s="537"/>
      <c r="Q891" s="537"/>
      <c r="R891" s="537"/>
      <c r="S891" s="537"/>
      <c r="T891" s="537"/>
      <c r="U891" s="537"/>
      <c r="V891" s="537"/>
      <c r="W891" s="537"/>
      <c r="X891" s="537"/>
      <c r="Y891" s="537"/>
      <c r="Z891" s="537"/>
    </row>
    <row r="892">
      <c r="A892" s="537"/>
      <c r="B892" s="537"/>
      <c r="C892" s="538"/>
      <c r="D892" s="537"/>
      <c r="E892" s="537"/>
      <c r="F892" s="537"/>
      <c r="G892" s="537"/>
      <c r="H892" s="537"/>
      <c r="I892" s="537"/>
      <c r="J892" s="537"/>
      <c r="K892" s="537"/>
      <c r="L892" s="537"/>
      <c r="M892" s="537"/>
      <c r="N892" s="537"/>
      <c r="O892" s="537"/>
      <c r="P892" s="537"/>
      <c r="Q892" s="537"/>
      <c r="R892" s="537"/>
      <c r="S892" s="537"/>
      <c r="T892" s="537"/>
      <c r="U892" s="537"/>
      <c r="V892" s="537"/>
      <c r="W892" s="537"/>
      <c r="X892" s="537"/>
      <c r="Y892" s="537"/>
      <c r="Z892" s="537"/>
    </row>
    <row r="893">
      <c r="A893" s="537"/>
      <c r="B893" s="537"/>
      <c r="C893" s="538"/>
      <c r="D893" s="537"/>
      <c r="E893" s="537"/>
      <c r="F893" s="537"/>
      <c r="G893" s="537"/>
      <c r="H893" s="537"/>
      <c r="I893" s="537"/>
      <c r="J893" s="537"/>
      <c r="K893" s="537"/>
      <c r="L893" s="537"/>
      <c r="M893" s="537"/>
      <c r="N893" s="537"/>
      <c r="O893" s="537"/>
      <c r="P893" s="537"/>
      <c r="Q893" s="537"/>
      <c r="R893" s="537"/>
      <c r="S893" s="537"/>
      <c r="T893" s="537"/>
      <c r="U893" s="537"/>
      <c r="V893" s="537"/>
      <c r="W893" s="537"/>
      <c r="X893" s="537"/>
      <c r="Y893" s="537"/>
      <c r="Z893" s="537"/>
    </row>
    <row r="894">
      <c r="A894" s="537"/>
      <c r="B894" s="537"/>
      <c r="C894" s="538"/>
      <c r="D894" s="537"/>
      <c r="E894" s="537"/>
      <c r="F894" s="537"/>
      <c r="G894" s="537"/>
      <c r="H894" s="537"/>
      <c r="I894" s="537"/>
      <c r="J894" s="537"/>
      <c r="K894" s="537"/>
      <c r="L894" s="537"/>
      <c r="M894" s="537"/>
      <c r="N894" s="537"/>
      <c r="O894" s="537"/>
      <c r="P894" s="537"/>
      <c r="Q894" s="537"/>
      <c r="R894" s="537"/>
      <c r="S894" s="537"/>
      <c r="T894" s="537"/>
      <c r="U894" s="537"/>
      <c r="V894" s="537"/>
      <c r="W894" s="537"/>
      <c r="X894" s="537"/>
      <c r="Y894" s="537"/>
      <c r="Z894" s="537"/>
    </row>
    <row r="895">
      <c r="A895" s="537"/>
      <c r="B895" s="537"/>
      <c r="C895" s="538"/>
      <c r="D895" s="537"/>
      <c r="E895" s="537"/>
      <c r="F895" s="537"/>
      <c r="G895" s="537"/>
      <c r="H895" s="537"/>
      <c r="I895" s="537"/>
      <c r="J895" s="537"/>
      <c r="K895" s="537"/>
      <c r="L895" s="537"/>
      <c r="M895" s="537"/>
      <c r="N895" s="537"/>
      <c r="O895" s="537"/>
      <c r="P895" s="537"/>
      <c r="Q895" s="537"/>
      <c r="R895" s="537"/>
      <c r="S895" s="537"/>
      <c r="T895" s="537"/>
      <c r="U895" s="537"/>
      <c r="V895" s="537"/>
      <c r="W895" s="537"/>
      <c r="X895" s="537"/>
      <c r="Y895" s="537"/>
      <c r="Z895" s="537"/>
    </row>
    <row r="896">
      <c r="A896" s="537"/>
      <c r="B896" s="537"/>
      <c r="C896" s="538"/>
      <c r="D896" s="537"/>
      <c r="E896" s="537"/>
      <c r="F896" s="537"/>
      <c r="G896" s="537"/>
      <c r="H896" s="537"/>
      <c r="I896" s="537"/>
      <c r="J896" s="537"/>
      <c r="K896" s="537"/>
      <c r="L896" s="537"/>
      <c r="M896" s="537"/>
      <c r="N896" s="537"/>
      <c r="O896" s="537"/>
      <c r="P896" s="537"/>
      <c r="Q896" s="537"/>
      <c r="R896" s="537"/>
      <c r="S896" s="537"/>
      <c r="T896" s="537"/>
      <c r="U896" s="537"/>
      <c r="V896" s="537"/>
      <c r="W896" s="537"/>
      <c r="X896" s="537"/>
      <c r="Y896" s="537"/>
      <c r="Z896" s="537"/>
    </row>
    <row r="897">
      <c r="A897" s="537"/>
      <c r="B897" s="537"/>
      <c r="C897" s="538"/>
      <c r="D897" s="537"/>
      <c r="E897" s="537"/>
      <c r="F897" s="537"/>
      <c r="G897" s="537"/>
      <c r="H897" s="537"/>
      <c r="I897" s="537"/>
      <c r="J897" s="537"/>
      <c r="K897" s="537"/>
      <c r="L897" s="537"/>
      <c r="M897" s="537"/>
      <c r="N897" s="537"/>
      <c r="O897" s="537"/>
      <c r="P897" s="537"/>
      <c r="Q897" s="537"/>
      <c r="R897" s="537"/>
      <c r="S897" s="537"/>
      <c r="T897" s="537"/>
      <c r="U897" s="537"/>
      <c r="V897" s="537"/>
      <c r="W897" s="537"/>
      <c r="X897" s="537"/>
      <c r="Y897" s="537"/>
      <c r="Z897" s="537"/>
    </row>
    <row r="898">
      <c r="A898" s="537"/>
      <c r="B898" s="537"/>
      <c r="C898" s="538"/>
      <c r="D898" s="537"/>
      <c r="E898" s="537"/>
      <c r="F898" s="537"/>
      <c r="G898" s="537"/>
      <c r="H898" s="537"/>
      <c r="I898" s="537"/>
      <c r="J898" s="537"/>
      <c r="K898" s="537"/>
      <c r="L898" s="537"/>
      <c r="M898" s="537"/>
      <c r="N898" s="537"/>
      <c r="O898" s="537"/>
      <c r="P898" s="537"/>
      <c r="Q898" s="537"/>
      <c r="R898" s="537"/>
      <c r="S898" s="537"/>
      <c r="T898" s="537"/>
      <c r="U898" s="537"/>
      <c r="V898" s="537"/>
      <c r="W898" s="537"/>
      <c r="X898" s="537"/>
      <c r="Y898" s="537"/>
      <c r="Z898" s="537"/>
    </row>
    <row r="899">
      <c r="A899" s="537"/>
      <c r="B899" s="537"/>
      <c r="C899" s="538"/>
      <c r="D899" s="537"/>
      <c r="E899" s="537"/>
      <c r="F899" s="537"/>
      <c r="G899" s="537"/>
      <c r="H899" s="537"/>
      <c r="I899" s="537"/>
      <c r="J899" s="537"/>
      <c r="K899" s="537"/>
      <c r="L899" s="537"/>
      <c r="M899" s="537"/>
      <c r="N899" s="537"/>
      <c r="O899" s="537"/>
      <c r="P899" s="537"/>
      <c r="Q899" s="537"/>
      <c r="R899" s="537"/>
      <c r="S899" s="537"/>
      <c r="T899" s="537"/>
      <c r="U899" s="537"/>
      <c r="V899" s="537"/>
      <c r="W899" s="537"/>
      <c r="X899" s="537"/>
      <c r="Y899" s="537"/>
      <c r="Z899" s="537"/>
    </row>
    <row r="900">
      <c r="A900" s="537"/>
      <c r="B900" s="537"/>
      <c r="C900" s="538"/>
      <c r="D900" s="537"/>
      <c r="E900" s="537"/>
      <c r="F900" s="537"/>
      <c r="G900" s="537"/>
      <c r="H900" s="537"/>
      <c r="I900" s="537"/>
      <c r="J900" s="537"/>
      <c r="K900" s="537"/>
      <c r="L900" s="537"/>
      <c r="M900" s="537"/>
      <c r="N900" s="537"/>
      <c r="O900" s="537"/>
      <c r="P900" s="537"/>
      <c r="Q900" s="537"/>
      <c r="R900" s="537"/>
      <c r="S900" s="537"/>
      <c r="T900" s="537"/>
      <c r="U900" s="537"/>
      <c r="V900" s="537"/>
      <c r="W900" s="537"/>
      <c r="X900" s="537"/>
      <c r="Y900" s="537"/>
      <c r="Z900" s="537"/>
    </row>
    <row r="901">
      <c r="A901" s="537"/>
      <c r="B901" s="537"/>
      <c r="C901" s="538"/>
      <c r="D901" s="537"/>
      <c r="E901" s="537"/>
      <c r="F901" s="537"/>
      <c r="G901" s="537"/>
      <c r="H901" s="537"/>
      <c r="I901" s="537"/>
      <c r="J901" s="537"/>
      <c r="K901" s="537"/>
      <c r="L901" s="537"/>
      <c r="M901" s="537"/>
      <c r="N901" s="537"/>
      <c r="O901" s="537"/>
      <c r="P901" s="537"/>
      <c r="Q901" s="537"/>
      <c r="R901" s="537"/>
      <c r="S901" s="537"/>
      <c r="T901" s="537"/>
      <c r="U901" s="537"/>
      <c r="V901" s="537"/>
      <c r="W901" s="537"/>
      <c r="X901" s="537"/>
      <c r="Y901" s="537"/>
      <c r="Z901" s="537"/>
    </row>
    <row r="902">
      <c r="A902" s="537"/>
      <c r="B902" s="537"/>
      <c r="C902" s="538"/>
      <c r="D902" s="537"/>
      <c r="E902" s="537"/>
      <c r="F902" s="537"/>
      <c r="G902" s="537"/>
      <c r="H902" s="537"/>
      <c r="I902" s="537"/>
      <c r="J902" s="537"/>
      <c r="K902" s="537"/>
      <c r="L902" s="537"/>
      <c r="M902" s="537"/>
      <c r="N902" s="537"/>
      <c r="O902" s="537"/>
      <c r="P902" s="537"/>
      <c r="Q902" s="537"/>
      <c r="R902" s="537"/>
      <c r="S902" s="537"/>
      <c r="T902" s="537"/>
      <c r="U902" s="537"/>
      <c r="V902" s="537"/>
      <c r="W902" s="537"/>
      <c r="X902" s="537"/>
      <c r="Y902" s="537"/>
      <c r="Z902" s="537"/>
    </row>
    <row r="903">
      <c r="A903" s="537"/>
      <c r="B903" s="537"/>
      <c r="C903" s="538"/>
      <c r="D903" s="537"/>
      <c r="E903" s="537"/>
      <c r="F903" s="537"/>
      <c r="G903" s="537"/>
      <c r="H903" s="537"/>
      <c r="I903" s="537"/>
      <c r="J903" s="537"/>
      <c r="K903" s="537"/>
      <c r="L903" s="537"/>
      <c r="M903" s="537"/>
      <c r="N903" s="537"/>
      <c r="O903" s="537"/>
      <c r="P903" s="537"/>
      <c r="Q903" s="537"/>
      <c r="R903" s="537"/>
      <c r="S903" s="537"/>
      <c r="T903" s="537"/>
      <c r="U903" s="537"/>
      <c r="V903" s="537"/>
      <c r="W903" s="537"/>
      <c r="X903" s="537"/>
      <c r="Y903" s="537"/>
      <c r="Z903" s="537"/>
    </row>
    <row r="904">
      <c r="A904" s="537"/>
      <c r="B904" s="537"/>
      <c r="C904" s="538"/>
      <c r="D904" s="537"/>
      <c r="E904" s="537"/>
      <c r="F904" s="537"/>
      <c r="G904" s="537"/>
      <c r="H904" s="537"/>
      <c r="I904" s="537"/>
      <c r="J904" s="537"/>
      <c r="K904" s="537"/>
      <c r="L904" s="537"/>
      <c r="M904" s="537"/>
      <c r="N904" s="537"/>
      <c r="O904" s="537"/>
      <c r="P904" s="537"/>
      <c r="Q904" s="537"/>
      <c r="R904" s="537"/>
      <c r="S904" s="537"/>
      <c r="T904" s="537"/>
      <c r="U904" s="537"/>
      <c r="V904" s="537"/>
      <c r="W904" s="537"/>
      <c r="X904" s="537"/>
      <c r="Y904" s="537"/>
      <c r="Z904" s="537"/>
    </row>
    <row r="905">
      <c r="A905" s="537"/>
      <c r="B905" s="537"/>
      <c r="C905" s="538"/>
      <c r="D905" s="537"/>
      <c r="E905" s="537"/>
      <c r="F905" s="537"/>
      <c r="G905" s="537"/>
      <c r="H905" s="537"/>
      <c r="I905" s="537"/>
      <c r="J905" s="537"/>
      <c r="K905" s="537"/>
      <c r="L905" s="537"/>
      <c r="M905" s="537"/>
      <c r="N905" s="537"/>
      <c r="O905" s="537"/>
      <c r="P905" s="537"/>
      <c r="Q905" s="537"/>
      <c r="R905" s="537"/>
      <c r="S905" s="537"/>
      <c r="T905" s="537"/>
      <c r="U905" s="537"/>
      <c r="V905" s="537"/>
      <c r="W905" s="537"/>
      <c r="X905" s="537"/>
      <c r="Y905" s="537"/>
      <c r="Z905" s="537"/>
    </row>
    <row r="906">
      <c r="A906" s="537"/>
      <c r="B906" s="537"/>
      <c r="C906" s="538"/>
      <c r="D906" s="537"/>
      <c r="E906" s="537"/>
      <c r="F906" s="537"/>
      <c r="G906" s="537"/>
      <c r="H906" s="537"/>
      <c r="I906" s="537"/>
      <c r="J906" s="537"/>
      <c r="K906" s="537"/>
      <c r="L906" s="537"/>
      <c r="M906" s="537"/>
      <c r="N906" s="537"/>
      <c r="O906" s="537"/>
      <c r="P906" s="537"/>
      <c r="Q906" s="537"/>
      <c r="R906" s="537"/>
      <c r="S906" s="537"/>
      <c r="T906" s="537"/>
      <c r="U906" s="537"/>
      <c r="V906" s="537"/>
      <c r="W906" s="537"/>
      <c r="X906" s="537"/>
      <c r="Y906" s="537"/>
      <c r="Z906" s="537"/>
    </row>
    <row r="907">
      <c r="A907" s="537"/>
      <c r="B907" s="537"/>
      <c r="C907" s="538"/>
      <c r="D907" s="537"/>
      <c r="E907" s="537"/>
      <c r="F907" s="537"/>
      <c r="G907" s="537"/>
      <c r="H907" s="537"/>
      <c r="I907" s="537"/>
      <c r="J907" s="537"/>
      <c r="K907" s="537"/>
      <c r="L907" s="537"/>
      <c r="M907" s="537"/>
      <c r="N907" s="537"/>
      <c r="O907" s="537"/>
      <c r="P907" s="537"/>
      <c r="Q907" s="537"/>
      <c r="R907" s="537"/>
      <c r="S907" s="537"/>
      <c r="T907" s="537"/>
      <c r="U907" s="537"/>
      <c r="V907" s="537"/>
      <c r="W907" s="537"/>
      <c r="X907" s="537"/>
      <c r="Y907" s="537"/>
      <c r="Z907" s="537"/>
    </row>
    <row r="908">
      <c r="A908" s="537"/>
      <c r="B908" s="537"/>
      <c r="C908" s="538"/>
      <c r="D908" s="537"/>
      <c r="E908" s="537"/>
      <c r="F908" s="537"/>
      <c r="G908" s="537"/>
      <c r="H908" s="537"/>
      <c r="I908" s="537"/>
      <c r="J908" s="537"/>
      <c r="K908" s="537"/>
      <c r="L908" s="537"/>
      <c r="M908" s="537"/>
      <c r="N908" s="537"/>
      <c r="O908" s="537"/>
      <c r="P908" s="537"/>
      <c r="Q908" s="537"/>
      <c r="R908" s="537"/>
      <c r="S908" s="537"/>
      <c r="T908" s="537"/>
      <c r="U908" s="537"/>
      <c r="V908" s="537"/>
      <c r="W908" s="537"/>
      <c r="X908" s="537"/>
      <c r="Y908" s="537"/>
      <c r="Z908" s="537"/>
    </row>
    <row r="909">
      <c r="A909" s="537"/>
      <c r="B909" s="537"/>
      <c r="C909" s="538"/>
      <c r="D909" s="537"/>
      <c r="E909" s="537"/>
      <c r="F909" s="537"/>
      <c r="G909" s="537"/>
      <c r="H909" s="537"/>
      <c r="I909" s="537"/>
      <c r="J909" s="537"/>
      <c r="K909" s="537"/>
      <c r="L909" s="537"/>
      <c r="M909" s="537"/>
      <c r="N909" s="537"/>
      <c r="O909" s="537"/>
      <c r="P909" s="537"/>
      <c r="Q909" s="537"/>
      <c r="R909" s="537"/>
      <c r="S909" s="537"/>
      <c r="T909" s="537"/>
      <c r="U909" s="537"/>
      <c r="V909" s="537"/>
      <c r="W909" s="537"/>
      <c r="X909" s="537"/>
      <c r="Y909" s="537"/>
      <c r="Z909" s="537"/>
    </row>
    <row r="910">
      <c r="A910" s="537"/>
      <c r="B910" s="537"/>
      <c r="C910" s="538"/>
      <c r="D910" s="537"/>
      <c r="E910" s="537"/>
      <c r="F910" s="537"/>
      <c r="G910" s="537"/>
      <c r="H910" s="537"/>
      <c r="I910" s="537"/>
      <c r="J910" s="537"/>
      <c r="K910" s="537"/>
      <c r="L910" s="537"/>
      <c r="M910" s="537"/>
      <c r="N910" s="537"/>
      <c r="O910" s="537"/>
      <c r="P910" s="537"/>
      <c r="Q910" s="537"/>
      <c r="R910" s="537"/>
      <c r="S910" s="537"/>
      <c r="T910" s="537"/>
      <c r="U910" s="537"/>
      <c r="V910" s="537"/>
      <c r="W910" s="537"/>
      <c r="X910" s="537"/>
      <c r="Y910" s="537"/>
      <c r="Z910" s="537"/>
    </row>
    <row r="911">
      <c r="A911" s="537"/>
      <c r="B911" s="537"/>
      <c r="C911" s="538"/>
      <c r="D911" s="537"/>
      <c r="E911" s="537"/>
      <c r="F911" s="537"/>
      <c r="G911" s="537"/>
      <c r="H911" s="537"/>
      <c r="I911" s="537"/>
      <c r="J911" s="537"/>
      <c r="K911" s="537"/>
      <c r="L911" s="537"/>
      <c r="M911" s="537"/>
      <c r="N911" s="537"/>
      <c r="O911" s="537"/>
      <c r="P911" s="537"/>
      <c r="Q911" s="537"/>
      <c r="R911" s="537"/>
      <c r="S911" s="537"/>
      <c r="T911" s="537"/>
      <c r="U911" s="537"/>
      <c r="V911" s="537"/>
      <c r="W911" s="537"/>
      <c r="X911" s="537"/>
      <c r="Y911" s="537"/>
      <c r="Z911" s="537"/>
    </row>
    <row r="912">
      <c r="A912" s="537"/>
      <c r="B912" s="537"/>
      <c r="C912" s="538"/>
      <c r="D912" s="537"/>
      <c r="E912" s="537"/>
      <c r="F912" s="537"/>
      <c r="G912" s="537"/>
      <c r="H912" s="537"/>
      <c r="I912" s="537"/>
      <c r="J912" s="537"/>
      <c r="K912" s="537"/>
      <c r="L912" s="537"/>
      <c r="M912" s="537"/>
      <c r="N912" s="537"/>
      <c r="O912" s="537"/>
      <c r="P912" s="537"/>
      <c r="Q912" s="537"/>
      <c r="R912" s="537"/>
      <c r="S912" s="537"/>
      <c r="T912" s="537"/>
      <c r="U912" s="537"/>
      <c r="V912" s="537"/>
      <c r="W912" s="537"/>
      <c r="X912" s="537"/>
      <c r="Y912" s="537"/>
      <c r="Z912" s="537"/>
    </row>
    <row r="913">
      <c r="A913" s="537"/>
      <c r="B913" s="537"/>
      <c r="C913" s="538"/>
      <c r="D913" s="537"/>
      <c r="E913" s="537"/>
      <c r="F913" s="537"/>
      <c r="G913" s="537"/>
      <c r="H913" s="537"/>
      <c r="I913" s="537"/>
      <c r="J913" s="537"/>
      <c r="K913" s="537"/>
      <c r="L913" s="537"/>
      <c r="M913" s="537"/>
      <c r="N913" s="537"/>
      <c r="O913" s="537"/>
      <c r="P913" s="537"/>
      <c r="Q913" s="537"/>
      <c r="R913" s="537"/>
      <c r="S913" s="537"/>
      <c r="T913" s="537"/>
      <c r="U913" s="537"/>
      <c r="V913" s="537"/>
      <c r="W913" s="537"/>
      <c r="X913" s="537"/>
      <c r="Y913" s="537"/>
      <c r="Z913" s="537"/>
    </row>
    <row r="914">
      <c r="A914" s="537"/>
      <c r="B914" s="537"/>
      <c r="C914" s="538"/>
      <c r="D914" s="537"/>
      <c r="E914" s="537"/>
      <c r="F914" s="537"/>
      <c r="G914" s="537"/>
      <c r="H914" s="537"/>
      <c r="I914" s="537"/>
      <c r="J914" s="537"/>
      <c r="K914" s="537"/>
      <c r="L914" s="537"/>
      <c r="M914" s="537"/>
      <c r="N914" s="537"/>
      <c r="O914" s="537"/>
      <c r="P914" s="537"/>
      <c r="Q914" s="537"/>
      <c r="R914" s="537"/>
      <c r="S914" s="537"/>
      <c r="T914" s="537"/>
      <c r="U914" s="537"/>
      <c r="V914" s="537"/>
      <c r="W914" s="537"/>
      <c r="X914" s="537"/>
      <c r="Y914" s="537"/>
      <c r="Z914" s="537"/>
    </row>
    <row r="915">
      <c r="A915" s="537"/>
      <c r="B915" s="537"/>
      <c r="C915" s="538"/>
      <c r="D915" s="537"/>
      <c r="E915" s="537"/>
      <c r="F915" s="537"/>
      <c r="G915" s="537"/>
      <c r="H915" s="537"/>
      <c r="I915" s="537"/>
      <c r="J915" s="537"/>
      <c r="K915" s="537"/>
      <c r="L915" s="537"/>
      <c r="M915" s="537"/>
      <c r="N915" s="537"/>
      <c r="O915" s="537"/>
      <c r="P915" s="537"/>
      <c r="Q915" s="537"/>
      <c r="R915" s="537"/>
      <c r="S915" s="537"/>
      <c r="T915" s="537"/>
      <c r="U915" s="537"/>
      <c r="V915" s="537"/>
      <c r="W915" s="537"/>
      <c r="X915" s="537"/>
      <c r="Y915" s="537"/>
      <c r="Z915" s="537"/>
    </row>
    <row r="916">
      <c r="A916" s="537"/>
      <c r="B916" s="537"/>
      <c r="C916" s="538"/>
      <c r="D916" s="537"/>
      <c r="E916" s="537"/>
      <c r="F916" s="537"/>
      <c r="G916" s="537"/>
      <c r="H916" s="537"/>
      <c r="I916" s="537"/>
      <c r="J916" s="537"/>
      <c r="K916" s="537"/>
      <c r="L916" s="537"/>
      <c r="M916" s="537"/>
      <c r="N916" s="537"/>
      <c r="O916" s="537"/>
      <c r="P916" s="537"/>
      <c r="Q916" s="537"/>
      <c r="R916" s="537"/>
      <c r="S916" s="537"/>
      <c r="T916" s="537"/>
      <c r="U916" s="537"/>
      <c r="V916" s="537"/>
      <c r="W916" s="537"/>
      <c r="X916" s="537"/>
      <c r="Y916" s="537"/>
      <c r="Z916" s="537"/>
    </row>
    <row r="917">
      <c r="A917" s="537"/>
      <c r="B917" s="537"/>
      <c r="C917" s="538"/>
      <c r="D917" s="537"/>
      <c r="E917" s="537"/>
      <c r="F917" s="537"/>
      <c r="G917" s="537"/>
      <c r="H917" s="537"/>
      <c r="I917" s="537"/>
      <c r="J917" s="537"/>
      <c r="K917" s="537"/>
      <c r="L917" s="537"/>
      <c r="M917" s="537"/>
      <c r="N917" s="537"/>
      <c r="O917" s="537"/>
      <c r="P917" s="537"/>
      <c r="Q917" s="537"/>
      <c r="R917" s="537"/>
      <c r="S917" s="537"/>
      <c r="T917" s="537"/>
      <c r="U917" s="537"/>
      <c r="V917" s="537"/>
      <c r="W917" s="537"/>
      <c r="X917" s="537"/>
      <c r="Y917" s="537"/>
      <c r="Z917" s="537"/>
    </row>
    <row r="918">
      <c r="A918" s="537"/>
      <c r="B918" s="537"/>
      <c r="C918" s="538"/>
      <c r="D918" s="537"/>
      <c r="E918" s="537"/>
      <c r="F918" s="537"/>
      <c r="G918" s="537"/>
      <c r="H918" s="537"/>
      <c r="I918" s="537"/>
      <c r="J918" s="537"/>
      <c r="K918" s="537"/>
      <c r="L918" s="537"/>
      <c r="M918" s="537"/>
      <c r="N918" s="537"/>
      <c r="O918" s="537"/>
      <c r="P918" s="537"/>
      <c r="Q918" s="537"/>
      <c r="R918" s="537"/>
      <c r="S918" s="537"/>
      <c r="T918" s="537"/>
      <c r="U918" s="537"/>
      <c r="V918" s="537"/>
      <c r="W918" s="537"/>
      <c r="X918" s="537"/>
      <c r="Y918" s="537"/>
      <c r="Z918" s="537"/>
    </row>
    <row r="919">
      <c r="A919" s="537"/>
      <c r="B919" s="537"/>
      <c r="C919" s="538"/>
      <c r="D919" s="537"/>
      <c r="E919" s="537"/>
      <c r="F919" s="537"/>
      <c r="G919" s="537"/>
      <c r="H919" s="537"/>
      <c r="I919" s="537"/>
      <c r="J919" s="537"/>
      <c r="K919" s="537"/>
      <c r="L919" s="537"/>
      <c r="M919" s="537"/>
      <c r="N919" s="537"/>
      <c r="O919" s="537"/>
      <c r="P919" s="537"/>
      <c r="Q919" s="537"/>
      <c r="R919" s="537"/>
      <c r="S919" s="537"/>
      <c r="T919" s="537"/>
      <c r="U919" s="537"/>
      <c r="V919" s="537"/>
      <c r="W919" s="537"/>
      <c r="X919" s="537"/>
      <c r="Y919" s="537"/>
      <c r="Z919" s="537"/>
    </row>
    <row r="920">
      <c r="A920" s="537"/>
      <c r="B920" s="537"/>
      <c r="C920" s="538"/>
      <c r="D920" s="537"/>
      <c r="E920" s="537"/>
      <c r="F920" s="537"/>
      <c r="G920" s="537"/>
      <c r="H920" s="537"/>
      <c r="I920" s="537"/>
      <c r="J920" s="537"/>
      <c r="K920" s="537"/>
      <c r="L920" s="537"/>
      <c r="M920" s="537"/>
      <c r="N920" s="537"/>
      <c r="O920" s="537"/>
      <c r="P920" s="537"/>
      <c r="Q920" s="537"/>
      <c r="R920" s="537"/>
      <c r="S920" s="537"/>
      <c r="T920" s="537"/>
      <c r="U920" s="537"/>
      <c r="V920" s="537"/>
      <c r="W920" s="537"/>
      <c r="X920" s="537"/>
      <c r="Y920" s="537"/>
      <c r="Z920" s="537"/>
    </row>
    <row r="921">
      <c r="A921" s="537"/>
      <c r="B921" s="537"/>
      <c r="C921" s="538"/>
      <c r="D921" s="537"/>
      <c r="E921" s="537"/>
      <c r="F921" s="537"/>
      <c r="G921" s="537"/>
      <c r="H921" s="537"/>
      <c r="I921" s="537"/>
      <c r="J921" s="537"/>
      <c r="K921" s="537"/>
      <c r="L921" s="537"/>
      <c r="M921" s="537"/>
      <c r="N921" s="537"/>
      <c r="O921" s="537"/>
      <c r="P921" s="537"/>
      <c r="Q921" s="537"/>
      <c r="R921" s="537"/>
      <c r="S921" s="537"/>
      <c r="T921" s="537"/>
      <c r="U921" s="537"/>
      <c r="V921" s="537"/>
      <c r="W921" s="537"/>
      <c r="X921" s="537"/>
      <c r="Y921" s="537"/>
      <c r="Z921" s="537"/>
    </row>
    <row r="922">
      <c r="A922" s="537"/>
      <c r="B922" s="537"/>
      <c r="C922" s="538"/>
      <c r="D922" s="537"/>
      <c r="E922" s="537"/>
      <c r="F922" s="537"/>
      <c r="G922" s="537"/>
      <c r="H922" s="537"/>
      <c r="I922" s="537"/>
      <c r="J922" s="537"/>
      <c r="K922" s="537"/>
      <c r="L922" s="537"/>
      <c r="M922" s="537"/>
      <c r="N922" s="537"/>
      <c r="O922" s="537"/>
      <c r="P922" s="537"/>
      <c r="Q922" s="537"/>
      <c r="R922" s="537"/>
      <c r="S922" s="537"/>
      <c r="T922" s="537"/>
      <c r="U922" s="537"/>
      <c r="V922" s="537"/>
      <c r="W922" s="537"/>
      <c r="X922" s="537"/>
      <c r="Y922" s="537"/>
      <c r="Z922" s="537"/>
    </row>
    <row r="923">
      <c r="A923" s="537"/>
      <c r="B923" s="537"/>
      <c r="C923" s="538"/>
      <c r="D923" s="537"/>
      <c r="E923" s="537"/>
      <c r="F923" s="537"/>
      <c r="G923" s="537"/>
      <c r="H923" s="537"/>
      <c r="I923" s="537"/>
      <c r="J923" s="537"/>
      <c r="K923" s="537"/>
      <c r="L923" s="537"/>
      <c r="M923" s="537"/>
      <c r="N923" s="537"/>
      <c r="O923" s="537"/>
      <c r="P923" s="537"/>
      <c r="Q923" s="537"/>
      <c r="R923" s="537"/>
      <c r="S923" s="537"/>
      <c r="T923" s="537"/>
      <c r="U923" s="537"/>
      <c r="V923" s="537"/>
      <c r="W923" s="537"/>
      <c r="X923" s="537"/>
      <c r="Y923" s="537"/>
      <c r="Z923" s="537"/>
    </row>
    <row r="924">
      <c r="A924" s="537"/>
      <c r="B924" s="537"/>
      <c r="C924" s="538"/>
      <c r="D924" s="537"/>
      <c r="E924" s="537"/>
      <c r="F924" s="537"/>
      <c r="G924" s="537"/>
      <c r="H924" s="537"/>
      <c r="I924" s="537"/>
      <c r="J924" s="537"/>
      <c r="K924" s="537"/>
      <c r="L924" s="537"/>
      <c r="M924" s="537"/>
      <c r="N924" s="537"/>
      <c r="O924" s="537"/>
      <c r="P924" s="537"/>
      <c r="Q924" s="537"/>
      <c r="R924" s="537"/>
      <c r="S924" s="537"/>
      <c r="T924" s="537"/>
      <c r="U924" s="537"/>
      <c r="V924" s="537"/>
      <c r="W924" s="537"/>
      <c r="X924" s="537"/>
      <c r="Y924" s="537"/>
      <c r="Z924" s="537"/>
    </row>
    <row r="925">
      <c r="A925" s="537"/>
      <c r="B925" s="537"/>
      <c r="C925" s="538"/>
      <c r="D925" s="537"/>
      <c r="E925" s="537"/>
      <c r="F925" s="537"/>
      <c r="G925" s="537"/>
      <c r="H925" s="537"/>
      <c r="I925" s="537"/>
      <c r="J925" s="537"/>
      <c r="K925" s="537"/>
      <c r="L925" s="537"/>
      <c r="M925" s="537"/>
      <c r="N925" s="537"/>
      <c r="O925" s="537"/>
      <c r="P925" s="537"/>
      <c r="Q925" s="537"/>
      <c r="R925" s="537"/>
      <c r="S925" s="537"/>
      <c r="T925" s="537"/>
      <c r="U925" s="537"/>
      <c r="V925" s="537"/>
      <c r="W925" s="537"/>
      <c r="X925" s="537"/>
      <c r="Y925" s="537"/>
      <c r="Z925" s="537"/>
    </row>
    <row r="926">
      <c r="A926" s="537"/>
      <c r="B926" s="537"/>
      <c r="C926" s="538"/>
      <c r="D926" s="537"/>
      <c r="E926" s="537"/>
      <c r="F926" s="537"/>
      <c r="G926" s="537"/>
      <c r="H926" s="537"/>
      <c r="I926" s="537"/>
      <c r="J926" s="537"/>
      <c r="K926" s="537"/>
      <c r="L926" s="537"/>
      <c r="M926" s="537"/>
      <c r="N926" s="537"/>
      <c r="O926" s="537"/>
      <c r="P926" s="537"/>
      <c r="Q926" s="537"/>
      <c r="R926" s="537"/>
      <c r="S926" s="537"/>
      <c r="T926" s="537"/>
      <c r="U926" s="537"/>
      <c r="V926" s="537"/>
      <c r="W926" s="537"/>
      <c r="X926" s="537"/>
      <c r="Y926" s="537"/>
      <c r="Z926" s="537"/>
    </row>
    <row r="927">
      <c r="A927" s="537"/>
      <c r="B927" s="537"/>
      <c r="C927" s="538"/>
      <c r="D927" s="537"/>
      <c r="E927" s="537"/>
      <c r="F927" s="537"/>
      <c r="G927" s="537"/>
      <c r="H927" s="537"/>
      <c r="I927" s="537"/>
      <c r="J927" s="537"/>
      <c r="K927" s="537"/>
      <c r="L927" s="537"/>
      <c r="M927" s="537"/>
      <c r="N927" s="537"/>
      <c r="O927" s="537"/>
      <c r="P927" s="537"/>
      <c r="Q927" s="537"/>
      <c r="R927" s="537"/>
      <c r="S927" s="537"/>
      <c r="T927" s="537"/>
      <c r="U927" s="537"/>
      <c r="V927" s="537"/>
      <c r="W927" s="537"/>
      <c r="X927" s="537"/>
      <c r="Y927" s="537"/>
      <c r="Z927" s="537"/>
    </row>
    <row r="928">
      <c r="A928" s="537"/>
      <c r="B928" s="537"/>
      <c r="C928" s="538"/>
      <c r="D928" s="537"/>
      <c r="E928" s="537"/>
      <c r="F928" s="537"/>
      <c r="G928" s="537"/>
      <c r="H928" s="537"/>
      <c r="I928" s="537"/>
      <c r="J928" s="537"/>
      <c r="K928" s="537"/>
      <c r="L928" s="537"/>
      <c r="M928" s="537"/>
      <c r="N928" s="537"/>
      <c r="O928" s="537"/>
      <c r="P928" s="537"/>
      <c r="Q928" s="537"/>
      <c r="R928" s="537"/>
      <c r="S928" s="537"/>
      <c r="T928" s="537"/>
      <c r="U928" s="537"/>
      <c r="V928" s="537"/>
      <c r="W928" s="537"/>
      <c r="X928" s="537"/>
      <c r="Y928" s="537"/>
      <c r="Z928" s="537"/>
    </row>
    <row r="929">
      <c r="A929" s="537"/>
      <c r="B929" s="537"/>
      <c r="C929" s="538"/>
      <c r="D929" s="537"/>
      <c r="E929" s="537"/>
      <c r="F929" s="537"/>
      <c r="G929" s="537"/>
      <c r="H929" s="537"/>
      <c r="I929" s="537"/>
      <c r="J929" s="537"/>
      <c r="K929" s="537"/>
      <c r="L929" s="537"/>
      <c r="M929" s="537"/>
      <c r="N929" s="537"/>
      <c r="O929" s="537"/>
      <c r="P929" s="537"/>
      <c r="Q929" s="537"/>
      <c r="R929" s="537"/>
      <c r="S929" s="537"/>
      <c r="T929" s="537"/>
      <c r="U929" s="537"/>
      <c r="V929" s="537"/>
      <c r="W929" s="537"/>
      <c r="X929" s="537"/>
      <c r="Y929" s="537"/>
      <c r="Z929" s="537"/>
    </row>
    <row r="930">
      <c r="A930" s="537"/>
      <c r="B930" s="537"/>
      <c r="C930" s="538"/>
      <c r="D930" s="537"/>
      <c r="E930" s="537"/>
      <c r="F930" s="537"/>
      <c r="G930" s="537"/>
      <c r="H930" s="537"/>
      <c r="I930" s="537"/>
      <c r="J930" s="537"/>
      <c r="K930" s="537"/>
      <c r="L930" s="537"/>
      <c r="M930" s="537"/>
      <c r="N930" s="537"/>
      <c r="O930" s="537"/>
      <c r="P930" s="537"/>
      <c r="Q930" s="537"/>
      <c r="R930" s="537"/>
      <c r="S930" s="537"/>
      <c r="T930" s="537"/>
      <c r="U930" s="537"/>
      <c r="V930" s="537"/>
      <c r="W930" s="537"/>
      <c r="X930" s="537"/>
      <c r="Y930" s="537"/>
      <c r="Z930" s="537"/>
    </row>
    <row r="931">
      <c r="A931" s="537"/>
      <c r="B931" s="537"/>
      <c r="C931" s="538"/>
      <c r="D931" s="537"/>
      <c r="E931" s="537"/>
      <c r="F931" s="537"/>
      <c r="G931" s="537"/>
      <c r="H931" s="537"/>
      <c r="I931" s="537"/>
      <c r="J931" s="537"/>
      <c r="K931" s="537"/>
      <c r="L931" s="537"/>
      <c r="M931" s="537"/>
      <c r="N931" s="537"/>
      <c r="O931" s="537"/>
      <c r="P931" s="537"/>
      <c r="Q931" s="537"/>
      <c r="R931" s="537"/>
      <c r="S931" s="537"/>
      <c r="T931" s="537"/>
      <c r="U931" s="537"/>
      <c r="V931" s="537"/>
      <c r="W931" s="537"/>
      <c r="X931" s="537"/>
      <c r="Y931" s="537"/>
      <c r="Z931" s="537"/>
    </row>
    <row r="932">
      <c r="A932" s="537"/>
      <c r="B932" s="537"/>
      <c r="C932" s="538"/>
      <c r="D932" s="537"/>
      <c r="E932" s="537"/>
      <c r="F932" s="537"/>
      <c r="G932" s="537"/>
      <c r="H932" s="537"/>
      <c r="I932" s="537"/>
      <c r="J932" s="537"/>
      <c r="K932" s="537"/>
      <c r="L932" s="537"/>
      <c r="M932" s="537"/>
      <c r="N932" s="537"/>
      <c r="O932" s="537"/>
      <c r="P932" s="537"/>
      <c r="Q932" s="537"/>
      <c r="R932" s="537"/>
      <c r="S932" s="537"/>
      <c r="T932" s="537"/>
      <c r="U932" s="537"/>
      <c r="V932" s="537"/>
      <c r="W932" s="537"/>
      <c r="X932" s="537"/>
      <c r="Y932" s="537"/>
      <c r="Z932" s="537"/>
    </row>
    <row r="933">
      <c r="A933" s="537"/>
      <c r="B933" s="537"/>
      <c r="C933" s="538"/>
      <c r="D933" s="537"/>
      <c r="E933" s="537"/>
      <c r="F933" s="537"/>
      <c r="G933" s="537"/>
      <c r="H933" s="537"/>
      <c r="I933" s="537"/>
      <c r="J933" s="537"/>
      <c r="K933" s="537"/>
      <c r="L933" s="537"/>
      <c r="M933" s="537"/>
      <c r="N933" s="537"/>
      <c r="O933" s="537"/>
      <c r="P933" s="537"/>
      <c r="Q933" s="537"/>
      <c r="R933" s="537"/>
      <c r="S933" s="537"/>
      <c r="T933" s="537"/>
      <c r="U933" s="537"/>
      <c r="V933" s="537"/>
      <c r="W933" s="537"/>
      <c r="X933" s="537"/>
      <c r="Y933" s="537"/>
      <c r="Z933" s="537"/>
    </row>
    <row r="934">
      <c r="A934" s="537"/>
      <c r="B934" s="537"/>
      <c r="C934" s="538"/>
      <c r="D934" s="537"/>
      <c r="E934" s="537"/>
      <c r="F934" s="537"/>
      <c r="G934" s="537"/>
      <c r="H934" s="537"/>
      <c r="I934" s="537"/>
      <c r="J934" s="537"/>
      <c r="K934" s="537"/>
      <c r="L934" s="537"/>
      <c r="M934" s="537"/>
      <c r="N934" s="537"/>
      <c r="O934" s="537"/>
      <c r="P934" s="537"/>
      <c r="Q934" s="537"/>
      <c r="R934" s="537"/>
      <c r="S934" s="537"/>
      <c r="T934" s="537"/>
      <c r="U934" s="537"/>
      <c r="V934" s="537"/>
      <c r="W934" s="537"/>
      <c r="X934" s="537"/>
      <c r="Y934" s="537"/>
      <c r="Z934" s="537"/>
    </row>
    <row r="935">
      <c r="A935" s="537"/>
      <c r="B935" s="537"/>
      <c r="C935" s="538"/>
      <c r="D935" s="537"/>
      <c r="E935" s="537"/>
      <c r="F935" s="537"/>
      <c r="G935" s="537"/>
      <c r="H935" s="537"/>
      <c r="I935" s="537"/>
      <c r="J935" s="537"/>
      <c r="K935" s="537"/>
      <c r="L935" s="537"/>
      <c r="M935" s="537"/>
      <c r="N935" s="537"/>
      <c r="O935" s="537"/>
      <c r="P935" s="537"/>
      <c r="Q935" s="537"/>
      <c r="R935" s="537"/>
      <c r="S935" s="537"/>
      <c r="T935" s="537"/>
      <c r="U935" s="537"/>
      <c r="V935" s="537"/>
      <c r="W935" s="537"/>
      <c r="X935" s="537"/>
      <c r="Y935" s="537"/>
      <c r="Z935" s="537"/>
    </row>
    <row r="936">
      <c r="A936" s="537"/>
      <c r="B936" s="537"/>
      <c r="C936" s="538"/>
      <c r="D936" s="537"/>
      <c r="E936" s="537"/>
      <c r="F936" s="537"/>
      <c r="G936" s="537"/>
      <c r="H936" s="537"/>
      <c r="I936" s="537"/>
      <c r="J936" s="537"/>
      <c r="K936" s="537"/>
      <c r="L936" s="537"/>
      <c r="M936" s="537"/>
      <c r="N936" s="537"/>
      <c r="O936" s="537"/>
      <c r="P936" s="537"/>
      <c r="Q936" s="537"/>
      <c r="R936" s="537"/>
      <c r="S936" s="537"/>
      <c r="T936" s="537"/>
      <c r="U936" s="537"/>
      <c r="V936" s="537"/>
      <c r="W936" s="537"/>
      <c r="X936" s="537"/>
      <c r="Y936" s="537"/>
      <c r="Z936" s="537"/>
    </row>
    <row r="937">
      <c r="A937" s="537"/>
      <c r="B937" s="537"/>
      <c r="C937" s="538"/>
      <c r="D937" s="537"/>
      <c r="E937" s="537"/>
      <c r="F937" s="537"/>
      <c r="G937" s="537"/>
      <c r="H937" s="537"/>
      <c r="I937" s="537"/>
      <c r="J937" s="537"/>
      <c r="K937" s="537"/>
      <c r="L937" s="537"/>
      <c r="M937" s="537"/>
      <c r="N937" s="537"/>
      <c r="O937" s="537"/>
      <c r="P937" s="537"/>
      <c r="Q937" s="537"/>
      <c r="R937" s="537"/>
      <c r="S937" s="537"/>
      <c r="T937" s="537"/>
      <c r="U937" s="537"/>
      <c r="V937" s="537"/>
      <c r="W937" s="537"/>
      <c r="X937" s="537"/>
      <c r="Y937" s="537"/>
      <c r="Z937" s="537"/>
    </row>
    <row r="938">
      <c r="A938" s="537"/>
      <c r="B938" s="537"/>
      <c r="C938" s="538"/>
      <c r="D938" s="537"/>
      <c r="E938" s="537"/>
      <c r="F938" s="537"/>
      <c r="G938" s="537"/>
      <c r="H938" s="537"/>
      <c r="I938" s="537"/>
      <c r="J938" s="537"/>
      <c r="K938" s="537"/>
      <c r="L938" s="537"/>
      <c r="M938" s="537"/>
      <c r="N938" s="537"/>
      <c r="O938" s="537"/>
      <c r="P938" s="537"/>
      <c r="Q938" s="537"/>
      <c r="R938" s="537"/>
      <c r="S938" s="537"/>
      <c r="T938" s="537"/>
      <c r="U938" s="537"/>
      <c r="V938" s="537"/>
      <c r="W938" s="537"/>
      <c r="X938" s="537"/>
      <c r="Y938" s="537"/>
      <c r="Z938" s="537"/>
    </row>
    <row r="939">
      <c r="A939" s="537"/>
      <c r="B939" s="537"/>
      <c r="C939" s="538"/>
      <c r="D939" s="537"/>
      <c r="E939" s="537"/>
      <c r="F939" s="537"/>
      <c r="G939" s="537"/>
      <c r="H939" s="537"/>
      <c r="I939" s="537"/>
      <c r="J939" s="537"/>
      <c r="K939" s="537"/>
      <c r="L939" s="537"/>
      <c r="M939" s="537"/>
      <c r="N939" s="537"/>
      <c r="O939" s="537"/>
      <c r="P939" s="537"/>
      <c r="Q939" s="537"/>
      <c r="R939" s="537"/>
      <c r="S939" s="537"/>
      <c r="T939" s="537"/>
      <c r="U939" s="537"/>
      <c r="V939" s="537"/>
      <c r="W939" s="537"/>
      <c r="X939" s="537"/>
      <c r="Y939" s="537"/>
      <c r="Z939" s="537"/>
    </row>
    <row r="940">
      <c r="A940" s="537"/>
      <c r="B940" s="537"/>
      <c r="C940" s="538"/>
      <c r="D940" s="537"/>
      <c r="E940" s="537"/>
      <c r="F940" s="537"/>
      <c r="G940" s="537"/>
      <c r="H940" s="537"/>
      <c r="I940" s="537"/>
      <c r="J940" s="537"/>
      <c r="K940" s="537"/>
      <c r="L940" s="537"/>
      <c r="M940" s="537"/>
      <c r="N940" s="537"/>
      <c r="O940" s="537"/>
      <c r="P940" s="537"/>
      <c r="Q940" s="537"/>
      <c r="R940" s="537"/>
      <c r="S940" s="537"/>
      <c r="T940" s="537"/>
      <c r="U940" s="537"/>
      <c r="V940" s="537"/>
      <c r="W940" s="537"/>
      <c r="X940" s="537"/>
      <c r="Y940" s="537"/>
      <c r="Z940" s="537"/>
    </row>
    <row r="941">
      <c r="A941" s="537"/>
      <c r="B941" s="537"/>
      <c r="C941" s="538"/>
      <c r="D941" s="537"/>
      <c r="E941" s="537"/>
      <c r="F941" s="537"/>
      <c r="G941" s="537"/>
      <c r="H941" s="537"/>
      <c r="I941" s="537"/>
      <c r="J941" s="537"/>
      <c r="K941" s="537"/>
      <c r="L941" s="537"/>
      <c r="M941" s="537"/>
      <c r="N941" s="537"/>
      <c r="O941" s="537"/>
      <c r="P941" s="537"/>
      <c r="Q941" s="537"/>
      <c r="R941" s="537"/>
      <c r="S941" s="537"/>
      <c r="T941" s="537"/>
      <c r="U941" s="537"/>
      <c r="V941" s="537"/>
      <c r="W941" s="537"/>
      <c r="X941" s="537"/>
      <c r="Y941" s="537"/>
      <c r="Z941" s="537"/>
    </row>
    <row r="942">
      <c r="A942" s="537"/>
      <c r="B942" s="537"/>
      <c r="C942" s="538"/>
      <c r="D942" s="537"/>
      <c r="E942" s="537"/>
      <c r="F942" s="537"/>
      <c r="G942" s="537"/>
      <c r="H942" s="537"/>
      <c r="I942" s="537"/>
      <c r="J942" s="537"/>
      <c r="K942" s="537"/>
      <c r="L942" s="537"/>
      <c r="M942" s="537"/>
      <c r="N942" s="537"/>
      <c r="O942" s="537"/>
      <c r="P942" s="537"/>
      <c r="Q942" s="537"/>
      <c r="R942" s="537"/>
      <c r="S942" s="537"/>
      <c r="T942" s="537"/>
      <c r="U942" s="537"/>
      <c r="V942" s="537"/>
      <c r="W942" s="537"/>
      <c r="X942" s="537"/>
      <c r="Y942" s="537"/>
      <c r="Z942" s="537"/>
    </row>
    <row r="943">
      <c r="A943" s="537"/>
      <c r="B943" s="537"/>
      <c r="C943" s="538"/>
      <c r="D943" s="537"/>
      <c r="E943" s="537"/>
      <c r="F943" s="537"/>
      <c r="G943" s="537"/>
      <c r="H943" s="537"/>
      <c r="I943" s="537"/>
      <c r="J943" s="537"/>
      <c r="K943" s="537"/>
      <c r="L943" s="537"/>
      <c r="M943" s="537"/>
      <c r="N943" s="537"/>
      <c r="O943" s="537"/>
      <c r="P943" s="537"/>
      <c r="Q943" s="537"/>
      <c r="R943" s="537"/>
      <c r="S943" s="537"/>
      <c r="T943" s="537"/>
      <c r="U943" s="537"/>
      <c r="V943" s="537"/>
      <c r="W943" s="537"/>
      <c r="X943" s="537"/>
      <c r="Y943" s="537"/>
      <c r="Z943" s="537"/>
    </row>
    <row r="944">
      <c r="A944" s="537"/>
      <c r="B944" s="537"/>
      <c r="C944" s="538"/>
      <c r="D944" s="537"/>
      <c r="E944" s="537"/>
      <c r="F944" s="537"/>
      <c r="G944" s="537"/>
      <c r="H944" s="537"/>
      <c r="I944" s="537"/>
      <c r="J944" s="537"/>
      <c r="K944" s="537"/>
      <c r="L944" s="537"/>
      <c r="M944" s="537"/>
      <c r="N944" s="537"/>
      <c r="O944" s="537"/>
      <c r="P944" s="537"/>
      <c r="Q944" s="537"/>
      <c r="R944" s="537"/>
      <c r="S944" s="537"/>
      <c r="T944" s="537"/>
      <c r="U944" s="537"/>
      <c r="V944" s="537"/>
      <c r="W944" s="537"/>
      <c r="X944" s="537"/>
      <c r="Y944" s="537"/>
      <c r="Z944" s="537"/>
    </row>
    <row r="945">
      <c r="A945" s="537"/>
      <c r="B945" s="537"/>
      <c r="C945" s="538"/>
      <c r="D945" s="537"/>
      <c r="E945" s="537"/>
      <c r="F945" s="537"/>
      <c r="G945" s="537"/>
      <c r="H945" s="537"/>
      <c r="I945" s="537"/>
      <c r="J945" s="537"/>
      <c r="K945" s="537"/>
      <c r="L945" s="537"/>
      <c r="M945" s="537"/>
      <c r="N945" s="537"/>
      <c r="O945" s="537"/>
      <c r="P945" s="537"/>
      <c r="Q945" s="537"/>
      <c r="R945" s="537"/>
      <c r="S945" s="537"/>
      <c r="T945" s="537"/>
      <c r="U945" s="537"/>
      <c r="V945" s="537"/>
      <c r="W945" s="537"/>
      <c r="X945" s="537"/>
      <c r="Y945" s="537"/>
      <c r="Z945" s="537"/>
    </row>
    <row r="946">
      <c r="A946" s="537"/>
      <c r="B946" s="537"/>
      <c r="C946" s="538"/>
      <c r="D946" s="537"/>
      <c r="E946" s="537"/>
      <c r="F946" s="537"/>
      <c r="G946" s="537"/>
      <c r="H946" s="537"/>
      <c r="I946" s="537"/>
      <c r="J946" s="537"/>
      <c r="K946" s="537"/>
      <c r="L946" s="537"/>
      <c r="M946" s="537"/>
      <c r="N946" s="537"/>
      <c r="O946" s="537"/>
      <c r="P946" s="537"/>
      <c r="Q946" s="537"/>
      <c r="R946" s="537"/>
      <c r="S946" s="537"/>
      <c r="T946" s="537"/>
      <c r="U946" s="537"/>
      <c r="V946" s="537"/>
      <c r="W946" s="537"/>
      <c r="X946" s="537"/>
      <c r="Y946" s="537"/>
      <c r="Z946" s="537"/>
    </row>
    <row r="947">
      <c r="A947" s="537"/>
      <c r="B947" s="537"/>
      <c r="C947" s="538"/>
      <c r="D947" s="537"/>
      <c r="E947" s="537"/>
      <c r="F947" s="537"/>
      <c r="G947" s="537"/>
      <c r="H947" s="537"/>
      <c r="I947" s="537"/>
      <c r="J947" s="537"/>
      <c r="K947" s="537"/>
      <c r="L947" s="537"/>
      <c r="M947" s="537"/>
      <c r="N947" s="537"/>
      <c r="O947" s="537"/>
      <c r="P947" s="537"/>
      <c r="Q947" s="537"/>
      <c r="R947" s="537"/>
      <c r="S947" s="537"/>
      <c r="T947" s="537"/>
      <c r="U947" s="537"/>
      <c r="V947" s="537"/>
      <c r="W947" s="537"/>
      <c r="X947" s="537"/>
      <c r="Y947" s="537"/>
      <c r="Z947" s="537"/>
    </row>
    <row r="948">
      <c r="A948" s="537"/>
      <c r="B948" s="537"/>
      <c r="C948" s="538"/>
      <c r="D948" s="537"/>
      <c r="E948" s="537"/>
      <c r="F948" s="537"/>
      <c r="G948" s="537"/>
      <c r="H948" s="537"/>
      <c r="I948" s="537"/>
      <c r="J948" s="537"/>
      <c r="K948" s="537"/>
      <c r="L948" s="537"/>
      <c r="M948" s="537"/>
      <c r="N948" s="537"/>
      <c r="O948" s="537"/>
      <c r="P948" s="537"/>
      <c r="Q948" s="537"/>
      <c r="R948" s="537"/>
      <c r="S948" s="537"/>
      <c r="T948" s="537"/>
      <c r="U948" s="537"/>
      <c r="V948" s="537"/>
      <c r="W948" s="537"/>
      <c r="X948" s="537"/>
      <c r="Y948" s="537"/>
      <c r="Z948" s="537"/>
    </row>
    <row r="949">
      <c r="A949" s="537"/>
      <c r="B949" s="537"/>
      <c r="C949" s="538"/>
      <c r="D949" s="537"/>
      <c r="E949" s="537"/>
      <c r="F949" s="537"/>
      <c r="G949" s="537"/>
      <c r="H949" s="537"/>
      <c r="I949" s="537"/>
      <c r="J949" s="537"/>
      <c r="K949" s="537"/>
      <c r="L949" s="537"/>
      <c r="M949" s="537"/>
      <c r="N949" s="537"/>
      <c r="O949" s="537"/>
      <c r="P949" s="537"/>
      <c r="Q949" s="537"/>
      <c r="R949" s="537"/>
      <c r="S949" s="537"/>
      <c r="T949" s="537"/>
      <c r="U949" s="537"/>
      <c r="V949" s="537"/>
      <c r="W949" s="537"/>
      <c r="X949" s="537"/>
      <c r="Y949" s="537"/>
      <c r="Z949" s="537"/>
    </row>
    <row r="950">
      <c r="A950" s="537"/>
      <c r="B950" s="537"/>
      <c r="C950" s="538"/>
      <c r="D950" s="537"/>
      <c r="E950" s="537"/>
      <c r="F950" s="537"/>
      <c r="G950" s="537"/>
      <c r="H950" s="537"/>
      <c r="I950" s="537"/>
      <c r="J950" s="537"/>
      <c r="K950" s="537"/>
      <c r="L950" s="537"/>
      <c r="M950" s="537"/>
      <c r="N950" s="537"/>
      <c r="O950" s="537"/>
      <c r="P950" s="537"/>
      <c r="Q950" s="537"/>
      <c r="R950" s="537"/>
      <c r="S950" s="537"/>
      <c r="T950" s="537"/>
      <c r="U950" s="537"/>
      <c r="V950" s="537"/>
      <c r="W950" s="537"/>
      <c r="X950" s="537"/>
      <c r="Y950" s="537"/>
      <c r="Z950" s="537"/>
    </row>
    <row r="951">
      <c r="A951" s="537"/>
      <c r="B951" s="537"/>
      <c r="C951" s="538"/>
      <c r="D951" s="537"/>
      <c r="E951" s="537"/>
      <c r="F951" s="537"/>
      <c r="G951" s="537"/>
      <c r="H951" s="537"/>
      <c r="I951" s="537"/>
      <c r="J951" s="537"/>
      <c r="K951" s="537"/>
      <c r="L951" s="537"/>
      <c r="M951" s="537"/>
      <c r="N951" s="537"/>
      <c r="O951" s="537"/>
      <c r="P951" s="537"/>
      <c r="Q951" s="537"/>
      <c r="R951" s="537"/>
      <c r="S951" s="537"/>
      <c r="T951" s="537"/>
      <c r="U951" s="537"/>
      <c r="V951" s="537"/>
      <c r="W951" s="537"/>
      <c r="X951" s="537"/>
      <c r="Y951" s="537"/>
      <c r="Z951" s="537"/>
    </row>
    <row r="952">
      <c r="A952" s="537"/>
      <c r="B952" s="537"/>
      <c r="C952" s="538"/>
      <c r="D952" s="537"/>
      <c r="E952" s="537"/>
      <c r="F952" s="537"/>
      <c r="G952" s="537"/>
      <c r="H952" s="537"/>
      <c r="I952" s="537"/>
      <c r="J952" s="537"/>
      <c r="K952" s="537"/>
      <c r="L952" s="537"/>
      <c r="M952" s="537"/>
      <c r="N952" s="537"/>
      <c r="O952" s="537"/>
      <c r="P952" s="537"/>
      <c r="Q952" s="537"/>
      <c r="R952" s="537"/>
      <c r="S952" s="537"/>
      <c r="T952" s="537"/>
      <c r="U952" s="537"/>
      <c r="V952" s="537"/>
      <c r="W952" s="537"/>
      <c r="X952" s="537"/>
      <c r="Y952" s="537"/>
      <c r="Z952" s="537"/>
    </row>
    <row r="953">
      <c r="A953" s="537"/>
      <c r="B953" s="537"/>
      <c r="C953" s="538"/>
      <c r="D953" s="537"/>
      <c r="E953" s="537"/>
      <c r="F953" s="537"/>
      <c r="G953" s="537"/>
      <c r="H953" s="537"/>
      <c r="I953" s="537"/>
      <c r="J953" s="537"/>
      <c r="K953" s="537"/>
      <c r="L953" s="537"/>
      <c r="M953" s="537"/>
      <c r="N953" s="537"/>
      <c r="O953" s="537"/>
      <c r="P953" s="537"/>
      <c r="Q953" s="537"/>
      <c r="R953" s="537"/>
      <c r="S953" s="537"/>
      <c r="T953" s="537"/>
      <c r="U953" s="537"/>
      <c r="V953" s="537"/>
      <c r="W953" s="537"/>
      <c r="X953" s="537"/>
      <c r="Y953" s="537"/>
      <c r="Z953" s="537"/>
    </row>
    <row r="954">
      <c r="A954" s="537"/>
      <c r="B954" s="537"/>
      <c r="C954" s="538"/>
      <c r="D954" s="537"/>
      <c r="E954" s="537"/>
      <c r="F954" s="537"/>
      <c r="G954" s="537"/>
      <c r="H954" s="537"/>
      <c r="I954" s="537"/>
      <c r="J954" s="537"/>
      <c r="K954" s="537"/>
      <c r="L954" s="537"/>
      <c r="M954" s="537"/>
      <c r="N954" s="537"/>
      <c r="O954" s="537"/>
      <c r="P954" s="537"/>
      <c r="Q954" s="537"/>
      <c r="R954" s="537"/>
      <c r="S954" s="537"/>
      <c r="T954" s="537"/>
      <c r="U954" s="537"/>
      <c r="V954" s="537"/>
      <c r="W954" s="537"/>
      <c r="X954" s="537"/>
      <c r="Y954" s="537"/>
      <c r="Z954" s="537"/>
    </row>
    <row r="955">
      <c r="A955" s="537"/>
      <c r="B955" s="537"/>
      <c r="C955" s="538"/>
      <c r="D955" s="537"/>
      <c r="E955" s="537"/>
      <c r="F955" s="537"/>
      <c r="G955" s="537"/>
      <c r="H955" s="537"/>
      <c r="I955" s="537"/>
      <c r="J955" s="537"/>
      <c r="K955" s="537"/>
      <c r="L955" s="537"/>
      <c r="M955" s="537"/>
      <c r="N955" s="537"/>
      <c r="O955" s="537"/>
      <c r="P955" s="537"/>
      <c r="Q955" s="537"/>
      <c r="R955" s="537"/>
      <c r="S955" s="537"/>
      <c r="T955" s="537"/>
      <c r="U955" s="537"/>
      <c r="V955" s="537"/>
      <c r="W955" s="537"/>
      <c r="X955" s="537"/>
      <c r="Y955" s="537"/>
      <c r="Z955" s="537"/>
    </row>
    <row r="956">
      <c r="A956" s="537"/>
      <c r="B956" s="537"/>
      <c r="C956" s="538"/>
      <c r="D956" s="537"/>
      <c r="E956" s="537"/>
      <c r="F956" s="537"/>
      <c r="G956" s="537"/>
      <c r="H956" s="537"/>
      <c r="I956" s="537"/>
      <c r="J956" s="537"/>
      <c r="K956" s="537"/>
      <c r="L956" s="537"/>
      <c r="M956" s="537"/>
      <c r="N956" s="537"/>
      <c r="O956" s="537"/>
      <c r="P956" s="537"/>
      <c r="Q956" s="537"/>
      <c r="R956" s="537"/>
      <c r="S956" s="537"/>
      <c r="T956" s="537"/>
      <c r="U956" s="537"/>
      <c r="V956" s="537"/>
      <c r="W956" s="537"/>
      <c r="X956" s="537"/>
      <c r="Y956" s="537"/>
      <c r="Z956" s="537"/>
    </row>
    <row r="957">
      <c r="A957" s="537"/>
      <c r="B957" s="537"/>
      <c r="C957" s="538"/>
      <c r="D957" s="537"/>
      <c r="E957" s="537"/>
      <c r="F957" s="537"/>
      <c r="G957" s="537"/>
      <c r="H957" s="537"/>
      <c r="I957" s="537"/>
      <c r="J957" s="537"/>
      <c r="K957" s="537"/>
      <c r="L957" s="537"/>
      <c r="M957" s="537"/>
      <c r="N957" s="537"/>
      <c r="O957" s="537"/>
      <c r="P957" s="537"/>
      <c r="Q957" s="537"/>
      <c r="R957" s="537"/>
      <c r="S957" s="537"/>
      <c r="T957" s="537"/>
      <c r="U957" s="537"/>
      <c r="V957" s="537"/>
      <c r="W957" s="537"/>
      <c r="X957" s="537"/>
      <c r="Y957" s="537"/>
      <c r="Z957" s="537"/>
    </row>
    <row r="958">
      <c r="A958" s="537"/>
      <c r="B958" s="537"/>
      <c r="C958" s="538"/>
      <c r="D958" s="537"/>
      <c r="E958" s="537"/>
      <c r="F958" s="537"/>
      <c r="G958" s="537"/>
      <c r="H958" s="537"/>
      <c r="I958" s="537"/>
      <c r="J958" s="537"/>
      <c r="K958" s="537"/>
      <c r="L958" s="537"/>
      <c r="M958" s="537"/>
      <c r="N958" s="537"/>
      <c r="O958" s="537"/>
      <c r="P958" s="537"/>
      <c r="Q958" s="537"/>
      <c r="R958" s="537"/>
      <c r="S958" s="537"/>
      <c r="T958" s="537"/>
      <c r="U958" s="537"/>
      <c r="V958" s="537"/>
      <c r="W958" s="537"/>
      <c r="X958" s="537"/>
      <c r="Y958" s="537"/>
      <c r="Z958" s="537"/>
    </row>
    <row r="959">
      <c r="A959" s="537"/>
      <c r="B959" s="537"/>
      <c r="C959" s="538"/>
      <c r="D959" s="537"/>
      <c r="E959" s="537"/>
      <c r="F959" s="537"/>
      <c r="G959" s="537"/>
      <c r="H959" s="537"/>
      <c r="I959" s="537"/>
      <c r="J959" s="537"/>
      <c r="K959" s="537"/>
      <c r="L959" s="537"/>
      <c r="M959" s="537"/>
      <c r="N959" s="537"/>
      <c r="O959" s="537"/>
      <c r="P959" s="537"/>
      <c r="Q959" s="537"/>
      <c r="R959" s="537"/>
      <c r="S959" s="537"/>
      <c r="T959" s="537"/>
      <c r="U959" s="537"/>
      <c r="V959" s="537"/>
      <c r="W959" s="537"/>
      <c r="X959" s="537"/>
      <c r="Y959" s="537"/>
      <c r="Z959" s="537"/>
    </row>
    <row r="960">
      <c r="A960" s="537"/>
      <c r="B960" s="537"/>
      <c r="C960" s="538"/>
      <c r="D960" s="537"/>
      <c r="E960" s="537"/>
      <c r="F960" s="537"/>
      <c r="G960" s="537"/>
      <c r="H960" s="537"/>
      <c r="I960" s="537"/>
      <c r="J960" s="537"/>
      <c r="K960" s="537"/>
      <c r="L960" s="537"/>
      <c r="M960" s="537"/>
      <c r="N960" s="537"/>
      <c r="O960" s="537"/>
      <c r="P960" s="537"/>
      <c r="Q960" s="537"/>
      <c r="R960" s="537"/>
      <c r="S960" s="537"/>
      <c r="T960" s="537"/>
      <c r="U960" s="537"/>
      <c r="V960" s="537"/>
      <c r="W960" s="537"/>
      <c r="X960" s="537"/>
      <c r="Y960" s="537"/>
      <c r="Z960" s="537"/>
    </row>
    <row r="961">
      <c r="A961" s="537"/>
      <c r="B961" s="537"/>
      <c r="C961" s="538"/>
      <c r="D961" s="537"/>
      <c r="E961" s="537"/>
      <c r="F961" s="537"/>
      <c r="G961" s="537"/>
      <c r="H961" s="537"/>
      <c r="I961" s="537"/>
      <c r="J961" s="537"/>
      <c r="K961" s="537"/>
      <c r="L961" s="537"/>
      <c r="M961" s="537"/>
      <c r="N961" s="537"/>
      <c r="O961" s="537"/>
      <c r="P961" s="537"/>
      <c r="Q961" s="537"/>
      <c r="R961" s="537"/>
      <c r="S961" s="537"/>
      <c r="T961" s="537"/>
      <c r="U961" s="537"/>
      <c r="V961" s="537"/>
      <c r="W961" s="537"/>
      <c r="X961" s="537"/>
      <c r="Y961" s="537"/>
      <c r="Z961" s="537"/>
    </row>
    <row r="962">
      <c r="A962" s="537"/>
      <c r="B962" s="537"/>
      <c r="C962" s="538"/>
      <c r="D962" s="537"/>
      <c r="E962" s="537"/>
      <c r="F962" s="537"/>
      <c r="G962" s="537"/>
      <c r="H962" s="537"/>
      <c r="I962" s="537"/>
      <c r="J962" s="537"/>
      <c r="K962" s="537"/>
      <c r="L962" s="537"/>
      <c r="M962" s="537"/>
      <c r="N962" s="537"/>
      <c r="O962" s="537"/>
      <c r="P962" s="537"/>
      <c r="Q962" s="537"/>
      <c r="R962" s="537"/>
      <c r="S962" s="537"/>
      <c r="T962" s="537"/>
      <c r="U962" s="537"/>
      <c r="V962" s="537"/>
      <c r="W962" s="537"/>
      <c r="X962" s="537"/>
      <c r="Y962" s="537"/>
      <c r="Z962" s="537"/>
    </row>
    <row r="963">
      <c r="A963" s="537"/>
      <c r="B963" s="537"/>
      <c r="C963" s="538"/>
      <c r="D963" s="537"/>
      <c r="E963" s="537"/>
      <c r="F963" s="537"/>
      <c r="G963" s="537"/>
      <c r="H963" s="537"/>
      <c r="I963" s="537"/>
      <c r="J963" s="537"/>
      <c r="K963" s="537"/>
      <c r="L963" s="537"/>
      <c r="M963" s="537"/>
      <c r="N963" s="537"/>
      <c r="O963" s="537"/>
      <c r="P963" s="537"/>
      <c r="Q963" s="537"/>
      <c r="R963" s="537"/>
      <c r="S963" s="537"/>
      <c r="T963" s="537"/>
      <c r="U963" s="537"/>
      <c r="V963" s="537"/>
      <c r="W963" s="537"/>
      <c r="X963" s="537"/>
      <c r="Y963" s="537"/>
      <c r="Z963" s="537"/>
    </row>
    <row r="964">
      <c r="A964" s="537"/>
      <c r="B964" s="537"/>
      <c r="C964" s="538"/>
      <c r="D964" s="537"/>
      <c r="E964" s="537"/>
      <c r="F964" s="537"/>
      <c r="G964" s="537"/>
      <c r="H964" s="537"/>
      <c r="I964" s="537"/>
      <c r="J964" s="537"/>
      <c r="K964" s="537"/>
      <c r="L964" s="537"/>
      <c r="M964" s="537"/>
      <c r="N964" s="537"/>
      <c r="O964" s="537"/>
      <c r="P964" s="537"/>
      <c r="Q964" s="537"/>
      <c r="R964" s="537"/>
      <c r="S964" s="537"/>
      <c r="T964" s="537"/>
      <c r="U964" s="537"/>
      <c r="V964" s="537"/>
      <c r="W964" s="537"/>
      <c r="X964" s="537"/>
      <c r="Y964" s="537"/>
      <c r="Z964" s="537"/>
    </row>
    <row r="965">
      <c r="A965" s="537"/>
      <c r="B965" s="537"/>
      <c r="C965" s="538"/>
      <c r="D965" s="537"/>
      <c r="E965" s="537"/>
      <c r="F965" s="537"/>
      <c r="G965" s="537"/>
      <c r="H965" s="537"/>
      <c r="I965" s="537"/>
      <c r="J965" s="537"/>
      <c r="K965" s="537"/>
      <c r="L965" s="537"/>
      <c r="M965" s="537"/>
      <c r="N965" s="537"/>
      <c r="O965" s="537"/>
      <c r="P965" s="537"/>
      <c r="Q965" s="537"/>
      <c r="R965" s="537"/>
      <c r="S965" s="537"/>
      <c r="T965" s="537"/>
      <c r="U965" s="537"/>
      <c r="V965" s="537"/>
      <c r="W965" s="537"/>
      <c r="X965" s="537"/>
      <c r="Y965" s="537"/>
      <c r="Z965" s="537"/>
    </row>
    <row r="966">
      <c r="A966" s="537"/>
      <c r="B966" s="537"/>
      <c r="C966" s="538"/>
      <c r="D966" s="537"/>
      <c r="E966" s="537"/>
      <c r="F966" s="537"/>
      <c r="G966" s="537"/>
      <c r="H966" s="537"/>
      <c r="I966" s="537"/>
      <c r="J966" s="537"/>
      <c r="K966" s="537"/>
      <c r="L966" s="537"/>
      <c r="M966" s="537"/>
      <c r="N966" s="537"/>
      <c r="O966" s="537"/>
      <c r="P966" s="537"/>
      <c r="Q966" s="537"/>
      <c r="R966" s="537"/>
      <c r="S966" s="537"/>
      <c r="T966" s="537"/>
      <c r="U966" s="537"/>
      <c r="V966" s="537"/>
      <c r="W966" s="537"/>
      <c r="X966" s="537"/>
      <c r="Y966" s="537"/>
      <c r="Z966" s="537"/>
    </row>
    <row r="967">
      <c r="A967" s="537"/>
      <c r="B967" s="537"/>
      <c r="C967" s="538"/>
      <c r="D967" s="537"/>
      <c r="E967" s="537"/>
      <c r="F967" s="537"/>
      <c r="G967" s="537"/>
      <c r="H967" s="537"/>
      <c r="I967" s="537"/>
      <c r="J967" s="537"/>
      <c r="K967" s="537"/>
      <c r="L967" s="537"/>
      <c r="M967" s="537"/>
      <c r="N967" s="537"/>
      <c r="O967" s="537"/>
      <c r="P967" s="537"/>
      <c r="Q967" s="537"/>
      <c r="R967" s="537"/>
      <c r="S967" s="537"/>
      <c r="T967" s="537"/>
      <c r="U967" s="537"/>
      <c r="V967" s="537"/>
      <c r="W967" s="537"/>
      <c r="X967" s="537"/>
      <c r="Y967" s="537"/>
      <c r="Z967" s="537"/>
    </row>
    <row r="968">
      <c r="A968" s="537"/>
      <c r="B968" s="537"/>
      <c r="C968" s="538"/>
      <c r="D968" s="537"/>
      <c r="E968" s="537"/>
      <c r="F968" s="537"/>
      <c r="G968" s="537"/>
      <c r="H968" s="537"/>
      <c r="I968" s="537"/>
      <c r="J968" s="537"/>
      <c r="K968" s="537"/>
      <c r="L968" s="537"/>
      <c r="M968" s="537"/>
      <c r="N968" s="537"/>
      <c r="O968" s="537"/>
      <c r="P968" s="537"/>
      <c r="Q968" s="537"/>
      <c r="R968" s="537"/>
      <c r="S968" s="537"/>
      <c r="T968" s="537"/>
      <c r="U968" s="537"/>
      <c r="V968" s="537"/>
      <c r="W968" s="537"/>
      <c r="X968" s="537"/>
      <c r="Y968" s="537"/>
      <c r="Z968" s="537"/>
    </row>
    <row r="969">
      <c r="A969" s="537"/>
      <c r="B969" s="537"/>
      <c r="C969" s="538"/>
      <c r="D969" s="537"/>
      <c r="E969" s="537"/>
      <c r="F969" s="537"/>
      <c r="G969" s="537"/>
      <c r="H969" s="537"/>
      <c r="I969" s="537"/>
      <c r="J969" s="537"/>
      <c r="K969" s="537"/>
      <c r="L969" s="537"/>
      <c r="M969" s="537"/>
      <c r="N969" s="537"/>
      <c r="O969" s="537"/>
      <c r="P969" s="537"/>
      <c r="Q969" s="537"/>
      <c r="R969" s="537"/>
      <c r="S969" s="537"/>
      <c r="T969" s="537"/>
      <c r="U969" s="537"/>
      <c r="V969" s="537"/>
      <c r="W969" s="537"/>
      <c r="X969" s="537"/>
      <c r="Y969" s="537"/>
      <c r="Z969" s="537"/>
    </row>
    <row r="970">
      <c r="A970" s="537"/>
      <c r="B970" s="537"/>
      <c r="C970" s="538"/>
      <c r="D970" s="537"/>
      <c r="E970" s="537"/>
      <c r="F970" s="537"/>
      <c r="G970" s="537"/>
      <c r="H970" s="537"/>
      <c r="I970" s="537"/>
      <c r="J970" s="537"/>
      <c r="K970" s="537"/>
      <c r="L970" s="537"/>
      <c r="M970" s="537"/>
      <c r="N970" s="537"/>
      <c r="O970" s="537"/>
      <c r="P970" s="537"/>
      <c r="Q970" s="537"/>
      <c r="R970" s="537"/>
      <c r="S970" s="537"/>
      <c r="T970" s="537"/>
      <c r="U970" s="537"/>
      <c r="V970" s="537"/>
      <c r="W970" s="537"/>
      <c r="X970" s="537"/>
      <c r="Y970" s="537"/>
      <c r="Z970" s="537"/>
    </row>
    <row r="971">
      <c r="A971" s="537"/>
      <c r="B971" s="537"/>
      <c r="C971" s="538"/>
      <c r="D971" s="537"/>
      <c r="E971" s="537"/>
      <c r="F971" s="537"/>
      <c r="G971" s="537"/>
      <c r="H971" s="537"/>
      <c r="I971" s="537"/>
      <c r="J971" s="537"/>
      <c r="K971" s="537"/>
      <c r="L971" s="537"/>
      <c r="M971" s="537"/>
      <c r="N971" s="537"/>
      <c r="O971" s="537"/>
      <c r="P971" s="537"/>
      <c r="Q971" s="537"/>
      <c r="R971" s="537"/>
      <c r="S971" s="537"/>
      <c r="T971" s="537"/>
      <c r="U971" s="537"/>
      <c r="V971" s="537"/>
      <c r="W971" s="537"/>
      <c r="X971" s="537"/>
      <c r="Y971" s="537"/>
      <c r="Z971" s="537"/>
    </row>
    <row r="972">
      <c r="A972" s="537"/>
      <c r="B972" s="537"/>
      <c r="C972" s="538"/>
      <c r="D972" s="537"/>
      <c r="E972" s="537"/>
      <c r="F972" s="537"/>
      <c r="G972" s="537"/>
      <c r="H972" s="537"/>
      <c r="I972" s="537"/>
      <c r="J972" s="537"/>
      <c r="K972" s="537"/>
      <c r="L972" s="537"/>
      <c r="M972" s="537"/>
      <c r="N972" s="537"/>
      <c r="O972" s="537"/>
      <c r="P972" s="537"/>
      <c r="Q972" s="537"/>
      <c r="R972" s="537"/>
      <c r="S972" s="537"/>
      <c r="T972" s="537"/>
      <c r="U972" s="537"/>
      <c r="V972" s="537"/>
      <c r="W972" s="537"/>
      <c r="X972" s="537"/>
      <c r="Y972" s="537"/>
      <c r="Z972" s="537"/>
    </row>
    <row r="973">
      <c r="A973" s="537"/>
      <c r="B973" s="537"/>
      <c r="C973" s="538"/>
      <c r="D973" s="537"/>
      <c r="E973" s="537"/>
      <c r="F973" s="537"/>
      <c r="G973" s="537"/>
      <c r="H973" s="537"/>
      <c r="I973" s="537"/>
      <c r="J973" s="537"/>
      <c r="K973" s="537"/>
      <c r="L973" s="537"/>
      <c r="M973" s="537"/>
      <c r="N973" s="537"/>
      <c r="O973" s="537"/>
      <c r="P973" s="537"/>
      <c r="Q973" s="537"/>
      <c r="R973" s="537"/>
      <c r="S973" s="537"/>
      <c r="T973" s="537"/>
      <c r="U973" s="537"/>
      <c r="V973" s="537"/>
      <c r="W973" s="537"/>
      <c r="X973" s="537"/>
      <c r="Y973" s="537"/>
      <c r="Z973" s="537"/>
    </row>
    <row r="974">
      <c r="A974" s="537"/>
      <c r="B974" s="537"/>
      <c r="C974" s="538"/>
      <c r="D974" s="537"/>
      <c r="E974" s="537"/>
      <c r="F974" s="537"/>
      <c r="G974" s="537"/>
      <c r="H974" s="537"/>
      <c r="I974" s="537"/>
      <c r="J974" s="537"/>
      <c r="K974" s="537"/>
      <c r="L974" s="537"/>
      <c r="M974" s="537"/>
      <c r="N974" s="537"/>
      <c r="O974" s="537"/>
      <c r="P974" s="537"/>
      <c r="Q974" s="537"/>
      <c r="R974" s="537"/>
      <c r="S974" s="537"/>
      <c r="T974" s="537"/>
      <c r="U974" s="537"/>
      <c r="V974" s="537"/>
      <c r="W974" s="537"/>
      <c r="X974" s="537"/>
      <c r="Y974" s="537"/>
      <c r="Z974" s="537"/>
    </row>
    <row r="975">
      <c r="A975" s="537"/>
      <c r="B975" s="537"/>
      <c r="C975" s="538"/>
      <c r="D975" s="537"/>
      <c r="E975" s="537"/>
      <c r="F975" s="537"/>
      <c r="G975" s="537"/>
      <c r="H975" s="537"/>
      <c r="I975" s="537"/>
      <c r="J975" s="537"/>
      <c r="K975" s="537"/>
      <c r="L975" s="537"/>
      <c r="M975" s="537"/>
      <c r="N975" s="537"/>
      <c r="O975" s="537"/>
      <c r="P975" s="537"/>
      <c r="Q975" s="537"/>
      <c r="R975" s="537"/>
      <c r="S975" s="537"/>
      <c r="T975" s="537"/>
      <c r="U975" s="537"/>
      <c r="V975" s="537"/>
      <c r="W975" s="537"/>
      <c r="X975" s="537"/>
      <c r="Y975" s="537"/>
      <c r="Z975" s="537"/>
    </row>
    <row r="976">
      <c r="A976" s="537"/>
      <c r="B976" s="537"/>
      <c r="C976" s="538"/>
      <c r="D976" s="537"/>
      <c r="E976" s="537"/>
      <c r="F976" s="537"/>
      <c r="G976" s="537"/>
      <c r="H976" s="537"/>
      <c r="I976" s="537"/>
      <c r="J976" s="537"/>
      <c r="K976" s="537"/>
      <c r="L976" s="537"/>
      <c r="M976" s="537"/>
      <c r="N976" s="537"/>
      <c r="O976" s="537"/>
      <c r="P976" s="537"/>
      <c r="Q976" s="537"/>
      <c r="R976" s="537"/>
      <c r="S976" s="537"/>
      <c r="T976" s="537"/>
      <c r="U976" s="537"/>
      <c r="V976" s="537"/>
      <c r="W976" s="537"/>
      <c r="X976" s="537"/>
      <c r="Y976" s="537"/>
      <c r="Z976" s="537"/>
    </row>
    <row r="977">
      <c r="A977" s="537"/>
      <c r="B977" s="537"/>
      <c r="C977" s="538"/>
      <c r="D977" s="537"/>
      <c r="E977" s="537"/>
      <c r="F977" s="537"/>
      <c r="G977" s="537"/>
      <c r="H977" s="537"/>
      <c r="I977" s="537"/>
      <c r="J977" s="537"/>
      <c r="K977" s="537"/>
      <c r="L977" s="537"/>
      <c r="M977" s="537"/>
      <c r="N977" s="537"/>
      <c r="O977" s="537"/>
      <c r="P977" s="537"/>
      <c r="Q977" s="537"/>
      <c r="R977" s="537"/>
      <c r="S977" s="537"/>
      <c r="T977" s="537"/>
      <c r="U977" s="537"/>
      <c r="V977" s="537"/>
      <c r="W977" s="537"/>
      <c r="X977" s="537"/>
      <c r="Y977" s="537"/>
      <c r="Z977" s="537"/>
    </row>
    <row r="978">
      <c r="A978" s="537"/>
      <c r="B978" s="537"/>
      <c r="C978" s="538"/>
      <c r="D978" s="537"/>
      <c r="E978" s="537"/>
      <c r="F978" s="537"/>
      <c r="G978" s="537"/>
      <c r="H978" s="537"/>
      <c r="I978" s="537"/>
      <c r="J978" s="537"/>
      <c r="K978" s="537"/>
      <c r="L978" s="537"/>
      <c r="M978" s="537"/>
      <c r="N978" s="537"/>
      <c r="O978" s="537"/>
      <c r="P978" s="537"/>
      <c r="Q978" s="537"/>
      <c r="R978" s="537"/>
      <c r="S978" s="537"/>
      <c r="T978" s="537"/>
      <c r="U978" s="537"/>
      <c r="V978" s="537"/>
      <c r="W978" s="537"/>
      <c r="X978" s="537"/>
      <c r="Y978" s="537"/>
      <c r="Z978" s="537"/>
    </row>
    <row r="979">
      <c r="A979" s="537"/>
      <c r="B979" s="537"/>
      <c r="C979" s="538"/>
      <c r="D979" s="537"/>
      <c r="E979" s="537"/>
      <c r="F979" s="537"/>
      <c r="G979" s="537"/>
      <c r="H979" s="537"/>
      <c r="I979" s="537"/>
      <c r="J979" s="537"/>
      <c r="K979" s="537"/>
      <c r="L979" s="537"/>
      <c r="M979" s="537"/>
      <c r="N979" s="537"/>
      <c r="O979" s="537"/>
      <c r="P979" s="537"/>
      <c r="Q979" s="537"/>
      <c r="R979" s="537"/>
      <c r="S979" s="537"/>
      <c r="T979" s="537"/>
      <c r="U979" s="537"/>
      <c r="V979" s="537"/>
      <c r="W979" s="537"/>
      <c r="X979" s="537"/>
      <c r="Y979" s="537"/>
      <c r="Z979" s="537"/>
    </row>
    <row r="980">
      <c r="A980" s="537"/>
      <c r="B980" s="537"/>
      <c r="C980" s="538"/>
      <c r="D980" s="537"/>
      <c r="E980" s="537"/>
      <c r="F980" s="537"/>
      <c r="G980" s="537"/>
      <c r="H980" s="537"/>
      <c r="I980" s="537"/>
      <c r="J980" s="537"/>
      <c r="K980" s="537"/>
      <c r="L980" s="537"/>
      <c r="M980" s="537"/>
      <c r="N980" s="537"/>
      <c r="O980" s="537"/>
      <c r="P980" s="537"/>
      <c r="Q980" s="537"/>
      <c r="R980" s="537"/>
      <c r="S980" s="537"/>
      <c r="T980" s="537"/>
      <c r="U980" s="537"/>
      <c r="V980" s="537"/>
      <c r="W980" s="537"/>
      <c r="X980" s="537"/>
      <c r="Y980" s="537"/>
      <c r="Z980" s="537"/>
    </row>
    <row r="981">
      <c r="C981" s="140"/>
    </row>
    <row r="982">
      <c r="C982" s="140"/>
    </row>
    <row r="983">
      <c r="C983" s="140"/>
    </row>
  </sheetData>
  <mergeCells count="5">
    <mergeCell ref="B8:B11"/>
    <mergeCell ref="B32:B36"/>
    <mergeCell ref="A43:A45"/>
    <mergeCell ref="B43:B44"/>
    <mergeCell ref="A46:A49"/>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0" max="10" width="28.75"/>
    <col customWidth="1" min="12" max="13" width="19.0"/>
    <col customWidth="1" min="14" max="14" width="15.75"/>
  </cols>
  <sheetData>
    <row r="4">
      <c r="B4" s="516" t="str">
        <f>IFERROR(__xludf.DUMMYFUNCTION("importrange(""https://docs.google.com/spreadsheets/d/1iQ0r193sXY989BHCJS6Nd9csCvJYRM4HNcheNImDXNI/edit?resourcekey=0-60qFfDa2wTJsG5MLfY8F5g&amp;gid=1763328259#gid=1763328259&amp;range=A4"",""P-68 Master Approval(for All SKU not include ATT/VZNTMO)!A4:Z100"")")," `11")</f>
        <v> `11</v>
      </c>
      <c r="C4" s="517" t="str">
        <f>IFERROR(__xludf.DUMMYFUNCTION("""COMPUTED_VALUE"""),"Stage")</f>
        <v>Stage</v>
      </c>
      <c r="D4" s="517" t="str">
        <f>IFERROR(__xludf.DUMMYFUNCTION("""COMPUTED_VALUE"""),"Purpose")</f>
        <v>Purpose</v>
      </c>
      <c r="E4" s="517" t="str">
        <f>IFERROR(__xludf.DUMMYFUNCTION("""COMPUTED_VALUE"""),"Sale SKU")</f>
        <v>Sale SKU</v>
      </c>
      <c r="F4" s="517" t="str">
        <f>IFERROR(__xludf.DUMMYFUNCTION("""COMPUTED_VALUE"""),"Model#C產品型號#")</f>
        <v>Model#C產品型號#</v>
      </c>
      <c r="G4" s="517" t="str">
        <f>IFERROR(__xludf.DUMMYFUNCTION("""COMPUTED_VALUE"""),"UPC CODE-12")</f>
        <v>UPC CODE-12</v>
      </c>
      <c r="H4" s="517" t="str">
        <f>IFERROR(__xludf.DUMMYFUNCTION("""COMPUTED_VALUE"""),"EAN CODE-13")</f>
        <v>EAN CODE-13</v>
      </c>
      <c r="I4" s="517" t="str">
        <f>IFERROR(__xludf.DUMMYFUNCTION("""COMPUTED_VALUE"""),"SAP/SKU ID for Retail label")</f>
        <v>SAP/SKU ID for Retail label</v>
      </c>
      <c r="J4" s="517" t="str">
        <f>IFERROR(__xludf.DUMMYFUNCTION("""COMPUTED_VALUE"""),"Master Carton Label GPN &amp; Rev")</f>
        <v>Master Carton Label GPN &amp; Rev</v>
      </c>
      <c r="K4" s="517" t="str">
        <f>IFERROR(__xludf.DUMMYFUNCTION("""COMPUTED_VALUE"""),"Pallet Label GPN &amp; Rev")</f>
        <v>Pallet Label GPN &amp; Rev</v>
      </c>
      <c r="L4" s="516" t="str">
        <f>IFERROR(__xludf.DUMMYFUNCTION("""COMPUTED_VALUE"""),"IN MRP
Artwork GPN &amp; Rev")</f>
        <v>IN MRP
Artwork GPN &amp; Rev</v>
      </c>
      <c r="M4" s="516" t="str">
        <f>IFERROR(__xludf.DUMMYFUNCTION("""COMPUTED_VALUE"""),"BOB
Artwork GPN &amp; Rev")</f>
        <v>BOB
Artwork GPN &amp; Rev</v>
      </c>
      <c r="N4" s="516" t="str">
        <f>IFERROR(__xludf.DUMMYFUNCTION("""COMPUTED_VALUE"""),"Retail
Artwork GPN &amp; Rev")</f>
        <v>Retail
Artwork GPN &amp; Rev</v>
      </c>
      <c r="O4" s="517" t="str">
        <f>IFERROR(__xludf.DUMMYFUNCTION("""COMPUTED_VALUE"""),"Revison")</f>
        <v>Revison</v>
      </c>
      <c r="P4" s="517" t="str">
        <f>IFERROR(__xludf.DUMMYFUNCTION("""COMPUTED_VALUE"""),"Memory
")</f>
        <v>Memory
</v>
      </c>
      <c r="Q4" s="517" t="str">
        <f>IFERROR(__xludf.DUMMYFUNCTION("""COMPUTED_VALUE"""),"Color Name")</f>
        <v>Color Name</v>
      </c>
      <c r="R4" s="517" t="str">
        <f>IFERROR(__xludf.DUMMYFUNCTION("""COMPUTED_VALUE"""),"Color ID")</f>
        <v>Color ID</v>
      </c>
      <c r="S4" s="517" t="str">
        <f>IFERROR(__xludf.DUMMYFUNCTION("""COMPUTED_VALUE"""),"SKU")</f>
        <v>SKU</v>
      </c>
      <c r="T4" s="517" t="str">
        <f>IFERROR(__xludf.DUMMYFUNCTION("""COMPUTED_VALUE"""),"Description")</f>
        <v>Description</v>
      </c>
      <c r="U4" s="517" t="str">
        <f>IFERROR(__xludf.DUMMYFUNCTION("""COMPUTED_VALUE"""),"Description")</f>
        <v>Description</v>
      </c>
      <c r="V4" s="517" t="str">
        <f>IFERROR(__xludf.DUMMYFUNCTION("""COMPUTED_VALUE"""),"P-65
Inform NPI OPM if no 65 days buffer")</f>
        <v>P-65
Inform NPI OPM if no 65 days buffer</v>
      </c>
      <c r="W4" s="517" t="str">
        <f>IFERROR(__xludf.DUMMYFUNCTION("""COMPUTED_VALUE"""),"Day P Ok2pack")</f>
        <v>Day P Ok2pack</v>
      </c>
      <c r="X4" s="517" t="str">
        <f>IFERROR(__xludf.DUMMYFUNCTION("""COMPUTED_VALUE"""),"Day P-50 EPM release RevA Date (CM Receive 
from G +1 day)")</f>
        <v>Day P-50 EPM release RevA Date (CM Receive 
from G +1 day)</v>
      </c>
      <c r="Y4" s="517" t="str">
        <f>IFERROR(__xludf.DUMMYFUNCTION("""COMPUTED_VALUE"""),"EPM Confirm done with ✅")</f>
        <v>EPM Confirm done with ✅</v>
      </c>
      <c r="Z4" s="517" t="str">
        <f>IFERROR(__xludf.DUMMYFUNCTION("""COMPUTED_VALUE"""),"Day P-50 PPO release RevA Date (CM Receive 
from G +1 day)")</f>
        <v>Day P-50 PPO release RevA Date (CM Receive 
from G +1 day)</v>
      </c>
      <c r="AA4" s="517" t="str">
        <f>IFERROR(__xludf.DUMMYFUNCTION("""COMPUTED_VALUE"""),"PPO Confirm done with ✅")</f>
        <v>PPO Confirm done with ✅</v>
      </c>
    </row>
    <row r="5">
      <c r="B5" s="517" t="str">
        <f>IFERROR(__xludf.DUMMYFUNCTION("""COMPUTED_VALUE"""),"Example")</f>
        <v>Example</v>
      </c>
      <c r="C5" s="517" t="str">
        <f>IFERROR(__xludf.DUMMYFUNCTION("""COMPUTED_VALUE"""),"MP")</f>
        <v>MP</v>
      </c>
      <c r="D5" s="517" t="str">
        <f>IFERROR(__xludf.DUMMYFUNCTION("""COMPUTED_VALUE"""),"Pristine")</f>
        <v>Pristine</v>
      </c>
      <c r="E5" s="517" t="str">
        <f>IFERROR(__xludf.DUMMYFUNCTION("""COMPUTED_VALUE"""),"GA03523-US")</f>
        <v>GA03523-US</v>
      </c>
      <c r="F5" s="517"/>
      <c r="G5" s="517">
        <f>IFERROR(__xludf.DUMMYFUNCTION("""COMPUTED_VALUE"""),8.10029936316E11)</f>
        <v>810029936316</v>
      </c>
      <c r="H5" s="517"/>
      <c r="I5" s="517" t="str">
        <f>IFERROR(__xludf.DUMMYFUNCTION("""COMPUTED_VALUE"""),"no")</f>
        <v>no</v>
      </c>
      <c r="J5" s="517" t="str">
        <f>IFERROR(__xludf.DUMMYFUNCTION("""COMPUTED_VALUE"""),"VZN Master Carton Label")</f>
        <v>VZN Master Carton Label</v>
      </c>
      <c r="K5" s="517" t="str">
        <f>IFERROR(__xludf.DUMMYFUNCTION("""COMPUTED_VALUE"""),"VZN Pallet Label -&gt; BTO(EDI)
VZN Pallet Label -&gt; BTS(Normal case)
")</f>
        <v>VZN Pallet Label -&gt; BTO(EDI)
VZN Pallet Label -&gt; BTS(Normal case)
</v>
      </c>
      <c r="L5" s="517"/>
      <c r="M5" s="517"/>
      <c r="N5" s="517" t="str">
        <f>IFERROR(__xludf.DUMMYFUNCTION("""COMPUTED_VALUE"""),"G952-03249-00")</f>
        <v>G952-03249-00</v>
      </c>
      <c r="O5" s="517" t="str">
        <f>IFERROR(__xludf.DUMMYFUNCTION("""COMPUTED_VALUE"""),"A")</f>
        <v>A</v>
      </c>
      <c r="P5" s="517" t="str">
        <f>IFERROR(__xludf.DUMMYFUNCTION("""COMPUTED_VALUE"""),"128GB")</f>
        <v>128GB</v>
      </c>
      <c r="Q5" s="517"/>
      <c r="R5" s="517" t="str">
        <f>IFERROR(__xludf.DUMMYFUNCTION("""COMPUTED_VALUE"""),"Obsidian")</f>
        <v>Obsidian</v>
      </c>
      <c r="S5" s="517" t="str">
        <f>IFERROR(__xludf.DUMMYFUNCTION("""COMPUTED_VALUE"""),"US-VZW")</f>
        <v>US-VZW</v>
      </c>
      <c r="T5" s="517" t="str">
        <f>IFERROR(__xludf.DUMMYFUNCTION("""COMPUTED_VALUE"""),"Pixel 7, Obsidian, 128GB, VZW")</f>
        <v>Pixel 7, Obsidian, 128GB, VZW</v>
      </c>
      <c r="U5" s="517"/>
      <c r="V5" s="624" t="str">
        <f>IFERROR(__xludf.DUMMYFUNCTION("""COMPUTED_VALUE"""),"#NUM!")</f>
        <v>#NUM!</v>
      </c>
      <c r="W5" s="625">
        <f>IFERROR(__xludf.DUMMYFUNCTION("""COMPUTED_VALUE"""),45291.0)</f>
        <v>45291</v>
      </c>
      <c r="X5" s="626">
        <f>IFERROR(__xludf.DUMMYFUNCTION("""COMPUTED_VALUE"""),45240.0)</f>
        <v>45240</v>
      </c>
      <c r="Y5" s="517" t="b">
        <f>IFERROR(__xludf.DUMMYFUNCTION("""COMPUTED_VALUE"""),TRUE)</f>
        <v>1</v>
      </c>
      <c r="Z5" s="626">
        <f>IFERROR(__xludf.DUMMYFUNCTION("""COMPUTED_VALUE"""),45240.0)</f>
        <v>45240</v>
      </c>
      <c r="AA5" s="517" t="b">
        <f>IFERROR(__xludf.DUMMYFUNCTION("""COMPUTED_VALUE"""),TRUE)</f>
        <v>1</v>
      </c>
    </row>
    <row r="6">
      <c r="B6" s="517" t="str">
        <f>IFERROR(__xludf.DUMMYFUNCTION("""COMPUTED_VALUE"""),"Example")</f>
        <v>Example</v>
      </c>
      <c r="C6" s="517" t="str">
        <f>IFERROR(__xludf.DUMMYFUNCTION("""COMPUTED_VALUE"""),"MP")</f>
        <v>MP</v>
      </c>
      <c r="D6" s="517" t="str">
        <f>IFERROR(__xludf.DUMMYFUNCTION("""COMPUTED_VALUE"""),"Pristine")</f>
        <v>Pristine</v>
      </c>
      <c r="E6" s="517" t="str">
        <f>IFERROR(__xludf.DUMMYFUNCTION("""COMPUTED_VALUE"""),"GA03523-US")</f>
        <v>GA03523-US</v>
      </c>
      <c r="F6" s="517"/>
      <c r="G6" s="517">
        <f>IFERROR(__xludf.DUMMYFUNCTION("""COMPUTED_VALUE"""),8.10029936316E11)</f>
        <v>810029936316</v>
      </c>
      <c r="H6" s="517"/>
      <c r="I6" s="517" t="str">
        <f>IFERROR(__xludf.DUMMYFUNCTION("""COMPUTED_VALUE"""),"no")</f>
        <v>no</v>
      </c>
      <c r="J6" s="517"/>
      <c r="K6" s="517"/>
      <c r="L6" s="517"/>
      <c r="M6" s="517"/>
      <c r="N6" s="517" t="str">
        <f>IFERROR(__xludf.DUMMYFUNCTION("""COMPUTED_VALUE"""),"G952-03249-00")</f>
        <v>G952-03249-00</v>
      </c>
      <c r="O6" s="517" t="str">
        <f>IFERROR(__xludf.DUMMYFUNCTION("""COMPUTED_VALUE"""),"A")</f>
        <v>A</v>
      </c>
      <c r="P6" s="517" t="str">
        <f>IFERROR(__xludf.DUMMYFUNCTION("""COMPUTED_VALUE"""),"128GB")</f>
        <v>128GB</v>
      </c>
      <c r="Q6" s="517"/>
      <c r="R6" s="517" t="str">
        <f>IFERROR(__xludf.DUMMYFUNCTION("""COMPUTED_VALUE"""),"Obsidian")</f>
        <v>Obsidian</v>
      </c>
      <c r="S6" s="517" t="str">
        <f>IFERROR(__xludf.DUMMYFUNCTION("""COMPUTED_VALUE"""),"US-VZW")</f>
        <v>US-VZW</v>
      </c>
      <c r="T6" s="517" t="str">
        <f>IFERROR(__xludf.DUMMYFUNCTION("""COMPUTED_VALUE"""),"Pixel 7, Obsidian, 128GB, VZW")</f>
        <v>Pixel 7, Obsidian, 128GB, VZW</v>
      </c>
      <c r="U6" s="517"/>
      <c r="V6" s="624" t="str">
        <f>IFERROR(__xludf.DUMMYFUNCTION("""COMPUTED_VALUE"""),"#NUM!")</f>
        <v>#NUM!</v>
      </c>
      <c r="W6" s="625">
        <f>IFERROR(__xludf.DUMMYFUNCTION("""COMPUTED_VALUE"""),45239.0)</f>
        <v>45239</v>
      </c>
      <c r="X6" s="626">
        <f>IFERROR(__xludf.DUMMYFUNCTION("""COMPUTED_VALUE"""),45188.0)</f>
        <v>45188</v>
      </c>
      <c r="Y6" s="517" t="b">
        <f>IFERROR(__xludf.DUMMYFUNCTION("""COMPUTED_VALUE"""),TRUE)</f>
        <v>1</v>
      </c>
      <c r="Z6" s="626">
        <f>IFERROR(__xludf.DUMMYFUNCTION("""COMPUTED_VALUE"""),45188.0)</f>
        <v>45188</v>
      </c>
      <c r="AA6" s="517" t="b">
        <f>IFERROR(__xludf.DUMMYFUNCTION("""COMPUTED_VALUE"""),FALSE)</f>
        <v>0</v>
      </c>
    </row>
    <row r="7">
      <c r="B7" s="517"/>
      <c r="C7" s="517"/>
      <c r="D7" s="517"/>
      <c r="E7" s="517"/>
      <c r="F7" s="517"/>
      <c r="G7" s="517"/>
      <c r="H7" s="517"/>
      <c r="I7" s="517"/>
      <c r="J7" s="517"/>
      <c r="K7" s="517"/>
      <c r="L7" s="517"/>
      <c r="M7" s="517"/>
      <c r="N7" s="517"/>
      <c r="O7" s="517"/>
      <c r="P7" s="517"/>
      <c r="Q7" s="517"/>
      <c r="R7" s="517"/>
      <c r="S7" s="517"/>
      <c r="T7" s="517"/>
      <c r="U7" s="517"/>
      <c r="V7" s="517"/>
      <c r="W7" s="517"/>
      <c r="X7" s="517"/>
      <c r="Y7" s="517"/>
      <c r="Z7" s="517"/>
      <c r="AA7" s="517"/>
    </row>
    <row r="8">
      <c r="B8" s="517" t="str">
        <f>IFERROR(__xludf.DUMMYFUNCTION("""COMPUTED_VALUE"""),"GSTORE")</f>
        <v>GSTORE</v>
      </c>
      <c r="C8" s="518" t="str">
        <f>IFERROR(__xludf.DUMMYFUNCTION("""COMPUTED_VALUE"""),"0840353926769")</f>
        <v>0840353926769</v>
      </c>
      <c r="D8" s="517" t="str">
        <f>IFERROR(__xludf.DUMMYFUNCTION("""COMPUTED_VALUE"""),"Pristine")</f>
        <v>Pristine</v>
      </c>
      <c r="E8" s="517" t="str">
        <f>IFERROR(__xludf.DUMMYFUNCTION("""COMPUTED_VALUE"""),"GA09744-US")</f>
        <v>GA09744-US</v>
      </c>
      <c r="F8" s="517" t="str">
        <f>IFERROR(__xludf.DUMMYFUNCTION("""COMPUTED_VALUE"""),"GLBW0")</f>
        <v>GLBW0</v>
      </c>
      <c r="G8" s="517"/>
      <c r="H8" s="518" t="str">
        <f>IFERROR(__xludf.DUMMYFUNCTION("""COMPUTED_VALUE"""),"840353926769")</f>
        <v>840353926769</v>
      </c>
      <c r="I8" s="518" t="str">
        <f>IFERROR(__xludf.DUMMYFUNCTION("""COMPUTED_VALUE"""),"No")</f>
        <v>No</v>
      </c>
      <c r="J8" s="517" t="str">
        <f>IFERROR(__xludf.DUMMYFUNCTION("""COMPUTED_VALUE"""),"Retail_10ct")</f>
        <v>Retail_10ct</v>
      </c>
      <c r="K8" s="517" t="str">
        <f>IFERROR(__xludf.DUMMYFUNCTION("""COMPUTED_VALUE"""),"ROW Master Carton Label (UPC)")</f>
        <v>ROW Master Carton Label (UPC)</v>
      </c>
      <c r="L8" s="517" t="str">
        <f>IFERROR(__xludf.DUMMYFUNCTION("""COMPUTED_VALUE"""),"NA")</f>
        <v>NA</v>
      </c>
      <c r="M8" s="517" t="str">
        <f>IFERROR(__xludf.DUMMYFUNCTION("""COMPUTED_VALUE"""),"G990-08380-11-01
G990-08380-11-A")</f>
        <v>G990-08380-11-01
G990-08380-11-A</v>
      </c>
      <c r="N8" s="519" t="str">
        <f>IFERROR(__xludf.DUMMYFUNCTION("""COMPUTED_VALUE"""),"G990-09560-00-A")</f>
        <v>G990-09560-00-A</v>
      </c>
      <c r="O8" s="517" t="str">
        <f>IFERROR(__xludf.DUMMYFUNCTION("""COMPUTED_VALUE"""),"BOB→A
Retail→A")</f>
        <v>BOB→A
Retail→A</v>
      </c>
      <c r="P8" s="517" t="str">
        <f>IFERROR(__xludf.DUMMYFUNCTION("""COMPUTED_VALUE"""),"G990-09560-00-A")</f>
        <v>G990-09560-00-A</v>
      </c>
      <c r="Q8" s="517" t="str">
        <f>IFERROR(__xludf.DUMMYFUNCTION("""COMPUTED_VALUE"""),"Obsidian")</f>
        <v>Obsidian</v>
      </c>
      <c r="R8" s="517" t="str">
        <f>IFERROR(__xludf.DUMMYFUNCTION("""COMPUTED_VALUE"""),"BLK")</f>
        <v>BLK</v>
      </c>
      <c r="S8" s="517" t="str">
        <f>IFERROR(__xludf.DUMMYFUNCTION("""COMPUTED_VALUE"""),"GSTORE, US")</f>
        <v>GSTORE, US</v>
      </c>
      <c r="T8" s="517" t="str">
        <f>IFERROR(__xludf.DUMMYFUNCTION("""COMPUTED_VALUE"""),"SKU, CLR1, GOOD, MMWAVE, GSTORE, US, FL5")</f>
        <v>SKU, CLR1, GOOD, MMWAVE, GSTORE, US, FL5</v>
      </c>
      <c r="U8" s="517" t="str">
        <f>IFERROR(__xludf.DUMMYFUNCTION("""COMPUTED_VALUE"""),"Pixel 10, Obsidian, 128GB, GSTORE, US")</f>
        <v>Pixel 10, Obsidian, 128GB, GSTORE, US</v>
      </c>
      <c r="V8" s="624" t="str">
        <f>IFERROR(__xludf.DUMMYFUNCTION("""COMPUTED_VALUE"""),"#NUM!")</f>
        <v>#NUM!</v>
      </c>
      <c r="W8" s="625">
        <f>IFERROR(__xludf.DUMMYFUNCTION("""COMPUTED_VALUE"""),45815.0)</f>
        <v>45815</v>
      </c>
      <c r="X8" s="626">
        <f>IFERROR(__xludf.DUMMYFUNCTION("""COMPUTED_VALUE"""),45764.0)</f>
        <v>45764</v>
      </c>
      <c r="Y8" s="517" t="b">
        <f>IFERROR(__xludf.DUMMYFUNCTION("""COMPUTED_VALUE"""),TRUE)</f>
        <v>1</v>
      </c>
      <c r="Z8" s="626">
        <f>IFERROR(__xludf.DUMMYFUNCTION("""COMPUTED_VALUE"""),45764.0)</f>
        <v>45764</v>
      </c>
      <c r="AA8" s="517" t="b">
        <f>IFERROR(__xludf.DUMMYFUNCTION("""COMPUTED_VALUE"""),FALSE)</f>
        <v>0</v>
      </c>
    </row>
    <row r="9">
      <c r="B9" s="517" t="str">
        <f>IFERROR(__xludf.DUMMYFUNCTION("""COMPUTED_VALUE"""),"GSTORE")</f>
        <v>GSTORE</v>
      </c>
      <c r="C9" s="518" t="str">
        <f>IFERROR(__xludf.DUMMYFUNCTION("""COMPUTED_VALUE"""),"0840353926776")</f>
        <v>0840353926776</v>
      </c>
      <c r="D9" s="517" t="str">
        <f>IFERROR(__xludf.DUMMYFUNCTION("""COMPUTED_VALUE"""),"Pristine")</f>
        <v>Pristine</v>
      </c>
      <c r="E9" s="517" t="str">
        <f>IFERROR(__xludf.DUMMYFUNCTION("""COMPUTED_VALUE"""),"GA10214-US")</f>
        <v>GA10214-US</v>
      </c>
      <c r="F9" s="517" t="str">
        <f>IFERROR(__xludf.DUMMYFUNCTION("""COMPUTED_VALUE"""),"GLBW0")</f>
        <v>GLBW0</v>
      </c>
      <c r="G9" s="517"/>
      <c r="H9" s="518" t="str">
        <f>IFERROR(__xludf.DUMMYFUNCTION("""COMPUTED_VALUE"""),"840353926776")</f>
        <v>840353926776</v>
      </c>
      <c r="I9" s="518" t="str">
        <f>IFERROR(__xludf.DUMMYFUNCTION("""COMPUTED_VALUE"""),"No")</f>
        <v>No</v>
      </c>
      <c r="J9" s="517" t="str">
        <f>IFERROR(__xludf.DUMMYFUNCTION("""COMPUTED_VALUE"""),"Retail_10ct")</f>
        <v>Retail_10ct</v>
      </c>
      <c r="K9" s="517" t="str">
        <f>IFERROR(__xludf.DUMMYFUNCTION("""COMPUTED_VALUE"""),"ROW Master Carton Label (UPC)")</f>
        <v>ROW Master Carton Label (UPC)</v>
      </c>
      <c r="L9" s="517" t="str">
        <f>IFERROR(__xludf.DUMMYFUNCTION("""COMPUTED_VALUE"""),"NA")</f>
        <v>NA</v>
      </c>
      <c r="M9" s="517" t="str">
        <f>IFERROR(__xludf.DUMMYFUNCTION("""COMPUTED_VALUE"""),"G990-08380-21-01
G990-08380-21-A")</f>
        <v>G990-08380-21-01
G990-08380-21-A</v>
      </c>
      <c r="N9" s="519" t="str">
        <f>IFERROR(__xludf.DUMMYFUNCTION("""COMPUTED_VALUE"""),"G990-09560-00-A")</f>
        <v>G990-09560-00-A</v>
      </c>
      <c r="O9" s="517" t="str">
        <f>IFERROR(__xludf.DUMMYFUNCTION("""COMPUTED_VALUE"""),"BOB→A
Retail→A")</f>
        <v>BOB→A
Retail→A</v>
      </c>
      <c r="P9" s="517" t="str">
        <f>IFERROR(__xludf.DUMMYFUNCTION("""COMPUTED_VALUE"""),"G990-09560-00-A")</f>
        <v>G990-09560-00-A</v>
      </c>
      <c r="Q9" s="517" t="str">
        <f>IFERROR(__xludf.DUMMYFUNCTION("""COMPUTED_VALUE"""),"Frost")</f>
        <v>Frost</v>
      </c>
      <c r="R9" s="517" t="str">
        <f>IFERROR(__xludf.DUMMYFUNCTION("""COMPUTED_VALUE"""),"PPL")</f>
        <v>PPL</v>
      </c>
      <c r="S9" s="517" t="str">
        <f>IFERROR(__xludf.DUMMYFUNCTION("""COMPUTED_VALUE"""),"GSTORE, US")</f>
        <v>GSTORE, US</v>
      </c>
      <c r="T9" s="517" t="str">
        <f>IFERROR(__xludf.DUMMYFUNCTION("""COMPUTED_VALUE"""),"SKU, CLR2, GOOD, MMWAVE, Gstore, US, FL5")</f>
        <v>SKU, CLR2, GOOD, MMWAVE, Gstore, US, FL5</v>
      </c>
      <c r="U9" s="517" t="str">
        <f>IFERROR(__xludf.DUMMYFUNCTION("""COMPUTED_VALUE"""),"Pixel 10, Frost, 128GB, GSTORE, US")</f>
        <v>Pixel 10, Frost, 128GB, GSTORE, US</v>
      </c>
      <c r="V9" s="624" t="str">
        <f>IFERROR(__xludf.DUMMYFUNCTION("""COMPUTED_VALUE"""),"#NUM!")</f>
        <v>#NUM!</v>
      </c>
      <c r="W9" s="625">
        <f>IFERROR(__xludf.DUMMYFUNCTION("""COMPUTED_VALUE"""),45815.0)</f>
        <v>45815</v>
      </c>
      <c r="X9" s="626">
        <f>IFERROR(__xludf.DUMMYFUNCTION("""COMPUTED_VALUE"""),45764.0)</f>
        <v>45764</v>
      </c>
      <c r="Y9" s="517" t="b">
        <f>IFERROR(__xludf.DUMMYFUNCTION("""COMPUTED_VALUE"""),TRUE)</f>
        <v>1</v>
      </c>
      <c r="Z9" s="626">
        <f>IFERROR(__xludf.DUMMYFUNCTION("""COMPUTED_VALUE"""),45764.0)</f>
        <v>45764</v>
      </c>
      <c r="AA9" s="517" t="b">
        <f>IFERROR(__xludf.DUMMYFUNCTION("""COMPUTED_VALUE"""),FALSE)</f>
        <v>0</v>
      </c>
    </row>
    <row r="10">
      <c r="B10" s="517" t="str">
        <f>IFERROR(__xludf.DUMMYFUNCTION("""COMPUTED_VALUE"""),"GSTORE")</f>
        <v>GSTORE</v>
      </c>
      <c r="C10" s="518" t="str">
        <f>IFERROR(__xludf.DUMMYFUNCTION("""COMPUTED_VALUE"""),"0840353926790")</f>
        <v>0840353926790</v>
      </c>
      <c r="D10" s="517" t="str">
        <f>IFERROR(__xludf.DUMMYFUNCTION("""COMPUTED_VALUE"""),"Pristine")</f>
        <v>Pristine</v>
      </c>
      <c r="E10" s="517" t="str">
        <f>IFERROR(__xludf.DUMMYFUNCTION("""COMPUTED_VALUE"""),"GA10215-US")</f>
        <v>GA10215-US</v>
      </c>
      <c r="F10" s="517" t="str">
        <f>IFERROR(__xludf.DUMMYFUNCTION("""COMPUTED_VALUE"""),"GLBW0")</f>
        <v>GLBW0</v>
      </c>
      <c r="G10" s="517"/>
      <c r="H10" s="518" t="str">
        <f>IFERROR(__xludf.DUMMYFUNCTION("""COMPUTED_VALUE"""),"840353926790")</f>
        <v>840353926790</v>
      </c>
      <c r="I10" s="518" t="str">
        <f>IFERROR(__xludf.DUMMYFUNCTION("""COMPUTED_VALUE"""),"No")</f>
        <v>No</v>
      </c>
      <c r="J10" s="517" t="str">
        <f>IFERROR(__xludf.DUMMYFUNCTION("""COMPUTED_VALUE"""),"Retail_10ct")</f>
        <v>Retail_10ct</v>
      </c>
      <c r="K10" s="517" t="str">
        <f>IFERROR(__xludf.DUMMYFUNCTION("""COMPUTED_VALUE"""),"ROW Master Carton Label (UPC)")</f>
        <v>ROW Master Carton Label (UPC)</v>
      </c>
      <c r="L10" s="517" t="str">
        <f>IFERROR(__xludf.DUMMYFUNCTION("""COMPUTED_VALUE"""),"NA")</f>
        <v>NA</v>
      </c>
      <c r="M10" s="517" t="str">
        <f>IFERROR(__xludf.DUMMYFUNCTION("""COMPUTED_VALUE"""),"G990-08380-31-02
G990-08380-31-A")</f>
        <v>G990-08380-31-02
G990-08380-31-A</v>
      </c>
      <c r="N10" s="519" t="str">
        <f>IFERROR(__xludf.DUMMYFUNCTION("""COMPUTED_VALUE"""),"G990-09560-00-A")</f>
        <v>G990-09560-00-A</v>
      </c>
      <c r="O10" s="517" t="str">
        <f>IFERROR(__xludf.DUMMYFUNCTION("""COMPUTED_VALUE"""),"BOB→A
Retail→A")</f>
        <v>BOB→A
Retail→A</v>
      </c>
      <c r="P10" s="517" t="str">
        <f>IFERROR(__xludf.DUMMYFUNCTION("""COMPUTED_VALUE"""),"G990-09560-00-A")</f>
        <v>G990-09560-00-A</v>
      </c>
      <c r="Q10" s="517" t="str">
        <f>IFERROR(__xludf.DUMMYFUNCTION("""COMPUTED_VALUE"""),"Lemongrass")</f>
        <v>Lemongrass</v>
      </c>
      <c r="R10" s="517" t="str">
        <f>IFERROR(__xludf.DUMMYFUNCTION("""COMPUTED_VALUE"""),"YEL")</f>
        <v>YEL</v>
      </c>
      <c r="S10" s="517" t="str">
        <f>IFERROR(__xludf.DUMMYFUNCTION("""COMPUTED_VALUE"""),"GSTORE, US")</f>
        <v>GSTORE, US</v>
      </c>
      <c r="T10" s="517" t="str">
        <f>IFERROR(__xludf.DUMMYFUNCTION("""COMPUTED_VALUE"""),"SKU, CLR3, GOOD, MMWAVE, Gstore, US, FL5")</f>
        <v>SKU, CLR3, GOOD, MMWAVE, Gstore, US, FL5</v>
      </c>
      <c r="U10" s="517" t="str">
        <f>IFERROR(__xludf.DUMMYFUNCTION("""COMPUTED_VALUE"""),"Pixel 10, Lemongrass, 128GB, GSTORE, US")</f>
        <v>Pixel 10, Lemongrass, 128GB, GSTORE, US</v>
      </c>
      <c r="V10" s="624" t="str">
        <f>IFERROR(__xludf.DUMMYFUNCTION("""COMPUTED_VALUE"""),"#NUM!")</f>
        <v>#NUM!</v>
      </c>
      <c r="W10" s="625">
        <f>IFERROR(__xludf.DUMMYFUNCTION("""COMPUTED_VALUE"""),45815.0)</f>
        <v>45815</v>
      </c>
      <c r="X10" s="626">
        <f>IFERROR(__xludf.DUMMYFUNCTION("""COMPUTED_VALUE"""),45764.0)</f>
        <v>45764</v>
      </c>
      <c r="Y10" s="517" t="b">
        <f>IFERROR(__xludf.DUMMYFUNCTION("""COMPUTED_VALUE"""),TRUE)</f>
        <v>1</v>
      </c>
      <c r="Z10" s="626">
        <f>IFERROR(__xludf.DUMMYFUNCTION("""COMPUTED_VALUE"""),45764.0)</f>
        <v>45764</v>
      </c>
      <c r="AA10" s="517" t="b">
        <f>IFERROR(__xludf.DUMMYFUNCTION("""COMPUTED_VALUE"""),FALSE)</f>
        <v>0</v>
      </c>
    </row>
    <row r="11">
      <c r="B11" s="517" t="str">
        <f>IFERROR(__xludf.DUMMYFUNCTION("""COMPUTED_VALUE"""),"GSTORE")</f>
        <v>GSTORE</v>
      </c>
      <c r="C11" s="518" t="str">
        <f>IFERROR(__xludf.DUMMYFUNCTION("""COMPUTED_VALUE"""),"0840353926783")</f>
        <v>0840353926783</v>
      </c>
      <c r="D11" s="517" t="str">
        <f>IFERROR(__xludf.DUMMYFUNCTION("""COMPUTED_VALUE"""),"Pristine")</f>
        <v>Pristine</v>
      </c>
      <c r="E11" s="517" t="str">
        <f>IFERROR(__xludf.DUMMYFUNCTION("""COMPUTED_VALUE"""),"GA10216-US")</f>
        <v>GA10216-US</v>
      </c>
      <c r="F11" s="517" t="str">
        <f>IFERROR(__xludf.DUMMYFUNCTION("""COMPUTED_VALUE"""),"GLBW0")</f>
        <v>GLBW0</v>
      </c>
      <c r="G11" s="517"/>
      <c r="H11" s="518" t="str">
        <f>IFERROR(__xludf.DUMMYFUNCTION("""COMPUTED_VALUE"""),"840353926783")</f>
        <v>840353926783</v>
      </c>
      <c r="I11" s="518" t="str">
        <f>IFERROR(__xludf.DUMMYFUNCTION("""COMPUTED_VALUE"""),"No")</f>
        <v>No</v>
      </c>
      <c r="J11" s="517" t="str">
        <f>IFERROR(__xludf.DUMMYFUNCTION("""COMPUTED_VALUE"""),"Retail_10ct")</f>
        <v>Retail_10ct</v>
      </c>
      <c r="K11" s="517" t="str">
        <f>IFERROR(__xludf.DUMMYFUNCTION("""COMPUTED_VALUE"""),"ROW Master Carton Label (UPC)")</f>
        <v>ROW Master Carton Label (UPC)</v>
      </c>
      <c r="L11" s="517" t="str">
        <f>IFERROR(__xludf.DUMMYFUNCTION("""COMPUTED_VALUE"""),"NA")</f>
        <v>NA</v>
      </c>
      <c r="M11" s="517" t="str">
        <f>IFERROR(__xludf.DUMMYFUNCTION("""COMPUTED_VALUE"""),"G990-08380-41-01
G990-08380-41-A")</f>
        <v>G990-08380-41-01
G990-08380-41-A</v>
      </c>
      <c r="N11" s="519" t="str">
        <f>IFERROR(__xludf.DUMMYFUNCTION("""COMPUTED_VALUE"""),"G990-09560-00-A")</f>
        <v>G990-09560-00-A</v>
      </c>
      <c r="O11" s="517" t="str">
        <f>IFERROR(__xludf.DUMMYFUNCTION("""COMPUTED_VALUE"""),"BOB→A
Retail→A")</f>
        <v>BOB→A
Retail→A</v>
      </c>
      <c r="P11" s="517" t="str">
        <f>IFERROR(__xludf.DUMMYFUNCTION("""COMPUTED_VALUE"""),"G990-09560-00-A")</f>
        <v>G990-09560-00-A</v>
      </c>
      <c r="Q11" s="517" t="str">
        <f>IFERROR(__xludf.DUMMYFUNCTION("""COMPUTED_VALUE"""),"Indigo")</f>
        <v>Indigo</v>
      </c>
      <c r="R11" s="517" t="str">
        <f>IFERROR(__xludf.DUMMYFUNCTION("""COMPUTED_VALUE"""),"BUE")</f>
        <v>BUE</v>
      </c>
      <c r="S11" s="517" t="str">
        <f>IFERROR(__xludf.DUMMYFUNCTION("""COMPUTED_VALUE"""),"GSTORE, US")</f>
        <v>GSTORE, US</v>
      </c>
      <c r="T11" s="517" t="str">
        <f>IFERROR(__xludf.DUMMYFUNCTION("""COMPUTED_VALUE"""),"SKU, CLR4, GOOD, MMWAVE, Gstore, US, FL5")</f>
        <v>SKU, CLR4, GOOD, MMWAVE, Gstore, US, FL5</v>
      </c>
      <c r="U11" s="517" t="str">
        <f>IFERROR(__xludf.DUMMYFUNCTION("""COMPUTED_VALUE"""),"Pixel 10, Indigo, 128GB, GSTORE, US")</f>
        <v>Pixel 10, Indigo, 128GB, GSTORE, US</v>
      </c>
      <c r="V11" s="624" t="str">
        <f>IFERROR(__xludf.DUMMYFUNCTION("""COMPUTED_VALUE"""),"#NUM!")</f>
        <v>#NUM!</v>
      </c>
      <c r="W11" s="625">
        <f>IFERROR(__xludf.DUMMYFUNCTION("""COMPUTED_VALUE"""),45815.0)</f>
        <v>45815</v>
      </c>
      <c r="X11" s="626">
        <f>IFERROR(__xludf.DUMMYFUNCTION("""COMPUTED_VALUE"""),45764.0)</f>
        <v>45764</v>
      </c>
      <c r="Y11" s="517" t="b">
        <f>IFERROR(__xludf.DUMMYFUNCTION("""COMPUTED_VALUE"""),TRUE)</f>
        <v>1</v>
      </c>
      <c r="Z11" s="626">
        <f>IFERROR(__xludf.DUMMYFUNCTION("""COMPUTED_VALUE"""),45764.0)</f>
        <v>45764</v>
      </c>
      <c r="AA11" s="517" t="b">
        <f>IFERROR(__xludf.DUMMYFUNCTION("""COMPUTED_VALUE"""),FALSE)</f>
        <v>0</v>
      </c>
    </row>
    <row r="12">
      <c r="B12" s="517" t="str">
        <f>IFERROR(__xludf.DUMMYFUNCTION("""COMPUTED_VALUE"""),"GSTORE")</f>
        <v>GSTORE</v>
      </c>
      <c r="C12" s="518" t="str">
        <f>IFERROR(__xludf.DUMMYFUNCTION("""COMPUTED_VALUE"""),"0840353926806")</f>
        <v>0840353926806</v>
      </c>
      <c r="D12" s="517" t="str">
        <f>IFERROR(__xludf.DUMMYFUNCTION("""COMPUTED_VALUE"""),"Pristine")</f>
        <v>Pristine</v>
      </c>
      <c r="E12" s="517" t="str">
        <f>IFERROR(__xludf.DUMMYFUNCTION("""COMPUTED_VALUE"""),"GA09883-US")</f>
        <v>GA09883-US</v>
      </c>
      <c r="F12" s="517" t="str">
        <f>IFERROR(__xludf.DUMMYFUNCTION("""COMPUTED_VALUE"""),"GLBW0")</f>
        <v>GLBW0</v>
      </c>
      <c r="G12" s="517"/>
      <c r="H12" s="518" t="str">
        <f>IFERROR(__xludf.DUMMYFUNCTION("""COMPUTED_VALUE"""),"840353926806")</f>
        <v>840353926806</v>
      </c>
      <c r="I12" s="518" t="str">
        <f>IFERROR(__xludf.DUMMYFUNCTION("""COMPUTED_VALUE"""),"No")</f>
        <v>No</v>
      </c>
      <c r="J12" s="517" t="str">
        <f>IFERROR(__xludf.DUMMYFUNCTION("""COMPUTED_VALUE"""),"Retail_10ct")</f>
        <v>Retail_10ct</v>
      </c>
      <c r="K12" s="517" t="str">
        <f>IFERROR(__xludf.DUMMYFUNCTION("""COMPUTED_VALUE"""),"ROW Master Carton Label (UPC)")</f>
        <v>ROW Master Carton Label (UPC)</v>
      </c>
      <c r="L12" s="517" t="str">
        <f>IFERROR(__xludf.DUMMYFUNCTION("""COMPUTED_VALUE"""),"NA")</f>
        <v>NA</v>
      </c>
      <c r="M12" s="517" t="str">
        <f>IFERROR(__xludf.DUMMYFUNCTION("""COMPUTED_VALUE"""),"G990-08380-12-01
G990-08380-12-A")</f>
        <v>G990-08380-12-01
G990-08380-12-A</v>
      </c>
      <c r="N12" s="519" t="str">
        <f>IFERROR(__xludf.DUMMYFUNCTION("""COMPUTED_VALUE"""),"G990-09560-00-A")</f>
        <v>G990-09560-00-A</v>
      </c>
      <c r="O12" s="517" t="str">
        <f>IFERROR(__xludf.DUMMYFUNCTION("""COMPUTED_VALUE"""),"BOB→A
Retail→A")</f>
        <v>BOB→A
Retail→A</v>
      </c>
      <c r="P12" s="517" t="str">
        <f>IFERROR(__xludf.DUMMYFUNCTION("""COMPUTED_VALUE"""),"G990-09560-00-A")</f>
        <v>G990-09560-00-A</v>
      </c>
      <c r="Q12" s="517" t="str">
        <f>IFERROR(__xludf.DUMMYFUNCTION("""COMPUTED_VALUE"""),"Obsidian")</f>
        <v>Obsidian</v>
      </c>
      <c r="R12" s="517" t="str">
        <f>IFERROR(__xludf.DUMMYFUNCTION("""COMPUTED_VALUE"""),"BLK")</f>
        <v>BLK</v>
      </c>
      <c r="S12" s="517" t="str">
        <f>IFERROR(__xludf.DUMMYFUNCTION("""COMPUTED_VALUE"""),"GSTORE, US")</f>
        <v>GSTORE, US</v>
      </c>
      <c r="T12" s="517" t="str">
        <f>IFERROR(__xludf.DUMMYFUNCTION("""COMPUTED_VALUE"""),"SKU, CLR1, BETTER, MMWAVE, GSTORE, US, FL5")</f>
        <v>SKU, CLR1, BETTER, MMWAVE, GSTORE, US, FL5</v>
      </c>
      <c r="U12" s="517" t="str">
        <f>IFERROR(__xludf.DUMMYFUNCTION("""COMPUTED_VALUE"""),"Pixel 10, Obsidian, 256GB, GSTORE, US")</f>
        <v>Pixel 10, Obsidian, 256GB, GSTORE, US</v>
      </c>
      <c r="V12" s="624" t="str">
        <f>IFERROR(__xludf.DUMMYFUNCTION("""COMPUTED_VALUE"""),"#NUM!")</f>
        <v>#NUM!</v>
      </c>
      <c r="W12" s="625">
        <f>IFERROR(__xludf.DUMMYFUNCTION("""COMPUTED_VALUE"""),45815.0)</f>
        <v>45815</v>
      </c>
      <c r="X12" s="626">
        <f>IFERROR(__xludf.DUMMYFUNCTION("""COMPUTED_VALUE"""),45764.0)</f>
        <v>45764</v>
      </c>
      <c r="Y12" s="517" t="b">
        <f>IFERROR(__xludf.DUMMYFUNCTION("""COMPUTED_VALUE"""),TRUE)</f>
        <v>1</v>
      </c>
      <c r="Z12" s="626">
        <f>IFERROR(__xludf.DUMMYFUNCTION("""COMPUTED_VALUE"""),45764.0)</f>
        <v>45764</v>
      </c>
      <c r="AA12" s="517" t="b">
        <f>IFERROR(__xludf.DUMMYFUNCTION("""COMPUTED_VALUE"""),FALSE)</f>
        <v>0</v>
      </c>
    </row>
    <row r="13">
      <c r="B13" s="517" t="str">
        <f>IFERROR(__xludf.DUMMYFUNCTION("""COMPUTED_VALUE"""),"GSTORE")</f>
        <v>GSTORE</v>
      </c>
      <c r="C13" s="518" t="str">
        <f>IFERROR(__xludf.DUMMYFUNCTION("""COMPUTED_VALUE"""),"0840353926813")</f>
        <v>0840353926813</v>
      </c>
      <c r="D13" s="517" t="str">
        <f>IFERROR(__xludf.DUMMYFUNCTION("""COMPUTED_VALUE"""),"Pristine")</f>
        <v>Pristine</v>
      </c>
      <c r="E13" s="517" t="str">
        <f>IFERROR(__xludf.DUMMYFUNCTION("""COMPUTED_VALUE"""),"GA10217-US")</f>
        <v>GA10217-US</v>
      </c>
      <c r="F13" s="517" t="str">
        <f>IFERROR(__xludf.DUMMYFUNCTION("""COMPUTED_VALUE"""),"GLBW0")</f>
        <v>GLBW0</v>
      </c>
      <c r="G13" s="517"/>
      <c r="H13" s="518" t="str">
        <f>IFERROR(__xludf.DUMMYFUNCTION("""COMPUTED_VALUE"""),"840353926813")</f>
        <v>840353926813</v>
      </c>
      <c r="I13" s="518" t="str">
        <f>IFERROR(__xludf.DUMMYFUNCTION("""COMPUTED_VALUE"""),"No")</f>
        <v>No</v>
      </c>
      <c r="J13" s="517" t="str">
        <f>IFERROR(__xludf.DUMMYFUNCTION("""COMPUTED_VALUE"""),"Retail_10ct")</f>
        <v>Retail_10ct</v>
      </c>
      <c r="K13" s="517" t="str">
        <f>IFERROR(__xludf.DUMMYFUNCTION("""COMPUTED_VALUE"""),"ROW Master Carton Label (UPC)")</f>
        <v>ROW Master Carton Label (UPC)</v>
      </c>
      <c r="L13" s="517" t="str">
        <f>IFERROR(__xludf.DUMMYFUNCTION("""COMPUTED_VALUE"""),"NA")</f>
        <v>NA</v>
      </c>
      <c r="M13" s="517" t="str">
        <f>IFERROR(__xludf.DUMMYFUNCTION("""COMPUTED_VALUE"""),"G990-08380-22-01
G990-08380-22-A")</f>
        <v>G990-08380-22-01
G990-08380-22-A</v>
      </c>
      <c r="N13" s="519" t="str">
        <f>IFERROR(__xludf.DUMMYFUNCTION("""COMPUTED_VALUE"""),"G990-09560-00-A")</f>
        <v>G990-09560-00-A</v>
      </c>
      <c r="O13" s="517" t="str">
        <f>IFERROR(__xludf.DUMMYFUNCTION("""COMPUTED_VALUE"""),"BOB→A
Retail→A")</f>
        <v>BOB→A
Retail→A</v>
      </c>
      <c r="P13" s="517" t="str">
        <f>IFERROR(__xludf.DUMMYFUNCTION("""COMPUTED_VALUE"""),"G990-09560-00-A")</f>
        <v>G990-09560-00-A</v>
      </c>
      <c r="Q13" s="517" t="str">
        <f>IFERROR(__xludf.DUMMYFUNCTION("""COMPUTED_VALUE"""),"Frost")</f>
        <v>Frost</v>
      </c>
      <c r="R13" s="517" t="str">
        <f>IFERROR(__xludf.DUMMYFUNCTION("""COMPUTED_VALUE"""),"PPL")</f>
        <v>PPL</v>
      </c>
      <c r="S13" s="517" t="str">
        <f>IFERROR(__xludf.DUMMYFUNCTION("""COMPUTED_VALUE"""),"GSTORE, US")</f>
        <v>GSTORE, US</v>
      </c>
      <c r="T13" s="517" t="str">
        <f>IFERROR(__xludf.DUMMYFUNCTION("""COMPUTED_VALUE"""),"SKU, CLR2, BETTER, MMWAVE, Gstore, US, FL5")</f>
        <v>SKU, CLR2, BETTER, MMWAVE, Gstore, US, FL5</v>
      </c>
      <c r="U13" s="517" t="str">
        <f>IFERROR(__xludf.DUMMYFUNCTION("""COMPUTED_VALUE"""),"Pixel 10, Frost, 256GB, GSTORE, US")</f>
        <v>Pixel 10, Frost, 256GB, GSTORE, US</v>
      </c>
      <c r="V13" s="624" t="str">
        <f>IFERROR(__xludf.DUMMYFUNCTION("""COMPUTED_VALUE"""),"#NUM!")</f>
        <v>#NUM!</v>
      </c>
      <c r="W13" s="625">
        <f>IFERROR(__xludf.DUMMYFUNCTION("""COMPUTED_VALUE"""),45815.0)</f>
        <v>45815</v>
      </c>
      <c r="X13" s="626">
        <f>IFERROR(__xludf.DUMMYFUNCTION("""COMPUTED_VALUE"""),45764.0)</f>
        <v>45764</v>
      </c>
      <c r="Y13" s="517" t="b">
        <f>IFERROR(__xludf.DUMMYFUNCTION("""COMPUTED_VALUE"""),TRUE)</f>
        <v>1</v>
      </c>
      <c r="Z13" s="626">
        <f>IFERROR(__xludf.DUMMYFUNCTION("""COMPUTED_VALUE"""),45764.0)</f>
        <v>45764</v>
      </c>
      <c r="AA13" s="517" t="b">
        <f>IFERROR(__xludf.DUMMYFUNCTION("""COMPUTED_VALUE"""),FALSE)</f>
        <v>0</v>
      </c>
    </row>
    <row r="14">
      <c r="B14" s="517" t="str">
        <f>IFERROR(__xludf.DUMMYFUNCTION("""COMPUTED_VALUE"""),"GSTORE")</f>
        <v>GSTORE</v>
      </c>
      <c r="C14" s="518" t="str">
        <f>IFERROR(__xludf.DUMMYFUNCTION("""COMPUTED_VALUE"""),"0840353926837")</f>
        <v>0840353926837</v>
      </c>
      <c r="D14" s="517" t="str">
        <f>IFERROR(__xludf.DUMMYFUNCTION("""COMPUTED_VALUE"""),"Pristine")</f>
        <v>Pristine</v>
      </c>
      <c r="E14" s="517" t="str">
        <f>IFERROR(__xludf.DUMMYFUNCTION("""COMPUTED_VALUE"""),"GA10218-US")</f>
        <v>GA10218-US</v>
      </c>
      <c r="F14" s="517" t="str">
        <f>IFERROR(__xludf.DUMMYFUNCTION("""COMPUTED_VALUE"""),"GLBW0")</f>
        <v>GLBW0</v>
      </c>
      <c r="G14" s="517"/>
      <c r="H14" s="518" t="str">
        <f>IFERROR(__xludf.DUMMYFUNCTION("""COMPUTED_VALUE"""),"840353926837")</f>
        <v>840353926837</v>
      </c>
      <c r="I14" s="518" t="str">
        <f>IFERROR(__xludf.DUMMYFUNCTION("""COMPUTED_VALUE"""),"No")</f>
        <v>No</v>
      </c>
      <c r="J14" s="517" t="str">
        <f>IFERROR(__xludf.DUMMYFUNCTION("""COMPUTED_VALUE"""),"Retail_10ct")</f>
        <v>Retail_10ct</v>
      </c>
      <c r="K14" s="517" t="str">
        <f>IFERROR(__xludf.DUMMYFUNCTION("""COMPUTED_VALUE"""),"ROW Master Carton Label (UPC)")</f>
        <v>ROW Master Carton Label (UPC)</v>
      </c>
      <c r="L14" s="517" t="str">
        <f>IFERROR(__xludf.DUMMYFUNCTION("""COMPUTED_VALUE"""),"NA")</f>
        <v>NA</v>
      </c>
      <c r="M14" s="517" t="str">
        <f>IFERROR(__xludf.DUMMYFUNCTION("""COMPUTED_VALUE"""),"G990-08380-32-01
G990-08380-32-A")</f>
        <v>G990-08380-32-01
G990-08380-32-A</v>
      </c>
      <c r="N14" s="519" t="str">
        <f>IFERROR(__xludf.DUMMYFUNCTION("""COMPUTED_VALUE"""),"G990-09560-00-A")</f>
        <v>G990-09560-00-A</v>
      </c>
      <c r="O14" s="517" t="str">
        <f>IFERROR(__xludf.DUMMYFUNCTION("""COMPUTED_VALUE"""),"BOB→A
Retail→A")</f>
        <v>BOB→A
Retail→A</v>
      </c>
      <c r="P14" s="517" t="str">
        <f>IFERROR(__xludf.DUMMYFUNCTION("""COMPUTED_VALUE"""),"G990-09560-00-A")</f>
        <v>G990-09560-00-A</v>
      </c>
      <c r="Q14" s="517" t="str">
        <f>IFERROR(__xludf.DUMMYFUNCTION("""COMPUTED_VALUE"""),"Lemongrass")</f>
        <v>Lemongrass</v>
      </c>
      <c r="R14" s="517" t="str">
        <f>IFERROR(__xludf.DUMMYFUNCTION("""COMPUTED_VALUE"""),"YEL")</f>
        <v>YEL</v>
      </c>
      <c r="S14" s="517" t="str">
        <f>IFERROR(__xludf.DUMMYFUNCTION("""COMPUTED_VALUE"""),"GSTORE, US")</f>
        <v>GSTORE, US</v>
      </c>
      <c r="T14" s="517" t="str">
        <f>IFERROR(__xludf.DUMMYFUNCTION("""COMPUTED_VALUE"""),"SKU, CLR3, BETTER, MMWAVE, Gstore, US, FL5")</f>
        <v>SKU, CLR3, BETTER, MMWAVE, Gstore, US, FL5</v>
      </c>
      <c r="U14" s="517" t="str">
        <f>IFERROR(__xludf.DUMMYFUNCTION("""COMPUTED_VALUE"""),"Pixel 10, Lemongrass, 256GB, GSTORE, US")</f>
        <v>Pixel 10, Lemongrass, 256GB, GSTORE, US</v>
      </c>
      <c r="V14" s="624" t="str">
        <f>IFERROR(__xludf.DUMMYFUNCTION("""COMPUTED_VALUE"""),"#NUM!")</f>
        <v>#NUM!</v>
      </c>
      <c r="W14" s="625">
        <f>IFERROR(__xludf.DUMMYFUNCTION("""COMPUTED_VALUE"""),45815.0)</f>
        <v>45815</v>
      </c>
      <c r="X14" s="626">
        <f>IFERROR(__xludf.DUMMYFUNCTION("""COMPUTED_VALUE"""),45764.0)</f>
        <v>45764</v>
      </c>
      <c r="Y14" s="517" t="b">
        <f>IFERROR(__xludf.DUMMYFUNCTION("""COMPUTED_VALUE"""),TRUE)</f>
        <v>1</v>
      </c>
      <c r="Z14" s="626">
        <f>IFERROR(__xludf.DUMMYFUNCTION("""COMPUTED_VALUE"""),45764.0)</f>
        <v>45764</v>
      </c>
      <c r="AA14" s="517" t="b">
        <f>IFERROR(__xludf.DUMMYFUNCTION("""COMPUTED_VALUE"""),FALSE)</f>
        <v>0</v>
      </c>
    </row>
    <row r="15">
      <c r="B15" s="517" t="str">
        <f>IFERROR(__xludf.DUMMYFUNCTION("""COMPUTED_VALUE"""),"GSTORE")</f>
        <v>GSTORE</v>
      </c>
      <c r="C15" s="518" t="str">
        <f>IFERROR(__xludf.DUMMYFUNCTION("""COMPUTED_VALUE"""),"0840353926820")</f>
        <v>0840353926820</v>
      </c>
      <c r="D15" s="517" t="str">
        <f>IFERROR(__xludf.DUMMYFUNCTION("""COMPUTED_VALUE"""),"Pristine")</f>
        <v>Pristine</v>
      </c>
      <c r="E15" s="517" t="str">
        <f>IFERROR(__xludf.DUMMYFUNCTION("""COMPUTED_VALUE"""),"GA10219-US")</f>
        <v>GA10219-US</v>
      </c>
      <c r="F15" s="517" t="str">
        <f>IFERROR(__xludf.DUMMYFUNCTION("""COMPUTED_VALUE"""),"GLBW0")</f>
        <v>GLBW0</v>
      </c>
      <c r="G15" s="517"/>
      <c r="H15" s="518" t="str">
        <f>IFERROR(__xludf.DUMMYFUNCTION("""COMPUTED_VALUE"""),"840353926820")</f>
        <v>840353926820</v>
      </c>
      <c r="I15" s="518" t="str">
        <f>IFERROR(__xludf.DUMMYFUNCTION("""COMPUTED_VALUE"""),"No")</f>
        <v>No</v>
      </c>
      <c r="J15" s="517" t="str">
        <f>IFERROR(__xludf.DUMMYFUNCTION("""COMPUTED_VALUE"""),"Retail_10ct")</f>
        <v>Retail_10ct</v>
      </c>
      <c r="K15" s="517" t="str">
        <f>IFERROR(__xludf.DUMMYFUNCTION("""COMPUTED_VALUE"""),"ROW Master Carton Label (UPC)")</f>
        <v>ROW Master Carton Label (UPC)</v>
      </c>
      <c r="L15" s="517" t="str">
        <f>IFERROR(__xludf.DUMMYFUNCTION("""COMPUTED_VALUE"""),"NA")</f>
        <v>NA</v>
      </c>
      <c r="M15" s="517" t="str">
        <f>IFERROR(__xludf.DUMMYFUNCTION("""COMPUTED_VALUE"""),"G990-08380-42-01
G990-08380-42-A")</f>
        <v>G990-08380-42-01
G990-08380-42-A</v>
      </c>
      <c r="N15" s="519" t="str">
        <f>IFERROR(__xludf.DUMMYFUNCTION("""COMPUTED_VALUE"""),"G990-09560-00-A")</f>
        <v>G990-09560-00-A</v>
      </c>
      <c r="O15" s="517" t="str">
        <f>IFERROR(__xludf.DUMMYFUNCTION("""COMPUTED_VALUE"""),"BOB→A
Retail→A")</f>
        <v>BOB→A
Retail→A</v>
      </c>
      <c r="P15" s="517" t="str">
        <f>IFERROR(__xludf.DUMMYFUNCTION("""COMPUTED_VALUE"""),"G990-09560-00-A")</f>
        <v>G990-09560-00-A</v>
      </c>
      <c r="Q15" s="517" t="str">
        <f>IFERROR(__xludf.DUMMYFUNCTION("""COMPUTED_VALUE"""),"Indigo")</f>
        <v>Indigo</v>
      </c>
      <c r="R15" s="517" t="str">
        <f>IFERROR(__xludf.DUMMYFUNCTION("""COMPUTED_VALUE"""),"BUE")</f>
        <v>BUE</v>
      </c>
      <c r="S15" s="517" t="str">
        <f>IFERROR(__xludf.DUMMYFUNCTION("""COMPUTED_VALUE"""),"GSTORE, US")</f>
        <v>GSTORE, US</v>
      </c>
      <c r="T15" s="517" t="str">
        <f>IFERROR(__xludf.DUMMYFUNCTION("""COMPUTED_VALUE"""),"SKU, CLR4, BETTER, MMWAVE, Gstore, US, FL5")</f>
        <v>SKU, CLR4, BETTER, MMWAVE, Gstore, US, FL5</v>
      </c>
      <c r="U15" s="517" t="str">
        <f>IFERROR(__xludf.DUMMYFUNCTION("""COMPUTED_VALUE"""),"Pixel 10, Indigo, 256GB, GSTORE, US")</f>
        <v>Pixel 10, Indigo, 256GB, GSTORE, US</v>
      </c>
      <c r="V15" s="624" t="str">
        <f>IFERROR(__xludf.DUMMYFUNCTION("""COMPUTED_VALUE"""),"#NUM!")</f>
        <v>#NUM!</v>
      </c>
      <c r="W15" s="625">
        <f>IFERROR(__xludf.DUMMYFUNCTION("""COMPUTED_VALUE"""),45815.0)</f>
        <v>45815</v>
      </c>
      <c r="X15" s="626">
        <f>IFERROR(__xludf.DUMMYFUNCTION("""COMPUTED_VALUE"""),45764.0)</f>
        <v>45764</v>
      </c>
      <c r="Y15" s="517" t="b">
        <f>IFERROR(__xludf.DUMMYFUNCTION("""COMPUTED_VALUE"""),TRUE)</f>
        <v>1</v>
      </c>
      <c r="Z15" s="626">
        <f>IFERROR(__xludf.DUMMYFUNCTION("""COMPUTED_VALUE"""),45764.0)</f>
        <v>45764</v>
      </c>
      <c r="AA15" s="517" t="b">
        <f>IFERROR(__xludf.DUMMYFUNCTION("""COMPUTED_VALUE"""),FALSE)</f>
        <v>0</v>
      </c>
    </row>
    <row r="16">
      <c r="B16" s="517" t="str">
        <f>IFERROR(__xludf.DUMMYFUNCTION("""COMPUTED_VALUE"""),"CA/TW/SG/MY/AU/MX")</f>
        <v>CA/TW/SG/MY/AU/MX</v>
      </c>
      <c r="C16" s="518" t="str">
        <f>IFERROR(__xludf.DUMMYFUNCTION("""COMPUTED_VALUE"""),"0840353926882")</f>
        <v>0840353926882</v>
      </c>
      <c r="D16" s="517" t="str">
        <f>IFERROR(__xludf.DUMMYFUNCTION("""COMPUTED_VALUE"""),"Pristine")</f>
        <v>Pristine</v>
      </c>
      <c r="E16" s="517" t="str">
        <f>IFERROR(__xludf.DUMMYFUNCTION("""COMPUTED_VALUE"""),"GA09744-CA")</f>
        <v>GA09744-CA</v>
      </c>
      <c r="F16" s="517" t="str">
        <f>IFERROR(__xludf.DUMMYFUNCTION("""COMPUTED_VALUE"""),"GK2MP")</f>
        <v>GK2MP</v>
      </c>
      <c r="G16" s="517"/>
      <c r="H16" s="518" t="str">
        <f>IFERROR(__xludf.DUMMYFUNCTION("""COMPUTED_VALUE"""),"840353926882")</f>
        <v>840353926882</v>
      </c>
      <c r="I16" s="518" t="str">
        <f>IFERROR(__xludf.DUMMYFUNCTION("""COMPUTED_VALUE"""),"No")</f>
        <v>No</v>
      </c>
      <c r="J16" s="517" t="str">
        <f>IFERROR(__xludf.DUMMYFUNCTION("""COMPUTED_VALUE"""),"Retail_10ct")</f>
        <v>Retail_10ct</v>
      </c>
      <c r="K16" s="517" t="str">
        <f>IFERROR(__xludf.DUMMYFUNCTION("""COMPUTED_VALUE"""),"ROW Master Carton Label (UPC)")</f>
        <v>ROW Master Carton Label (UPC)</v>
      </c>
      <c r="L16" s="517" t="str">
        <f>IFERROR(__xludf.DUMMYFUNCTION("""COMPUTED_VALUE"""),"NA")</f>
        <v>NA</v>
      </c>
      <c r="M16" s="517" t="str">
        <f>IFERROR(__xludf.DUMMYFUNCTION("""COMPUTED_VALUE"""),"G990-08483-11-04
G990-08483-11-B")</f>
        <v>G990-08483-11-04
G990-08483-11-B</v>
      </c>
      <c r="N16" s="517" t="str">
        <f>IFERROR(__xludf.DUMMYFUNCTION("""COMPUTED_VALUE"""),"G990-09561-00-01
G990-09561-00-A")</f>
        <v>G990-09561-00-01
G990-09561-00-A</v>
      </c>
      <c r="O16" s="517" t="str">
        <f>IFERROR(__xludf.DUMMYFUNCTION("""COMPUTED_VALUE"""),"BOB→B
Retail→A")</f>
        <v>BOB→B
Retail→A</v>
      </c>
      <c r="P16" s="517" t="str">
        <f>IFERROR(__xludf.DUMMYFUNCTION("""COMPUTED_VALUE"""),"G990-09561-00-01
G990-09561-00-A")</f>
        <v>G990-09561-00-01
G990-09561-00-A</v>
      </c>
      <c r="Q16" s="517" t="str">
        <f>IFERROR(__xludf.DUMMYFUNCTION("""COMPUTED_VALUE"""),"Obsidian")</f>
        <v>Obsidian</v>
      </c>
      <c r="R16" s="517" t="str">
        <f>IFERROR(__xludf.DUMMYFUNCTION("""COMPUTED_VALUE"""),"BLK")</f>
        <v>BLK</v>
      </c>
      <c r="S16" s="517" t="str">
        <f>IFERROR(__xludf.DUMMYFUNCTION("""COMPUTED_VALUE"""),"CA/TW/SG/MY/AU/MX")</f>
        <v>CA/TW/SG/MY/AU/MX</v>
      </c>
      <c r="T16" s="517" t="str">
        <f>IFERROR(__xludf.DUMMYFUNCTION("""COMPUTED_VALUE"""),"SKU, CLR1, GOOD, SUB6, CA/TW/SG/MY/AU/MX, FL5")</f>
        <v>SKU, CLR1, GOOD, SUB6, CA/TW/SG/MY/AU/MX, FL5</v>
      </c>
      <c r="U16" s="517" t="str">
        <f>IFERROR(__xludf.DUMMYFUNCTION("""COMPUTED_VALUE"""),"Pixel 10, Obsidian, 128GB, CA/TW/SG/MY/AU/MX")</f>
        <v>Pixel 10, Obsidian, 128GB, CA/TW/SG/MY/AU/MX</v>
      </c>
      <c r="V16" s="624" t="str">
        <f>IFERROR(__xludf.DUMMYFUNCTION("""COMPUTED_VALUE"""),"#NUM!")</f>
        <v>#NUM!</v>
      </c>
      <c r="W16" s="625">
        <f>IFERROR(__xludf.DUMMYFUNCTION("""COMPUTED_VALUE"""),45815.0)</f>
        <v>45815</v>
      </c>
      <c r="X16" s="626">
        <f>IFERROR(__xludf.DUMMYFUNCTION("""COMPUTED_VALUE"""),45764.0)</f>
        <v>45764</v>
      </c>
      <c r="Y16" s="517" t="b">
        <f>IFERROR(__xludf.DUMMYFUNCTION("""COMPUTED_VALUE"""),TRUE)</f>
        <v>1</v>
      </c>
      <c r="Z16" s="626">
        <f>IFERROR(__xludf.DUMMYFUNCTION("""COMPUTED_VALUE"""),45764.0)</f>
        <v>45764</v>
      </c>
      <c r="AA16" s="517" t="b">
        <f>IFERROR(__xludf.DUMMYFUNCTION("""COMPUTED_VALUE"""),FALSE)</f>
        <v>0</v>
      </c>
    </row>
    <row r="17">
      <c r="B17" s="517" t="str">
        <f>IFERROR(__xludf.DUMMYFUNCTION("""COMPUTED_VALUE"""),"CA/TW/SG/MY/AU/MX")</f>
        <v>CA/TW/SG/MY/AU/MX</v>
      </c>
      <c r="C17" s="518" t="str">
        <f>IFERROR(__xludf.DUMMYFUNCTION("""COMPUTED_VALUE"""),"0840353926998")</f>
        <v>0840353926998</v>
      </c>
      <c r="D17" s="517" t="str">
        <f>IFERROR(__xludf.DUMMYFUNCTION("""COMPUTED_VALUE"""),"Pristine")</f>
        <v>Pristine</v>
      </c>
      <c r="E17" s="517" t="str">
        <f>IFERROR(__xludf.DUMMYFUNCTION("""COMPUTED_VALUE"""),"GA10214-CA")</f>
        <v>GA10214-CA</v>
      </c>
      <c r="F17" s="517" t="str">
        <f>IFERROR(__xludf.DUMMYFUNCTION("""COMPUTED_VALUE"""),"GK2MP")</f>
        <v>GK2MP</v>
      </c>
      <c r="G17" s="517"/>
      <c r="H17" s="518" t="str">
        <f>IFERROR(__xludf.DUMMYFUNCTION("""COMPUTED_VALUE"""),"840353926998")</f>
        <v>840353926998</v>
      </c>
      <c r="I17" s="518" t="str">
        <f>IFERROR(__xludf.DUMMYFUNCTION("""COMPUTED_VALUE"""),"No")</f>
        <v>No</v>
      </c>
      <c r="J17" s="517" t="str">
        <f>IFERROR(__xludf.DUMMYFUNCTION("""COMPUTED_VALUE"""),"Retail_10ct")</f>
        <v>Retail_10ct</v>
      </c>
      <c r="K17" s="517" t="str">
        <f>IFERROR(__xludf.DUMMYFUNCTION("""COMPUTED_VALUE"""),"ROW Master Carton Label (UPC)")</f>
        <v>ROW Master Carton Label (UPC)</v>
      </c>
      <c r="L17" s="517" t="str">
        <f>IFERROR(__xludf.DUMMYFUNCTION("""COMPUTED_VALUE"""),"NA")</f>
        <v>NA</v>
      </c>
      <c r="M17" s="517" t="str">
        <f>IFERROR(__xludf.DUMMYFUNCTION("""COMPUTED_VALUE"""),"G990-08483-21-04
G990-08483-21-B")</f>
        <v>G990-08483-21-04
G990-08483-21-B</v>
      </c>
      <c r="N17" s="517" t="str">
        <f>IFERROR(__xludf.DUMMYFUNCTION("""COMPUTED_VALUE"""),"G990-09561-00-01
G990-09561-00-A")</f>
        <v>G990-09561-00-01
G990-09561-00-A</v>
      </c>
      <c r="O17" s="517" t="str">
        <f>IFERROR(__xludf.DUMMYFUNCTION("""COMPUTED_VALUE"""),"BOB→B
Retail→A")</f>
        <v>BOB→B
Retail→A</v>
      </c>
      <c r="P17" s="517" t="str">
        <f>IFERROR(__xludf.DUMMYFUNCTION("""COMPUTED_VALUE"""),"G990-09561-00-01
G990-09561-00-A")</f>
        <v>G990-09561-00-01
G990-09561-00-A</v>
      </c>
      <c r="Q17" s="517" t="str">
        <f>IFERROR(__xludf.DUMMYFUNCTION("""COMPUTED_VALUE"""),"Frost")</f>
        <v>Frost</v>
      </c>
      <c r="R17" s="517" t="str">
        <f>IFERROR(__xludf.DUMMYFUNCTION("""COMPUTED_VALUE"""),"PPL")</f>
        <v>PPL</v>
      </c>
      <c r="S17" s="517" t="str">
        <f>IFERROR(__xludf.DUMMYFUNCTION("""COMPUTED_VALUE"""),"CA/TW/SG/MY/AU/MX")</f>
        <v>CA/TW/SG/MY/AU/MX</v>
      </c>
      <c r="T17" s="517" t="str">
        <f>IFERROR(__xludf.DUMMYFUNCTION("""COMPUTED_VALUE"""),"SKU, CLR2, GOOD, SUB6, CA/TW/SG/MY/AU/MX, FL5")</f>
        <v>SKU, CLR2, GOOD, SUB6, CA/TW/SG/MY/AU/MX, FL5</v>
      </c>
      <c r="U17" s="517" t="str">
        <f>IFERROR(__xludf.DUMMYFUNCTION("""COMPUTED_VALUE"""),"Pixel 10, Frost, 128GB, CA/TW/SG/MY/AU/MX")</f>
        <v>Pixel 10, Frost, 128GB, CA/TW/SG/MY/AU/MX</v>
      </c>
      <c r="V17" s="624" t="str">
        <f>IFERROR(__xludf.DUMMYFUNCTION("""COMPUTED_VALUE"""),"#NUM!")</f>
        <v>#NUM!</v>
      </c>
      <c r="W17" s="625">
        <f>IFERROR(__xludf.DUMMYFUNCTION("""COMPUTED_VALUE"""),45815.0)</f>
        <v>45815</v>
      </c>
      <c r="X17" s="626">
        <f>IFERROR(__xludf.DUMMYFUNCTION("""COMPUTED_VALUE"""),45764.0)</f>
        <v>45764</v>
      </c>
      <c r="Y17" s="517" t="b">
        <f>IFERROR(__xludf.DUMMYFUNCTION("""COMPUTED_VALUE"""),TRUE)</f>
        <v>1</v>
      </c>
      <c r="Z17" s="626">
        <f>IFERROR(__xludf.DUMMYFUNCTION("""COMPUTED_VALUE"""),45764.0)</f>
        <v>45764</v>
      </c>
      <c r="AA17" s="517" t="b">
        <f>IFERROR(__xludf.DUMMYFUNCTION("""COMPUTED_VALUE"""),FALSE)</f>
        <v>0</v>
      </c>
    </row>
    <row r="18">
      <c r="B18" s="517" t="str">
        <f>IFERROR(__xludf.DUMMYFUNCTION("""COMPUTED_VALUE"""),"CA/TW/SG/MY/AU/MX")</f>
        <v>CA/TW/SG/MY/AU/MX</v>
      </c>
      <c r="C18" s="518" t="str">
        <f>IFERROR(__xludf.DUMMYFUNCTION("""COMPUTED_VALUE"""),"0840353926950")</f>
        <v>0840353926950</v>
      </c>
      <c r="D18" s="517" t="str">
        <f>IFERROR(__xludf.DUMMYFUNCTION("""COMPUTED_VALUE"""),"Pristine")</f>
        <v>Pristine</v>
      </c>
      <c r="E18" s="517" t="str">
        <f>IFERROR(__xludf.DUMMYFUNCTION("""COMPUTED_VALUE"""),"GA10215-CA")</f>
        <v>GA10215-CA</v>
      </c>
      <c r="F18" s="517" t="str">
        <f>IFERROR(__xludf.DUMMYFUNCTION("""COMPUTED_VALUE"""),"GK2MP")</f>
        <v>GK2MP</v>
      </c>
      <c r="G18" s="517"/>
      <c r="H18" s="518" t="str">
        <f>IFERROR(__xludf.DUMMYFUNCTION("""COMPUTED_VALUE"""),"840353926950")</f>
        <v>840353926950</v>
      </c>
      <c r="I18" s="518" t="str">
        <f>IFERROR(__xludf.DUMMYFUNCTION("""COMPUTED_VALUE"""),"No")</f>
        <v>No</v>
      </c>
      <c r="J18" s="517" t="str">
        <f>IFERROR(__xludf.DUMMYFUNCTION("""COMPUTED_VALUE"""),"Retail_10ct")</f>
        <v>Retail_10ct</v>
      </c>
      <c r="K18" s="517" t="str">
        <f>IFERROR(__xludf.DUMMYFUNCTION("""COMPUTED_VALUE"""),"ROW Master Carton Label (UPC)")</f>
        <v>ROW Master Carton Label (UPC)</v>
      </c>
      <c r="L18" s="517" t="str">
        <f>IFERROR(__xludf.DUMMYFUNCTION("""COMPUTED_VALUE"""),"NA")</f>
        <v>NA</v>
      </c>
      <c r="M18" s="517" t="str">
        <f>IFERROR(__xludf.DUMMYFUNCTION("""COMPUTED_VALUE"""),"G990-08483-31-04
G990-08483-31-B")</f>
        <v>G990-08483-31-04
G990-08483-31-B</v>
      </c>
      <c r="N18" s="517" t="str">
        <f>IFERROR(__xludf.DUMMYFUNCTION("""COMPUTED_VALUE"""),"G990-09561-00-01
G990-09561-00-A")</f>
        <v>G990-09561-00-01
G990-09561-00-A</v>
      </c>
      <c r="O18" s="517" t="str">
        <f>IFERROR(__xludf.DUMMYFUNCTION("""COMPUTED_VALUE"""),"BOB→B
Retail→A")</f>
        <v>BOB→B
Retail→A</v>
      </c>
      <c r="P18" s="517" t="str">
        <f>IFERROR(__xludf.DUMMYFUNCTION("""COMPUTED_VALUE"""),"G990-09561-00-01
G990-09561-00-A")</f>
        <v>G990-09561-00-01
G990-09561-00-A</v>
      </c>
      <c r="Q18" s="517" t="str">
        <f>IFERROR(__xludf.DUMMYFUNCTION("""COMPUTED_VALUE"""),"Lemongrass")</f>
        <v>Lemongrass</v>
      </c>
      <c r="R18" s="517" t="str">
        <f>IFERROR(__xludf.DUMMYFUNCTION("""COMPUTED_VALUE"""),"YEL")</f>
        <v>YEL</v>
      </c>
      <c r="S18" s="517" t="str">
        <f>IFERROR(__xludf.DUMMYFUNCTION("""COMPUTED_VALUE"""),"CA/TW/SG/MY/AU/MX")</f>
        <v>CA/TW/SG/MY/AU/MX</v>
      </c>
      <c r="T18" s="517" t="str">
        <f>IFERROR(__xludf.DUMMYFUNCTION("""COMPUTED_VALUE"""),"SKU, CLR3, GOOD, SUB6, CA/TW/SG/MY/AU/MX, FL5")</f>
        <v>SKU, CLR3, GOOD, SUB6, CA/TW/SG/MY/AU/MX, FL5</v>
      </c>
      <c r="U18" s="517" t="str">
        <f>IFERROR(__xludf.DUMMYFUNCTION("""COMPUTED_VALUE"""),"Pixel 10, Lemongrass, 128GB, CA/TW/SG/MY/AU/MX")</f>
        <v>Pixel 10, Lemongrass, 128GB, CA/TW/SG/MY/AU/MX</v>
      </c>
      <c r="V18" s="624" t="str">
        <f>IFERROR(__xludf.DUMMYFUNCTION("""COMPUTED_VALUE"""),"#NUM!")</f>
        <v>#NUM!</v>
      </c>
      <c r="W18" s="625">
        <f>IFERROR(__xludf.DUMMYFUNCTION("""COMPUTED_VALUE"""),45815.0)</f>
        <v>45815</v>
      </c>
      <c r="X18" s="626">
        <f>IFERROR(__xludf.DUMMYFUNCTION("""COMPUTED_VALUE"""),45764.0)</f>
        <v>45764</v>
      </c>
      <c r="Y18" s="517" t="b">
        <f>IFERROR(__xludf.DUMMYFUNCTION("""COMPUTED_VALUE"""),TRUE)</f>
        <v>1</v>
      </c>
      <c r="Z18" s="626">
        <f>IFERROR(__xludf.DUMMYFUNCTION("""COMPUTED_VALUE"""),45764.0)</f>
        <v>45764</v>
      </c>
      <c r="AA18" s="517" t="b">
        <f>IFERROR(__xludf.DUMMYFUNCTION("""COMPUTED_VALUE"""),FALSE)</f>
        <v>0</v>
      </c>
    </row>
    <row r="19">
      <c r="B19" s="517" t="str">
        <f>IFERROR(__xludf.DUMMYFUNCTION("""COMPUTED_VALUE"""),"CA/TW/SG/MY/AU/MX")</f>
        <v>CA/TW/SG/MY/AU/MX</v>
      </c>
      <c r="C19" s="518" t="str">
        <f>IFERROR(__xludf.DUMMYFUNCTION("""COMPUTED_VALUE"""),"0840353926967")</f>
        <v>0840353926967</v>
      </c>
      <c r="D19" s="517" t="str">
        <f>IFERROR(__xludf.DUMMYFUNCTION("""COMPUTED_VALUE"""),"Pristine")</f>
        <v>Pristine</v>
      </c>
      <c r="E19" s="517" t="str">
        <f>IFERROR(__xludf.DUMMYFUNCTION("""COMPUTED_VALUE"""),"GA10216-CA")</f>
        <v>GA10216-CA</v>
      </c>
      <c r="F19" s="517" t="str">
        <f>IFERROR(__xludf.DUMMYFUNCTION("""COMPUTED_VALUE"""),"GK2MP")</f>
        <v>GK2MP</v>
      </c>
      <c r="G19" s="517"/>
      <c r="H19" s="518" t="str">
        <f>IFERROR(__xludf.DUMMYFUNCTION("""COMPUTED_VALUE"""),"840353926967")</f>
        <v>840353926967</v>
      </c>
      <c r="I19" s="518" t="str">
        <f>IFERROR(__xludf.DUMMYFUNCTION("""COMPUTED_VALUE"""),"No")</f>
        <v>No</v>
      </c>
      <c r="J19" s="517" t="str">
        <f>IFERROR(__xludf.DUMMYFUNCTION("""COMPUTED_VALUE"""),"Retail_10ct")</f>
        <v>Retail_10ct</v>
      </c>
      <c r="K19" s="517" t="str">
        <f>IFERROR(__xludf.DUMMYFUNCTION("""COMPUTED_VALUE"""),"ROW Master Carton Label (UPC)")</f>
        <v>ROW Master Carton Label (UPC)</v>
      </c>
      <c r="L19" s="517" t="str">
        <f>IFERROR(__xludf.DUMMYFUNCTION("""COMPUTED_VALUE"""),"NA")</f>
        <v>NA</v>
      </c>
      <c r="M19" s="517" t="str">
        <f>IFERROR(__xludf.DUMMYFUNCTION("""COMPUTED_VALUE"""),"G990-08483-41-04
G990-08483-41-B")</f>
        <v>G990-08483-41-04
G990-08483-41-B</v>
      </c>
      <c r="N19" s="517" t="str">
        <f>IFERROR(__xludf.DUMMYFUNCTION("""COMPUTED_VALUE"""),"G990-09561-00-01
G990-09561-00-A")</f>
        <v>G990-09561-00-01
G990-09561-00-A</v>
      </c>
      <c r="O19" s="517" t="str">
        <f>IFERROR(__xludf.DUMMYFUNCTION("""COMPUTED_VALUE"""),"BOB→B
Retail→A")</f>
        <v>BOB→B
Retail→A</v>
      </c>
      <c r="P19" s="517" t="str">
        <f>IFERROR(__xludf.DUMMYFUNCTION("""COMPUTED_VALUE"""),"G990-09561-00-01
G990-09561-00-A")</f>
        <v>G990-09561-00-01
G990-09561-00-A</v>
      </c>
      <c r="Q19" s="517" t="str">
        <f>IFERROR(__xludf.DUMMYFUNCTION("""COMPUTED_VALUE"""),"Indigo")</f>
        <v>Indigo</v>
      </c>
      <c r="R19" s="517" t="str">
        <f>IFERROR(__xludf.DUMMYFUNCTION("""COMPUTED_VALUE"""),"BUE")</f>
        <v>BUE</v>
      </c>
      <c r="S19" s="517" t="str">
        <f>IFERROR(__xludf.DUMMYFUNCTION("""COMPUTED_VALUE"""),"CA/TW/SG/MY/AU/MX")</f>
        <v>CA/TW/SG/MY/AU/MX</v>
      </c>
      <c r="T19" s="517" t="str">
        <f>IFERROR(__xludf.DUMMYFUNCTION("""COMPUTED_VALUE"""),"SKU, CLR4, GOOD, SUB6, CA/TW/SG/MY/AU/MX, FL5")</f>
        <v>SKU, CLR4, GOOD, SUB6, CA/TW/SG/MY/AU/MX, FL5</v>
      </c>
      <c r="U19" s="517" t="str">
        <f>IFERROR(__xludf.DUMMYFUNCTION("""COMPUTED_VALUE"""),"Pixel 10, Indigo, 128GB, CA/TW/SG/MY/AU/MX")</f>
        <v>Pixel 10, Indigo, 128GB, CA/TW/SG/MY/AU/MX</v>
      </c>
      <c r="V19" s="624" t="str">
        <f>IFERROR(__xludf.DUMMYFUNCTION("""COMPUTED_VALUE"""),"#NUM!")</f>
        <v>#NUM!</v>
      </c>
      <c r="W19" s="625">
        <f>IFERROR(__xludf.DUMMYFUNCTION("""COMPUTED_VALUE"""),45815.0)</f>
        <v>45815</v>
      </c>
      <c r="X19" s="626">
        <f>IFERROR(__xludf.DUMMYFUNCTION("""COMPUTED_VALUE"""),45764.0)</f>
        <v>45764</v>
      </c>
      <c r="Y19" s="517" t="b">
        <f>IFERROR(__xludf.DUMMYFUNCTION("""COMPUTED_VALUE"""),TRUE)</f>
        <v>1</v>
      </c>
      <c r="Z19" s="626">
        <f>IFERROR(__xludf.DUMMYFUNCTION("""COMPUTED_VALUE"""),45764.0)</f>
        <v>45764</v>
      </c>
      <c r="AA19" s="517" t="b">
        <f>IFERROR(__xludf.DUMMYFUNCTION("""COMPUTED_VALUE"""),FALSE)</f>
        <v>0</v>
      </c>
    </row>
    <row r="20">
      <c r="B20" s="517" t="str">
        <f>IFERROR(__xludf.DUMMYFUNCTION("""COMPUTED_VALUE"""),"CA/TW/SG/MY/AU/MX")</f>
        <v>CA/TW/SG/MY/AU/MX</v>
      </c>
      <c r="C20" s="518" t="str">
        <f>IFERROR(__xludf.DUMMYFUNCTION("""COMPUTED_VALUE"""),"0840353926530")</f>
        <v>0840353926530</v>
      </c>
      <c r="D20" s="517" t="str">
        <f>IFERROR(__xludf.DUMMYFUNCTION("""COMPUTED_VALUE"""),"Pristine")</f>
        <v>Pristine</v>
      </c>
      <c r="E20" s="517" t="str">
        <f>IFERROR(__xludf.DUMMYFUNCTION("""COMPUTED_VALUE"""),"GA09883-CA")</f>
        <v>GA09883-CA</v>
      </c>
      <c r="F20" s="517" t="str">
        <f>IFERROR(__xludf.DUMMYFUNCTION("""COMPUTED_VALUE"""),"GK2MP")</f>
        <v>GK2MP</v>
      </c>
      <c r="G20" s="517"/>
      <c r="H20" s="518" t="str">
        <f>IFERROR(__xludf.DUMMYFUNCTION("""COMPUTED_VALUE"""),"840353926530")</f>
        <v>840353926530</v>
      </c>
      <c r="I20" s="517"/>
      <c r="J20" s="517" t="str">
        <f>IFERROR(__xludf.DUMMYFUNCTION("""COMPUTED_VALUE"""),"Retail_10ct")</f>
        <v>Retail_10ct</v>
      </c>
      <c r="K20" s="517" t="str">
        <f>IFERROR(__xludf.DUMMYFUNCTION("""COMPUTED_VALUE"""),"ROW Master Carton Label (UPC)")</f>
        <v>ROW Master Carton Label (UPC)</v>
      </c>
      <c r="L20" s="517" t="str">
        <f>IFERROR(__xludf.DUMMYFUNCTION("""COMPUTED_VALUE"""),"NA")</f>
        <v>NA</v>
      </c>
      <c r="M20" s="517" t="str">
        <f>IFERROR(__xludf.DUMMYFUNCTION("""COMPUTED_VALUE"""),"G990-08483-12-04
G990-08483-12-B")</f>
        <v>G990-08483-12-04
G990-08483-12-B</v>
      </c>
      <c r="N20" s="517" t="str">
        <f>IFERROR(__xludf.DUMMYFUNCTION("""COMPUTED_VALUE"""),"G990-09561-00-01
G990-09561-00-A")</f>
        <v>G990-09561-00-01
G990-09561-00-A</v>
      </c>
      <c r="O20" s="517" t="str">
        <f>IFERROR(__xludf.DUMMYFUNCTION("""COMPUTED_VALUE"""),"BOB→B
Retail→A")</f>
        <v>BOB→B
Retail→A</v>
      </c>
      <c r="P20" s="517" t="str">
        <f>IFERROR(__xludf.DUMMYFUNCTION("""COMPUTED_VALUE"""),"G990-09561-00-01
G990-09561-00-A")</f>
        <v>G990-09561-00-01
G990-09561-00-A</v>
      </c>
      <c r="Q20" s="517" t="str">
        <f>IFERROR(__xludf.DUMMYFUNCTION("""COMPUTED_VALUE"""),"Obsidian")</f>
        <v>Obsidian</v>
      </c>
      <c r="R20" s="517" t="str">
        <f>IFERROR(__xludf.DUMMYFUNCTION("""COMPUTED_VALUE"""),"BLK")</f>
        <v>BLK</v>
      </c>
      <c r="S20" s="517" t="str">
        <f>IFERROR(__xludf.DUMMYFUNCTION("""COMPUTED_VALUE"""),"CA/TW/SG/MY/AU/MX")</f>
        <v>CA/TW/SG/MY/AU/MX</v>
      </c>
      <c r="T20" s="517" t="str">
        <f>IFERROR(__xludf.DUMMYFUNCTION("""COMPUTED_VALUE"""),"SKU, CLR1, BETTER, SUB6, CA/TW/SG/AU/MY/MX, FL5")</f>
        <v>SKU, CLR1, BETTER, SUB6, CA/TW/SG/AU/MY/MX, FL5</v>
      </c>
      <c r="U20" s="517" t="str">
        <f>IFERROR(__xludf.DUMMYFUNCTION("""COMPUTED_VALUE"""),"Pixel 10, Obsidian, 256GB, CA/TW/SG/AU/MY/MX")</f>
        <v>Pixel 10, Obsidian, 256GB, CA/TW/SG/AU/MY/MX</v>
      </c>
      <c r="V20" s="624" t="str">
        <f>IFERROR(__xludf.DUMMYFUNCTION("""COMPUTED_VALUE"""),"#NUM!")</f>
        <v>#NUM!</v>
      </c>
      <c r="W20" s="625">
        <f>IFERROR(__xludf.DUMMYFUNCTION("""COMPUTED_VALUE"""),45815.0)</f>
        <v>45815</v>
      </c>
      <c r="X20" s="626">
        <f>IFERROR(__xludf.DUMMYFUNCTION("""COMPUTED_VALUE"""),45764.0)</f>
        <v>45764</v>
      </c>
      <c r="Y20" s="517" t="b">
        <f>IFERROR(__xludf.DUMMYFUNCTION("""COMPUTED_VALUE"""),TRUE)</f>
        <v>1</v>
      </c>
      <c r="Z20" s="626">
        <f>IFERROR(__xludf.DUMMYFUNCTION("""COMPUTED_VALUE"""),45764.0)</f>
        <v>45764</v>
      </c>
      <c r="AA20" s="517" t="b">
        <f>IFERROR(__xludf.DUMMYFUNCTION("""COMPUTED_VALUE"""),FALSE)</f>
        <v>0</v>
      </c>
    </row>
    <row r="21">
      <c r="B21" s="517" t="str">
        <f>IFERROR(__xludf.DUMMYFUNCTION("""COMPUTED_VALUE"""),"CA/TW/SG/MY/AU/MX")</f>
        <v>CA/TW/SG/MY/AU/MX</v>
      </c>
      <c r="C21" s="518" t="str">
        <f>IFERROR(__xludf.DUMMYFUNCTION("""COMPUTED_VALUE"""),"0840353926615")</f>
        <v>0840353926615</v>
      </c>
      <c r="D21" s="517" t="str">
        <f>IFERROR(__xludf.DUMMYFUNCTION("""COMPUTED_VALUE"""),"Pristine")</f>
        <v>Pristine</v>
      </c>
      <c r="E21" s="517" t="str">
        <f>IFERROR(__xludf.DUMMYFUNCTION("""COMPUTED_VALUE"""),"GA10217-CA")</f>
        <v>GA10217-CA</v>
      </c>
      <c r="F21" s="517" t="str">
        <f>IFERROR(__xludf.DUMMYFUNCTION("""COMPUTED_VALUE"""),"GK2MP")</f>
        <v>GK2MP</v>
      </c>
      <c r="G21" s="517"/>
      <c r="H21" s="518" t="str">
        <f>IFERROR(__xludf.DUMMYFUNCTION("""COMPUTED_VALUE"""),"840353926615")</f>
        <v>840353926615</v>
      </c>
      <c r="I21" s="518" t="str">
        <f>IFERROR(__xludf.DUMMYFUNCTION("""COMPUTED_VALUE"""),"No")</f>
        <v>No</v>
      </c>
      <c r="J21" s="517" t="str">
        <f>IFERROR(__xludf.DUMMYFUNCTION("""COMPUTED_VALUE"""),"Retail_10ct")</f>
        <v>Retail_10ct</v>
      </c>
      <c r="K21" s="517" t="str">
        <f>IFERROR(__xludf.DUMMYFUNCTION("""COMPUTED_VALUE"""),"ROW Master Carton Label (UPC)")</f>
        <v>ROW Master Carton Label (UPC)</v>
      </c>
      <c r="L21" s="517" t="str">
        <f>IFERROR(__xludf.DUMMYFUNCTION("""COMPUTED_VALUE"""),"NA")</f>
        <v>NA</v>
      </c>
      <c r="M21" s="517" t="str">
        <f>IFERROR(__xludf.DUMMYFUNCTION("""COMPUTED_VALUE"""),"G990-08483-22-04
G990-08483-22-B")</f>
        <v>G990-08483-22-04
G990-08483-22-B</v>
      </c>
      <c r="N21" s="517" t="str">
        <f>IFERROR(__xludf.DUMMYFUNCTION("""COMPUTED_VALUE"""),"G990-09561-00-01
G990-09561-00-A")</f>
        <v>G990-09561-00-01
G990-09561-00-A</v>
      </c>
      <c r="O21" s="517" t="str">
        <f>IFERROR(__xludf.DUMMYFUNCTION("""COMPUTED_VALUE"""),"BOB→B
Retail→A")</f>
        <v>BOB→B
Retail→A</v>
      </c>
      <c r="P21" s="517" t="str">
        <f>IFERROR(__xludf.DUMMYFUNCTION("""COMPUTED_VALUE"""),"G990-09561-00-01
G990-09561-00-A")</f>
        <v>G990-09561-00-01
G990-09561-00-A</v>
      </c>
      <c r="Q21" s="517" t="str">
        <f>IFERROR(__xludf.DUMMYFUNCTION("""COMPUTED_VALUE"""),"Frost")</f>
        <v>Frost</v>
      </c>
      <c r="R21" s="517" t="str">
        <f>IFERROR(__xludf.DUMMYFUNCTION("""COMPUTED_VALUE"""),"PPL")</f>
        <v>PPL</v>
      </c>
      <c r="S21" s="517" t="str">
        <f>IFERROR(__xludf.DUMMYFUNCTION("""COMPUTED_VALUE"""),"CA/TW/SG/MY/AU/MX")</f>
        <v>CA/TW/SG/MY/AU/MX</v>
      </c>
      <c r="T21" s="517" t="str">
        <f>IFERROR(__xludf.DUMMYFUNCTION("""COMPUTED_VALUE"""),"SKU, CLR2, BETTER, SUB6, CA/TW/SG/MY/AU/MX, FL5")</f>
        <v>SKU, CLR2, BETTER, SUB6, CA/TW/SG/MY/AU/MX, FL5</v>
      </c>
      <c r="U21" s="517" t="str">
        <f>IFERROR(__xludf.DUMMYFUNCTION("""COMPUTED_VALUE"""),"Pixel 10, Frost, 256GB, CA/TW/SG/MY/AU/MX")</f>
        <v>Pixel 10, Frost, 256GB, CA/TW/SG/MY/AU/MX</v>
      </c>
      <c r="V21" s="624" t="str">
        <f>IFERROR(__xludf.DUMMYFUNCTION("""COMPUTED_VALUE"""),"#NUM!")</f>
        <v>#NUM!</v>
      </c>
      <c r="W21" s="625">
        <f>IFERROR(__xludf.DUMMYFUNCTION("""COMPUTED_VALUE"""),45815.0)</f>
        <v>45815</v>
      </c>
      <c r="X21" s="626">
        <f>IFERROR(__xludf.DUMMYFUNCTION("""COMPUTED_VALUE"""),45764.0)</f>
        <v>45764</v>
      </c>
      <c r="Y21" s="517" t="b">
        <f>IFERROR(__xludf.DUMMYFUNCTION("""COMPUTED_VALUE"""),TRUE)</f>
        <v>1</v>
      </c>
      <c r="Z21" s="626">
        <f>IFERROR(__xludf.DUMMYFUNCTION("""COMPUTED_VALUE"""),45764.0)</f>
        <v>45764</v>
      </c>
      <c r="AA21" s="517" t="b">
        <f>IFERROR(__xludf.DUMMYFUNCTION("""COMPUTED_VALUE"""),FALSE)</f>
        <v>0</v>
      </c>
    </row>
    <row r="22">
      <c r="B22" s="517" t="str">
        <f>IFERROR(__xludf.DUMMYFUNCTION("""COMPUTED_VALUE"""),"CA/TW/SG/MY/AU/MX")</f>
        <v>CA/TW/SG/MY/AU/MX</v>
      </c>
      <c r="C22" s="518" t="str">
        <f>IFERROR(__xludf.DUMMYFUNCTION("""COMPUTED_VALUE"""),"0840353926653")</f>
        <v>0840353926653</v>
      </c>
      <c r="D22" s="517" t="str">
        <f>IFERROR(__xludf.DUMMYFUNCTION("""COMPUTED_VALUE"""),"Pristine")</f>
        <v>Pristine</v>
      </c>
      <c r="E22" s="517" t="str">
        <f>IFERROR(__xludf.DUMMYFUNCTION("""COMPUTED_VALUE"""),"GA10218-CA")</f>
        <v>GA10218-CA</v>
      </c>
      <c r="F22" s="517" t="str">
        <f>IFERROR(__xludf.DUMMYFUNCTION("""COMPUTED_VALUE"""),"GK2MP")</f>
        <v>GK2MP</v>
      </c>
      <c r="G22" s="517"/>
      <c r="H22" s="518" t="str">
        <f>IFERROR(__xludf.DUMMYFUNCTION("""COMPUTED_VALUE"""),"840353926653")</f>
        <v>840353926653</v>
      </c>
      <c r="I22" s="518" t="str">
        <f>IFERROR(__xludf.DUMMYFUNCTION("""COMPUTED_VALUE"""),"No")</f>
        <v>No</v>
      </c>
      <c r="J22" s="517" t="str">
        <f>IFERROR(__xludf.DUMMYFUNCTION("""COMPUTED_VALUE"""),"Retail_10ct")</f>
        <v>Retail_10ct</v>
      </c>
      <c r="K22" s="517" t="str">
        <f>IFERROR(__xludf.DUMMYFUNCTION("""COMPUTED_VALUE"""),"ROW Master Carton Label (UPC)")</f>
        <v>ROW Master Carton Label (UPC)</v>
      </c>
      <c r="L22" s="517" t="str">
        <f>IFERROR(__xludf.DUMMYFUNCTION("""COMPUTED_VALUE"""),"NA")</f>
        <v>NA</v>
      </c>
      <c r="M22" s="517" t="str">
        <f>IFERROR(__xludf.DUMMYFUNCTION("""COMPUTED_VALUE"""),"G990-08483-32-04
G990-08483-32-B")</f>
        <v>G990-08483-32-04
G990-08483-32-B</v>
      </c>
      <c r="N22" s="517" t="str">
        <f>IFERROR(__xludf.DUMMYFUNCTION("""COMPUTED_VALUE"""),"G990-09561-00-01
G990-09561-00-A")</f>
        <v>G990-09561-00-01
G990-09561-00-A</v>
      </c>
      <c r="O22" s="517" t="str">
        <f>IFERROR(__xludf.DUMMYFUNCTION("""COMPUTED_VALUE"""),"BOB→B
Retail→A")</f>
        <v>BOB→B
Retail→A</v>
      </c>
      <c r="P22" s="517" t="str">
        <f>IFERROR(__xludf.DUMMYFUNCTION("""COMPUTED_VALUE"""),"G990-09561-00-01
G990-09561-00-A")</f>
        <v>G990-09561-00-01
G990-09561-00-A</v>
      </c>
      <c r="Q22" s="517" t="str">
        <f>IFERROR(__xludf.DUMMYFUNCTION("""COMPUTED_VALUE"""),"Lemongrass")</f>
        <v>Lemongrass</v>
      </c>
      <c r="R22" s="517" t="str">
        <f>IFERROR(__xludf.DUMMYFUNCTION("""COMPUTED_VALUE"""),"YEL")</f>
        <v>YEL</v>
      </c>
      <c r="S22" s="517" t="str">
        <f>IFERROR(__xludf.DUMMYFUNCTION("""COMPUTED_VALUE"""),"CA/TW/SG/MY/AU/MX")</f>
        <v>CA/TW/SG/MY/AU/MX</v>
      </c>
      <c r="T22" s="517" t="str">
        <f>IFERROR(__xludf.DUMMYFUNCTION("""COMPUTED_VALUE"""),"SKU, CLR3, BETTER, SUB6, CA/TW/SG/MY/AU/MX, FL5")</f>
        <v>SKU, CLR3, BETTER, SUB6, CA/TW/SG/MY/AU/MX, FL5</v>
      </c>
      <c r="U22" s="517" t="str">
        <f>IFERROR(__xludf.DUMMYFUNCTION("""COMPUTED_VALUE"""),"Pixel 10, Lemongrass, 256GB, CA/TW/SG/MY/AU/MX")</f>
        <v>Pixel 10, Lemongrass, 256GB, CA/TW/SG/MY/AU/MX</v>
      </c>
      <c r="V22" s="624" t="str">
        <f>IFERROR(__xludf.DUMMYFUNCTION("""COMPUTED_VALUE"""),"#NUM!")</f>
        <v>#NUM!</v>
      </c>
      <c r="W22" s="625">
        <f>IFERROR(__xludf.DUMMYFUNCTION("""COMPUTED_VALUE"""),45815.0)</f>
        <v>45815</v>
      </c>
      <c r="X22" s="626">
        <f>IFERROR(__xludf.DUMMYFUNCTION("""COMPUTED_VALUE"""),45764.0)</f>
        <v>45764</v>
      </c>
      <c r="Y22" s="517" t="b">
        <f>IFERROR(__xludf.DUMMYFUNCTION("""COMPUTED_VALUE"""),TRUE)</f>
        <v>1</v>
      </c>
      <c r="Z22" s="626">
        <f>IFERROR(__xludf.DUMMYFUNCTION("""COMPUTED_VALUE"""),45764.0)</f>
        <v>45764</v>
      </c>
      <c r="AA22" s="517" t="b">
        <f>IFERROR(__xludf.DUMMYFUNCTION("""COMPUTED_VALUE"""),FALSE)</f>
        <v>0</v>
      </c>
    </row>
    <row r="23">
      <c r="B23" s="517" t="str">
        <f>IFERROR(__xludf.DUMMYFUNCTION("""COMPUTED_VALUE"""),"CA/TW/SG/MY/AU/MX")</f>
        <v>CA/TW/SG/MY/AU/MX</v>
      </c>
      <c r="C23" s="518" t="str">
        <f>IFERROR(__xludf.DUMMYFUNCTION("""COMPUTED_VALUE"""),"0840353926622")</f>
        <v>0840353926622</v>
      </c>
      <c r="D23" s="517" t="str">
        <f>IFERROR(__xludf.DUMMYFUNCTION("""COMPUTED_VALUE"""),"Pristine")</f>
        <v>Pristine</v>
      </c>
      <c r="E23" s="517" t="str">
        <f>IFERROR(__xludf.DUMMYFUNCTION("""COMPUTED_VALUE"""),"GA10219-CA")</f>
        <v>GA10219-CA</v>
      </c>
      <c r="F23" s="517" t="str">
        <f>IFERROR(__xludf.DUMMYFUNCTION("""COMPUTED_VALUE"""),"GK2MP")</f>
        <v>GK2MP</v>
      </c>
      <c r="G23" s="517"/>
      <c r="H23" s="518" t="str">
        <f>IFERROR(__xludf.DUMMYFUNCTION("""COMPUTED_VALUE"""),"840353926622")</f>
        <v>840353926622</v>
      </c>
      <c r="I23" s="518" t="str">
        <f>IFERROR(__xludf.DUMMYFUNCTION("""COMPUTED_VALUE"""),"No")</f>
        <v>No</v>
      </c>
      <c r="J23" s="517" t="str">
        <f>IFERROR(__xludf.DUMMYFUNCTION("""COMPUTED_VALUE"""),"Retail_10ct")</f>
        <v>Retail_10ct</v>
      </c>
      <c r="K23" s="517" t="str">
        <f>IFERROR(__xludf.DUMMYFUNCTION("""COMPUTED_VALUE"""),"ROW Master Carton Label (UPC)")</f>
        <v>ROW Master Carton Label (UPC)</v>
      </c>
      <c r="L23" s="517" t="str">
        <f>IFERROR(__xludf.DUMMYFUNCTION("""COMPUTED_VALUE"""),"NA")</f>
        <v>NA</v>
      </c>
      <c r="M23" s="517" t="str">
        <f>IFERROR(__xludf.DUMMYFUNCTION("""COMPUTED_VALUE"""),"G990-08483-42-04
G990-08483-42-B")</f>
        <v>G990-08483-42-04
G990-08483-42-B</v>
      </c>
      <c r="N23" s="517" t="str">
        <f>IFERROR(__xludf.DUMMYFUNCTION("""COMPUTED_VALUE"""),"G990-09561-00-01
G990-09561-00-A")</f>
        <v>G990-09561-00-01
G990-09561-00-A</v>
      </c>
      <c r="O23" s="517" t="str">
        <f>IFERROR(__xludf.DUMMYFUNCTION("""COMPUTED_VALUE"""),"BOB→B
Retail→A")</f>
        <v>BOB→B
Retail→A</v>
      </c>
      <c r="P23" s="517" t="str">
        <f>IFERROR(__xludf.DUMMYFUNCTION("""COMPUTED_VALUE"""),"G990-09561-00-01
G990-09561-00-A")</f>
        <v>G990-09561-00-01
G990-09561-00-A</v>
      </c>
      <c r="Q23" s="517" t="str">
        <f>IFERROR(__xludf.DUMMYFUNCTION("""COMPUTED_VALUE"""),"Indigo")</f>
        <v>Indigo</v>
      </c>
      <c r="R23" s="517" t="str">
        <f>IFERROR(__xludf.DUMMYFUNCTION("""COMPUTED_VALUE"""),"BUE")</f>
        <v>BUE</v>
      </c>
      <c r="S23" s="517" t="str">
        <f>IFERROR(__xludf.DUMMYFUNCTION("""COMPUTED_VALUE"""),"CA/TW/SG/MY/AU/MX")</f>
        <v>CA/TW/SG/MY/AU/MX</v>
      </c>
      <c r="T23" s="517" t="str">
        <f>IFERROR(__xludf.DUMMYFUNCTION("""COMPUTED_VALUE"""),"SKU, CLR4, BETTER, SUB6, CA/TW/SG/MY/AU/MX, FL5")</f>
        <v>SKU, CLR4, BETTER, SUB6, CA/TW/SG/MY/AU/MX, FL5</v>
      </c>
      <c r="U23" s="517" t="str">
        <f>IFERROR(__xludf.DUMMYFUNCTION("""COMPUTED_VALUE"""),"Pixel 10, Indigo, 256GB, CA/TW/SG/MY/AU/MX")</f>
        <v>Pixel 10, Indigo, 256GB, CA/TW/SG/MY/AU/MX</v>
      </c>
      <c r="V23" s="624" t="str">
        <f>IFERROR(__xludf.DUMMYFUNCTION("""COMPUTED_VALUE"""),"#NUM!")</f>
        <v>#NUM!</v>
      </c>
      <c r="W23" s="625">
        <f>IFERROR(__xludf.DUMMYFUNCTION("""COMPUTED_VALUE"""),45815.0)</f>
        <v>45815</v>
      </c>
      <c r="X23" s="626">
        <f>IFERROR(__xludf.DUMMYFUNCTION("""COMPUTED_VALUE"""),45764.0)</f>
        <v>45764</v>
      </c>
      <c r="Y23" s="517" t="b">
        <f>IFERROR(__xludf.DUMMYFUNCTION("""COMPUTED_VALUE"""),TRUE)</f>
        <v>1</v>
      </c>
      <c r="Z23" s="626">
        <f>IFERROR(__xludf.DUMMYFUNCTION("""COMPUTED_VALUE"""),45764.0)</f>
        <v>45764</v>
      </c>
      <c r="AA23" s="517" t="b">
        <f>IFERROR(__xludf.DUMMYFUNCTION("""COMPUTED_VALUE"""),FALSE)</f>
        <v>0</v>
      </c>
    </row>
    <row r="24">
      <c r="B24" s="517" t="str">
        <f>IFERROR(__xludf.DUMMYFUNCTION("""COMPUTED_VALUE"""),"UK,DE, IT, ES, IE,FR, NO,SE,DK,NL, BE, AT, CH, PT, PL, SK,")</f>
        <v>UK,DE, IT, ES, IE,FR, NO,SE,DK,NL, BE, AT, CH, PT, PL, SK,</v>
      </c>
      <c r="C24" s="518" t="str">
        <f>IFERROR(__xludf.DUMMYFUNCTION("""COMPUTED_VALUE"""),"0840353926905")</f>
        <v>0840353926905</v>
      </c>
      <c r="D24" s="517" t="str">
        <f>IFERROR(__xludf.DUMMYFUNCTION("""COMPUTED_VALUE"""),"Pristine")</f>
        <v>Pristine</v>
      </c>
      <c r="E24" s="517" t="str">
        <f>IFERROR(__xludf.DUMMYFUNCTION("""COMPUTED_VALUE"""),"GA09744-GB")</f>
        <v>GA09744-GB</v>
      </c>
      <c r="F24" s="517" t="str">
        <f>IFERROR(__xludf.DUMMYFUNCTION("""COMPUTED_VALUE"""),"GK2MP
")</f>
        <v>GK2MP
</v>
      </c>
      <c r="G24" s="517"/>
      <c r="H24" s="518" t="str">
        <f>IFERROR(__xludf.DUMMYFUNCTION("""COMPUTED_VALUE"""),"840353926905")</f>
        <v>840353926905</v>
      </c>
      <c r="I24" s="518" t="str">
        <f>IFERROR(__xludf.DUMMYFUNCTION("""COMPUTED_VALUE"""),"No")</f>
        <v>No</v>
      </c>
      <c r="J24" s="517" t="str">
        <f>IFERROR(__xludf.DUMMYFUNCTION("""COMPUTED_VALUE"""),"Retail_10ct")</f>
        <v>Retail_10ct</v>
      </c>
      <c r="K24" s="517" t="str">
        <f>IFERROR(__xludf.DUMMYFUNCTION("""COMPUTED_VALUE"""),"ROW Master Carton Label (EAN)")</f>
        <v>ROW Master Carton Label (EAN)</v>
      </c>
      <c r="L24" s="517" t="str">
        <f>IFERROR(__xludf.DUMMYFUNCTION("""COMPUTED_VALUE"""),"NA")</f>
        <v>NA</v>
      </c>
      <c r="M24" s="517" t="str">
        <f>IFERROR(__xludf.DUMMYFUNCTION("""COMPUTED_VALUE"""),"G990-08489-11-05
G990-08489-11-B")</f>
        <v>G990-08489-11-05
G990-08489-11-B</v>
      </c>
      <c r="N24" s="517" t="str">
        <f>IFERROR(__xludf.DUMMYFUNCTION("""COMPUTED_VALUE"""),"G990-09563-00-A
G990-09563-00-B")</f>
        <v>G990-09563-00-A
G990-09563-00-B</v>
      </c>
      <c r="O24" s="517" t="str">
        <f>IFERROR(__xludf.DUMMYFUNCTION("""COMPUTED_VALUE"""),"BOB→B
Retail→B")</f>
        <v>BOB→B
Retail→B</v>
      </c>
      <c r="P24" s="517" t="str">
        <f>IFERROR(__xludf.DUMMYFUNCTION("""COMPUTED_VALUE"""),"G990-09563-00-A
G990-09563-00-B")</f>
        <v>G990-09563-00-A
G990-09563-00-B</v>
      </c>
      <c r="Q24" s="517" t="str">
        <f>IFERROR(__xludf.DUMMYFUNCTION("""COMPUTED_VALUE"""),"Obsidian")</f>
        <v>Obsidian</v>
      </c>
      <c r="R24" s="517" t="str">
        <f>IFERROR(__xludf.DUMMYFUNCTION("""COMPUTED_VALUE"""),"BLK")</f>
        <v>BLK</v>
      </c>
      <c r="S24" s="517" t="str">
        <f>IFERROR(__xludf.DUMMYFUNCTION("""COMPUTED_VALUE"""),"UK/EU")</f>
        <v>UK/EU</v>
      </c>
      <c r="T24" s="517" t="str">
        <f>IFERROR(__xludf.DUMMYFUNCTION("""COMPUTED_VALUE"""),"SKU, CLR1, GOOD, SUB6, UK/EU, FL5")</f>
        <v>SKU, CLR1, GOOD, SUB6, UK/EU, FL5</v>
      </c>
      <c r="U24" s="517" t="str">
        <f>IFERROR(__xludf.DUMMYFUNCTION("""COMPUTED_VALUE"""),"Pixel 10, Obsidian, 128GB, UK/EU")</f>
        <v>Pixel 10, Obsidian, 128GB, UK/EU</v>
      </c>
      <c r="V24" s="624" t="str">
        <f>IFERROR(__xludf.DUMMYFUNCTION("""COMPUTED_VALUE"""),"#NUM!")</f>
        <v>#NUM!</v>
      </c>
      <c r="W24" s="625">
        <f>IFERROR(__xludf.DUMMYFUNCTION("""COMPUTED_VALUE"""),45815.0)</f>
        <v>45815</v>
      </c>
      <c r="X24" s="626">
        <f>IFERROR(__xludf.DUMMYFUNCTION("""COMPUTED_VALUE"""),45764.0)</f>
        <v>45764</v>
      </c>
      <c r="Y24" s="517" t="b">
        <f>IFERROR(__xludf.DUMMYFUNCTION("""COMPUTED_VALUE"""),TRUE)</f>
        <v>1</v>
      </c>
      <c r="Z24" s="626">
        <f>IFERROR(__xludf.DUMMYFUNCTION("""COMPUTED_VALUE"""),45764.0)</f>
        <v>45764</v>
      </c>
      <c r="AA24" s="517" t="b">
        <f>IFERROR(__xludf.DUMMYFUNCTION("""COMPUTED_VALUE"""),FALSE)</f>
        <v>0</v>
      </c>
    </row>
    <row r="25">
      <c r="B25" s="517" t="str">
        <f>IFERROR(__xludf.DUMMYFUNCTION("""COMPUTED_VALUE"""),"UK,DE, IT, ES, IE,FR, NO,SE,DK,NL, BE, AT, CH, PT, PL, SK,")</f>
        <v>UK,DE, IT, ES, IE,FR, NO,SE,DK,NL, BE, AT, CH, PT, PL, SK,</v>
      </c>
      <c r="C25" s="518" t="str">
        <f>IFERROR(__xludf.DUMMYFUNCTION("""COMPUTED_VALUE"""),"0840353926943")</f>
        <v>0840353926943</v>
      </c>
      <c r="D25" s="517" t="str">
        <f>IFERROR(__xludf.DUMMYFUNCTION("""COMPUTED_VALUE"""),"Pristine")</f>
        <v>Pristine</v>
      </c>
      <c r="E25" s="517" t="str">
        <f>IFERROR(__xludf.DUMMYFUNCTION("""COMPUTED_VALUE"""),"GA10214-GB")</f>
        <v>GA10214-GB</v>
      </c>
      <c r="F25" s="517" t="str">
        <f>IFERROR(__xludf.DUMMYFUNCTION("""COMPUTED_VALUE"""),"GK2MP
")</f>
        <v>GK2MP
</v>
      </c>
      <c r="G25" s="517"/>
      <c r="H25" s="518" t="str">
        <f>IFERROR(__xludf.DUMMYFUNCTION("""COMPUTED_VALUE"""),"840353926943")</f>
        <v>840353926943</v>
      </c>
      <c r="I25" s="518" t="str">
        <f>IFERROR(__xludf.DUMMYFUNCTION("""COMPUTED_VALUE"""),"No")</f>
        <v>No</v>
      </c>
      <c r="J25" s="517" t="str">
        <f>IFERROR(__xludf.DUMMYFUNCTION("""COMPUTED_VALUE"""),"Retail_10ct")</f>
        <v>Retail_10ct</v>
      </c>
      <c r="K25" s="517" t="str">
        <f>IFERROR(__xludf.DUMMYFUNCTION("""COMPUTED_VALUE"""),"ROW Master Carton Label (EAN)")</f>
        <v>ROW Master Carton Label (EAN)</v>
      </c>
      <c r="L25" s="517" t="str">
        <f>IFERROR(__xludf.DUMMYFUNCTION("""COMPUTED_VALUE"""),"NA")</f>
        <v>NA</v>
      </c>
      <c r="M25" s="517" t="str">
        <f>IFERROR(__xludf.DUMMYFUNCTION("""COMPUTED_VALUE"""),"G990-08489-21-05
G990-08489-21-B")</f>
        <v>G990-08489-21-05
G990-08489-21-B</v>
      </c>
      <c r="N25" s="517" t="str">
        <f>IFERROR(__xludf.DUMMYFUNCTION("""COMPUTED_VALUE"""),"G990-09563-00-A
G990-09563-00-B")</f>
        <v>G990-09563-00-A
G990-09563-00-B</v>
      </c>
      <c r="O25" s="517" t="str">
        <f>IFERROR(__xludf.DUMMYFUNCTION("""COMPUTED_VALUE"""),"BOB→B
Retail→B")</f>
        <v>BOB→B
Retail→B</v>
      </c>
      <c r="P25" s="517" t="str">
        <f>IFERROR(__xludf.DUMMYFUNCTION("""COMPUTED_VALUE"""),"G990-09563-00-A
G990-09563-00-B")</f>
        <v>G990-09563-00-A
G990-09563-00-B</v>
      </c>
      <c r="Q25" s="517" t="str">
        <f>IFERROR(__xludf.DUMMYFUNCTION("""COMPUTED_VALUE"""),"Frost")</f>
        <v>Frost</v>
      </c>
      <c r="R25" s="517" t="str">
        <f>IFERROR(__xludf.DUMMYFUNCTION("""COMPUTED_VALUE"""),"PPL")</f>
        <v>PPL</v>
      </c>
      <c r="S25" s="517" t="str">
        <f>IFERROR(__xludf.DUMMYFUNCTION("""COMPUTED_VALUE"""),"UK/EU")</f>
        <v>UK/EU</v>
      </c>
      <c r="T25" s="517" t="str">
        <f>IFERROR(__xludf.DUMMYFUNCTION("""COMPUTED_VALUE"""),"SKU, CLR2, GOOD, SUB6, EU/UK, FL5")</f>
        <v>SKU, CLR2, GOOD, SUB6, EU/UK, FL5</v>
      </c>
      <c r="U25" s="517" t="str">
        <f>IFERROR(__xludf.DUMMYFUNCTION("""COMPUTED_VALUE"""),"Pixel 10, Frost, 128GB, UK/EU")</f>
        <v>Pixel 10, Frost, 128GB, UK/EU</v>
      </c>
      <c r="V25" s="624" t="str">
        <f>IFERROR(__xludf.DUMMYFUNCTION("""COMPUTED_VALUE"""),"#NUM!")</f>
        <v>#NUM!</v>
      </c>
      <c r="W25" s="625">
        <f>IFERROR(__xludf.DUMMYFUNCTION("""COMPUTED_VALUE"""),45815.0)</f>
        <v>45815</v>
      </c>
      <c r="X25" s="626">
        <f>IFERROR(__xludf.DUMMYFUNCTION("""COMPUTED_VALUE"""),45764.0)</f>
        <v>45764</v>
      </c>
      <c r="Y25" s="517" t="b">
        <f>IFERROR(__xludf.DUMMYFUNCTION("""COMPUTED_VALUE"""),TRUE)</f>
        <v>1</v>
      </c>
      <c r="Z25" s="626">
        <f>IFERROR(__xludf.DUMMYFUNCTION("""COMPUTED_VALUE"""),45764.0)</f>
        <v>45764</v>
      </c>
      <c r="AA25" s="517" t="b">
        <f>IFERROR(__xludf.DUMMYFUNCTION("""COMPUTED_VALUE"""),FALSE)</f>
        <v>0</v>
      </c>
    </row>
    <row r="26">
      <c r="B26" s="517" t="str">
        <f>IFERROR(__xludf.DUMMYFUNCTION("""COMPUTED_VALUE"""),"UK,DE, IT, ES, IE,FR, NO,SE,DK,NL, BE, AT, CH, PT, PL, SK,")</f>
        <v>UK,DE, IT, ES, IE,FR, NO,SE,DK,NL, BE, AT, CH, PT, PL, SK,</v>
      </c>
      <c r="C26" s="518" t="str">
        <f>IFERROR(__xludf.DUMMYFUNCTION("""COMPUTED_VALUE"""),"0840353926929")</f>
        <v>0840353926929</v>
      </c>
      <c r="D26" s="517" t="str">
        <f>IFERROR(__xludf.DUMMYFUNCTION("""COMPUTED_VALUE"""),"Pristine")</f>
        <v>Pristine</v>
      </c>
      <c r="E26" s="517" t="str">
        <f>IFERROR(__xludf.DUMMYFUNCTION("""COMPUTED_VALUE"""),"GA10215-GB")</f>
        <v>GA10215-GB</v>
      </c>
      <c r="F26" s="517" t="str">
        <f>IFERROR(__xludf.DUMMYFUNCTION("""COMPUTED_VALUE"""),"GK2MP
")</f>
        <v>GK2MP
</v>
      </c>
      <c r="G26" s="517"/>
      <c r="H26" s="518" t="str">
        <f>IFERROR(__xludf.DUMMYFUNCTION("""COMPUTED_VALUE"""),"840353926929")</f>
        <v>840353926929</v>
      </c>
      <c r="I26" s="518" t="str">
        <f>IFERROR(__xludf.DUMMYFUNCTION("""COMPUTED_VALUE"""),"No")</f>
        <v>No</v>
      </c>
      <c r="J26" s="517" t="str">
        <f>IFERROR(__xludf.DUMMYFUNCTION("""COMPUTED_VALUE"""),"Retail_10ct")</f>
        <v>Retail_10ct</v>
      </c>
      <c r="K26" s="517" t="str">
        <f>IFERROR(__xludf.DUMMYFUNCTION("""COMPUTED_VALUE"""),"ROW Master Carton Label (EAN)")</f>
        <v>ROW Master Carton Label (EAN)</v>
      </c>
      <c r="L26" s="517" t="str">
        <f>IFERROR(__xludf.DUMMYFUNCTION("""COMPUTED_VALUE"""),"NA")</f>
        <v>NA</v>
      </c>
      <c r="M26" s="517" t="str">
        <f>IFERROR(__xludf.DUMMYFUNCTION("""COMPUTED_VALUE"""),"G990-08489-31-05
G990-08489-31-B")</f>
        <v>G990-08489-31-05
G990-08489-31-B</v>
      </c>
      <c r="N26" s="517" t="str">
        <f>IFERROR(__xludf.DUMMYFUNCTION("""COMPUTED_VALUE"""),"G990-09563-00-A
G990-09563-00-B")</f>
        <v>G990-09563-00-A
G990-09563-00-B</v>
      </c>
      <c r="O26" s="517" t="str">
        <f>IFERROR(__xludf.DUMMYFUNCTION("""COMPUTED_VALUE"""),"BOB→B
Retail→B")</f>
        <v>BOB→B
Retail→B</v>
      </c>
      <c r="P26" s="517" t="str">
        <f>IFERROR(__xludf.DUMMYFUNCTION("""COMPUTED_VALUE"""),"G990-09563-00-A
G990-09563-00-B")</f>
        <v>G990-09563-00-A
G990-09563-00-B</v>
      </c>
      <c r="Q26" s="517" t="str">
        <f>IFERROR(__xludf.DUMMYFUNCTION("""COMPUTED_VALUE"""),"Lemongrass")</f>
        <v>Lemongrass</v>
      </c>
      <c r="R26" s="517" t="str">
        <f>IFERROR(__xludf.DUMMYFUNCTION("""COMPUTED_VALUE"""),"YEL")</f>
        <v>YEL</v>
      </c>
      <c r="S26" s="517" t="str">
        <f>IFERROR(__xludf.DUMMYFUNCTION("""COMPUTED_VALUE"""),"UK/EU")</f>
        <v>UK/EU</v>
      </c>
      <c r="T26" s="517" t="str">
        <f>IFERROR(__xludf.DUMMYFUNCTION("""COMPUTED_VALUE"""),"SKU, CLR3, GOOD, SUB6, EU/UK, FL5")</f>
        <v>SKU, CLR3, GOOD, SUB6, EU/UK, FL5</v>
      </c>
      <c r="U26" s="517" t="str">
        <f>IFERROR(__xludf.DUMMYFUNCTION("""COMPUTED_VALUE"""),"Pixel 10, Lemongrass, 128GB, UK/EU")</f>
        <v>Pixel 10, Lemongrass, 128GB, UK/EU</v>
      </c>
      <c r="V26" s="624" t="str">
        <f>IFERROR(__xludf.DUMMYFUNCTION("""COMPUTED_VALUE"""),"#NUM!")</f>
        <v>#NUM!</v>
      </c>
      <c r="W26" s="625">
        <f>IFERROR(__xludf.DUMMYFUNCTION("""COMPUTED_VALUE"""),45815.0)</f>
        <v>45815</v>
      </c>
      <c r="X26" s="626">
        <f>IFERROR(__xludf.DUMMYFUNCTION("""COMPUTED_VALUE"""),45764.0)</f>
        <v>45764</v>
      </c>
      <c r="Y26" s="517" t="b">
        <f>IFERROR(__xludf.DUMMYFUNCTION("""COMPUTED_VALUE"""),TRUE)</f>
        <v>1</v>
      </c>
      <c r="Z26" s="626">
        <f>IFERROR(__xludf.DUMMYFUNCTION("""COMPUTED_VALUE"""),45764.0)</f>
        <v>45764</v>
      </c>
      <c r="AA26" s="517" t="b">
        <f>IFERROR(__xludf.DUMMYFUNCTION("""COMPUTED_VALUE"""),FALSE)</f>
        <v>0</v>
      </c>
    </row>
    <row r="27">
      <c r="B27" s="517" t="str">
        <f>IFERROR(__xludf.DUMMYFUNCTION("""COMPUTED_VALUE"""),"UK,DE, IT, ES, IE,FR, NO,SE,DK,NL, BE, AT, CH, PT, PL, SK,")</f>
        <v>UK,DE, IT, ES, IE,FR, NO,SE,DK,NL, BE, AT, CH, PT, PL, SK,</v>
      </c>
      <c r="C27" s="518" t="str">
        <f>IFERROR(__xludf.DUMMYFUNCTION("""COMPUTED_VALUE"""),"0840353926981")</f>
        <v>0840353926981</v>
      </c>
      <c r="D27" s="517" t="str">
        <f>IFERROR(__xludf.DUMMYFUNCTION("""COMPUTED_VALUE"""),"Pristine")</f>
        <v>Pristine</v>
      </c>
      <c r="E27" s="517" t="str">
        <f>IFERROR(__xludf.DUMMYFUNCTION("""COMPUTED_VALUE"""),"GA10216-GB")</f>
        <v>GA10216-GB</v>
      </c>
      <c r="F27" s="517" t="str">
        <f>IFERROR(__xludf.DUMMYFUNCTION("""COMPUTED_VALUE"""),"GK2MP
")</f>
        <v>GK2MP
</v>
      </c>
      <c r="G27" s="517"/>
      <c r="H27" s="518" t="str">
        <f>IFERROR(__xludf.DUMMYFUNCTION("""COMPUTED_VALUE"""),"840353926981")</f>
        <v>840353926981</v>
      </c>
      <c r="I27" s="518" t="str">
        <f>IFERROR(__xludf.DUMMYFUNCTION("""COMPUTED_VALUE"""),"No")</f>
        <v>No</v>
      </c>
      <c r="J27" s="517" t="str">
        <f>IFERROR(__xludf.DUMMYFUNCTION("""COMPUTED_VALUE"""),"Retail_10ct")</f>
        <v>Retail_10ct</v>
      </c>
      <c r="K27" s="517" t="str">
        <f>IFERROR(__xludf.DUMMYFUNCTION("""COMPUTED_VALUE"""),"ROW Master Carton Label (EAN)")</f>
        <v>ROW Master Carton Label (EAN)</v>
      </c>
      <c r="L27" s="517" t="str">
        <f>IFERROR(__xludf.DUMMYFUNCTION("""COMPUTED_VALUE"""),"NA")</f>
        <v>NA</v>
      </c>
      <c r="M27" s="517" t="str">
        <f>IFERROR(__xludf.DUMMYFUNCTION("""COMPUTED_VALUE"""),"G990-08489-41-05
G990-08489-41-B")</f>
        <v>G990-08489-41-05
G990-08489-41-B</v>
      </c>
      <c r="N27" s="517" t="str">
        <f>IFERROR(__xludf.DUMMYFUNCTION("""COMPUTED_VALUE"""),"G990-09563-00-A
G990-09563-00-B")</f>
        <v>G990-09563-00-A
G990-09563-00-B</v>
      </c>
      <c r="O27" s="517" t="str">
        <f>IFERROR(__xludf.DUMMYFUNCTION("""COMPUTED_VALUE"""),"BOB→B
Retail→B")</f>
        <v>BOB→B
Retail→B</v>
      </c>
      <c r="P27" s="517" t="str">
        <f>IFERROR(__xludf.DUMMYFUNCTION("""COMPUTED_VALUE"""),"G990-09563-00-A
G990-09563-00-B")</f>
        <v>G990-09563-00-A
G990-09563-00-B</v>
      </c>
      <c r="Q27" s="517"/>
      <c r="R27" s="517" t="str">
        <f>IFERROR(__xludf.DUMMYFUNCTION("""COMPUTED_VALUE"""),"BUE")</f>
        <v>BUE</v>
      </c>
      <c r="S27" s="517" t="str">
        <f>IFERROR(__xludf.DUMMYFUNCTION("""COMPUTED_VALUE"""),"UK/EU")</f>
        <v>UK/EU</v>
      </c>
      <c r="T27" s="517" t="str">
        <f>IFERROR(__xludf.DUMMYFUNCTION("""COMPUTED_VALUE"""),"SKU, CLR4, GOOD, SUB6, EU/UK, FL5")</f>
        <v>SKU, CLR4, GOOD, SUB6, EU/UK, FL5</v>
      </c>
      <c r="U27" s="517" t="str">
        <f>IFERROR(__xludf.DUMMYFUNCTION("""COMPUTED_VALUE"""),"Pixel 10, Indigo, 128GB, UK/EU")</f>
        <v>Pixel 10, Indigo, 128GB, UK/EU</v>
      </c>
      <c r="V27" s="624" t="str">
        <f>IFERROR(__xludf.DUMMYFUNCTION("""COMPUTED_VALUE"""),"#NUM!")</f>
        <v>#NUM!</v>
      </c>
      <c r="W27" s="625">
        <f>IFERROR(__xludf.DUMMYFUNCTION("""COMPUTED_VALUE"""),45815.0)</f>
        <v>45815</v>
      </c>
      <c r="X27" s="626">
        <f>IFERROR(__xludf.DUMMYFUNCTION("""COMPUTED_VALUE"""),45764.0)</f>
        <v>45764</v>
      </c>
      <c r="Y27" s="517" t="b">
        <f>IFERROR(__xludf.DUMMYFUNCTION("""COMPUTED_VALUE"""),TRUE)</f>
        <v>1</v>
      </c>
      <c r="Z27" s="626">
        <f>IFERROR(__xludf.DUMMYFUNCTION("""COMPUTED_VALUE"""),45764.0)</f>
        <v>45764</v>
      </c>
      <c r="AA27" s="517" t="b">
        <f>IFERROR(__xludf.DUMMYFUNCTION("""COMPUTED_VALUE"""),FALSE)</f>
        <v>0</v>
      </c>
    </row>
    <row r="28">
      <c r="B28" s="517" t="str">
        <f>IFERROR(__xludf.DUMMYFUNCTION("""COMPUTED_VALUE"""),"UK,DE, IT, ES, IE,FR, NO,SE,DK,NL, BE, AT, CH, PT, PL, SK,")</f>
        <v>UK,DE, IT, ES, IE,FR, NO,SE,DK,NL, BE, AT, CH, PT, PL, SK,</v>
      </c>
      <c r="C28" s="518" t="str">
        <f>IFERROR(__xludf.DUMMYFUNCTION("""COMPUTED_VALUE"""),"0840353926547")</f>
        <v>0840353926547</v>
      </c>
      <c r="D28" s="517" t="str">
        <f>IFERROR(__xludf.DUMMYFUNCTION("""COMPUTED_VALUE"""),"Pristine")</f>
        <v>Pristine</v>
      </c>
      <c r="E28" s="517" t="str">
        <f>IFERROR(__xludf.DUMMYFUNCTION("""COMPUTED_VALUE"""),"GA09883-GB")</f>
        <v>GA09883-GB</v>
      </c>
      <c r="F28" s="517" t="str">
        <f>IFERROR(__xludf.DUMMYFUNCTION("""COMPUTED_VALUE"""),"GK2MP
")</f>
        <v>GK2MP
</v>
      </c>
      <c r="G28" s="517"/>
      <c r="H28" s="518" t="str">
        <f>IFERROR(__xludf.DUMMYFUNCTION("""COMPUTED_VALUE"""),"840353926547")</f>
        <v>840353926547</v>
      </c>
      <c r="I28" s="517"/>
      <c r="J28" s="517" t="str">
        <f>IFERROR(__xludf.DUMMYFUNCTION("""COMPUTED_VALUE"""),"Retail_10ct")</f>
        <v>Retail_10ct</v>
      </c>
      <c r="K28" s="517" t="str">
        <f>IFERROR(__xludf.DUMMYFUNCTION("""COMPUTED_VALUE"""),"ROW Master Carton Label (EAN)")</f>
        <v>ROW Master Carton Label (EAN)</v>
      </c>
      <c r="L28" s="517" t="str">
        <f>IFERROR(__xludf.DUMMYFUNCTION("""COMPUTED_VALUE"""),"NA")</f>
        <v>NA</v>
      </c>
      <c r="M28" s="517" t="str">
        <f>IFERROR(__xludf.DUMMYFUNCTION("""COMPUTED_VALUE"""),"G990-08489-12-05
G990-08489-12-B")</f>
        <v>G990-08489-12-05
G990-08489-12-B</v>
      </c>
      <c r="N28" s="517" t="str">
        <f>IFERROR(__xludf.DUMMYFUNCTION("""COMPUTED_VALUE"""),"G990-09563-00-A
G990-09563-00-B")</f>
        <v>G990-09563-00-A
G990-09563-00-B</v>
      </c>
      <c r="O28" s="517" t="str">
        <f>IFERROR(__xludf.DUMMYFUNCTION("""COMPUTED_VALUE"""),"BOB→B
Retail→B")</f>
        <v>BOB→B
Retail→B</v>
      </c>
      <c r="P28" s="517" t="str">
        <f>IFERROR(__xludf.DUMMYFUNCTION("""COMPUTED_VALUE"""),"G990-09563-00-A
G990-09563-00-B")</f>
        <v>G990-09563-00-A
G990-09563-00-B</v>
      </c>
      <c r="Q28" s="517" t="str">
        <f>IFERROR(__xludf.DUMMYFUNCTION("""COMPUTED_VALUE"""),"Obsidian")</f>
        <v>Obsidian</v>
      </c>
      <c r="R28" s="517" t="str">
        <f>IFERROR(__xludf.DUMMYFUNCTION("""COMPUTED_VALUE"""),"BLK")</f>
        <v>BLK</v>
      </c>
      <c r="S28" s="517" t="str">
        <f>IFERROR(__xludf.DUMMYFUNCTION("""COMPUTED_VALUE"""),"UK/EU")</f>
        <v>UK/EU</v>
      </c>
      <c r="T28" s="517" t="str">
        <f>IFERROR(__xludf.DUMMYFUNCTION("""COMPUTED_VALUE"""),"SKU, CLR1, BETTER, SUB6, EU/UK, FL5")</f>
        <v>SKU, CLR1, BETTER, SUB6, EU/UK, FL5</v>
      </c>
      <c r="U28" s="517" t="str">
        <f>IFERROR(__xludf.DUMMYFUNCTION("""COMPUTED_VALUE"""),"Pixel 10, Obsidian, 256GB, UK/EU")</f>
        <v>Pixel 10, Obsidian, 256GB, UK/EU</v>
      </c>
      <c r="V28" s="624" t="str">
        <f>IFERROR(__xludf.DUMMYFUNCTION("""COMPUTED_VALUE"""),"#NUM!")</f>
        <v>#NUM!</v>
      </c>
      <c r="W28" s="625">
        <f>IFERROR(__xludf.DUMMYFUNCTION("""COMPUTED_VALUE"""),45815.0)</f>
        <v>45815</v>
      </c>
      <c r="X28" s="626">
        <f>IFERROR(__xludf.DUMMYFUNCTION("""COMPUTED_VALUE"""),45764.0)</f>
        <v>45764</v>
      </c>
      <c r="Y28" s="517" t="b">
        <f>IFERROR(__xludf.DUMMYFUNCTION("""COMPUTED_VALUE"""),TRUE)</f>
        <v>1</v>
      </c>
      <c r="Z28" s="626">
        <f>IFERROR(__xludf.DUMMYFUNCTION("""COMPUTED_VALUE"""),45764.0)</f>
        <v>45764</v>
      </c>
      <c r="AA28" s="517" t="b">
        <f>IFERROR(__xludf.DUMMYFUNCTION("""COMPUTED_VALUE"""),FALSE)</f>
        <v>0</v>
      </c>
    </row>
    <row r="29">
      <c r="B29" s="517" t="str">
        <f>IFERROR(__xludf.DUMMYFUNCTION("""COMPUTED_VALUE"""),"UK,DE, IT, ES, IE,FR, NO,SE,DK,NL, BE, AT, CH, PT, PL, SK,")</f>
        <v>UK,DE, IT, ES, IE,FR, NO,SE,DK,NL, BE, AT, CH, PT, PL, SK,</v>
      </c>
      <c r="C29" s="518" t="str">
        <f>IFERROR(__xludf.DUMMYFUNCTION("""COMPUTED_VALUE"""),"0840353926646")</f>
        <v>0840353926646</v>
      </c>
      <c r="D29" s="517" t="str">
        <f>IFERROR(__xludf.DUMMYFUNCTION("""COMPUTED_VALUE"""),"Pristine")</f>
        <v>Pristine</v>
      </c>
      <c r="E29" s="517" t="str">
        <f>IFERROR(__xludf.DUMMYFUNCTION("""COMPUTED_VALUE"""),"GA10217-GB")</f>
        <v>GA10217-GB</v>
      </c>
      <c r="F29" s="517" t="str">
        <f>IFERROR(__xludf.DUMMYFUNCTION("""COMPUTED_VALUE"""),"GK2MP
")</f>
        <v>GK2MP
</v>
      </c>
      <c r="G29" s="517"/>
      <c r="H29" s="518" t="str">
        <f>IFERROR(__xludf.DUMMYFUNCTION("""COMPUTED_VALUE"""),"840353926646")</f>
        <v>840353926646</v>
      </c>
      <c r="I29" s="517"/>
      <c r="J29" s="517" t="str">
        <f>IFERROR(__xludf.DUMMYFUNCTION("""COMPUTED_VALUE"""),"Retail_10ct")</f>
        <v>Retail_10ct</v>
      </c>
      <c r="K29" s="517" t="str">
        <f>IFERROR(__xludf.DUMMYFUNCTION("""COMPUTED_VALUE"""),"ROW Master Carton Label (EAN)")</f>
        <v>ROW Master Carton Label (EAN)</v>
      </c>
      <c r="L29" s="517" t="str">
        <f>IFERROR(__xludf.DUMMYFUNCTION("""COMPUTED_VALUE"""),"NA")</f>
        <v>NA</v>
      </c>
      <c r="M29" s="517" t="str">
        <f>IFERROR(__xludf.DUMMYFUNCTION("""COMPUTED_VALUE"""),"G990-08489-22-05
G990-08489-22-B")</f>
        <v>G990-08489-22-05
G990-08489-22-B</v>
      </c>
      <c r="N29" s="517" t="str">
        <f>IFERROR(__xludf.DUMMYFUNCTION("""COMPUTED_VALUE"""),"G990-09563-00-A
G990-09563-00-B")</f>
        <v>G990-09563-00-A
G990-09563-00-B</v>
      </c>
      <c r="O29" s="517" t="str">
        <f>IFERROR(__xludf.DUMMYFUNCTION("""COMPUTED_VALUE"""),"BOB→B
Retail→B")</f>
        <v>BOB→B
Retail→B</v>
      </c>
      <c r="P29" s="517" t="str">
        <f>IFERROR(__xludf.DUMMYFUNCTION("""COMPUTED_VALUE"""),"G990-09563-00-A
G990-09563-00-B")</f>
        <v>G990-09563-00-A
G990-09563-00-B</v>
      </c>
      <c r="Q29" s="517" t="str">
        <f>IFERROR(__xludf.DUMMYFUNCTION("""COMPUTED_VALUE"""),"Frost")</f>
        <v>Frost</v>
      </c>
      <c r="R29" s="517" t="str">
        <f>IFERROR(__xludf.DUMMYFUNCTION("""COMPUTED_VALUE"""),"PPL")</f>
        <v>PPL</v>
      </c>
      <c r="S29" s="517" t="str">
        <f>IFERROR(__xludf.DUMMYFUNCTION("""COMPUTED_VALUE"""),"UK/EU")</f>
        <v>UK/EU</v>
      </c>
      <c r="T29" s="517" t="str">
        <f>IFERROR(__xludf.DUMMYFUNCTION("""COMPUTED_VALUE"""),"SKU, CLR2, BETTER, SUB6, EU/UK, FL5")</f>
        <v>SKU, CLR2, BETTER, SUB6, EU/UK, FL5</v>
      </c>
      <c r="U29" s="517" t="str">
        <f>IFERROR(__xludf.DUMMYFUNCTION("""COMPUTED_VALUE"""),"Pixel 10, Frost, 256GB, UK/EU")</f>
        <v>Pixel 10, Frost, 256GB, UK/EU</v>
      </c>
      <c r="V29" s="624" t="str">
        <f>IFERROR(__xludf.DUMMYFUNCTION("""COMPUTED_VALUE"""),"#NUM!")</f>
        <v>#NUM!</v>
      </c>
      <c r="W29" s="625">
        <f>IFERROR(__xludf.DUMMYFUNCTION("""COMPUTED_VALUE"""),45815.0)</f>
        <v>45815</v>
      </c>
      <c r="X29" s="626">
        <f>IFERROR(__xludf.DUMMYFUNCTION("""COMPUTED_VALUE"""),45764.0)</f>
        <v>45764</v>
      </c>
      <c r="Y29" s="517" t="b">
        <f>IFERROR(__xludf.DUMMYFUNCTION("""COMPUTED_VALUE"""),TRUE)</f>
        <v>1</v>
      </c>
      <c r="Z29" s="626">
        <f>IFERROR(__xludf.DUMMYFUNCTION("""COMPUTED_VALUE"""),45764.0)</f>
        <v>45764</v>
      </c>
      <c r="AA29" s="517" t="b">
        <f>IFERROR(__xludf.DUMMYFUNCTION("""COMPUTED_VALUE"""),FALSE)</f>
        <v>0</v>
      </c>
    </row>
    <row r="30">
      <c r="B30" s="517" t="str">
        <f>IFERROR(__xludf.DUMMYFUNCTION("""COMPUTED_VALUE"""),"UK,DE, IT, ES, IE,FR, NO,SE,DK,NL, BE, AT, CH, PT, PL, SK,")</f>
        <v>UK,DE, IT, ES, IE,FR, NO,SE,DK,NL, BE, AT, CH, PT, PL, SK,</v>
      </c>
      <c r="C30" s="518" t="str">
        <f>IFERROR(__xludf.DUMMYFUNCTION("""COMPUTED_VALUE"""),"0840353926639")</f>
        <v>0840353926639</v>
      </c>
      <c r="D30" s="517" t="str">
        <f>IFERROR(__xludf.DUMMYFUNCTION("""COMPUTED_VALUE"""),"Pristine")</f>
        <v>Pristine</v>
      </c>
      <c r="E30" s="517" t="str">
        <f>IFERROR(__xludf.DUMMYFUNCTION("""COMPUTED_VALUE"""),"GA10218-GB")</f>
        <v>GA10218-GB</v>
      </c>
      <c r="F30" s="517" t="str">
        <f>IFERROR(__xludf.DUMMYFUNCTION("""COMPUTED_VALUE"""),"GK2MP
")</f>
        <v>GK2MP
</v>
      </c>
      <c r="G30" s="517"/>
      <c r="H30" s="518" t="str">
        <f>IFERROR(__xludf.DUMMYFUNCTION("""COMPUTED_VALUE"""),"840353926639")</f>
        <v>840353926639</v>
      </c>
      <c r="I30" s="517"/>
      <c r="J30" s="517" t="str">
        <f>IFERROR(__xludf.DUMMYFUNCTION("""COMPUTED_VALUE"""),"Retail_10ct")</f>
        <v>Retail_10ct</v>
      </c>
      <c r="K30" s="517" t="str">
        <f>IFERROR(__xludf.DUMMYFUNCTION("""COMPUTED_VALUE"""),"ROW Master Carton Label (EAN)")</f>
        <v>ROW Master Carton Label (EAN)</v>
      </c>
      <c r="L30" s="517" t="str">
        <f>IFERROR(__xludf.DUMMYFUNCTION("""COMPUTED_VALUE"""),"NA")</f>
        <v>NA</v>
      </c>
      <c r="M30" s="517" t="str">
        <f>IFERROR(__xludf.DUMMYFUNCTION("""COMPUTED_VALUE"""),"G990-08489-32-05
G990-08489-32-B")</f>
        <v>G990-08489-32-05
G990-08489-32-B</v>
      </c>
      <c r="N30" s="517" t="str">
        <f>IFERROR(__xludf.DUMMYFUNCTION("""COMPUTED_VALUE"""),"G990-09563-00-A
G990-09563-00-B")</f>
        <v>G990-09563-00-A
G990-09563-00-B</v>
      </c>
      <c r="O30" s="517" t="str">
        <f>IFERROR(__xludf.DUMMYFUNCTION("""COMPUTED_VALUE"""),"BOB→B
Retail→B")</f>
        <v>BOB→B
Retail→B</v>
      </c>
      <c r="P30" s="517" t="str">
        <f>IFERROR(__xludf.DUMMYFUNCTION("""COMPUTED_VALUE"""),"G990-09563-00-A
G990-09563-00-B")</f>
        <v>G990-09563-00-A
G990-09563-00-B</v>
      </c>
      <c r="Q30" s="517" t="str">
        <f>IFERROR(__xludf.DUMMYFUNCTION("""COMPUTED_VALUE"""),"Lemongrass")</f>
        <v>Lemongrass</v>
      </c>
      <c r="R30" s="517" t="str">
        <f>IFERROR(__xludf.DUMMYFUNCTION("""COMPUTED_VALUE"""),"YEL")</f>
        <v>YEL</v>
      </c>
      <c r="S30" s="517" t="str">
        <f>IFERROR(__xludf.DUMMYFUNCTION("""COMPUTED_VALUE"""),"UK/EU")</f>
        <v>UK/EU</v>
      </c>
      <c r="T30" s="517" t="str">
        <f>IFERROR(__xludf.DUMMYFUNCTION("""COMPUTED_VALUE"""),"SKU, CLR3, BETTER, SUB6, EU/UK, FL5")</f>
        <v>SKU, CLR3, BETTER, SUB6, EU/UK, FL5</v>
      </c>
      <c r="U30" s="517" t="str">
        <f>IFERROR(__xludf.DUMMYFUNCTION("""COMPUTED_VALUE"""),"Pixel 10, Lemongrass, 256GB, UK/EU")</f>
        <v>Pixel 10, Lemongrass, 256GB, UK/EU</v>
      </c>
      <c r="V30" s="624" t="str">
        <f>IFERROR(__xludf.DUMMYFUNCTION("""COMPUTED_VALUE"""),"#NUM!")</f>
        <v>#NUM!</v>
      </c>
      <c r="W30" s="625">
        <f>IFERROR(__xludf.DUMMYFUNCTION("""COMPUTED_VALUE"""),45815.0)</f>
        <v>45815</v>
      </c>
      <c r="X30" s="626">
        <f>IFERROR(__xludf.DUMMYFUNCTION("""COMPUTED_VALUE"""),45764.0)</f>
        <v>45764</v>
      </c>
      <c r="Y30" s="517" t="b">
        <f>IFERROR(__xludf.DUMMYFUNCTION("""COMPUTED_VALUE"""),TRUE)</f>
        <v>1</v>
      </c>
      <c r="Z30" s="626">
        <f>IFERROR(__xludf.DUMMYFUNCTION("""COMPUTED_VALUE"""),45764.0)</f>
        <v>45764</v>
      </c>
      <c r="AA30" s="517" t="b">
        <f>IFERROR(__xludf.DUMMYFUNCTION("""COMPUTED_VALUE"""),FALSE)</f>
        <v>0</v>
      </c>
    </row>
    <row r="31">
      <c r="B31" s="517" t="str">
        <f>IFERROR(__xludf.DUMMYFUNCTION("""COMPUTED_VALUE"""),"UK,DE, IT, ES, IE,FR, NO,SE,DK,NL, BE, AT, CH, PT, PL, SK,")</f>
        <v>UK,DE, IT, ES, IE,FR, NO,SE,DK,NL, BE, AT, CH, PT, PL, SK,</v>
      </c>
      <c r="C31" s="518" t="str">
        <f>IFERROR(__xludf.DUMMYFUNCTION("""COMPUTED_VALUE"""),"0840353926608")</f>
        <v>0840353926608</v>
      </c>
      <c r="D31" s="517" t="str">
        <f>IFERROR(__xludf.DUMMYFUNCTION("""COMPUTED_VALUE"""),"Pristine")</f>
        <v>Pristine</v>
      </c>
      <c r="E31" s="517" t="str">
        <f>IFERROR(__xludf.DUMMYFUNCTION("""COMPUTED_VALUE"""),"GA10219-GB")</f>
        <v>GA10219-GB</v>
      </c>
      <c r="F31" s="517" t="str">
        <f>IFERROR(__xludf.DUMMYFUNCTION("""COMPUTED_VALUE"""),"GK2MP
")</f>
        <v>GK2MP
</v>
      </c>
      <c r="G31" s="517"/>
      <c r="H31" s="518" t="str">
        <f>IFERROR(__xludf.DUMMYFUNCTION("""COMPUTED_VALUE"""),"840353926608")</f>
        <v>840353926608</v>
      </c>
      <c r="I31" s="517"/>
      <c r="J31" s="517" t="str">
        <f>IFERROR(__xludf.DUMMYFUNCTION("""COMPUTED_VALUE"""),"Retail_10ct")</f>
        <v>Retail_10ct</v>
      </c>
      <c r="K31" s="517" t="str">
        <f>IFERROR(__xludf.DUMMYFUNCTION("""COMPUTED_VALUE"""),"ROW Master Carton Label (EAN)")</f>
        <v>ROW Master Carton Label (EAN)</v>
      </c>
      <c r="L31" s="517" t="str">
        <f>IFERROR(__xludf.DUMMYFUNCTION("""COMPUTED_VALUE"""),"NA")</f>
        <v>NA</v>
      </c>
      <c r="M31" s="517" t="str">
        <f>IFERROR(__xludf.DUMMYFUNCTION("""COMPUTED_VALUE"""),"G990-08489-42-05
G990-08489-42-B")</f>
        <v>G990-08489-42-05
G990-08489-42-B</v>
      </c>
      <c r="N31" s="517" t="str">
        <f>IFERROR(__xludf.DUMMYFUNCTION("""COMPUTED_VALUE"""),"G990-09563-00-A
G990-09563-00-B")</f>
        <v>G990-09563-00-A
G990-09563-00-B</v>
      </c>
      <c r="O31" s="517" t="str">
        <f>IFERROR(__xludf.DUMMYFUNCTION("""COMPUTED_VALUE"""),"BOB→B
Retail→B")</f>
        <v>BOB→B
Retail→B</v>
      </c>
      <c r="P31" s="517" t="str">
        <f>IFERROR(__xludf.DUMMYFUNCTION("""COMPUTED_VALUE"""),"G990-09563-00-A
G990-09563-00-B")</f>
        <v>G990-09563-00-A
G990-09563-00-B</v>
      </c>
      <c r="Q31" s="517" t="str">
        <f>IFERROR(__xludf.DUMMYFUNCTION("""COMPUTED_VALUE"""),"Indigo")</f>
        <v>Indigo</v>
      </c>
      <c r="R31" s="517" t="str">
        <f>IFERROR(__xludf.DUMMYFUNCTION("""COMPUTED_VALUE"""),"BUE")</f>
        <v>BUE</v>
      </c>
      <c r="S31" s="517" t="str">
        <f>IFERROR(__xludf.DUMMYFUNCTION("""COMPUTED_VALUE"""),"UK/EU")</f>
        <v>UK/EU</v>
      </c>
      <c r="T31" s="517" t="str">
        <f>IFERROR(__xludf.DUMMYFUNCTION("""COMPUTED_VALUE"""),"SKU, CLR4, BETTER, SUB6, EU/UK, FL5")</f>
        <v>SKU, CLR4, BETTER, SUB6, EU/UK, FL5</v>
      </c>
      <c r="U31" s="517" t="str">
        <f>IFERROR(__xludf.DUMMYFUNCTION("""COMPUTED_VALUE"""),"Pixel 10, Indigo, 256GB, UK/EU")</f>
        <v>Pixel 10, Indigo, 256GB, UK/EU</v>
      </c>
      <c r="V31" s="624" t="str">
        <f>IFERROR(__xludf.DUMMYFUNCTION("""COMPUTED_VALUE"""),"#NUM!")</f>
        <v>#NUM!</v>
      </c>
      <c r="W31" s="625">
        <f>IFERROR(__xludf.DUMMYFUNCTION("""COMPUTED_VALUE"""),45815.0)</f>
        <v>45815</v>
      </c>
      <c r="X31" s="626">
        <f>IFERROR(__xludf.DUMMYFUNCTION("""COMPUTED_VALUE"""),45764.0)</f>
        <v>45764</v>
      </c>
      <c r="Y31" s="517" t="b">
        <f>IFERROR(__xludf.DUMMYFUNCTION("""COMPUTED_VALUE"""),TRUE)</f>
        <v>1</v>
      </c>
      <c r="Z31" s="626">
        <f>IFERROR(__xludf.DUMMYFUNCTION("""COMPUTED_VALUE"""),45764.0)</f>
        <v>45764</v>
      </c>
      <c r="AA31" s="517" t="b">
        <f>IFERROR(__xludf.DUMMYFUNCTION("""COMPUTED_VALUE"""),FALSE)</f>
        <v>0</v>
      </c>
    </row>
    <row r="32">
      <c r="B32" s="517" t="str">
        <f>IFERROR(__xludf.DUMMYFUNCTION("""COMPUTED_VALUE"""),"IN")</f>
        <v>IN</v>
      </c>
      <c r="C32" s="517" t="str">
        <f>IFERROR(__xludf.DUMMYFUNCTION("""COMPUTED_VALUE"""),"Cancel")</f>
        <v>Cancel</v>
      </c>
      <c r="D32" s="517" t="str">
        <f>IFERROR(__xludf.DUMMYFUNCTION("""COMPUTED_VALUE"""),"Pristine")</f>
        <v>Pristine</v>
      </c>
      <c r="E32" s="517" t="str">
        <f>IFERROR(__xludf.DUMMYFUNCTION("""COMPUTED_VALUE"""),"GA09744-IN")</f>
        <v>GA09744-IN</v>
      </c>
      <c r="F32" s="517"/>
      <c r="G32" s="517"/>
      <c r="H32" s="518" t="str">
        <f>IFERROR(__xludf.DUMMYFUNCTION("""COMPUTED_VALUE"""),"TBD")</f>
        <v>TBD</v>
      </c>
      <c r="I32" s="518" t="str">
        <f>IFERROR(__xludf.DUMMYFUNCTION("""COMPUTED_VALUE"""),"Yes")</f>
        <v>Yes</v>
      </c>
      <c r="J32" s="517" t="b">
        <f>IFERROR(__xludf.DUMMYFUNCTION("""COMPUTED_VALUE"""),FALSE)</f>
        <v>0</v>
      </c>
      <c r="K32" s="517" t="str">
        <f>IFERROR(__xludf.DUMMYFUNCTION("""COMPUTED_VALUE"""),"IN Master Carton Label")</f>
        <v>IN Master Carton Label</v>
      </c>
      <c r="L32" s="517"/>
      <c r="M32" s="517" t="str">
        <f>IFERROR(__xludf.DUMMYFUNCTION("""COMPUTED_VALUE"""),"TBD")</f>
        <v>TBD</v>
      </c>
      <c r="N32" s="517" t="str">
        <f>IFERROR(__xludf.DUMMYFUNCTION("""COMPUTED_VALUE"""),"TBD")</f>
        <v>TBD</v>
      </c>
      <c r="O32" s="517"/>
      <c r="P32" s="517" t="str">
        <f>IFERROR(__xludf.DUMMYFUNCTION("""COMPUTED_VALUE"""),"TBD")</f>
        <v>TBD</v>
      </c>
      <c r="Q32" s="517" t="str">
        <f>IFERROR(__xludf.DUMMYFUNCTION("""COMPUTED_VALUE"""),"Obsidian")</f>
        <v>Obsidian</v>
      </c>
      <c r="R32" s="517" t="str">
        <f>IFERROR(__xludf.DUMMYFUNCTION("""COMPUTED_VALUE"""),"BLK")</f>
        <v>BLK</v>
      </c>
      <c r="S32" s="517" t="str">
        <f>IFERROR(__xludf.DUMMYFUNCTION("""COMPUTED_VALUE"""),"IN")</f>
        <v>IN</v>
      </c>
      <c r="T32" s="517" t="str">
        <f>IFERROR(__xludf.DUMMYFUNCTION("""COMPUTED_VALUE"""),"SKU, CLR1, GOOD, SUB6, IN, FL5")</f>
        <v>SKU, CLR1, GOOD, SUB6, IN, FL5</v>
      </c>
      <c r="U32" s="517"/>
      <c r="V32" s="624" t="str">
        <f>IFERROR(__xludf.DUMMYFUNCTION("""COMPUTED_VALUE"""),"#NUM!")</f>
        <v>#NUM!</v>
      </c>
      <c r="W32" s="625">
        <f>IFERROR(__xludf.DUMMYFUNCTION("""COMPUTED_VALUE"""),45815.0)</f>
        <v>45815</v>
      </c>
      <c r="X32" s="626">
        <f>IFERROR(__xludf.DUMMYFUNCTION("""COMPUTED_VALUE"""),45764.0)</f>
        <v>45764</v>
      </c>
      <c r="Y32" s="517" t="str">
        <f>IFERROR(__xludf.DUMMYFUNCTION("""COMPUTED_VALUE"""),"N/A")</f>
        <v>N/A</v>
      </c>
      <c r="Z32" s="626">
        <f>IFERROR(__xludf.DUMMYFUNCTION("""COMPUTED_VALUE"""),45764.0)</f>
        <v>45764</v>
      </c>
      <c r="AA32" s="517" t="b">
        <f>IFERROR(__xludf.DUMMYFUNCTION("""COMPUTED_VALUE"""),FALSE)</f>
        <v>0</v>
      </c>
    </row>
    <row r="33">
      <c r="B33" s="517" t="str">
        <f>IFERROR(__xludf.DUMMYFUNCTION("""COMPUTED_VALUE"""),"IN")</f>
        <v>IN</v>
      </c>
      <c r="C33" s="517" t="str">
        <f>IFERROR(__xludf.DUMMYFUNCTION("""COMPUTED_VALUE"""),"Cancel")</f>
        <v>Cancel</v>
      </c>
      <c r="D33" s="517" t="str">
        <f>IFERROR(__xludf.DUMMYFUNCTION("""COMPUTED_VALUE"""),"Pristine")</f>
        <v>Pristine</v>
      </c>
      <c r="E33" s="517" t="str">
        <f>IFERROR(__xludf.DUMMYFUNCTION("""COMPUTED_VALUE"""),"GA10214-IN")</f>
        <v>GA10214-IN</v>
      </c>
      <c r="F33" s="517"/>
      <c r="G33" s="517"/>
      <c r="H33" s="518" t="str">
        <f>IFERROR(__xludf.DUMMYFUNCTION("""COMPUTED_VALUE"""),"TBD")</f>
        <v>TBD</v>
      </c>
      <c r="I33" s="518" t="str">
        <f>IFERROR(__xludf.DUMMYFUNCTION("""COMPUTED_VALUE"""),"Yes")</f>
        <v>Yes</v>
      </c>
      <c r="J33" s="517" t="b">
        <f>IFERROR(__xludf.DUMMYFUNCTION("""COMPUTED_VALUE"""),FALSE)</f>
        <v>0</v>
      </c>
      <c r="K33" s="517" t="str">
        <f>IFERROR(__xludf.DUMMYFUNCTION("""COMPUTED_VALUE"""),"IN Master Carton Label")</f>
        <v>IN Master Carton Label</v>
      </c>
      <c r="L33" s="517"/>
      <c r="M33" s="517" t="str">
        <f>IFERROR(__xludf.DUMMYFUNCTION("""COMPUTED_VALUE"""),"TBD")</f>
        <v>TBD</v>
      </c>
      <c r="N33" s="517" t="str">
        <f>IFERROR(__xludf.DUMMYFUNCTION("""COMPUTED_VALUE"""),"TBD")</f>
        <v>TBD</v>
      </c>
      <c r="O33" s="517"/>
      <c r="P33" s="517" t="str">
        <f>IFERROR(__xludf.DUMMYFUNCTION("""COMPUTED_VALUE"""),"TBD")</f>
        <v>TBD</v>
      </c>
      <c r="Q33" s="517" t="str">
        <f>IFERROR(__xludf.DUMMYFUNCTION("""COMPUTED_VALUE"""),"Frost")</f>
        <v>Frost</v>
      </c>
      <c r="R33" s="517" t="str">
        <f>IFERROR(__xludf.DUMMYFUNCTION("""COMPUTED_VALUE"""),"PPL")</f>
        <v>PPL</v>
      </c>
      <c r="S33" s="517" t="str">
        <f>IFERROR(__xludf.DUMMYFUNCTION("""COMPUTED_VALUE"""),"IN")</f>
        <v>IN</v>
      </c>
      <c r="T33" s="517" t="str">
        <f>IFERROR(__xludf.DUMMYFUNCTION("""COMPUTED_VALUE"""),"SKU, CLR2, GOOD, SUB6, IN, FL5")</f>
        <v>SKU, CLR2, GOOD, SUB6, IN, FL5</v>
      </c>
      <c r="U33" s="517"/>
      <c r="V33" s="624" t="str">
        <f>IFERROR(__xludf.DUMMYFUNCTION("""COMPUTED_VALUE"""),"#NUM!")</f>
        <v>#NUM!</v>
      </c>
      <c r="W33" s="625">
        <f>IFERROR(__xludf.DUMMYFUNCTION("""COMPUTED_VALUE"""),45815.0)</f>
        <v>45815</v>
      </c>
      <c r="X33" s="626">
        <f>IFERROR(__xludf.DUMMYFUNCTION("""COMPUTED_VALUE"""),45764.0)</f>
        <v>45764</v>
      </c>
      <c r="Y33" s="517" t="str">
        <f>IFERROR(__xludf.DUMMYFUNCTION("""COMPUTED_VALUE"""),"N/A")</f>
        <v>N/A</v>
      </c>
      <c r="Z33" s="626">
        <f>IFERROR(__xludf.DUMMYFUNCTION("""COMPUTED_VALUE"""),45764.0)</f>
        <v>45764</v>
      </c>
      <c r="AA33" s="517" t="b">
        <f>IFERROR(__xludf.DUMMYFUNCTION("""COMPUTED_VALUE"""),FALSE)</f>
        <v>0</v>
      </c>
    </row>
    <row r="34">
      <c r="B34" s="517" t="str">
        <f>IFERROR(__xludf.DUMMYFUNCTION("""COMPUTED_VALUE"""),"IN")</f>
        <v>IN</v>
      </c>
      <c r="C34" s="517" t="str">
        <f>IFERROR(__xludf.DUMMYFUNCTION("""COMPUTED_VALUE"""),"Cancel")</f>
        <v>Cancel</v>
      </c>
      <c r="D34" s="517" t="str">
        <f>IFERROR(__xludf.DUMMYFUNCTION("""COMPUTED_VALUE"""),"Pristine")</f>
        <v>Pristine</v>
      </c>
      <c r="E34" s="517" t="str">
        <f>IFERROR(__xludf.DUMMYFUNCTION("""COMPUTED_VALUE"""),"GA10215-IN")</f>
        <v>GA10215-IN</v>
      </c>
      <c r="F34" s="517"/>
      <c r="G34" s="517"/>
      <c r="H34" s="518" t="str">
        <f>IFERROR(__xludf.DUMMYFUNCTION("""COMPUTED_VALUE"""),"TBD")</f>
        <v>TBD</v>
      </c>
      <c r="I34" s="518" t="str">
        <f>IFERROR(__xludf.DUMMYFUNCTION("""COMPUTED_VALUE"""),"Yes")</f>
        <v>Yes</v>
      </c>
      <c r="J34" s="517" t="b">
        <f>IFERROR(__xludf.DUMMYFUNCTION("""COMPUTED_VALUE"""),FALSE)</f>
        <v>0</v>
      </c>
      <c r="K34" s="517" t="str">
        <f>IFERROR(__xludf.DUMMYFUNCTION("""COMPUTED_VALUE"""),"IN Master Carton Label")</f>
        <v>IN Master Carton Label</v>
      </c>
      <c r="L34" s="517"/>
      <c r="M34" s="517" t="str">
        <f>IFERROR(__xludf.DUMMYFUNCTION("""COMPUTED_VALUE"""),"TBD")</f>
        <v>TBD</v>
      </c>
      <c r="N34" s="517" t="str">
        <f>IFERROR(__xludf.DUMMYFUNCTION("""COMPUTED_VALUE"""),"TBD")</f>
        <v>TBD</v>
      </c>
      <c r="O34" s="517"/>
      <c r="P34" s="517" t="str">
        <f>IFERROR(__xludf.DUMMYFUNCTION("""COMPUTED_VALUE"""),"TBD")</f>
        <v>TBD</v>
      </c>
      <c r="Q34" s="517" t="str">
        <f>IFERROR(__xludf.DUMMYFUNCTION("""COMPUTED_VALUE"""),"Lemongrass")</f>
        <v>Lemongrass</v>
      </c>
      <c r="R34" s="517" t="str">
        <f>IFERROR(__xludf.DUMMYFUNCTION("""COMPUTED_VALUE"""),"YEL")</f>
        <v>YEL</v>
      </c>
      <c r="S34" s="517" t="str">
        <f>IFERROR(__xludf.DUMMYFUNCTION("""COMPUTED_VALUE"""),"IN")</f>
        <v>IN</v>
      </c>
      <c r="T34" s="517" t="str">
        <f>IFERROR(__xludf.DUMMYFUNCTION("""COMPUTED_VALUE"""),"SKU, CLR3, GOOD, SUB6, IN, FL5")</f>
        <v>SKU, CLR3, GOOD, SUB6, IN, FL5</v>
      </c>
      <c r="U34" s="517"/>
      <c r="V34" s="624" t="str">
        <f>IFERROR(__xludf.DUMMYFUNCTION("""COMPUTED_VALUE"""),"#NUM!")</f>
        <v>#NUM!</v>
      </c>
      <c r="W34" s="625">
        <f>IFERROR(__xludf.DUMMYFUNCTION("""COMPUTED_VALUE"""),45815.0)</f>
        <v>45815</v>
      </c>
      <c r="X34" s="626">
        <f>IFERROR(__xludf.DUMMYFUNCTION("""COMPUTED_VALUE"""),45764.0)</f>
        <v>45764</v>
      </c>
      <c r="Y34" s="517" t="str">
        <f>IFERROR(__xludf.DUMMYFUNCTION("""COMPUTED_VALUE"""),"N/A")</f>
        <v>N/A</v>
      </c>
      <c r="Z34" s="626">
        <f>IFERROR(__xludf.DUMMYFUNCTION("""COMPUTED_VALUE"""),45764.0)</f>
        <v>45764</v>
      </c>
      <c r="AA34" s="517" t="b">
        <f>IFERROR(__xludf.DUMMYFUNCTION("""COMPUTED_VALUE"""),FALSE)</f>
        <v>0</v>
      </c>
    </row>
    <row r="35">
      <c r="B35" s="517" t="str">
        <f>IFERROR(__xludf.DUMMYFUNCTION("""COMPUTED_VALUE"""),"IN")</f>
        <v>IN</v>
      </c>
      <c r="C35" s="517" t="str">
        <f>IFERROR(__xludf.DUMMYFUNCTION("""COMPUTED_VALUE"""),"Cancel")</f>
        <v>Cancel</v>
      </c>
      <c r="D35" s="517" t="str">
        <f>IFERROR(__xludf.DUMMYFUNCTION("""COMPUTED_VALUE"""),"Pristine")</f>
        <v>Pristine</v>
      </c>
      <c r="E35" s="517" t="str">
        <f>IFERROR(__xludf.DUMMYFUNCTION("""COMPUTED_VALUE"""),"GA10216-IN")</f>
        <v>GA10216-IN</v>
      </c>
      <c r="F35" s="517"/>
      <c r="G35" s="517"/>
      <c r="H35" s="518" t="str">
        <f>IFERROR(__xludf.DUMMYFUNCTION("""COMPUTED_VALUE"""),"TBD")</f>
        <v>TBD</v>
      </c>
      <c r="I35" s="518" t="str">
        <f>IFERROR(__xludf.DUMMYFUNCTION("""COMPUTED_VALUE"""),"Yes")</f>
        <v>Yes</v>
      </c>
      <c r="J35" s="517" t="b">
        <f>IFERROR(__xludf.DUMMYFUNCTION("""COMPUTED_VALUE"""),FALSE)</f>
        <v>0</v>
      </c>
      <c r="K35" s="517" t="str">
        <f>IFERROR(__xludf.DUMMYFUNCTION("""COMPUTED_VALUE"""),"IN Master Carton Label")</f>
        <v>IN Master Carton Label</v>
      </c>
      <c r="L35" s="517"/>
      <c r="M35" s="517" t="str">
        <f>IFERROR(__xludf.DUMMYFUNCTION("""COMPUTED_VALUE"""),"TBD")</f>
        <v>TBD</v>
      </c>
      <c r="N35" s="517" t="str">
        <f>IFERROR(__xludf.DUMMYFUNCTION("""COMPUTED_VALUE"""),"TBD")</f>
        <v>TBD</v>
      </c>
      <c r="O35" s="517"/>
      <c r="P35" s="517" t="str">
        <f>IFERROR(__xludf.DUMMYFUNCTION("""COMPUTED_VALUE"""),"TBD")</f>
        <v>TBD</v>
      </c>
      <c r="Q35" s="517" t="str">
        <f>IFERROR(__xludf.DUMMYFUNCTION("""COMPUTED_VALUE"""),"Indigo")</f>
        <v>Indigo</v>
      </c>
      <c r="R35" s="517" t="str">
        <f>IFERROR(__xludf.DUMMYFUNCTION("""COMPUTED_VALUE"""),"BUE")</f>
        <v>BUE</v>
      </c>
      <c r="S35" s="517" t="str">
        <f>IFERROR(__xludf.DUMMYFUNCTION("""COMPUTED_VALUE"""),"IN")</f>
        <v>IN</v>
      </c>
      <c r="T35" s="517" t="str">
        <f>IFERROR(__xludf.DUMMYFUNCTION("""COMPUTED_VALUE"""),"SKU, CLR4, GOOD, SUB6, IN, FL5")</f>
        <v>SKU, CLR4, GOOD, SUB6, IN, FL5</v>
      </c>
      <c r="U35" s="517"/>
      <c r="V35" s="624" t="str">
        <f>IFERROR(__xludf.DUMMYFUNCTION("""COMPUTED_VALUE"""),"#NUM!")</f>
        <v>#NUM!</v>
      </c>
      <c r="W35" s="625">
        <f>IFERROR(__xludf.DUMMYFUNCTION("""COMPUTED_VALUE"""),45815.0)</f>
        <v>45815</v>
      </c>
      <c r="X35" s="626">
        <f>IFERROR(__xludf.DUMMYFUNCTION("""COMPUTED_VALUE"""),45764.0)</f>
        <v>45764</v>
      </c>
      <c r="Y35" s="517" t="str">
        <f>IFERROR(__xludf.DUMMYFUNCTION("""COMPUTED_VALUE"""),"N/A")</f>
        <v>N/A</v>
      </c>
      <c r="Z35" s="626">
        <f>IFERROR(__xludf.DUMMYFUNCTION("""COMPUTED_VALUE"""),45764.0)</f>
        <v>45764</v>
      </c>
      <c r="AA35" s="517" t="b">
        <f>IFERROR(__xludf.DUMMYFUNCTION("""COMPUTED_VALUE"""),FALSE)</f>
        <v>0</v>
      </c>
    </row>
    <row r="36">
      <c r="B36" s="517" t="str">
        <f>IFERROR(__xludf.DUMMYFUNCTION("""COMPUTED_VALUE"""),"IN")</f>
        <v>IN</v>
      </c>
      <c r="C36" s="518" t="str">
        <f>IFERROR(__xludf.DUMMYFUNCTION("""COMPUTED_VALUE"""),"0840353926523")</f>
        <v>0840353926523</v>
      </c>
      <c r="D36" s="517" t="str">
        <f>IFERROR(__xludf.DUMMYFUNCTION("""COMPUTED_VALUE"""),"Pristine")</f>
        <v>Pristine</v>
      </c>
      <c r="E36" s="517" t="str">
        <f>IFERROR(__xludf.DUMMYFUNCTION("""COMPUTED_VALUE"""),"GA09883-IN")</f>
        <v>GA09883-IN</v>
      </c>
      <c r="F36" s="517" t="str">
        <f>IFERROR(__xludf.DUMMYFUNCTION("""COMPUTED_VALUE"""),"GK2MP")</f>
        <v>GK2MP</v>
      </c>
      <c r="G36" s="517"/>
      <c r="H36" s="518" t="str">
        <f>IFERROR(__xludf.DUMMYFUNCTION("""COMPUTED_VALUE"""),"840353926523")</f>
        <v>840353926523</v>
      </c>
      <c r="I36" s="517"/>
      <c r="J36" s="517" t="str">
        <f>IFERROR(__xludf.DUMMYFUNCTION("""COMPUTED_VALUE"""),"Retail_10ct")</f>
        <v>Retail_10ct</v>
      </c>
      <c r="K36" s="517" t="str">
        <f>IFERROR(__xludf.DUMMYFUNCTION("""COMPUTED_VALUE"""),"IN Master Carton Label")</f>
        <v>IN Master Carton Label</v>
      </c>
      <c r="L36" s="519" t="str">
        <f>IFERROR(__xludf.DUMMYFUNCTION("""COMPUTED_VALUE"""),"G952-05416-00-A")</f>
        <v>G952-05416-00-A</v>
      </c>
      <c r="M36" s="517" t="str">
        <f>IFERROR(__xludf.DUMMYFUNCTION("""COMPUTED_VALUE"""),"G990-08487-12-03
G990-08487-12-B")</f>
        <v>G990-08487-12-03
G990-08487-12-B</v>
      </c>
      <c r="N36" s="517" t="str">
        <f>IFERROR(__xludf.DUMMYFUNCTION("""COMPUTED_VALUE"""),"G990-09562-00-01
G990-09562-00-A")</f>
        <v>G990-09562-00-01
G990-09562-00-A</v>
      </c>
      <c r="O36" s="517" t="str">
        <f>IFERROR(__xludf.DUMMYFUNCTION("""COMPUTED_VALUE"""),"BOB→B
Retail→A")</f>
        <v>BOB→B
Retail→A</v>
      </c>
      <c r="P36" s="517" t="str">
        <f>IFERROR(__xludf.DUMMYFUNCTION("""COMPUTED_VALUE"""),"G990-09562-00-A
G990-09562-00-B")</f>
        <v>G990-09562-00-A
G990-09562-00-B</v>
      </c>
      <c r="Q36" s="517" t="str">
        <f>IFERROR(__xludf.DUMMYFUNCTION("""COMPUTED_VALUE"""),"Obsidian")</f>
        <v>Obsidian</v>
      </c>
      <c r="R36" s="517" t="str">
        <f>IFERROR(__xludf.DUMMYFUNCTION("""COMPUTED_VALUE"""),"BLK")</f>
        <v>BLK</v>
      </c>
      <c r="S36" s="517" t="str">
        <f>IFERROR(__xludf.DUMMYFUNCTION("""COMPUTED_VALUE"""),"IN")</f>
        <v>IN</v>
      </c>
      <c r="T36" s="517" t="str">
        <f>IFERROR(__xludf.DUMMYFUNCTION("""COMPUTED_VALUE"""),"SKU, CLR1, BETTER, SUB6, IN, FL5")</f>
        <v>SKU, CLR1, BETTER, SUB6, IN, FL5</v>
      </c>
      <c r="U36" s="517" t="str">
        <f>IFERROR(__xludf.DUMMYFUNCTION("""COMPUTED_VALUE"""),"Pixel 10, Obsidian, 256GB, IN")</f>
        <v>Pixel 10, Obsidian, 256GB, IN</v>
      </c>
      <c r="V36" s="624" t="str">
        <f>IFERROR(__xludf.DUMMYFUNCTION("""COMPUTED_VALUE"""),"#NUM!")</f>
        <v>#NUM!</v>
      </c>
      <c r="W36" s="625">
        <f>IFERROR(__xludf.DUMMYFUNCTION("""COMPUTED_VALUE"""),45815.0)</f>
        <v>45815</v>
      </c>
      <c r="X36" s="626">
        <f>IFERROR(__xludf.DUMMYFUNCTION("""COMPUTED_VALUE"""),45764.0)</f>
        <v>45764</v>
      </c>
      <c r="Y36" s="517" t="b">
        <f>IFERROR(__xludf.DUMMYFUNCTION("""COMPUTED_VALUE"""),TRUE)</f>
        <v>1</v>
      </c>
      <c r="Z36" s="626">
        <f>IFERROR(__xludf.DUMMYFUNCTION("""COMPUTED_VALUE"""),45764.0)</f>
        <v>45764</v>
      </c>
      <c r="AA36" s="517" t="b">
        <f>IFERROR(__xludf.DUMMYFUNCTION("""COMPUTED_VALUE"""),FALSE)</f>
        <v>0</v>
      </c>
    </row>
    <row r="37">
      <c r="B37" s="517" t="str">
        <f>IFERROR(__xludf.DUMMYFUNCTION("""COMPUTED_VALUE"""),"IN")</f>
        <v>IN</v>
      </c>
      <c r="C37" s="518" t="str">
        <f>IFERROR(__xludf.DUMMYFUNCTION("""COMPUTED_VALUE"""),"0840353926585")</f>
        <v>0840353926585</v>
      </c>
      <c r="D37" s="517" t="str">
        <f>IFERROR(__xludf.DUMMYFUNCTION("""COMPUTED_VALUE"""),"Pristine")</f>
        <v>Pristine</v>
      </c>
      <c r="E37" s="517" t="str">
        <f>IFERROR(__xludf.DUMMYFUNCTION("""COMPUTED_VALUE"""),"GA10217-IN")</f>
        <v>GA10217-IN</v>
      </c>
      <c r="F37" s="517" t="str">
        <f>IFERROR(__xludf.DUMMYFUNCTION("""COMPUTED_VALUE"""),"GK2MP")</f>
        <v>GK2MP</v>
      </c>
      <c r="G37" s="517"/>
      <c r="H37" s="518" t="str">
        <f>IFERROR(__xludf.DUMMYFUNCTION("""COMPUTED_VALUE"""),"840353926585")</f>
        <v>840353926585</v>
      </c>
      <c r="I37" s="517"/>
      <c r="J37" s="517" t="str">
        <f>IFERROR(__xludf.DUMMYFUNCTION("""COMPUTED_VALUE"""),"Retail_10ct")</f>
        <v>Retail_10ct</v>
      </c>
      <c r="K37" s="517" t="str">
        <f>IFERROR(__xludf.DUMMYFUNCTION("""COMPUTED_VALUE"""),"IN Master Carton Label")</f>
        <v>IN Master Carton Label</v>
      </c>
      <c r="L37" s="519" t="str">
        <f>IFERROR(__xludf.DUMMYFUNCTION("""COMPUTED_VALUE"""),"G952-05416-00-A")</f>
        <v>G952-05416-00-A</v>
      </c>
      <c r="M37" s="517" t="str">
        <f>IFERROR(__xludf.DUMMYFUNCTION("""COMPUTED_VALUE"""),"G990-08487-22-03
G990-08487-22-B")</f>
        <v>G990-08487-22-03
G990-08487-22-B</v>
      </c>
      <c r="N37" s="517" t="str">
        <f>IFERROR(__xludf.DUMMYFUNCTION("""COMPUTED_VALUE"""),"G990-09562-00-01
G990-09562-00-A")</f>
        <v>G990-09562-00-01
G990-09562-00-A</v>
      </c>
      <c r="O37" s="517" t="str">
        <f>IFERROR(__xludf.DUMMYFUNCTION("""COMPUTED_VALUE"""),"BOB→B
Retail→A")</f>
        <v>BOB→B
Retail→A</v>
      </c>
      <c r="P37" s="517" t="str">
        <f>IFERROR(__xludf.DUMMYFUNCTION("""COMPUTED_VALUE"""),"G990-09562-00-A
G990-09562-00-B")</f>
        <v>G990-09562-00-A
G990-09562-00-B</v>
      </c>
      <c r="Q37" s="517" t="str">
        <f>IFERROR(__xludf.DUMMYFUNCTION("""COMPUTED_VALUE"""),"Frost")</f>
        <v>Frost</v>
      </c>
      <c r="R37" s="517" t="str">
        <f>IFERROR(__xludf.DUMMYFUNCTION("""COMPUTED_VALUE"""),"PPL")</f>
        <v>PPL</v>
      </c>
      <c r="S37" s="517" t="str">
        <f>IFERROR(__xludf.DUMMYFUNCTION("""COMPUTED_VALUE"""),"IN")</f>
        <v>IN</v>
      </c>
      <c r="T37" s="517" t="str">
        <f>IFERROR(__xludf.DUMMYFUNCTION("""COMPUTED_VALUE"""),"SKU, CLR2, BETTER, SUB6, IN, FL5")</f>
        <v>SKU, CLR2, BETTER, SUB6, IN, FL5</v>
      </c>
      <c r="U37" s="517" t="str">
        <f>IFERROR(__xludf.DUMMYFUNCTION("""COMPUTED_VALUE"""),"Pixel 10, Frost, 256GB, IN")</f>
        <v>Pixel 10, Frost, 256GB, IN</v>
      </c>
      <c r="V37" s="624" t="str">
        <f>IFERROR(__xludf.DUMMYFUNCTION("""COMPUTED_VALUE"""),"#NUM!")</f>
        <v>#NUM!</v>
      </c>
      <c r="W37" s="625">
        <f>IFERROR(__xludf.DUMMYFUNCTION("""COMPUTED_VALUE"""),45815.0)</f>
        <v>45815</v>
      </c>
      <c r="X37" s="626">
        <f>IFERROR(__xludf.DUMMYFUNCTION("""COMPUTED_VALUE"""),45764.0)</f>
        <v>45764</v>
      </c>
      <c r="Y37" s="517" t="b">
        <f>IFERROR(__xludf.DUMMYFUNCTION("""COMPUTED_VALUE"""),TRUE)</f>
        <v>1</v>
      </c>
      <c r="Z37" s="626">
        <f>IFERROR(__xludf.DUMMYFUNCTION("""COMPUTED_VALUE"""),45764.0)</f>
        <v>45764</v>
      </c>
      <c r="AA37" s="517" t="b">
        <f>IFERROR(__xludf.DUMMYFUNCTION("""COMPUTED_VALUE"""),FALSE)</f>
        <v>0</v>
      </c>
    </row>
    <row r="38">
      <c r="B38" s="517" t="str">
        <f>IFERROR(__xludf.DUMMYFUNCTION("""COMPUTED_VALUE"""),"IN")</f>
        <v>IN</v>
      </c>
      <c r="C38" s="518" t="str">
        <f>IFERROR(__xludf.DUMMYFUNCTION("""COMPUTED_VALUE"""),"0840353926592")</f>
        <v>0840353926592</v>
      </c>
      <c r="D38" s="517" t="str">
        <f>IFERROR(__xludf.DUMMYFUNCTION("""COMPUTED_VALUE"""),"Pristine")</f>
        <v>Pristine</v>
      </c>
      <c r="E38" s="517" t="str">
        <f>IFERROR(__xludf.DUMMYFUNCTION("""COMPUTED_VALUE"""),"GA10218-IN")</f>
        <v>GA10218-IN</v>
      </c>
      <c r="F38" s="517" t="str">
        <f>IFERROR(__xludf.DUMMYFUNCTION("""COMPUTED_VALUE"""),"GK2MP")</f>
        <v>GK2MP</v>
      </c>
      <c r="G38" s="517"/>
      <c r="H38" s="518" t="str">
        <f>IFERROR(__xludf.DUMMYFUNCTION("""COMPUTED_VALUE"""),"840353926592")</f>
        <v>840353926592</v>
      </c>
      <c r="I38" s="517"/>
      <c r="J38" s="517" t="str">
        <f>IFERROR(__xludf.DUMMYFUNCTION("""COMPUTED_VALUE"""),"Retail_10ct")</f>
        <v>Retail_10ct</v>
      </c>
      <c r="K38" s="517" t="str">
        <f>IFERROR(__xludf.DUMMYFUNCTION("""COMPUTED_VALUE"""),"IN Master Carton Label")</f>
        <v>IN Master Carton Label</v>
      </c>
      <c r="L38" s="519" t="str">
        <f>IFERROR(__xludf.DUMMYFUNCTION("""COMPUTED_VALUE"""),"G952-05416-00-A")</f>
        <v>G952-05416-00-A</v>
      </c>
      <c r="M38" s="517" t="str">
        <f>IFERROR(__xludf.DUMMYFUNCTION("""COMPUTED_VALUE"""),"G990-08487-32-03
G990-08487-32-B")</f>
        <v>G990-08487-32-03
G990-08487-32-B</v>
      </c>
      <c r="N38" s="517" t="str">
        <f>IFERROR(__xludf.DUMMYFUNCTION("""COMPUTED_VALUE"""),"G990-09562-00-01
G990-09562-00-A")</f>
        <v>G990-09562-00-01
G990-09562-00-A</v>
      </c>
      <c r="O38" s="517" t="str">
        <f>IFERROR(__xludf.DUMMYFUNCTION("""COMPUTED_VALUE"""),"BOB→B
Retail→A")</f>
        <v>BOB→B
Retail→A</v>
      </c>
      <c r="P38" s="517" t="str">
        <f>IFERROR(__xludf.DUMMYFUNCTION("""COMPUTED_VALUE"""),"G990-09562-00-A
G990-09562-00-B")</f>
        <v>G990-09562-00-A
G990-09562-00-B</v>
      </c>
      <c r="Q38" s="517" t="str">
        <f>IFERROR(__xludf.DUMMYFUNCTION("""COMPUTED_VALUE"""),"Lemongrass")</f>
        <v>Lemongrass</v>
      </c>
      <c r="R38" s="517" t="str">
        <f>IFERROR(__xludf.DUMMYFUNCTION("""COMPUTED_VALUE"""),"YEL")</f>
        <v>YEL</v>
      </c>
      <c r="S38" s="517" t="str">
        <f>IFERROR(__xludf.DUMMYFUNCTION("""COMPUTED_VALUE"""),"IN")</f>
        <v>IN</v>
      </c>
      <c r="T38" s="517" t="str">
        <f>IFERROR(__xludf.DUMMYFUNCTION("""COMPUTED_VALUE"""),"SKU, CLR3, BETTER, SUB6, IN, FL5")</f>
        <v>SKU, CLR3, BETTER, SUB6, IN, FL5</v>
      </c>
      <c r="U38" s="517" t="str">
        <f>IFERROR(__xludf.DUMMYFUNCTION("""COMPUTED_VALUE"""),"Pixel 10, Lemongrass, 256GB, IN")</f>
        <v>Pixel 10, Lemongrass, 256GB, IN</v>
      </c>
      <c r="V38" s="624" t="str">
        <f>IFERROR(__xludf.DUMMYFUNCTION("""COMPUTED_VALUE"""),"#NUM!")</f>
        <v>#NUM!</v>
      </c>
      <c r="W38" s="625">
        <f>IFERROR(__xludf.DUMMYFUNCTION("""COMPUTED_VALUE"""),45815.0)</f>
        <v>45815</v>
      </c>
      <c r="X38" s="626">
        <f>IFERROR(__xludf.DUMMYFUNCTION("""COMPUTED_VALUE"""),45764.0)</f>
        <v>45764</v>
      </c>
      <c r="Y38" s="517" t="b">
        <f>IFERROR(__xludf.DUMMYFUNCTION("""COMPUTED_VALUE"""),TRUE)</f>
        <v>1</v>
      </c>
      <c r="Z38" s="626">
        <f>IFERROR(__xludf.DUMMYFUNCTION("""COMPUTED_VALUE"""),45764.0)</f>
        <v>45764</v>
      </c>
      <c r="AA38" s="517" t="b">
        <f>IFERROR(__xludf.DUMMYFUNCTION("""COMPUTED_VALUE"""),FALSE)</f>
        <v>0</v>
      </c>
    </row>
    <row r="39">
      <c r="B39" s="517" t="str">
        <f>IFERROR(__xludf.DUMMYFUNCTION("""COMPUTED_VALUE"""),"IN")</f>
        <v>IN</v>
      </c>
      <c r="C39" s="518" t="str">
        <f>IFERROR(__xludf.DUMMYFUNCTION("""COMPUTED_VALUE"""),"0840353926677")</f>
        <v>0840353926677</v>
      </c>
      <c r="D39" s="517" t="str">
        <f>IFERROR(__xludf.DUMMYFUNCTION("""COMPUTED_VALUE"""),"Pristine")</f>
        <v>Pristine</v>
      </c>
      <c r="E39" s="517" t="str">
        <f>IFERROR(__xludf.DUMMYFUNCTION("""COMPUTED_VALUE"""),"GA10219-IN")</f>
        <v>GA10219-IN</v>
      </c>
      <c r="F39" s="517" t="str">
        <f>IFERROR(__xludf.DUMMYFUNCTION("""COMPUTED_VALUE"""),"GK2MP")</f>
        <v>GK2MP</v>
      </c>
      <c r="G39" s="517"/>
      <c r="H39" s="518" t="str">
        <f>IFERROR(__xludf.DUMMYFUNCTION("""COMPUTED_VALUE"""),"840353926677")</f>
        <v>840353926677</v>
      </c>
      <c r="I39" s="517"/>
      <c r="J39" s="517" t="str">
        <f>IFERROR(__xludf.DUMMYFUNCTION("""COMPUTED_VALUE"""),"Retail_10ct")</f>
        <v>Retail_10ct</v>
      </c>
      <c r="K39" s="517" t="str">
        <f>IFERROR(__xludf.DUMMYFUNCTION("""COMPUTED_VALUE"""),"IN Master Carton Label")</f>
        <v>IN Master Carton Label</v>
      </c>
      <c r="L39" s="519" t="str">
        <f>IFERROR(__xludf.DUMMYFUNCTION("""COMPUTED_VALUE"""),"G952-05416-00-A")</f>
        <v>G952-05416-00-A</v>
      </c>
      <c r="M39" s="517" t="str">
        <f>IFERROR(__xludf.DUMMYFUNCTION("""COMPUTED_VALUE"""),"G990-08487-42-03
G990-08487-42-B")</f>
        <v>G990-08487-42-03
G990-08487-42-B</v>
      </c>
      <c r="N39" s="517" t="str">
        <f>IFERROR(__xludf.DUMMYFUNCTION("""COMPUTED_VALUE"""),"G990-09562-00-01
G990-09562-00-A")</f>
        <v>G990-09562-00-01
G990-09562-00-A</v>
      </c>
      <c r="O39" s="517" t="str">
        <f>IFERROR(__xludf.DUMMYFUNCTION("""COMPUTED_VALUE"""),"BOB→B
Retail→A")</f>
        <v>BOB→B
Retail→A</v>
      </c>
      <c r="P39" s="517" t="str">
        <f>IFERROR(__xludf.DUMMYFUNCTION("""COMPUTED_VALUE"""),"G990-09562-00-A
G990-09562-00-B")</f>
        <v>G990-09562-00-A
G990-09562-00-B</v>
      </c>
      <c r="Q39" s="517" t="str">
        <f>IFERROR(__xludf.DUMMYFUNCTION("""COMPUTED_VALUE"""),"Indigo")</f>
        <v>Indigo</v>
      </c>
      <c r="R39" s="517" t="str">
        <f>IFERROR(__xludf.DUMMYFUNCTION("""COMPUTED_VALUE"""),"BUE")</f>
        <v>BUE</v>
      </c>
      <c r="S39" s="517" t="str">
        <f>IFERROR(__xludf.DUMMYFUNCTION("""COMPUTED_VALUE"""),"IN")</f>
        <v>IN</v>
      </c>
      <c r="T39" s="517" t="str">
        <f>IFERROR(__xludf.DUMMYFUNCTION("""COMPUTED_VALUE"""),"SKU, CLR4, BETTER, SUB6, IN, FL5")</f>
        <v>SKU, CLR4, BETTER, SUB6, IN, FL5</v>
      </c>
      <c r="U39" s="517" t="str">
        <f>IFERROR(__xludf.DUMMYFUNCTION("""COMPUTED_VALUE"""),"Pixel 10, Indigo, 256GB, IN")</f>
        <v>Pixel 10, Indigo, 256GB, IN</v>
      </c>
      <c r="V39" s="624" t="str">
        <f>IFERROR(__xludf.DUMMYFUNCTION("""COMPUTED_VALUE"""),"#NUM!")</f>
        <v>#NUM!</v>
      </c>
      <c r="W39" s="625">
        <f>IFERROR(__xludf.DUMMYFUNCTION("""COMPUTED_VALUE"""),45815.0)</f>
        <v>45815</v>
      </c>
      <c r="X39" s="626">
        <f>IFERROR(__xludf.DUMMYFUNCTION("""COMPUTED_VALUE"""),45764.0)</f>
        <v>45764</v>
      </c>
      <c r="Y39" s="517" t="b">
        <f>IFERROR(__xludf.DUMMYFUNCTION("""COMPUTED_VALUE"""),TRUE)</f>
        <v>1</v>
      </c>
      <c r="Z39" s="626">
        <f>IFERROR(__xludf.DUMMYFUNCTION("""COMPUTED_VALUE"""),45764.0)</f>
        <v>45764</v>
      </c>
      <c r="AA39" s="517" t="b">
        <f>IFERROR(__xludf.DUMMYFUNCTION("""COMPUTED_VALUE"""),FALSE)</f>
        <v>0</v>
      </c>
    </row>
    <row r="40">
      <c r="B40" s="517" t="str">
        <f>IFERROR(__xludf.DUMMYFUNCTION("""COMPUTED_VALUE"""),"JP")</f>
        <v>JP</v>
      </c>
      <c r="C40" s="518" t="str">
        <f>IFERROR(__xludf.DUMMYFUNCTION("""COMPUTED_VALUE"""),"0840353926899")</f>
        <v>0840353926899</v>
      </c>
      <c r="D40" s="517" t="str">
        <f>IFERROR(__xludf.DUMMYFUNCTION("""COMPUTED_VALUE"""),"Pristine")</f>
        <v>Pristine</v>
      </c>
      <c r="E40" s="517" t="str">
        <f>IFERROR(__xludf.DUMMYFUNCTION("""COMPUTED_VALUE"""),"GA09744-JP")</f>
        <v>GA09744-JP</v>
      </c>
      <c r="F40" s="517" t="str">
        <f>IFERROR(__xludf.DUMMYFUNCTION("""COMPUTED_VALUE"""),"GL066")</f>
        <v>GL066</v>
      </c>
      <c r="G40" s="517"/>
      <c r="H40" s="518" t="str">
        <f>IFERROR(__xludf.DUMMYFUNCTION("""COMPUTED_VALUE"""),"840353926899")</f>
        <v>840353926899</v>
      </c>
      <c r="I40" s="517"/>
      <c r="J40" s="517" t="str">
        <f>IFERROR(__xludf.DUMMYFUNCTION("""COMPUTED_VALUE"""),"Retail_10ct")</f>
        <v>Retail_10ct</v>
      </c>
      <c r="K40" s="517" t="str">
        <f>IFERROR(__xludf.DUMMYFUNCTION("""COMPUTED_VALUE"""),"ROW Master Carton Label (UPC)")</f>
        <v>ROW Master Carton Label (UPC)</v>
      </c>
      <c r="L40" s="517" t="str">
        <f>IFERROR(__xludf.DUMMYFUNCTION("""COMPUTED_VALUE"""),"NA")</f>
        <v>NA</v>
      </c>
      <c r="M40" s="517" t="str">
        <f>IFERROR(__xludf.DUMMYFUNCTION("""COMPUTED_VALUE"""),"G990-08485-11-03-
G990-08485-11-B")</f>
        <v>G990-08485-11-03-
G990-08485-11-B</v>
      </c>
      <c r="N40" s="517" t="str">
        <f>IFERROR(__xludf.DUMMYFUNCTION("""COMPUTED_VALUE"""),"G990-09562-00-01
G990-09562-00-A")</f>
        <v>G990-09562-00-01
G990-09562-00-A</v>
      </c>
      <c r="O40" s="517" t="str">
        <f>IFERROR(__xludf.DUMMYFUNCTION("""COMPUTED_VALUE"""),"BOB→B
Retail→A")</f>
        <v>BOB→B
Retail→A</v>
      </c>
      <c r="P40" s="517" t="str">
        <f>IFERROR(__xludf.DUMMYFUNCTION("""COMPUTED_VALUE"""),"G990-09562-00-A
G990-09562-00-B")</f>
        <v>G990-09562-00-A
G990-09562-00-B</v>
      </c>
      <c r="Q40" s="517" t="str">
        <f>IFERROR(__xludf.DUMMYFUNCTION("""COMPUTED_VALUE"""),"Obsidian")</f>
        <v>Obsidian</v>
      </c>
      <c r="R40" s="517" t="str">
        <f>IFERROR(__xludf.DUMMYFUNCTION("""COMPUTED_VALUE"""),"BLK")</f>
        <v>BLK</v>
      </c>
      <c r="S40" s="517" t="str">
        <f>IFERROR(__xludf.DUMMYFUNCTION("""COMPUTED_VALUE"""),"JP")</f>
        <v>JP</v>
      </c>
      <c r="T40" s="517" t="str">
        <f>IFERROR(__xludf.DUMMYFUNCTION("""COMPUTED_VALUE"""),"SKU, CLR1, GOOD, SUB6, JP, FL5")</f>
        <v>SKU, CLR1, GOOD, SUB6, JP, FL5</v>
      </c>
      <c r="U40" s="517" t="str">
        <f>IFERROR(__xludf.DUMMYFUNCTION("""COMPUTED_VALUE"""),"Pixel 10, Obsidian, 128GB, JP")</f>
        <v>Pixel 10, Obsidian, 128GB, JP</v>
      </c>
      <c r="V40" s="624" t="str">
        <f>IFERROR(__xludf.DUMMYFUNCTION("""COMPUTED_VALUE"""),"#NUM!")</f>
        <v>#NUM!</v>
      </c>
      <c r="W40" s="625">
        <f>IFERROR(__xludf.DUMMYFUNCTION("""COMPUTED_VALUE"""),45815.0)</f>
        <v>45815</v>
      </c>
      <c r="X40" s="626">
        <f>IFERROR(__xludf.DUMMYFUNCTION("""COMPUTED_VALUE"""),45764.0)</f>
        <v>45764</v>
      </c>
      <c r="Y40" s="517" t="b">
        <f>IFERROR(__xludf.DUMMYFUNCTION("""COMPUTED_VALUE"""),TRUE)</f>
        <v>1</v>
      </c>
      <c r="Z40" s="626">
        <f>IFERROR(__xludf.DUMMYFUNCTION("""COMPUTED_VALUE"""),45764.0)</f>
        <v>45764</v>
      </c>
      <c r="AA40" s="517" t="b">
        <f>IFERROR(__xludf.DUMMYFUNCTION("""COMPUTED_VALUE"""),FALSE)</f>
        <v>0</v>
      </c>
    </row>
    <row r="41">
      <c r="B41" s="517" t="str">
        <f>IFERROR(__xludf.DUMMYFUNCTION("""COMPUTED_VALUE"""),"JP")</f>
        <v>JP</v>
      </c>
      <c r="C41" s="518" t="str">
        <f>IFERROR(__xludf.DUMMYFUNCTION("""COMPUTED_VALUE"""),"0840353926974")</f>
        <v>0840353926974</v>
      </c>
      <c r="D41" s="517" t="str">
        <f>IFERROR(__xludf.DUMMYFUNCTION("""COMPUTED_VALUE"""),"Pristine")</f>
        <v>Pristine</v>
      </c>
      <c r="E41" s="517" t="str">
        <f>IFERROR(__xludf.DUMMYFUNCTION("""COMPUTED_VALUE"""),"GA10214-JP")</f>
        <v>GA10214-JP</v>
      </c>
      <c r="F41" s="517" t="str">
        <f>IFERROR(__xludf.DUMMYFUNCTION("""COMPUTED_VALUE"""),"GL066")</f>
        <v>GL066</v>
      </c>
      <c r="G41" s="517"/>
      <c r="H41" s="518" t="str">
        <f>IFERROR(__xludf.DUMMYFUNCTION("""COMPUTED_VALUE"""),"840353926974")</f>
        <v>840353926974</v>
      </c>
      <c r="I41" s="517"/>
      <c r="J41" s="517" t="str">
        <f>IFERROR(__xludf.DUMMYFUNCTION("""COMPUTED_VALUE"""),"Retail_10ct")</f>
        <v>Retail_10ct</v>
      </c>
      <c r="K41" s="517" t="str">
        <f>IFERROR(__xludf.DUMMYFUNCTION("""COMPUTED_VALUE"""),"ROW Master Carton Label (UPC)")</f>
        <v>ROW Master Carton Label (UPC)</v>
      </c>
      <c r="L41" s="517" t="str">
        <f>IFERROR(__xludf.DUMMYFUNCTION("""COMPUTED_VALUE"""),"NA")</f>
        <v>NA</v>
      </c>
      <c r="M41" s="517" t="str">
        <f>IFERROR(__xludf.DUMMYFUNCTION("""COMPUTED_VALUE"""),"G990-08485-21-03
G990-08485-21-B")</f>
        <v>G990-08485-21-03
G990-08485-21-B</v>
      </c>
      <c r="N41" s="517" t="str">
        <f>IFERROR(__xludf.DUMMYFUNCTION("""COMPUTED_VALUE"""),"G990-09562-00-01
G990-09562-00-A")</f>
        <v>G990-09562-00-01
G990-09562-00-A</v>
      </c>
      <c r="O41" s="517" t="str">
        <f>IFERROR(__xludf.DUMMYFUNCTION("""COMPUTED_VALUE"""),"BOB→B
Retail→A")</f>
        <v>BOB→B
Retail→A</v>
      </c>
      <c r="P41" s="517" t="str">
        <f>IFERROR(__xludf.DUMMYFUNCTION("""COMPUTED_VALUE"""),"G990-09562-00-A
G990-09562-00-B")</f>
        <v>G990-09562-00-A
G990-09562-00-B</v>
      </c>
      <c r="Q41" s="517" t="str">
        <f>IFERROR(__xludf.DUMMYFUNCTION("""COMPUTED_VALUE"""),"Frost")</f>
        <v>Frost</v>
      </c>
      <c r="R41" s="517" t="str">
        <f>IFERROR(__xludf.DUMMYFUNCTION("""COMPUTED_VALUE"""),"PPL")</f>
        <v>PPL</v>
      </c>
      <c r="S41" s="517" t="str">
        <f>IFERROR(__xludf.DUMMYFUNCTION("""COMPUTED_VALUE"""),"JP")</f>
        <v>JP</v>
      </c>
      <c r="T41" s="517" t="str">
        <f>IFERROR(__xludf.DUMMYFUNCTION("""COMPUTED_VALUE"""),"SKU, CLR2, GOOD, SUB6, JP, FL5")</f>
        <v>SKU, CLR2, GOOD, SUB6, JP, FL5</v>
      </c>
      <c r="U41" s="517" t="str">
        <f>IFERROR(__xludf.DUMMYFUNCTION("""COMPUTED_VALUE"""),"Pixel 10, Frost, 128GB, JP")</f>
        <v>Pixel 10, Frost, 128GB, JP</v>
      </c>
      <c r="V41" s="624" t="str">
        <f>IFERROR(__xludf.DUMMYFUNCTION("""COMPUTED_VALUE"""),"#NUM!")</f>
        <v>#NUM!</v>
      </c>
      <c r="W41" s="625">
        <f>IFERROR(__xludf.DUMMYFUNCTION("""COMPUTED_VALUE"""),45815.0)</f>
        <v>45815</v>
      </c>
      <c r="X41" s="626">
        <f>IFERROR(__xludf.DUMMYFUNCTION("""COMPUTED_VALUE"""),45764.0)</f>
        <v>45764</v>
      </c>
      <c r="Y41" s="517" t="b">
        <f>IFERROR(__xludf.DUMMYFUNCTION("""COMPUTED_VALUE"""),TRUE)</f>
        <v>1</v>
      </c>
      <c r="Z41" s="626">
        <f>IFERROR(__xludf.DUMMYFUNCTION("""COMPUTED_VALUE"""),45764.0)</f>
        <v>45764</v>
      </c>
      <c r="AA41" s="517" t="b">
        <f>IFERROR(__xludf.DUMMYFUNCTION("""COMPUTED_VALUE"""),FALSE)</f>
        <v>0</v>
      </c>
    </row>
    <row r="42">
      <c r="B42" s="517" t="str">
        <f>IFERROR(__xludf.DUMMYFUNCTION("""COMPUTED_VALUE"""),"JP")</f>
        <v>JP</v>
      </c>
      <c r="C42" s="518" t="str">
        <f>IFERROR(__xludf.DUMMYFUNCTION("""COMPUTED_VALUE"""),"0840353926912")</f>
        <v>0840353926912</v>
      </c>
      <c r="D42" s="517" t="str">
        <f>IFERROR(__xludf.DUMMYFUNCTION("""COMPUTED_VALUE"""),"Pristine")</f>
        <v>Pristine</v>
      </c>
      <c r="E42" s="517" t="str">
        <f>IFERROR(__xludf.DUMMYFUNCTION("""COMPUTED_VALUE"""),"GA10215-JP")</f>
        <v>GA10215-JP</v>
      </c>
      <c r="F42" s="517" t="str">
        <f>IFERROR(__xludf.DUMMYFUNCTION("""COMPUTED_VALUE"""),"GL066")</f>
        <v>GL066</v>
      </c>
      <c r="G42" s="517"/>
      <c r="H42" s="518" t="str">
        <f>IFERROR(__xludf.DUMMYFUNCTION("""COMPUTED_VALUE"""),"840353926912")</f>
        <v>840353926912</v>
      </c>
      <c r="I42" s="518" t="str">
        <f>IFERROR(__xludf.DUMMYFUNCTION("""COMPUTED_VALUE"""),"No")</f>
        <v>No</v>
      </c>
      <c r="J42" s="517" t="str">
        <f>IFERROR(__xludf.DUMMYFUNCTION("""COMPUTED_VALUE"""),"Retail_10ct")</f>
        <v>Retail_10ct</v>
      </c>
      <c r="K42" s="517" t="str">
        <f>IFERROR(__xludf.DUMMYFUNCTION("""COMPUTED_VALUE"""),"ROW Master Carton Label (UPC)")</f>
        <v>ROW Master Carton Label (UPC)</v>
      </c>
      <c r="L42" s="517" t="str">
        <f>IFERROR(__xludf.DUMMYFUNCTION("""COMPUTED_VALUE"""),"NA")</f>
        <v>NA</v>
      </c>
      <c r="M42" s="517" t="str">
        <f>IFERROR(__xludf.DUMMYFUNCTION("""COMPUTED_VALUE"""),"G990-08485-31-03
G990-08485-31-B")</f>
        <v>G990-08485-31-03
G990-08485-31-B</v>
      </c>
      <c r="N42" s="517" t="str">
        <f>IFERROR(__xludf.DUMMYFUNCTION("""COMPUTED_VALUE"""),"G990-09562-00-01
G990-09562-00-A")</f>
        <v>G990-09562-00-01
G990-09562-00-A</v>
      </c>
      <c r="O42" s="517" t="str">
        <f>IFERROR(__xludf.DUMMYFUNCTION("""COMPUTED_VALUE"""),"BOB→B
Retail→A")</f>
        <v>BOB→B
Retail→A</v>
      </c>
      <c r="P42" s="517" t="str">
        <f>IFERROR(__xludf.DUMMYFUNCTION("""COMPUTED_VALUE"""),"G990-09562-00-A
G990-09562-00-B")</f>
        <v>G990-09562-00-A
G990-09562-00-B</v>
      </c>
      <c r="Q42" s="517" t="str">
        <f>IFERROR(__xludf.DUMMYFUNCTION("""COMPUTED_VALUE"""),"Lemongrass")</f>
        <v>Lemongrass</v>
      </c>
      <c r="R42" s="517" t="str">
        <f>IFERROR(__xludf.DUMMYFUNCTION("""COMPUTED_VALUE"""),"YEL")</f>
        <v>YEL</v>
      </c>
      <c r="S42" s="517" t="str">
        <f>IFERROR(__xludf.DUMMYFUNCTION("""COMPUTED_VALUE"""),"JP")</f>
        <v>JP</v>
      </c>
      <c r="T42" s="517" t="str">
        <f>IFERROR(__xludf.DUMMYFUNCTION("""COMPUTED_VALUE"""),"SKU, CLR3, GOOD, SUB6, JP, FL5")</f>
        <v>SKU, CLR3, GOOD, SUB6, JP, FL5</v>
      </c>
      <c r="U42" s="517" t="str">
        <f>IFERROR(__xludf.DUMMYFUNCTION("""COMPUTED_VALUE"""),"Pixel 10, Lemongrass, 128GB, JP")</f>
        <v>Pixel 10, Lemongrass, 128GB, JP</v>
      </c>
      <c r="V42" s="624" t="str">
        <f>IFERROR(__xludf.DUMMYFUNCTION("""COMPUTED_VALUE"""),"#NUM!")</f>
        <v>#NUM!</v>
      </c>
      <c r="W42" s="625">
        <f>IFERROR(__xludf.DUMMYFUNCTION("""COMPUTED_VALUE"""),45815.0)</f>
        <v>45815</v>
      </c>
      <c r="X42" s="626">
        <f>IFERROR(__xludf.DUMMYFUNCTION("""COMPUTED_VALUE"""),45764.0)</f>
        <v>45764</v>
      </c>
      <c r="Y42" s="517" t="b">
        <f>IFERROR(__xludf.DUMMYFUNCTION("""COMPUTED_VALUE"""),TRUE)</f>
        <v>1</v>
      </c>
      <c r="Z42" s="626">
        <f>IFERROR(__xludf.DUMMYFUNCTION("""COMPUTED_VALUE"""),45764.0)</f>
        <v>45764</v>
      </c>
      <c r="AA42" s="517" t="b">
        <f>IFERROR(__xludf.DUMMYFUNCTION("""COMPUTED_VALUE"""),FALSE)</f>
        <v>0</v>
      </c>
    </row>
    <row r="43">
      <c r="B43" s="517" t="str">
        <f>IFERROR(__xludf.DUMMYFUNCTION("""COMPUTED_VALUE"""),"JP")</f>
        <v>JP</v>
      </c>
      <c r="C43" s="518" t="str">
        <f>IFERROR(__xludf.DUMMYFUNCTION("""COMPUTED_VALUE"""),"0840353926936")</f>
        <v>0840353926936</v>
      </c>
      <c r="D43" s="517" t="str">
        <f>IFERROR(__xludf.DUMMYFUNCTION("""COMPUTED_VALUE"""),"Pristine")</f>
        <v>Pristine</v>
      </c>
      <c r="E43" s="517" t="str">
        <f>IFERROR(__xludf.DUMMYFUNCTION("""COMPUTED_VALUE"""),"GA10216-JP")</f>
        <v>GA10216-JP</v>
      </c>
      <c r="F43" s="517" t="str">
        <f>IFERROR(__xludf.DUMMYFUNCTION("""COMPUTED_VALUE"""),"GL066")</f>
        <v>GL066</v>
      </c>
      <c r="G43" s="517"/>
      <c r="H43" s="518" t="str">
        <f>IFERROR(__xludf.DUMMYFUNCTION("""COMPUTED_VALUE"""),"840353926936")</f>
        <v>840353926936</v>
      </c>
      <c r="I43" s="518" t="str">
        <f>IFERROR(__xludf.DUMMYFUNCTION("""COMPUTED_VALUE"""),"No")</f>
        <v>No</v>
      </c>
      <c r="J43" s="517" t="str">
        <f>IFERROR(__xludf.DUMMYFUNCTION("""COMPUTED_VALUE"""),"Retail_10ct")</f>
        <v>Retail_10ct</v>
      </c>
      <c r="K43" s="517" t="str">
        <f>IFERROR(__xludf.DUMMYFUNCTION("""COMPUTED_VALUE"""),"ROW Master Carton Label (UPC)")</f>
        <v>ROW Master Carton Label (UPC)</v>
      </c>
      <c r="L43" s="517" t="str">
        <f>IFERROR(__xludf.DUMMYFUNCTION("""COMPUTED_VALUE"""),"NA")</f>
        <v>NA</v>
      </c>
      <c r="M43" s="517" t="str">
        <f>IFERROR(__xludf.DUMMYFUNCTION("""COMPUTED_VALUE"""),"G990-08485-41-03
G990-08485-41-B")</f>
        <v>G990-08485-41-03
G990-08485-41-B</v>
      </c>
      <c r="N43" s="517" t="str">
        <f>IFERROR(__xludf.DUMMYFUNCTION("""COMPUTED_VALUE"""),"G990-09562-00-01
G990-09562-00-A")</f>
        <v>G990-09562-00-01
G990-09562-00-A</v>
      </c>
      <c r="O43" s="517" t="str">
        <f>IFERROR(__xludf.DUMMYFUNCTION("""COMPUTED_VALUE"""),"BOB→B
Retail→A")</f>
        <v>BOB→B
Retail→A</v>
      </c>
      <c r="P43" s="517" t="str">
        <f>IFERROR(__xludf.DUMMYFUNCTION("""COMPUTED_VALUE"""),"G990-09562-00-A
G990-09562-00-B")</f>
        <v>G990-09562-00-A
G990-09562-00-B</v>
      </c>
      <c r="Q43" s="517" t="str">
        <f>IFERROR(__xludf.DUMMYFUNCTION("""COMPUTED_VALUE"""),"Indigo")</f>
        <v>Indigo</v>
      </c>
      <c r="R43" s="517" t="str">
        <f>IFERROR(__xludf.DUMMYFUNCTION("""COMPUTED_VALUE"""),"BUE")</f>
        <v>BUE</v>
      </c>
      <c r="S43" s="517" t="str">
        <f>IFERROR(__xludf.DUMMYFUNCTION("""COMPUTED_VALUE"""),"JP")</f>
        <v>JP</v>
      </c>
      <c r="T43" s="517" t="str">
        <f>IFERROR(__xludf.DUMMYFUNCTION("""COMPUTED_VALUE"""),"SKU, CLR4, GOOD, SUB6, JP, FL5")</f>
        <v>SKU, CLR4, GOOD, SUB6, JP, FL5</v>
      </c>
      <c r="U43" s="517" t="str">
        <f>IFERROR(__xludf.DUMMYFUNCTION("""COMPUTED_VALUE"""),"Pixel 10, Indigo, 128GB, JP")</f>
        <v>Pixel 10, Indigo, 128GB, JP</v>
      </c>
      <c r="V43" s="624" t="str">
        <f>IFERROR(__xludf.DUMMYFUNCTION("""COMPUTED_VALUE"""),"#NUM!")</f>
        <v>#NUM!</v>
      </c>
      <c r="W43" s="625">
        <f>IFERROR(__xludf.DUMMYFUNCTION("""COMPUTED_VALUE"""),45815.0)</f>
        <v>45815</v>
      </c>
      <c r="X43" s="626">
        <f>IFERROR(__xludf.DUMMYFUNCTION("""COMPUTED_VALUE"""),45764.0)</f>
        <v>45764</v>
      </c>
      <c r="Y43" s="517" t="b">
        <f>IFERROR(__xludf.DUMMYFUNCTION("""COMPUTED_VALUE"""),TRUE)</f>
        <v>1</v>
      </c>
      <c r="Z43" s="626">
        <f>IFERROR(__xludf.DUMMYFUNCTION("""COMPUTED_VALUE"""),45764.0)</f>
        <v>45764</v>
      </c>
      <c r="AA43" s="517" t="b">
        <f>IFERROR(__xludf.DUMMYFUNCTION("""COMPUTED_VALUE"""),FALSE)</f>
        <v>0</v>
      </c>
    </row>
    <row r="44">
      <c r="B44" s="517" t="str">
        <f>IFERROR(__xludf.DUMMYFUNCTION("""COMPUTED_VALUE"""),"JP")</f>
        <v>JP</v>
      </c>
      <c r="C44" s="518" t="str">
        <f>IFERROR(__xludf.DUMMYFUNCTION("""COMPUTED_VALUE"""),"0840353926554")</f>
        <v>0840353926554</v>
      </c>
      <c r="D44" s="517" t="str">
        <f>IFERROR(__xludf.DUMMYFUNCTION("""COMPUTED_VALUE"""),"Pristine")</f>
        <v>Pristine</v>
      </c>
      <c r="E44" s="517" t="str">
        <f>IFERROR(__xludf.DUMMYFUNCTION("""COMPUTED_VALUE"""),"GA09883-JP")</f>
        <v>GA09883-JP</v>
      </c>
      <c r="F44" s="517" t="str">
        <f>IFERROR(__xludf.DUMMYFUNCTION("""COMPUTED_VALUE"""),"GL066")</f>
        <v>GL066</v>
      </c>
      <c r="G44" s="517"/>
      <c r="H44" s="518" t="str">
        <f>IFERROR(__xludf.DUMMYFUNCTION("""COMPUTED_VALUE"""),"840353926554")</f>
        <v>840353926554</v>
      </c>
      <c r="I44" s="517"/>
      <c r="J44" s="517" t="str">
        <f>IFERROR(__xludf.DUMMYFUNCTION("""COMPUTED_VALUE"""),"Retail_10ct")</f>
        <v>Retail_10ct</v>
      </c>
      <c r="K44" s="517" t="str">
        <f>IFERROR(__xludf.DUMMYFUNCTION("""COMPUTED_VALUE"""),"ROW Master Carton Label (UPC)")</f>
        <v>ROW Master Carton Label (UPC)</v>
      </c>
      <c r="L44" s="517" t="str">
        <f>IFERROR(__xludf.DUMMYFUNCTION("""COMPUTED_VALUE"""),"NA")</f>
        <v>NA</v>
      </c>
      <c r="M44" s="517" t="str">
        <f>IFERROR(__xludf.DUMMYFUNCTION("""COMPUTED_VALUE"""),"G990-08485-12-03
G990-08485-12-B")</f>
        <v>G990-08485-12-03
G990-08485-12-B</v>
      </c>
      <c r="N44" s="517" t="str">
        <f>IFERROR(__xludf.DUMMYFUNCTION("""COMPUTED_VALUE"""),"G990-09562-00-01
G990-09562-00-A")</f>
        <v>G990-09562-00-01
G990-09562-00-A</v>
      </c>
      <c r="O44" s="517" t="str">
        <f>IFERROR(__xludf.DUMMYFUNCTION("""COMPUTED_VALUE"""),"BOB→B
Retail→A")</f>
        <v>BOB→B
Retail→A</v>
      </c>
      <c r="P44" s="517" t="str">
        <f>IFERROR(__xludf.DUMMYFUNCTION("""COMPUTED_VALUE"""),"G990-09562-00-A
G990-09562-00-B")</f>
        <v>G990-09562-00-A
G990-09562-00-B</v>
      </c>
      <c r="Q44" s="517" t="str">
        <f>IFERROR(__xludf.DUMMYFUNCTION("""COMPUTED_VALUE"""),"Obsidian")</f>
        <v>Obsidian</v>
      </c>
      <c r="R44" s="517" t="str">
        <f>IFERROR(__xludf.DUMMYFUNCTION("""COMPUTED_VALUE"""),"BLK")</f>
        <v>BLK</v>
      </c>
      <c r="S44" s="517" t="str">
        <f>IFERROR(__xludf.DUMMYFUNCTION("""COMPUTED_VALUE"""),"JP")</f>
        <v>JP</v>
      </c>
      <c r="T44" s="517" t="str">
        <f>IFERROR(__xludf.DUMMYFUNCTION("""COMPUTED_VALUE"""),"SKU, CLR1, BETTER, SUB6, JP, FL5")</f>
        <v>SKU, CLR1, BETTER, SUB6, JP, FL5</v>
      </c>
      <c r="U44" s="517" t="str">
        <f>IFERROR(__xludf.DUMMYFUNCTION("""COMPUTED_VALUE"""),"Pixel 10, Obsidian, 256GB, JP")</f>
        <v>Pixel 10, Obsidian, 256GB, JP</v>
      </c>
      <c r="V44" s="624" t="str">
        <f>IFERROR(__xludf.DUMMYFUNCTION("""COMPUTED_VALUE"""),"#NUM!")</f>
        <v>#NUM!</v>
      </c>
      <c r="W44" s="625">
        <f>IFERROR(__xludf.DUMMYFUNCTION("""COMPUTED_VALUE"""),45815.0)</f>
        <v>45815</v>
      </c>
      <c r="X44" s="626">
        <f>IFERROR(__xludf.DUMMYFUNCTION("""COMPUTED_VALUE"""),45764.0)</f>
        <v>45764</v>
      </c>
      <c r="Y44" s="517" t="b">
        <f>IFERROR(__xludf.DUMMYFUNCTION("""COMPUTED_VALUE"""),TRUE)</f>
        <v>1</v>
      </c>
      <c r="Z44" s="626">
        <f>IFERROR(__xludf.DUMMYFUNCTION("""COMPUTED_VALUE"""),45764.0)</f>
        <v>45764</v>
      </c>
      <c r="AA44" s="517" t="b">
        <f>IFERROR(__xludf.DUMMYFUNCTION("""COMPUTED_VALUE"""),FALSE)</f>
        <v>0</v>
      </c>
    </row>
    <row r="45">
      <c r="B45" s="517" t="str">
        <f>IFERROR(__xludf.DUMMYFUNCTION("""COMPUTED_VALUE"""),"JP")</f>
        <v>JP</v>
      </c>
      <c r="C45" s="518" t="str">
        <f>IFERROR(__xludf.DUMMYFUNCTION("""COMPUTED_VALUE"""),"0840353926660")</f>
        <v>0840353926660</v>
      </c>
      <c r="D45" s="517" t="str">
        <f>IFERROR(__xludf.DUMMYFUNCTION("""COMPUTED_VALUE"""),"Pristine")</f>
        <v>Pristine</v>
      </c>
      <c r="E45" s="517" t="str">
        <f>IFERROR(__xludf.DUMMYFUNCTION("""COMPUTED_VALUE"""),"GA10217-JP")</f>
        <v>GA10217-JP</v>
      </c>
      <c r="F45" s="517" t="str">
        <f>IFERROR(__xludf.DUMMYFUNCTION("""COMPUTED_VALUE"""),"GL066")</f>
        <v>GL066</v>
      </c>
      <c r="G45" s="517"/>
      <c r="H45" s="518" t="str">
        <f>IFERROR(__xludf.DUMMYFUNCTION("""COMPUTED_VALUE"""),"840353926660")</f>
        <v>840353926660</v>
      </c>
      <c r="I45" s="517"/>
      <c r="J45" s="517" t="str">
        <f>IFERROR(__xludf.DUMMYFUNCTION("""COMPUTED_VALUE"""),"Retail_10ct")</f>
        <v>Retail_10ct</v>
      </c>
      <c r="K45" s="517" t="str">
        <f>IFERROR(__xludf.DUMMYFUNCTION("""COMPUTED_VALUE"""),"ROW Master Carton Label (UPC)")</f>
        <v>ROW Master Carton Label (UPC)</v>
      </c>
      <c r="L45" s="517" t="str">
        <f>IFERROR(__xludf.DUMMYFUNCTION("""COMPUTED_VALUE"""),"NA")</f>
        <v>NA</v>
      </c>
      <c r="M45" s="517" t="str">
        <f>IFERROR(__xludf.DUMMYFUNCTION("""COMPUTED_VALUE"""),"G990-08485-22-03
G990-08485-22-B")</f>
        <v>G990-08485-22-03
G990-08485-22-B</v>
      </c>
      <c r="N45" s="517" t="str">
        <f>IFERROR(__xludf.DUMMYFUNCTION("""COMPUTED_VALUE"""),"G990-09562-00-01
G990-09562-00-A")</f>
        <v>G990-09562-00-01
G990-09562-00-A</v>
      </c>
      <c r="O45" s="517" t="str">
        <f>IFERROR(__xludf.DUMMYFUNCTION("""COMPUTED_VALUE"""),"BOB→B
Retail→A")</f>
        <v>BOB→B
Retail→A</v>
      </c>
      <c r="P45" s="517" t="str">
        <f>IFERROR(__xludf.DUMMYFUNCTION("""COMPUTED_VALUE"""),"G990-09562-00-A
G990-09562-00-B")</f>
        <v>G990-09562-00-A
G990-09562-00-B</v>
      </c>
      <c r="Q45" s="517" t="str">
        <f>IFERROR(__xludf.DUMMYFUNCTION("""COMPUTED_VALUE"""),"Frost")</f>
        <v>Frost</v>
      </c>
      <c r="R45" s="517" t="str">
        <f>IFERROR(__xludf.DUMMYFUNCTION("""COMPUTED_VALUE"""),"PPL")</f>
        <v>PPL</v>
      </c>
      <c r="S45" s="517" t="str">
        <f>IFERROR(__xludf.DUMMYFUNCTION("""COMPUTED_VALUE"""),"JP")</f>
        <v>JP</v>
      </c>
      <c r="T45" s="517" t="str">
        <f>IFERROR(__xludf.DUMMYFUNCTION("""COMPUTED_VALUE"""),"SKU, CLR2, BETTER, SUB6, JP, FL5")</f>
        <v>SKU, CLR2, BETTER, SUB6, JP, FL5</v>
      </c>
      <c r="U45" s="517" t="str">
        <f>IFERROR(__xludf.DUMMYFUNCTION("""COMPUTED_VALUE"""),"Pixel 10, Frost, 256GB, JP")</f>
        <v>Pixel 10, Frost, 256GB, JP</v>
      </c>
      <c r="V45" s="624" t="str">
        <f>IFERROR(__xludf.DUMMYFUNCTION("""COMPUTED_VALUE"""),"#NUM!")</f>
        <v>#NUM!</v>
      </c>
      <c r="W45" s="625">
        <f>IFERROR(__xludf.DUMMYFUNCTION("""COMPUTED_VALUE"""),45815.0)</f>
        <v>45815</v>
      </c>
      <c r="X45" s="626">
        <f>IFERROR(__xludf.DUMMYFUNCTION("""COMPUTED_VALUE"""),45764.0)</f>
        <v>45764</v>
      </c>
      <c r="Y45" s="517" t="b">
        <f>IFERROR(__xludf.DUMMYFUNCTION("""COMPUTED_VALUE"""),TRUE)</f>
        <v>1</v>
      </c>
      <c r="Z45" s="626">
        <f>IFERROR(__xludf.DUMMYFUNCTION("""COMPUTED_VALUE"""),45764.0)</f>
        <v>45764</v>
      </c>
      <c r="AA45" s="517" t="b">
        <f>IFERROR(__xludf.DUMMYFUNCTION("""COMPUTED_VALUE"""),FALSE)</f>
        <v>0</v>
      </c>
    </row>
    <row r="46">
      <c r="B46" s="517" t="str">
        <f>IFERROR(__xludf.DUMMYFUNCTION("""COMPUTED_VALUE"""),"JP")</f>
        <v>JP</v>
      </c>
      <c r="C46" s="518" t="str">
        <f>IFERROR(__xludf.DUMMYFUNCTION("""COMPUTED_VALUE"""),"0840353926578")</f>
        <v>0840353926578</v>
      </c>
      <c r="D46" s="517" t="str">
        <f>IFERROR(__xludf.DUMMYFUNCTION("""COMPUTED_VALUE"""),"Pristine")</f>
        <v>Pristine</v>
      </c>
      <c r="E46" s="517" t="str">
        <f>IFERROR(__xludf.DUMMYFUNCTION("""COMPUTED_VALUE"""),"GA10218-JP")</f>
        <v>GA10218-JP</v>
      </c>
      <c r="F46" s="517" t="str">
        <f>IFERROR(__xludf.DUMMYFUNCTION("""COMPUTED_VALUE"""),"GL066")</f>
        <v>GL066</v>
      </c>
      <c r="G46" s="517"/>
      <c r="H46" s="518" t="str">
        <f>IFERROR(__xludf.DUMMYFUNCTION("""COMPUTED_VALUE"""),"840353926578")</f>
        <v>840353926578</v>
      </c>
      <c r="I46" s="518" t="str">
        <f>IFERROR(__xludf.DUMMYFUNCTION("""COMPUTED_VALUE"""),"No")</f>
        <v>No</v>
      </c>
      <c r="J46" s="517" t="str">
        <f>IFERROR(__xludf.DUMMYFUNCTION("""COMPUTED_VALUE"""),"Retail_10ct")</f>
        <v>Retail_10ct</v>
      </c>
      <c r="K46" s="517" t="str">
        <f>IFERROR(__xludf.DUMMYFUNCTION("""COMPUTED_VALUE"""),"ROW Master Carton Label (UPC)")</f>
        <v>ROW Master Carton Label (UPC)</v>
      </c>
      <c r="L46" s="517" t="str">
        <f>IFERROR(__xludf.DUMMYFUNCTION("""COMPUTED_VALUE"""),"NA")</f>
        <v>NA</v>
      </c>
      <c r="M46" s="517" t="str">
        <f>IFERROR(__xludf.DUMMYFUNCTION("""COMPUTED_VALUE"""),"G990-08485-32-03
G990-08485-32-B")</f>
        <v>G990-08485-32-03
G990-08485-32-B</v>
      </c>
      <c r="N46" s="517" t="str">
        <f>IFERROR(__xludf.DUMMYFUNCTION("""COMPUTED_VALUE"""),"G990-09562-00-01
G990-09562-00-A")</f>
        <v>G990-09562-00-01
G990-09562-00-A</v>
      </c>
      <c r="O46" s="517" t="str">
        <f>IFERROR(__xludf.DUMMYFUNCTION("""COMPUTED_VALUE"""),"BOB→B
Retail→A")</f>
        <v>BOB→B
Retail→A</v>
      </c>
      <c r="P46" s="517" t="str">
        <f>IFERROR(__xludf.DUMMYFUNCTION("""COMPUTED_VALUE"""),"G990-09562-00-A
G990-09562-00-B")</f>
        <v>G990-09562-00-A
G990-09562-00-B</v>
      </c>
      <c r="Q46" s="517" t="str">
        <f>IFERROR(__xludf.DUMMYFUNCTION("""COMPUTED_VALUE"""),"Lemongrass")</f>
        <v>Lemongrass</v>
      </c>
      <c r="R46" s="517" t="str">
        <f>IFERROR(__xludf.DUMMYFUNCTION("""COMPUTED_VALUE"""),"YEL")</f>
        <v>YEL</v>
      </c>
      <c r="S46" s="517" t="str">
        <f>IFERROR(__xludf.DUMMYFUNCTION("""COMPUTED_VALUE"""),"JP")</f>
        <v>JP</v>
      </c>
      <c r="T46" s="517" t="str">
        <f>IFERROR(__xludf.DUMMYFUNCTION("""COMPUTED_VALUE"""),"SKU, CLR3, BETTER, SUB6, JP, FL5")</f>
        <v>SKU, CLR3, BETTER, SUB6, JP, FL5</v>
      </c>
      <c r="U46" s="517" t="str">
        <f>IFERROR(__xludf.DUMMYFUNCTION("""COMPUTED_VALUE"""),"Pixel 10, Lemongrass, 256GB, JP")</f>
        <v>Pixel 10, Lemongrass, 256GB, JP</v>
      </c>
      <c r="V46" s="624" t="str">
        <f>IFERROR(__xludf.DUMMYFUNCTION("""COMPUTED_VALUE"""),"#NUM!")</f>
        <v>#NUM!</v>
      </c>
      <c r="W46" s="625">
        <f>IFERROR(__xludf.DUMMYFUNCTION("""COMPUTED_VALUE"""),45815.0)</f>
        <v>45815</v>
      </c>
      <c r="X46" s="626">
        <f>IFERROR(__xludf.DUMMYFUNCTION("""COMPUTED_VALUE"""),45764.0)</f>
        <v>45764</v>
      </c>
      <c r="Y46" s="517" t="b">
        <f>IFERROR(__xludf.DUMMYFUNCTION("""COMPUTED_VALUE"""),TRUE)</f>
        <v>1</v>
      </c>
      <c r="Z46" s="626">
        <f>IFERROR(__xludf.DUMMYFUNCTION("""COMPUTED_VALUE"""),45764.0)</f>
        <v>45764</v>
      </c>
      <c r="AA46" s="517" t="b">
        <f>IFERROR(__xludf.DUMMYFUNCTION("""COMPUTED_VALUE"""),FALSE)</f>
        <v>0</v>
      </c>
    </row>
    <row r="47">
      <c r="B47" s="517" t="str">
        <f>IFERROR(__xludf.DUMMYFUNCTION("""COMPUTED_VALUE"""),"JP")</f>
        <v>JP</v>
      </c>
      <c r="C47" s="518" t="str">
        <f>IFERROR(__xludf.DUMMYFUNCTION("""COMPUTED_VALUE"""),"0840353926561")</f>
        <v>0840353926561</v>
      </c>
      <c r="D47" s="517" t="str">
        <f>IFERROR(__xludf.DUMMYFUNCTION("""COMPUTED_VALUE"""),"Pristine")</f>
        <v>Pristine</v>
      </c>
      <c r="E47" s="517" t="str">
        <f>IFERROR(__xludf.DUMMYFUNCTION("""COMPUTED_VALUE"""),"GA10219-JP")</f>
        <v>GA10219-JP</v>
      </c>
      <c r="F47" s="517" t="str">
        <f>IFERROR(__xludf.DUMMYFUNCTION("""COMPUTED_VALUE"""),"GL066")</f>
        <v>GL066</v>
      </c>
      <c r="G47" s="517"/>
      <c r="H47" s="518" t="str">
        <f>IFERROR(__xludf.DUMMYFUNCTION("""COMPUTED_VALUE"""),"840353926561")</f>
        <v>840353926561</v>
      </c>
      <c r="I47" s="517"/>
      <c r="J47" s="517" t="str">
        <f>IFERROR(__xludf.DUMMYFUNCTION("""COMPUTED_VALUE"""),"Retail_10ct")</f>
        <v>Retail_10ct</v>
      </c>
      <c r="K47" s="517" t="str">
        <f>IFERROR(__xludf.DUMMYFUNCTION("""COMPUTED_VALUE"""),"ROW Master Carton Label (UPC)")</f>
        <v>ROW Master Carton Label (UPC)</v>
      </c>
      <c r="L47" s="517" t="str">
        <f>IFERROR(__xludf.DUMMYFUNCTION("""COMPUTED_VALUE"""),"NA")</f>
        <v>NA</v>
      </c>
      <c r="M47" s="517" t="str">
        <f>IFERROR(__xludf.DUMMYFUNCTION("""COMPUTED_VALUE"""),"G990-08485-42-03
G990-08485-42-B")</f>
        <v>G990-08485-42-03
G990-08485-42-B</v>
      </c>
      <c r="N47" s="517" t="str">
        <f>IFERROR(__xludf.DUMMYFUNCTION("""COMPUTED_VALUE"""),"G990-09562-00-01
G990-09562-00-A")</f>
        <v>G990-09562-00-01
G990-09562-00-A</v>
      </c>
      <c r="O47" s="517" t="str">
        <f>IFERROR(__xludf.DUMMYFUNCTION("""COMPUTED_VALUE"""),"BOB→B
Retail→A")</f>
        <v>BOB→B
Retail→A</v>
      </c>
      <c r="P47" s="517" t="str">
        <f>IFERROR(__xludf.DUMMYFUNCTION("""COMPUTED_VALUE"""),"G990-09562-00-A
G990-09562-00-B")</f>
        <v>G990-09562-00-A
G990-09562-00-B</v>
      </c>
      <c r="Q47" s="517" t="str">
        <f>IFERROR(__xludf.DUMMYFUNCTION("""COMPUTED_VALUE"""),"Indigo")</f>
        <v>Indigo</v>
      </c>
      <c r="R47" s="517" t="str">
        <f>IFERROR(__xludf.DUMMYFUNCTION("""COMPUTED_VALUE"""),"BUE")</f>
        <v>BUE</v>
      </c>
      <c r="S47" s="517" t="str">
        <f>IFERROR(__xludf.DUMMYFUNCTION("""COMPUTED_VALUE"""),"JP")</f>
        <v>JP</v>
      </c>
      <c r="T47" s="517" t="str">
        <f>IFERROR(__xludf.DUMMYFUNCTION("""COMPUTED_VALUE"""),"SKU, CLR4, BETTER, SUB6, JP, FL5")</f>
        <v>SKU, CLR4, BETTER, SUB6, JP, FL5</v>
      </c>
      <c r="U47" s="517" t="str">
        <f>IFERROR(__xludf.DUMMYFUNCTION("""COMPUTED_VALUE"""),"Pixel 10, Indigo, 256GB, JP")</f>
        <v>Pixel 10, Indigo, 256GB, JP</v>
      </c>
      <c r="V47" s="624" t="str">
        <f>IFERROR(__xludf.DUMMYFUNCTION("""COMPUTED_VALUE"""),"#NUM!")</f>
        <v>#NUM!</v>
      </c>
      <c r="W47" s="625">
        <f>IFERROR(__xludf.DUMMYFUNCTION("""COMPUTED_VALUE"""),45815.0)</f>
        <v>45815</v>
      </c>
      <c r="X47" s="626">
        <f>IFERROR(__xludf.DUMMYFUNCTION("""COMPUTED_VALUE"""),45764.0)</f>
        <v>45764</v>
      </c>
      <c r="Y47" s="517" t="b">
        <f>IFERROR(__xludf.DUMMYFUNCTION("""COMPUTED_VALUE"""),TRUE)</f>
        <v>1</v>
      </c>
      <c r="Z47" s="626">
        <f>IFERROR(__xludf.DUMMYFUNCTION("""COMPUTED_VALUE"""),45764.0)</f>
        <v>45764</v>
      </c>
      <c r="AA47" s="517" t="b">
        <f>IFERROR(__xludf.DUMMYFUNCTION("""COMPUTED_VALUE"""),FALSE)</f>
        <v>0</v>
      </c>
    </row>
    <row r="48">
      <c r="B48" s="517" t="str">
        <f>IFERROR(__xludf.DUMMYFUNCTION("""COMPUTED_VALUE"""),"GSTORE")</f>
        <v>GSTORE</v>
      </c>
      <c r="C48" s="518" t="str">
        <f>IFERROR(__xludf.DUMMYFUNCTION("""COMPUTED_VALUE"""),"0840353939301")</f>
        <v>0840353939301</v>
      </c>
      <c r="D48" s="517" t="str">
        <f>IFERROR(__xludf.DUMMYFUNCTION("""COMPUTED_VALUE"""),"CLNR/FRU")</f>
        <v>CLNR/FRU</v>
      </c>
      <c r="E48" s="517" t="str">
        <f>IFERROR(__xludf.DUMMYFUNCTION("""COMPUTED_VALUE"""),"CLNRGA09744")</f>
        <v>CLNRGA09744</v>
      </c>
      <c r="F48" s="517"/>
      <c r="G48" s="517"/>
      <c r="H48" s="518" t="str">
        <f>IFERROR(__xludf.DUMMYFUNCTION("""COMPUTED_VALUE"""),"840353939301")</f>
        <v>840353939301</v>
      </c>
      <c r="I48" s="518" t="str">
        <f>IFERROR(__xludf.DUMMYFUNCTION("""COMPUTED_VALUE"""),"No")</f>
        <v>No</v>
      </c>
      <c r="J48" s="517" t="str">
        <f>IFERROR(__xludf.DUMMYFUNCTION("""COMPUTED_VALUE"""),"Bulk_30ct")</f>
        <v>Bulk_30ct</v>
      </c>
      <c r="K48" s="517" t="str">
        <f>IFERROR(__xludf.DUMMYFUNCTION("""COMPUTED_VALUE"""),"ROW Master Carton Label (UPC)")</f>
        <v>ROW Master Carton Label (UPC)</v>
      </c>
      <c r="L48" s="517" t="str">
        <f>IFERROR(__xludf.DUMMYFUNCTION("""COMPUTED_VALUE"""),"NA")</f>
        <v>NA</v>
      </c>
      <c r="M48" s="517" t="str">
        <f>IFERROR(__xludf.DUMMYFUNCTION("""COMPUTED_VALUE"""),"N/A")</f>
        <v>N/A</v>
      </c>
      <c r="N48" s="517" t="str">
        <f>IFERROR(__xludf.DUMMYFUNCTION("""COMPUTED_VALUE"""),"N/A")</f>
        <v>N/A</v>
      </c>
      <c r="O48" s="517"/>
      <c r="P48" s="517" t="str">
        <f>IFERROR(__xludf.DUMMYFUNCTION("""COMPUTED_VALUE"""),"N/A")</f>
        <v>N/A</v>
      </c>
      <c r="Q48" s="517" t="str">
        <f>IFERROR(__xludf.DUMMYFUNCTION("""COMPUTED_VALUE"""),"Obsidian")</f>
        <v>Obsidian</v>
      </c>
      <c r="R48" s="517" t="str">
        <f>IFERROR(__xludf.DUMMYFUNCTION("""COMPUTED_VALUE"""),"BLK")</f>
        <v>BLK</v>
      </c>
      <c r="S48" s="517" t="str">
        <f>IFERROR(__xludf.DUMMYFUNCTION("""COMPUTED_VALUE"""),"GSTORE, US")</f>
        <v>GSTORE, US</v>
      </c>
      <c r="T48" s="517" t="str">
        <f>IFERROR(__xludf.DUMMYFUNCTION("""COMPUTED_VALUE"""),"SKU, CLR1, GOOD, MMWAVE, GSTORE, FL5, FRU")</f>
        <v>SKU, CLR1, GOOD, MMWAVE, GSTORE, FL5, FRU</v>
      </c>
      <c r="U48" s="517" t="str">
        <f>IFERROR(__xludf.DUMMYFUNCTION("""COMPUTED_VALUE"""),"Pixel 10, Obsidian, 128GB, GSTORE, US, FRU")</f>
        <v>Pixel 10, Obsidian, 128GB, GSTORE, US, FRU</v>
      </c>
      <c r="V48" s="624" t="str">
        <f>IFERROR(__xludf.DUMMYFUNCTION("""COMPUTED_VALUE"""),"#NUM!")</f>
        <v>#NUM!</v>
      </c>
      <c r="W48" s="625">
        <f>IFERROR(__xludf.DUMMYFUNCTION("""COMPUTED_VALUE"""),45815.0)</f>
        <v>45815</v>
      </c>
      <c r="X48" s="626">
        <f>IFERROR(__xludf.DUMMYFUNCTION("""COMPUTED_VALUE"""),45764.0)</f>
        <v>45764</v>
      </c>
      <c r="Y48" s="517" t="str">
        <f>IFERROR(__xludf.DUMMYFUNCTION("""COMPUTED_VALUE"""),"N/A")</f>
        <v>N/A</v>
      </c>
      <c r="Z48" s="626">
        <f>IFERROR(__xludf.DUMMYFUNCTION("""COMPUTED_VALUE"""),45764.0)</f>
        <v>45764</v>
      </c>
      <c r="AA48" s="517" t="b">
        <f>IFERROR(__xludf.DUMMYFUNCTION("""COMPUTED_VALUE"""),FALSE)</f>
        <v>0</v>
      </c>
    </row>
    <row r="49">
      <c r="B49" s="517" t="str">
        <f>IFERROR(__xludf.DUMMYFUNCTION("""COMPUTED_VALUE"""),"GSTORE")</f>
        <v>GSTORE</v>
      </c>
      <c r="C49" s="518" t="str">
        <f>IFERROR(__xludf.DUMMYFUNCTION("""COMPUTED_VALUE"""),"0840353939349")</f>
        <v>0840353939349</v>
      </c>
      <c r="D49" s="517" t="str">
        <f>IFERROR(__xludf.DUMMYFUNCTION("""COMPUTED_VALUE"""),"CLNR/FRU")</f>
        <v>CLNR/FRU</v>
      </c>
      <c r="E49" s="517" t="str">
        <f>IFERROR(__xludf.DUMMYFUNCTION("""COMPUTED_VALUE"""),"CLNRGA10214")</f>
        <v>CLNRGA10214</v>
      </c>
      <c r="F49" s="517"/>
      <c r="G49" s="517"/>
      <c r="H49" s="518" t="str">
        <f>IFERROR(__xludf.DUMMYFUNCTION("""COMPUTED_VALUE"""),"840353939349")</f>
        <v>840353939349</v>
      </c>
      <c r="I49" s="518" t="str">
        <f>IFERROR(__xludf.DUMMYFUNCTION("""COMPUTED_VALUE"""),"No")</f>
        <v>No</v>
      </c>
      <c r="J49" s="517" t="str">
        <f>IFERROR(__xludf.DUMMYFUNCTION("""COMPUTED_VALUE"""),"Bulk_30ct")</f>
        <v>Bulk_30ct</v>
      </c>
      <c r="K49" s="517" t="str">
        <f>IFERROR(__xludf.DUMMYFUNCTION("""COMPUTED_VALUE"""),"ROW Master Carton Label (UPC)")</f>
        <v>ROW Master Carton Label (UPC)</v>
      </c>
      <c r="L49" s="517" t="str">
        <f>IFERROR(__xludf.DUMMYFUNCTION("""COMPUTED_VALUE"""),"NA")</f>
        <v>NA</v>
      </c>
      <c r="M49" s="517" t="str">
        <f>IFERROR(__xludf.DUMMYFUNCTION("""COMPUTED_VALUE"""),"N/A")</f>
        <v>N/A</v>
      </c>
      <c r="N49" s="517" t="str">
        <f>IFERROR(__xludf.DUMMYFUNCTION("""COMPUTED_VALUE"""),"N/A")</f>
        <v>N/A</v>
      </c>
      <c r="O49" s="517"/>
      <c r="P49" s="517" t="str">
        <f>IFERROR(__xludf.DUMMYFUNCTION("""COMPUTED_VALUE"""),"N/A")</f>
        <v>N/A</v>
      </c>
      <c r="Q49" s="517" t="str">
        <f>IFERROR(__xludf.DUMMYFUNCTION("""COMPUTED_VALUE"""),"Frost")</f>
        <v>Frost</v>
      </c>
      <c r="R49" s="517" t="str">
        <f>IFERROR(__xludf.DUMMYFUNCTION("""COMPUTED_VALUE"""),"PPL")</f>
        <v>PPL</v>
      </c>
      <c r="S49" s="517" t="str">
        <f>IFERROR(__xludf.DUMMYFUNCTION("""COMPUTED_VALUE"""),"GSTORE, US")</f>
        <v>GSTORE, US</v>
      </c>
      <c r="T49" s="517" t="str">
        <f>IFERROR(__xludf.DUMMYFUNCTION("""COMPUTED_VALUE"""),"SKU, CLR2, GOOD, MMWAVE, GSTORE, FL5, FRU")</f>
        <v>SKU, CLR2, GOOD, MMWAVE, GSTORE, FL5, FRU</v>
      </c>
      <c r="U49" s="517" t="str">
        <f>IFERROR(__xludf.DUMMYFUNCTION("""COMPUTED_VALUE"""),"SKU, CLR2, GOOD, MMWAVE, GSTORE, FL5, FRU")</f>
        <v>SKU, CLR2, GOOD, MMWAVE, GSTORE, FL5, FRU</v>
      </c>
      <c r="V49" s="624" t="str">
        <f>IFERROR(__xludf.DUMMYFUNCTION("""COMPUTED_VALUE"""),"#NUM!")</f>
        <v>#NUM!</v>
      </c>
      <c r="W49" s="625">
        <f>IFERROR(__xludf.DUMMYFUNCTION("""COMPUTED_VALUE"""),45815.0)</f>
        <v>45815</v>
      </c>
      <c r="X49" s="626">
        <f>IFERROR(__xludf.DUMMYFUNCTION("""COMPUTED_VALUE"""),45764.0)</f>
        <v>45764</v>
      </c>
      <c r="Y49" s="517" t="str">
        <f>IFERROR(__xludf.DUMMYFUNCTION("""COMPUTED_VALUE"""),"N/A")</f>
        <v>N/A</v>
      </c>
      <c r="Z49" s="626">
        <f>IFERROR(__xludf.DUMMYFUNCTION("""COMPUTED_VALUE"""),45764.0)</f>
        <v>45764</v>
      </c>
      <c r="AA49" s="517" t="b">
        <f>IFERROR(__xludf.DUMMYFUNCTION("""COMPUTED_VALUE"""),FALSE)</f>
        <v>0</v>
      </c>
    </row>
    <row r="50">
      <c r="B50" s="517" t="str">
        <f>IFERROR(__xludf.DUMMYFUNCTION("""COMPUTED_VALUE"""),"GSTORE")</f>
        <v>GSTORE</v>
      </c>
      <c r="C50" s="518" t="str">
        <f>IFERROR(__xludf.DUMMYFUNCTION("""COMPUTED_VALUE"""),"0840353939356")</f>
        <v>0840353939356</v>
      </c>
      <c r="D50" s="517" t="str">
        <f>IFERROR(__xludf.DUMMYFUNCTION("""COMPUTED_VALUE"""),"CLNR/FRU")</f>
        <v>CLNR/FRU</v>
      </c>
      <c r="E50" s="517" t="str">
        <f>IFERROR(__xludf.DUMMYFUNCTION("""COMPUTED_VALUE"""),"CLNRGA10215")</f>
        <v>CLNRGA10215</v>
      </c>
      <c r="F50" s="517"/>
      <c r="G50" s="517"/>
      <c r="H50" s="518" t="str">
        <f>IFERROR(__xludf.DUMMYFUNCTION("""COMPUTED_VALUE"""),"840353939356")</f>
        <v>840353939356</v>
      </c>
      <c r="I50" s="518" t="str">
        <f>IFERROR(__xludf.DUMMYFUNCTION("""COMPUTED_VALUE"""),"No")</f>
        <v>No</v>
      </c>
      <c r="J50" s="517" t="str">
        <f>IFERROR(__xludf.DUMMYFUNCTION("""COMPUTED_VALUE"""),"Bulk_30ct")</f>
        <v>Bulk_30ct</v>
      </c>
      <c r="K50" s="517" t="str">
        <f>IFERROR(__xludf.DUMMYFUNCTION("""COMPUTED_VALUE"""),"ROW Master Carton Label (UPC)")</f>
        <v>ROW Master Carton Label (UPC)</v>
      </c>
      <c r="L50" s="517" t="str">
        <f>IFERROR(__xludf.DUMMYFUNCTION("""COMPUTED_VALUE"""),"NA")</f>
        <v>NA</v>
      </c>
      <c r="M50" s="517" t="str">
        <f>IFERROR(__xludf.DUMMYFUNCTION("""COMPUTED_VALUE"""),"N/A")</f>
        <v>N/A</v>
      </c>
      <c r="N50" s="517" t="str">
        <f>IFERROR(__xludf.DUMMYFUNCTION("""COMPUTED_VALUE"""),"N/A")</f>
        <v>N/A</v>
      </c>
      <c r="O50" s="517"/>
      <c r="P50" s="517" t="str">
        <f>IFERROR(__xludf.DUMMYFUNCTION("""COMPUTED_VALUE"""),"N/A")</f>
        <v>N/A</v>
      </c>
      <c r="Q50" s="517" t="str">
        <f>IFERROR(__xludf.DUMMYFUNCTION("""COMPUTED_VALUE"""),"Lemongrass")</f>
        <v>Lemongrass</v>
      </c>
      <c r="R50" s="517" t="str">
        <f>IFERROR(__xludf.DUMMYFUNCTION("""COMPUTED_VALUE"""),"YEL")</f>
        <v>YEL</v>
      </c>
      <c r="S50" s="517" t="str">
        <f>IFERROR(__xludf.DUMMYFUNCTION("""COMPUTED_VALUE"""),"GSTORE, US")</f>
        <v>GSTORE, US</v>
      </c>
      <c r="T50" s="517" t="str">
        <f>IFERROR(__xludf.DUMMYFUNCTION("""COMPUTED_VALUE"""),"SKU, CLR3, GOOD, MMWAVE, GSTORE, FL5, FRU")</f>
        <v>SKU, CLR3, GOOD, MMWAVE, GSTORE, FL5, FRU</v>
      </c>
      <c r="U50" s="517" t="str">
        <f>IFERROR(__xludf.DUMMYFUNCTION("""COMPUTED_VALUE"""),"Pixel 10, Lemongrass, 128GB, GSTORE, US, FRU")</f>
        <v>Pixel 10, Lemongrass, 128GB, GSTORE, US, FRU</v>
      </c>
      <c r="V50" s="624" t="str">
        <f>IFERROR(__xludf.DUMMYFUNCTION("""COMPUTED_VALUE"""),"#NUM!")</f>
        <v>#NUM!</v>
      </c>
      <c r="W50" s="625">
        <f>IFERROR(__xludf.DUMMYFUNCTION("""COMPUTED_VALUE"""),45815.0)</f>
        <v>45815</v>
      </c>
      <c r="X50" s="626">
        <f>IFERROR(__xludf.DUMMYFUNCTION("""COMPUTED_VALUE"""),45764.0)</f>
        <v>45764</v>
      </c>
      <c r="Y50" s="517" t="str">
        <f>IFERROR(__xludf.DUMMYFUNCTION("""COMPUTED_VALUE"""),"N/A")</f>
        <v>N/A</v>
      </c>
      <c r="Z50" s="626">
        <f>IFERROR(__xludf.DUMMYFUNCTION("""COMPUTED_VALUE"""),45764.0)</f>
        <v>45764</v>
      </c>
      <c r="AA50" s="517" t="b">
        <f>IFERROR(__xludf.DUMMYFUNCTION("""COMPUTED_VALUE"""),FALSE)</f>
        <v>0</v>
      </c>
    </row>
    <row r="51">
      <c r="B51" s="517" t="str">
        <f>IFERROR(__xludf.DUMMYFUNCTION("""COMPUTED_VALUE"""),"GSTORE")</f>
        <v>GSTORE</v>
      </c>
      <c r="C51" s="518" t="str">
        <f>IFERROR(__xludf.DUMMYFUNCTION("""COMPUTED_VALUE"""),"0840353939363")</f>
        <v>0840353939363</v>
      </c>
      <c r="D51" s="517" t="str">
        <f>IFERROR(__xludf.DUMMYFUNCTION("""COMPUTED_VALUE"""),"CLNR/FRU")</f>
        <v>CLNR/FRU</v>
      </c>
      <c r="E51" s="517" t="str">
        <f>IFERROR(__xludf.DUMMYFUNCTION("""COMPUTED_VALUE"""),"CLNRGA10216")</f>
        <v>CLNRGA10216</v>
      </c>
      <c r="F51" s="517"/>
      <c r="G51" s="517"/>
      <c r="H51" s="518" t="str">
        <f>IFERROR(__xludf.DUMMYFUNCTION("""COMPUTED_VALUE"""),"840353939363")</f>
        <v>840353939363</v>
      </c>
      <c r="I51" s="518" t="str">
        <f>IFERROR(__xludf.DUMMYFUNCTION("""COMPUTED_VALUE"""),"No")</f>
        <v>No</v>
      </c>
      <c r="J51" s="517" t="str">
        <f>IFERROR(__xludf.DUMMYFUNCTION("""COMPUTED_VALUE"""),"Bulk_30ct")</f>
        <v>Bulk_30ct</v>
      </c>
      <c r="K51" s="517" t="str">
        <f>IFERROR(__xludf.DUMMYFUNCTION("""COMPUTED_VALUE"""),"ROW Master Carton Label (UPC)")</f>
        <v>ROW Master Carton Label (UPC)</v>
      </c>
      <c r="L51" s="517" t="str">
        <f>IFERROR(__xludf.DUMMYFUNCTION("""COMPUTED_VALUE"""),"NA")</f>
        <v>NA</v>
      </c>
      <c r="M51" s="517" t="str">
        <f>IFERROR(__xludf.DUMMYFUNCTION("""COMPUTED_VALUE"""),"N/A")</f>
        <v>N/A</v>
      </c>
      <c r="N51" s="517" t="str">
        <f>IFERROR(__xludf.DUMMYFUNCTION("""COMPUTED_VALUE"""),"N/A")</f>
        <v>N/A</v>
      </c>
      <c r="O51" s="517"/>
      <c r="P51" s="517" t="str">
        <f>IFERROR(__xludf.DUMMYFUNCTION("""COMPUTED_VALUE"""),"N/A")</f>
        <v>N/A</v>
      </c>
      <c r="Q51" s="517" t="str">
        <f>IFERROR(__xludf.DUMMYFUNCTION("""COMPUTED_VALUE"""),"Indigo")</f>
        <v>Indigo</v>
      </c>
      <c r="R51" s="517" t="str">
        <f>IFERROR(__xludf.DUMMYFUNCTION("""COMPUTED_VALUE"""),"BUE")</f>
        <v>BUE</v>
      </c>
      <c r="S51" s="517" t="str">
        <f>IFERROR(__xludf.DUMMYFUNCTION("""COMPUTED_VALUE"""),"GSTORE, US")</f>
        <v>GSTORE, US</v>
      </c>
      <c r="T51" s="517" t="str">
        <f>IFERROR(__xludf.DUMMYFUNCTION("""COMPUTED_VALUE"""),"SKU, CLR4, GOOD, MMWAVE, GSTORE, FL5, FRU")</f>
        <v>SKU, CLR4, GOOD, MMWAVE, GSTORE, FL5, FRU</v>
      </c>
      <c r="U51" s="517" t="str">
        <f>IFERROR(__xludf.DUMMYFUNCTION("""COMPUTED_VALUE"""),"SKU, CLR4, GOOD, MMWAVE, GSTORE, FL5, FRU")</f>
        <v>SKU, CLR4, GOOD, MMWAVE, GSTORE, FL5, FRU</v>
      </c>
      <c r="V51" s="624" t="str">
        <f>IFERROR(__xludf.DUMMYFUNCTION("""COMPUTED_VALUE"""),"#NUM!")</f>
        <v>#NUM!</v>
      </c>
      <c r="W51" s="625">
        <f>IFERROR(__xludf.DUMMYFUNCTION("""COMPUTED_VALUE"""),45815.0)</f>
        <v>45815</v>
      </c>
      <c r="X51" s="626">
        <f>IFERROR(__xludf.DUMMYFUNCTION("""COMPUTED_VALUE"""),45764.0)</f>
        <v>45764</v>
      </c>
      <c r="Y51" s="517" t="str">
        <f>IFERROR(__xludf.DUMMYFUNCTION("""COMPUTED_VALUE"""),"N/A")</f>
        <v>N/A</v>
      </c>
      <c r="Z51" s="626">
        <f>IFERROR(__xludf.DUMMYFUNCTION("""COMPUTED_VALUE"""),45764.0)</f>
        <v>45764</v>
      </c>
      <c r="AA51" s="517" t="b">
        <f>IFERROR(__xludf.DUMMYFUNCTION("""COMPUTED_VALUE"""),FALSE)</f>
        <v>0</v>
      </c>
    </row>
    <row r="52">
      <c r="B52" s="517" t="str">
        <f>IFERROR(__xludf.DUMMYFUNCTION("""COMPUTED_VALUE"""),"GSTORE")</f>
        <v>GSTORE</v>
      </c>
      <c r="C52" s="518" t="str">
        <f>IFERROR(__xludf.DUMMYFUNCTION("""COMPUTED_VALUE"""),"0840353939332")</f>
        <v>0840353939332</v>
      </c>
      <c r="D52" s="517" t="str">
        <f>IFERROR(__xludf.DUMMYFUNCTION("""COMPUTED_VALUE"""),"CLNR/FRU")</f>
        <v>CLNR/FRU</v>
      </c>
      <c r="E52" s="517" t="str">
        <f>IFERROR(__xludf.DUMMYFUNCTION("""COMPUTED_VALUE"""),"CLNRGA09883")</f>
        <v>CLNRGA09883</v>
      </c>
      <c r="F52" s="517"/>
      <c r="G52" s="517"/>
      <c r="H52" s="518" t="str">
        <f>IFERROR(__xludf.DUMMYFUNCTION("""COMPUTED_VALUE"""),"840353939332")</f>
        <v>840353939332</v>
      </c>
      <c r="I52" s="518" t="str">
        <f>IFERROR(__xludf.DUMMYFUNCTION("""COMPUTED_VALUE"""),"No")</f>
        <v>No</v>
      </c>
      <c r="J52" s="517" t="str">
        <f>IFERROR(__xludf.DUMMYFUNCTION("""COMPUTED_VALUE"""),"Bulk_30ct")</f>
        <v>Bulk_30ct</v>
      </c>
      <c r="K52" s="517" t="str">
        <f>IFERROR(__xludf.DUMMYFUNCTION("""COMPUTED_VALUE"""),"ROW Master Carton Label (UPC)")</f>
        <v>ROW Master Carton Label (UPC)</v>
      </c>
      <c r="L52" s="517" t="str">
        <f>IFERROR(__xludf.DUMMYFUNCTION("""COMPUTED_VALUE"""),"NA")</f>
        <v>NA</v>
      </c>
      <c r="M52" s="517" t="str">
        <f>IFERROR(__xludf.DUMMYFUNCTION("""COMPUTED_VALUE"""),"N/A")</f>
        <v>N/A</v>
      </c>
      <c r="N52" s="517" t="str">
        <f>IFERROR(__xludf.DUMMYFUNCTION("""COMPUTED_VALUE"""),"N/A")</f>
        <v>N/A</v>
      </c>
      <c r="O52" s="517"/>
      <c r="P52" s="517" t="str">
        <f>IFERROR(__xludf.DUMMYFUNCTION("""COMPUTED_VALUE"""),"N/A")</f>
        <v>N/A</v>
      </c>
      <c r="Q52" s="517" t="str">
        <f>IFERROR(__xludf.DUMMYFUNCTION("""COMPUTED_VALUE"""),"Obsidian")</f>
        <v>Obsidian</v>
      </c>
      <c r="R52" s="517" t="str">
        <f>IFERROR(__xludf.DUMMYFUNCTION("""COMPUTED_VALUE"""),"BLK")</f>
        <v>BLK</v>
      </c>
      <c r="S52" s="517" t="str">
        <f>IFERROR(__xludf.DUMMYFUNCTION("""COMPUTED_VALUE"""),"GSTORE, US")</f>
        <v>GSTORE, US</v>
      </c>
      <c r="T52" s="517" t="str">
        <f>IFERROR(__xludf.DUMMYFUNCTION("""COMPUTED_VALUE"""),"SKU, CLR1, BETTER, MMWAVE, GSTORE, FL5, FRU")</f>
        <v>SKU, CLR1, BETTER, MMWAVE, GSTORE, FL5, FRU</v>
      </c>
      <c r="U52" s="517" t="str">
        <f>IFERROR(__xludf.DUMMYFUNCTION("""COMPUTED_VALUE"""),"Pixel 10, Obsidian, 256GB, GSTORE, US, FRU")</f>
        <v>Pixel 10, Obsidian, 256GB, GSTORE, US, FRU</v>
      </c>
      <c r="V52" s="624" t="str">
        <f>IFERROR(__xludf.DUMMYFUNCTION("""COMPUTED_VALUE"""),"#NUM!")</f>
        <v>#NUM!</v>
      </c>
      <c r="W52" s="625">
        <f>IFERROR(__xludf.DUMMYFUNCTION("""COMPUTED_VALUE"""),45815.0)</f>
        <v>45815</v>
      </c>
      <c r="X52" s="626">
        <f>IFERROR(__xludf.DUMMYFUNCTION("""COMPUTED_VALUE"""),45764.0)</f>
        <v>45764</v>
      </c>
      <c r="Y52" s="517" t="str">
        <f>IFERROR(__xludf.DUMMYFUNCTION("""COMPUTED_VALUE"""),"N/A")</f>
        <v>N/A</v>
      </c>
      <c r="Z52" s="626">
        <f>IFERROR(__xludf.DUMMYFUNCTION("""COMPUTED_VALUE"""),45764.0)</f>
        <v>45764</v>
      </c>
      <c r="AA52" s="517" t="b">
        <f>IFERROR(__xludf.DUMMYFUNCTION("""COMPUTED_VALUE"""),FALSE)</f>
        <v>0</v>
      </c>
    </row>
    <row r="53">
      <c r="B53" s="517" t="str">
        <f>IFERROR(__xludf.DUMMYFUNCTION("""COMPUTED_VALUE"""),"GSTORE")</f>
        <v>GSTORE</v>
      </c>
      <c r="C53" s="518" t="str">
        <f>IFERROR(__xludf.DUMMYFUNCTION("""COMPUTED_VALUE"""),"0840353939370")</f>
        <v>0840353939370</v>
      </c>
      <c r="D53" s="517" t="str">
        <f>IFERROR(__xludf.DUMMYFUNCTION("""COMPUTED_VALUE"""),"CLNR/FRU")</f>
        <v>CLNR/FRU</v>
      </c>
      <c r="E53" s="517" t="str">
        <f>IFERROR(__xludf.DUMMYFUNCTION("""COMPUTED_VALUE"""),"CLNRGA10217")</f>
        <v>CLNRGA10217</v>
      </c>
      <c r="F53" s="517"/>
      <c r="G53" s="517"/>
      <c r="H53" s="518" t="str">
        <f>IFERROR(__xludf.DUMMYFUNCTION("""COMPUTED_VALUE"""),"840353939370")</f>
        <v>840353939370</v>
      </c>
      <c r="I53" s="518" t="str">
        <f>IFERROR(__xludf.DUMMYFUNCTION("""COMPUTED_VALUE"""),"No")</f>
        <v>No</v>
      </c>
      <c r="J53" s="517" t="str">
        <f>IFERROR(__xludf.DUMMYFUNCTION("""COMPUTED_VALUE"""),"Bulk_30ct")</f>
        <v>Bulk_30ct</v>
      </c>
      <c r="K53" s="517" t="str">
        <f>IFERROR(__xludf.DUMMYFUNCTION("""COMPUTED_VALUE"""),"ROW Master Carton Label (UPC)")</f>
        <v>ROW Master Carton Label (UPC)</v>
      </c>
      <c r="L53" s="517" t="str">
        <f>IFERROR(__xludf.DUMMYFUNCTION("""COMPUTED_VALUE"""),"NA")</f>
        <v>NA</v>
      </c>
      <c r="M53" s="517" t="str">
        <f>IFERROR(__xludf.DUMMYFUNCTION("""COMPUTED_VALUE"""),"N/A")</f>
        <v>N/A</v>
      </c>
      <c r="N53" s="517" t="str">
        <f>IFERROR(__xludf.DUMMYFUNCTION("""COMPUTED_VALUE"""),"N/A")</f>
        <v>N/A</v>
      </c>
      <c r="O53" s="517"/>
      <c r="P53" s="517" t="str">
        <f>IFERROR(__xludf.DUMMYFUNCTION("""COMPUTED_VALUE"""),"N/A")</f>
        <v>N/A</v>
      </c>
      <c r="Q53" s="517" t="str">
        <f>IFERROR(__xludf.DUMMYFUNCTION("""COMPUTED_VALUE"""),"Frost")</f>
        <v>Frost</v>
      </c>
      <c r="R53" s="517" t="str">
        <f>IFERROR(__xludf.DUMMYFUNCTION("""COMPUTED_VALUE"""),"PPL")</f>
        <v>PPL</v>
      </c>
      <c r="S53" s="517" t="str">
        <f>IFERROR(__xludf.DUMMYFUNCTION("""COMPUTED_VALUE"""),"GSTORE, US")</f>
        <v>GSTORE, US</v>
      </c>
      <c r="T53" s="517" t="str">
        <f>IFERROR(__xludf.DUMMYFUNCTION("""COMPUTED_VALUE"""),"SKU, CLR2, BETTER, MMWAVE, GSTORE, FL5, FRU")</f>
        <v>SKU, CLR2, BETTER, MMWAVE, GSTORE, FL5, FRU</v>
      </c>
      <c r="U53" s="517" t="str">
        <f>IFERROR(__xludf.DUMMYFUNCTION("""COMPUTED_VALUE"""),"Pixel 10, Frost, 256GB, GSTORE, US, FRU")</f>
        <v>Pixel 10, Frost, 256GB, GSTORE, US, FRU</v>
      </c>
      <c r="V53" s="624" t="str">
        <f>IFERROR(__xludf.DUMMYFUNCTION("""COMPUTED_VALUE"""),"#NUM!")</f>
        <v>#NUM!</v>
      </c>
      <c r="W53" s="625">
        <f>IFERROR(__xludf.DUMMYFUNCTION("""COMPUTED_VALUE"""),45815.0)</f>
        <v>45815</v>
      </c>
      <c r="X53" s="626">
        <f>IFERROR(__xludf.DUMMYFUNCTION("""COMPUTED_VALUE"""),45764.0)</f>
        <v>45764</v>
      </c>
      <c r="Y53" s="517" t="str">
        <f>IFERROR(__xludf.DUMMYFUNCTION("""COMPUTED_VALUE"""),"N/A")</f>
        <v>N/A</v>
      </c>
      <c r="Z53" s="626">
        <f>IFERROR(__xludf.DUMMYFUNCTION("""COMPUTED_VALUE"""),45764.0)</f>
        <v>45764</v>
      </c>
      <c r="AA53" s="517" t="b">
        <f>IFERROR(__xludf.DUMMYFUNCTION("""COMPUTED_VALUE"""),FALSE)</f>
        <v>0</v>
      </c>
    </row>
    <row r="54">
      <c r="B54" s="517" t="str">
        <f>IFERROR(__xludf.DUMMYFUNCTION("""COMPUTED_VALUE"""),"GSTORE")</f>
        <v>GSTORE</v>
      </c>
      <c r="C54" s="518" t="str">
        <f>IFERROR(__xludf.DUMMYFUNCTION("""COMPUTED_VALUE"""),"0840353939387")</f>
        <v>0840353939387</v>
      </c>
      <c r="D54" s="517" t="str">
        <f>IFERROR(__xludf.DUMMYFUNCTION("""COMPUTED_VALUE"""),"CLNR/FRU")</f>
        <v>CLNR/FRU</v>
      </c>
      <c r="E54" s="517" t="str">
        <f>IFERROR(__xludf.DUMMYFUNCTION("""COMPUTED_VALUE"""),"CLNRGA10218")</f>
        <v>CLNRGA10218</v>
      </c>
      <c r="F54" s="517"/>
      <c r="G54" s="517"/>
      <c r="H54" s="518" t="str">
        <f>IFERROR(__xludf.DUMMYFUNCTION("""COMPUTED_VALUE"""),"840353939387")</f>
        <v>840353939387</v>
      </c>
      <c r="I54" s="518" t="str">
        <f>IFERROR(__xludf.DUMMYFUNCTION("""COMPUTED_VALUE"""),"No")</f>
        <v>No</v>
      </c>
      <c r="J54" s="517" t="str">
        <f>IFERROR(__xludf.DUMMYFUNCTION("""COMPUTED_VALUE"""),"Bulk_30ct")</f>
        <v>Bulk_30ct</v>
      </c>
      <c r="K54" s="517" t="str">
        <f>IFERROR(__xludf.DUMMYFUNCTION("""COMPUTED_VALUE"""),"ROW Master Carton Label (UPC)")</f>
        <v>ROW Master Carton Label (UPC)</v>
      </c>
      <c r="L54" s="517" t="str">
        <f>IFERROR(__xludf.DUMMYFUNCTION("""COMPUTED_VALUE"""),"NA")</f>
        <v>NA</v>
      </c>
      <c r="M54" s="517" t="str">
        <f>IFERROR(__xludf.DUMMYFUNCTION("""COMPUTED_VALUE"""),"N/A")</f>
        <v>N/A</v>
      </c>
      <c r="N54" s="517" t="str">
        <f>IFERROR(__xludf.DUMMYFUNCTION("""COMPUTED_VALUE"""),"N/A")</f>
        <v>N/A</v>
      </c>
      <c r="O54" s="517"/>
      <c r="P54" s="517" t="str">
        <f>IFERROR(__xludf.DUMMYFUNCTION("""COMPUTED_VALUE"""),"N/A")</f>
        <v>N/A</v>
      </c>
      <c r="Q54" s="517" t="str">
        <f>IFERROR(__xludf.DUMMYFUNCTION("""COMPUTED_VALUE"""),"Lemongrass")</f>
        <v>Lemongrass</v>
      </c>
      <c r="R54" s="517" t="str">
        <f>IFERROR(__xludf.DUMMYFUNCTION("""COMPUTED_VALUE"""),"YEL")</f>
        <v>YEL</v>
      </c>
      <c r="S54" s="517" t="str">
        <f>IFERROR(__xludf.DUMMYFUNCTION("""COMPUTED_VALUE"""),"GSTORE, US")</f>
        <v>GSTORE, US</v>
      </c>
      <c r="T54" s="517" t="str">
        <f>IFERROR(__xludf.DUMMYFUNCTION("""COMPUTED_VALUE"""),"SKU, CLR3, BETTER, MMWAVE, GSTORE, FL5, FRU")</f>
        <v>SKU, CLR3, BETTER, MMWAVE, GSTORE, FL5, FRU</v>
      </c>
      <c r="U54" s="517" t="str">
        <f>IFERROR(__xludf.DUMMYFUNCTION("""COMPUTED_VALUE"""),"Pixel 10, Lemongrass, 256GB, GSTORE, US, FRU")</f>
        <v>Pixel 10, Lemongrass, 256GB, GSTORE, US, FRU</v>
      </c>
      <c r="V54" s="624" t="str">
        <f>IFERROR(__xludf.DUMMYFUNCTION("""COMPUTED_VALUE"""),"#NUM!")</f>
        <v>#NUM!</v>
      </c>
      <c r="W54" s="625">
        <f>IFERROR(__xludf.DUMMYFUNCTION("""COMPUTED_VALUE"""),45815.0)</f>
        <v>45815</v>
      </c>
      <c r="X54" s="626">
        <f>IFERROR(__xludf.DUMMYFUNCTION("""COMPUTED_VALUE"""),45764.0)</f>
        <v>45764</v>
      </c>
      <c r="Y54" s="517" t="str">
        <f>IFERROR(__xludf.DUMMYFUNCTION("""COMPUTED_VALUE"""),"N/A")</f>
        <v>N/A</v>
      </c>
      <c r="Z54" s="626">
        <f>IFERROR(__xludf.DUMMYFUNCTION("""COMPUTED_VALUE"""),45764.0)</f>
        <v>45764</v>
      </c>
      <c r="AA54" s="517" t="b">
        <f>IFERROR(__xludf.DUMMYFUNCTION("""COMPUTED_VALUE"""),FALSE)</f>
        <v>0</v>
      </c>
    </row>
    <row r="55">
      <c r="B55" s="517" t="str">
        <f>IFERROR(__xludf.DUMMYFUNCTION("""COMPUTED_VALUE"""),"GSTORE")</f>
        <v>GSTORE</v>
      </c>
      <c r="C55" s="518" t="str">
        <f>IFERROR(__xludf.DUMMYFUNCTION("""COMPUTED_VALUE"""),"0840353939394")</f>
        <v>0840353939394</v>
      </c>
      <c r="D55" s="517" t="str">
        <f>IFERROR(__xludf.DUMMYFUNCTION("""COMPUTED_VALUE"""),"CLNR/FRU")</f>
        <v>CLNR/FRU</v>
      </c>
      <c r="E55" s="517" t="str">
        <f>IFERROR(__xludf.DUMMYFUNCTION("""COMPUTED_VALUE"""),"CLNRGA10219")</f>
        <v>CLNRGA10219</v>
      </c>
      <c r="F55" s="517"/>
      <c r="G55" s="517"/>
      <c r="H55" s="518" t="str">
        <f>IFERROR(__xludf.DUMMYFUNCTION("""COMPUTED_VALUE"""),"840353939394")</f>
        <v>840353939394</v>
      </c>
      <c r="I55" s="518" t="str">
        <f>IFERROR(__xludf.DUMMYFUNCTION("""COMPUTED_VALUE"""),"No")</f>
        <v>No</v>
      </c>
      <c r="J55" s="517" t="str">
        <f>IFERROR(__xludf.DUMMYFUNCTION("""COMPUTED_VALUE"""),"Bulk_30ct")</f>
        <v>Bulk_30ct</v>
      </c>
      <c r="K55" s="517" t="str">
        <f>IFERROR(__xludf.DUMMYFUNCTION("""COMPUTED_VALUE"""),"ROW Master Carton Label (UPC)")</f>
        <v>ROW Master Carton Label (UPC)</v>
      </c>
      <c r="L55" s="517" t="str">
        <f>IFERROR(__xludf.DUMMYFUNCTION("""COMPUTED_VALUE"""),"NA")</f>
        <v>NA</v>
      </c>
      <c r="M55" s="517" t="str">
        <f>IFERROR(__xludf.DUMMYFUNCTION("""COMPUTED_VALUE"""),"N/A")</f>
        <v>N/A</v>
      </c>
      <c r="N55" s="517" t="str">
        <f>IFERROR(__xludf.DUMMYFUNCTION("""COMPUTED_VALUE"""),"N/A")</f>
        <v>N/A</v>
      </c>
      <c r="O55" s="517"/>
      <c r="P55" s="517" t="str">
        <f>IFERROR(__xludf.DUMMYFUNCTION("""COMPUTED_VALUE"""),"N/A")</f>
        <v>N/A</v>
      </c>
      <c r="Q55" s="517" t="str">
        <f>IFERROR(__xludf.DUMMYFUNCTION("""COMPUTED_VALUE"""),"Indigo")</f>
        <v>Indigo</v>
      </c>
      <c r="R55" s="517" t="str">
        <f>IFERROR(__xludf.DUMMYFUNCTION("""COMPUTED_VALUE"""),"BUE")</f>
        <v>BUE</v>
      </c>
      <c r="S55" s="517" t="str">
        <f>IFERROR(__xludf.DUMMYFUNCTION("""COMPUTED_VALUE"""),"GSTORE, US")</f>
        <v>GSTORE, US</v>
      </c>
      <c r="T55" s="517" t="str">
        <f>IFERROR(__xludf.DUMMYFUNCTION("""COMPUTED_VALUE"""),"SKU, CLR4, BETTER, MMWAVE, GSTORE, FL5, FRU")</f>
        <v>SKU, CLR4, BETTER, MMWAVE, GSTORE, FL5, FRU</v>
      </c>
      <c r="U55" s="517" t="str">
        <f>IFERROR(__xludf.DUMMYFUNCTION("""COMPUTED_VALUE"""),"SKU, CLR4, BETTER, MMWAVE, GSTORE, FL5, FRU")</f>
        <v>SKU, CLR4, BETTER, MMWAVE, GSTORE, FL5, FRU</v>
      </c>
      <c r="V55" s="624" t="str">
        <f>IFERROR(__xludf.DUMMYFUNCTION("""COMPUTED_VALUE"""),"#NUM!")</f>
        <v>#NUM!</v>
      </c>
      <c r="W55" s="625">
        <f>IFERROR(__xludf.DUMMYFUNCTION("""COMPUTED_VALUE"""),45815.0)</f>
        <v>45815</v>
      </c>
      <c r="X55" s="626">
        <f>IFERROR(__xludf.DUMMYFUNCTION("""COMPUTED_VALUE"""),45764.0)</f>
        <v>45764</v>
      </c>
      <c r="Y55" s="517" t="str">
        <f>IFERROR(__xludf.DUMMYFUNCTION("""COMPUTED_VALUE"""),"N/A")</f>
        <v>N/A</v>
      </c>
      <c r="Z55" s="626">
        <f>IFERROR(__xludf.DUMMYFUNCTION("""COMPUTED_VALUE"""),45764.0)</f>
        <v>45764</v>
      </c>
      <c r="AA55" s="517" t="b">
        <f>IFERROR(__xludf.DUMMYFUNCTION("""COMPUTED_VALUE"""),FALSE)</f>
        <v>0</v>
      </c>
    </row>
    <row r="56">
      <c r="B56" s="517" t="str">
        <f>IFERROR(__xludf.DUMMYFUNCTION("""COMPUTED_VALUE"""),"CA/AU")</f>
        <v>CA/AU</v>
      </c>
      <c r="C56" s="518" t="str">
        <f>IFERROR(__xludf.DUMMYFUNCTION("""COMPUTED_VALUE"""),"0840353939462")</f>
        <v>0840353939462</v>
      </c>
      <c r="D56" s="517" t="str">
        <f>IFERROR(__xludf.DUMMYFUNCTION("""COMPUTED_VALUE"""),"CLNR/FRU")</f>
        <v>CLNR/FRU</v>
      </c>
      <c r="E56" s="517" t="str">
        <f>IFERROR(__xludf.DUMMYFUNCTION("""COMPUTED_VALUE"""),"CLNRGA10540")</f>
        <v>CLNRGA10540</v>
      </c>
      <c r="F56" s="517"/>
      <c r="G56" s="517"/>
      <c r="H56" s="518" t="str">
        <f>IFERROR(__xludf.DUMMYFUNCTION("""COMPUTED_VALUE"""),"840353939462")</f>
        <v>840353939462</v>
      </c>
      <c r="I56" s="518" t="str">
        <f>IFERROR(__xludf.DUMMYFUNCTION("""COMPUTED_VALUE"""),"No")</f>
        <v>No</v>
      </c>
      <c r="J56" s="517" t="str">
        <f>IFERROR(__xludf.DUMMYFUNCTION("""COMPUTED_VALUE"""),"Bulk_30ct")</f>
        <v>Bulk_30ct</v>
      </c>
      <c r="K56" s="517" t="str">
        <f>IFERROR(__xludf.DUMMYFUNCTION("""COMPUTED_VALUE"""),"ROW Master Carton Label (UPC)")</f>
        <v>ROW Master Carton Label (UPC)</v>
      </c>
      <c r="L56" s="517" t="str">
        <f>IFERROR(__xludf.DUMMYFUNCTION("""COMPUTED_VALUE"""),"NA")</f>
        <v>NA</v>
      </c>
      <c r="M56" s="517" t="str">
        <f>IFERROR(__xludf.DUMMYFUNCTION("""COMPUTED_VALUE"""),"N/A")</f>
        <v>N/A</v>
      </c>
      <c r="N56" s="517" t="str">
        <f>IFERROR(__xludf.DUMMYFUNCTION("""COMPUTED_VALUE"""),"N/A")</f>
        <v>N/A</v>
      </c>
      <c r="O56" s="517"/>
      <c r="P56" s="517" t="str">
        <f>IFERROR(__xludf.DUMMYFUNCTION("""COMPUTED_VALUE"""),"N/A")</f>
        <v>N/A</v>
      </c>
      <c r="Q56" s="517" t="str">
        <f>IFERROR(__xludf.DUMMYFUNCTION("""COMPUTED_VALUE"""),"Obsidian")</f>
        <v>Obsidian</v>
      </c>
      <c r="R56" s="517" t="str">
        <f>IFERROR(__xludf.DUMMYFUNCTION("""COMPUTED_VALUE"""),"BLK")</f>
        <v>BLK</v>
      </c>
      <c r="S56" s="517" t="str">
        <f>IFERROR(__xludf.DUMMYFUNCTION("""COMPUTED_VALUE"""),"CA/AU")</f>
        <v>CA/AU</v>
      </c>
      <c r="T56" s="517" t="str">
        <f>IFERROR(__xludf.DUMMYFUNCTION("""COMPUTED_VALUE"""),"SKU, CLR1, GOOD, SUB6, CA/AU, FL5, FRU")</f>
        <v>SKU, CLR1, GOOD, SUB6, CA/AU, FL5, FRU</v>
      </c>
      <c r="U56" s="517" t="str">
        <f>IFERROR(__xludf.DUMMYFUNCTION("""COMPUTED_VALUE"""),"Pixel 10, Obsidian, 128GB, CA/AU, FRU")</f>
        <v>Pixel 10, Obsidian, 128GB, CA/AU, FRU</v>
      </c>
      <c r="V56" s="624" t="str">
        <f>IFERROR(__xludf.DUMMYFUNCTION("""COMPUTED_VALUE"""),"#NUM!")</f>
        <v>#NUM!</v>
      </c>
      <c r="W56" s="625">
        <f>IFERROR(__xludf.DUMMYFUNCTION("""COMPUTED_VALUE"""),45815.0)</f>
        <v>45815</v>
      </c>
      <c r="X56" s="626">
        <f>IFERROR(__xludf.DUMMYFUNCTION("""COMPUTED_VALUE"""),45764.0)</f>
        <v>45764</v>
      </c>
      <c r="Y56" s="517" t="str">
        <f>IFERROR(__xludf.DUMMYFUNCTION("""COMPUTED_VALUE"""),"N/A")</f>
        <v>N/A</v>
      </c>
      <c r="Z56" s="626">
        <f>IFERROR(__xludf.DUMMYFUNCTION("""COMPUTED_VALUE"""),45764.0)</f>
        <v>45764</v>
      </c>
      <c r="AA56" s="517" t="b">
        <f>IFERROR(__xludf.DUMMYFUNCTION("""COMPUTED_VALUE"""),FALSE)</f>
        <v>0</v>
      </c>
    </row>
    <row r="57">
      <c r="B57" s="517" t="str">
        <f>IFERROR(__xludf.DUMMYFUNCTION("""COMPUTED_VALUE"""),"CA/AU")</f>
        <v>CA/AU</v>
      </c>
      <c r="C57" s="518" t="str">
        <f>IFERROR(__xludf.DUMMYFUNCTION("""COMPUTED_VALUE"""),"0840353939479")</f>
        <v>0840353939479</v>
      </c>
      <c r="D57" s="517" t="str">
        <f>IFERROR(__xludf.DUMMYFUNCTION("""COMPUTED_VALUE"""),"CLNR/FRU")</f>
        <v>CLNR/FRU</v>
      </c>
      <c r="E57" s="517" t="str">
        <f>IFERROR(__xludf.DUMMYFUNCTION("""COMPUTED_VALUE"""),"CLNRGA10541")</f>
        <v>CLNRGA10541</v>
      </c>
      <c r="F57" s="517"/>
      <c r="G57" s="517"/>
      <c r="H57" s="518" t="str">
        <f>IFERROR(__xludf.DUMMYFUNCTION("""COMPUTED_VALUE"""),"840353939479")</f>
        <v>840353939479</v>
      </c>
      <c r="I57" s="518" t="str">
        <f>IFERROR(__xludf.DUMMYFUNCTION("""COMPUTED_VALUE"""),"No")</f>
        <v>No</v>
      </c>
      <c r="J57" s="517" t="str">
        <f>IFERROR(__xludf.DUMMYFUNCTION("""COMPUTED_VALUE"""),"Bulk_30ct")</f>
        <v>Bulk_30ct</v>
      </c>
      <c r="K57" s="517" t="str">
        <f>IFERROR(__xludf.DUMMYFUNCTION("""COMPUTED_VALUE"""),"ROW Master Carton Label (UPC)")</f>
        <v>ROW Master Carton Label (UPC)</v>
      </c>
      <c r="L57" s="517" t="str">
        <f>IFERROR(__xludf.DUMMYFUNCTION("""COMPUTED_VALUE"""),"NA")</f>
        <v>NA</v>
      </c>
      <c r="M57" s="517" t="str">
        <f>IFERROR(__xludf.DUMMYFUNCTION("""COMPUTED_VALUE"""),"N/A")</f>
        <v>N/A</v>
      </c>
      <c r="N57" s="517" t="str">
        <f>IFERROR(__xludf.DUMMYFUNCTION("""COMPUTED_VALUE"""),"N/A")</f>
        <v>N/A</v>
      </c>
      <c r="O57" s="517"/>
      <c r="P57" s="517" t="str">
        <f>IFERROR(__xludf.DUMMYFUNCTION("""COMPUTED_VALUE"""),"N/A")</f>
        <v>N/A</v>
      </c>
      <c r="Q57" s="517" t="str">
        <f>IFERROR(__xludf.DUMMYFUNCTION("""COMPUTED_VALUE"""),"Frost")</f>
        <v>Frost</v>
      </c>
      <c r="R57" s="517" t="str">
        <f>IFERROR(__xludf.DUMMYFUNCTION("""COMPUTED_VALUE"""),"PPL")</f>
        <v>PPL</v>
      </c>
      <c r="S57" s="517" t="str">
        <f>IFERROR(__xludf.DUMMYFUNCTION("""COMPUTED_VALUE"""),"CA/AU")</f>
        <v>CA/AU</v>
      </c>
      <c r="T57" s="517" t="str">
        <f>IFERROR(__xludf.DUMMYFUNCTION("""COMPUTED_VALUE"""),"SKU, CLR2, GOOD, SUB6, CA/AU, FL5, FRU")</f>
        <v>SKU, CLR2, GOOD, SUB6, CA/AU, FL5, FRU</v>
      </c>
      <c r="U57" s="517" t="str">
        <f>IFERROR(__xludf.DUMMYFUNCTION("""COMPUTED_VALUE"""),"SKU, CLR2, GOOD, SUB6, CA/AU, FL5, FRU")</f>
        <v>SKU, CLR2, GOOD, SUB6, CA/AU, FL5, FRU</v>
      </c>
      <c r="V57" s="624" t="str">
        <f>IFERROR(__xludf.DUMMYFUNCTION("""COMPUTED_VALUE"""),"#NUM!")</f>
        <v>#NUM!</v>
      </c>
      <c r="W57" s="625">
        <f>IFERROR(__xludf.DUMMYFUNCTION("""COMPUTED_VALUE"""),45815.0)</f>
        <v>45815</v>
      </c>
      <c r="X57" s="626">
        <f>IFERROR(__xludf.DUMMYFUNCTION("""COMPUTED_VALUE"""),45764.0)</f>
        <v>45764</v>
      </c>
      <c r="Y57" s="517" t="str">
        <f>IFERROR(__xludf.DUMMYFUNCTION("""COMPUTED_VALUE"""),"N/A")</f>
        <v>N/A</v>
      </c>
      <c r="Z57" s="626">
        <f>IFERROR(__xludf.DUMMYFUNCTION("""COMPUTED_VALUE"""),45764.0)</f>
        <v>45764</v>
      </c>
      <c r="AA57" s="517" t="b">
        <f>IFERROR(__xludf.DUMMYFUNCTION("""COMPUTED_VALUE"""),FALSE)</f>
        <v>0</v>
      </c>
    </row>
    <row r="58">
      <c r="B58" s="517" t="str">
        <f>IFERROR(__xludf.DUMMYFUNCTION("""COMPUTED_VALUE"""),"CA/AU")</f>
        <v>CA/AU</v>
      </c>
      <c r="C58" s="518" t="str">
        <f>IFERROR(__xludf.DUMMYFUNCTION("""COMPUTED_VALUE"""),"0840353939486")</f>
        <v>0840353939486</v>
      </c>
      <c r="D58" s="517" t="str">
        <f>IFERROR(__xludf.DUMMYFUNCTION("""COMPUTED_VALUE"""),"CLNR/FRU")</f>
        <v>CLNR/FRU</v>
      </c>
      <c r="E58" s="517" t="str">
        <f>IFERROR(__xludf.DUMMYFUNCTION("""COMPUTED_VALUE"""),"CLNRGA10542")</f>
        <v>CLNRGA10542</v>
      </c>
      <c r="F58" s="517"/>
      <c r="G58" s="517"/>
      <c r="H58" s="518" t="str">
        <f>IFERROR(__xludf.DUMMYFUNCTION("""COMPUTED_VALUE"""),"840353939486")</f>
        <v>840353939486</v>
      </c>
      <c r="I58" s="518" t="str">
        <f>IFERROR(__xludf.DUMMYFUNCTION("""COMPUTED_VALUE"""),"No")</f>
        <v>No</v>
      </c>
      <c r="J58" s="517" t="str">
        <f>IFERROR(__xludf.DUMMYFUNCTION("""COMPUTED_VALUE"""),"Bulk_30ct")</f>
        <v>Bulk_30ct</v>
      </c>
      <c r="K58" s="517" t="str">
        <f>IFERROR(__xludf.DUMMYFUNCTION("""COMPUTED_VALUE"""),"ROW Master Carton Label (UPC)")</f>
        <v>ROW Master Carton Label (UPC)</v>
      </c>
      <c r="L58" s="517" t="str">
        <f>IFERROR(__xludf.DUMMYFUNCTION("""COMPUTED_VALUE"""),"NA")</f>
        <v>NA</v>
      </c>
      <c r="M58" s="517" t="str">
        <f>IFERROR(__xludf.DUMMYFUNCTION("""COMPUTED_VALUE"""),"N/A")</f>
        <v>N/A</v>
      </c>
      <c r="N58" s="517" t="str">
        <f>IFERROR(__xludf.DUMMYFUNCTION("""COMPUTED_VALUE"""),"N/A")</f>
        <v>N/A</v>
      </c>
      <c r="O58" s="517"/>
      <c r="P58" s="517" t="str">
        <f>IFERROR(__xludf.DUMMYFUNCTION("""COMPUTED_VALUE"""),"N/A")</f>
        <v>N/A</v>
      </c>
      <c r="Q58" s="517" t="str">
        <f>IFERROR(__xludf.DUMMYFUNCTION("""COMPUTED_VALUE"""),"Lemongrass")</f>
        <v>Lemongrass</v>
      </c>
      <c r="R58" s="517" t="str">
        <f>IFERROR(__xludf.DUMMYFUNCTION("""COMPUTED_VALUE"""),"YEL")</f>
        <v>YEL</v>
      </c>
      <c r="S58" s="517" t="str">
        <f>IFERROR(__xludf.DUMMYFUNCTION("""COMPUTED_VALUE"""),"CA/AU")</f>
        <v>CA/AU</v>
      </c>
      <c r="T58" s="517" t="str">
        <f>IFERROR(__xludf.DUMMYFUNCTION("""COMPUTED_VALUE"""),"SKU, CLR3, GOOD, SUB6, CA/AU, FL5, FRU")</f>
        <v>SKU, CLR3, GOOD, SUB6, CA/AU, FL5, FRU</v>
      </c>
      <c r="U58" s="517" t="str">
        <f>IFERROR(__xludf.DUMMYFUNCTION("""COMPUTED_VALUE"""),"SKU, CLR3, GOOD, SUB6, CA/AU, FL5, FRU")</f>
        <v>SKU, CLR3, GOOD, SUB6, CA/AU, FL5, FRU</v>
      </c>
      <c r="V58" s="624" t="str">
        <f>IFERROR(__xludf.DUMMYFUNCTION("""COMPUTED_VALUE"""),"#NUM!")</f>
        <v>#NUM!</v>
      </c>
      <c r="W58" s="625">
        <f>IFERROR(__xludf.DUMMYFUNCTION("""COMPUTED_VALUE"""),45815.0)</f>
        <v>45815</v>
      </c>
      <c r="X58" s="626">
        <f>IFERROR(__xludf.DUMMYFUNCTION("""COMPUTED_VALUE"""),45764.0)</f>
        <v>45764</v>
      </c>
      <c r="Y58" s="517" t="str">
        <f>IFERROR(__xludf.DUMMYFUNCTION("""COMPUTED_VALUE"""),"N/A")</f>
        <v>N/A</v>
      </c>
      <c r="Z58" s="626">
        <f>IFERROR(__xludf.DUMMYFUNCTION("""COMPUTED_VALUE"""),45764.0)</f>
        <v>45764</v>
      </c>
      <c r="AA58" s="517" t="b">
        <f>IFERROR(__xludf.DUMMYFUNCTION("""COMPUTED_VALUE"""),FALSE)</f>
        <v>0</v>
      </c>
    </row>
    <row r="59">
      <c r="B59" s="517" t="str">
        <f>IFERROR(__xludf.DUMMYFUNCTION("""COMPUTED_VALUE"""),"CA/AU")</f>
        <v>CA/AU</v>
      </c>
      <c r="C59" s="518" t="str">
        <f>IFERROR(__xludf.DUMMYFUNCTION("""COMPUTED_VALUE"""),"0840353939493")</f>
        <v>0840353939493</v>
      </c>
      <c r="D59" s="517" t="str">
        <f>IFERROR(__xludf.DUMMYFUNCTION("""COMPUTED_VALUE"""),"CLNR/FRU")</f>
        <v>CLNR/FRU</v>
      </c>
      <c r="E59" s="517" t="str">
        <f>IFERROR(__xludf.DUMMYFUNCTION("""COMPUTED_VALUE"""),"CLNRGA10543")</f>
        <v>CLNRGA10543</v>
      </c>
      <c r="F59" s="517"/>
      <c r="G59" s="517"/>
      <c r="H59" s="518" t="str">
        <f>IFERROR(__xludf.DUMMYFUNCTION("""COMPUTED_VALUE"""),"840353939493")</f>
        <v>840353939493</v>
      </c>
      <c r="I59" s="518" t="str">
        <f>IFERROR(__xludf.DUMMYFUNCTION("""COMPUTED_VALUE"""),"No")</f>
        <v>No</v>
      </c>
      <c r="J59" s="517" t="str">
        <f>IFERROR(__xludf.DUMMYFUNCTION("""COMPUTED_VALUE"""),"Bulk_30ct")</f>
        <v>Bulk_30ct</v>
      </c>
      <c r="K59" s="517" t="str">
        <f>IFERROR(__xludf.DUMMYFUNCTION("""COMPUTED_VALUE"""),"ROW Master Carton Label (UPC)")</f>
        <v>ROW Master Carton Label (UPC)</v>
      </c>
      <c r="L59" s="517" t="str">
        <f>IFERROR(__xludf.DUMMYFUNCTION("""COMPUTED_VALUE"""),"NA")</f>
        <v>NA</v>
      </c>
      <c r="M59" s="517" t="str">
        <f>IFERROR(__xludf.DUMMYFUNCTION("""COMPUTED_VALUE"""),"N/A")</f>
        <v>N/A</v>
      </c>
      <c r="N59" s="517" t="str">
        <f>IFERROR(__xludf.DUMMYFUNCTION("""COMPUTED_VALUE"""),"N/A")</f>
        <v>N/A</v>
      </c>
      <c r="O59" s="517"/>
      <c r="P59" s="517" t="str">
        <f>IFERROR(__xludf.DUMMYFUNCTION("""COMPUTED_VALUE"""),"N/A")</f>
        <v>N/A</v>
      </c>
      <c r="Q59" s="517" t="str">
        <f>IFERROR(__xludf.DUMMYFUNCTION("""COMPUTED_VALUE"""),"Indigo")</f>
        <v>Indigo</v>
      </c>
      <c r="R59" s="517" t="str">
        <f>IFERROR(__xludf.DUMMYFUNCTION("""COMPUTED_VALUE"""),"BUE")</f>
        <v>BUE</v>
      </c>
      <c r="S59" s="517" t="str">
        <f>IFERROR(__xludf.DUMMYFUNCTION("""COMPUTED_VALUE"""),"CA/AU")</f>
        <v>CA/AU</v>
      </c>
      <c r="T59" s="517" t="str">
        <f>IFERROR(__xludf.DUMMYFUNCTION("""COMPUTED_VALUE"""),"SKU, CLR4, GOOD, SUB6, CA/AU, FL5, FRU")</f>
        <v>SKU, CLR4, GOOD, SUB6, CA/AU, FL5, FRU</v>
      </c>
      <c r="U59" s="517" t="str">
        <f>IFERROR(__xludf.DUMMYFUNCTION("""COMPUTED_VALUE"""),"Pixel 10, Indigo, 128GB, CA/AU, FRU")</f>
        <v>Pixel 10, Indigo, 128GB, CA/AU, FRU</v>
      </c>
      <c r="V59" s="624" t="str">
        <f>IFERROR(__xludf.DUMMYFUNCTION("""COMPUTED_VALUE"""),"#NUM!")</f>
        <v>#NUM!</v>
      </c>
      <c r="W59" s="625">
        <f>IFERROR(__xludf.DUMMYFUNCTION("""COMPUTED_VALUE"""),45815.0)</f>
        <v>45815</v>
      </c>
      <c r="X59" s="626">
        <f>IFERROR(__xludf.DUMMYFUNCTION("""COMPUTED_VALUE"""),45764.0)</f>
        <v>45764</v>
      </c>
      <c r="Y59" s="517" t="str">
        <f>IFERROR(__xludf.DUMMYFUNCTION("""COMPUTED_VALUE"""),"N/A")</f>
        <v>N/A</v>
      </c>
      <c r="Z59" s="626">
        <f>IFERROR(__xludf.DUMMYFUNCTION("""COMPUTED_VALUE"""),45764.0)</f>
        <v>45764</v>
      </c>
      <c r="AA59" s="517" t="b">
        <f>IFERROR(__xludf.DUMMYFUNCTION("""COMPUTED_VALUE"""),FALSE)</f>
        <v>0</v>
      </c>
    </row>
    <row r="60">
      <c r="B60" s="517" t="str">
        <f>IFERROR(__xludf.DUMMYFUNCTION("""COMPUTED_VALUE"""),"CA/AU")</f>
        <v>CA/AU</v>
      </c>
      <c r="C60" s="518" t="str">
        <f>IFERROR(__xludf.DUMMYFUNCTION("""COMPUTED_VALUE"""),"0840353939509")</f>
        <v>0840353939509</v>
      </c>
      <c r="D60" s="517" t="str">
        <f>IFERROR(__xludf.DUMMYFUNCTION("""COMPUTED_VALUE"""),"CLNR/FRU")</f>
        <v>CLNR/FRU</v>
      </c>
      <c r="E60" s="517" t="str">
        <f>IFERROR(__xludf.DUMMYFUNCTION("""COMPUTED_VALUE"""),"CLNRGA10544")</f>
        <v>CLNRGA10544</v>
      </c>
      <c r="F60" s="517"/>
      <c r="G60" s="517"/>
      <c r="H60" s="518" t="str">
        <f>IFERROR(__xludf.DUMMYFUNCTION("""COMPUTED_VALUE"""),"840353939509")</f>
        <v>840353939509</v>
      </c>
      <c r="I60" s="518" t="str">
        <f>IFERROR(__xludf.DUMMYFUNCTION("""COMPUTED_VALUE"""),"No")</f>
        <v>No</v>
      </c>
      <c r="J60" s="517" t="str">
        <f>IFERROR(__xludf.DUMMYFUNCTION("""COMPUTED_VALUE"""),"Bulk_30ct")</f>
        <v>Bulk_30ct</v>
      </c>
      <c r="K60" s="517" t="str">
        <f>IFERROR(__xludf.DUMMYFUNCTION("""COMPUTED_VALUE"""),"ROW Master Carton Label (UPC)")</f>
        <v>ROW Master Carton Label (UPC)</v>
      </c>
      <c r="L60" s="517" t="str">
        <f>IFERROR(__xludf.DUMMYFUNCTION("""COMPUTED_VALUE"""),"NA")</f>
        <v>NA</v>
      </c>
      <c r="M60" s="517" t="str">
        <f>IFERROR(__xludf.DUMMYFUNCTION("""COMPUTED_VALUE"""),"N/A")</f>
        <v>N/A</v>
      </c>
      <c r="N60" s="517" t="str">
        <f>IFERROR(__xludf.DUMMYFUNCTION("""COMPUTED_VALUE"""),"N/A")</f>
        <v>N/A</v>
      </c>
      <c r="O60" s="517"/>
      <c r="P60" s="517" t="str">
        <f>IFERROR(__xludf.DUMMYFUNCTION("""COMPUTED_VALUE"""),"N/A")</f>
        <v>N/A</v>
      </c>
      <c r="Q60" s="517" t="str">
        <f>IFERROR(__xludf.DUMMYFUNCTION("""COMPUTED_VALUE"""),"Obsidian")</f>
        <v>Obsidian</v>
      </c>
      <c r="R60" s="517" t="str">
        <f>IFERROR(__xludf.DUMMYFUNCTION("""COMPUTED_VALUE"""),"BLK")</f>
        <v>BLK</v>
      </c>
      <c r="S60" s="517" t="str">
        <f>IFERROR(__xludf.DUMMYFUNCTION("""COMPUTED_VALUE"""),"CA/AU")</f>
        <v>CA/AU</v>
      </c>
      <c r="T60" s="517" t="str">
        <f>IFERROR(__xludf.DUMMYFUNCTION("""COMPUTED_VALUE"""),"SKU, CLR1, BETTER, SUB6, CA/AU, FL5, FRU")</f>
        <v>SKU, CLR1, BETTER, SUB6, CA/AU, FL5, FRU</v>
      </c>
      <c r="U60" s="517" t="str">
        <f>IFERROR(__xludf.DUMMYFUNCTION("""COMPUTED_VALUE"""),"Pixel 10, Obsidian, 256GB, CA/AU, FRU")</f>
        <v>Pixel 10, Obsidian, 256GB, CA/AU, FRU</v>
      </c>
      <c r="V60" s="624" t="str">
        <f>IFERROR(__xludf.DUMMYFUNCTION("""COMPUTED_VALUE"""),"#NUM!")</f>
        <v>#NUM!</v>
      </c>
      <c r="W60" s="625">
        <f>IFERROR(__xludf.DUMMYFUNCTION("""COMPUTED_VALUE"""),45815.0)</f>
        <v>45815</v>
      </c>
      <c r="X60" s="626">
        <f>IFERROR(__xludf.DUMMYFUNCTION("""COMPUTED_VALUE"""),45764.0)</f>
        <v>45764</v>
      </c>
      <c r="Y60" s="517" t="str">
        <f>IFERROR(__xludf.DUMMYFUNCTION("""COMPUTED_VALUE"""),"N/A")</f>
        <v>N/A</v>
      </c>
      <c r="Z60" s="626">
        <f>IFERROR(__xludf.DUMMYFUNCTION("""COMPUTED_VALUE"""),45764.0)</f>
        <v>45764</v>
      </c>
      <c r="AA60" s="517" t="b">
        <f>IFERROR(__xludf.DUMMYFUNCTION("""COMPUTED_VALUE"""),FALSE)</f>
        <v>0</v>
      </c>
    </row>
    <row r="61">
      <c r="B61" s="517" t="str">
        <f>IFERROR(__xludf.DUMMYFUNCTION("""COMPUTED_VALUE"""),"CA/AU")</f>
        <v>CA/AU</v>
      </c>
      <c r="C61" s="518" t="str">
        <f>IFERROR(__xludf.DUMMYFUNCTION("""COMPUTED_VALUE"""),"0840353939516")</f>
        <v>0840353939516</v>
      </c>
      <c r="D61" s="517" t="str">
        <f>IFERROR(__xludf.DUMMYFUNCTION("""COMPUTED_VALUE"""),"CLNR/FRU")</f>
        <v>CLNR/FRU</v>
      </c>
      <c r="E61" s="517" t="str">
        <f>IFERROR(__xludf.DUMMYFUNCTION("""COMPUTED_VALUE"""),"CLNRGA10545")</f>
        <v>CLNRGA10545</v>
      </c>
      <c r="F61" s="517"/>
      <c r="G61" s="517"/>
      <c r="H61" s="518" t="str">
        <f>IFERROR(__xludf.DUMMYFUNCTION("""COMPUTED_VALUE"""),"840353939516")</f>
        <v>840353939516</v>
      </c>
      <c r="I61" s="518" t="str">
        <f>IFERROR(__xludf.DUMMYFUNCTION("""COMPUTED_VALUE"""),"No")</f>
        <v>No</v>
      </c>
      <c r="J61" s="517" t="str">
        <f>IFERROR(__xludf.DUMMYFUNCTION("""COMPUTED_VALUE"""),"Bulk_30ct")</f>
        <v>Bulk_30ct</v>
      </c>
      <c r="K61" s="517" t="str">
        <f>IFERROR(__xludf.DUMMYFUNCTION("""COMPUTED_VALUE"""),"ROW Master Carton Label (UPC)")</f>
        <v>ROW Master Carton Label (UPC)</v>
      </c>
      <c r="L61" s="517" t="str">
        <f>IFERROR(__xludf.DUMMYFUNCTION("""COMPUTED_VALUE"""),"NA")</f>
        <v>NA</v>
      </c>
      <c r="M61" s="517" t="str">
        <f>IFERROR(__xludf.DUMMYFUNCTION("""COMPUTED_VALUE"""),"N/A")</f>
        <v>N/A</v>
      </c>
      <c r="N61" s="517" t="str">
        <f>IFERROR(__xludf.DUMMYFUNCTION("""COMPUTED_VALUE"""),"N/A")</f>
        <v>N/A</v>
      </c>
      <c r="O61" s="517"/>
      <c r="P61" s="517" t="str">
        <f>IFERROR(__xludf.DUMMYFUNCTION("""COMPUTED_VALUE"""),"N/A")</f>
        <v>N/A</v>
      </c>
      <c r="Q61" s="517" t="str">
        <f>IFERROR(__xludf.DUMMYFUNCTION("""COMPUTED_VALUE"""),"Frost")</f>
        <v>Frost</v>
      </c>
      <c r="R61" s="517" t="str">
        <f>IFERROR(__xludf.DUMMYFUNCTION("""COMPUTED_VALUE"""),"PPL")</f>
        <v>PPL</v>
      </c>
      <c r="S61" s="517" t="str">
        <f>IFERROR(__xludf.DUMMYFUNCTION("""COMPUTED_VALUE"""),"CA/AU")</f>
        <v>CA/AU</v>
      </c>
      <c r="T61" s="517" t="str">
        <f>IFERROR(__xludf.DUMMYFUNCTION("""COMPUTED_VALUE"""),"SKU, CLR2, BETTER, SUB6, CA/AU, FL5, FRU")</f>
        <v>SKU, CLR2, BETTER, SUB6, CA/AU, FL5, FRU</v>
      </c>
      <c r="U61" s="517" t="str">
        <f>IFERROR(__xludf.DUMMYFUNCTION("""COMPUTED_VALUE"""),"Pixel 10, Frost, 256GB, CA/AU, FRU")</f>
        <v>Pixel 10, Frost, 256GB, CA/AU, FRU</v>
      </c>
      <c r="V61" s="624" t="str">
        <f>IFERROR(__xludf.DUMMYFUNCTION("""COMPUTED_VALUE"""),"#NUM!")</f>
        <v>#NUM!</v>
      </c>
      <c r="W61" s="625">
        <f>IFERROR(__xludf.DUMMYFUNCTION("""COMPUTED_VALUE"""),45815.0)</f>
        <v>45815</v>
      </c>
      <c r="X61" s="626">
        <f>IFERROR(__xludf.DUMMYFUNCTION("""COMPUTED_VALUE"""),45764.0)</f>
        <v>45764</v>
      </c>
      <c r="Y61" s="517" t="str">
        <f>IFERROR(__xludf.DUMMYFUNCTION("""COMPUTED_VALUE"""),"N/A")</f>
        <v>N/A</v>
      </c>
      <c r="Z61" s="626">
        <f>IFERROR(__xludf.DUMMYFUNCTION("""COMPUTED_VALUE"""),45764.0)</f>
        <v>45764</v>
      </c>
      <c r="AA61" s="517" t="b">
        <f>IFERROR(__xludf.DUMMYFUNCTION("""COMPUTED_VALUE"""),FALSE)</f>
        <v>0</v>
      </c>
    </row>
    <row r="62">
      <c r="B62" s="517" t="str">
        <f>IFERROR(__xludf.DUMMYFUNCTION("""COMPUTED_VALUE"""),"CA/AU")</f>
        <v>CA/AU</v>
      </c>
      <c r="C62" s="518" t="str">
        <f>IFERROR(__xludf.DUMMYFUNCTION("""COMPUTED_VALUE"""),"0840353939523")</f>
        <v>0840353939523</v>
      </c>
      <c r="D62" s="517" t="str">
        <f>IFERROR(__xludf.DUMMYFUNCTION("""COMPUTED_VALUE"""),"CLNR/FRU")</f>
        <v>CLNR/FRU</v>
      </c>
      <c r="E62" s="517" t="str">
        <f>IFERROR(__xludf.DUMMYFUNCTION("""COMPUTED_VALUE"""),"CLNRGA10546")</f>
        <v>CLNRGA10546</v>
      </c>
      <c r="F62" s="517"/>
      <c r="G62" s="517"/>
      <c r="H62" s="518" t="str">
        <f>IFERROR(__xludf.DUMMYFUNCTION("""COMPUTED_VALUE"""),"840353939523")</f>
        <v>840353939523</v>
      </c>
      <c r="I62" s="518" t="str">
        <f>IFERROR(__xludf.DUMMYFUNCTION("""COMPUTED_VALUE"""),"No")</f>
        <v>No</v>
      </c>
      <c r="J62" s="517" t="str">
        <f>IFERROR(__xludf.DUMMYFUNCTION("""COMPUTED_VALUE"""),"Bulk_30ct")</f>
        <v>Bulk_30ct</v>
      </c>
      <c r="K62" s="517" t="str">
        <f>IFERROR(__xludf.DUMMYFUNCTION("""COMPUTED_VALUE"""),"ROW Master Carton Label (UPC)")</f>
        <v>ROW Master Carton Label (UPC)</v>
      </c>
      <c r="L62" s="517" t="str">
        <f>IFERROR(__xludf.DUMMYFUNCTION("""COMPUTED_VALUE"""),"NA")</f>
        <v>NA</v>
      </c>
      <c r="M62" s="517" t="str">
        <f>IFERROR(__xludf.DUMMYFUNCTION("""COMPUTED_VALUE"""),"N/A")</f>
        <v>N/A</v>
      </c>
      <c r="N62" s="517" t="str">
        <f>IFERROR(__xludf.DUMMYFUNCTION("""COMPUTED_VALUE"""),"N/A")</f>
        <v>N/A</v>
      </c>
      <c r="O62" s="517"/>
      <c r="P62" s="517" t="str">
        <f>IFERROR(__xludf.DUMMYFUNCTION("""COMPUTED_VALUE"""),"N/A")</f>
        <v>N/A</v>
      </c>
      <c r="Q62" s="517" t="str">
        <f>IFERROR(__xludf.DUMMYFUNCTION("""COMPUTED_VALUE"""),"Lemongrass")</f>
        <v>Lemongrass</v>
      </c>
      <c r="R62" s="517" t="str">
        <f>IFERROR(__xludf.DUMMYFUNCTION("""COMPUTED_VALUE"""),"YEL")</f>
        <v>YEL</v>
      </c>
      <c r="S62" s="517" t="str">
        <f>IFERROR(__xludf.DUMMYFUNCTION("""COMPUTED_VALUE"""),"CA/AU")</f>
        <v>CA/AU</v>
      </c>
      <c r="T62" s="517" t="str">
        <f>IFERROR(__xludf.DUMMYFUNCTION("""COMPUTED_VALUE"""),"SKU, CLR3, BETTER, SUB6, CA/AU, FL5, FRU")</f>
        <v>SKU, CLR3, BETTER, SUB6, CA/AU, FL5, FRU</v>
      </c>
      <c r="U62" s="517" t="str">
        <f>IFERROR(__xludf.DUMMYFUNCTION("""COMPUTED_VALUE"""),"Pixel 10, Lemongrass, 256GB, CA/AU, FRU")</f>
        <v>Pixel 10, Lemongrass, 256GB, CA/AU, FRU</v>
      </c>
      <c r="V62" s="624" t="str">
        <f>IFERROR(__xludf.DUMMYFUNCTION("""COMPUTED_VALUE"""),"#NUM!")</f>
        <v>#NUM!</v>
      </c>
      <c r="W62" s="625">
        <f>IFERROR(__xludf.DUMMYFUNCTION("""COMPUTED_VALUE"""),45815.0)</f>
        <v>45815</v>
      </c>
      <c r="X62" s="626">
        <f>IFERROR(__xludf.DUMMYFUNCTION("""COMPUTED_VALUE"""),45764.0)</f>
        <v>45764</v>
      </c>
      <c r="Y62" s="517" t="str">
        <f>IFERROR(__xludf.DUMMYFUNCTION("""COMPUTED_VALUE"""),"N/A")</f>
        <v>N/A</v>
      </c>
      <c r="Z62" s="626">
        <f>IFERROR(__xludf.DUMMYFUNCTION("""COMPUTED_VALUE"""),45764.0)</f>
        <v>45764</v>
      </c>
      <c r="AA62" s="517" t="b">
        <f>IFERROR(__xludf.DUMMYFUNCTION("""COMPUTED_VALUE"""),FALSE)</f>
        <v>0</v>
      </c>
    </row>
    <row r="63">
      <c r="B63" s="517" t="str">
        <f>IFERROR(__xludf.DUMMYFUNCTION("""COMPUTED_VALUE"""),"CA/AU")</f>
        <v>CA/AU</v>
      </c>
      <c r="C63" s="518" t="str">
        <f>IFERROR(__xludf.DUMMYFUNCTION("""COMPUTED_VALUE"""),"0840353939530")</f>
        <v>0840353939530</v>
      </c>
      <c r="D63" s="517" t="str">
        <f>IFERROR(__xludf.DUMMYFUNCTION("""COMPUTED_VALUE"""),"CLNR/FRU")</f>
        <v>CLNR/FRU</v>
      </c>
      <c r="E63" s="517" t="str">
        <f>IFERROR(__xludf.DUMMYFUNCTION("""COMPUTED_VALUE"""),"CLNRGA10547")</f>
        <v>CLNRGA10547</v>
      </c>
      <c r="F63" s="517"/>
      <c r="G63" s="517"/>
      <c r="H63" s="518" t="str">
        <f>IFERROR(__xludf.DUMMYFUNCTION("""COMPUTED_VALUE"""),"840353939530")</f>
        <v>840353939530</v>
      </c>
      <c r="I63" s="518" t="str">
        <f>IFERROR(__xludf.DUMMYFUNCTION("""COMPUTED_VALUE"""),"No")</f>
        <v>No</v>
      </c>
      <c r="J63" s="517" t="str">
        <f>IFERROR(__xludf.DUMMYFUNCTION("""COMPUTED_VALUE"""),"Bulk_30ct")</f>
        <v>Bulk_30ct</v>
      </c>
      <c r="K63" s="517" t="str">
        <f>IFERROR(__xludf.DUMMYFUNCTION("""COMPUTED_VALUE"""),"ROW Master Carton Label (UPC)")</f>
        <v>ROW Master Carton Label (UPC)</v>
      </c>
      <c r="L63" s="517" t="str">
        <f>IFERROR(__xludf.DUMMYFUNCTION("""COMPUTED_VALUE"""),"NA")</f>
        <v>NA</v>
      </c>
      <c r="M63" s="517" t="str">
        <f>IFERROR(__xludf.DUMMYFUNCTION("""COMPUTED_VALUE"""),"N/A")</f>
        <v>N/A</v>
      </c>
      <c r="N63" s="517" t="str">
        <f>IFERROR(__xludf.DUMMYFUNCTION("""COMPUTED_VALUE"""),"N/A")</f>
        <v>N/A</v>
      </c>
      <c r="O63" s="517"/>
      <c r="P63" s="517" t="str">
        <f>IFERROR(__xludf.DUMMYFUNCTION("""COMPUTED_VALUE"""),"N/A")</f>
        <v>N/A</v>
      </c>
      <c r="Q63" s="517" t="str">
        <f>IFERROR(__xludf.DUMMYFUNCTION("""COMPUTED_VALUE"""),"Indigo")</f>
        <v>Indigo</v>
      </c>
      <c r="R63" s="517" t="str">
        <f>IFERROR(__xludf.DUMMYFUNCTION("""COMPUTED_VALUE"""),"BUE")</f>
        <v>BUE</v>
      </c>
      <c r="S63" s="517" t="str">
        <f>IFERROR(__xludf.DUMMYFUNCTION("""COMPUTED_VALUE"""),"CA/AU")</f>
        <v>CA/AU</v>
      </c>
      <c r="T63" s="517" t="str">
        <f>IFERROR(__xludf.DUMMYFUNCTION("""COMPUTED_VALUE"""),"SKU, CLR4, BETTER, SUB6, CA/AU, FL5, FRU")</f>
        <v>SKU, CLR4, BETTER, SUB6, CA/AU, FL5, FRU</v>
      </c>
      <c r="U63" s="517" t="str">
        <f>IFERROR(__xludf.DUMMYFUNCTION("""COMPUTED_VALUE"""),"Pixel 10, Indigo, 256GB, CA/AU, FRU")</f>
        <v>Pixel 10, Indigo, 256GB, CA/AU, FRU</v>
      </c>
      <c r="V63" s="624" t="str">
        <f>IFERROR(__xludf.DUMMYFUNCTION("""COMPUTED_VALUE"""),"#NUM!")</f>
        <v>#NUM!</v>
      </c>
      <c r="W63" s="625">
        <f>IFERROR(__xludf.DUMMYFUNCTION("""COMPUTED_VALUE"""),45815.0)</f>
        <v>45815</v>
      </c>
      <c r="X63" s="626">
        <f>IFERROR(__xludf.DUMMYFUNCTION("""COMPUTED_VALUE"""),45764.0)</f>
        <v>45764</v>
      </c>
      <c r="Y63" s="517" t="str">
        <f>IFERROR(__xludf.DUMMYFUNCTION("""COMPUTED_VALUE"""),"N/A")</f>
        <v>N/A</v>
      </c>
      <c r="Z63" s="626">
        <f>IFERROR(__xludf.DUMMYFUNCTION("""COMPUTED_VALUE"""),45764.0)</f>
        <v>45764</v>
      </c>
      <c r="AA63" s="517" t="b">
        <f>IFERROR(__xludf.DUMMYFUNCTION("""COMPUTED_VALUE"""),FALSE)</f>
        <v>0</v>
      </c>
    </row>
    <row r="64">
      <c r="B64" s="517" t="str">
        <f>IFERROR(__xludf.DUMMYFUNCTION("""COMPUTED_VALUE"""),"UK,DE, IT, ES, IE,FR, NO,SE,DK,NL, BE, AT, CH, PT, PL, SK,")</f>
        <v>UK,DE, IT, ES, IE,FR, NO,SE,DK,NL, BE, AT, CH, PT, PL, SK,</v>
      </c>
      <c r="C64" s="518" t="str">
        <f>IFERROR(__xludf.DUMMYFUNCTION("""COMPUTED_VALUE"""),"0840353939547")</f>
        <v>0840353939547</v>
      </c>
      <c r="D64" s="517" t="str">
        <f>IFERROR(__xludf.DUMMYFUNCTION("""COMPUTED_VALUE"""),"CLNR/FRU")</f>
        <v>CLNR/FRU</v>
      </c>
      <c r="E64" s="517" t="str">
        <f>IFERROR(__xludf.DUMMYFUNCTION("""COMPUTED_VALUE"""),"CLNRGA10548")</f>
        <v>CLNRGA10548</v>
      </c>
      <c r="F64" s="517"/>
      <c r="G64" s="517"/>
      <c r="H64" s="518" t="str">
        <f>IFERROR(__xludf.DUMMYFUNCTION("""COMPUTED_VALUE"""),"840353939547")</f>
        <v>840353939547</v>
      </c>
      <c r="I64" s="518" t="str">
        <f>IFERROR(__xludf.DUMMYFUNCTION("""COMPUTED_VALUE"""),"No")</f>
        <v>No</v>
      </c>
      <c r="J64" s="517" t="str">
        <f>IFERROR(__xludf.DUMMYFUNCTION("""COMPUTED_VALUE"""),"Bulk_30ct")</f>
        <v>Bulk_30ct</v>
      </c>
      <c r="K64" s="517" t="str">
        <f>IFERROR(__xludf.DUMMYFUNCTION("""COMPUTED_VALUE"""),"ROW Master Carton Label (EAN)")</f>
        <v>ROW Master Carton Label (EAN)</v>
      </c>
      <c r="L64" s="517" t="str">
        <f>IFERROR(__xludf.DUMMYFUNCTION("""COMPUTED_VALUE"""),"NA")</f>
        <v>NA</v>
      </c>
      <c r="M64" s="517" t="str">
        <f>IFERROR(__xludf.DUMMYFUNCTION("""COMPUTED_VALUE"""),"N/A")</f>
        <v>N/A</v>
      </c>
      <c r="N64" s="517" t="str">
        <f>IFERROR(__xludf.DUMMYFUNCTION("""COMPUTED_VALUE"""),"N/A")</f>
        <v>N/A</v>
      </c>
      <c r="O64" s="517"/>
      <c r="P64" s="517" t="str">
        <f>IFERROR(__xludf.DUMMYFUNCTION("""COMPUTED_VALUE"""),"N/A")</f>
        <v>N/A</v>
      </c>
      <c r="Q64" s="517" t="str">
        <f>IFERROR(__xludf.DUMMYFUNCTION("""COMPUTED_VALUE"""),"Obsidian")</f>
        <v>Obsidian</v>
      </c>
      <c r="R64" s="517" t="str">
        <f>IFERROR(__xludf.DUMMYFUNCTION("""COMPUTED_VALUE"""),"BLK")</f>
        <v>BLK</v>
      </c>
      <c r="S64" s="517" t="str">
        <f>IFERROR(__xludf.DUMMYFUNCTION("""COMPUTED_VALUE"""),"UK/EU")</f>
        <v>UK/EU</v>
      </c>
      <c r="T64" s="517" t="str">
        <f>IFERROR(__xludf.DUMMYFUNCTION("""COMPUTED_VALUE"""),"SKU, CLR1, GOOD, SUB6, UK/EU, FL5, FRU")</f>
        <v>SKU, CLR1, GOOD, SUB6, UK/EU, FL5, FRU</v>
      </c>
      <c r="U64" s="517" t="str">
        <f>IFERROR(__xludf.DUMMYFUNCTION("""COMPUTED_VALUE"""),"Pixel 10, Obsidian, 128GB, UK/EU, FRU")</f>
        <v>Pixel 10, Obsidian, 128GB, UK/EU, FRU</v>
      </c>
      <c r="V64" s="624" t="str">
        <f>IFERROR(__xludf.DUMMYFUNCTION("""COMPUTED_VALUE"""),"#NUM!")</f>
        <v>#NUM!</v>
      </c>
      <c r="W64" s="625">
        <f>IFERROR(__xludf.DUMMYFUNCTION("""COMPUTED_VALUE"""),45815.0)</f>
        <v>45815</v>
      </c>
      <c r="X64" s="626">
        <f>IFERROR(__xludf.DUMMYFUNCTION("""COMPUTED_VALUE"""),45764.0)</f>
        <v>45764</v>
      </c>
      <c r="Y64" s="517" t="str">
        <f>IFERROR(__xludf.DUMMYFUNCTION("""COMPUTED_VALUE"""),"N/A")</f>
        <v>N/A</v>
      </c>
      <c r="Z64" s="626">
        <f>IFERROR(__xludf.DUMMYFUNCTION("""COMPUTED_VALUE"""),45764.0)</f>
        <v>45764</v>
      </c>
      <c r="AA64" s="517" t="b">
        <f>IFERROR(__xludf.DUMMYFUNCTION("""COMPUTED_VALUE"""),FALSE)</f>
        <v>0</v>
      </c>
    </row>
    <row r="65">
      <c r="B65" s="517" t="str">
        <f>IFERROR(__xludf.DUMMYFUNCTION("""COMPUTED_VALUE"""),"UK,DE, IT, ES, IE,FR, NO,SE,DK,NL, BE, AT, CH, PT, PL, SK,")</f>
        <v>UK,DE, IT, ES, IE,FR, NO,SE,DK,NL, BE, AT, CH, PT, PL, SK,</v>
      </c>
      <c r="C65" s="518" t="str">
        <f>IFERROR(__xludf.DUMMYFUNCTION("""COMPUTED_VALUE"""),"0840353939554")</f>
        <v>0840353939554</v>
      </c>
      <c r="D65" s="517" t="str">
        <f>IFERROR(__xludf.DUMMYFUNCTION("""COMPUTED_VALUE"""),"CLNR/FRU")</f>
        <v>CLNR/FRU</v>
      </c>
      <c r="E65" s="517" t="str">
        <f>IFERROR(__xludf.DUMMYFUNCTION("""COMPUTED_VALUE"""),"CLNRGA10549")</f>
        <v>CLNRGA10549</v>
      </c>
      <c r="F65" s="517"/>
      <c r="G65" s="517"/>
      <c r="H65" s="518" t="str">
        <f>IFERROR(__xludf.DUMMYFUNCTION("""COMPUTED_VALUE"""),"840353939554")</f>
        <v>840353939554</v>
      </c>
      <c r="I65" s="518" t="str">
        <f>IFERROR(__xludf.DUMMYFUNCTION("""COMPUTED_VALUE"""),"No")</f>
        <v>No</v>
      </c>
      <c r="J65" s="517" t="str">
        <f>IFERROR(__xludf.DUMMYFUNCTION("""COMPUTED_VALUE"""),"Bulk_30ct")</f>
        <v>Bulk_30ct</v>
      </c>
      <c r="K65" s="517" t="str">
        <f>IFERROR(__xludf.DUMMYFUNCTION("""COMPUTED_VALUE"""),"ROW Master Carton Label (EAN)")</f>
        <v>ROW Master Carton Label (EAN)</v>
      </c>
      <c r="L65" s="517" t="str">
        <f>IFERROR(__xludf.DUMMYFUNCTION("""COMPUTED_VALUE"""),"NA")</f>
        <v>NA</v>
      </c>
      <c r="M65" s="517" t="str">
        <f>IFERROR(__xludf.DUMMYFUNCTION("""COMPUTED_VALUE"""),"N/A")</f>
        <v>N/A</v>
      </c>
      <c r="N65" s="517" t="str">
        <f>IFERROR(__xludf.DUMMYFUNCTION("""COMPUTED_VALUE"""),"N/A")</f>
        <v>N/A</v>
      </c>
      <c r="O65" s="517"/>
      <c r="P65" s="517" t="str">
        <f>IFERROR(__xludf.DUMMYFUNCTION("""COMPUTED_VALUE"""),"N/A")</f>
        <v>N/A</v>
      </c>
      <c r="Q65" s="517" t="str">
        <f>IFERROR(__xludf.DUMMYFUNCTION("""COMPUTED_VALUE"""),"Frost")</f>
        <v>Frost</v>
      </c>
      <c r="R65" s="517" t="str">
        <f>IFERROR(__xludf.DUMMYFUNCTION("""COMPUTED_VALUE"""),"PPL")</f>
        <v>PPL</v>
      </c>
      <c r="S65" s="517" t="str">
        <f>IFERROR(__xludf.DUMMYFUNCTION("""COMPUTED_VALUE"""),"UK/EU")</f>
        <v>UK/EU</v>
      </c>
      <c r="T65" s="517" t="str">
        <f>IFERROR(__xludf.DUMMYFUNCTION("""COMPUTED_VALUE"""),"SKU, CLR2, GOOD, SUB6, UK/EU, FL5, FRU")</f>
        <v>SKU, CLR2, GOOD, SUB6, UK/EU, FL5, FRU</v>
      </c>
      <c r="U65" s="517" t="str">
        <f>IFERROR(__xludf.DUMMYFUNCTION("""COMPUTED_VALUE"""),"Pixel 10, Frost, 128GB, UK/EU, FRU")</f>
        <v>Pixel 10, Frost, 128GB, UK/EU, FRU</v>
      </c>
      <c r="V65" s="624" t="str">
        <f>IFERROR(__xludf.DUMMYFUNCTION("""COMPUTED_VALUE"""),"#NUM!")</f>
        <v>#NUM!</v>
      </c>
      <c r="W65" s="625">
        <f>IFERROR(__xludf.DUMMYFUNCTION("""COMPUTED_VALUE"""),45815.0)</f>
        <v>45815</v>
      </c>
      <c r="X65" s="626">
        <f>IFERROR(__xludf.DUMMYFUNCTION("""COMPUTED_VALUE"""),45764.0)</f>
        <v>45764</v>
      </c>
      <c r="Y65" s="517" t="str">
        <f>IFERROR(__xludf.DUMMYFUNCTION("""COMPUTED_VALUE"""),"N/A")</f>
        <v>N/A</v>
      </c>
      <c r="Z65" s="626">
        <f>IFERROR(__xludf.DUMMYFUNCTION("""COMPUTED_VALUE"""),45764.0)</f>
        <v>45764</v>
      </c>
      <c r="AA65" s="517" t="b">
        <f>IFERROR(__xludf.DUMMYFUNCTION("""COMPUTED_VALUE"""),FALSE)</f>
        <v>0</v>
      </c>
    </row>
    <row r="66">
      <c r="B66" s="517" t="str">
        <f>IFERROR(__xludf.DUMMYFUNCTION("""COMPUTED_VALUE"""),"UK,DE, IT, ES, IE,FR, NO,SE,DK,NL, BE, AT, CH, PT, PL, SK,")</f>
        <v>UK,DE, IT, ES, IE,FR, NO,SE,DK,NL, BE, AT, CH, PT, PL, SK,</v>
      </c>
      <c r="C66" s="518" t="str">
        <f>IFERROR(__xludf.DUMMYFUNCTION("""COMPUTED_VALUE"""),"0840353939561")</f>
        <v>0840353939561</v>
      </c>
      <c r="D66" s="517" t="str">
        <f>IFERROR(__xludf.DUMMYFUNCTION("""COMPUTED_VALUE"""),"CLNR/FRU")</f>
        <v>CLNR/FRU</v>
      </c>
      <c r="E66" s="517" t="str">
        <f>IFERROR(__xludf.DUMMYFUNCTION("""COMPUTED_VALUE"""),"CLNRGA10550")</f>
        <v>CLNRGA10550</v>
      </c>
      <c r="F66" s="517"/>
      <c r="G66" s="517"/>
      <c r="H66" s="518" t="str">
        <f>IFERROR(__xludf.DUMMYFUNCTION("""COMPUTED_VALUE"""),"840353939561")</f>
        <v>840353939561</v>
      </c>
      <c r="I66" s="518" t="str">
        <f>IFERROR(__xludf.DUMMYFUNCTION("""COMPUTED_VALUE"""),"No")</f>
        <v>No</v>
      </c>
      <c r="J66" s="517" t="str">
        <f>IFERROR(__xludf.DUMMYFUNCTION("""COMPUTED_VALUE"""),"Bulk_30ct")</f>
        <v>Bulk_30ct</v>
      </c>
      <c r="K66" s="517" t="str">
        <f>IFERROR(__xludf.DUMMYFUNCTION("""COMPUTED_VALUE"""),"ROW Master Carton Label (EAN)")</f>
        <v>ROW Master Carton Label (EAN)</v>
      </c>
      <c r="L66" s="517" t="str">
        <f>IFERROR(__xludf.DUMMYFUNCTION("""COMPUTED_VALUE"""),"NA")</f>
        <v>NA</v>
      </c>
      <c r="M66" s="517" t="str">
        <f>IFERROR(__xludf.DUMMYFUNCTION("""COMPUTED_VALUE"""),"N/A")</f>
        <v>N/A</v>
      </c>
      <c r="N66" s="517" t="str">
        <f>IFERROR(__xludf.DUMMYFUNCTION("""COMPUTED_VALUE"""),"N/A")</f>
        <v>N/A</v>
      </c>
      <c r="O66" s="517"/>
      <c r="P66" s="517" t="str">
        <f>IFERROR(__xludf.DUMMYFUNCTION("""COMPUTED_VALUE"""),"N/A")</f>
        <v>N/A</v>
      </c>
      <c r="Q66" s="517" t="str">
        <f>IFERROR(__xludf.DUMMYFUNCTION("""COMPUTED_VALUE"""),"Lemongrass")</f>
        <v>Lemongrass</v>
      </c>
      <c r="R66" s="517" t="str">
        <f>IFERROR(__xludf.DUMMYFUNCTION("""COMPUTED_VALUE"""),"YEL")</f>
        <v>YEL</v>
      </c>
      <c r="S66" s="517" t="str">
        <f>IFERROR(__xludf.DUMMYFUNCTION("""COMPUTED_VALUE"""),"UK/EU")</f>
        <v>UK/EU</v>
      </c>
      <c r="T66" s="517" t="str">
        <f>IFERROR(__xludf.DUMMYFUNCTION("""COMPUTED_VALUE"""),"SKU, CLR3, GOOD, SUB6, UK/EU, FL5, FRU")</f>
        <v>SKU, CLR3, GOOD, SUB6, UK/EU, FL5, FRU</v>
      </c>
      <c r="U66" s="517" t="str">
        <f>IFERROR(__xludf.DUMMYFUNCTION("""COMPUTED_VALUE"""),"Pixel 10, Lemongrass, 128GB, UK/EU, FRU")</f>
        <v>Pixel 10, Lemongrass, 128GB, UK/EU, FRU</v>
      </c>
      <c r="V66" s="624" t="str">
        <f>IFERROR(__xludf.DUMMYFUNCTION("""COMPUTED_VALUE"""),"#NUM!")</f>
        <v>#NUM!</v>
      </c>
      <c r="W66" s="625">
        <f>IFERROR(__xludf.DUMMYFUNCTION("""COMPUTED_VALUE"""),45815.0)</f>
        <v>45815</v>
      </c>
      <c r="X66" s="626">
        <f>IFERROR(__xludf.DUMMYFUNCTION("""COMPUTED_VALUE"""),45764.0)</f>
        <v>45764</v>
      </c>
      <c r="Y66" s="517" t="str">
        <f>IFERROR(__xludf.DUMMYFUNCTION("""COMPUTED_VALUE"""),"N/A")</f>
        <v>N/A</v>
      </c>
      <c r="Z66" s="626">
        <f>IFERROR(__xludf.DUMMYFUNCTION("""COMPUTED_VALUE"""),45764.0)</f>
        <v>45764</v>
      </c>
      <c r="AA66" s="517" t="b">
        <f>IFERROR(__xludf.DUMMYFUNCTION("""COMPUTED_VALUE"""),FALSE)</f>
        <v>0</v>
      </c>
    </row>
    <row r="67">
      <c r="B67" s="517" t="str">
        <f>IFERROR(__xludf.DUMMYFUNCTION("""COMPUTED_VALUE"""),"UK,DE, IT, ES, IE,FR, NO,SE,DK,NL, BE, AT, CH, PT, PL, SK,")</f>
        <v>UK,DE, IT, ES, IE,FR, NO,SE,DK,NL, BE, AT, CH, PT, PL, SK,</v>
      </c>
      <c r="C67" s="518" t="str">
        <f>IFERROR(__xludf.DUMMYFUNCTION("""COMPUTED_VALUE"""),"0840353939578")</f>
        <v>0840353939578</v>
      </c>
      <c r="D67" s="517" t="str">
        <f>IFERROR(__xludf.DUMMYFUNCTION("""COMPUTED_VALUE"""),"CLNR/FRU")</f>
        <v>CLNR/FRU</v>
      </c>
      <c r="E67" s="517" t="str">
        <f>IFERROR(__xludf.DUMMYFUNCTION("""COMPUTED_VALUE"""),"CLNRGA10551")</f>
        <v>CLNRGA10551</v>
      </c>
      <c r="F67" s="517"/>
      <c r="G67" s="517"/>
      <c r="H67" s="518" t="str">
        <f>IFERROR(__xludf.DUMMYFUNCTION("""COMPUTED_VALUE"""),"840353939578")</f>
        <v>840353939578</v>
      </c>
      <c r="I67" s="518" t="str">
        <f>IFERROR(__xludf.DUMMYFUNCTION("""COMPUTED_VALUE"""),"No")</f>
        <v>No</v>
      </c>
      <c r="J67" s="517" t="str">
        <f>IFERROR(__xludf.DUMMYFUNCTION("""COMPUTED_VALUE"""),"Bulk_30ct")</f>
        <v>Bulk_30ct</v>
      </c>
      <c r="K67" s="517" t="str">
        <f>IFERROR(__xludf.DUMMYFUNCTION("""COMPUTED_VALUE"""),"ROW Master Carton Label (EAN)")</f>
        <v>ROW Master Carton Label (EAN)</v>
      </c>
      <c r="L67" s="517" t="str">
        <f>IFERROR(__xludf.DUMMYFUNCTION("""COMPUTED_VALUE"""),"NA")</f>
        <v>NA</v>
      </c>
      <c r="M67" s="517" t="str">
        <f>IFERROR(__xludf.DUMMYFUNCTION("""COMPUTED_VALUE"""),"N/A")</f>
        <v>N/A</v>
      </c>
      <c r="N67" s="517" t="str">
        <f>IFERROR(__xludf.DUMMYFUNCTION("""COMPUTED_VALUE"""),"N/A")</f>
        <v>N/A</v>
      </c>
      <c r="O67" s="517"/>
      <c r="P67" s="517" t="str">
        <f>IFERROR(__xludf.DUMMYFUNCTION("""COMPUTED_VALUE"""),"N/A")</f>
        <v>N/A</v>
      </c>
      <c r="Q67" s="517" t="str">
        <f>IFERROR(__xludf.DUMMYFUNCTION("""COMPUTED_VALUE"""),"Indigo")</f>
        <v>Indigo</v>
      </c>
      <c r="R67" s="517" t="str">
        <f>IFERROR(__xludf.DUMMYFUNCTION("""COMPUTED_VALUE"""),"BUE")</f>
        <v>BUE</v>
      </c>
      <c r="S67" s="517" t="str">
        <f>IFERROR(__xludf.DUMMYFUNCTION("""COMPUTED_VALUE"""),"UK/EU")</f>
        <v>UK/EU</v>
      </c>
      <c r="T67" s="517" t="str">
        <f>IFERROR(__xludf.DUMMYFUNCTION("""COMPUTED_VALUE"""),"SKU, CLR4, GOOD, SUB6, UK/EU, FL5, FRU")</f>
        <v>SKU, CLR4, GOOD, SUB6, UK/EU, FL5, FRU</v>
      </c>
      <c r="U67" s="517" t="str">
        <f>IFERROR(__xludf.DUMMYFUNCTION("""COMPUTED_VALUE"""),"Pixel 10, Indigo, 128GB, UK/EU, FRU")</f>
        <v>Pixel 10, Indigo, 128GB, UK/EU, FRU</v>
      </c>
      <c r="V67" s="624" t="str">
        <f>IFERROR(__xludf.DUMMYFUNCTION("""COMPUTED_VALUE"""),"#NUM!")</f>
        <v>#NUM!</v>
      </c>
      <c r="W67" s="625">
        <f>IFERROR(__xludf.DUMMYFUNCTION("""COMPUTED_VALUE"""),45815.0)</f>
        <v>45815</v>
      </c>
      <c r="X67" s="626">
        <f>IFERROR(__xludf.DUMMYFUNCTION("""COMPUTED_VALUE"""),45764.0)</f>
        <v>45764</v>
      </c>
      <c r="Y67" s="517" t="str">
        <f>IFERROR(__xludf.DUMMYFUNCTION("""COMPUTED_VALUE"""),"N/A")</f>
        <v>N/A</v>
      </c>
      <c r="Z67" s="626">
        <f>IFERROR(__xludf.DUMMYFUNCTION("""COMPUTED_VALUE"""),45764.0)</f>
        <v>45764</v>
      </c>
      <c r="AA67" s="517" t="b">
        <f>IFERROR(__xludf.DUMMYFUNCTION("""COMPUTED_VALUE"""),FALSE)</f>
        <v>0</v>
      </c>
    </row>
    <row r="68">
      <c r="B68" s="517" t="str">
        <f>IFERROR(__xludf.DUMMYFUNCTION("""COMPUTED_VALUE"""),"UK,DE, IT, ES, IE,FR, NO,SE,DK,NL, BE, AT, CH, PT, PL, SK,")</f>
        <v>UK,DE, IT, ES, IE,FR, NO,SE,DK,NL, BE, AT, CH, PT, PL, SK,</v>
      </c>
      <c r="C68" s="518" t="str">
        <f>IFERROR(__xludf.DUMMYFUNCTION("""COMPUTED_VALUE"""),"0840353939585")</f>
        <v>0840353939585</v>
      </c>
      <c r="D68" s="517" t="str">
        <f>IFERROR(__xludf.DUMMYFUNCTION("""COMPUTED_VALUE"""),"CLNR/FRU")</f>
        <v>CLNR/FRU</v>
      </c>
      <c r="E68" s="517" t="str">
        <f>IFERROR(__xludf.DUMMYFUNCTION("""COMPUTED_VALUE"""),"CLNRGA10552")</f>
        <v>CLNRGA10552</v>
      </c>
      <c r="F68" s="517"/>
      <c r="G68" s="517"/>
      <c r="H68" s="518" t="str">
        <f>IFERROR(__xludf.DUMMYFUNCTION("""COMPUTED_VALUE"""),"840353939585")</f>
        <v>840353939585</v>
      </c>
      <c r="I68" s="518" t="str">
        <f>IFERROR(__xludf.DUMMYFUNCTION("""COMPUTED_VALUE"""),"No")</f>
        <v>No</v>
      </c>
      <c r="J68" s="517" t="str">
        <f>IFERROR(__xludf.DUMMYFUNCTION("""COMPUTED_VALUE"""),"Bulk_30ct")</f>
        <v>Bulk_30ct</v>
      </c>
      <c r="K68" s="517" t="str">
        <f>IFERROR(__xludf.DUMMYFUNCTION("""COMPUTED_VALUE"""),"ROW Master Carton Label (EAN)")</f>
        <v>ROW Master Carton Label (EAN)</v>
      </c>
      <c r="L68" s="517" t="str">
        <f>IFERROR(__xludf.DUMMYFUNCTION("""COMPUTED_VALUE"""),"NA")</f>
        <v>NA</v>
      </c>
      <c r="M68" s="517" t="str">
        <f>IFERROR(__xludf.DUMMYFUNCTION("""COMPUTED_VALUE"""),"N/A")</f>
        <v>N/A</v>
      </c>
      <c r="N68" s="517" t="str">
        <f>IFERROR(__xludf.DUMMYFUNCTION("""COMPUTED_VALUE"""),"N/A")</f>
        <v>N/A</v>
      </c>
      <c r="O68" s="517"/>
      <c r="P68" s="517" t="str">
        <f>IFERROR(__xludf.DUMMYFUNCTION("""COMPUTED_VALUE"""),"N/A")</f>
        <v>N/A</v>
      </c>
      <c r="Q68" s="517" t="str">
        <f>IFERROR(__xludf.DUMMYFUNCTION("""COMPUTED_VALUE"""),"Obsidian")</f>
        <v>Obsidian</v>
      </c>
      <c r="R68" s="517" t="str">
        <f>IFERROR(__xludf.DUMMYFUNCTION("""COMPUTED_VALUE"""),"BLK")</f>
        <v>BLK</v>
      </c>
      <c r="S68" s="517" t="str">
        <f>IFERROR(__xludf.DUMMYFUNCTION("""COMPUTED_VALUE"""),"UK/EU")</f>
        <v>UK/EU</v>
      </c>
      <c r="T68" s="517" t="str">
        <f>IFERROR(__xludf.DUMMYFUNCTION("""COMPUTED_VALUE"""),"SKU, CLR1, BETTER, SUB6, UK/EU, FL5, FRU")</f>
        <v>SKU, CLR1, BETTER, SUB6, UK/EU, FL5, FRU</v>
      </c>
      <c r="U68" s="517" t="str">
        <f>IFERROR(__xludf.DUMMYFUNCTION("""COMPUTED_VALUE"""),"Pixel 10, Obsidian, 256GB, UK/EU, FRU")</f>
        <v>Pixel 10, Obsidian, 256GB, UK/EU, FRU</v>
      </c>
      <c r="V68" s="624" t="str">
        <f>IFERROR(__xludf.DUMMYFUNCTION("""COMPUTED_VALUE"""),"#NUM!")</f>
        <v>#NUM!</v>
      </c>
      <c r="W68" s="625">
        <f>IFERROR(__xludf.DUMMYFUNCTION("""COMPUTED_VALUE"""),45815.0)</f>
        <v>45815</v>
      </c>
      <c r="X68" s="626">
        <f>IFERROR(__xludf.DUMMYFUNCTION("""COMPUTED_VALUE"""),45764.0)</f>
        <v>45764</v>
      </c>
      <c r="Y68" s="517" t="str">
        <f>IFERROR(__xludf.DUMMYFUNCTION("""COMPUTED_VALUE"""),"N/A")</f>
        <v>N/A</v>
      </c>
      <c r="Z68" s="626">
        <f>IFERROR(__xludf.DUMMYFUNCTION("""COMPUTED_VALUE"""),45764.0)</f>
        <v>45764</v>
      </c>
      <c r="AA68" s="517" t="b">
        <f>IFERROR(__xludf.DUMMYFUNCTION("""COMPUTED_VALUE"""),FALSE)</f>
        <v>0</v>
      </c>
    </row>
    <row r="69">
      <c r="B69" s="517" t="str">
        <f>IFERROR(__xludf.DUMMYFUNCTION("""COMPUTED_VALUE"""),"UK,DE, IT, ES, IE,FR, NO,SE,DK,NL, BE, AT, CH, PT, PL, SK,")</f>
        <v>UK,DE, IT, ES, IE,FR, NO,SE,DK,NL, BE, AT, CH, PT, PL, SK,</v>
      </c>
      <c r="C69" s="518" t="str">
        <f>IFERROR(__xludf.DUMMYFUNCTION("""COMPUTED_VALUE"""),"0840353939592")</f>
        <v>0840353939592</v>
      </c>
      <c r="D69" s="517" t="str">
        <f>IFERROR(__xludf.DUMMYFUNCTION("""COMPUTED_VALUE"""),"CLNR/FRU")</f>
        <v>CLNR/FRU</v>
      </c>
      <c r="E69" s="517" t="str">
        <f>IFERROR(__xludf.DUMMYFUNCTION("""COMPUTED_VALUE"""),"CLNRGA10553")</f>
        <v>CLNRGA10553</v>
      </c>
      <c r="F69" s="517"/>
      <c r="G69" s="517"/>
      <c r="H69" s="518" t="str">
        <f>IFERROR(__xludf.DUMMYFUNCTION("""COMPUTED_VALUE"""),"840353939592")</f>
        <v>840353939592</v>
      </c>
      <c r="I69" s="518" t="str">
        <f>IFERROR(__xludf.DUMMYFUNCTION("""COMPUTED_VALUE"""),"No")</f>
        <v>No</v>
      </c>
      <c r="J69" s="517" t="str">
        <f>IFERROR(__xludf.DUMMYFUNCTION("""COMPUTED_VALUE"""),"Bulk_30ct")</f>
        <v>Bulk_30ct</v>
      </c>
      <c r="K69" s="517" t="str">
        <f>IFERROR(__xludf.DUMMYFUNCTION("""COMPUTED_VALUE"""),"ROW Master Carton Label (EAN)")</f>
        <v>ROW Master Carton Label (EAN)</v>
      </c>
      <c r="L69" s="517" t="str">
        <f>IFERROR(__xludf.DUMMYFUNCTION("""COMPUTED_VALUE"""),"NA")</f>
        <v>NA</v>
      </c>
      <c r="M69" s="517" t="str">
        <f>IFERROR(__xludf.DUMMYFUNCTION("""COMPUTED_VALUE"""),"N/A")</f>
        <v>N/A</v>
      </c>
      <c r="N69" s="517" t="str">
        <f>IFERROR(__xludf.DUMMYFUNCTION("""COMPUTED_VALUE"""),"N/A")</f>
        <v>N/A</v>
      </c>
      <c r="O69" s="517"/>
      <c r="P69" s="517" t="str">
        <f>IFERROR(__xludf.DUMMYFUNCTION("""COMPUTED_VALUE"""),"N/A")</f>
        <v>N/A</v>
      </c>
      <c r="Q69" s="517" t="str">
        <f>IFERROR(__xludf.DUMMYFUNCTION("""COMPUTED_VALUE"""),"Frost")</f>
        <v>Frost</v>
      </c>
      <c r="R69" s="517" t="str">
        <f>IFERROR(__xludf.DUMMYFUNCTION("""COMPUTED_VALUE"""),"PPL")</f>
        <v>PPL</v>
      </c>
      <c r="S69" s="517" t="str">
        <f>IFERROR(__xludf.DUMMYFUNCTION("""COMPUTED_VALUE"""),"UK/EU")</f>
        <v>UK/EU</v>
      </c>
      <c r="T69" s="517" t="str">
        <f>IFERROR(__xludf.DUMMYFUNCTION("""COMPUTED_VALUE"""),"SKU, CLR2, BETTER, SUB6, UK/EU, FL5, FRU")</f>
        <v>SKU, CLR2, BETTER, SUB6, UK/EU, FL5, FRU</v>
      </c>
      <c r="U69" s="517" t="str">
        <f>IFERROR(__xludf.DUMMYFUNCTION("""COMPUTED_VALUE"""),"Pixel 10, Frost, 256GB, UK/EU, FRU")</f>
        <v>Pixel 10, Frost, 256GB, UK/EU, FRU</v>
      </c>
      <c r="V69" s="624" t="str">
        <f>IFERROR(__xludf.DUMMYFUNCTION("""COMPUTED_VALUE"""),"#NUM!")</f>
        <v>#NUM!</v>
      </c>
      <c r="W69" s="625">
        <f>IFERROR(__xludf.DUMMYFUNCTION("""COMPUTED_VALUE"""),45815.0)</f>
        <v>45815</v>
      </c>
      <c r="X69" s="626">
        <f>IFERROR(__xludf.DUMMYFUNCTION("""COMPUTED_VALUE"""),45764.0)</f>
        <v>45764</v>
      </c>
      <c r="Y69" s="517" t="str">
        <f>IFERROR(__xludf.DUMMYFUNCTION("""COMPUTED_VALUE"""),"N/A")</f>
        <v>N/A</v>
      </c>
      <c r="Z69" s="626">
        <f>IFERROR(__xludf.DUMMYFUNCTION("""COMPUTED_VALUE"""),45764.0)</f>
        <v>45764</v>
      </c>
      <c r="AA69" s="517" t="b">
        <f>IFERROR(__xludf.DUMMYFUNCTION("""COMPUTED_VALUE"""),FALSE)</f>
        <v>0</v>
      </c>
    </row>
    <row r="70">
      <c r="B70" s="517" t="str">
        <f>IFERROR(__xludf.DUMMYFUNCTION("""COMPUTED_VALUE"""),"UK,DE, IT, ES, IE,FR, NO,SE,DK,NL, BE, AT, CH, PT, PL, SK,")</f>
        <v>UK,DE, IT, ES, IE,FR, NO,SE,DK,NL, BE, AT, CH, PT, PL, SK,</v>
      </c>
      <c r="C70" s="518" t="str">
        <f>IFERROR(__xludf.DUMMYFUNCTION("""COMPUTED_VALUE"""),"0840353939608")</f>
        <v>0840353939608</v>
      </c>
      <c r="D70" s="517" t="str">
        <f>IFERROR(__xludf.DUMMYFUNCTION("""COMPUTED_VALUE"""),"CLNR/FRU")</f>
        <v>CLNR/FRU</v>
      </c>
      <c r="E70" s="517" t="str">
        <f>IFERROR(__xludf.DUMMYFUNCTION("""COMPUTED_VALUE"""),"CLNRGA10554")</f>
        <v>CLNRGA10554</v>
      </c>
      <c r="F70" s="517"/>
      <c r="G70" s="517"/>
      <c r="H70" s="518" t="str">
        <f>IFERROR(__xludf.DUMMYFUNCTION("""COMPUTED_VALUE"""),"840353939608")</f>
        <v>840353939608</v>
      </c>
      <c r="I70" s="518" t="str">
        <f>IFERROR(__xludf.DUMMYFUNCTION("""COMPUTED_VALUE"""),"No")</f>
        <v>No</v>
      </c>
      <c r="J70" s="517" t="str">
        <f>IFERROR(__xludf.DUMMYFUNCTION("""COMPUTED_VALUE"""),"Bulk_30ct")</f>
        <v>Bulk_30ct</v>
      </c>
      <c r="K70" s="517" t="str">
        <f>IFERROR(__xludf.DUMMYFUNCTION("""COMPUTED_VALUE"""),"ROW Master Carton Label (EAN)")</f>
        <v>ROW Master Carton Label (EAN)</v>
      </c>
      <c r="L70" s="517" t="str">
        <f>IFERROR(__xludf.DUMMYFUNCTION("""COMPUTED_VALUE"""),"NA")</f>
        <v>NA</v>
      </c>
      <c r="M70" s="517" t="str">
        <f>IFERROR(__xludf.DUMMYFUNCTION("""COMPUTED_VALUE"""),"N/A")</f>
        <v>N/A</v>
      </c>
      <c r="N70" s="517" t="str">
        <f>IFERROR(__xludf.DUMMYFUNCTION("""COMPUTED_VALUE"""),"N/A")</f>
        <v>N/A</v>
      </c>
      <c r="O70" s="517"/>
      <c r="P70" s="517" t="str">
        <f>IFERROR(__xludf.DUMMYFUNCTION("""COMPUTED_VALUE"""),"N/A")</f>
        <v>N/A</v>
      </c>
      <c r="Q70" s="517" t="str">
        <f>IFERROR(__xludf.DUMMYFUNCTION("""COMPUTED_VALUE"""),"Lemongrass")</f>
        <v>Lemongrass</v>
      </c>
      <c r="R70" s="517" t="str">
        <f>IFERROR(__xludf.DUMMYFUNCTION("""COMPUTED_VALUE"""),"YEL")</f>
        <v>YEL</v>
      </c>
      <c r="S70" s="517" t="str">
        <f>IFERROR(__xludf.DUMMYFUNCTION("""COMPUTED_VALUE"""),"UK/EU")</f>
        <v>UK/EU</v>
      </c>
      <c r="T70" s="517" t="str">
        <f>IFERROR(__xludf.DUMMYFUNCTION("""COMPUTED_VALUE"""),"SKU, CLR3, BETTER, SUB6, UK/EU, FL5, FRU")</f>
        <v>SKU, CLR3, BETTER, SUB6, UK/EU, FL5, FRU</v>
      </c>
      <c r="U70" s="517" t="str">
        <f>IFERROR(__xludf.DUMMYFUNCTION("""COMPUTED_VALUE"""),"Pixel 10, Lemongrass, 256GB, UK/EU, FRU")</f>
        <v>Pixel 10, Lemongrass, 256GB, UK/EU, FRU</v>
      </c>
      <c r="V70" s="624" t="str">
        <f>IFERROR(__xludf.DUMMYFUNCTION("""COMPUTED_VALUE"""),"#NUM!")</f>
        <v>#NUM!</v>
      </c>
      <c r="W70" s="625">
        <f>IFERROR(__xludf.DUMMYFUNCTION("""COMPUTED_VALUE"""),45815.0)</f>
        <v>45815</v>
      </c>
      <c r="X70" s="626">
        <f>IFERROR(__xludf.DUMMYFUNCTION("""COMPUTED_VALUE"""),45764.0)</f>
        <v>45764</v>
      </c>
      <c r="Y70" s="517" t="str">
        <f>IFERROR(__xludf.DUMMYFUNCTION("""COMPUTED_VALUE"""),"N/A")</f>
        <v>N/A</v>
      </c>
      <c r="Z70" s="626">
        <f>IFERROR(__xludf.DUMMYFUNCTION("""COMPUTED_VALUE"""),45764.0)</f>
        <v>45764</v>
      </c>
      <c r="AA70" s="517" t="b">
        <f>IFERROR(__xludf.DUMMYFUNCTION("""COMPUTED_VALUE"""),FALSE)</f>
        <v>0</v>
      </c>
    </row>
    <row r="71">
      <c r="B71" s="517" t="str">
        <f>IFERROR(__xludf.DUMMYFUNCTION("""COMPUTED_VALUE"""),"UK,DE, IT, ES, IE,FR, NO,SE,DK,NL, BE, AT, CH, PT, PL, SK,")</f>
        <v>UK,DE, IT, ES, IE,FR, NO,SE,DK,NL, BE, AT, CH, PT, PL, SK,</v>
      </c>
      <c r="C71" s="518" t="str">
        <f>IFERROR(__xludf.DUMMYFUNCTION("""COMPUTED_VALUE"""),"0840353939615")</f>
        <v>0840353939615</v>
      </c>
      <c r="D71" s="517" t="str">
        <f>IFERROR(__xludf.DUMMYFUNCTION("""COMPUTED_VALUE"""),"CLNR/FRU")</f>
        <v>CLNR/FRU</v>
      </c>
      <c r="E71" s="517" t="str">
        <f>IFERROR(__xludf.DUMMYFUNCTION("""COMPUTED_VALUE"""),"CLNRGA10555")</f>
        <v>CLNRGA10555</v>
      </c>
      <c r="F71" s="517"/>
      <c r="G71" s="517"/>
      <c r="H71" s="518" t="str">
        <f>IFERROR(__xludf.DUMMYFUNCTION("""COMPUTED_VALUE"""),"840353939615")</f>
        <v>840353939615</v>
      </c>
      <c r="I71" s="518" t="str">
        <f>IFERROR(__xludf.DUMMYFUNCTION("""COMPUTED_VALUE"""),"No")</f>
        <v>No</v>
      </c>
      <c r="J71" s="517" t="str">
        <f>IFERROR(__xludf.DUMMYFUNCTION("""COMPUTED_VALUE"""),"Bulk_30ct")</f>
        <v>Bulk_30ct</v>
      </c>
      <c r="K71" s="517" t="str">
        <f>IFERROR(__xludf.DUMMYFUNCTION("""COMPUTED_VALUE"""),"ROW Master Carton Label (EAN)")</f>
        <v>ROW Master Carton Label (EAN)</v>
      </c>
      <c r="L71" s="517" t="str">
        <f>IFERROR(__xludf.DUMMYFUNCTION("""COMPUTED_VALUE"""),"NA")</f>
        <v>NA</v>
      </c>
      <c r="M71" s="517" t="str">
        <f>IFERROR(__xludf.DUMMYFUNCTION("""COMPUTED_VALUE"""),"N/A")</f>
        <v>N/A</v>
      </c>
      <c r="N71" s="517" t="str">
        <f>IFERROR(__xludf.DUMMYFUNCTION("""COMPUTED_VALUE"""),"N/A")</f>
        <v>N/A</v>
      </c>
      <c r="O71" s="517"/>
      <c r="P71" s="517" t="str">
        <f>IFERROR(__xludf.DUMMYFUNCTION("""COMPUTED_VALUE"""),"N/A")</f>
        <v>N/A</v>
      </c>
      <c r="Q71" s="517" t="str">
        <f>IFERROR(__xludf.DUMMYFUNCTION("""COMPUTED_VALUE"""),"Indigo")</f>
        <v>Indigo</v>
      </c>
      <c r="R71" s="517" t="str">
        <f>IFERROR(__xludf.DUMMYFUNCTION("""COMPUTED_VALUE"""),"BUE")</f>
        <v>BUE</v>
      </c>
      <c r="S71" s="517" t="str">
        <f>IFERROR(__xludf.DUMMYFUNCTION("""COMPUTED_VALUE"""),"UK/EU")</f>
        <v>UK/EU</v>
      </c>
      <c r="T71" s="517" t="str">
        <f>IFERROR(__xludf.DUMMYFUNCTION("""COMPUTED_VALUE"""),"SKU, CLR4, BETTER, SUB6, UK/EU, FL5, FRU")</f>
        <v>SKU, CLR4, BETTER, SUB6, UK/EU, FL5, FRU</v>
      </c>
      <c r="U71" s="517" t="str">
        <f>IFERROR(__xludf.DUMMYFUNCTION("""COMPUTED_VALUE"""),"Pixel 10, Indigo, 256GB, UK/EU, FRU")</f>
        <v>Pixel 10, Indigo, 256GB, UK/EU, FRU</v>
      </c>
      <c r="V71" s="624" t="str">
        <f>IFERROR(__xludf.DUMMYFUNCTION("""COMPUTED_VALUE"""),"#NUM!")</f>
        <v>#NUM!</v>
      </c>
      <c r="W71" s="625">
        <f>IFERROR(__xludf.DUMMYFUNCTION("""COMPUTED_VALUE"""),45815.0)</f>
        <v>45815</v>
      </c>
      <c r="X71" s="626">
        <f>IFERROR(__xludf.DUMMYFUNCTION("""COMPUTED_VALUE"""),45764.0)</f>
        <v>45764</v>
      </c>
      <c r="Y71" s="517" t="str">
        <f>IFERROR(__xludf.DUMMYFUNCTION("""COMPUTED_VALUE"""),"N/A")</f>
        <v>N/A</v>
      </c>
      <c r="Z71" s="626">
        <f>IFERROR(__xludf.DUMMYFUNCTION("""COMPUTED_VALUE"""),45764.0)</f>
        <v>45764</v>
      </c>
      <c r="AA71" s="517" t="b">
        <f>IFERROR(__xludf.DUMMYFUNCTION("""COMPUTED_VALUE"""),FALSE)</f>
        <v>0</v>
      </c>
    </row>
    <row r="72">
      <c r="B72" s="517" t="str">
        <f>IFERROR(__xludf.DUMMYFUNCTION("""COMPUTED_VALUE"""),"GSTORE")</f>
        <v>GSTORE</v>
      </c>
      <c r="C72" s="518" t="str">
        <f>IFERROR(__xludf.DUMMYFUNCTION("""COMPUTED_VALUE"""),"0840353928251")</f>
        <v>0840353928251</v>
      </c>
      <c r="D72" s="517" t="str">
        <f>IFERROR(__xludf.DUMMYFUNCTION("""COMPUTED_VALUE"""),"Press")</f>
        <v>Press</v>
      </c>
      <c r="E72" s="517" t="str">
        <f>IFERROR(__xludf.DUMMYFUNCTION("""COMPUTED_VALUE"""),"GA09744-US-N")</f>
        <v>GA09744-US-N</v>
      </c>
      <c r="F72" s="517" t="str">
        <f>IFERROR(__xludf.DUMMYFUNCTION("""COMPUTED_VALUE"""),"GLBW0")</f>
        <v>GLBW0</v>
      </c>
      <c r="G72" s="517"/>
      <c r="H72" s="518" t="str">
        <f>IFERROR(__xludf.DUMMYFUNCTION("""COMPUTED_VALUE"""),"840353928251")</f>
        <v>840353928251</v>
      </c>
      <c r="I72" s="518" t="str">
        <f>IFERROR(__xludf.DUMMYFUNCTION("""COMPUTED_VALUE"""),"No")</f>
        <v>No</v>
      </c>
      <c r="J72" s="517" t="str">
        <f>IFERROR(__xludf.DUMMYFUNCTION("""COMPUTED_VALUE"""),"Retail_10ct")</f>
        <v>Retail_10ct</v>
      </c>
      <c r="K72" s="517" t="str">
        <f>IFERROR(__xludf.DUMMYFUNCTION("""COMPUTED_VALUE"""),"ROW Master Carton Label (UPC)")</f>
        <v>ROW Master Carton Label (UPC)</v>
      </c>
      <c r="L72" s="517" t="str">
        <f>IFERROR(__xludf.DUMMYFUNCTION("""COMPUTED_VALUE"""),"NA")</f>
        <v>NA</v>
      </c>
      <c r="M72" s="517" t="str">
        <f>IFERROR(__xludf.DUMMYFUNCTION("""COMPUTED_VALUE"""),"G990-08380-11-01
G990-08380-11-A")</f>
        <v>G990-08380-11-01
G990-08380-11-A</v>
      </c>
      <c r="N72" s="519" t="str">
        <f>IFERROR(__xludf.DUMMYFUNCTION("""COMPUTED_VALUE"""),"G990-09560-00-A")</f>
        <v>G990-09560-00-A</v>
      </c>
      <c r="O72" s="517" t="str">
        <f>IFERROR(__xludf.DUMMYFUNCTION("""COMPUTED_VALUE"""),"BOB→A
Retail→A")</f>
        <v>BOB→A
Retail→A</v>
      </c>
      <c r="P72" s="517" t="str">
        <f>IFERROR(__xludf.DUMMYFUNCTION("""COMPUTED_VALUE"""),"G990-09560-00-A")</f>
        <v>G990-09560-00-A</v>
      </c>
      <c r="Q72" s="517" t="str">
        <f>IFERROR(__xludf.DUMMYFUNCTION("""COMPUTED_VALUE"""),"Obsidian")</f>
        <v>Obsidian</v>
      </c>
      <c r="R72" s="517" t="str">
        <f>IFERROR(__xludf.DUMMYFUNCTION("""COMPUTED_VALUE"""),"BLK")</f>
        <v>BLK</v>
      </c>
      <c r="S72" s="517" t="str">
        <f>IFERROR(__xludf.DUMMYFUNCTION("""COMPUTED_VALUE"""),"GSTORE, US")</f>
        <v>GSTORE, US</v>
      </c>
      <c r="T72" s="517" t="str">
        <f>IFERROR(__xludf.DUMMYFUNCTION("""COMPUTED_VALUE"""),"SKU, CLR1, GOOD, MMWAVE, GSTORE, US, PRESS, FL5")</f>
        <v>SKU, CLR1, GOOD, MMWAVE, GSTORE, US, PRESS, FL5</v>
      </c>
      <c r="U72" s="517" t="str">
        <f>IFERROR(__xludf.DUMMYFUNCTION("""COMPUTED_VALUE"""),"Pixel 10, Obsidian, 128GB, GSTORE, US, PRESS")</f>
        <v>Pixel 10, Obsidian, 128GB, GSTORE, US, PRESS</v>
      </c>
      <c r="V72" s="624" t="str">
        <f>IFERROR(__xludf.DUMMYFUNCTION("""COMPUTED_VALUE"""),"#NUM!")</f>
        <v>#NUM!</v>
      </c>
      <c r="W72" s="625">
        <f>IFERROR(__xludf.DUMMYFUNCTION("""COMPUTED_VALUE"""),45815.0)</f>
        <v>45815</v>
      </c>
      <c r="X72" s="626">
        <f>IFERROR(__xludf.DUMMYFUNCTION("""COMPUTED_VALUE"""),45764.0)</f>
        <v>45764</v>
      </c>
      <c r="Y72" s="517" t="b">
        <f>IFERROR(__xludf.DUMMYFUNCTION("""COMPUTED_VALUE"""),TRUE)</f>
        <v>1</v>
      </c>
      <c r="Z72" s="626">
        <f>IFERROR(__xludf.DUMMYFUNCTION("""COMPUTED_VALUE"""),45764.0)</f>
        <v>45764</v>
      </c>
      <c r="AA72" s="517" t="b">
        <f>IFERROR(__xludf.DUMMYFUNCTION("""COMPUTED_VALUE"""),FALSE)</f>
        <v>0</v>
      </c>
    </row>
    <row r="73">
      <c r="B73" s="517" t="str">
        <f>IFERROR(__xludf.DUMMYFUNCTION("""COMPUTED_VALUE"""),"GSTORE")</f>
        <v>GSTORE</v>
      </c>
      <c r="C73" s="518" t="str">
        <f>IFERROR(__xludf.DUMMYFUNCTION("""COMPUTED_VALUE"""),"0840353928268")</f>
        <v>0840353928268</v>
      </c>
      <c r="D73" s="517" t="str">
        <f>IFERROR(__xludf.DUMMYFUNCTION("""COMPUTED_VALUE"""),"Press")</f>
        <v>Press</v>
      </c>
      <c r="E73" s="517" t="str">
        <f>IFERROR(__xludf.DUMMYFUNCTION("""COMPUTED_VALUE"""),"GA10214-US-N")</f>
        <v>GA10214-US-N</v>
      </c>
      <c r="F73" s="517" t="str">
        <f>IFERROR(__xludf.DUMMYFUNCTION("""COMPUTED_VALUE"""),"GLBW0")</f>
        <v>GLBW0</v>
      </c>
      <c r="G73" s="517"/>
      <c r="H73" s="518" t="str">
        <f>IFERROR(__xludf.DUMMYFUNCTION("""COMPUTED_VALUE"""),"840353928268")</f>
        <v>840353928268</v>
      </c>
      <c r="I73" s="518" t="str">
        <f>IFERROR(__xludf.DUMMYFUNCTION("""COMPUTED_VALUE"""),"No")</f>
        <v>No</v>
      </c>
      <c r="J73" s="517" t="str">
        <f>IFERROR(__xludf.DUMMYFUNCTION("""COMPUTED_VALUE"""),"Retail_10ct")</f>
        <v>Retail_10ct</v>
      </c>
      <c r="K73" s="517" t="str">
        <f>IFERROR(__xludf.DUMMYFUNCTION("""COMPUTED_VALUE"""),"ROW Master Carton Label (UPC)")</f>
        <v>ROW Master Carton Label (UPC)</v>
      </c>
      <c r="L73" s="517" t="str">
        <f>IFERROR(__xludf.DUMMYFUNCTION("""COMPUTED_VALUE"""),"NA")</f>
        <v>NA</v>
      </c>
      <c r="M73" s="517" t="str">
        <f>IFERROR(__xludf.DUMMYFUNCTION("""COMPUTED_VALUE"""),"G990-08380-21-01
G990-08380-21-A")</f>
        <v>G990-08380-21-01
G990-08380-21-A</v>
      </c>
      <c r="N73" s="519" t="str">
        <f>IFERROR(__xludf.DUMMYFUNCTION("""COMPUTED_VALUE"""),"G990-09560-00-A")</f>
        <v>G990-09560-00-A</v>
      </c>
      <c r="O73" s="517" t="str">
        <f>IFERROR(__xludf.DUMMYFUNCTION("""COMPUTED_VALUE"""),"BOB→A
Retail→A")</f>
        <v>BOB→A
Retail→A</v>
      </c>
      <c r="P73" s="517" t="str">
        <f>IFERROR(__xludf.DUMMYFUNCTION("""COMPUTED_VALUE"""),"G990-09560-00-A")</f>
        <v>G990-09560-00-A</v>
      </c>
      <c r="Q73" s="517" t="str">
        <f>IFERROR(__xludf.DUMMYFUNCTION("""COMPUTED_VALUE"""),"Frost")</f>
        <v>Frost</v>
      </c>
      <c r="R73" s="517" t="str">
        <f>IFERROR(__xludf.DUMMYFUNCTION("""COMPUTED_VALUE"""),"PPL")</f>
        <v>PPL</v>
      </c>
      <c r="S73" s="517" t="str">
        <f>IFERROR(__xludf.DUMMYFUNCTION("""COMPUTED_VALUE"""),"GSTORE, US")</f>
        <v>GSTORE, US</v>
      </c>
      <c r="T73" s="517" t="str">
        <f>IFERROR(__xludf.DUMMYFUNCTION("""COMPUTED_VALUE"""),"SKU, CLR2, GOOD, MMWAVE, GSTORE, US, PRESS, FL5")</f>
        <v>SKU, CLR2, GOOD, MMWAVE, GSTORE, US, PRESS, FL5</v>
      </c>
      <c r="U73" s="517" t="str">
        <f>IFERROR(__xludf.DUMMYFUNCTION("""COMPUTED_VALUE"""),"Pixel 10, Frost, 128GB, GSTORE, US, PRESS")</f>
        <v>Pixel 10, Frost, 128GB, GSTORE, US, PRESS</v>
      </c>
      <c r="V73" s="624" t="str">
        <f>IFERROR(__xludf.DUMMYFUNCTION("""COMPUTED_VALUE"""),"#NUM!")</f>
        <v>#NUM!</v>
      </c>
      <c r="W73" s="625">
        <f>IFERROR(__xludf.DUMMYFUNCTION("""COMPUTED_VALUE"""),45815.0)</f>
        <v>45815</v>
      </c>
      <c r="X73" s="626">
        <f>IFERROR(__xludf.DUMMYFUNCTION("""COMPUTED_VALUE"""),45764.0)</f>
        <v>45764</v>
      </c>
      <c r="Y73" s="517" t="b">
        <f>IFERROR(__xludf.DUMMYFUNCTION("""COMPUTED_VALUE"""),TRUE)</f>
        <v>1</v>
      </c>
      <c r="Z73" s="626">
        <f>IFERROR(__xludf.DUMMYFUNCTION("""COMPUTED_VALUE"""),45764.0)</f>
        <v>45764</v>
      </c>
      <c r="AA73" s="517" t="b">
        <f>IFERROR(__xludf.DUMMYFUNCTION("""COMPUTED_VALUE"""),FALSE)</f>
        <v>0</v>
      </c>
    </row>
    <row r="74">
      <c r="B74" s="517" t="str">
        <f>IFERROR(__xludf.DUMMYFUNCTION("""COMPUTED_VALUE"""),"GSTORE")</f>
        <v>GSTORE</v>
      </c>
      <c r="C74" s="518" t="str">
        <f>IFERROR(__xludf.DUMMYFUNCTION("""COMPUTED_VALUE"""),"0840353928282")</f>
        <v>0840353928282</v>
      </c>
      <c r="D74" s="517" t="str">
        <f>IFERROR(__xludf.DUMMYFUNCTION("""COMPUTED_VALUE"""),"Press")</f>
        <v>Press</v>
      </c>
      <c r="E74" s="517" t="str">
        <f>IFERROR(__xludf.DUMMYFUNCTION("""COMPUTED_VALUE"""),"GA10215-US-N")</f>
        <v>GA10215-US-N</v>
      </c>
      <c r="F74" s="517" t="str">
        <f>IFERROR(__xludf.DUMMYFUNCTION("""COMPUTED_VALUE"""),"GLBW0")</f>
        <v>GLBW0</v>
      </c>
      <c r="G74" s="517"/>
      <c r="H74" s="518" t="str">
        <f>IFERROR(__xludf.DUMMYFUNCTION("""COMPUTED_VALUE"""),"840353928282")</f>
        <v>840353928282</v>
      </c>
      <c r="I74" s="518" t="str">
        <f>IFERROR(__xludf.DUMMYFUNCTION("""COMPUTED_VALUE"""),"No")</f>
        <v>No</v>
      </c>
      <c r="J74" s="517" t="str">
        <f>IFERROR(__xludf.DUMMYFUNCTION("""COMPUTED_VALUE"""),"Retail_10ct")</f>
        <v>Retail_10ct</v>
      </c>
      <c r="K74" s="517" t="str">
        <f>IFERROR(__xludf.DUMMYFUNCTION("""COMPUTED_VALUE"""),"ROW Master Carton Label (UPC)")</f>
        <v>ROW Master Carton Label (UPC)</v>
      </c>
      <c r="L74" s="517" t="str">
        <f>IFERROR(__xludf.DUMMYFUNCTION("""COMPUTED_VALUE"""),"NA")</f>
        <v>NA</v>
      </c>
      <c r="M74" s="517" t="str">
        <f>IFERROR(__xludf.DUMMYFUNCTION("""COMPUTED_VALUE"""),"G990-08380-31-02
G990-08380-31-A")</f>
        <v>G990-08380-31-02
G990-08380-31-A</v>
      </c>
      <c r="N74" s="519" t="str">
        <f>IFERROR(__xludf.DUMMYFUNCTION("""COMPUTED_VALUE"""),"G990-09560-00-A")</f>
        <v>G990-09560-00-A</v>
      </c>
      <c r="O74" s="517" t="str">
        <f>IFERROR(__xludf.DUMMYFUNCTION("""COMPUTED_VALUE"""),"BOB→A
Retail→A")</f>
        <v>BOB→A
Retail→A</v>
      </c>
      <c r="P74" s="517" t="str">
        <f>IFERROR(__xludf.DUMMYFUNCTION("""COMPUTED_VALUE"""),"G990-09560-00-A")</f>
        <v>G990-09560-00-A</v>
      </c>
      <c r="Q74" s="517" t="str">
        <f>IFERROR(__xludf.DUMMYFUNCTION("""COMPUTED_VALUE"""),"Lemongrass")</f>
        <v>Lemongrass</v>
      </c>
      <c r="R74" s="517" t="str">
        <f>IFERROR(__xludf.DUMMYFUNCTION("""COMPUTED_VALUE"""),"YEL")</f>
        <v>YEL</v>
      </c>
      <c r="S74" s="517" t="str">
        <f>IFERROR(__xludf.DUMMYFUNCTION("""COMPUTED_VALUE"""),"GSTORE, US")</f>
        <v>GSTORE, US</v>
      </c>
      <c r="T74" s="517" t="str">
        <f>IFERROR(__xludf.DUMMYFUNCTION("""COMPUTED_VALUE"""),"SKU, CLR3, GOOD, MMWAVE, GSTORE, US, PRESS, FL5")</f>
        <v>SKU, CLR3, GOOD, MMWAVE, GSTORE, US, PRESS, FL5</v>
      </c>
      <c r="U74" s="517" t="str">
        <f>IFERROR(__xludf.DUMMYFUNCTION("""COMPUTED_VALUE"""),"Pixel 10, Lemongrass, 128GB, GSTORE, US, PRESS")</f>
        <v>Pixel 10, Lemongrass, 128GB, GSTORE, US, PRESS</v>
      </c>
      <c r="V74" s="624" t="str">
        <f>IFERROR(__xludf.DUMMYFUNCTION("""COMPUTED_VALUE"""),"#NUM!")</f>
        <v>#NUM!</v>
      </c>
      <c r="W74" s="625">
        <f>IFERROR(__xludf.DUMMYFUNCTION("""COMPUTED_VALUE"""),45815.0)</f>
        <v>45815</v>
      </c>
      <c r="X74" s="626">
        <f>IFERROR(__xludf.DUMMYFUNCTION("""COMPUTED_VALUE"""),45764.0)</f>
        <v>45764</v>
      </c>
      <c r="Y74" s="517" t="b">
        <f>IFERROR(__xludf.DUMMYFUNCTION("""COMPUTED_VALUE"""),TRUE)</f>
        <v>1</v>
      </c>
      <c r="Z74" s="626">
        <f>IFERROR(__xludf.DUMMYFUNCTION("""COMPUTED_VALUE"""),45764.0)</f>
        <v>45764</v>
      </c>
      <c r="AA74" s="517" t="b">
        <f>IFERROR(__xludf.DUMMYFUNCTION("""COMPUTED_VALUE"""),FALSE)</f>
        <v>0</v>
      </c>
    </row>
    <row r="75">
      <c r="B75" s="517" t="str">
        <f>IFERROR(__xludf.DUMMYFUNCTION("""COMPUTED_VALUE"""),"GSTORE")</f>
        <v>GSTORE</v>
      </c>
      <c r="C75" s="518" t="str">
        <f>IFERROR(__xludf.DUMMYFUNCTION("""COMPUTED_VALUE"""),"0840353928244")</f>
        <v>0840353928244</v>
      </c>
      <c r="D75" s="517" t="str">
        <f>IFERROR(__xludf.DUMMYFUNCTION("""COMPUTED_VALUE"""),"Press")</f>
        <v>Press</v>
      </c>
      <c r="E75" s="517" t="str">
        <f>IFERROR(__xludf.DUMMYFUNCTION("""COMPUTED_VALUE"""),"GA10216-US-N")</f>
        <v>GA10216-US-N</v>
      </c>
      <c r="F75" s="517" t="str">
        <f>IFERROR(__xludf.DUMMYFUNCTION("""COMPUTED_VALUE"""),"GLBW0")</f>
        <v>GLBW0</v>
      </c>
      <c r="G75" s="517"/>
      <c r="H75" s="518" t="str">
        <f>IFERROR(__xludf.DUMMYFUNCTION("""COMPUTED_VALUE"""),"840353928244")</f>
        <v>840353928244</v>
      </c>
      <c r="I75" s="518" t="str">
        <f>IFERROR(__xludf.DUMMYFUNCTION("""COMPUTED_VALUE"""),"No")</f>
        <v>No</v>
      </c>
      <c r="J75" s="517" t="str">
        <f>IFERROR(__xludf.DUMMYFUNCTION("""COMPUTED_VALUE"""),"Retail_10ct")</f>
        <v>Retail_10ct</v>
      </c>
      <c r="K75" s="517" t="str">
        <f>IFERROR(__xludf.DUMMYFUNCTION("""COMPUTED_VALUE"""),"ROW Master Carton Label (UPC)")</f>
        <v>ROW Master Carton Label (UPC)</v>
      </c>
      <c r="L75" s="517" t="str">
        <f>IFERROR(__xludf.DUMMYFUNCTION("""COMPUTED_VALUE"""),"NA")</f>
        <v>NA</v>
      </c>
      <c r="M75" s="517" t="str">
        <f>IFERROR(__xludf.DUMMYFUNCTION("""COMPUTED_VALUE"""),"G990-08380-41-01
G990-08380-41-A")</f>
        <v>G990-08380-41-01
G990-08380-41-A</v>
      </c>
      <c r="N75" s="519" t="str">
        <f>IFERROR(__xludf.DUMMYFUNCTION("""COMPUTED_VALUE"""),"G990-09560-00-A")</f>
        <v>G990-09560-00-A</v>
      </c>
      <c r="O75" s="517" t="str">
        <f>IFERROR(__xludf.DUMMYFUNCTION("""COMPUTED_VALUE"""),"BOB→A
Retail→A")</f>
        <v>BOB→A
Retail→A</v>
      </c>
      <c r="P75" s="517" t="str">
        <f>IFERROR(__xludf.DUMMYFUNCTION("""COMPUTED_VALUE"""),"G990-09560-00-A")</f>
        <v>G990-09560-00-A</v>
      </c>
      <c r="Q75" s="517" t="str">
        <f>IFERROR(__xludf.DUMMYFUNCTION("""COMPUTED_VALUE"""),"Indigo")</f>
        <v>Indigo</v>
      </c>
      <c r="R75" s="517" t="str">
        <f>IFERROR(__xludf.DUMMYFUNCTION("""COMPUTED_VALUE"""),"BUE")</f>
        <v>BUE</v>
      </c>
      <c r="S75" s="517" t="str">
        <f>IFERROR(__xludf.DUMMYFUNCTION("""COMPUTED_VALUE"""),"GSTORE, US")</f>
        <v>GSTORE, US</v>
      </c>
      <c r="T75" s="517" t="str">
        <f>IFERROR(__xludf.DUMMYFUNCTION("""COMPUTED_VALUE"""),"SKU, CLR4, GOOD, MMWAVE, GSTORE, US, PRESS, FL5")</f>
        <v>SKU, CLR4, GOOD, MMWAVE, GSTORE, US, PRESS, FL5</v>
      </c>
      <c r="U75" s="517" t="str">
        <f>IFERROR(__xludf.DUMMYFUNCTION("""COMPUTED_VALUE"""),"Pixel 10, Indigo, 128GB, GSTORE, US, PRESS")</f>
        <v>Pixel 10, Indigo, 128GB, GSTORE, US, PRESS</v>
      </c>
      <c r="V75" s="624" t="str">
        <f>IFERROR(__xludf.DUMMYFUNCTION("""COMPUTED_VALUE"""),"#NUM!")</f>
        <v>#NUM!</v>
      </c>
      <c r="W75" s="625">
        <f>IFERROR(__xludf.DUMMYFUNCTION("""COMPUTED_VALUE"""),45815.0)</f>
        <v>45815</v>
      </c>
      <c r="X75" s="626">
        <f>IFERROR(__xludf.DUMMYFUNCTION("""COMPUTED_VALUE"""),45764.0)</f>
        <v>45764</v>
      </c>
      <c r="Y75" s="517" t="b">
        <f>IFERROR(__xludf.DUMMYFUNCTION("""COMPUTED_VALUE"""),TRUE)</f>
        <v>1</v>
      </c>
      <c r="Z75" s="626">
        <f>IFERROR(__xludf.DUMMYFUNCTION("""COMPUTED_VALUE"""),45764.0)</f>
        <v>45764</v>
      </c>
      <c r="AA75" s="517" t="b">
        <f>IFERROR(__xludf.DUMMYFUNCTION("""COMPUTED_VALUE"""),FALSE)</f>
        <v>0</v>
      </c>
    </row>
    <row r="76">
      <c r="B76" s="517" t="str">
        <f>IFERROR(__xludf.DUMMYFUNCTION("""COMPUTED_VALUE"""),"JP")</f>
        <v>JP</v>
      </c>
      <c r="C76" s="518" t="str">
        <f>IFERROR(__xludf.DUMMYFUNCTION("""COMPUTED_VALUE"""),"0840353928374")</f>
        <v>0840353928374</v>
      </c>
      <c r="D76" s="517" t="str">
        <f>IFERROR(__xludf.DUMMYFUNCTION("""COMPUTED_VALUE"""),"Press")</f>
        <v>Press</v>
      </c>
      <c r="E76" s="517" t="str">
        <f>IFERROR(__xludf.DUMMYFUNCTION("""COMPUTED_VALUE"""),"GA09744-JP-N")</f>
        <v>GA09744-JP-N</v>
      </c>
      <c r="F76" s="517" t="str">
        <f>IFERROR(__xludf.DUMMYFUNCTION("""COMPUTED_VALUE"""),"GL066")</f>
        <v>GL066</v>
      </c>
      <c r="G76" s="517"/>
      <c r="H76" s="518" t="str">
        <f>IFERROR(__xludf.DUMMYFUNCTION("""COMPUTED_VALUE"""),"840353928374")</f>
        <v>840353928374</v>
      </c>
      <c r="I76" s="518" t="str">
        <f>IFERROR(__xludf.DUMMYFUNCTION("""COMPUTED_VALUE"""),"No")</f>
        <v>No</v>
      </c>
      <c r="J76" s="517" t="str">
        <f>IFERROR(__xludf.DUMMYFUNCTION("""COMPUTED_VALUE"""),"Retail_10ct")</f>
        <v>Retail_10ct</v>
      </c>
      <c r="K76" s="517" t="str">
        <f>IFERROR(__xludf.DUMMYFUNCTION("""COMPUTED_VALUE"""),"ROW Master Carton Label (UPC)")</f>
        <v>ROW Master Carton Label (UPC)</v>
      </c>
      <c r="L76" s="517" t="str">
        <f>IFERROR(__xludf.DUMMYFUNCTION("""COMPUTED_VALUE"""),"NA")</f>
        <v>NA</v>
      </c>
      <c r="M76" s="517" t="str">
        <f>IFERROR(__xludf.DUMMYFUNCTION("""COMPUTED_VALUE"""),"G990-08485-11-03-
G990-08485-11-B")</f>
        <v>G990-08485-11-03-
G990-08485-11-B</v>
      </c>
      <c r="N76" s="517" t="str">
        <f>IFERROR(__xludf.DUMMYFUNCTION("""COMPUTED_VALUE"""),"G990-09562-00-01
G990-09562-00-A")</f>
        <v>G990-09562-00-01
G990-09562-00-A</v>
      </c>
      <c r="O76" s="517" t="str">
        <f>IFERROR(__xludf.DUMMYFUNCTION("""COMPUTED_VALUE"""),"BOB→B
Retail→A")</f>
        <v>BOB→B
Retail→A</v>
      </c>
      <c r="P76" s="517" t="str">
        <f>IFERROR(__xludf.DUMMYFUNCTION("""COMPUTED_VALUE"""),"G990-09562-00-A
G990-09562-00-B")</f>
        <v>G990-09562-00-A
G990-09562-00-B</v>
      </c>
      <c r="Q76" s="517" t="str">
        <f>IFERROR(__xludf.DUMMYFUNCTION("""COMPUTED_VALUE"""),"Obsidian")</f>
        <v>Obsidian</v>
      </c>
      <c r="R76" s="517" t="str">
        <f>IFERROR(__xludf.DUMMYFUNCTION("""COMPUTED_VALUE"""),"BLK")</f>
        <v>BLK</v>
      </c>
      <c r="S76" s="517" t="str">
        <f>IFERROR(__xludf.DUMMYFUNCTION("""COMPUTED_VALUE"""),"JP")</f>
        <v>JP</v>
      </c>
      <c r="T76" s="517" t="str">
        <f>IFERROR(__xludf.DUMMYFUNCTION("""COMPUTED_VALUE"""),"SKU, CLR1, GOOD, SUB6, JP, PRESS, FL5")</f>
        <v>SKU, CLR1, GOOD, SUB6, JP, PRESS, FL5</v>
      </c>
      <c r="U76" s="517" t="str">
        <f>IFERROR(__xludf.DUMMYFUNCTION("""COMPUTED_VALUE"""),"Pixel 10, Obsidian, 128GB, JP, PRESS")</f>
        <v>Pixel 10, Obsidian, 128GB, JP, PRESS</v>
      </c>
      <c r="V76" s="624" t="str">
        <f>IFERROR(__xludf.DUMMYFUNCTION("""COMPUTED_VALUE"""),"#NUM!")</f>
        <v>#NUM!</v>
      </c>
      <c r="W76" s="625">
        <f>IFERROR(__xludf.DUMMYFUNCTION("""COMPUTED_VALUE"""),45815.0)</f>
        <v>45815</v>
      </c>
      <c r="X76" s="626">
        <f>IFERROR(__xludf.DUMMYFUNCTION("""COMPUTED_VALUE"""),45764.0)</f>
        <v>45764</v>
      </c>
      <c r="Y76" s="517" t="b">
        <f>IFERROR(__xludf.DUMMYFUNCTION("""COMPUTED_VALUE"""),TRUE)</f>
        <v>1</v>
      </c>
      <c r="Z76" s="626">
        <f>IFERROR(__xludf.DUMMYFUNCTION("""COMPUTED_VALUE"""),45764.0)</f>
        <v>45764</v>
      </c>
      <c r="AA76" s="517" t="b">
        <f>IFERROR(__xludf.DUMMYFUNCTION("""COMPUTED_VALUE"""),FALSE)</f>
        <v>0</v>
      </c>
    </row>
    <row r="77">
      <c r="B77" s="517" t="str">
        <f>IFERROR(__xludf.DUMMYFUNCTION("""COMPUTED_VALUE"""),"JP")</f>
        <v>JP</v>
      </c>
      <c r="C77" s="518" t="str">
        <f>IFERROR(__xludf.DUMMYFUNCTION("""COMPUTED_VALUE"""),"0840353928503")</f>
        <v>0840353928503</v>
      </c>
      <c r="D77" s="517" t="str">
        <f>IFERROR(__xludf.DUMMYFUNCTION("""COMPUTED_VALUE"""),"Press")</f>
        <v>Press</v>
      </c>
      <c r="E77" s="517" t="str">
        <f>IFERROR(__xludf.DUMMYFUNCTION("""COMPUTED_VALUE"""),"GA10214-JP-N")</f>
        <v>GA10214-JP-N</v>
      </c>
      <c r="F77" s="517" t="str">
        <f>IFERROR(__xludf.DUMMYFUNCTION("""COMPUTED_VALUE"""),"GL066")</f>
        <v>GL066</v>
      </c>
      <c r="G77" s="517"/>
      <c r="H77" s="518" t="str">
        <f>IFERROR(__xludf.DUMMYFUNCTION("""COMPUTED_VALUE"""),"840353928503")</f>
        <v>840353928503</v>
      </c>
      <c r="I77" s="518" t="str">
        <f>IFERROR(__xludf.DUMMYFUNCTION("""COMPUTED_VALUE"""),"No")</f>
        <v>No</v>
      </c>
      <c r="J77" s="517" t="str">
        <f>IFERROR(__xludf.DUMMYFUNCTION("""COMPUTED_VALUE"""),"Retail_10ct")</f>
        <v>Retail_10ct</v>
      </c>
      <c r="K77" s="517" t="str">
        <f>IFERROR(__xludf.DUMMYFUNCTION("""COMPUTED_VALUE"""),"ROW Master Carton Label (UPC)")</f>
        <v>ROW Master Carton Label (UPC)</v>
      </c>
      <c r="L77" s="517" t="str">
        <f>IFERROR(__xludf.DUMMYFUNCTION("""COMPUTED_VALUE"""),"NA")</f>
        <v>NA</v>
      </c>
      <c r="M77" s="517" t="str">
        <f>IFERROR(__xludf.DUMMYFUNCTION("""COMPUTED_VALUE"""),"G990-08485-21-03
G990-08485-21-B")</f>
        <v>G990-08485-21-03
G990-08485-21-B</v>
      </c>
      <c r="N77" s="517" t="str">
        <f>IFERROR(__xludf.DUMMYFUNCTION("""COMPUTED_VALUE"""),"G990-09562-00-01
G990-09562-00-A")</f>
        <v>G990-09562-00-01
G990-09562-00-A</v>
      </c>
      <c r="O77" s="517" t="str">
        <f>IFERROR(__xludf.DUMMYFUNCTION("""COMPUTED_VALUE"""),"BOB→B
Retail→A")</f>
        <v>BOB→B
Retail→A</v>
      </c>
      <c r="P77" s="517" t="str">
        <f>IFERROR(__xludf.DUMMYFUNCTION("""COMPUTED_VALUE"""),"G990-09562-00-A
G990-09562-00-B")</f>
        <v>G990-09562-00-A
G990-09562-00-B</v>
      </c>
      <c r="Q77" s="517" t="str">
        <f>IFERROR(__xludf.DUMMYFUNCTION("""COMPUTED_VALUE"""),"Frost")</f>
        <v>Frost</v>
      </c>
      <c r="R77" s="517" t="str">
        <f>IFERROR(__xludf.DUMMYFUNCTION("""COMPUTED_VALUE"""),"PPL")</f>
        <v>PPL</v>
      </c>
      <c r="S77" s="517" t="str">
        <f>IFERROR(__xludf.DUMMYFUNCTION("""COMPUTED_VALUE"""),"JP")</f>
        <v>JP</v>
      </c>
      <c r="T77" s="517" t="str">
        <f>IFERROR(__xludf.DUMMYFUNCTION("""COMPUTED_VALUE"""),"SKU, CLR2, GOOD, SUB6, JP, PRESS, FL5")</f>
        <v>SKU, CLR2, GOOD, SUB6, JP, PRESS, FL5</v>
      </c>
      <c r="U77" s="517" t="str">
        <f>IFERROR(__xludf.DUMMYFUNCTION("""COMPUTED_VALUE"""),"Pixel 10, Frost, 128GB, JP, PRESS")</f>
        <v>Pixel 10, Frost, 128GB, JP, PRESS</v>
      </c>
      <c r="V77" s="624" t="str">
        <f>IFERROR(__xludf.DUMMYFUNCTION("""COMPUTED_VALUE"""),"#NUM!")</f>
        <v>#NUM!</v>
      </c>
      <c r="W77" s="625">
        <f>IFERROR(__xludf.DUMMYFUNCTION("""COMPUTED_VALUE"""),45815.0)</f>
        <v>45815</v>
      </c>
      <c r="X77" s="626">
        <f>IFERROR(__xludf.DUMMYFUNCTION("""COMPUTED_VALUE"""),45764.0)</f>
        <v>45764</v>
      </c>
      <c r="Y77" s="517" t="b">
        <f>IFERROR(__xludf.DUMMYFUNCTION("""COMPUTED_VALUE"""),TRUE)</f>
        <v>1</v>
      </c>
      <c r="Z77" s="626">
        <f>IFERROR(__xludf.DUMMYFUNCTION("""COMPUTED_VALUE"""),45764.0)</f>
        <v>45764</v>
      </c>
      <c r="AA77" s="517" t="b">
        <f>IFERROR(__xludf.DUMMYFUNCTION("""COMPUTED_VALUE"""),FALSE)</f>
        <v>0</v>
      </c>
    </row>
    <row r="78">
      <c r="B78" s="517" t="str">
        <f>IFERROR(__xludf.DUMMYFUNCTION("""COMPUTED_VALUE"""),"JP")</f>
        <v>JP</v>
      </c>
      <c r="C78" s="518" t="str">
        <f>IFERROR(__xludf.DUMMYFUNCTION("""COMPUTED_VALUE"""),"0840353928480")</f>
        <v>0840353928480</v>
      </c>
      <c r="D78" s="517" t="str">
        <f>IFERROR(__xludf.DUMMYFUNCTION("""COMPUTED_VALUE"""),"Press")</f>
        <v>Press</v>
      </c>
      <c r="E78" s="517" t="str">
        <f>IFERROR(__xludf.DUMMYFUNCTION("""COMPUTED_VALUE"""),"GA10215-JP-N")</f>
        <v>GA10215-JP-N</v>
      </c>
      <c r="F78" s="517" t="str">
        <f>IFERROR(__xludf.DUMMYFUNCTION("""COMPUTED_VALUE"""),"GL066")</f>
        <v>GL066</v>
      </c>
      <c r="G78" s="517"/>
      <c r="H78" s="518" t="str">
        <f>IFERROR(__xludf.DUMMYFUNCTION("""COMPUTED_VALUE"""),"840353928480")</f>
        <v>840353928480</v>
      </c>
      <c r="I78" s="517"/>
      <c r="J78" s="517" t="str">
        <f>IFERROR(__xludf.DUMMYFUNCTION("""COMPUTED_VALUE"""),"Retail_10ct")</f>
        <v>Retail_10ct</v>
      </c>
      <c r="K78" s="517" t="str">
        <f>IFERROR(__xludf.DUMMYFUNCTION("""COMPUTED_VALUE"""),"ROW Master Carton Label (UPC)")</f>
        <v>ROW Master Carton Label (UPC)</v>
      </c>
      <c r="L78" s="517" t="str">
        <f>IFERROR(__xludf.DUMMYFUNCTION("""COMPUTED_VALUE"""),"NA")</f>
        <v>NA</v>
      </c>
      <c r="M78" s="517" t="str">
        <f>IFERROR(__xludf.DUMMYFUNCTION("""COMPUTED_VALUE"""),"G990-08485-31-03
G990-08485-31-B")</f>
        <v>G990-08485-31-03
G990-08485-31-B</v>
      </c>
      <c r="N78" s="517" t="str">
        <f>IFERROR(__xludf.DUMMYFUNCTION("""COMPUTED_VALUE"""),"G990-09562-00-01
G990-09562-00-A")</f>
        <v>G990-09562-00-01
G990-09562-00-A</v>
      </c>
      <c r="O78" s="517" t="str">
        <f>IFERROR(__xludf.DUMMYFUNCTION("""COMPUTED_VALUE"""),"BOB→B
Retail→A")</f>
        <v>BOB→B
Retail→A</v>
      </c>
      <c r="P78" s="517" t="str">
        <f>IFERROR(__xludf.DUMMYFUNCTION("""COMPUTED_VALUE"""),"G990-09562-00-A
G990-09562-00-B")</f>
        <v>G990-09562-00-A
G990-09562-00-B</v>
      </c>
      <c r="Q78" s="517" t="str">
        <f>IFERROR(__xludf.DUMMYFUNCTION("""COMPUTED_VALUE"""),"Lemongrass")</f>
        <v>Lemongrass</v>
      </c>
      <c r="R78" s="517" t="str">
        <f>IFERROR(__xludf.DUMMYFUNCTION("""COMPUTED_VALUE"""),"YEL")</f>
        <v>YEL</v>
      </c>
      <c r="S78" s="517" t="str">
        <f>IFERROR(__xludf.DUMMYFUNCTION("""COMPUTED_VALUE"""),"JP")</f>
        <v>JP</v>
      </c>
      <c r="T78" s="517" t="str">
        <f>IFERROR(__xludf.DUMMYFUNCTION("""COMPUTED_VALUE"""),"SKU, CLR3, GOOD, SUB6, JP, PRESS, FL5")</f>
        <v>SKU, CLR3, GOOD, SUB6, JP, PRESS, FL5</v>
      </c>
      <c r="U78" s="517" t="str">
        <f>IFERROR(__xludf.DUMMYFUNCTION("""COMPUTED_VALUE"""),"Pixel 10, Lemongrass, 128GB, JP, PRESS")</f>
        <v>Pixel 10, Lemongrass, 128GB, JP, PRESS</v>
      </c>
      <c r="V78" s="624" t="str">
        <f>IFERROR(__xludf.DUMMYFUNCTION("""COMPUTED_VALUE"""),"#NUM!")</f>
        <v>#NUM!</v>
      </c>
      <c r="W78" s="625">
        <f>IFERROR(__xludf.DUMMYFUNCTION("""COMPUTED_VALUE"""),45815.0)</f>
        <v>45815</v>
      </c>
      <c r="X78" s="626">
        <f>IFERROR(__xludf.DUMMYFUNCTION("""COMPUTED_VALUE"""),45764.0)</f>
        <v>45764</v>
      </c>
      <c r="Y78" s="517" t="b">
        <f>IFERROR(__xludf.DUMMYFUNCTION("""COMPUTED_VALUE"""),TRUE)</f>
        <v>1</v>
      </c>
      <c r="Z78" s="626">
        <f>IFERROR(__xludf.DUMMYFUNCTION("""COMPUTED_VALUE"""),45764.0)</f>
        <v>45764</v>
      </c>
      <c r="AA78" s="517" t="b">
        <f>IFERROR(__xludf.DUMMYFUNCTION("""COMPUTED_VALUE"""),FALSE)</f>
        <v>0</v>
      </c>
    </row>
    <row r="79">
      <c r="B79" s="517" t="str">
        <f>IFERROR(__xludf.DUMMYFUNCTION("""COMPUTED_VALUE"""),"JP")</f>
        <v>JP</v>
      </c>
      <c r="C79" s="518" t="str">
        <f>IFERROR(__xludf.DUMMYFUNCTION("""COMPUTED_VALUE"""),"0840353928473")</f>
        <v>0840353928473</v>
      </c>
      <c r="D79" s="517" t="str">
        <f>IFERROR(__xludf.DUMMYFUNCTION("""COMPUTED_VALUE"""),"Press")</f>
        <v>Press</v>
      </c>
      <c r="E79" s="517" t="str">
        <f>IFERROR(__xludf.DUMMYFUNCTION("""COMPUTED_VALUE"""),"GA10216-JP-N")</f>
        <v>GA10216-JP-N</v>
      </c>
      <c r="F79" s="517" t="str">
        <f>IFERROR(__xludf.DUMMYFUNCTION("""COMPUTED_VALUE"""),"GL066")</f>
        <v>GL066</v>
      </c>
      <c r="G79" s="517"/>
      <c r="H79" s="518" t="str">
        <f>IFERROR(__xludf.DUMMYFUNCTION("""COMPUTED_VALUE"""),"840353928473")</f>
        <v>840353928473</v>
      </c>
      <c r="I79" s="517"/>
      <c r="J79" s="517" t="str">
        <f>IFERROR(__xludf.DUMMYFUNCTION("""COMPUTED_VALUE"""),"Retail_10ct")</f>
        <v>Retail_10ct</v>
      </c>
      <c r="K79" s="517" t="str">
        <f>IFERROR(__xludf.DUMMYFUNCTION("""COMPUTED_VALUE"""),"ROW Master Carton Label (UPC)")</f>
        <v>ROW Master Carton Label (UPC)</v>
      </c>
      <c r="L79" s="517" t="str">
        <f>IFERROR(__xludf.DUMMYFUNCTION("""COMPUTED_VALUE"""),"NA")</f>
        <v>NA</v>
      </c>
      <c r="M79" s="517" t="str">
        <f>IFERROR(__xludf.DUMMYFUNCTION("""COMPUTED_VALUE"""),"G990-08485-41-03
G990-08485-41-B")</f>
        <v>G990-08485-41-03
G990-08485-41-B</v>
      </c>
      <c r="N79" s="517" t="str">
        <f>IFERROR(__xludf.DUMMYFUNCTION("""COMPUTED_VALUE"""),"G990-09562-00-01
G990-09562-00-A")</f>
        <v>G990-09562-00-01
G990-09562-00-A</v>
      </c>
      <c r="O79" s="517" t="str">
        <f>IFERROR(__xludf.DUMMYFUNCTION("""COMPUTED_VALUE"""),"BOB→B
Retail→A")</f>
        <v>BOB→B
Retail→A</v>
      </c>
      <c r="P79" s="517" t="str">
        <f>IFERROR(__xludf.DUMMYFUNCTION("""COMPUTED_VALUE"""),"G990-09562-00-A
G990-09562-00-B")</f>
        <v>G990-09562-00-A
G990-09562-00-B</v>
      </c>
      <c r="Q79" s="517" t="str">
        <f>IFERROR(__xludf.DUMMYFUNCTION("""COMPUTED_VALUE"""),"Indigo")</f>
        <v>Indigo</v>
      </c>
      <c r="R79" s="517" t="str">
        <f>IFERROR(__xludf.DUMMYFUNCTION("""COMPUTED_VALUE"""),"BUE")</f>
        <v>BUE</v>
      </c>
      <c r="S79" s="517" t="str">
        <f>IFERROR(__xludf.DUMMYFUNCTION("""COMPUTED_VALUE"""),"JP")</f>
        <v>JP</v>
      </c>
      <c r="T79" s="517" t="str">
        <f>IFERROR(__xludf.DUMMYFUNCTION("""COMPUTED_VALUE"""),"SKU, CLR4, GOOD, SUB6, JP, PRESS, FL5")</f>
        <v>SKU, CLR4, GOOD, SUB6, JP, PRESS, FL5</v>
      </c>
      <c r="U79" s="517" t="str">
        <f>IFERROR(__xludf.DUMMYFUNCTION("""COMPUTED_VALUE"""),"Pixel 10, Indigo, 128GB, JP, PRESS")</f>
        <v>Pixel 10, Indigo, 128GB, JP, PRESS</v>
      </c>
      <c r="V79" s="624" t="str">
        <f>IFERROR(__xludf.DUMMYFUNCTION("""COMPUTED_VALUE"""),"#NUM!")</f>
        <v>#NUM!</v>
      </c>
      <c r="W79" s="625">
        <f>IFERROR(__xludf.DUMMYFUNCTION("""COMPUTED_VALUE"""),45815.0)</f>
        <v>45815</v>
      </c>
      <c r="X79" s="626">
        <f>IFERROR(__xludf.DUMMYFUNCTION("""COMPUTED_VALUE"""),45764.0)</f>
        <v>45764</v>
      </c>
      <c r="Y79" s="517" t="b">
        <f>IFERROR(__xludf.DUMMYFUNCTION("""COMPUTED_VALUE"""),TRUE)</f>
        <v>1</v>
      </c>
      <c r="Z79" s="626">
        <f>IFERROR(__xludf.DUMMYFUNCTION("""COMPUTED_VALUE"""),45764.0)</f>
        <v>45764</v>
      </c>
      <c r="AA79" s="517" t="b">
        <f>IFERROR(__xludf.DUMMYFUNCTION("""COMPUTED_VALUE"""),FALSE)</f>
        <v>0</v>
      </c>
    </row>
    <row r="80">
      <c r="B80" s="517" t="str">
        <f>IFERROR(__xludf.DUMMYFUNCTION("""COMPUTED_VALUE"""),"CA/TW/SG/MY/AU/MX")</f>
        <v>CA/TW/SG/MY/AU/MX</v>
      </c>
      <c r="C80" s="518" t="str">
        <f>IFERROR(__xludf.DUMMYFUNCTION("""COMPUTED_VALUE"""),"0840353928626")</f>
        <v>0840353928626</v>
      </c>
      <c r="D80" s="517" t="str">
        <f>IFERROR(__xludf.DUMMYFUNCTION("""COMPUTED_VALUE"""),"Press")</f>
        <v>Press</v>
      </c>
      <c r="E80" s="517" t="str">
        <f>IFERROR(__xludf.DUMMYFUNCTION("""COMPUTED_VALUE"""),"GA09744-CA-N")</f>
        <v>GA09744-CA-N</v>
      </c>
      <c r="F80" s="517" t="str">
        <f>IFERROR(__xludf.DUMMYFUNCTION("""COMPUTED_VALUE"""),"GK2MP")</f>
        <v>GK2MP</v>
      </c>
      <c r="G80" s="517"/>
      <c r="H80" s="518" t="str">
        <f>IFERROR(__xludf.DUMMYFUNCTION("""COMPUTED_VALUE"""),"840353928626")</f>
        <v>840353928626</v>
      </c>
      <c r="I80" s="518" t="str">
        <f>IFERROR(__xludf.DUMMYFUNCTION("""COMPUTED_VALUE"""),"No")</f>
        <v>No</v>
      </c>
      <c r="J80" s="517" t="str">
        <f>IFERROR(__xludf.DUMMYFUNCTION("""COMPUTED_VALUE"""),"Retail_10ct")</f>
        <v>Retail_10ct</v>
      </c>
      <c r="K80" s="517" t="str">
        <f>IFERROR(__xludf.DUMMYFUNCTION("""COMPUTED_VALUE"""),"ROW Master Carton Label (UPC)")</f>
        <v>ROW Master Carton Label (UPC)</v>
      </c>
      <c r="L80" s="517" t="str">
        <f>IFERROR(__xludf.DUMMYFUNCTION("""COMPUTED_VALUE"""),"NA")</f>
        <v>NA</v>
      </c>
      <c r="M80" s="517" t="str">
        <f>IFERROR(__xludf.DUMMYFUNCTION("""COMPUTED_VALUE"""),"G990-08483-11-04
G990-08483-11-B")</f>
        <v>G990-08483-11-04
G990-08483-11-B</v>
      </c>
      <c r="N80" s="517" t="str">
        <f>IFERROR(__xludf.DUMMYFUNCTION("""COMPUTED_VALUE"""),"G990-09561-00-01
G990-09561-00-A")</f>
        <v>G990-09561-00-01
G990-09561-00-A</v>
      </c>
      <c r="O80" s="517" t="str">
        <f>IFERROR(__xludf.DUMMYFUNCTION("""COMPUTED_VALUE"""),"BOB→B
Retail→A")</f>
        <v>BOB→B
Retail→A</v>
      </c>
      <c r="P80" s="517" t="str">
        <f>IFERROR(__xludf.DUMMYFUNCTION("""COMPUTED_VALUE"""),"G990-09561-00-01
G990-09561-00-A")</f>
        <v>G990-09561-00-01
G990-09561-00-A</v>
      </c>
      <c r="Q80" s="517" t="str">
        <f>IFERROR(__xludf.DUMMYFUNCTION("""COMPUTED_VALUE"""),"Obsidian")</f>
        <v>Obsidian</v>
      </c>
      <c r="R80" s="517" t="str">
        <f>IFERROR(__xludf.DUMMYFUNCTION("""COMPUTED_VALUE"""),"BLK")</f>
        <v>BLK</v>
      </c>
      <c r="S80" s="517" t="str">
        <f>IFERROR(__xludf.DUMMYFUNCTION("""COMPUTED_VALUE"""),"CA/TW/SG/MY/AU/MX")</f>
        <v>CA/TW/SG/MY/AU/MX</v>
      </c>
      <c r="T80" s="517" t="str">
        <f>IFERROR(__xludf.DUMMYFUNCTION("""COMPUTED_VALUE"""),"SKU, CLR1, GOOD, SUB6, CA/TW/SG/MY/AU/MX, PRESS, FL5")</f>
        <v>SKU, CLR1, GOOD, SUB6, CA/TW/SG/MY/AU/MX, PRESS, FL5</v>
      </c>
      <c r="U80" s="517" t="str">
        <f>IFERROR(__xludf.DUMMYFUNCTION("""COMPUTED_VALUE"""),"Pixel 10, Obsidian, 128GB, CA/TW/SG/MY/AU/MX, PRESS")</f>
        <v>Pixel 10, Obsidian, 128GB, CA/TW/SG/MY/AU/MX, PRESS</v>
      </c>
      <c r="V80" s="624" t="str">
        <f>IFERROR(__xludf.DUMMYFUNCTION("""COMPUTED_VALUE"""),"#NUM!")</f>
        <v>#NUM!</v>
      </c>
      <c r="W80" s="625">
        <f>IFERROR(__xludf.DUMMYFUNCTION("""COMPUTED_VALUE"""),45815.0)</f>
        <v>45815</v>
      </c>
      <c r="X80" s="626">
        <f>IFERROR(__xludf.DUMMYFUNCTION("""COMPUTED_VALUE"""),45764.0)</f>
        <v>45764</v>
      </c>
      <c r="Y80" s="517" t="b">
        <f>IFERROR(__xludf.DUMMYFUNCTION("""COMPUTED_VALUE"""),TRUE)</f>
        <v>1</v>
      </c>
      <c r="Z80" s="626">
        <f>IFERROR(__xludf.DUMMYFUNCTION("""COMPUTED_VALUE"""),45764.0)</f>
        <v>45764</v>
      </c>
      <c r="AA80" s="517" t="b">
        <f>IFERROR(__xludf.DUMMYFUNCTION("""COMPUTED_VALUE"""),FALSE)</f>
        <v>0</v>
      </c>
    </row>
    <row r="81">
      <c r="B81" s="517" t="str">
        <f>IFERROR(__xludf.DUMMYFUNCTION("""COMPUTED_VALUE"""),"CA/TW/SG/MY/AU/MX")</f>
        <v>CA/TW/SG/MY/AU/MX</v>
      </c>
      <c r="C81" s="518" t="str">
        <f>IFERROR(__xludf.DUMMYFUNCTION("""COMPUTED_VALUE"""),"0840353928459")</f>
        <v>0840353928459</v>
      </c>
      <c r="D81" s="517" t="str">
        <f>IFERROR(__xludf.DUMMYFUNCTION("""COMPUTED_VALUE"""),"Press")</f>
        <v>Press</v>
      </c>
      <c r="E81" s="517" t="str">
        <f>IFERROR(__xludf.DUMMYFUNCTION("""COMPUTED_VALUE"""),"GA10214-CA-N")</f>
        <v>GA10214-CA-N</v>
      </c>
      <c r="F81" s="517" t="str">
        <f>IFERROR(__xludf.DUMMYFUNCTION("""COMPUTED_VALUE"""),"GK2MP")</f>
        <v>GK2MP</v>
      </c>
      <c r="G81" s="517"/>
      <c r="H81" s="518" t="str">
        <f>IFERROR(__xludf.DUMMYFUNCTION("""COMPUTED_VALUE"""),"840353928459")</f>
        <v>840353928459</v>
      </c>
      <c r="I81" s="518" t="str">
        <f>IFERROR(__xludf.DUMMYFUNCTION("""COMPUTED_VALUE"""),"No")</f>
        <v>No</v>
      </c>
      <c r="J81" s="517" t="str">
        <f>IFERROR(__xludf.DUMMYFUNCTION("""COMPUTED_VALUE"""),"Retail_10ct")</f>
        <v>Retail_10ct</v>
      </c>
      <c r="K81" s="517" t="str">
        <f>IFERROR(__xludf.DUMMYFUNCTION("""COMPUTED_VALUE"""),"ROW Master Carton Label (UPC)")</f>
        <v>ROW Master Carton Label (UPC)</v>
      </c>
      <c r="L81" s="517" t="str">
        <f>IFERROR(__xludf.DUMMYFUNCTION("""COMPUTED_VALUE"""),"NA")</f>
        <v>NA</v>
      </c>
      <c r="M81" s="517" t="str">
        <f>IFERROR(__xludf.DUMMYFUNCTION("""COMPUTED_VALUE"""),"G990-08483-21-04
G990-08483-21-B")</f>
        <v>G990-08483-21-04
G990-08483-21-B</v>
      </c>
      <c r="N81" s="517" t="str">
        <f>IFERROR(__xludf.DUMMYFUNCTION("""COMPUTED_VALUE"""),"G990-09561-00-01
G990-09561-00-A")</f>
        <v>G990-09561-00-01
G990-09561-00-A</v>
      </c>
      <c r="O81" s="517" t="str">
        <f>IFERROR(__xludf.DUMMYFUNCTION("""COMPUTED_VALUE"""),"BOB→B
Retail→A")</f>
        <v>BOB→B
Retail→A</v>
      </c>
      <c r="P81" s="517" t="str">
        <f>IFERROR(__xludf.DUMMYFUNCTION("""COMPUTED_VALUE"""),"G990-09561-00-01
G990-09561-00-A")</f>
        <v>G990-09561-00-01
G990-09561-00-A</v>
      </c>
      <c r="Q81" s="517" t="str">
        <f>IFERROR(__xludf.DUMMYFUNCTION("""COMPUTED_VALUE"""),"Frost")</f>
        <v>Frost</v>
      </c>
      <c r="R81" s="517" t="str">
        <f>IFERROR(__xludf.DUMMYFUNCTION("""COMPUTED_VALUE"""),"PPL")</f>
        <v>PPL</v>
      </c>
      <c r="S81" s="517" t="str">
        <f>IFERROR(__xludf.DUMMYFUNCTION("""COMPUTED_VALUE"""),"CA/TW/SG/MY/AU/MX")</f>
        <v>CA/TW/SG/MY/AU/MX</v>
      </c>
      <c r="T81" s="517" t="str">
        <f>IFERROR(__xludf.DUMMYFUNCTION("""COMPUTED_VALUE"""),"SKU, CLR2, GOOD, SUB6, CA/TW/SG/MY/AU/MX, PRESS, FL5")</f>
        <v>SKU, CLR2, GOOD, SUB6, CA/TW/SG/MY/AU/MX, PRESS, FL5</v>
      </c>
      <c r="U81" s="517" t="str">
        <f>IFERROR(__xludf.DUMMYFUNCTION("""COMPUTED_VALUE"""),"Pixel 10, Frost, 128GB, CA/TW/SG/MY/AU/MX, PRESS")</f>
        <v>Pixel 10, Frost, 128GB, CA/TW/SG/MY/AU/MX, PRESS</v>
      </c>
      <c r="V81" s="624" t="str">
        <f>IFERROR(__xludf.DUMMYFUNCTION("""COMPUTED_VALUE"""),"#NUM!")</f>
        <v>#NUM!</v>
      </c>
      <c r="W81" s="625">
        <f>IFERROR(__xludf.DUMMYFUNCTION("""COMPUTED_VALUE"""),45815.0)</f>
        <v>45815</v>
      </c>
      <c r="X81" s="626">
        <f>IFERROR(__xludf.DUMMYFUNCTION("""COMPUTED_VALUE"""),45764.0)</f>
        <v>45764</v>
      </c>
      <c r="Y81" s="517" t="b">
        <f>IFERROR(__xludf.DUMMYFUNCTION("""COMPUTED_VALUE"""),TRUE)</f>
        <v>1</v>
      </c>
      <c r="Z81" s="626">
        <f>IFERROR(__xludf.DUMMYFUNCTION("""COMPUTED_VALUE"""),45764.0)</f>
        <v>45764</v>
      </c>
      <c r="AA81" s="517" t="b">
        <f>IFERROR(__xludf.DUMMYFUNCTION("""COMPUTED_VALUE"""),FALSE)</f>
        <v>0</v>
      </c>
    </row>
    <row r="82">
      <c r="B82" s="517" t="str">
        <f>IFERROR(__xludf.DUMMYFUNCTION("""COMPUTED_VALUE"""),"CA/TW/SG/MY/AU/MX")</f>
        <v>CA/TW/SG/MY/AU/MX</v>
      </c>
      <c r="C82" s="518" t="str">
        <f>IFERROR(__xludf.DUMMYFUNCTION("""COMPUTED_VALUE"""),"0840353928411")</f>
        <v>0840353928411</v>
      </c>
      <c r="D82" s="517" t="str">
        <f>IFERROR(__xludf.DUMMYFUNCTION("""COMPUTED_VALUE"""),"Press")</f>
        <v>Press</v>
      </c>
      <c r="E82" s="517" t="str">
        <f>IFERROR(__xludf.DUMMYFUNCTION("""COMPUTED_VALUE"""),"GA10215-CA-N")</f>
        <v>GA10215-CA-N</v>
      </c>
      <c r="F82" s="517" t="str">
        <f>IFERROR(__xludf.DUMMYFUNCTION("""COMPUTED_VALUE"""),"GK2MP")</f>
        <v>GK2MP</v>
      </c>
      <c r="G82" s="517"/>
      <c r="H82" s="518" t="str">
        <f>IFERROR(__xludf.DUMMYFUNCTION("""COMPUTED_VALUE"""),"840353928411")</f>
        <v>840353928411</v>
      </c>
      <c r="I82" s="518" t="str">
        <f>IFERROR(__xludf.DUMMYFUNCTION("""COMPUTED_VALUE"""),"No")</f>
        <v>No</v>
      </c>
      <c r="J82" s="517" t="str">
        <f>IFERROR(__xludf.DUMMYFUNCTION("""COMPUTED_VALUE"""),"Retail_10ct")</f>
        <v>Retail_10ct</v>
      </c>
      <c r="K82" s="517" t="str">
        <f>IFERROR(__xludf.DUMMYFUNCTION("""COMPUTED_VALUE"""),"ROW Master Carton Label (UPC)")</f>
        <v>ROW Master Carton Label (UPC)</v>
      </c>
      <c r="L82" s="517" t="str">
        <f>IFERROR(__xludf.DUMMYFUNCTION("""COMPUTED_VALUE"""),"NA")</f>
        <v>NA</v>
      </c>
      <c r="M82" s="517" t="str">
        <f>IFERROR(__xludf.DUMMYFUNCTION("""COMPUTED_VALUE"""),"G990-08483-31-04
G990-08483-31-B")</f>
        <v>G990-08483-31-04
G990-08483-31-B</v>
      </c>
      <c r="N82" s="517" t="str">
        <f>IFERROR(__xludf.DUMMYFUNCTION("""COMPUTED_VALUE"""),"G990-09561-00-01
G990-09561-00-A")</f>
        <v>G990-09561-00-01
G990-09561-00-A</v>
      </c>
      <c r="O82" s="517" t="str">
        <f>IFERROR(__xludf.DUMMYFUNCTION("""COMPUTED_VALUE"""),"BOB→B
Retail→A")</f>
        <v>BOB→B
Retail→A</v>
      </c>
      <c r="P82" s="517" t="str">
        <f>IFERROR(__xludf.DUMMYFUNCTION("""COMPUTED_VALUE"""),"G990-09561-00-01
G990-09561-00-A")</f>
        <v>G990-09561-00-01
G990-09561-00-A</v>
      </c>
      <c r="Q82" s="517" t="str">
        <f>IFERROR(__xludf.DUMMYFUNCTION("""COMPUTED_VALUE"""),"Lemongrass")</f>
        <v>Lemongrass</v>
      </c>
      <c r="R82" s="517" t="str">
        <f>IFERROR(__xludf.DUMMYFUNCTION("""COMPUTED_VALUE"""),"YEL")</f>
        <v>YEL</v>
      </c>
      <c r="S82" s="517" t="str">
        <f>IFERROR(__xludf.DUMMYFUNCTION("""COMPUTED_VALUE"""),"CA/TW/SG/MY/AU/MX")</f>
        <v>CA/TW/SG/MY/AU/MX</v>
      </c>
      <c r="T82" s="517" t="str">
        <f>IFERROR(__xludf.DUMMYFUNCTION("""COMPUTED_VALUE"""),"SKU, CLR3, GOOD, SUB6, CA/TW/SG/MY/AU/MX, PRESS, FL5")</f>
        <v>SKU, CLR3, GOOD, SUB6, CA/TW/SG/MY/AU/MX, PRESS, FL5</v>
      </c>
      <c r="U82" s="517" t="str">
        <f>IFERROR(__xludf.DUMMYFUNCTION("""COMPUTED_VALUE"""),"Pixel 10, Lemongrass, 128GB, CA/TW/SG/MY/AU/MX, PRESS")</f>
        <v>Pixel 10, Lemongrass, 128GB, CA/TW/SG/MY/AU/MX, PRESS</v>
      </c>
      <c r="V82" s="624" t="str">
        <f>IFERROR(__xludf.DUMMYFUNCTION("""COMPUTED_VALUE"""),"#NUM!")</f>
        <v>#NUM!</v>
      </c>
      <c r="W82" s="625">
        <f>IFERROR(__xludf.DUMMYFUNCTION("""COMPUTED_VALUE"""),45815.0)</f>
        <v>45815</v>
      </c>
      <c r="X82" s="626">
        <f>IFERROR(__xludf.DUMMYFUNCTION("""COMPUTED_VALUE"""),45764.0)</f>
        <v>45764</v>
      </c>
      <c r="Y82" s="517" t="b">
        <f>IFERROR(__xludf.DUMMYFUNCTION("""COMPUTED_VALUE"""),TRUE)</f>
        <v>1</v>
      </c>
      <c r="Z82" s="626">
        <f>IFERROR(__xludf.DUMMYFUNCTION("""COMPUTED_VALUE"""),45764.0)</f>
        <v>45764</v>
      </c>
      <c r="AA82" s="517" t="b">
        <f>IFERROR(__xludf.DUMMYFUNCTION("""COMPUTED_VALUE"""),FALSE)</f>
        <v>0</v>
      </c>
    </row>
    <row r="83">
      <c r="B83" s="517" t="str">
        <f>IFERROR(__xludf.DUMMYFUNCTION("""COMPUTED_VALUE"""),"CA/TW/SG/MY/AU/MX")</f>
        <v>CA/TW/SG/MY/AU/MX</v>
      </c>
      <c r="C83" s="518" t="str">
        <f>IFERROR(__xludf.DUMMYFUNCTION("""COMPUTED_VALUE"""),"0840353928589")</f>
        <v>0840353928589</v>
      </c>
      <c r="D83" s="517" t="str">
        <f>IFERROR(__xludf.DUMMYFUNCTION("""COMPUTED_VALUE"""),"Press")</f>
        <v>Press</v>
      </c>
      <c r="E83" s="517" t="str">
        <f>IFERROR(__xludf.DUMMYFUNCTION("""COMPUTED_VALUE"""),"GA10216-CA-N")</f>
        <v>GA10216-CA-N</v>
      </c>
      <c r="F83" s="517" t="str">
        <f>IFERROR(__xludf.DUMMYFUNCTION("""COMPUTED_VALUE"""),"GK2MP")</f>
        <v>GK2MP</v>
      </c>
      <c r="G83" s="517"/>
      <c r="H83" s="518" t="str">
        <f>IFERROR(__xludf.DUMMYFUNCTION("""COMPUTED_VALUE"""),"840353928589")</f>
        <v>840353928589</v>
      </c>
      <c r="I83" s="517"/>
      <c r="J83" s="517" t="str">
        <f>IFERROR(__xludf.DUMMYFUNCTION("""COMPUTED_VALUE"""),"Retail_10ct")</f>
        <v>Retail_10ct</v>
      </c>
      <c r="K83" s="517" t="str">
        <f>IFERROR(__xludf.DUMMYFUNCTION("""COMPUTED_VALUE"""),"ROW Master Carton Label (UPC)")</f>
        <v>ROW Master Carton Label (UPC)</v>
      </c>
      <c r="L83" s="517" t="str">
        <f>IFERROR(__xludf.DUMMYFUNCTION("""COMPUTED_VALUE"""),"NA")</f>
        <v>NA</v>
      </c>
      <c r="M83" s="517" t="str">
        <f>IFERROR(__xludf.DUMMYFUNCTION("""COMPUTED_VALUE"""),"G990-08483-41-04
G990-08483-41-B")</f>
        <v>G990-08483-41-04
G990-08483-41-B</v>
      </c>
      <c r="N83" s="517" t="str">
        <f>IFERROR(__xludf.DUMMYFUNCTION("""COMPUTED_VALUE"""),"G990-09561-00-01
G990-09561-00-A")</f>
        <v>G990-09561-00-01
G990-09561-00-A</v>
      </c>
      <c r="O83" s="517" t="str">
        <f>IFERROR(__xludf.DUMMYFUNCTION("""COMPUTED_VALUE"""),"BOB→B
Retail→A")</f>
        <v>BOB→B
Retail→A</v>
      </c>
      <c r="P83" s="517" t="str">
        <f>IFERROR(__xludf.DUMMYFUNCTION("""COMPUTED_VALUE"""),"G990-09561-00-01
G990-09561-00-A")</f>
        <v>G990-09561-00-01
G990-09561-00-A</v>
      </c>
      <c r="Q83" s="517" t="str">
        <f>IFERROR(__xludf.DUMMYFUNCTION("""COMPUTED_VALUE"""),"Indigo")</f>
        <v>Indigo</v>
      </c>
      <c r="R83" s="517" t="str">
        <f>IFERROR(__xludf.DUMMYFUNCTION("""COMPUTED_VALUE"""),"BUE")</f>
        <v>BUE</v>
      </c>
      <c r="S83" s="517" t="str">
        <f>IFERROR(__xludf.DUMMYFUNCTION("""COMPUTED_VALUE"""),"CA/TW/SG/MY/AU/MX")</f>
        <v>CA/TW/SG/MY/AU/MX</v>
      </c>
      <c r="T83" s="517" t="str">
        <f>IFERROR(__xludf.DUMMYFUNCTION("""COMPUTED_VALUE"""),"SKU, CLR4, GOOD, SUB6, CA/TW/SG/MY/AU/MX, PRESS, FL5")</f>
        <v>SKU, CLR4, GOOD, SUB6, CA/TW/SG/MY/AU/MX, PRESS, FL5</v>
      </c>
      <c r="U83" s="517" t="str">
        <f>IFERROR(__xludf.DUMMYFUNCTION("""COMPUTED_VALUE"""),"Pixel 10, Indigo, 128GB, CA/TW/SG/MY/AU/MX, PRESS")</f>
        <v>Pixel 10, Indigo, 128GB, CA/TW/SG/MY/AU/MX, PRESS</v>
      </c>
      <c r="V83" s="624" t="str">
        <f>IFERROR(__xludf.DUMMYFUNCTION("""COMPUTED_VALUE"""),"#NUM!")</f>
        <v>#NUM!</v>
      </c>
      <c r="W83" s="625">
        <f>IFERROR(__xludf.DUMMYFUNCTION("""COMPUTED_VALUE"""),45815.0)</f>
        <v>45815</v>
      </c>
      <c r="X83" s="626">
        <f>IFERROR(__xludf.DUMMYFUNCTION("""COMPUTED_VALUE"""),45764.0)</f>
        <v>45764</v>
      </c>
      <c r="Y83" s="517" t="b">
        <f>IFERROR(__xludf.DUMMYFUNCTION("""COMPUTED_VALUE"""),TRUE)</f>
        <v>1</v>
      </c>
      <c r="Z83" s="626">
        <f>IFERROR(__xludf.DUMMYFUNCTION("""COMPUTED_VALUE"""),45764.0)</f>
        <v>45764</v>
      </c>
      <c r="AA83" s="517" t="b">
        <f>IFERROR(__xludf.DUMMYFUNCTION("""COMPUTED_VALUE"""),FALSE)</f>
        <v>0</v>
      </c>
    </row>
    <row r="84">
      <c r="B84" s="517" t="str">
        <f>IFERROR(__xludf.DUMMYFUNCTION("""COMPUTED_VALUE"""),"GB, DE, IT, ES, IE, FR, NL, BE, AT, CH, PT, PL, RO, CZ, HU, RO, SI, LV, LT, EE, FI, NO, SE, DK, SK")</f>
        <v>GB, DE, IT, ES, IE, FR, NL, BE, AT, CH, PT, PL, RO, CZ, HU, RO, SI, LV, LT, EE, FI, NO, SE, DK, SK</v>
      </c>
      <c r="C84" s="518" t="str">
        <f>IFERROR(__xludf.DUMMYFUNCTION("""COMPUTED_VALUE"""),"0840353928510")</f>
        <v>0840353928510</v>
      </c>
      <c r="D84" s="517" t="str">
        <f>IFERROR(__xludf.DUMMYFUNCTION("""COMPUTED_VALUE"""),"Press")</f>
        <v>Press</v>
      </c>
      <c r="E84" s="517" t="str">
        <f>IFERROR(__xludf.DUMMYFUNCTION("""COMPUTED_VALUE"""),"GA09744-GB-N")</f>
        <v>GA09744-GB-N</v>
      </c>
      <c r="F84" s="517" t="str">
        <f>IFERROR(__xludf.DUMMYFUNCTION("""COMPUTED_VALUE""")," GK2MP")</f>
        <v> GK2MP</v>
      </c>
      <c r="G84" s="517"/>
      <c r="H84" s="518" t="str">
        <f>IFERROR(__xludf.DUMMYFUNCTION("""COMPUTED_VALUE"""),"840353928510")</f>
        <v>840353928510</v>
      </c>
      <c r="I84" s="518" t="str">
        <f>IFERROR(__xludf.DUMMYFUNCTION("""COMPUTED_VALUE"""),"No")</f>
        <v>No</v>
      </c>
      <c r="J84" s="517" t="str">
        <f>IFERROR(__xludf.DUMMYFUNCTION("""COMPUTED_VALUE"""),"Retail_10ct")</f>
        <v>Retail_10ct</v>
      </c>
      <c r="K84" s="517" t="str">
        <f>IFERROR(__xludf.DUMMYFUNCTION("""COMPUTED_VALUE"""),"ROW Master Carton Label (EAN)")</f>
        <v>ROW Master Carton Label (EAN)</v>
      </c>
      <c r="L84" s="517" t="str">
        <f>IFERROR(__xludf.DUMMYFUNCTION("""COMPUTED_VALUE"""),"NA")</f>
        <v>NA</v>
      </c>
      <c r="M84" s="517" t="str">
        <f>IFERROR(__xludf.DUMMYFUNCTION("""COMPUTED_VALUE"""),"G990-08489-11-05
G990-08489-11-B")</f>
        <v>G990-08489-11-05
G990-08489-11-B</v>
      </c>
      <c r="N84" s="519" t="str">
        <f>IFERROR(__xludf.DUMMYFUNCTION("""COMPUTED_VALUE"""),"G990-09770-00-A")</f>
        <v>G990-09770-00-A</v>
      </c>
      <c r="O84" s="517" t="str">
        <f>IFERROR(__xludf.DUMMYFUNCTION("""COMPUTED_VALUE"""),"BOB→B
Retail→A")</f>
        <v>BOB→B
Retail→A</v>
      </c>
      <c r="P84" s="517" t="str">
        <f>IFERROR(__xludf.DUMMYFUNCTION("""COMPUTED_VALUE"""),"G990-09770-00-A")</f>
        <v>G990-09770-00-A</v>
      </c>
      <c r="Q84" s="517" t="str">
        <f>IFERROR(__xludf.DUMMYFUNCTION("""COMPUTED_VALUE"""),"Obsidian")</f>
        <v>Obsidian</v>
      </c>
      <c r="R84" s="517" t="str">
        <f>IFERROR(__xludf.DUMMYFUNCTION("""COMPUTED_VALUE"""),"BLK")</f>
        <v>BLK</v>
      </c>
      <c r="S84" s="517" t="str">
        <f>IFERROR(__xludf.DUMMYFUNCTION("""COMPUTED_VALUE"""),"GB, DE, IT, ES, IE, FR, NL, BE, AT, CH, PT, PL, CZ, HU, RO, SI, LV, LT, EE, FI, NO, SE, DK, SK")</f>
        <v>GB, DE, IT, ES, IE, FR, NL, BE, AT, CH, PT, PL, CZ, HU, RO, SI, LV, LT, EE, FI, NO, SE, DK, SK</v>
      </c>
      <c r="T84" s="517" t="str">
        <f>IFERROR(__xludf.DUMMYFUNCTION("""COMPUTED_VALUE"""),"SKU, CLR1, GOOD, SUB6, UK/EU, PRESS, FL5")</f>
        <v>SKU, CLR1, GOOD, SUB6, UK/EU, PRESS, FL5</v>
      </c>
      <c r="U84" s="517" t="str">
        <f>IFERROR(__xludf.DUMMYFUNCTION("""COMPUTED_VALUE"""),"Pixel 10, Obsidian, 128GB, UK/EU, PRESS")</f>
        <v>Pixel 10, Obsidian, 128GB, UK/EU, PRESS</v>
      </c>
      <c r="V84" s="624" t="str">
        <f>IFERROR(__xludf.DUMMYFUNCTION("""COMPUTED_VALUE"""),"#NUM!")</f>
        <v>#NUM!</v>
      </c>
      <c r="W84" s="625">
        <f>IFERROR(__xludf.DUMMYFUNCTION("""COMPUTED_VALUE"""),45815.0)</f>
        <v>45815</v>
      </c>
      <c r="X84" s="626">
        <f>IFERROR(__xludf.DUMMYFUNCTION("""COMPUTED_VALUE"""),45764.0)</f>
        <v>45764</v>
      </c>
      <c r="Y84" s="517" t="b">
        <f>IFERROR(__xludf.DUMMYFUNCTION("""COMPUTED_VALUE"""),TRUE)</f>
        <v>1</v>
      </c>
      <c r="Z84" s="626">
        <f>IFERROR(__xludf.DUMMYFUNCTION("""COMPUTED_VALUE"""),45764.0)</f>
        <v>45764</v>
      </c>
      <c r="AA84" s="517" t="b">
        <f>IFERROR(__xludf.DUMMYFUNCTION("""COMPUTED_VALUE"""),FALSE)</f>
        <v>0</v>
      </c>
    </row>
    <row r="85">
      <c r="B85" s="517" t="str">
        <f>IFERROR(__xludf.DUMMYFUNCTION("""COMPUTED_VALUE"""),"GB, DE, IT, ES, IE, FR, NL, BE, AT, CH, PT, PL, RO, CZ, HU, RO, SI, LV, LT, EE, FI, NO, SE, DK, SK")</f>
        <v>GB, DE, IT, ES, IE, FR, NL, BE, AT, CH, PT, PL, RO, CZ, HU, RO, SI, LV, LT, EE, FI, NO, SE, DK, SK</v>
      </c>
      <c r="C85" s="518" t="str">
        <f>IFERROR(__xludf.DUMMYFUNCTION("""COMPUTED_VALUE"""),"0840353928442")</f>
        <v>0840353928442</v>
      </c>
      <c r="D85" s="517" t="str">
        <f>IFERROR(__xludf.DUMMYFUNCTION("""COMPUTED_VALUE"""),"Press")</f>
        <v>Press</v>
      </c>
      <c r="E85" s="517" t="str">
        <f>IFERROR(__xludf.DUMMYFUNCTION("""COMPUTED_VALUE"""),"GA10214-GB-N")</f>
        <v>GA10214-GB-N</v>
      </c>
      <c r="F85" s="517" t="str">
        <f>IFERROR(__xludf.DUMMYFUNCTION("""COMPUTED_VALUE""")," GK2MP")</f>
        <v> GK2MP</v>
      </c>
      <c r="G85" s="517"/>
      <c r="H85" s="518" t="str">
        <f>IFERROR(__xludf.DUMMYFUNCTION("""COMPUTED_VALUE"""),"840353928442")</f>
        <v>840353928442</v>
      </c>
      <c r="I85" s="518" t="str">
        <f>IFERROR(__xludf.DUMMYFUNCTION("""COMPUTED_VALUE"""),"No")</f>
        <v>No</v>
      </c>
      <c r="J85" s="517" t="str">
        <f>IFERROR(__xludf.DUMMYFUNCTION("""COMPUTED_VALUE"""),"Retail_10ct")</f>
        <v>Retail_10ct</v>
      </c>
      <c r="K85" s="517" t="str">
        <f>IFERROR(__xludf.DUMMYFUNCTION("""COMPUTED_VALUE"""),"ROW Master Carton Label (EAN)")</f>
        <v>ROW Master Carton Label (EAN)</v>
      </c>
      <c r="L85" s="517" t="str">
        <f>IFERROR(__xludf.DUMMYFUNCTION("""COMPUTED_VALUE"""),"NA")</f>
        <v>NA</v>
      </c>
      <c r="M85" s="517" t="str">
        <f>IFERROR(__xludf.DUMMYFUNCTION("""COMPUTED_VALUE"""),"G990-08489-21-05
G990-08489-21-B")</f>
        <v>G990-08489-21-05
G990-08489-21-B</v>
      </c>
      <c r="N85" s="519" t="str">
        <f>IFERROR(__xludf.DUMMYFUNCTION("""COMPUTED_VALUE"""),"G990-09770-00-A")</f>
        <v>G990-09770-00-A</v>
      </c>
      <c r="O85" s="517" t="str">
        <f>IFERROR(__xludf.DUMMYFUNCTION("""COMPUTED_VALUE"""),"BOB→B
Retail→A")</f>
        <v>BOB→B
Retail→A</v>
      </c>
      <c r="P85" s="517" t="str">
        <f>IFERROR(__xludf.DUMMYFUNCTION("""COMPUTED_VALUE"""),"G990-09770-00-A")</f>
        <v>G990-09770-00-A</v>
      </c>
      <c r="Q85" s="517" t="str">
        <f>IFERROR(__xludf.DUMMYFUNCTION("""COMPUTED_VALUE"""),"Frost")</f>
        <v>Frost</v>
      </c>
      <c r="R85" s="517" t="str">
        <f>IFERROR(__xludf.DUMMYFUNCTION("""COMPUTED_VALUE"""),"PPL")</f>
        <v>PPL</v>
      </c>
      <c r="S85" s="517" t="str">
        <f>IFERROR(__xludf.DUMMYFUNCTION("""COMPUTED_VALUE"""),"GB, DE, IT, ES, IE, FR, NL, BE, AT, CH, PT, PL, CZ, HU, RO, SI, LV, LT, EE, FI, NO, SE, DK, SK")</f>
        <v>GB, DE, IT, ES, IE, FR, NL, BE, AT, CH, PT, PL, CZ, HU, RO, SI, LV, LT, EE, FI, NO, SE, DK, SK</v>
      </c>
      <c r="T85" s="517" t="str">
        <f>IFERROR(__xludf.DUMMYFUNCTION("""COMPUTED_VALUE"""),"SKU, CLR2, GOOD, SUB6, UK/EU, PRESS, FL5")</f>
        <v>SKU, CLR2, GOOD, SUB6, UK/EU, PRESS, FL5</v>
      </c>
      <c r="U85" s="517" t="str">
        <f>IFERROR(__xludf.DUMMYFUNCTION("""COMPUTED_VALUE"""),"Pixel 10, Frost, 128GB, UK/EU, PRESS")</f>
        <v>Pixel 10, Frost, 128GB, UK/EU, PRESS</v>
      </c>
      <c r="V85" s="624" t="str">
        <f>IFERROR(__xludf.DUMMYFUNCTION("""COMPUTED_VALUE"""),"#NUM!")</f>
        <v>#NUM!</v>
      </c>
      <c r="W85" s="625">
        <f>IFERROR(__xludf.DUMMYFUNCTION("""COMPUTED_VALUE"""),45815.0)</f>
        <v>45815</v>
      </c>
      <c r="X85" s="626">
        <f>IFERROR(__xludf.DUMMYFUNCTION("""COMPUTED_VALUE"""),45764.0)</f>
        <v>45764</v>
      </c>
      <c r="Y85" s="517" t="b">
        <f>IFERROR(__xludf.DUMMYFUNCTION("""COMPUTED_VALUE"""),TRUE)</f>
        <v>1</v>
      </c>
      <c r="Z85" s="626">
        <f>IFERROR(__xludf.DUMMYFUNCTION("""COMPUTED_VALUE"""),45764.0)</f>
        <v>45764</v>
      </c>
      <c r="AA85" s="517" t="b">
        <f>IFERROR(__xludf.DUMMYFUNCTION("""COMPUTED_VALUE"""),FALSE)</f>
        <v>0</v>
      </c>
    </row>
    <row r="86">
      <c r="B86" s="517" t="str">
        <f>IFERROR(__xludf.DUMMYFUNCTION("""COMPUTED_VALUE"""),"GB, DE, IT, ES, IE, FR, NL, BE, AT, CH, PT, PL, RO, CZ, HU, RO, SI, LV, LT, EE, FI, NO, SE, DK, SK")</f>
        <v>GB, DE, IT, ES, IE, FR, NL, BE, AT, CH, PT, PL, RO, CZ, HU, RO, SI, LV, LT, EE, FI, NO, SE, DK, SK</v>
      </c>
      <c r="C86" s="518" t="str">
        <f>IFERROR(__xludf.DUMMYFUNCTION("""COMPUTED_VALUE"""),"0840353928398")</f>
        <v>0840353928398</v>
      </c>
      <c r="D86" s="517" t="str">
        <f>IFERROR(__xludf.DUMMYFUNCTION("""COMPUTED_VALUE"""),"Press")</f>
        <v>Press</v>
      </c>
      <c r="E86" s="517" t="str">
        <f>IFERROR(__xludf.DUMMYFUNCTION("""COMPUTED_VALUE"""),"GA10215-GB-N")</f>
        <v>GA10215-GB-N</v>
      </c>
      <c r="F86" s="517" t="str">
        <f>IFERROR(__xludf.DUMMYFUNCTION("""COMPUTED_VALUE""")," GK2MP")</f>
        <v> GK2MP</v>
      </c>
      <c r="G86" s="517"/>
      <c r="H86" s="517">
        <f>IFERROR(__xludf.DUMMYFUNCTION("""COMPUTED_VALUE"""),8.40353928398E11)</f>
        <v>840353928398</v>
      </c>
      <c r="I86" s="518" t="str">
        <f>IFERROR(__xludf.DUMMYFUNCTION("""COMPUTED_VALUE"""),"No")</f>
        <v>No</v>
      </c>
      <c r="J86" s="517" t="str">
        <f>IFERROR(__xludf.DUMMYFUNCTION("""COMPUTED_VALUE"""),"Retail_10ct")</f>
        <v>Retail_10ct</v>
      </c>
      <c r="K86" s="517" t="str">
        <f>IFERROR(__xludf.DUMMYFUNCTION("""COMPUTED_VALUE"""),"ROW Master Carton Label (EAN)")</f>
        <v>ROW Master Carton Label (EAN)</v>
      </c>
      <c r="L86" s="517" t="str">
        <f>IFERROR(__xludf.DUMMYFUNCTION("""COMPUTED_VALUE"""),"NA")</f>
        <v>NA</v>
      </c>
      <c r="M86" s="517" t="str">
        <f>IFERROR(__xludf.DUMMYFUNCTION("""COMPUTED_VALUE"""),"G990-08489-31-05
G990-08489-31-B")</f>
        <v>G990-08489-31-05
G990-08489-31-B</v>
      </c>
      <c r="N86" s="519" t="str">
        <f>IFERROR(__xludf.DUMMYFUNCTION("""COMPUTED_VALUE"""),"G990-09770-00-A")</f>
        <v>G990-09770-00-A</v>
      </c>
      <c r="O86" s="517" t="str">
        <f>IFERROR(__xludf.DUMMYFUNCTION("""COMPUTED_VALUE"""),"BOB→B
Retail→A")</f>
        <v>BOB→B
Retail→A</v>
      </c>
      <c r="P86" s="517" t="str">
        <f>IFERROR(__xludf.DUMMYFUNCTION("""COMPUTED_VALUE"""),"G990-09770-00-A")</f>
        <v>G990-09770-00-A</v>
      </c>
      <c r="Q86" s="517" t="str">
        <f>IFERROR(__xludf.DUMMYFUNCTION("""COMPUTED_VALUE"""),"Lemongrass")</f>
        <v>Lemongrass</v>
      </c>
      <c r="R86" s="517" t="str">
        <f>IFERROR(__xludf.DUMMYFUNCTION("""COMPUTED_VALUE"""),"YEL")</f>
        <v>YEL</v>
      </c>
      <c r="S86" s="517" t="str">
        <f>IFERROR(__xludf.DUMMYFUNCTION("""COMPUTED_VALUE"""),"GB, DE, IT, ES, IE, FR, NL, BE, AT, CH, PT, PL, CZ, HU, RO, SI, LV, LT, EE, FI, NO, SE, DK, SK")</f>
        <v>GB, DE, IT, ES, IE, FR, NL, BE, AT, CH, PT, PL, CZ, HU, RO, SI, LV, LT, EE, FI, NO, SE, DK, SK</v>
      </c>
      <c r="T86" s="517" t="str">
        <f>IFERROR(__xludf.DUMMYFUNCTION("""COMPUTED_VALUE"""),"SKU, CLR3, GOOD, SUB6, UK/EU, PRESS, FL5")</f>
        <v>SKU, CLR3, GOOD, SUB6, UK/EU, PRESS, FL5</v>
      </c>
      <c r="U86" s="517" t="str">
        <f>IFERROR(__xludf.DUMMYFUNCTION("""COMPUTED_VALUE"""),"Pixel 10, Lemongrass, 128GB, UK/EU, PRESS")</f>
        <v>Pixel 10, Lemongrass, 128GB, UK/EU, PRESS</v>
      </c>
      <c r="V86" s="624" t="str">
        <f>IFERROR(__xludf.DUMMYFUNCTION("""COMPUTED_VALUE"""),"#NUM!")</f>
        <v>#NUM!</v>
      </c>
      <c r="W86" s="625">
        <f>IFERROR(__xludf.DUMMYFUNCTION("""COMPUTED_VALUE"""),45815.0)</f>
        <v>45815</v>
      </c>
      <c r="X86" s="626">
        <f>IFERROR(__xludf.DUMMYFUNCTION("""COMPUTED_VALUE"""),45764.0)</f>
        <v>45764</v>
      </c>
      <c r="Y86" s="517" t="b">
        <f>IFERROR(__xludf.DUMMYFUNCTION("""COMPUTED_VALUE"""),TRUE)</f>
        <v>1</v>
      </c>
      <c r="Z86" s="626">
        <f>IFERROR(__xludf.DUMMYFUNCTION("""COMPUTED_VALUE"""),45764.0)</f>
        <v>45764</v>
      </c>
      <c r="AA86" s="517" t="b">
        <f>IFERROR(__xludf.DUMMYFUNCTION("""COMPUTED_VALUE"""),FALSE)</f>
        <v>0</v>
      </c>
    </row>
    <row r="87">
      <c r="B87" s="517" t="str">
        <f>IFERROR(__xludf.DUMMYFUNCTION("""COMPUTED_VALUE"""),"GB, DE, IT, ES, IE, FR, NL, BE, AT, CH, PT, PL, RO, CZ, HU, RO, SI, LV, LT, EE, FI, NO, SE, DK, SK")</f>
        <v>GB, DE, IT, ES, IE, FR, NL, BE, AT, CH, PT, PL, RO, CZ, HU, RO, SI, LV, LT, EE, FI, NO, SE, DK, SK</v>
      </c>
      <c r="C87" s="518" t="str">
        <f>IFERROR(__xludf.DUMMYFUNCTION("""COMPUTED_VALUE"""),"0840353928527")</f>
        <v>0840353928527</v>
      </c>
      <c r="D87" s="517" t="str">
        <f>IFERROR(__xludf.DUMMYFUNCTION("""COMPUTED_VALUE"""),"Press")</f>
        <v>Press</v>
      </c>
      <c r="E87" s="517" t="str">
        <f>IFERROR(__xludf.DUMMYFUNCTION("""COMPUTED_VALUE"""),"GA10216-GB-N")</f>
        <v>GA10216-GB-N</v>
      </c>
      <c r="F87" s="517" t="str">
        <f>IFERROR(__xludf.DUMMYFUNCTION("""COMPUTED_VALUE""")," GK2MP")</f>
        <v> GK2MP</v>
      </c>
      <c r="G87" s="517"/>
      <c r="H87" s="518" t="str">
        <f>IFERROR(__xludf.DUMMYFUNCTION("""COMPUTED_VALUE"""),"840353928527")</f>
        <v>840353928527</v>
      </c>
      <c r="I87" s="518" t="str">
        <f>IFERROR(__xludf.DUMMYFUNCTION("""COMPUTED_VALUE"""),"No")</f>
        <v>No</v>
      </c>
      <c r="J87" s="517" t="str">
        <f>IFERROR(__xludf.DUMMYFUNCTION("""COMPUTED_VALUE"""),"Retail_10ct")</f>
        <v>Retail_10ct</v>
      </c>
      <c r="K87" s="517" t="str">
        <f>IFERROR(__xludf.DUMMYFUNCTION("""COMPUTED_VALUE"""),"ROW Master Carton Label (EAN)")</f>
        <v>ROW Master Carton Label (EAN)</v>
      </c>
      <c r="L87" s="517" t="str">
        <f>IFERROR(__xludf.DUMMYFUNCTION("""COMPUTED_VALUE"""),"NA")</f>
        <v>NA</v>
      </c>
      <c r="M87" s="517" t="str">
        <f>IFERROR(__xludf.DUMMYFUNCTION("""COMPUTED_VALUE"""),"G990-08489-41-05
G990-08489-41-B")</f>
        <v>G990-08489-41-05
G990-08489-41-B</v>
      </c>
      <c r="N87" s="519" t="str">
        <f>IFERROR(__xludf.DUMMYFUNCTION("""COMPUTED_VALUE"""),"G990-09770-00-A")</f>
        <v>G990-09770-00-A</v>
      </c>
      <c r="O87" s="517" t="str">
        <f>IFERROR(__xludf.DUMMYFUNCTION("""COMPUTED_VALUE"""),"BOB→B
Retail→A")</f>
        <v>BOB→B
Retail→A</v>
      </c>
      <c r="P87" s="517" t="str">
        <f>IFERROR(__xludf.DUMMYFUNCTION("""COMPUTED_VALUE"""),"G990-09770-00-A")</f>
        <v>G990-09770-00-A</v>
      </c>
      <c r="Q87" s="517" t="str">
        <f>IFERROR(__xludf.DUMMYFUNCTION("""COMPUTED_VALUE"""),"Indigo")</f>
        <v>Indigo</v>
      </c>
      <c r="R87" s="517" t="str">
        <f>IFERROR(__xludf.DUMMYFUNCTION("""COMPUTED_VALUE"""),"BUE")</f>
        <v>BUE</v>
      </c>
      <c r="S87" s="517" t="str">
        <f>IFERROR(__xludf.DUMMYFUNCTION("""COMPUTED_VALUE"""),"GB, DE, IT, ES, IE, FR, NL, BE, AT, CH, PT, PL, CZ, HU, RO, SI, LV, LT, EE, FI, NO, SE, DK, SK")</f>
        <v>GB, DE, IT, ES, IE, FR, NL, BE, AT, CH, PT, PL, CZ, HU, RO, SI, LV, LT, EE, FI, NO, SE, DK, SK</v>
      </c>
      <c r="T87" s="517" t="str">
        <f>IFERROR(__xludf.DUMMYFUNCTION("""COMPUTED_VALUE"""),"SKU, CLR4, GOOD, SUB6, UK/EU, PRESS, FL5")</f>
        <v>SKU, CLR4, GOOD, SUB6, UK/EU, PRESS, FL5</v>
      </c>
      <c r="U87" s="517" t="str">
        <f>IFERROR(__xludf.DUMMYFUNCTION("""COMPUTED_VALUE"""),"Pixel 10, Indigo, 128GB, UK/EU, PRESS")</f>
        <v>Pixel 10, Indigo, 128GB, UK/EU, PRESS</v>
      </c>
      <c r="V87" s="624" t="str">
        <f>IFERROR(__xludf.DUMMYFUNCTION("""COMPUTED_VALUE"""),"#NUM!")</f>
        <v>#NUM!</v>
      </c>
      <c r="W87" s="625">
        <f>IFERROR(__xludf.DUMMYFUNCTION("""COMPUTED_VALUE"""),45815.0)</f>
        <v>45815</v>
      </c>
      <c r="X87" s="626">
        <f>IFERROR(__xludf.DUMMYFUNCTION("""COMPUTED_VALUE"""),45764.0)</f>
        <v>45764</v>
      </c>
      <c r="Y87" s="517" t="b">
        <f>IFERROR(__xludf.DUMMYFUNCTION("""COMPUTED_VALUE"""),TRUE)</f>
        <v>1</v>
      </c>
      <c r="Z87" s="626">
        <f>IFERROR(__xludf.DUMMYFUNCTION("""COMPUTED_VALUE"""),45764.0)</f>
        <v>45764</v>
      </c>
      <c r="AA87" s="517" t="b">
        <f>IFERROR(__xludf.DUMMYFUNCTION("""COMPUTED_VALUE"""),FALSE)</f>
        <v>0</v>
      </c>
    </row>
    <row r="88">
      <c r="B88" s="517" t="str">
        <f>IFERROR(__xludf.DUMMYFUNCTION("""COMPUTED_VALUE"""),"GSTORE")</f>
        <v>GSTORE</v>
      </c>
      <c r="C88" s="518" t="str">
        <f>IFERROR(__xludf.DUMMYFUNCTION("""COMPUTED_VALUE"""),"0840353928237")</f>
        <v>0840353928237</v>
      </c>
      <c r="D88" s="517" t="str">
        <f>IFERROR(__xludf.DUMMYFUNCTION("""COMPUTED_VALUE"""),"DEMO")</f>
        <v>DEMO</v>
      </c>
      <c r="E88" s="517" t="str">
        <f>IFERROR(__xludf.DUMMYFUNCTION("""COMPUTED_VALUE"""),"GA10775-US")</f>
        <v>GA10775-US</v>
      </c>
      <c r="F88" s="517" t="str">
        <f>IFERROR(__xludf.DUMMYFUNCTION("""COMPUTED_VALUE"""),"GLBW0")</f>
        <v>GLBW0</v>
      </c>
      <c r="G88" s="517"/>
      <c r="H88" s="518" t="str">
        <f>IFERROR(__xludf.DUMMYFUNCTION("""COMPUTED_VALUE"""),"840353928237")</f>
        <v>840353928237</v>
      </c>
      <c r="I88" s="518" t="str">
        <f>IFERROR(__xludf.DUMMYFUNCTION("""COMPUTED_VALUE"""),"No")</f>
        <v>No</v>
      </c>
      <c r="J88" s="517" t="str">
        <f>IFERROR(__xludf.DUMMYFUNCTION("""COMPUTED_VALUE"""),"Retail_10ct")</f>
        <v>Retail_10ct</v>
      </c>
      <c r="K88" s="517" t="str">
        <f>IFERROR(__xludf.DUMMYFUNCTION("""COMPUTED_VALUE"""),"ROW Master Carton Label (UPC)")</f>
        <v>ROW Master Carton Label (UPC)</v>
      </c>
      <c r="L88" s="517" t="str">
        <f>IFERROR(__xludf.DUMMYFUNCTION("""COMPUTED_VALUE"""),"NA")</f>
        <v>NA</v>
      </c>
      <c r="M88" s="517" t="str">
        <f>IFERROR(__xludf.DUMMYFUNCTION("""COMPUTED_VALUE"""),"G990-08380-11-01
G990-08380-11-A")</f>
        <v>G990-08380-11-01
G990-08380-11-A</v>
      </c>
      <c r="N88" s="517" t="str">
        <f>IFERROR(__xludf.DUMMYFUNCTION("""COMPUTED_VALUE"""),"G990-09765-00-01
G990-09765-00-A")</f>
        <v>G990-09765-00-01
G990-09765-00-A</v>
      </c>
      <c r="O88" s="517" t="str">
        <f>IFERROR(__xludf.DUMMYFUNCTION("""COMPUTED_VALUE"""),"BOB→A
Retail→A")</f>
        <v>BOB→A
Retail→A</v>
      </c>
      <c r="P88" s="517" t="str">
        <f>IFERROR(__xludf.DUMMYFUNCTION("""COMPUTED_VALUE"""),"G990-09765-00-01
G990-09765-00-A")</f>
        <v>G990-09765-00-01
G990-09765-00-A</v>
      </c>
      <c r="Q88" s="517" t="str">
        <f>IFERROR(__xludf.DUMMYFUNCTION("""COMPUTED_VALUE"""),"Obsidian")</f>
        <v>Obsidian</v>
      </c>
      <c r="R88" s="517" t="str">
        <f>IFERROR(__xludf.DUMMYFUNCTION("""COMPUTED_VALUE"""),"BLK")</f>
        <v>BLK</v>
      </c>
      <c r="S88" s="517" t="str">
        <f>IFERROR(__xludf.DUMMYFUNCTION("""COMPUTED_VALUE"""),"GSTORE, US")</f>
        <v>GSTORE, US</v>
      </c>
      <c r="T88" s="517" t="str">
        <f>IFERROR(__xludf.DUMMYFUNCTION("""COMPUTED_VALUE"""),"SKU, CLR1, GOOD, MMWAVE, GSTORE, US, DEMO, FL5")</f>
        <v>SKU, CLR1, GOOD, MMWAVE, GSTORE, US, DEMO, FL5</v>
      </c>
      <c r="U88" s="517" t="str">
        <f>IFERROR(__xludf.DUMMYFUNCTION("""COMPUTED_VALUE"""),"Pixel 10, Obsidian, 128GB, GSTORE, US, DEMO")</f>
        <v>Pixel 10, Obsidian, 128GB, GSTORE, US, DEMO</v>
      </c>
      <c r="V88" s="624" t="str">
        <f>IFERROR(__xludf.DUMMYFUNCTION("""COMPUTED_VALUE"""),"#NUM!")</f>
        <v>#NUM!</v>
      </c>
      <c r="W88" s="625">
        <f>IFERROR(__xludf.DUMMYFUNCTION("""COMPUTED_VALUE"""),45815.0)</f>
        <v>45815</v>
      </c>
      <c r="X88" s="626">
        <f>IFERROR(__xludf.DUMMYFUNCTION("""COMPUTED_VALUE"""),45764.0)</f>
        <v>45764</v>
      </c>
      <c r="Y88" s="517" t="b">
        <f>IFERROR(__xludf.DUMMYFUNCTION("""COMPUTED_VALUE"""),TRUE)</f>
        <v>1</v>
      </c>
      <c r="Z88" s="626">
        <f>IFERROR(__xludf.DUMMYFUNCTION("""COMPUTED_VALUE"""),45764.0)</f>
        <v>45764</v>
      </c>
      <c r="AA88" s="517" t="b">
        <f>IFERROR(__xludf.DUMMYFUNCTION("""COMPUTED_VALUE"""),FALSE)</f>
        <v>0</v>
      </c>
    </row>
    <row r="89">
      <c r="B89" s="517" t="str">
        <f>IFERROR(__xludf.DUMMYFUNCTION("""COMPUTED_VALUE"""),"GSTORE")</f>
        <v>GSTORE</v>
      </c>
      <c r="C89" s="518" t="str">
        <f>IFERROR(__xludf.DUMMYFUNCTION("""COMPUTED_VALUE"""),"0840353928275")</f>
        <v>0840353928275</v>
      </c>
      <c r="D89" s="517" t="str">
        <f>IFERROR(__xludf.DUMMYFUNCTION("""COMPUTED_VALUE"""),"DEMO")</f>
        <v>DEMO</v>
      </c>
      <c r="E89" s="517" t="str">
        <f>IFERROR(__xludf.DUMMYFUNCTION("""COMPUTED_VALUE"""),"GA10776-US")</f>
        <v>GA10776-US</v>
      </c>
      <c r="F89" s="517" t="str">
        <f>IFERROR(__xludf.DUMMYFUNCTION("""COMPUTED_VALUE"""),"GLBW0")</f>
        <v>GLBW0</v>
      </c>
      <c r="G89" s="517"/>
      <c r="H89" s="518" t="str">
        <f>IFERROR(__xludf.DUMMYFUNCTION("""COMPUTED_VALUE"""),"840353928275")</f>
        <v>840353928275</v>
      </c>
      <c r="I89" s="517"/>
      <c r="J89" s="517" t="str">
        <f>IFERROR(__xludf.DUMMYFUNCTION("""COMPUTED_VALUE"""),"Retail_10ct")</f>
        <v>Retail_10ct</v>
      </c>
      <c r="K89" s="517" t="str">
        <f>IFERROR(__xludf.DUMMYFUNCTION("""COMPUTED_VALUE"""),"ROW Master Carton Label (UPC)")</f>
        <v>ROW Master Carton Label (UPC)</v>
      </c>
      <c r="L89" s="517" t="str">
        <f>IFERROR(__xludf.DUMMYFUNCTION("""COMPUTED_VALUE"""),"NA")</f>
        <v>NA</v>
      </c>
      <c r="M89" s="517" t="str">
        <f>IFERROR(__xludf.DUMMYFUNCTION("""COMPUTED_VALUE"""),"G990-08380-41-01
G990-08380-41-A")</f>
        <v>G990-08380-41-01
G990-08380-41-A</v>
      </c>
      <c r="N89" s="517" t="str">
        <f>IFERROR(__xludf.DUMMYFUNCTION("""COMPUTED_VALUE"""),"G990-09765-00-01
G990-09765-00-A")</f>
        <v>G990-09765-00-01
G990-09765-00-A</v>
      </c>
      <c r="O89" s="517" t="str">
        <f>IFERROR(__xludf.DUMMYFUNCTION("""COMPUTED_VALUE"""),"BOB→A
Retail→A")</f>
        <v>BOB→A
Retail→A</v>
      </c>
      <c r="P89" s="517" t="str">
        <f>IFERROR(__xludf.DUMMYFUNCTION("""COMPUTED_VALUE"""),"G990-09765-00-01
G990-09765-00-A")</f>
        <v>G990-09765-00-01
G990-09765-00-A</v>
      </c>
      <c r="Q89" s="517" t="str">
        <f>IFERROR(__xludf.DUMMYFUNCTION("""COMPUTED_VALUE"""),"Indigo")</f>
        <v>Indigo</v>
      </c>
      <c r="R89" s="517" t="str">
        <f>IFERROR(__xludf.DUMMYFUNCTION("""COMPUTED_VALUE"""),"BUE")</f>
        <v>BUE</v>
      </c>
      <c r="S89" s="517" t="str">
        <f>IFERROR(__xludf.DUMMYFUNCTION("""COMPUTED_VALUE"""),"GSTORE, US")</f>
        <v>GSTORE, US</v>
      </c>
      <c r="T89" s="517" t="str">
        <f>IFERROR(__xludf.DUMMYFUNCTION("""COMPUTED_VALUE"""),"SKU, CLR4, GOOD, MMWAVE, GSTORE, US, DEMO, FL5")</f>
        <v>SKU, CLR4, GOOD, MMWAVE, GSTORE, US, DEMO, FL5</v>
      </c>
      <c r="U89" s="517" t="str">
        <f>IFERROR(__xludf.DUMMYFUNCTION("""COMPUTED_VALUE"""),"Pixel 10, Indigo, 128GB, GSTORE, US, DEMO")</f>
        <v>Pixel 10, Indigo, 128GB, GSTORE, US, DEMO</v>
      </c>
      <c r="V89" s="624" t="str">
        <f>IFERROR(__xludf.DUMMYFUNCTION("""COMPUTED_VALUE"""),"#NUM!")</f>
        <v>#NUM!</v>
      </c>
      <c r="W89" s="625">
        <f>IFERROR(__xludf.DUMMYFUNCTION("""COMPUTED_VALUE"""),45815.0)</f>
        <v>45815</v>
      </c>
      <c r="X89" s="626">
        <f>IFERROR(__xludf.DUMMYFUNCTION("""COMPUTED_VALUE"""),45764.0)</f>
        <v>45764</v>
      </c>
      <c r="Y89" s="517" t="b">
        <f>IFERROR(__xludf.DUMMYFUNCTION("""COMPUTED_VALUE"""),TRUE)</f>
        <v>1</v>
      </c>
      <c r="Z89" s="626">
        <f>IFERROR(__xludf.DUMMYFUNCTION("""COMPUTED_VALUE"""),45764.0)</f>
        <v>45764</v>
      </c>
      <c r="AA89" s="517" t="b">
        <f>IFERROR(__xludf.DUMMYFUNCTION("""COMPUTED_VALUE"""),FALSE)</f>
        <v>0</v>
      </c>
    </row>
    <row r="90">
      <c r="B90" s="517" t="str">
        <f>IFERROR(__xludf.DUMMYFUNCTION("""COMPUTED_VALUE"""),"JP")</f>
        <v>JP</v>
      </c>
      <c r="C90" s="518" t="str">
        <f>IFERROR(__xludf.DUMMYFUNCTION("""COMPUTED_VALUE"""),"0840353928619")</f>
        <v>0840353928619</v>
      </c>
      <c r="D90" s="517" t="str">
        <f>IFERROR(__xludf.DUMMYFUNCTION("""COMPUTED_VALUE"""),"DEMO")</f>
        <v>DEMO</v>
      </c>
      <c r="E90" s="517" t="str">
        <f>IFERROR(__xludf.DUMMYFUNCTION("""COMPUTED_VALUE"""),"GA10775-JP")</f>
        <v>GA10775-JP</v>
      </c>
      <c r="F90" s="517" t="str">
        <f>IFERROR(__xludf.DUMMYFUNCTION("""COMPUTED_VALUE"""),"GL066")</f>
        <v>GL066</v>
      </c>
      <c r="G90" s="517"/>
      <c r="H90" s="518" t="str">
        <f>IFERROR(__xludf.DUMMYFUNCTION("""COMPUTED_VALUE"""),"840353928619")</f>
        <v>840353928619</v>
      </c>
      <c r="I90" s="517"/>
      <c r="J90" s="517" t="str">
        <f>IFERROR(__xludf.DUMMYFUNCTION("""COMPUTED_VALUE"""),"Retail_10ct")</f>
        <v>Retail_10ct</v>
      </c>
      <c r="K90" s="517" t="str">
        <f>IFERROR(__xludf.DUMMYFUNCTION("""COMPUTED_VALUE"""),"ROW Master Carton Label (UPC)")</f>
        <v>ROW Master Carton Label (UPC)</v>
      </c>
      <c r="L90" s="517" t="str">
        <f>IFERROR(__xludf.DUMMYFUNCTION("""COMPUTED_VALUE"""),"NA")</f>
        <v>NA</v>
      </c>
      <c r="M90" s="517" t="str">
        <f>IFERROR(__xludf.DUMMYFUNCTION("""COMPUTED_VALUE"""),"G990-08485-11-03-
G990-08485-11-B")</f>
        <v>G990-08485-11-03-
G990-08485-11-B</v>
      </c>
      <c r="N90" s="517" t="str">
        <f>IFERROR(__xludf.DUMMYFUNCTION("""COMPUTED_VALUE"""),"G990-09767-00-01
G990-09767-00-A")</f>
        <v>G990-09767-00-01
G990-09767-00-A</v>
      </c>
      <c r="O90" s="517" t="str">
        <f>IFERROR(__xludf.DUMMYFUNCTION("""COMPUTED_VALUE"""),"BOB→B
Retail→A")</f>
        <v>BOB→B
Retail→A</v>
      </c>
      <c r="P90" s="517" t="str">
        <f>IFERROR(__xludf.DUMMYFUNCTION("""COMPUTED_VALUE"""),"G990-09767-00-A
G990-09767-00-B")</f>
        <v>G990-09767-00-A
G990-09767-00-B</v>
      </c>
      <c r="Q90" s="517" t="str">
        <f>IFERROR(__xludf.DUMMYFUNCTION("""COMPUTED_VALUE"""),"Obsidian")</f>
        <v>Obsidian</v>
      </c>
      <c r="R90" s="517" t="str">
        <f>IFERROR(__xludf.DUMMYFUNCTION("""COMPUTED_VALUE"""),"BLK")</f>
        <v>BLK</v>
      </c>
      <c r="S90" s="517" t="str">
        <f>IFERROR(__xludf.DUMMYFUNCTION("""COMPUTED_VALUE"""),"JP")</f>
        <v>JP</v>
      </c>
      <c r="T90" s="517" t="str">
        <f>IFERROR(__xludf.DUMMYFUNCTION("""COMPUTED_VALUE"""),"SKU, CLR1, GOOD, SUB6, JP, DEMO, FL5")</f>
        <v>SKU, CLR1, GOOD, SUB6, JP, DEMO, FL5</v>
      </c>
      <c r="U90" s="517" t="str">
        <f>IFERROR(__xludf.DUMMYFUNCTION("""COMPUTED_VALUE"""),"Pixel 10, Obsidian, 128GB, JP, DEMO")</f>
        <v>Pixel 10, Obsidian, 128GB, JP, DEMO</v>
      </c>
      <c r="V90" s="624" t="str">
        <f>IFERROR(__xludf.DUMMYFUNCTION("""COMPUTED_VALUE"""),"#NUM!")</f>
        <v>#NUM!</v>
      </c>
      <c r="W90" s="625">
        <f>IFERROR(__xludf.DUMMYFUNCTION("""COMPUTED_VALUE"""),45815.0)</f>
        <v>45815</v>
      </c>
      <c r="X90" s="626">
        <f>IFERROR(__xludf.DUMMYFUNCTION("""COMPUTED_VALUE"""),45764.0)</f>
        <v>45764</v>
      </c>
      <c r="Y90" s="517" t="b">
        <f>IFERROR(__xludf.DUMMYFUNCTION("""COMPUTED_VALUE"""),TRUE)</f>
        <v>1</v>
      </c>
      <c r="Z90" s="626">
        <f>IFERROR(__xludf.DUMMYFUNCTION("""COMPUTED_VALUE"""),45764.0)</f>
        <v>45764</v>
      </c>
      <c r="AA90" s="517" t="b">
        <f>IFERROR(__xludf.DUMMYFUNCTION("""COMPUTED_VALUE"""),FALSE)</f>
        <v>0</v>
      </c>
    </row>
    <row r="91">
      <c r="B91" s="517" t="str">
        <f>IFERROR(__xludf.DUMMYFUNCTION("""COMPUTED_VALUE"""),"JP")</f>
        <v>JP</v>
      </c>
      <c r="C91" s="518" t="str">
        <f>IFERROR(__xludf.DUMMYFUNCTION("""COMPUTED_VALUE"""),"0840353928534")</f>
        <v>0840353928534</v>
      </c>
      <c r="D91" s="517" t="str">
        <f>IFERROR(__xludf.DUMMYFUNCTION("""COMPUTED_VALUE"""),"DEMO")</f>
        <v>DEMO</v>
      </c>
      <c r="E91" s="517" t="str">
        <f>IFERROR(__xludf.DUMMYFUNCTION("""COMPUTED_VALUE"""),"GA10776-JP")</f>
        <v>GA10776-JP</v>
      </c>
      <c r="F91" s="517" t="str">
        <f>IFERROR(__xludf.DUMMYFUNCTION("""COMPUTED_VALUE"""),"GL066")</f>
        <v>GL066</v>
      </c>
      <c r="G91" s="517"/>
      <c r="H91" s="518" t="str">
        <f>IFERROR(__xludf.DUMMYFUNCTION("""COMPUTED_VALUE"""),"840353928534")</f>
        <v>840353928534</v>
      </c>
      <c r="I91" s="518" t="str">
        <f>IFERROR(__xludf.DUMMYFUNCTION("""COMPUTED_VALUE"""),"No")</f>
        <v>No</v>
      </c>
      <c r="J91" s="517" t="str">
        <f>IFERROR(__xludf.DUMMYFUNCTION("""COMPUTED_VALUE"""),"Retail_10ct")</f>
        <v>Retail_10ct</v>
      </c>
      <c r="K91" s="517" t="str">
        <f>IFERROR(__xludf.DUMMYFUNCTION("""COMPUTED_VALUE"""),"ROW Master Carton Label (UPC)")</f>
        <v>ROW Master Carton Label (UPC)</v>
      </c>
      <c r="L91" s="517" t="str">
        <f>IFERROR(__xludf.DUMMYFUNCTION("""COMPUTED_VALUE"""),"NA")</f>
        <v>NA</v>
      </c>
      <c r="M91" s="517" t="str">
        <f>IFERROR(__xludf.DUMMYFUNCTION("""COMPUTED_VALUE"""),"G990-08485-41-03
G990-08485-41-B")</f>
        <v>G990-08485-41-03
G990-08485-41-B</v>
      </c>
      <c r="N91" s="517" t="str">
        <f>IFERROR(__xludf.DUMMYFUNCTION("""COMPUTED_VALUE"""),"G990-09767-00-01
G990-09767-00-A")</f>
        <v>G990-09767-00-01
G990-09767-00-A</v>
      </c>
      <c r="O91" s="517" t="str">
        <f>IFERROR(__xludf.DUMMYFUNCTION("""COMPUTED_VALUE"""),"BOB→B
Retail→A")</f>
        <v>BOB→B
Retail→A</v>
      </c>
      <c r="P91" s="517" t="str">
        <f>IFERROR(__xludf.DUMMYFUNCTION("""COMPUTED_VALUE"""),"G990-09767-00-A
G990-09767-00-B")</f>
        <v>G990-09767-00-A
G990-09767-00-B</v>
      </c>
      <c r="Q91" s="517" t="str">
        <f>IFERROR(__xludf.DUMMYFUNCTION("""COMPUTED_VALUE"""),"Indigo")</f>
        <v>Indigo</v>
      </c>
      <c r="R91" s="517" t="str">
        <f>IFERROR(__xludf.DUMMYFUNCTION("""COMPUTED_VALUE"""),"BUE")</f>
        <v>BUE</v>
      </c>
      <c r="S91" s="517" t="str">
        <f>IFERROR(__xludf.DUMMYFUNCTION("""COMPUTED_VALUE"""),"JP")</f>
        <v>JP</v>
      </c>
      <c r="T91" s="517" t="str">
        <f>IFERROR(__xludf.DUMMYFUNCTION("""COMPUTED_VALUE"""),"SKU, CLR4, GOOD, SUB6, JP, DEMO, FL5")</f>
        <v>SKU, CLR4, GOOD, SUB6, JP, DEMO, FL5</v>
      </c>
      <c r="U91" s="517" t="str">
        <f>IFERROR(__xludf.DUMMYFUNCTION("""COMPUTED_VALUE"""),"Pixel 10, Indigo, 128GB, JP, DEMO")</f>
        <v>Pixel 10, Indigo, 128GB, JP, DEMO</v>
      </c>
      <c r="V91" s="624" t="str">
        <f>IFERROR(__xludf.DUMMYFUNCTION("""COMPUTED_VALUE"""),"#NUM!")</f>
        <v>#NUM!</v>
      </c>
      <c r="W91" s="625">
        <f>IFERROR(__xludf.DUMMYFUNCTION("""COMPUTED_VALUE"""),45815.0)</f>
        <v>45815</v>
      </c>
      <c r="X91" s="626">
        <f>IFERROR(__xludf.DUMMYFUNCTION("""COMPUTED_VALUE"""),45764.0)</f>
        <v>45764</v>
      </c>
      <c r="Y91" s="517" t="b">
        <f>IFERROR(__xludf.DUMMYFUNCTION("""COMPUTED_VALUE"""),TRUE)</f>
        <v>1</v>
      </c>
      <c r="Z91" s="626">
        <f>IFERROR(__xludf.DUMMYFUNCTION("""COMPUTED_VALUE"""),45764.0)</f>
        <v>45764</v>
      </c>
      <c r="AA91" s="517" t="b">
        <f>IFERROR(__xludf.DUMMYFUNCTION("""COMPUTED_VALUE"""),FALSE)</f>
        <v>0</v>
      </c>
    </row>
    <row r="92">
      <c r="B92" s="517" t="str">
        <f>IFERROR(__xludf.DUMMYFUNCTION("""COMPUTED_VALUE"""),"CA/TW/SG/MY/AU/MX")</f>
        <v>CA/TW/SG/MY/AU/MX</v>
      </c>
      <c r="C92" s="518" t="str">
        <f>IFERROR(__xludf.DUMMYFUNCTION("""COMPUTED_VALUE"""),"0840353928381")</f>
        <v>0840353928381</v>
      </c>
      <c r="D92" s="517" t="str">
        <f>IFERROR(__xludf.DUMMYFUNCTION("""COMPUTED_VALUE"""),"DEMO")</f>
        <v>DEMO</v>
      </c>
      <c r="E92" s="517" t="str">
        <f>IFERROR(__xludf.DUMMYFUNCTION("""COMPUTED_VALUE"""),"GA10775-CA")</f>
        <v>GA10775-CA</v>
      </c>
      <c r="F92" s="517" t="str">
        <f>IFERROR(__xludf.DUMMYFUNCTION("""COMPUTED_VALUE"""),"GK2MP")</f>
        <v>GK2MP</v>
      </c>
      <c r="G92" s="517"/>
      <c r="H92" s="518" t="str">
        <f>IFERROR(__xludf.DUMMYFUNCTION("""COMPUTED_VALUE"""),"840353928381")</f>
        <v>840353928381</v>
      </c>
      <c r="I92" s="517"/>
      <c r="J92" s="517" t="str">
        <f>IFERROR(__xludf.DUMMYFUNCTION("""COMPUTED_VALUE"""),"Retail_10ct")</f>
        <v>Retail_10ct</v>
      </c>
      <c r="K92" s="517" t="str">
        <f>IFERROR(__xludf.DUMMYFUNCTION("""COMPUTED_VALUE"""),"ROW Master Carton Label (UPC)")</f>
        <v>ROW Master Carton Label (UPC)</v>
      </c>
      <c r="L92" s="517" t="str">
        <f>IFERROR(__xludf.DUMMYFUNCTION("""COMPUTED_VALUE"""),"NA")</f>
        <v>NA</v>
      </c>
      <c r="M92" s="517" t="str">
        <f>IFERROR(__xludf.DUMMYFUNCTION("""COMPUTED_VALUE"""),"G990-08483-11-04
G990-08483-11-B")</f>
        <v>G990-08483-11-04
G990-08483-11-B</v>
      </c>
      <c r="N92" s="517" t="str">
        <f>IFERROR(__xludf.DUMMYFUNCTION("""COMPUTED_VALUE"""),"G990-09766-00-01
G990-09766-00-A")</f>
        <v>G990-09766-00-01
G990-09766-00-A</v>
      </c>
      <c r="O92" s="517" t="str">
        <f>IFERROR(__xludf.DUMMYFUNCTION("""COMPUTED_VALUE"""),"BOB→B
Retail→A")</f>
        <v>BOB→B
Retail→A</v>
      </c>
      <c r="P92" s="517" t="str">
        <f>IFERROR(__xludf.DUMMYFUNCTION("""COMPUTED_VALUE"""),"G990-09766-00-01
G990-09766-00-A")</f>
        <v>G990-09766-00-01
G990-09766-00-A</v>
      </c>
      <c r="Q92" s="517" t="str">
        <f>IFERROR(__xludf.DUMMYFUNCTION("""COMPUTED_VALUE"""),"Obsidian")</f>
        <v>Obsidian</v>
      </c>
      <c r="R92" s="517" t="str">
        <f>IFERROR(__xludf.DUMMYFUNCTION("""COMPUTED_VALUE"""),"BLK")</f>
        <v>BLK</v>
      </c>
      <c r="S92" s="517" t="str">
        <f>IFERROR(__xludf.DUMMYFUNCTION("""COMPUTED_VALUE"""),"CA/TW/SG/MY/AU/MX")</f>
        <v>CA/TW/SG/MY/AU/MX</v>
      </c>
      <c r="T92" s="517" t="str">
        <f>IFERROR(__xludf.DUMMYFUNCTION("""COMPUTED_VALUE"""),"SKU, CLR1, GOOD, SUB6, CA/TW/SG/MY/AU/MX, DEMO, FL5")</f>
        <v>SKU, CLR1, GOOD, SUB6, CA/TW/SG/MY/AU/MX, DEMO, FL5</v>
      </c>
      <c r="U92" s="517" t="str">
        <f>IFERROR(__xludf.DUMMYFUNCTION("""COMPUTED_VALUE"""),"Pixel 10, Obsidian, 128GB, CA/TW/SG/MY/AU/MX, DEMO")</f>
        <v>Pixel 10, Obsidian, 128GB, CA/TW/SG/MY/AU/MX, DEMO</v>
      </c>
      <c r="V92" s="624" t="str">
        <f>IFERROR(__xludf.DUMMYFUNCTION("""COMPUTED_VALUE"""),"#NUM!")</f>
        <v>#NUM!</v>
      </c>
      <c r="W92" s="625">
        <f>IFERROR(__xludf.DUMMYFUNCTION("""COMPUTED_VALUE"""),45815.0)</f>
        <v>45815</v>
      </c>
      <c r="X92" s="626">
        <f>IFERROR(__xludf.DUMMYFUNCTION("""COMPUTED_VALUE"""),45764.0)</f>
        <v>45764</v>
      </c>
      <c r="Y92" s="517" t="b">
        <f>IFERROR(__xludf.DUMMYFUNCTION("""COMPUTED_VALUE"""),TRUE)</f>
        <v>1</v>
      </c>
      <c r="Z92" s="626">
        <f>IFERROR(__xludf.DUMMYFUNCTION("""COMPUTED_VALUE"""),45764.0)</f>
        <v>45764</v>
      </c>
      <c r="AA92" s="517" t="b">
        <f>IFERROR(__xludf.DUMMYFUNCTION("""COMPUTED_VALUE"""),FALSE)</f>
        <v>0</v>
      </c>
    </row>
    <row r="93">
      <c r="B93" s="517" t="str">
        <f>IFERROR(__xludf.DUMMYFUNCTION("""COMPUTED_VALUE"""),"CA/TW/SG/MY/AU/MX")</f>
        <v>CA/TW/SG/MY/AU/MX</v>
      </c>
      <c r="C93" s="518" t="str">
        <f>IFERROR(__xludf.DUMMYFUNCTION("""COMPUTED_VALUE"""),"0840353928541")</f>
        <v>0840353928541</v>
      </c>
      <c r="D93" s="517" t="str">
        <f>IFERROR(__xludf.DUMMYFUNCTION("""COMPUTED_VALUE"""),"DEMO")</f>
        <v>DEMO</v>
      </c>
      <c r="E93" s="517" t="str">
        <f>IFERROR(__xludf.DUMMYFUNCTION("""COMPUTED_VALUE"""),"GA10776-CA")</f>
        <v>GA10776-CA</v>
      </c>
      <c r="F93" s="517" t="str">
        <f>IFERROR(__xludf.DUMMYFUNCTION("""COMPUTED_VALUE"""),"GK2MP")</f>
        <v>GK2MP</v>
      </c>
      <c r="G93" s="517"/>
      <c r="H93" s="518" t="str">
        <f>IFERROR(__xludf.DUMMYFUNCTION("""COMPUTED_VALUE"""),"840353928541")</f>
        <v>840353928541</v>
      </c>
      <c r="I93" s="517"/>
      <c r="J93" s="517" t="str">
        <f>IFERROR(__xludf.DUMMYFUNCTION("""COMPUTED_VALUE"""),"Retail_10ct")</f>
        <v>Retail_10ct</v>
      </c>
      <c r="K93" s="517" t="str">
        <f>IFERROR(__xludf.DUMMYFUNCTION("""COMPUTED_VALUE"""),"ROW Master Carton Label (UPC)")</f>
        <v>ROW Master Carton Label (UPC)</v>
      </c>
      <c r="L93" s="517" t="str">
        <f>IFERROR(__xludf.DUMMYFUNCTION("""COMPUTED_VALUE"""),"NA")</f>
        <v>NA</v>
      </c>
      <c r="M93" s="517" t="str">
        <f>IFERROR(__xludf.DUMMYFUNCTION("""COMPUTED_VALUE"""),"G990-08483-41-04
G990-08483-41-B")</f>
        <v>G990-08483-41-04
G990-08483-41-B</v>
      </c>
      <c r="N93" s="517" t="str">
        <f>IFERROR(__xludf.DUMMYFUNCTION("""COMPUTED_VALUE"""),"G990-09766-00-01
G990-09766-00-A")</f>
        <v>G990-09766-00-01
G990-09766-00-A</v>
      </c>
      <c r="O93" s="517" t="str">
        <f>IFERROR(__xludf.DUMMYFUNCTION("""COMPUTED_VALUE"""),"BOB→B
Retail→A")</f>
        <v>BOB→B
Retail→A</v>
      </c>
      <c r="P93" s="517" t="str">
        <f>IFERROR(__xludf.DUMMYFUNCTION("""COMPUTED_VALUE"""),"G990-09766-00-01
G990-09766-00-A")</f>
        <v>G990-09766-00-01
G990-09766-00-A</v>
      </c>
      <c r="Q93" s="517" t="str">
        <f>IFERROR(__xludf.DUMMYFUNCTION("""COMPUTED_VALUE"""),"Indigo")</f>
        <v>Indigo</v>
      </c>
      <c r="R93" s="517" t="str">
        <f>IFERROR(__xludf.DUMMYFUNCTION("""COMPUTED_VALUE"""),"BUE")</f>
        <v>BUE</v>
      </c>
      <c r="S93" s="517" t="str">
        <f>IFERROR(__xludf.DUMMYFUNCTION("""COMPUTED_VALUE"""),"CA/TW/SG/MY/AU/MX")</f>
        <v>CA/TW/SG/MY/AU/MX</v>
      </c>
      <c r="T93" s="517" t="str">
        <f>IFERROR(__xludf.DUMMYFUNCTION("""COMPUTED_VALUE"""),"SKU, CLR4, GOOD, SUB6, CA/TW/SG/MY/AU/MX, DEMO, FL5")</f>
        <v>SKU, CLR4, GOOD, SUB6, CA/TW/SG/MY/AU/MX, DEMO, FL5</v>
      </c>
      <c r="U93" s="517" t="str">
        <f>IFERROR(__xludf.DUMMYFUNCTION("""COMPUTED_VALUE"""),"Pixel 10, Indigo, 128GB, CA/TW/SG/MY/AU/MX, DEMO")</f>
        <v>Pixel 10, Indigo, 128GB, CA/TW/SG/MY/AU/MX, DEMO</v>
      </c>
      <c r="V93" s="624" t="str">
        <f>IFERROR(__xludf.DUMMYFUNCTION("""COMPUTED_VALUE"""),"#NUM!")</f>
        <v>#NUM!</v>
      </c>
      <c r="W93" s="625">
        <f>IFERROR(__xludf.DUMMYFUNCTION("""COMPUTED_VALUE"""),45815.0)</f>
        <v>45815</v>
      </c>
      <c r="X93" s="626">
        <f>IFERROR(__xludf.DUMMYFUNCTION("""COMPUTED_VALUE"""),45764.0)</f>
        <v>45764</v>
      </c>
      <c r="Y93" s="517" t="b">
        <f>IFERROR(__xludf.DUMMYFUNCTION("""COMPUTED_VALUE"""),TRUE)</f>
        <v>1</v>
      </c>
      <c r="Z93" s="626">
        <f>IFERROR(__xludf.DUMMYFUNCTION("""COMPUTED_VALUE"""),45764.0)</f>
        <v>45764</v>
      </c>
      <c r="AA93" s="517" t="b">
        <f>IFERROR(__xludf.DUMMYFUNCTION("""COMPUTED_VALUE"""),FALSE)</f>
        <v>0</v>
      </c>
    </row>
    <row r="94">
      <c r="B94" s="517" t="str">
        <f>IFERROR(__xludf.DUMMYFUNCTION("""COMPUTED_VALUE"""),"GB, DE, IT, ES, IE, FR, NL, BE, AT, CH, PT, PL, CEE (RO, CZ, HU, RO, SI, LV, LT, EE, FI), NO,SE,DK, SK")</f>
        <v>GB, DE, IT, ES, IE, FR, NL, BE, AT, CH, PT, PL, CEE (RO, CZ, HU, RO, SI, LV, LT, EE, FI), NO,SE,DK, SK</v>
      </c>
      <c r="C94" s="518" t="str">
        <f>IFERROR(__xludf.DUMMYFUNCTION("""COMPUTED_VALUE"""),"0840353928602")</f>
        <v>0840353928602</v>
      </c>
      <c r="D94" s="517" t="str">
        <f>IFERROR(__xludf.DUMMYFUNCTION("""COMPUTED_VALUE"""),"DEMO")</f>
        <v>DEMO</v>
      </c>
      <c r="E94" s="517" t="str">
        <f>IFERROR(__xludf.DUMMYFUNCTION("""COMPUTED_VALUE"""),"GA10775-GB")</f>
        <v>GA10775-GB</v>
      </c>
      <c r="F94" s="517" t="str">
        <f>IFERROR(__xludf.DUMMYFUNCTION("""COMPUTED_VALUE""")," GK2MP")</f>
        <v> GK2MP</v>
      </c>
      <c r="G94" s="517"/>
      <c r="H94" s="518" t="str">
        <f>IFERROR(__xludf.DUMMYFUNCTION("""COMPUTED_VALUE"""),"840353928602")</f>
        <v>840353928602</v>
      </c>
      <c r="I94" s="517"/>
      <c r="J94" s="517" t="str">
        <f>IFERROR(__xludf.DUMMYFUNCTION("""COMPUTED_VALUE"""),"Retail_10ct")</f>
        <v>Retail_10ct</v>
      </c>
      <c r="K94" s="517" t="str">
        <f>IFERROR(__xludf.DUMMYFUNCTION("""COMPUTED_VALUE"""),"ROW Master Carton Label (EAN)")</f>
        <v>ROW Master Carton Label (EAN)</v>
      </c>
      <c r="L94" s="517" t="str">
        <f>IFERROR(__xludf.DUMMYFUNCTION("""COMPUTED_VALUE"""),"NA")</f>
        <v>NA</v>
      </c>
      <c r="M94" s="517" t="str">
        <f>IFERROR(__xludf.DUMMYFUNCTION("""COMPUTED_VALUE"""),"G990-08489-11-05
G990-08489-11-B")</f>
        <v>G990-08489-11-05
G990-08489-11-B</v>
      </c>
      <c r="N94" s="517" t="str">
        <f>IFERROR(__xludf.DUMMYFUNCTION("""COMPUTED_VALUE"""),"G990-09768-00-A
G990-09768-00-B")</f>
        <v>G990-09768-00-A
G990-09768-00-B</v>
      </c>
      <c r="O94" s="517" t="str">
        <f>IFERROR(__xludf.DUMMYFUNCTION("""COMPUTED_VALUE"""),"BOB→B
Retail→B")</f>
        <v>BOB→B
Retail→B</v>
      </c>
      <c r="P94" s="517" t="str">
        <f>IFERROR(__xludf.DUMMYFUNCTION("""COMPUTED_VALUE"""),"G990-09768-00-A
G990-09768-00-B")</f>
        <v>G990-09768-00-A
G990-09768-00-B</v>
      </c>
      <c r="Q94" s="517" t="str">
        <f>IFERROR(__xludf.DUMMYFUNCTION("""COMPUTED_VALUE"""),"Obsidian")</f>
        <v>Obsidian</v>
      </c>
      <c r="R94" s="517" t="str">
        <f>IFERROR(__xludf.DUMMYFUNCTION("""COMPUTED_VALUE"""),"BLK")</f>
        <v>BLK</v>
      </c>
      <c r="S94" s="517" t="str">
        <f>IFERROR(__xludf.DUMMYFUNCTION("""COMPUTED_VALUE"""),"GB, DE, IT, ES, IE, FR, NL, BE, AT, CH, PT, PL, CZ, HU, RO, SI, LV, LT, EE, FI, NO, SE, DK, SK")</f>
        <v>GB, DE, IT, ES, IE, FR, NL, BE, AT, CH, PT, PL, CZ, HU, RO, SI, LV, LT, EE, FI, NO, SE, DK, SK</v>
      </c>
      <c r="T94" s="517" t="str">
        <f>IFERROR(__xludf.DUMMYFUNCTION("""COMPUTED_VALUE"""),"SKU, CLR1, GOOD, SUB6, UK/EU, DEMO, FL5")</f>
        <v>SKU, CLR1, GOOD, SUB6, UK/EU, DEMO, FL5</v>
      </c>
      <c r="U94" s="517" t="str">
        <f>IFERROR(__xludf.DUMMYFUNCTION("""COMPUTED_VALUE"""),"Pixel 10, Obsidian, 128GB, UK/EU, DEMO")</f>
        <v>Pixel 10, Obsidian, 128GB, UK/EU, DEMO</v>
      </c>
      <c r="V94" s="624" t="str">
        <f>IFERROR(__xludf.DUMMYFUNCTION("""COMPUTED_VALUE"""),"#NUM!")</f>
        <v>#NUM!</v>
      </c>
      <c r="W94" s="625">
        <f>IFERROR(__xludf.DUMMYFUNCTION("""COMPUTED_VALUE"""),45815.0)</f>
        <v>45815</v>
      </c>
      <c r="X94" s="626">
        <f>IFERROR(__xludf.DUMMYFUNCTION("""COMPUTED_VALUE"""),45764.0)</f>
        <v>45764</v>
      </c>
      <c r="Y94" s="517" t="b">
        <f>IFERROR(__xludf.DUMMYFUNCTION("""COMPUTED_VALUE"""),TRUE)</f>
        <v>1</v>
      </c>
      <c r="Z94" s="626">
        <f>IFERROR(__xludf.DUMMYFUNCTION("""COMPUTED_VALUE"""),45764.0)</f>
        <v>45764</v>
      </c>
      <c r="AA94" s="517" t="b">
        <f>IFERROR(__xludf.DUMMYFUNCTION("""COMPUTED_VALUE"""),FALSE)</f>
        <v>0</v>
      </c>
    </row>
    <row r="95">
      <c r="B95" s="517" t="str">
        <f>IFERROR(__xludf.DUMMYFUNCTION("""COMPUTED_VALUE"""),"GB, DE, IT, ES, IE, FR, NL, BE, AT, CH, PT, PL, CEE (RO, CZ, HU, RO, SI, LV, LT, EE, FI), NO,SE,DK, SK")</f>
        <v>GB, DE, IT, ES, IE, FR, NL, BE, AT, CH, PT, PL, CEE (RO, CZ, HU, RO, SI, LV, LT, EE, FI), NO,SE,DK, SK</v>
      </c>
      <c r="C95" s="518" t="str">
        <f>IFERROR(__xludf.DUMMYFUNCTION("""COMPUTED_VALUE"""),"0840353928565")</f>
        <v>0840353928565</v>
      </c>
      <c r="D95" s="517" t="str">
        <f>IFERROR(__xludf.DUMMYFUNCTION("""COMPUTED_VALUE"""),"DEMO")</f>
        <v>DEMO</v>
      </c>
      <c r="E95" s="517" t="str">
        <f>IFERROR(__xludf.DUMMYFUNCTION("""COMPUTED_VALUE"""),"GA10776-GB")</f>
        <v>GA10776-GB</v>
      </c>
      <c r="F95" s="517" t="str">
        <f>IFERROR(__xludf.DUMMYFUNCTION("""COMPUTED_VALUE""")," GK2MP")</f>
        <v> GK2MP</v>
      </c>
      <c r="G95" s="517"/>
      <c r="H95" s="518" t="str">
        <f>IFERROR(__xludf.DUMMYFUNCTION("""COMPUTED_VALUE"""),"840353928565")</f>
        <v>840353928565</v>
      </c>
      <c r="I95" s="517"/>
      <c r="J95" s="517" t="str">
        <f>IFERROR(__xludf.DUMMYFUNCTION("""COMPUTED_VALUE"""),"Retail_10ct")</f>
        <v>Retail_10ct</v>
      </c>
      <c r="K95" s="517" t="str">
        <f>IFERROR(__xludf.DUMMYFUNCTION("""COMPUTED_VALUE"""),"ROW Master Carton Label (EAN)")</f>
        <v>ROW Master Carton Label (EAN)</v>
      </c>
      <c r="L95" s="517" t="str">
        <f>IFERROR(__xludf.DUMMYFUNCTION("""COMPUTED_VALUE"""),"NA")</f>
        <v>NA</v>
      </c>
      <c r="M95" s="517" t="str">
        <f>IFERROR(__xludf.DUMMYFUNCTION("""COMPUTED_VALUE"""),"G990-08489-41-05
G990-08489-41-B")</f>
        <v>G990-08489-41-05
G990-08489-41-B</v>
      </c>
      <c r="N95" s="517" t="str">
        <f>IFERROR(__xludf.DUMMYFUNCTION("""COMPUTED_VALUE"""),"G990-09768-00-A
G990-09768-00-B")</f>
        <v>G990-09768-00-A
G990-09768-00-B</v>
      </c>
      <c r="O95" s="517" t="str">
        <f>IFERROR(__xludf.DUMMYFUNCTION("""COMPUTED_VALUE"""),"BOB→B
Retail→B")</f>
        <v>BOB→B
Retail→B</v>
      </c>
      <c r="P95" s="517" t="str">
        <f>IFERROR(__xludf.DUMMYFUNCTION("""COMPUTED_VALUE"""),"G990-09768-00-A
G990-09768-00-B")</f>
        <v>G990-09768-00-A
G990-09768-00-B</v>
      </c>
      <c r="Q95" s="517" t="str">
        <f>IFERROR(__xludf.DUMMYFUNCTION("""COMPUTED_VALUE"""),"Indigo")</f>
        <v>Indigo</v>
      </c>
      <c r="R95" s="517" t="str">
        <f>IFERROR(__xludf.DUMMYFUNCTION("""COMPUTED_VALUE"""),"BUE")</f>
        <v>BUE</v>
      </c>
      <c r="S95" s="517" t="str">
        <f>IFERROR(__xludf.DUMMYFUNCTION("""COMPUTED_VALUE"""),"GB, DE, IT, ES, IE, FR, NL, BE, AT, CH, PT, PL, CZ, HU, RO, SI, LV, LT, EE, FI, NO, SE, DK, SK")</f>
        <v>GB, DE, IT, ES, IE, FR, NL, BE, AT, CH, PT, PL, CZ, HU, RO, SI, LV, LT, EE, FI, NO, SE, DK, SK</v>
      </c>
      <c r="T95" s="517" t="str">
        <f>IFERROR(__xludf.DUMMYFUNCTION("""COMPUTED_VALUE"""),"SKU, CLR4, GOOD, SUB6, UK/EU, DEMO, FL5")</f>
        <v>SKU, CLR4, GOOD, SUB6, UK/EU, DEMO, FL5</v>
      </c>
      <c r="U95" s="517" t="str">
        <f>IFERROR(__xludf.DUMMYFUNCTION("""COMPUTED_VALUE"""),"Pixel 10, Indigo, 128GB, UK/EU, DEMO")</f>
        <v>Pixel 10, Indigo, 128GB, UK/EU, DEMO</v>
      </c>
      <c r="V95" s="624" t="str">
        <f>IFERROR(__xludf.DUMMYFUNCTION("""COMPUTED_VALUE"""),"#NUM!")</f>
        <v>#NUM!</v>
      </c>
      <c r="W95" s="625">
        <f>IFERROR(__xludf.DUMMYFUNCTION("""COMPUTED_VALUE"""),45815.0)</f>
        <v>45815</v>
      </c>
      <c r="X95" s="626">
        <f>IFERROR(__xludf.DUMMYFUNCTION("""COMPUTED_VALUE"""),45764.0)</f>
        <v>45764</v>
      </c>
      <c r="Y95" s="517" t="b">
        <f>IFERROR(__xludf.DUMMYFUNCTION("""COMPUTED_VALUE"""),TRUE)</f>
        <v>1</v>
      </c>
      <c r="Z95" s="626">
        <f>IFERROR(__xludf.DUMMYFUNCTION("""COMPUTED_VALUE"""),45764.0)</f>
        <v>45764</v>
      </c>
      <c r="AA95" s="517" t="b">
        <f>IFERROR(__xludf.DUMMYFUNCTION("""COMPUTED_VALUE"""),FALSE)</f>
        <v>0</v>
      </c>
    </row>
    <row r="96">
      <c r="B96" s="517" t="str">
        <f>IFERROR(__xludf.DUMMYFUNCTION("""COMPUTED_VALUE"""),"IN")</f>
        <v>IN</v>
      </c>
      <c r="C96" s="518" t="str">
        <f>IFERROR(__xludf.DUMMYFUNCTION("""COMPUTED_VALUE"""),"0840353928152")</f>
        <v>0840353928152</v>
      </c>
      <c r="D96" s="517" t="str">
        <f>IFERROR(__xludf.DUMMYFUNCTION("""COMPUTED_VALUE"""),"DEMO")</f>
        <v>DEMO</v>
      </c>
      <c r="E96" s="517" t="str">
        <f>IFERROR(__xludf.DUMMYFUNCTION("""COMPUTED_VALUE"""),"GA10777-IN")</f>
        <v>GA10777-IN</v>
      </c>
      <c r="F96" s="517" t="str">
        <f>IFERROR(__xludf.DUMMYFUNCTION("""COMPUTED_VALUE"""),"GK2MP")</f>
        <v>GK2MP</v>
      </c>
      <c r="G96" s="517"/>
      <c r="H96" s="518" t="str">
        <f>IFERROR(__xludf.DUMMYFUNCTION("""COMPUTED_VALUE"""),"840353928152")</f>
        <v>840353928152</v>
      </c>
      <c r="I96" s="517"/>
      <c r="J96" s="517" t="str">
        <f>IFERROR(__xludf.DUMMYFUNCTION("""COMPUTED_VALUE"""),"Retail_10ct")</f>
        <v>Retail_10ct</v>
      </c>
      <c r="K96" s="517" t="str">
        <f>IFERROR(__xludf.DUMMYFUNCTION("""COMPUTED_VALUE"""),"IN Master Carton Label")</f>
        <v>IN Master Carton Label</v>
      </c>
      <c r="L96" s="519" t="str">
        <f>IFERROR(__xludf.DUMMYFUNCTION("""COMPUTED_VALUE"""),"G952-05416-00-A")</f>
        <v>G952-05416-00-A</v>
      </c>
      <c r="M96" s="517" t="str">
        <f>IFERROR(__xludf.DUMMYFUNCTION("""COMPUTED_VALUE"""),"G990-08487-12-03
G990-08487-12-B")</f>
        <v>G990-08487-12-03
G990-08487-12-B</v>
      </c>
      <c r="N96" s="517" t="str">
        <f>IFERROR(__xludf.DUMMYFUNCTION("""COMPUTED_VALUE"""),"G990-09767-00-01
G990-09767-00-A")</f>
        <v>G990-09767-00-01
G990-09767-00-A</v>
      </c>
      <c r="O96" s="517" t="str">
        <f>IFERROR(__xludf.DUMMYFUNCTION("""COMPUTED_VALUE"""),"BOB→B
Retail→A")</f>
        <v>BOB→B
Retail→A</v>
      </c>
      <c r="P96" s="517" t="str">
        <f>IFERROR(__xludf.DUMMYFUNCTION("""COMPUTED_VALUE"""),"G990-09767-00-A
G990-09767-00-B")</f>
        <v>G990-09767-00-A
G990-09767-00-B</v>
      </c>
      <c r="Q96" s="517" t="str">
        <f>IFERROR(__xludf.DUMMYFUNCTION("""COMPUTED_VALUE"""),"Obsidian")</f>
        <v>Obsidian</v>
      </c>
      <c r="R96" s="517" t="str">
        <f>IFERROR(__xludf.DUMMYFUNCTION("""COMPUTED_VALUE"""),"BLK")</f>
        <v>BLK</v>
      </c>
      <c r="S96" s="517" t="str">
        <f>IFERROR(__xludf.DUMMYFUNCTION("""COMPUTED_VALUE"""),"IN")</f>
        <v>IN</v>
      </c>
      <c r="T96" s="517" t="str">
        <f>IFERROR(__xludf.DUMMYFUNCTION("""COMPUTED_VALUE"""),"SKU, CLR1, BETTER, SUB6, IN, DEMO, FL5")</f>
        <v>SKU, CLR1, BETTER, SUB6, IN, DEMO, FL5</v>
      </c>
      <c r="U96" s="517" t="str">
        <f>IFERROR(__xludf.DUMMYFUNCTION("""COMPUTED_VALUE"""),"Pixel 10, Obsidian, 256GB, IN, DEMO")</f>
        <v>Pixel 10, Obsidian, 256GB, IN, DEMO</v>
      </c>
      <c r="V96" s="624" t="str">
        <f>IFERROR(__xludf.DUMMYFUNCTION("""COMPUTED_VALUE"""),"#NUM!")</f>
        <v>#NUM!</v>
      </c>
      <c r="W96" s="625">
        <f>IFERROR(__xludf.DUMMYFUNCTION("""COMPUTED_VALUE"""),45815.0)</f>
        <v>45815</v>
      </c>
      <c r="X96" s="626">
        <f>IFERROR(__xludf.DUMMYFUNCTION("""COMPUTED_VALUE"""),45764.0)</f>
        <v>45764</v>
      </c>
      <c r="Y96" s="517" t="b">
        <f>IFERROR(__xludf.DUMMYFUNCTION("""COMPUTED_VALUE"""),TRUE)</f>
        <v>1</v>
      </c>
      <c r="Z96" s="626">
        <f>IFERROR(__xludf.DUMMYFUNCTION("""COMPUTED_VALUE"""),45764.0)</f>
        <v>45764</v>
      </c>
      <c r="AA96" s="517" t="b">
        <f>IFERROR(__xludf.DUMMYFUNCTION("""COMPUTED_VALUE"""),FALSE)</f>
        <v>0</v>
      </c>
    </row>
    <row r="97">
      <c r="B97" s="517" t="str">
        <f>IFERROR(__xludf.DUMMYFUNCTION("""COMPUTED_VALUE"""),"IN")</f>
        <v>IN</v>
      </c>
      <c r="C97" s="518" t="str">
        <f>IFERROR(__xludf.DUMMYFUNCTION("""COMPUTED_VALUE"""),"0840353928169")</f>
        <v>0840353928169</v>
      </c>
      <c r="D97" s="517" t="str">
        <f>IFERROR(__xludf.DUMMYFUNCTION("""COMPUTED_VALUE"""),"DEMO")</f>
        <v>DEMO</v>
      </c>
      <c r="E97" s="517" t="str">
        <f>IFERROR(__xludf.DUMMYFUNCTION("""COMPUTED_VALUE"""),"GA10778-IN")</f>
        <v>GA10778-IN</v>
      </c>
      <c r="F97" s="517" t="str">
        <f>IFERROR(__xludf.DUMMYFUNCTION("""COMPUTED_VALUE"""),"GK2MP")</f>
        <v>GK2MP</v>
      </c>
      <c r="G97" s="517"/>
      <c r="H97" s="518" t="str">
        <f>IFERROR(__xludf.DUMMYFUNCTION("""COMPUTED_VALUE"""),"840353928169")</f>
        <v>840353928169</v>
      </c>
      <c r="I97" s="517"/>
      <c r="J97" s="517" t="str">
        <f>IFERROR(__xludf.DUMMYFUNCTION("""COMPUTED_VALUE"""),"Retail_10ct")</f>
        <v>Retail_10ct</v>
      </c>
      <c r="K97" s="517" t="str">
        <f>IFERROR(__xludf.DUMMYFUNCTION("""COMPUTED_VALUE"""),"IN Master Carton Label")</f>
        <v>IN Master Carton Label</v>
      </c>
      <c r="L97" s="519" t="str">
        <f>IFERROR(__xludf.DUMMYFUNCTION("""COMPUTED_VALUE"""),"G952-05416-00-A")</f>
        <v>G952-05416-00-A</v>
      </c>
      <c r="M97" s="517" t="str">
        <f>IFERROR(__xludf.DUMMYFUNCTION("""COMPUTED_VALUE"""),"G990-08487-42-03
G990-08487-42-B")</f>
        <v>G990-08487-42-03
G990-08487-42-B</v>
      </c>
      <c r="N97" s="517" t="str">
        <f>IFERROR(__xludf.DUMMYFUNCTION("""COMPUTED_VALUE"""),"G990-09767-00-01
G990-09767-00-A")</f>
        <v>G990-09767-00-01
G990-09767-00-A</v>
      </c>
      <c r="O97" s="517" t="str">
        <f>IFERROR(__xludf.DUMMYFUNCTION("""COMPUTED_VALUE"""),"BOB→B
Retail→A")</f>
        <v>BOB→B
Retail→A</v>
      </c>
      <c r="P97" s="517" t="str">
        <f>IFERROR(__xludf.DUMMYFUNCTION("""COMPUTED_VALUE"""),"G990-09767-00-A
G990-09767-00-B")</f>
        <v>G990-09767-00-A
G990-09767-00-B</v>
      </c>
      <c r="Q97" s="517" t="str">
        <f>IFERROR(__xludf.DUMMYFUNCTION("""COMPUTED_VALUE"""),"Indigo")</f>
        <v>Indigo</v>
      </c>
      <c r="R97" s="517" t="str">
        <f>IFERROR(__xludf.DUMMYFUNCTION("""COMPUTED_VALUE"""),"BUE")</f>
        <v>BUE</v>
      </c>
      <c r="S97" s="517" t="str">
        <f>IFERROR(__xludf.DUMMYFUNCTION("""COMPUTED_VALUE"""),"IN")</f>
        <v>IN</v>
      </c>
      <c r="T97" s="517" t="str">
        <f>IFERROR(__xludf.DUMMYFUNCTION("""COMPUTED_VALUE"""),"SKU, CLR4, BETTER, SUB6, IN, DEMO, FL5")</f>
        <v>SKU, CLR4, BETTER, SUB6, IN, DEMO, FL5</v>
      </c>
      <c r="U97" s="517" t="str">
        <f>IFERROR(__xludf.DUMMYFUNCTION("""COMPUTED_VALUE"""),"Pixel 10, Indigo, 256GB, IN, DEMO")</f>
        <v>Pixel 10, Indigo, 256GB, IN, DEMO</v>
      </c>
      <c r="V97" s="624" t="str">
        <f>IFERROR(__xludf.DUMMYFUNCTION("""COMPUTED_VALUE"""),"#NUM!")</f>
        <v>#NUM!</v>
      </c>
      <c r="W97" s="625">
        <f>IFERROR(__xludf.DUMMYFUNCTION("""COMPUTED_VALUE"""),45815.0)</f>
        <v>45815</v>
      </c>
      <c r="X97" s="626">
        <f>IFERROR(__xludf.DUMMYFUNCTION("""COMPUTED_VALUE"""),45764.0)</f>
        <v>45764</v>
      </c>
      <c r="Y97" s="517" t="b">
        <f>IFERROR(__xludf.DUMMYFUNCTION("""COMPUTED_VALUE"""),TRUE)</f>
        <v>1</v>
      </c>
      <c r="Z97" s="626">
        <f>IFERROR(__xludf.DUMMYFUNCTION("""COMPUTED_VALUE"""),45764.0)</f>
        <v>45764</v>
      </c>
      <c r="AA97" s="517" t="b">
        <f>IFERROR(__xludf.DUMMYFUNCTION("""COMPUTED_VALUE"""),FALSE)</f>
        <v>0</v>
      </c>
    </row>
    <row r="98">
      <c r="B98" s="517"/>
      <c r="C98" s="517"/>
      <c r="D98" s="517"/>
      <c r="E98" s="517"/>
      <c r="F98" s="517"/>
      <c r="G98" s="517"/>
      <c r="H98" s="517"/>
      <c r="I98" s="517"/>
      <c r="J98" s="517"/>
      <c r="K98" s="517"/>
      <c r="L98" s="517"/>
      <c r="M98" s="517"/>
      <c r="N98" s="517"/>
      <c r="O98" s="517"/>
      <c r="P98" s="517"/>
      <c r="Q98" s="517"/>
      <c r="R98" s="517"/>
      <c r="S98" s="517"/>
      <c r="T98" s="517"/>
      <c r="U98" s="517"/>
      <c r="V98" s="517"/>
      <c r="W98" s="517"/>
      <c r="X98" s="517"/>
      <c r="Y98" s="517" t="b">
        <f>IFERROR(__xludf.DUMMYFUNCTION("""COMPUTED_VALUE"""),FALSE)</f>
        <v>0</v>
      </c>
      <c r="Z98" s="517"/>
      <c r="AA98" s="517" t="b">
        <f>IFERROR(__xludf.DUMMYFUNCTION("""COMPUTED_VALUE"""),FALSE)</f>
        <v>0</v>
      </c>
    </row>
    <row r="99">
      <c r="B99" s="517"/>
      <c r="C99" s="517"/>
      <c r="D99" s="517"/>
      <c r="E99" s="517"/>
      <c r="F99" s="517"/>
      <c r="G99" s="517"/>
      <c r="H99" s="517"/>
      <c r="I99" s="517"/>
      <c r="J99" s="517"/>
      <c r="K99" s="517"/>
      <c r="L99" s="517"/>
      <c r="M99" s="517"/>
      <c r="N99" s="517"/>
      <c r="O99" s="517"/>
      <c r="P99" s="517"/>
      <c r="Q99" s="517"/>
      <c r="R99" s="517"/>
      <c r="S99" s="517"/>
      <c r="T99" s="517"/>
      <c r="U99" s="517"/>
      <c r="V99" s="517"/>
      <c r="W99" s="517"/>
      <c r="X99" s="517"/>
      <c r="Y99" s="517" t="b">
        <f>IFERROR(__xludf.DUMMYFUNCTION("""COMPUTED_VALUE"""),FALSE)</f>
        <v>0</v>
      </c>
      <c r="Z99" s="517"/>
      <c r="AA99" s="517" t="b">
        <f>IFERROR(__xludf.DUMMYFUNCTION("""COMPUTED_VALUE"""),FALSE)</f>
        <v>0</v>
      </c>
    </row>
    <row r="100">
      <c r="B100" s="517"/>
      <c r="C100" s="517"/>
      <c r="D100" s="517"/>
      <c r="E100" s="517"/>
      <c r="F100" s="517"/>
      <c r="G100" s="517"/>
      <c r="H100" s="517"/>
      <c r="I100" s="517"/>
      <c r="J100" s="517"/>
      <c r="K100" s="517"/>
      <c r="L100" s="517"/>
      <c r="M100" s="517"/>
      <c r="N100" s="517"/>
      <c r="O100" s="517"/>
      <c r="P100" s="517"/>
      <c r="Q100" s="517"/>
      <c r="R100" s="517"/>
      <c r="S100" s="517"/>
      <c r="T100" s="517"/>
      <c r="U100" s="517"/>
      <c r="V100" s="517"/>
      <c r="W100" s="517"/>
      <c r="X100" s="517"/>
      <c r="Y100" s="517" t="b">
        <f>IFERROR(__xludf.DUMMYFUNCTION("""COMPUTED_VALUE"""),FALSE)</f>
        <v>0</v>
      </c>
      <c r="Z100" s="517"/>
      <c r="AA100" s="517" t="b">
        <f>IFERROR(__xludf.DUMMYFUNCTION("""COMPUTED_VALUE"""),FALSE)</f>
        <v>0</v>
      </c>
    </row>
    <row r="102">
      <c r="B102" s="516" t="str">
        <f>IFERROR(__xludf.DUMMYFUNCTION("importrange(""https://docs.google.com/spreadsheets/d/1iQ0r193sXY989BHCJS6Nd9csCvJYRM4HNcheNImDXNI/edit?resourcekey=0-60qFfDa2wTJsG5MLfY8F5g&amp;gid=656591904#gid=656591904"",""P-103 Master Approval(for ATT/VZN/TMO SKU only)!A8:J60"")"),"VZW")</f>
        <v>VZW</v>
      </c>
      <c r="C102" s="518" t="str">
        <f>IFERROR(__xludf.DUMMYFUNCTION("""COMPUTED_VALUE"""),"0840353926844")</f>
        <v>0840353926844</v>
      </c>
      <c r="D102" s="517" t="str">
        <f>IFERROR(__xludf.DUMMYFUNCTION("""COMPUTED_VALUE"""),"Pristine")</f>
        <v>Pristine</v>
      </c>
      <c r="E102" s="517" t="str">
        <f>IFERROR(__xludf.DUMMYFUNCTION("""COMPUTED_VALUE"""),"GA09425-US")</f>
        <v>GA09425-US</v>
      </c>
      <c r="F102" s="517" t="str">
        <f>IFERROR(__xludf.DUMMYFUNCTION("""COMPUTED_VALUE"""),"GLBW0")</f>
        <v>GLBW0</v>
      </c>
      <c r="G102" s="517"/>
      <c r="H102" s="518" t="str">
        <f>IFERROR(__xludf.DUMMYFUNCTION("""COMPUTED_VALUE"""),"840353926844")</f>
        <v>840353926844</v>
      </c>
      <c r="I102" s="518" t="str">
        <f>IFERROR(__xludf.DUMMYFUNCTION("""COMPUTED_VALUE"""),"No")</f>
        <v>No</v>
      </c>
      <c r="J102" s="517" t="str">
        <f>IFERROR(__xludf.DUMMYFUNCTION("""COMPUTED_VALUE"""),"Retail_10ct")</f>
        <v>Retail_10ct</v>
      </c>
      <c r="K102" s="517" t="str">
        <f>IFERROR(__xludf.DUMMYFUNCTION("""COMPUTED_VALUE"""),"VZN Master Carton Label")</f>
        <v>VZN Master Carton Label</v>
      </c>
      <c r="M102" s="516" t="str">
        <f>IFERROR(__xludf.DUMMYFUNCTION("importrange(""https://docs.google.com/spreadsheets/d/1iQ0r193sXY989BHCJS6Nd9csCvJYRM4HNcheNImDXNI/edit?resourcekey=0-60qFfDa2wTJsG5MLfY8F5g&amp;gid=656591904#gid=656591904"",""P-103 Master Approval(for ATT/VZN/TMO SKU only)!K8:AW60"")"),"G990-08380-11-01
G990-08380-11-A")</f>
        <v>G990-08380-11-01
G990-08380-11-A</v>
      </c>
      <c r="N102" s="517" t="str">
        <f>IFERROR(__xludf.DUMMYFUNCTION("""COMPUTED_VALUE"""),"G990-08382-11-01
G990-08382-11-A")</f>
        <v>G990-08382-11-01
G990-08382-11-A</v>
      </c>
      <c r="O102" s="517" t="str">
        <f>IFERROR(__xludf.DUMMYFUNCTION("""COMPUTED_VALUE"""),"BOB→A
Retail→A")</f>
        <v>BOB→A
Retail→A</v>
      </c>
      <c r="P102" s="517" t="str">
        <f>IFERROR(__xludf.DUMMYFUNCTION("""COMPUTED_VALUE"""),"G990-08382-11-01
G990-08382-11-A")</f>
        <v>G990-08382-11-01
G990-08382-11-A</v>
      </c>
      <c r="Q102" s="517" t="str">
        <f>IFERROR(__xludf.DUMMYFUNCTION("""COMPUTED_VALUE"""),"Obsidian")</f>
        <v>Obsidian</v>
      </c>
      <c r="R102" s="517" t="str">
        <f>IFERROR(__xludf.DUMMYFUNCTION("""COMPUTED_VALUE"""),"BLK")</f>
        <v>BLK</v>
      </c>
      <c r="S102" s="517" t="str">
        <f>IFERROR(__xludf.DUMMYFUNCTION("""COMPUTED_VALUE"""),"VZW, US")</f>
        <v>VZW, US</v>
      </c>
      <c r="T102" s="517" t="str">
        <f>IFERROR(__xludf.DUMMYFUNCTION("""COMPUTED_VALUE"""),"SKU, CLR1, GOOD, MMWAVE, VZW, US, FL5")</f>
        <v>SKU, CLR1, GOOD, MMWAVE, VZW, US, FL5</v>
      </c>
      <c r="U102" s="517" t="str">
        <f>IFERROR(__xludf.DUMMYFUNCTION("""COMPUTED_VALUE"""),"Pixel 10, Obsidian, 128GB, VZW, US")</f>
        <v>Pixel 10, Obsidian, 128GB, VZW, US</v>
      </c>
      <c r="V102" s="624" t="str">
        <f>IFERROR(__xludf.DUMMYFUNCTION("""COMPUTED_VALUE"""),"#NUM!")</f>
        <v>#NUM!</v>
      </c>
      <c r="W102" s="625">
        <f>IFERROR(__xludf.DUMMYFUNCTION("""COMPUTED_VALUE"""),45815.0)</f>
        <v>45815</v>
      </c>
      <c r="X102" s="626">
        <f>IFERROR(__xludf.DUMMYFUNCTION("""COMPUTED_VALUE"""),45729.0)</f>
        <v>45729</v>
      </c>
      <c r="Y102" s="517" t="b">
        <f>IFERROR(__xludf.DUMMYFUNCTION("""COMPUTED_VALUE"""),TRUE)</f>
        <v>1</v>
      </c>
      <c r="Z102" s="626">
        <f>IFERROR(__xludf.DUMMYFUNCTION("""COMPUTED_VALUE"""),45730.0)</f>
        <v>45730</v>
      </c>
      <c r="AA102" s="517" t="b">
        <f>IFERROR(__xludf.DUMMYFUNCTION("""COMPUTED_VALUE"""),TRUE)</f>
        <v>1</v>
      </c>
      <c r="AB102" s="626">
        <f>IFERROR(__xludf.DUMMYFUNCTION("""COMPUTED_VALUE"""),45736.0)</f>
        <v>45736</v>
      </c>
      <c r="AC102" s="626">
        <f>IFERROR(__xludf.DUMMYFUNCTION("""COMPUTED_VALUE"""),45736.0)</f>
        <v>45736</v>
      </c>
      <c r="AD102" s="626">
        <f>IFERROR(__xludf.DUMMYFUNCTION("""COMPUTED_VALUE"""),45742.0)</f>
        <v>45742</v>
      </c>
      <c r="AE102" s="519" t="str">
        <f>IFERROR(__xludf.DUMMYFUNCTION("""COMPUTED_VALUE"""),"GA09425-US")</f>
        <v>GA09425-US</v>
      </c>
      <c r="AF102" s="519" t="str">
        <f>IFERROR(__xludf.DUMMYFUNCTION("""COMPUTED_VALUE"""),"GA09425-US")</f>
        <v>GA09425-US</v>
      </c>
      <c r="AG102" s="517" t="str">
        <f>IFERROR(__xludf.DUMMYFUNCTION("""COMPUTED_VALUE"""),"GA09425-US
GA09425-US(RevA)")</f>
        <v>GA09425-US
GA09425-US(RevA)</v>
      </c>
      <c r="AH102" s="519" t="str">
        <f>IFERROR(__xludf.DUMMYFUNCTION("""COMPUTED_VALUE"""),"GA09425-US")</f>
        <v>GA09425-US</v>
      </c>
      <c r="AI102" s="626">
        <f>IFERROR(__xludf.DUMMYFUNCTION("""COMPUTED_VALUE"""),45764.0)</f>
        <v>45764</v>
      </c>
      <c r="AJ102" s="517" t="b">
        <f>IFERROR(__xludf.DUMMYFUNCTION("""COMPUTED_VALUE"""),TRUE)</f>
        <v>1</v>
      </c>
      <c r="AK102" s="517" t="b">
        <f>IFERROR(__xludf.DUMMYFUNCTION("""COMPUTED_VALUE"""),TRUE)</f>
        <v>1</v>
      </c>
      <c r="AL102" s="626">
        <f>IFERROR(__xludf.DUMMYFUNCTION("""COMPUTED_VALUE"""),45764.0)</f>
        <v>45764</v>
      </c>
      <c r="AM102" s="517" t="str">
        <f>IFERROR(__xludf.DUMMYFUNCTION("""COMPUTED_VALUE"""),"Approved")</f>
        <v>Approved</v>
      </c>
      <c r="AN102" s="517" t="str">
        <f>IFERROR(__xludf.DUMMYFUNCTION("""COMPUTED_VALUE"""),"N")</f>
        <v>N</v>
      </c>
      <c r="AO102" s="517"/>
      <c r="AP102" s="626">
        <f>IFERROR(__xludf.DUMMYFUNCTION("""COMPUTED_VALUE"""),45764.0)</f>
        <v>45764</v>
      </c>
      <c r="AQ102" s="517" t="b">
        <f>IFERROR(__xludf.DUMMYFUNCTION("""COMPUTED_VALUE"""),TRUE)</f>
        <v>1</v>
      </c>
      <c r="AR102" s="517" t="str">
        <f>IFERROR(__xludf.DUMMYFUNCTION("""COMPUTED_VALUE"""),"N")</f>
        <v>N</v>
      </c>
      <c r="AS102" s="517"/>
      <c r="AT102" s="517" t="str">
        <f>IFERROR(__xludf.DUMMYFUNCTION("""COMPUTED_VALUE"""),"YunYu
5/13")</f>
        <v>YunYu
5/13</v>
      </c>
      <c r="AU102" s="517"/>
      <c r="AV102" s="517"/>
      <c r="AW102" s="626">
        <f>IFERROR(__xludf.DUMMYFUNCTION("""COMPUTED_VALUE"""),45811.0)</f>
        <v>45811</v>
      </c>
      <c r="AX102" s="626">
        <f>IFERROR(__xludf.DUMMYFUNCTION("""COMPUTED_VALUE"""),45811.0)</f>
        <v>45811</v>
      </c>
      <c r="AY102" s="517" t="b">
        <f>IFERROR(__xludf.DUMMYFUNCTION("""COMPUTED_VALUE"""),FALSE)</f>
        <v>0</v>
      </c>
    </row>
    <row r="103">
      <c r="B103" s="517" t="str">
        <f>IFERROR(__xludf.DUMMYFUNCTION("""COMPUTED_VALUE"""),"VZW")</f>
        <v>VZW</v>
      </c>
      <c r="C103" s="518" t="str">
        <f>IFERROR(__xludf.DUMMYFUNCTION("""COMPUTED_VALUE"""),"0840353926851")</f>
        <v>0840353926851</v>
      </c>
      <c r="D103" s="517" t="str">
        <f>IFERROR(__xludf.DUMMYFUNCTION("""COMPUTED_VALUE"""),"Pristine")</f>
        <v>Pristine</v>
      </c>
      <c r="E103" s="517" t="str">
        <f>IFERROR(__xludf.DUMMYFUNCTION("""COMPUTED_VALUE"""),"GA10238-US")</f>
        <v>GA10238-US</v>
      </c>
      <c r="F103" s="517" t="str">
        <f>IFERROR(__xludf.DUMMYFUNCTION("""COMPUTED_VALUE"""),"GLBW0")</f>
        <v>GLBW0</v>
      </c>
      <c r="G103" s="517"/>
      <c r="H103" s="518" t="str">
        <f>IFERROR(__xludf.DUMMYFUNCTION("""COMPUTED_VALUE"""),"840353926851")</f>
        <v>840353926851</v>
      </c>
      <c r="I103" s="518" t="str">
        <f>IFERROR(__xludf.DUMMYFUNCTION("""COMPUTED_VALUE"""),"No")</f>
        <v>No</v>
      </c>
      <c r="J103" s="517" t="str">
        <f>IFERROR(__xludf.DUMMYFUNCTION("""COMPUTED_VALUE"""),"Retail_10ct")</f>
        <v>Retail_10ct</v>
      </c>
      <c r="K103" s="517" t="str">
        <f>IFERROR(__xludf.DUMMYFUNCTION("""COMPUTED_VALUE"""),"VZN Master Carton Label")</f>
        <v>VZN Master Carton Label</v>
      </c>
      <c r="M103" s="517" t="str">
        <f>IFERROR(__xludf.DUMMYFUNCTION("""COMPUTED_VALUE"""),"G990-08380-21-01
G990-08380-21-A")</f>
        <v>G990-08380-21-01
G990-08380-21-A</v>
      </c>
      <c r="N103" s="517" t="str">
        <f>IFERROR(__xludf.DUMMYFUNCTION("""COMPUTED_VALUE"""),"G990-08382-11-01
G990-08382-11-A")</f>
        <v>G990-08382-11-01
G990-08382-11-A</v>
      </c>
      <c r="O103" s="517" t="str">
        <f>IFERROR(__xludf.DUMMYFUNCTION("""COMPUTED_VALUE"""),"BOB→A
Retail→A")</f>
        <v>BOB→A
Retail→A</v>
      </c>
      <c r="P103" s="517" t="str">
        <f>IFERROR(__xludf.DUMMYFUNCTION("""COMPUTED_VALUE"""),"G990-08382-11-01
G990-08382-11-A")</f>
        <v>G990-08382-11-01
G990-08382-11-A</v>
      </c>
      <c r="Q103" s="517" t="str">
        <f>IFERROR(__xludf.DUMMYFUNCTION("""COMPUTED_VALUE"""),"Frost")</f>
        <v>Frost</v>
      </c>
      <c r="R103" s="517" t="str">
        <f>IFERROR(__xludf.DUMMYFUNCTION("""COMPUTED_VALUE"""),"PPL")</f>
        <v>PPL</v>
      </c>
      <c r="S103" s="517" t="str">
        <f>IFERROR(__xludf.DUMMYFUNCTION("""COMPUTED_VALUE"""),"VZW, US")</f>
        <v>VZW, US</v>
      </c>
      <c r="T103" s="517" t="str">
        <f>IFERROR(__xludf.DUMMYFUNCTION("""COMPUTED_VALUE"""),"SKU, CLR2, GOOD, MMWAVE, VZW, US, FL5")</f>
        <v>SKU, CLR2, GOOD, MMWAVE, VZW, US, FL5</v>
      </c>
      <c r="U103" s="517" t="str">
        <f>IFERROR(__xludf.DUMMYFUNCTION("""COMPUTED_VALUE"""),"Pixel 10, Frost, 128GB, VZW, US")</f>
        <v>Pixel 10, Frost, 128GB, VZW, US</v>
      </c>
      <c r="V103" s="624" t="str">
        <f>IFERROR(__xludf.DUMMYFUNCTION("""COMPUTED_VALUE"""),"#NUM!")</f>
        <v>#NUM!</v>
      </c>
      <c r="W103" s="625">
        <f>IFERROR(__xludf.DUMMYFUNCTION("""COMPUTED_VALUE"""),45815.0)</f>
        <v>45815</v>
      </c>
      <c r="X103" s="626">
        <f>IFERROR(__xludf.DUMMYFUNCTION("""COMPUTED_VALUE"""),45729.0)</f>
        <v>45729</v>
      </c>
      <c r="Y103" s="517" t="b">
        <f>IFERROR(__xludf.DUMMYFUNCTION("""COMPUTED_VALUE"""),TRUE)</f>
        <v>1</v>
      </c>
      <c r="Z103" s="626">
        <f>IFERROR(__xludf.DUMMYFUNCTION("""COMPUTED_VALUE"""),45730.0)</f>
        <v>45730</v>
      </c>
      <c r="AA103" s="517" t="b">
        <f>IFERROR(__xludf.DUMMYFUNCTION("""COMPUTED_VALUE"""),TRUE)</f>
        <v>1</v>
      </c>
      <c r="AB103" s="626">
        <f>IFERROR(__xludf.DUMMYFUNCTION("""COMPUTED_VALUE"""),45736.0)</f>
        <v>45736</v>
      </c>
      <c r="AC103" s="626">
        <f>IFERROR(__xludf.DUMMYFUNCTION("""COMPUTED_VALUE"""),45736.0)</f>
        <v>45736</v>
      </c>
      <c r="AD103" s="626">
        <f>IFERROR(__xludf.DUMMYFUNCTION("""COMPUTED_VALUE"""),45742.0)</f>
        <v>45742</v>
      </c>
      <c r="AE103" s="519" t="str">
        <f>IFERROR(__xludf.DUMMYFUNCTION("""COMPUTED_VALUE"""),"GA10238-US")</f>
        <v>GA10238-US</v>
      </c>
      <c r="AF103" s="519" t="str">
        <f>IFERROR(__xludf.DUMMYFUNCTION("""COMPUTED_VALUE"""),"GA10238-US")</f>
        <v>GA10238-US</v>
      </c>
      <c r="AG103" s="517" t="str">
        <f>IFERROR(__xludf.DUMMYFUNCTION("""COMPUTED_VALUE"""),"GA10238-US
GA10238-US(RevA)")</f>
        <v>GA10238-US
GA10238-US(RevA)</v>
      </c>
      <c r="AH103" s="519" t="str">
        <f>IFERROR(__xludf.DUMMYFUNCTION("""COMPUTED_VALUE"""),"GA-10238-US")</f>
        <v>GA-10238-US</v>
      </c>
      <c r="AI103" s="626">
        <f>IFERROR(__xludf.DUMMYFUNCTION("""COMPUTED_VALUE"""),45764.0)</f>
        <v>45764</v>
      </c>
      <c r="AJ103" s="517" t="b">
        <f>IFERROR(__xludf.DUMMYFUNCTION("""COMPUTED_VALUE"""),TRUE)</f>
        <v>1</v>
      </c>
      <c r="AK103" s="517" t="b">
        <f>IFERROR(__xludf.DUMMYFUNCTION("""COMPUTED_VALUE"""),TRUE)</f>
        <v>1</v>
      </c>
      <c r="AL103" s="626">
        <f>IFERROR(__xludf.DUMMYFUNCTION("""COMPUTED_VALUE"""),45764.0)</f>
        <v>45764</v>
      </c>
      <c r="AM103" s="517" t="str">
        <f>IFERROR(__xludf.DUMMYFUNCTION("""COMPUTED_VALUE"""),"Approved")</f>
        <v>Approved</v>
      </c>
      <c r="AN103" s="517" t="str">
        <f>IFERROR(__xludf.DUMMYFUNCTION("""COMPUTED_VALUE"""),"N")</f>
        <v>N</v>
      </c>
      <c r="AO103" s="517"/>
      <c r="AP103" s="626">
        <f>IFERROR(__xludf.DUMMYFUNCTION("""COMPUTED_VALUE"""),45764.0)</f>
        <v>45764</v>
      </c>
      <c r="AQ103" s="517" t="b">
        <f>IFERROR(__xludf.DUMMYFUNCTION("""COMPUTED_VALUE"""),TRUE)</f>
        <v>1</v>
      </c>
      <c r="AR103" s="517" t="str">
        <f>IFERROR(__xludf.DUMMYFUNCTION("""COMPUTED_VALUE"""),"N")</f>
        <v>N</v>
      </c>
      <c r="AS103" s="517"/>
      <c r="AT103" s="517" t="str">
        <f>IFERROR(__xludf.DUMMYFUNCTION("""COMPUTED_VALUE"""),"YunYu
5/13")</f>
        <v>YunYu
5/13</v>
      </c>
      <c r="AU103" s="517"/>
      <c r="AV103" s="517"/>
      <c r="AW103" s="626">
        <f>IFERROR(__xludf.DUMMYFUNCTION("""COMPUTED_VALUE"""),45811.0)</f>
        <v>45811</v>
      </c>
      <c r="AX103" s="626">
        <f>IFERROR(__xludf.DUMMYFUNCTION("""COMPUTED_VALUE"""),45811.0)</f>
        <v>45811</v>
      </c>
      <c r="AY103" s="517" t="b">
        <f>IFERROR(__xludf.DUMMYFUNCTION("""COMPUTED_VALUE"""),TRUE)</f>
        <v>1</v>
      </c>
    </row>
    <row r="104">
      <c r="B104" s="517" t="str">
        <f>IFERROR(__xludf.DUMMYFUNCTION("""COMPUTED_VALUE"""),"VZW")</f>
        <v>VZW</v>
      </c>
      <c r="C104" s="518" t="str">
        <f>IFERROR(__xludf.DUMMYFUNCTION("""COMPUTED_VALUE"""),"0840353926875")</f>
        <v>0840353926875</v>
      </c>
      <c r="D104" s="517" t="str">
        <f>IFERROR(__xludf.DUMMYFUNCTION("""COMPUTED_VALUE"""),"Pristine")</f>
        <v>Pristine</v>
      </c>
      <c r="E104" s="517" t="str">
        <f>IFERROR(__xludf.DUMMYFUNCTION("""COMPUTED_VALUE"""),"GA10239-US")</f>
        <v>GA10239-US</v>
      </c>
      <c r="F104" s="517" t="str">
        <f>IFERROR(__xludf.DUMMYFUNCTION("""COMPUTED_VALUE"""),"GLBW0")</f>
        <v>GLBW0</v>
      </c>
      <c r="G104" s="517"/>
      <c r="H104" s="518" t="str">
        <f>IFERROR(__xludf.DUMMYFUNCTION("""COMPUTED_VALUE"""),"840353926875")</f>
        <v>840353926875</v>
      </c>
      <c r="I104" s="518" t="str">
        <f>IFERROR(__xludf.DUMMYFUNCTION("""COMPUTED_VALUE"""),"No")</f>
        <v>No</v>
      </c>
      <c r="J104" s="517" t="str">
        <f>IFERROR(__xludf.DUMMYFUNCTION("""COMPUTED_VALUE"""),"Retail_10ct")</f>
        <v>Retail_10ct</v>
      </c>
      <c r="K104" s="517" t="str">
        <f>IFERROR(__xludf.DUMMYFUNCTION("""COMPUTED_VALUE"""),"VZN Master Carton Label")</f>
        <v>VZN Master Carton Label</v>
      </c>
      <c r="M104" s="517" t="str">
        <f>IFERROR(__xludf.DUMMYFUNCTION("""COMPUTED_VALUE"""),"G990-08380-31-02
G990-08380-31-A")</f>
        <v>G990-08380-31-02
G990-08380-31-A</v>
      </c>
      <c r="N104" s="517" t="str">
        <f>IFERROR(__xludf.DUMMYFUNCTION("""COMPUTED_VALUE"""),"G990-08382-11-01
G990-08382-11-A")</f>
        <v>G990-08382-11-01
G990-08382-11-A</v>
      </c>
      <c r="O104" s="517" t="str">
        <f>IFERROR(__xludf.DUMMYFUNCTION("""COMPUTED_VALUE"""),"BOB→A
Retail→A")</f>
        <v>BOB→A
Retail→A</v>
      </c>
      <c r="P104" s="517" t="str">
        <f>IFERROR(__xludf.DUMMYFUNCTION("""COMPUTED_VALUE"""),"G990-08382-11-01
G990-08382-11-A")</f>
        <v>G990-08382-11-01
G990-08382-11-A</v>
      </c>
      <c r="Q104" s="517" t="str">
        <f>IFERROR(__xludf.DUMMYFUNCTION("""COMPUTED_VALUE"""),"Lemongrass")</f>
        <v>Lemongrass</v>
      </c>
      <c r="R104" s="517" t="str">
        <f>IFERROR(__xludf.DUMMYFUNCTION("""COMPUTED_VALUE"""),"YEL")</f>
        <v>YEL</v>
      </c>
      <c r="S104" s="517" t="str">
        <f>IFERROR(__xludf.DUMMYFUNCTION("""COMPUTED_VALUE"""),"VZW, US")</f>
        <v>VZW, US</v>
      </c>
      <c r="T104" s="517" t="str">
        <f>IFERROR(__xludf.DUMMYFUNCTION("""COMPUTED_VALUE"""),"SKU, CLR3, GOOD, MMWAVE, VZW, US, FL5")</f>
        <v>SKU, CLR3, GOOD, MMWAVE, VZW, US, FL5</v>
      </c>
      <c r="U104" s="517" t="str">
        <f>IFERROR(__xludf.DUMMYFUNCTION("""COMPUTED_VALUE"""),"Pixel 10, Lemongrass, 128GB, VZW, US")</f>
        <v>Pixel 10, Lemongrass, 128GB, VZW, US</v>
      </c>
      <c r="V104" s="624" t="str">
        <f>IFERROR(__xludf.DUMMYFUNCTION("""COMPUTED_VALUE"""),"#NUM!")</f>
        <v>#NUM!</v>
      </c>
      <c r="W104" s="625">
        <f>IFERROR(__xludf.DUMMYFUNCTION("""COMPUTED_VALUE"""),45815.0)</f>
        <v>45815</v>
      </c>
      <c r="X104" s="626">
        <f>IFERROR(__xludf.DUMMYFUNCTION("""COMPUTED_VALUE"""),45729.0)</f>
        <v>45729</v>
      </c>
      <c r="Y104" s="517" t="b">
        <f>IFERROR(__xludf.DUMMYFUNCTION("""COMPUTED_VALUE"""),TRUE)</f>
        <v>1</v>
      </c>
      <c r="Z104" s="626">
        <f>IFERROR(__xludf.DUMMYFUNCTION("""COMPUTED_VALUE"""),45730.0)</f>
        <v>45730</v>
      </c>
      <c r="AA104" s="517" t="b">
        <f>IFERROR(__xludf.DUMMYFUNCTION("""COMPUTED_VALUE"""),FALSE)</f>
        <v>0</v>
      </c>
      <c r="AB104" s="626">
        <f>IFERROR(__xludf.DUMMYFUNCTION("""COMPUTED_VALUE"""),45736.0)</f>
        <v>45736</v>
      </c>
      <c r="AC104" s="626">
        <f>IFERROR(__xludf.DUMMYFUNCTION("""COMPUTED_VALUE"""),45736.0)</f>
        <v>45736</v>
      </c>
      <c r="AD104" s="626">
        <f>IFERROR(__xludf.DUMMYFUNCTION("""COMPUTED_VALUE"""),45742.0)</f>
        <v>45742</v>
      </c>
      <c r="AE104" s="519" t="str">
        <f>IFERROR(__xludf.DUMMYFUNCTION("""COMPUTED_VALUE"""),"GA10239-US")</f>
        <v>GA10239-US</v>
      </c>
      <c r="AF104" s="519" t="str">
        <f>IFERROR(__xludf.DUMMYFUNCTION("""COMPUTED_VALUE"""),"GA10239-US")</f>
        <v>GA10239-US</v>
      </c>
      <c r="AG104" s="517" t="str">
        <f>IFERROR(__xludf.DUMMYFUNCTION("""COMPUTED_VALUE"""),"GA10239-US
GA10239-US(RevA)")</f>
        <v>GA10239-US
GA10239-US(RevA)</v>
      </c>
      <c r="AH104" s="519" t="str">
        <f>IFERROR(__xludf.DUMMYFUNCTION("""COMPUTED_VALUE"""),"GA-10239-US")</f>
        <v>GA-10239-US</v>
      </c>
      <c r="AI104" s="626">
        <f>IFERROR(__xludf.DUMMYFUNCTION("""COMPUTED_VALUE"""),45764.0)</f>
        <v>45764</v>
      </c>
      <c r="AJ104" s="517" t="b">
        <f>IFERROR(__xludf.DUMMYFUNCTION("""COMPUTED_VALUE"""),TRUE)</f>
        <v>1</v>
      </c>
      <c r="AK104" s="517" t="b">
        <f>IFERROR(__xludf.DUMMYFUNCTION("""COMPUTED_VALUE"""),TRUE)</f>
        <v>1</v>
      </c>
      <c r="AL104" s="626">
        <f>IFERROR(__xludf.DUMMYFUNCTION("""COMPUTED_VALUE"""),45764.0)</f>
        <v>45764</v>
      </c>
      <c r="AM104" s="517" t="str">
        <f>IFERROR(__xludf.DUMMYFUNCTION("""COMPUTED_VALUE"""),"Approved")</f>
        <v>Approved</v>
      </c>
      <c r="AN104" s="517" t="str">
        <f>IFERROR(__xludf.DUMMYFUNCTION("""COMPUTED_VALUE"""),"Y")</f>
        <v>Y</v>
      </c>
      <c r="AO104" s="517"/>
      <c r="AP104" s="626">
        <f>IFERROR(__xludf.DUMMYFUNCTION("""COMPUTED_VALUE"""),45764.0)</f>
        <v>45764</v>
      </c>
      <c r="AQ104" s="517" t="b">
        <f>IFERROR(__xludf.DUMMYFUNCTION("""COMPUTED_VALUE"""),TRUE)</f>
        <v>1</v>
      </c>
      <c r="AR104" s="517" t="str">
        <f>IFERROR(__xludf.DUMMYFUNCTION("""COMPUTED_VALUE"""),"N")</f>
        <v>N</v>
      </c>
      <c r="AS104" s="517"/>
      <c r="AT104" s="517" t="str">
        <f>IFERROR(__xludf.DUMMYFUNCTION("""COMPUTED_VALUE"""),"YunYu
5/13")</f>
        <v>YunYu
5/13</v>
      </c>
      <c r="AU104" s="517"/>
      <c r="AV104" s="517"/>
      <c r="AW104" s="626">
        <f>IFERROR(__xludf.DUMMYFUNCTION("""COMPUTED_VALUE"""),45811.0)</f>
        <v>45811</v>
      </c>
      <c r="AX104" s="626">
        <f>IFERROR(__xludf.DUMMYFUNCTION("""COMPUTED_VALUE"""),45811.0)</f>
        <v>45811</v>
      </c>
      <c r="AY104" s="517" t="b">
        <f>IFERROR(__xludf.DUMMYFUNCTION("""COMPUTED_VALUE"""),FALSE)</f>
        <v>0</v>
      </c>
    </row>
    <row r="105">
      <c r="B105" s="517" t="str">
        <f>IFERROR(__xludf.DUMMYFUNCTION("""COMPUTED_VALUE"""),"VZW")</f>
        <v>VZW</v>
      </c>
      <c r="C105" s="518" t="str">
        <f>IFERROR(__xludf.DUMMYFUNCTION("""COMPUTED_VALUE"""),"0840353926868")</f>
        <v>0840353926868</v>
      </c>
      <c r="D105" s="517" t="str">
        <f>IFERROR(__xludf.DUMMYFUNCTION("""COMPUTED_VALUE"""),"Pristine")</f>
        <v>Pristine</v>
      </c>
      <c r="E105" s="517" t="str">
        <f>IFERROR(__xludf.DUMMYFUNCTION("""COMPUTED_VALUE"""),"GA10240-US")</f>
        <v>GA10240-US</v>
      </c>
      <c r="F105" s="517" t="str">
        <f>IFERROR(__xludf.DUMMYFUNCTION("""COMPUTED_VALUE"""),"GLBW0")</f>
        <v>GLBW0</v>
      </c>
      <c r="G105" s="517"/>
      <c r="H105" s="518" t="str">
        <f>IFERROR(__xludf.DUMMYFUNCTION("""COMPUTED_VALUE"""),"840353926868")</f>
        <v>840353926868</v>
      </c>
      <c r="I105" s="518" t="str">
        <f>IFERROR(__xludf.DUMMYFUNCTION("""COMPUTED_VALUE"""),"No")</f>
        <v>No</v>
      </c>
      <c r="J105" s="517" t="str">
        <f>IFERROR(__xludf.DUMMYFUNCTION("""COMPUTED_VALUE"""),"Retail_10ct")</f>
        <v>Retail_10ct</v>
      </c>
      <c r="K105" s="517" t="str">
        <f>IFERROR(__xludf.DUMMYFUNCTION("""COMPUTED_VALUE"""),"VZN Master Carton Label")</f>
        <v>VZN Master Carton Label</v>
      </c>
      <c r="M105" s="517" t="str">
        <f>IFERROR(__xludf.DUMMYFUNCTION("""COMPUTED_VALUE"""),"G990-08380-41-01
G990-08380-41-A")</f>
        <v>G990-08380-41-01
G990-08380-41-A</v>
      </c>
      <c r="N105" s="517" t="str">
        <f>IFERROR(__xludf.DUMMYFUNCTION("""COMPUTED_VALUE"""),"G990-08382-11-01
G990-08382-11-A")</f>
        <v>G990-08382-11-01
G990-08382-11-A</v>
      </c>
      <c r="O105" s="517" t="str">
        <f>IFERROR(__xludf.DUMMYFUNCTION("""COMPUTED_VALUE"""),"BOB→A
Retail→A")</f>
        <v>BOB→A
Retail→A</v>
      </c>
      <c r="P105" s="517" t="str">
        <f>IFERROR(__xludf.DUMMYFUNCTION("""COMPUTED_VALUE"""),"G990-08382-11-01
G990-08382-11-A")</f>
        <v>G990-08382-11-01
G990-08382-11-A</v>
      </c>
      <c r="Q105" s="517" t="str">
        <f>IFERROR(__xludf.DUMMYFUNCTION("""COMPUTED_VALUE"""),"Indigo")</f>
        <v>Indigo</v>
      </c>
      <c r="R105" s="517" t="str">
        <f>IFERROR(__xludf.DUMMYFUNCTION("""COMPUTED_VALUE"""),"BUE")</f>
        <v>BUE</v>
      </c>
      <c r="S105" s="517" t="str">
        <f>IFERROR(__xludf.DUMMYFUNCTION("""COMPUTED_VALUE"""),"VZW, US")</f>
        <v>VZW, US</v>
      </c>
      <c r="T105" s="517" t="str">
        <f>IFERROR(__xludf.DUMMYFUNCTION("""COMPUTED_VALUE"""),"SKU, CLR4, GOOD, MMWAVE, VZW, US, FL5")</f>
        <v>SKU, CLR4, GOOD, MMWAVE, VZW, US, FL5</v>
      </c>
      <c r="U105" s="517" t="str">
        <f>IFERROR(__xludf.DUMMYFUNCTION("""COMPUTED_VALUE"""),"Pixel 10, Indigo, 128GB, VZW, US")</f>
        <v>Pixel 10, Indigo, 128GB, VZW, US</v>
      </c>
      <c r="V105" s="624" t="str">
        <f>IFERROR(__xludf.DUMMYFUNCTION("""COMPUTED_VALUE"""),"#NUM!")</f>
        <v>#NUM!</v>
      </c>
      <c r="W105" s="625">
        <f>IFERROR(__xludf.DUMMYFUNCTION("""COMPUTED_VALUE"""),45815.0)</f>
        <v>45815</v>
      </c>
      <c r="X105" s="626">
        <f>IFERROR(__xludf.DUMMYFUNCTION("""COMPUTED_VALUE"""),45729.0)</f>
        <v>45729</v>
      </c>
      <c r="Y105" s="517" t="b">
        <f>IFERROR(__xludf.DUMMYFUNCTION("""COMPUTED_VALUE"""),TRUE)</f>
        <v>1</v>
      </c>
      <c r="Z105" s="626">
        <f>IFERROR(__xludf.DUMMYFUNCTION("""COMPUTED_VALUE"""),45730.0)</f>
        <v>45730</v>
      </c>
      <c r="AA105" s="517" t="b">
        <f>IFERROR(__xludf.DUMMYFUNCTION("""COMPUTED_VALUE"""),FALSE)</f>
        <v>0</v>
      </c>
      <c r="AB105" s="626">
        <f>IFERROR(__xludf.DUMMYFUNCTION("""COMPUTED_VALUE"""),45736.0)</f>
        <v>45736</v>
      </c>
      <c r="AC105" s="626">
        <f>IFERROR(__xludf.DUMMYFUNCTION("""COMPUTED_VALUE"""),45736.0)</f>
        <v>45736</v>
      </c>
      <c r="AD105" s="626">
        <f>IFERROR(__xludf.DUMMYFUNCTION("""COMPUTED_VALUE"""),45742.0)</f>
        <v>45742</v>
      </c>
      <c r="AE105" s="519" t="str">
        <f>IFERROR(__xludf.DUMMYFUNCTION("""COMPUTED_VALUE"""),"GA10240-US")</f>
        <v>GA10240-US</v>
      </c>
      <c r="AF105" s="519" t="str">
        <f>IFERROR(__xludf.DUMMYFUNCTION("""COMPUTED_VALUE"""),"GA10240-US")</f>
        <v>GA10240-US</v>
      </c>
      <c r="AG105" s="517" t="str">
        <f>IFERROR(__xludf.DUMMYFUNCTION("""COMPUTED_VALUE"""),"GA10240-US
GA10240-US(RevA)")</f>
        <v>GA10240-US
GA10240-US(RevA)</v>
      </c>
      <c r="AH105" s="519" t="str">
        <f>IFERROR(__xludf.DUMMYFUNCTION("""COMPUTED_VALUE"""),"GA10240-US")</f>
        <v>GA10240-US</v>
      </c>
      <c r="AI105" s="626">
        <f>IFERROR(__xludf.DUMMYFUNCTION("""COMPUTED_VALUE"""),45764.0)</f>
        <v>45764</v>
      </c>
      <c r="AJ105" s="517" t="b">
        <f>IFERROR(__xludf.DUMMYFUNCTION("""COMPUTED_VALUE"""),TRUE)</f>
        <v>1</v>
      </c>
      <c r="AK105" s="517" t="b">
        <f>IFERROR(__xludf.DUMMYFUNCTION("""COMPUTED_VALUE"""),TRUE)</f>
        <v>1</v>
      </c>
      <c r="AL105" s="626">
        <f>IFERROR(__xludf.DUMMYFUNCTION("""COMPUTED_VALUE"""),45764.0)</f>
        <v>45764</v>
      </c>
      <c r="AM105" s="517" t="str">
        <f>IFERROR(__xludf.DUMMYFUNCTION("""COMPUTED_VALUE"""),"Approved")</f>
        <v>Approved</v>
      </c>
      <c r="AN105" s="517" t="str">
        <f>IFERROR(__xludf.DUMMYFUNCTION("""COMPUTED_VALUE"""),"N")</f>
        <v>N</v>
      </c>
      <c r="AO105" s="517"/>
      <c r="AP105" s="626">
        <f>IFERROR(__xludf.DUMMYFUNCTION("""COMPUTED_VALUE"""),45764.0)</f>
        <v>45764</v>
      </c>
      <c r="AQ105" s="517" t="b">
        <f>IFERROR(__xludf.DUMMYFUNCTION("""COMPUTED_VALUE"""),TRUE)</f>
        <v>1</v>
      </c>
      <c r="AR105" s="517" t="str">
        <f>IFERROR(__xludf.DUMMYFUNCTION("""COMPUTED_VALUE"""),"N")</f>
        <v>N</v>
      </c>
      <c r="AS105" s="517"/>
      <c r="AT105" s="517" t="str">
        <f>IFERROR(__xludf.DUMMYFUNCTION("""COMPUTED_VALUE"""),"YunYu
5/13")</f>
        <v>YunYu
5/13</v>
      </c>
      <c r="AU105" s="517"/>
      <c r="AV105" s="517"/>
      <c r="AW105" s="626">
        <f>IFERROR(__xludf.DUMMYFUNCTION("""COMPUTED_VALUE"""),45811.0)</f>
        <v>45811</v>
      </c>
      <c r="AX105" s="626">
        <f>IFERROR(__xludf.DUMMYFUNCTION("""COMPUTED_VALUE"""),45811.0)</f>
        <v>45811</v>
      </c>
      <c r="AY105" s="517" t="b">
        <f>IFERROR(__xludf.DUMMYFUNCTION("""COMPUTED_VALUE"""),FALSE)</f>
        <v>0</v>
      </c>
    </row>
    <row r="106">
      <c r="B106" s="517" t="str">
        <f>IFERROR(__xludf.DUMMYFUNCTION("""COMPUTED_VALUE"""),"VZW")</f>
        <v>VZW</v>
      </c>
      <c r="C106" s="518" t="str">
        <f>IFERROR(__xludf.DUMMYFUNCTION("""COMPUTED_VALUE"""),"0840353926486")</f>
        <v>0840353926486</v>
      </c>
      <c r="D106" s="517" t="str">
        <f>IFERROR(__xludf.DUMMYFUNCTION("""COMPUTED_VALUE"""),"Pristine")</f>
        <v>Pristine</v>
      </c>
      <c r="E106" s="517" t="str">
        <f>IFERROR(__xludf.DUMMYFUNCTION("""COMPUTED_VALUE"""),"GA09880-US")</f>
        <v>GA09880-US</v>
      </c>
      <c r="F106" s="517" t="str">
        <f>IFERROR(__xludf.DUMMYFUNCTION("""COMPUTED_VALUE"""),"GLBW0")</f>
        <v>GLBW0</v>
      </c>
      <c r="G106" s="517"/>
      <c r="H106" s="518" t="str">
        <f>IFERROR(__xludf.DUMMYFUNCTION("""COMPUTED_VALUE"""),"840353926486")</f>
        <v>840353926486</v>
      </c>
      <c r="I106" s="518" t="str">
        <f>IFERROR(__xludf.DUMMYFUNCTION("""COMPUTED_VALUE"""),"No")</f>
        <v>No</v>
      </c>
      <c r="J106" s="517" t="str">
        <f>IFERROR(__xludf.DUMMYFUNCTION("""COMPUTED_VALUE"""),"Retail_10ct")</f>
        <v>Retail_10ct</v>
      </c>
      <c r="K106" s="517" t="str">
        <f>IFERROR(__xludf.DUMMYFUNCTION("""COMPUTED_VALUE"""),"VZN Master Carton Label")</f>
        <v>VZN Master Carton Label</v>
      </c>
      <c r="M106" s="517" t="str">
        <f>IFERROR(__xludf.DUMMYFUNCTION("""COMPUTED_VALUE"""),"G990-08380-12-01
G990-08380-12-A")</f>
        <v>G990-08380-12-01
G990-08380-12-A</v>
      </c>
      <c r="N106" s="517" t="str">
        <f>IFERROR(__xludf.DUMMYFUNCTION("""COMPUTED_VALUE"""),"G990-08382-11-01
G990-08382-11-A")</f>
        <v>G990-08382-11-01
G990-08382-11-A</v>
      </c>
      <c r="O106" s="517" t="str">
        <f>IFERROR(__xludf.DUMMYFUNCTION("""COMPUTED_VALUE"""),"BOB→A
Retail→A")</f>
        <v>BOB→A
Retail→A</v>
      </c>
      <c r="P106" s="517" t="str">
        <f>IFERROR(__xludf.DUMMYFUNCTION("""COMPUTED_VALUE"""),"G990-08382-11-01
G990-08382-11-A")</f>
        <v>G990-08382-11-01
G990-08382-11-A</v>
      </c>
      <c r="Q106" s="517" t="str">
        <f>IFERROR(__xludf.DUMMYFUNCTION("""COMPUTED_VALUE"""),"Obsidian")</f>
        <v>Obsidian</v>
      </c>
      <c r="R106" s="517" t="str">
        <f>IFERROR(__xludf.DUMMYFUNCTION("""COMPUTED_VALUE"""),"BLK")</f>
        <v>BLK</v>
      </c>
      <c r="S106" s="517" t="str">
        <f>IFERROR(__xludf.DUMMYFUNCTION("""COMPUTED_VALUE"""),"VZW, US")</f>
        <v>VZW, US</v>
      </c>
      <c r="T106" s="517" t="str">
        <f>IFERROR(__xludf.DUMMYFUNCTION("""COMPUTED_VALUE"""),"SKU, CLR1, BETTER, MMWAVE, VZW, US, FL5")</f>
        <v>SKU, CLR1, BETTER, MMWAVE, VZW, US, FL5</v>
      </c>
      <c r="U106" s="517" t="str">
        <f>IFERROR(__xludf.DUMMYFUNCTION("""COMPUTED_VALUE"""),"Pixel 10, Obsidian, 256GB, VZW, US")</f>
        <v>Pixel 10, Obsidian, 256GB, VZW, US</v>
      </c>
      <c r="V106" s="624" t="str">
        <f>IFERROR(__xludf.DUMMYFUNCTION("""COMPUTED_VALUE"""),"#NUM!")</f>
        <v>#NUM!</v>
      </c>
      <c r="W106" s="625">
        <f>IFERROR(__xludf.DUMMYFUNCTION("""COMPUTED_VALUE"""),45815.0)</f>
        <v>45815</v>
      </c>
      <c r="X106" s="626">
        <f>IFERROR(__xludf.DUMMYFUNCTION("""COMPUTED_VALUE"""),45729.0)</f>
        <v>45729</v>
      </c>
      <c r="Y106" s="517" t="b">
        <f>IFERROR(__xludf.DUMMYFUNCTION("""COMPUTED_VALUE"""),TRUE)</f>
        <v>1</v>
      </c>
      <c r="Z106" s="626">
        <f>IFERROR(__xludf.DUMMYFUNCTION("""COMPUTED_VALUE"""),45730.0)</f>
        <v>45730</v>
      </c>
      <c r="AA106" s="517" t="b">
        <f>IFERROR(__xludf.DUMMYFUNCTION("""COMPUTED_VALUE"""),FALSE)</f>
        <v>0</v>
      </c>
      <c r="AB106" s="626">
        <f>IFERROR(__xludf.DUMMYFUNCTION("""COMPUTED_VALUE"""),45736.0)</f>
        <v>45736</v>
      </c>
      <c r="AC106" s="626">
        <f>IFERROR(__xludf.DUMMYFUNCTION("""COMPUTED_VALUE"""),45736.0)</f>
        <v>45736</v>
      </c>
      <c r="AD106" s="626">
        <f>IFERROR(__xludf.DUMMYFUNCTION("""COMPUTED_VALUE"""),45742.0)</f>
        <v>45742</v>
      </c>
      <c r="AE106" s="519" t="str">
        <f>IFERROR(__xludf.DUMMYFUNCTION("""COMPUTED_VALUE"""),"GA09425-US")</f>
        <v>GA09425-US</v>
      </c>
      <c r="AF106" s="519" t="str">
        <f>IFERROR(__xludf.DUMMYFUNCTION("""COMPUTED_VALUE"""),"GA09880-US")</f>
        <v>GA09880-US</v>
      </c>
      <c r="AG106" s="517" t="str">
        <f>IFERROR(__xludf.DUMMYFUNCTION("""COMPUTED_VALUE"""),"GA09880-US
GA09880-US(RevA)")</f>
        <v>GA09880-US
GA09880-US(RevA)</v>
      </c>
      <c r="AH106" s="519" t="str">
        <f>IFERROR(__xludf.DUMMYFUNCTION("""COMPUTED_VALUE"""),"GA09880-US")</f>
        <v>GA09880-US</v>
      </c>
      <c r="AI106" s="626">
        <f>IFERROR(__xludf.DUMMYFUNCTION("""COMPUTED_VALUE"""),45764.0)</f>
        <v>45764</v>
      </c>
      <c r="AJ106" s="517" t="b">
        <f>IFERROR(__xludf.DUMMYFUNCTION("""COMPUTED_VALUE"""),TRUE)</f>
        <v>1</v>
      </c>
      <c r="AK106" s="517" t="b">
        <f>IFERROR(__xludf.DUMMYFUNCTION("""COMPUTED_VALUE"""),TRUE)</f>
        <v>1</v>
      </c>
      <c r="AL106" s="626">
        <f>IFERROR(__xludf.DUMMYFUNCTION("""COMPUTED_VALUE"""),45764.0)</f>
        <v>45764</v>
      </c>
      <c r="AM106" s="517" t="str">
        <f>IFERROR(__xludf.DUMMYFUNCTION("""COMPUTED_VALUE"""),"Approved")</f>
        <v>Approved</v>
      </c>
      <c r="AN106" s="517" t="str">
        <f>IFERROR(__xludf.DUMMYFUNCTION("""COMPUTED_VALUE"""),"N")</f>
        <v>N</v>
      </c>
      <c r="AO106" s="517"/>
      <c r="AP106" s="626">
        <f>IFERROR(__xludf.DUMMYFUNCTION("""COMPUTED_VALUE"""),45764.0)</f>
        <v>45764</v>
      </c>
      <c r="AQ106" s="517" t="b">
        <f>IFERROR(__xludf.DUMMYFUNCTION("""COMPUTED_VALUE"""),TRUE)</f>
        <v>1</v>
      </c>
      <c r="AR106" s="517" t="str">
        <f>IFERROR(__xludf.DUMMYFUNCTION("""COMPUTED_VALUE"""),"N")</f>
        <v>N</v>
      </c>
      <c r="AS106" s="517"/>
      <c r="AT106" s="517" t="str">
        <f>IFERROR(__xludf.DUMMYFUNCTION("""COMPUTED_VALUE"""),"YunYu
5/13")</f>
        <v>YunYu
5/13</v>
      </c>
      <c r="AU106" s="517"/>
      <c r="AV106" s="517"/>
      <c r="AW106" s="626">
        <f>IFERROR(__xludf.DUMMYFUNCTION("""COMPUTED_VALUE"""),45811.0)</f>
        <v>45811</v>
      </c>
      <c r="AX106" s="626">
        <f>IFERROR(__xludf.DUMMYFUNCTION("""COMPUTED_VALUE"""),45811.0)</f>
        <v>45811</v>
      </c>
      <c r="AY106" s="517" t="b">
        <f>IFERROR(__xludf.DUMMYFUNCTION("""COMPUTED_VALUE"""),FALSE)</f>
        <v>0</v>
      </c>
    </row>
    <row r="107">
      <c r="B107" s="517" t="str">
        <f>IFERROR(__xludf.DUMMYFUNCTION("""COMPUTED_VALUE"""),"VZW")</f>
        <v>VZW</v>
      </c>
      <c r="C107" s="517" t="str">
        <f>IFERROR(__xludf.DUMMYFUNCTION("""COMPUTED_VALUE"""),"Cancel")</f>
        <v>Cancel</v>
      </c>
      <c r="D107" s="517" t="str">
        <f>IFERROR(__xludf.DUMMYFUNCTION("""COMPUTED_VALUE"""),"Pristine")</f>
        <v>Pristine</v>
      </c>
      <c r="E107" s="517" t="str">
        <f>IFERROR(__xludf.DUMMYFUNCTION("""COMPUTED_VALUE"""),"GA10241-US")</f>
        <v>GA10241-US</v>
      </c>
      <c r="F107" s="517" t="str">
        <f>IFERROR(__xludf.DUMMYFUNCTION("""COMPUTED_VALUE"""),"Cancel")</f>
        <v>Cancel</v>
      </c>
      <c r="G107" s="517" t="str">
        <f>IFERROR(__xludf.DUMMYFUNCTION("""COMPUTED_VALUE"""),"Cancel")</f>
        <v>Cancel</v>
      </c>
      <c r="H107" s="517" t="str">
        <f>IFERROR(__xludf.DUMMYFUNCTION("""COMPUTED_VALUE"""),"Cancel")</f>
        <v>Cancel</v>
      </c>
      <c r="I107" s="517" t="str">
        <f>IFERROR(__xludf.DUMMYFUNCTION("""COMPUTED_VALUE"""),"Cancel")</f>
        <v>Cancel</v>
      </c>
      <c r="J107" s="517" t="str">
        <f>IFERROR(__xludf.DUMMYFUNCTION("""COMPUTED_VALUE"""),"Cancel")</f>
        <v>Cancel</v>
      </c>
      <c r="K107" s="517" t="str">
        <f>IFERROR(__xludf.DUMMYFUNCTION("""COMPUTED_VALUE"""),"Cancel")</f>
        <v>Cancel</v>
      </c>
      <c r="M107" s="519" t="str">
        <f>IFERROR(__xludf.DUMMYFUNCTION("""COMPUTED_VALUE"""),"G990-08380-22-01")</f>
        <v>G990-08380-22-01</v>
      </c>
      <c r="N107" s="517" t="str">
        <f>IFERROR(__xludf.DUMMYFUNCTION("""COMPUTED_VALUE"""),"G990-08382-11-01
G990-08382-11-A")</f>
        <v>G990-08382-11-01
G990-08382-11-A</v>
      </c>
      <c r="O107" s="517" t="str">
        <f>IFERROR(__xludf.DUMMYFUNCTION("""COMPUTED_VALUE"""),"BOB→A
Retail→A")</f>
        <v>BOB→A
Retail→A</v>
      </c>
      <c r="P107" s="517" t="str">
        <f>IFERROR(__xludf.DUMMYFUNCTION("""COMPUTED_VALUE"""),"Cancel")</f>
        <v>Cancel</v>
      </c>
      <c r="Q107" s="517" t="str">
        <f>IFERROR(__xludf.DUMMYFUNCTION("""COMPUTED_VALUE"""),"Cancel")</f>
        <v>Cancel</v>
      </c>
      <c r="R107" s="517" t="str">
        <f>IFERROR(__xludf.DUMMYFUNCTION("""COMPUTED_VALUE"""),"Cancel")</f>
        <v>Cancel</v>
      </c>
      <c r="S107" s="517" t="str">
        <f>IFERROR(__xludf.DUMMYFUNCTION("""COMPUTED_VALUE"""),"Cancel")</f>
        <v>Cancel</v>
      </c>
      <c r="T107" s="517" t="str">
        <f>IFERROR(__xludf.DUMMYFUNCTION("""COMPUTED_VALUE"""),"Cancel")</f>
        <v>Cancel</v>
      </c>
      <c r="U107" s="517" t="str">
        <f>IFERROR(__xludf.DUMMYFUNCTION("""COMPUTED_VALUE"""),"Cancel")</f>
        <v>Cancel</v>
      </c>
      <c r="V107" s="624" t="str">
        <f>IFERROR(__xludf.DUMMYFUNCTION("""COMPUTED_VALUE"""),"#NUM!")</f>
        <v>#NUM!</v>
      </c>
      <c r="W107" s="625">
        <f>IFERROR(__xludf.DUMMYFUNCTION("""COMPUTED_VALUE"""),45815.0)</f>
        <v>45815</v>
      </c>
      <c r="X107" s="626">
        <f>IFERROR(__xludf.DUMMYFUNCTION("""COMPUTED_VALUE"""),45729.0)</f>
        <v>45729</v>
      </c>
      <c r="Y107" s="517" t="b">
        <f>IFERROR(__xludf.DUMMYFUNCTION("""COMPUTED_VALUE"""),FALSE)</f>
        <v>0</v>
      </c>
      <c r="Z107" s="626">
        <f>IFERROR(__xludf.DUMMYFUNCTION("""COMPUTED_VALUE"""),45730.0)</f>
        <v>45730</v>
      </c>
      <c r="AA107" s="517" t="b">
        <f>IFERROR(__xludf.DUMMYFUNCTION("""COMPUTED_VALUE"""),FALSE)</f>
        <v>0</v>
      </c>
      <c r="AB107" s="626">
        <f>IFERROR(__xludf.DUMMYFUNCTION("""COMPUTED_VALUE"""),45736.0)</f>
        <v>45736</v>
      </c>
      <c r="AC107" s="626">
        <f>IFERROR(__xludf.DUMMYFUNCTION("""COMPUTED_VALUE"""),45736.0)</f>
        <v>45736</v>
      </c>
      <c r="AD107" s="626">
        <f>IFERROR(__xludf.DUMMYFUNCTION("""COMPUTED_VALUE"""),45742.0)</f>
        <v>45742</v>
      </c>
      <c r="AE107" s="517" t="str">
        <f>IFERROR(__xludf.DUMMYFUNCTION("""COMPUTED_VALUE"""),"Cancel")</f>
        <v>Cancel</v>
      </c>
      <c r="AF107" s="517" t="str">
        <f>IFERROR(__xludf.DUMMYFUNCTION("""COMPUTED_VALUE"""),"Cancel")</f>
        <v>Cancel</v>
      </c>
      <c r="AG107" s="517" t="str">
        <f>IFERROR(__xludf.DUMMYFUNCTION("""COMPUTED_VALUE"""),"Cancel")</f>
        <v>Cancel</v>
      </c>
      <c r="AH107" s="517"/>
      <c r="AI107" s="626">
        <f>IFERROR(__xludf.DUMMYFUNCTION("""COMPUTED_VALUE"""),45764.0)</f>
        <v>45764</v>
      </c>
      <c r="AJ107" s="517" t="b">
        <f>IFERROR(__xludf.DUMMYFUNCTION("""COMPUTED_VALUE"""),FALSE)</f>
        <v>0</v>
      </c>
      <c r="AK107" s="517" t="b">
        <f>IFERROR(__xludf.DUMMYFUNCTION("""COMPUTED_VALUE"""),FALSE)</f>
        <v>0</v>
      </c>
      <c r="AL107" s="626">
        <f>IFERROR(__xludf.DUMMYFUNCTION("""COMPUTED_VALUE"""),45764.0)</f>
        <v>45764</v>
      </c>
      <c r="AM107" s="517"/>
      <c r="AN107" s="517"/>
      <c r="AO107" s="517"/>
      <c r="AP107" s="626">
        <f>IFERROR(__xludf.DUMMYFUNCTION("""COMPUTED_VALUE"""),45764.0)</f>
        <v>45764</v>
      </c>
      <c r="AQ107" s="517" t="b">
        <f>IFERROR(__xludf.DUMMYFUNCTION("""COMPUTED_VALUE"""),FALSE)</f>
        <v>0</v>
      </c>
      <c r="AR107" s="517" t="str">
        <f>IFERROR(__xludf.DUMMYFUNCTION("""COMPUTED_VALUE"""),"N")</f>
        <v>N</v>
      </c>
      <c r="AS107" s="517"/>
      <c r="AT107" s="626">
        <f>IFERROR(__xludf.DUMMYFUNCTION("""COMPUTED_VALUE"""),45764.0)</f>
        <v>45764</v>
      </c>
      <c r="AU107" s="517"/>
      <c r="AV107" s="517"/>
      <c r="AW107" s="626">
        <f>IFERROR(__xludf.DUMMYFUNCTION("""COMPUTED_VALUE"""),45811.0)</f>
        <v>45811</v>
      </c>
      <c r="AX107" s="626">
        <f>IFERROR(__xludf.DUMMYFUNCTION("""COMPUTED_VALUE"""),45811.0)</f>
        <v>45811</v>
      </c>
      <c r="AY107" s="517" t="b">
        <f>IFERROR(__xludf.DUMMYFUNCTION("""COMPUTED_VALUE"""),FALSE)</f>
        <v>0</v>
      </c>
    </row>
    <row r="108">
      <c r="B108" s="517" t="str">
        <f>IFERROR(__xludf.DUMMYFUNCTION("""COMPUTED_VALUE"""),"VZW")</f>
        <v>VZW</v>
      </c>
      <c r="C108" s="517" t="str">
        <f>IFERROR(__xludf.DUMMYFUNCTION("""COMPUTED_VALUE"""),"Cancel")</f>
        <v>Cancel</v>
      </c>
      <c r="D108" s="517" t="str">
        <f>IFERROR(__xludf.DUMMYFUNCTION("""COMPUTED_VALUE"""),"Pristine")</f>
        <v>Pristine</v>
      </c>
      <c r="E108" s="517" t="str">
        <f>IFERROR(__xludf.DUMMYFUNCTION("""COMPUTED_VALUE"""),"GA10242-US")</f>
        <v>GA10242-US</v>
      </c>
      <c r="F108" s="517" t="str">
        <f>IFERROR(__xludf.DUMMYFUNCTION("""COMPUTED_VALUE"""),"Cancel")</f>
        <v>Cancel</v>
      </c>
      <c r="G108" s="517" t="str">
        <f>IFERROR(__xludf.DUMMYFUNCTION("""COMPUTED_VALUE"""),"Cancel")</f>
        <v>Cancel</v>
      </c>
      <c r="H108" s="517" t="str">
        <f>IFERROR(__xludf.DUMMYFUNCTION("""COMPUTED_VALUE"""),"Cancel")</f>
        <v>Cancel</v>
      </c>
      <c r="I108" s="517" t="str">
        <f>IFERROR(__xludf.DUMMYFUNCTION("""COMPUTED_VALUE"""),"Cancel")</f>
        <v>Cancel</v>
      </c>
      <c r="J108" s="517" t="str">
        <f>IFERROR(__xludf.DUMMYFUNCTION("""COMPUTED_VALUE"""),"Cancel")</f>
        <v>Cancel</v>
      </c>
      <c r="K108" s="517" t="str">
        <f>IFERROR(__xludf.DUMMYFUNCTION("""COMPUTED_VALUE"""),"Cancel")</f>
        <v>Cancel</v>
      </c>
      <c r="M108" s="519" t="str">
        <f>IFERROR(__xludf.DUMMYFUNCTION("""COMPUTED_VALUE"""),"G990-08380-32-01")</f>
        <v>G990-08380-32-01</v>
      </c>
      <c r="N108" s="517" t="str">
        <f>IFERROR(__xludf.DUMMYFUNCTION("""COMPUTED_VALUE"""),"G990-08382-11-01
G990-08382-11-A")</f>
        <v>G990-08382-11-01
G990-08382-11-A</v>
      </c>
      <c r="O108" s="517" t="str">
        <f>IFERROR(__xludf.DUMMYFUNCTION("""COMPUTED_VALUE"""),"BOB→A
Retail→A")</f>
        <v>BOB→A
Retail→A</v>
      </c>
      <c r="P108" s="517" t="str">
        <f>IFERROR(__xludf.DUMMYFUNCTION("""COMPUTED_VALUE"""),"Cancel")</f>
        <v>Cancel</v>
      </c>
      <c r="Q108" s="517" t="str">
        <f>IFERROR(__xludf.DUMMYFUNCTION("""COMPUTED_VALUE"""),"Cancel")</f>
        <v>Cancel</v>
      </c>
      <c r="R108" s="517" t="str">
        <f>IFERROR(__xludf.DUMMYFUNCTION("""COMPUTED_VALUE"""),"Cancel")</f>
        <v>Cancel</v>
      </c>
      <c r="S108" s="517" t="str">
        <f>IFERROR(__xludf.DUMMYFUNCTION("""COMPUTED_VALUE"""),"Cancel")</f>
        <v>Cancel</v>
      </c>
      <c r="T108" s="517" t="str">
        <f>IFERROR(__xludf.DUMMYFUNCTION("""COMPUTED_VALUE"""),"Cancel")</f>
        <v>Cancel</v>
      </c>
      <c r="U108" s="517" t="str">
        <f>IFERROR(__xludf.DUMMYFUNCTION("""COMPUTED_VALUE"""),"Cancel")</f>
        <v>Cancel</v>
      </c>
      <c r="V108" s="624" t="str">
        <f>IFERROR(__xludf.DUMMYFUNCTION("""COMPUTED_VALUE"""),"#NUM!")</f>
        <v>#NUM!</v>
      </c>
      <c r="W108" s="625">
        <f>IFERROR(__xludf.DUMMYFUNCTION("""COMPUTED_VALUE"""),45815.0)</f>
        <v>45815</v>
      </c>
      <c r="X108" s="626">
        <f>IFERROR(__xludf.DUMMYFUNCTION("""COMPUTED_VALUE"""),45729.0)</f>
        <v>45729</v>
      </c>
      <c r="Y108" s="517" t="b">
        <f>IFERROR(__xludf.DUMMYFUNCTION("""COMPUTED_VALUE"""),FALSE)</f>
        <v>0</v>
      </c>
      <c r="Z108" s="626">
        <f>IFERROR(__xludf.DUMMYFUNCTION("""COMPUTED_VALUE"""),45730.0)</f>
        <v>45730</v>
      </c>
      <c r="AA108" s="517" t="b">
        <f>IFERROR(__xludf.DUMMYFUNCTION("""COMPUTED_VALUE"""),FALSE)</f>
        <v>0</v>
      </c>
      <c r="AB108" s="626">
        <f>IFERROR(__xludf.DUMMYFUNCTION("""COMPUTED_VALUE"""),45736.0)</f>
        <v>45736</v>
      </c>
      <c r="AC108" s="626">
        <f>IFERROR(__xludf.DUMMYFUNCTION("""COMPUTED_VALUE"""),45736.0)</f>
        <v>45736</v>
      </c>
      <c r="AD108" s="626">
        <f>IFERROR(__xludf.DUMMYFUNCTION("""COMPUTED_VALUE"""),45742.0)</f>
        <v>45742</v>
      </c>
      <c r="AE108" s="517" t="str">
        <f>IFERROR(__xludf.DUMMYFUNCTION("""COMPUTED_VALUE"""),"Cancel")</f>
        <v>Cancel</v>
      </c>
      <c r="AF108" s="517" t="str">
        <f>IFERROR(__xludf.DUMMYFUNCTION("""COMPUTED_VALUE"""),"Cancel")</f>
        <v>Cancel</v>
      </c>
      <c r="AG108" s="517" t="str">
        <f>IFERROR(__xludf.DUMMYFUNCTION("""COMPUTED_VALUE"""),"Cancel")</f>
        <v>Cancel</v>
      </c>
      <c r="AH108" s="517"/>
      <c r="AI108" s="626">
        <f>IFERROR(__xludf.DUMMYFUNCTION("""COMPUTED_VALUE"""),45764.0)</f>
        <v>45764</v>
      </c>
      <c r="AJ108" s="517" t="b">
        <f>IFERROR(__xludf.DUMMYFUNCTION("""COMPUTED_VALUE"""),FALSE)</f>
        <v>0</v>
      </c>
      <c r="AK108" s="517" t="b">
        <f>IFERROR(__xludf.DUMMYFUNCTION("""COMPUTED_VALUE"""),FALSE)</f>
        <v>0</v>
      </c>
      <c r="AL108" s="626">
        <f>IFERROR(__xludf.DUMMYFUNCTION("""COMPUTED_VALUE"""),45764.0)</f>
        <v>45764</v>
      </c>
      <c r="AM108" s="517"/>
      <c r="AN108" s="517"/>
      <c r="AO108" s="517"/>
      <c r="AP108" s="626">
        <f>IFERROR(__xludf.DUMMYFUNCTION("""COMPUTED_VALUE"""),45764.0)</f>
        <v>45764</v>
      </c>
      <c r="AQ108" s="517" t="b">
        <f>IFERROR(__xludf.DUMMYFUNCTION("""COMPUTED_VALUE"""),FALSE)</f>
        <v>0</v>
      </c>
      <c r="AR108" s="517" t="str">
        <f>IFERROR(__xludf.DUMMYFUNCTION("""COMPUTED_VALUE"""),"N")</f>
        <v>N</v>
      </c>
      <c r="AS108" s="517"/>
      <c r="AT108" s="626">
        <f>IFERROR(__xludf.DUMMYFUNCTION("""COMPUTED_VALUE"""),45764.0)</f>
        <v>45764</v>
      </c>
      <c r="AU108" s="517"/>
      <c r="AV108" s="517"/>
      <c r="AW108" s="626">
        <f>IFERROR(__xludf.DUMMYFUNCTION("""COMPUTED_VALUE"""),45811.0)</f>
        <v>45811</v>
      </c>
      <c r="AX108" s="626">
        <f>IFERROR(__xludf.DUMMYFUNCTION("""COMPUTED_VALUE"""),45811.0)</f>
        <v>45811</v>
      </c>
      <c r="AY108" s="517" t="b">
        <f>IFERROR(__xludf.DUMMYFUNCTION("""COMPUTED_VALUE"""),FALSE)</f>
        <v>0</v>
      </c>
    </row>
    <row r="109">
      <c r="B109" s="517" t="str">
        <f>IFERROR(__xludf.DUMMYFUNCTION("""COMPUTED_VALUE"""),"VZW")</f>
        <v>VZW</v>
      </c>
      <c r="C109" s="518" t="str">
        <f>IFERROR(__xludf.DUMMYFUNCTION("""COMPUTED_VALUE"""),"0840353926493")</f>
        <v>0840353926493</v>
      </c>
      <c r="D109" s="517" t="str">
        <f>IFERROR(__xludf.DUMMYFUNCTION("""COMPUTED_VALUE"""),"Pristine")</f>
        <v>Pristine</v>
      </c>
      <c r="E109" s="517" t="str">
        <f>IFERROR(__xludf.DUMMYFUNCTION("""COMPUTED_VALUE"""),"GA10243-US")</f>
        <v>GA10243-US</v>
      </c>
      <c r="F109" s="517" t="str">
        <f>IFERROR(__xludf.DUMMYFUNCTION("""COMPUTED_VALUE"""),"GLBW0")</f>
        <v>GLBW0</v>
      </c>
      <c r="G109" s="517"/>
      <c r="H109" s="518" t="str">
        <f>IFERROR(__xludf.DUMMYFUNCTION("""COMPUTED_VALUE"""),"840353926493")</f>
        <v>840353926493</v>
      </c>
      <c r="I109" s="517"/>
      <c r="J109" s="517" t="str">
        <f>IFERROR(__xludf.DUMMYFUNCTION("""COMPUTED_VALUE"""),"Retail_10ct")</f>
        <v>Retail_10ct</v>
      </c>
      <c r="K109" s="517" t="str">
        <f>IFERROR(__xludf.DUMMYFUNCTION("""COMPUTED_VALUE"""),"VZN Master Carton Label")</f>
        <v>VZN Master Carton Label</v>
      </c>
      <c r="M109" s="517" t="str">
        <f>IFERROR(__xludf.DUMMYFUNCTION("""COMPUTED_VALUE"""),"G990-08380-42-01
G990-08380-42-A")</f>
        <v>G990-08380-42-01
G990-08380-42-A</v>
      </c>
      <c r="N109" s="517" t="str">
        <f>IFERROR(__xludf.DUMMYFUNCTION("""COMPUTED_VALUE"""),"G990-08382-11-01
G990-08382-11-A")</f>
        <v>G990-08382-11-01
G990-08382-11-A</v>
      </c>
      <c r="O109" s="517" t="str">
        <f>IFERROR(__xludf.DUMMYFUNCTION("""COMPUTED_VALUE"""),"BOB→A
Retail→A")</f>
        <v>BOB→A
Retail→A</v>
      </c>
      <c r="P109" s="517" t="str">
        <f>IFERROR(__xludf.DUMMYFUNCTION("""COMPUTED_VALUE"""),"G990-08382-11-01
G990-08382-11-A")</f>
        <v>G990-08382-11-01
G990-08382-11-A</v>
      </c>
      <c r="Q109" s="517" t="str">
        <f>IFERROR(__xludf.DUMMYFUNCTION("""COMPUTED_VALUE"""),"Indigo")</f>
        <v>Indigo</v>
      </c>
      <c r="R109" s="517" t="str">
        <f>IFERROR(__xludf.DUMMYFUNCTION("""COMPUTED_VALUE"""),"BUE")</f>
        <v>BUE</v>
      </c>
      <c r="S109" s="517" t="str">
        <f>IFERROR(__xludf.DUMMYFUNCTION("""COMPUTED_VALUE"""),"VZW, US")</f>
        <v>VZW, US</v>
      </c>
      <c r="T109" s="517" t="str">
        <f>IFERROR(__xludf.DUMMYFUNCTION("""COMPUTED_VALUE"""),"SKU, CLR4, BETTER, MMWAVE, VZW, US, FL5")</f>
        <v>SKU, CLR4, BETTER, MMWAVE, VZW, US, FL5</v>
      </c>
      <c r="U109" s="517" t="str">
        <f>IFERROR(__xludf.DUMMYFUNCTION("""COMPUTED_VALUE"""),"Pixel 10, Indigo, 256GB, VZW, US")</f>
        <v>Pixel 10, Indigo, 256GB, VZW, US</v>
      </c>
      <c r="V109" s="624" t="str">
        <f>IFERROR(__xludf.DUMMYFUNCTION("""COMPUTED_VALUE"""),"#NUM!")</f>
        <v>#NUM!</v>
      </c>
      <c r="W109" s="625">
        <f>IFERROR(__xludf.DUMMYFUNCTION("""COMPUTED_VALUE"""),45815.0)</f>
        <v>45815</v>
      </c>
      <c r="X109" s="626">
        <f>IFERROR(__xludf.DUMMYFUNCTION("""COMPUTED_VALUE"""),45729.0)</f>
        <v>45729</v>
      </c>
      <c r="Y109" s="517" t="b">
        <f>IFERROR(__xludf.DUMMYFUNCTION("""COMPUTED_VALUE"""),TRUE)</f>
        <v>1</v>
      </c>
      <c r="Z109" s="626">
        <f>IFERROR(__xludf.DUMMYFUNCTION("""COMPUTED_VALUE"""),45730.0)</f>
        <v>45730</v>
      </c>
      <c r="AA109" s="517" t="b">
        <f>IFERROR(__xludf.DUMMYFUNCTION("""COMPUTED_VALUE"""),FALSE)</f>
        <v>0</v>
      </c>
      <c r="AB109" s="626">
        <f>IFERROR(__xludf.DUMMYFUNCTION("""COMPUTED_VALUE"""),45736.0)</f>
        <v>45736</v>
      </c>
      <c r="AC109" s="626">
        <f>IFERROR(__xludf.DUMMYFUNCTION("""COMPUTED_VALUE"""),45736.0)</f>
        <v>45736</v>
      </c>
      <c r="AD109" s="626">
        <f>IFERROR(__xludf.DUMMYFUNCTION("""COMPUTED_VALUE"""),45742.0)</f>
        <v>45742</v>
      </c>
      <c r="AE109" s="519" t="str">
        <f>IFERROR(__xludf.DUMMYFUNCTION("""COMPUTED_VALUE"""),"GA10243-US")</f>
        <v>GA10243-US</v>
      </c>
      <c r="AF109" s="519" t="str">
        <f>IFERROR(__xludf.DUMMYFUNCTION("""COMPUTED_VALUE"""),"GA10243-US")</f>
        <v>GA10243-US</v>
      </c>
      <c r="AG109" s="517" t="str">
        <f>IFERROR(__xludf.DUMMYFUNCTION("""COMPUTED_VALUE"""),"GA10243-US
GA10243-US(RevA)")</f>
        <v>GA10243-US
GA10243-US(RevA)</v>
      </c>
      <c r="AH109" s="519" t="str">
        <f>IFERROR(__xludf.DUMMYFUNCTION("""COMPUTED_VALUE"""),"GA10243-US")</f>
        <v>GA10243-US</v>
      </c>
      <c r="AI109" s="626">
        <f>IFERROR(__xludf.DUMMYFUNCTION("""COMPUTED_VALUE"""),45764.0)</f>
        <v>45764</v>
      </c>
      <c r="AJ109" s="517" t="b">
        <f>IFERROR(__xludf.DUMMYFUNCTION("""COMPUTED_VALUE"""),TRUE)</f>
        <v>1</v>
      </c>
      <c r="AK109" s="517" t="b">
        <f>IFERROR(__xludf.DUMMYFUNCTION("""COMPUTED_VALUE"""),TRUE)</f>
        <v>1</v>
      </c>
      <c r="AL109" s="626">
        <f>IFERROR(__xludf.DUMMYFUNCTION("""COMPUTED_VALUE"""),45764.0)</f>
        <v>45764</v>
      </c>
      <c r="AM109" s="517" t="str">
        <f>IFERROR(__xludf.DUMMYFUNCTION("""COMPUTED_VALUE"""),"Approved")</f>
        <v>Approved</v>
      </c>
      <c r="AN109" s="517" t="str">
        <f>IFERROR(__xludf.DUMMYFUNCTION("""COMPUTED_VALUE"""),"N")</f>
        <v>N</v>
      </c>
      <c r="AO109" s="517"/>
      <c r="AP109" s="626">
        <f>IFERROR(__xludf.DUMMYFUNCTION("""COMPUTED_VALUE"""),45764.0)</f>
        <v>45764</v>
      </c>
      <c r="AQ109" s="517" t="b">
        <f>IFERROR(__xludf.DUMMYFUNCTION("""COMPUTED_VALUE"""),TRUE)</f>
        <v>1</v>
      </c>
      <c r="AR109" s="517" t="str">
        <f>IFERROR(__xludf.DUMMYFUNCTION("""COMPUTED_VALUE"""),"N")</f>
        <v>N</v>
      </c>
      <c r="AS109" s="517"/>
      <c r="AT109" s="517" t="str">
        <f>IFERROR(__xludf.DUMMYFUNCTION("""COMPUTED_VALUE"""),"YunYu
5/13")</f>
        <v>YunYu
5/13</v>
      </c>
      <c r="AU109" s="517"/>
      <c r="AV109" s="517"/>
      <c r="AW109" s="626">
        <f>IFERROR(__xludf.DUMMYFUNCTION("""COMPUTED_VALUE"""),45811.0)</f>
        <v>45811</v>
      </c>
      <c r="AX109" s="626">
        <f>IFERROR(__xludf.DUMMYFUNCTION("""COMPUTED_VALUE"""),45811.0)</f>
        <v>45811</v>
      </c>
      <c r="AY109" s="517" t="b">
        <f>IFERROR(__xludf.DUMMYFUNCTION("""COMPUTED_VALUE"""),TRUE)</f>
        <v>1</v>
      </c>
    </row>
    <row r="110">
      <c r="B110" s="517" t="str">
        <f>IFERROR(__xludf.DUMMYFUNCTION("""COMPUTED_VALUE"""),"ATT")</f>
        <v>ATT</v>
      </c>
      <c r="C110" s="518" t="str">
        <f>IFERROR(__xludf.DUMMYFUNCTION("""COMPUTED_VALUE"""),"0840353926400")</f>
        <v>0840353926400</v>
      </c>
      <c r="D110" s="517" t="str">
        <f>IFERROR(__xludf.DUMMYFUNCTION("""COMPUTED_VALUE"""),"Pristine")</f>
        <v>Pristine</v>
      </c>
      <c r="E110" s="517" t="str">
        <f>IFERROR(__xludf.DUMMYFUNCTION("""COMPUTED_VALUE"""),"GA09861-US")</f>
        <v>GA09861-US</v>
      </c>
      <c r="F110" s="517" t="str">
        <f>IFERROR(__xludf.DUMMYFUNCTION("""COMPUTED_VALUE"""),"GLBW0")</f>
        <v>GLBW0</v>
      </c>
      <c r="G110" s="517" t="str">
        <f>IFERROR(__xludf.DUMMYFUNCTION("""COMPUTED_VALUE"""),"6990E")</f>
        <v>6990E</v>
      </c>
      <c r="H110" s="518" t="str">
        <f>IFERROR(__xludf.DUMMYFUNCTION("""COMPUTED_VALUE"""),"840353926400")</f>
        <v>840353926400</v>
      </c>
      <c r="I110" s="518" t="str">
        <f>IFERROR(__xludf.DUMMYFUNCTION("""COMPUTED_VALUE"""),"No")</f>
        <v>No</v>
      </c>
      <c r="J110" s="517" t="str">
        <f>IFERROR(__xludf.DUMMYFUNCTION("""COMPUTED_VALUE"""),"Retail_10ct")</f>
        <v>Retail_10ct</v>
      </c>
      <c r="K110" s="517" t="str">
        <f>IFERROR(__xludf.DUMMYFUNCTION("""COMPUTED_VALUE"""),"ATT Master Carton Label")</f>
        <v>ATT Master Carton Label</v>
      </c>
      <c r="M110" s="517" t="str">
        <f>IFERROR(__xludf.DUMMYFUNCTION("""COMPUTED_VALUE"""),"G990-08380-11-01
G990-08380-11-A")</f>
        <v>G990-08380-11-01
G990-08380-11-A</v>
      </c>
      <c r="N110" s="517" t="str">
        <f>IFERROR(__xludf.DUMMYFUNCTION("""COMPUTED_VALUE"""),"G990-08491-11-01
G990-08491-11-A")</f>
        <v>G990-08491-11-01
G990-08491-11-A</v>
      </c>
      <c r="O110" s="517" t="str">
        <f>IFERROR(__xludf.DUMMYFUNCTION("""COMPUTED_VALUE"""),"BOB→A
Retail→A")</f>
        <v>BOB→A
Retail→A</v>
      </c>
      <c r="P110" s="517" t="str">
        <f>IFERROR(__xludf.DUMMYFUNCTION("""COMPUTED_VALUE"""),"G990-08491-11-01
G990-08491-11-A")</f>
        <v>G990-08491-11-01
G990-08491-11-A</v>
      </c>
      <c r="Q110" s="517" t="str">
        <f>IFERROR(__xludf.DUMMYFUNCTION("""COMPUTED_VALUE"""),"Obsidian")</f>
        <v>Obsidian</v>
      </c>
      <c r="R110" s="517" t="str">
        <f>IFERROR(__xludf.DUMMYFUNCTION("""COMPUTED_VALUE"""),"BLK")</f>
        <v>BLK</v>
      </c>
      <c r="S110" s="517" t="str">
        <f>IFERROR(__xludf.DUMMYFUNCTION("""COMPUTED_VALUE"""),"AT&amp;T, US")</f>
        <v>AT&amp;T, US</v>
      </c>
      <c r="T110" s="517" t="str">
        <f>IFERROR(__xludf.DUMMYFUNCTION("""COMPUTED_VALUE"""),"SKU, CLR1, GOOD, MMWAVE, AT&amp;T, US, FL5")</f>
        <v>SKU, CLR1, GOOD, MMWAVE, AT&amp;T, US, FL5</v>
      </c>
      <c r="U110" s="517" t="str">
        <f>IFERROR(__xludf.DUMMYFUNCTION("""COMPUTED_VALUE"""),"Pixel 10, Obsidian, 128GB, AT&amp;T, US")</f>
        <v>Pixel 10, Obsidian, 128GB, AT&amp;T, US</v>
      </c>
      <c r="V110" s="624" t="str">
        <f>IFERROR(__xludf.DUMMYFUNCTION("""COMPUTED_VALUE"""),"#NUM!")</f>
        <v>#NUM!</v>
      </c>
      <c r="W110" s="625">
        <f>IFERROR(__xludf.DUMMYFUNCTION("""COMPUTED_VALUE"""),45815.0)</f>
        <v>45815</v>
      </c>
      <c r="X110" s="626">
        <f>IFERROR(__xludf.DUMMYFUNCTION("""COMPUTED_VALUE"""),45729.0)</f>
        <v>45729</v>
      </c>
      <c r="Y110" s="517" t="b">
        <f>IFERROR(__xludf.DUMMYFUNCTION("""COMPUTED_VALUE"""),TRUE)</f>
        <v>1</v>
      </c>
      <c r="Z110" s="626">
        <f>IFERROR(__xludf.DUMMYFUNCTION("""COMPUTED_VALUE"""),45730.0)</f>
        <v>45730</v>
      </c>
      <c r="AA110" s="517" t="b">
        <f>IFERROR(__xludf.DUMMYFUNCTION("""COMPUTED_VALUE"""),FALSE)</f>
        <v>0</v>
      </c>
      <c r="AB110" s="626">
        <f>IFERROR(__xludf.DUMMYFUNCTION("""COMPUTED_VALUE"""),45736.0)</f>
        <v>45736</v>
      </c>
      <c r="AC110" s="626">
        <f>IFERROR(__xludf.DUMMYFUNCTION("""COMPUTED_VALUE"""),45736.0)</f>
        <v>45736</v>
      </c>
      <c r="AD110" s="626">
        <f>IFERROR(__xludf.DUMMYFUNCTION("""COMPUTED_VALUE"""),45742.0)</f>
        <v>45742</v>
      </c>
      <c r="AE110" s="519" t="str">
        <f>IFERROR(__xludf.DUMMYFUNCTION("""COMPUTED_VALUE"""),"GA09861-US")</f>
        <v>GA09861-US</v>
      </c>
      <c r="AF110" s="519" t="str">
        <f>IFERROR(__xludf.DUMMYFUNCTION("""COMPUTED_VALUE"""),"GA09861-US")</f>
        <v>GA09861-US</v>
      </c>
      <c r="AG110" s="517" t="str">
        <f>IFERROR(__xludf.DUMMYFUNCTION("""COMPUTED_VALUE"""),"GA09861-US
GA09861-US(RevA)")</f>
        <v>GA09861-US
GA09861-US(RevA)</v>
      </c>
      <c r="AH110" s="519" t="str">
        <f>IFERROR(__xludf.DUMMYFUNCTION("""COMPUTED_VALUE"""),"GA09861-US")</f>
        <v>GA09861-US</v>
      </c>
      <c r="AI110" s="626">
        <f>IFERROR(__xludf.DUMMYFUNCTION("""COMPUTED_VALUE"""),45764.0)</f>
        <v>45764</v>
      </c>
      <c r="AJ110" s="517" t="b">
        <f>IFERROR(__xludf.DUMMYFUNCTION("""COMPUTED_VALUE"""),TRUE)</f>
        <v>1</v>
      </c>
      <c r="AK110" s="517" t="b">
        <f>IFERROR(__xludf.DUMMYFUNCTION("""COMPUTED_VALUE"""),TRUE)</f>
        <v>1</v>
      </c>
      <c r="AL110" s="626">
        <f>IFERROR(__xludf.DUMMYFUNCTION("""COMPUTED_VALUE"""),45764.0)</f>
        <v>45764</v>
      </c>
      <c r="AM110" s="517" t="str">
        <f>IFERROR(__xludf.DUMMYFUNCTION("""COMPUTED_VALUE"""),"Approved")</f>
        <v>Approved</v>
      </c>
      <c r="AN110" s="517" t="str">
        <f>IFERROR(__xludf.DUMMYFUNCTION("""COMPUTED_VALUE"""),"Y")</f>
        <v>Y</v>
      </c>
      <c r="AO110" s="517"/>
      <c r="AP110" s="626">
        <f>IFERROR(__xludf.DUMMYFUNCTION("""COMPUTED_VALUE"""),45764.0)</f>
        <v>45764</v>
      </c>
      <c r="AQ110" s="517" t="b">
        <f>IFERROR(__xludf.DUMMYFUNCTION("""COMPUTED_VALUE"""),TRUE)</f>
        <v>1</v>
      </c>
      <c r="AR110" s="517" t="str">
        <f>IFERROR(__xludf.DUMMYFUNCTION("""COMPUTED_VALUE"""),"N")</f>
        <v>N</v>
      </c>
      <c r="AS110" s="517"/>
      <c r="AT110" s="626">
        <f>IFERROR(__xludf.DUMMYFUNCTION("""COMPUTED_VALUE"""),45764.0)</f>
        <v>45764</v>
      </c>
      <c r="AU110" s="517" t="str">
        <f>IFERROR(__xludf.DUMMYFUNCTION("""COMPUTED_VALUE"""),"Y")</f>
        <v>Y</v>
      </c>
      <c r="AV110" s="517"/>
      <c r="AW110" s="626">
        <f>IFERROR(__xludf.DUMMYFUNCTION("""COMPUTED_VALUE"""),45811.0)</f>
        <v>45811</v>
      </c>
      <c r="AX110" s="626">
        <f>IFERROR(__xludf.DUMMYFUNCTION("""COMPUTED_VALUE"""),45811.0)</f>
        <v>45811</v>
      </c>
      <c r="AY110" s="517" t="b">
        <f>IFERROR(__xludf.DUMMYFUNCTION("""COMPUTED_VALUE"""),FALSE)</f>
        <v>0</v>
      </c>
    </row>
    <row r="111">
      <c r="B111" s="517" t="str">
        <f>IFERROR(__xludf.DUMMYFUNCTION("""COMPUTED_VALUE"""),"ATT")</f>
        <v>ATT</v>
      </c>
      <c r="C111" s="517" t="str">
        <f>IFERROR(__xludf.DUMMYFUNCTION("""COMPUTED_VALUE"""),"Cancel")</f>
        <v>Cancel</v>
      </c>
      <c r="D111" s="517" t="str">
        <f>IFERROR(__xludf.DUMMYFUNCTION("""COMPUTED_VALUE"""),"Pristine")</f>
        <v>Pristine</v>
      </c>
      <c r="E111" s="517" t="str">
        <f>IFERROR(__xludf.DUMMYFUNCTION("""COMPUTED_VALUE"""),"GA10244-US")</f>
        <v>GA10244-US</v>
      </c>
      <c r="F111" s="517" t="str">
        <f>IFERROR(__xludf.DUMMYFUNCTION("""COMPUTED_VALUE"""),"Cancel")</f>
        <v>Cancel</v>
      </c>
      <c r="G111" s="517" t="str">
        <f>IFERROR(__xludf.DUMMYFUNCTION("""COMPUTED_VALUE"""),"Cancel")</f>
        <v>Cancel</v>
      </c>
      <c r="H111" s="517" t="str">
        <f>IFERROR(__xludf.DUMMYFUNCTION("""COMPUTED_VALUE"""),"Cancel")</f>
        <v>Cancel</v>
      </c>
      <c r="I111" s="517" t="str">
        <f>IFERROR(__xludf.DUMMYFUNCTION("""COMPUTED_VALUE"""),"Cancel")</f>
        <v>Cancel</v>
      </c>
      <c r="J111" s="517" t="str">
        <f>IFERROR(__xludf.DUMMYFUNCTION("""COMPUTED_VALUE"""),"Cancel")</f>
        <v>Cancel</v>
      </c>
      <c r="K111" s="517" t="str">
        <f>IFERROR(__xludf.DUMMYFUNCTION("""COMPUTED_VALUE"""),"Cancel")</f>
        <v>Cancel</v>
      </c>
      <c r="M111" s="519" t="str">
        <f>IFERROR(__xludf.DUMMYFUNCTION("""COMPUTED_VALUE"""),"G990-08380-21-01")</f>
        <v>G990-08380-21-01</v>
      </c>
      <c r="N111" s="519" t="str">
        <f>IFERROR(__xludf.DUMMYFUNCTION("""COMPUTED_VALUE"""),"G990-08491-21-01")</f>
        <v>G990-08491-21-01</v>
      </c>
      <c r="O111" s="517"/>
      <c r="P111" s="517" t="str">
        <f>IFERROR(__xludf.DUMMYFUNCTION("""COMPUTED_VALUE"""),"Cancel")</f>
        <v>Cancel</v>
      </c>
      <c r="Q111" s="517" t="str">
        <f>IFERROR(__xludf.DUMMYFUNCTION("""COMPUTED_VALUE"""),"Cancel")</f>
        <v>Cancel</v>
      </c>
      <c r="R111" s="517" t="str">
        <f>IFERROR(__xludf.DUMMYFUNCTION("""COMPUTED_VALUE"""),"Cancel")</f>
        <v>Cancel</v>
      </c>
      <c r="S111" s="517" t="str">
        <f>IFERROR(__xludf.DUMMYFUNCTION("""COMPUTED_VALUE"""),"Cancel")</f>
        <v>Cancel</v>
      </c>
      <c r="T111" s="517" t="str">
        <f>IFERROR(__xludf.DUMMYFUNCTION("""COMPUTED_VALUE"""),"Cancel")</f>
        <v>Cancel</v>
      </c>
      <c r="U111" s="517" t="str">
        <f>IFERROR(__xludf.DUMMYFUNCTION("""COMPUTED_VALUE"""),"Cancel")</f>
        <v>Cancel</v>
      </c>
      <c r="V111" s="624" t="str">
        <f>IFERROR(__xludf.DUMMYFUNCTION("""COMPUTED_VALUE"""),"#NUM!")</f>
        <v>#NUM!</v>
      </c>
      <c r="W111" s="625">
        <f>IFERROR(__xludf.DUMMYFUNCTION("""COMPUTED_VALUE"""),45815.0)</f>
        <v>45815</v>
      </c>
      <c r="X111" s="626">
        <f>IFERROR(__xludf.DUMMYFUNCTION("""COMPUTED_VALUE"""),45729.0)</f>
        <v>45729</v>
      </c>
      <c r="Y111" s="517" t="b">
        <f>IFERROR(__xludf.DUMMYFUNCTION("""COMPUTED_VALUE"""),FALSE)</f>
        <v>0</v>
      </c>
      <c r="Z111" s="626">
        <f>IFERROR(__xludf.DUMMYFUNCTION("""COMPUTED_VALUE"""),45730.0)</f>
        <v>45730</v>
      </c>
      <c r="AA111" s="517" t="b">
        <f>IFERROR(__xludf.DUMMYFUNCTION("""COMPUTED_VALUE"""),FALSE)</f>
        <v>0</v>
      </c>
      <c r="AB111" s="626">
        <f>IFERROR(__xludf.DUMMYFUNCTION("""COMPUTED_VALUE"""),45736.0)</f>
        <v>45736</v>
      </c>
      <c r="AC111" s="626">
        <f>IFERROR(__xludf.DUMMYFUNCTION("""COMPUTED_VALUE"""),45736.0)</f>
        <v>45736</v>
      </c>
      <c r="AD111" s="626">
        <f>IFERROR(__xludf.DUMMYFUNCTION("""COMPUTED_VALUE"""),45742.0)</f>
        <v>45742</v>
      </c>
      <c r="AE111" s="517" t="str">
        <f>IFERROR(__xludf.DUMMYFUNCTION("""COMPUTED_VALUE"""),"Cancel")</f>
        <v>Cancel</v>
      </c>
      <c r="AF111" s="517" t="str">
        <f>IFERROR(__xludf.DUMMYFUNCTION("""COMPUTED_VALUE"""),"Cancel")</f>
        <v>Cancel</v>
      </c>
      <c r="AG111" s="517" t="str">
        <f>IFERROR(__xludf.DUMMYFUNCTION("""COMPUTED_VALUE"""),"Cancel")</f>
        <v>Cancel</v>
      </c>
      <c r="AH111" s="517"/>
      <c r="AI111" s="626">
        <f>IFERROR(__xludf.DUMMYFUNCTION("""COMPUTED_VALUE"""),45764.0)</f>
        <v>45764</v>
      </c>
      <c r="AJ111" s="517" t="b">
        <f>IFERROR(__xludf.DUMMYFUNCTION("""COMPUTED_VALUE"""),FALSE)</f>
        <v>0</v>
      </c>
      <c r="AK111" s="517" t="b">
        <f>IFERROR(__xludf.DUMMYFUNCTION("""COMPUTED_VALUE"""),FALSE)</f>
        <v>0</v>
      </c>
      <c r="AL111" s="626">
        <f>IFERROR(__xludf.DUMMYFUNCTION("""COMPUTED_VALUE"""),45764.0)</f>
        <v>45764</v>
      </c>
      <c r="AM111" s="517"/>
      <c r="AN111" s="517"/>
      <c r="AO111" s="517"/>
      <c r="AP111" s="626">
        <f>IFERROR(__xludf.DUMMYFUNCTION("""COMPUTED_VALUE"""),45764.0)</f>
        <v>45764</v>
      </c>
      <c r="AQ111" s="517" t="b">
        <f>IFERROR(__xludf.DUMMYFUNCTION("""COMPUTED_VALUE"""),FALSE)</f>
        <v>0</v>
      </c>
      <c r="AR111" s="517" t="str">
        <f>IFERROR(__xludf.DUMMYFUNCTION("""COMPUTED_VALUE"""),"N")</f>
        <v>N</v>
      </c>
      <c r="AS111" s="517"/>
      <c r="AT111" s="626">
        <f>IFERROR(__xludf.DUMMYFUNCTION("""COMPUTED_VALUE"""),45764.0)</f>
        <v>45764</v>
      </c>
      <c r="AU111" s="517"/>
      <c r="AV111" s="517"/>
      <c r="AW111" s="626">
        <f>IFERROR(__xludf.DUMMYFUNCTION("""COMPUTED_VALUE"""),45811.0)</f>
        <v>45811</v>
      </c>
      <c r="AX111" s="626">
        <f>IFERROR(__xludf.DUMMYFUNCTION("""COMPUTED_VALUE"""),45811.0)</f>
        <v>45811</v>
      </c>
      <c r="AY111" s="517" t="b">
        <f>IFERROR(__xludf.DUMMYFUNCTION("""COMPUTED_VALUE"""),FALSE)</f>
        <v>0</v>
      </c>
    </row>
    <row r="112">
      <c r="B112" s="517" t="str">
        <f>IFERROR(__xludf.DUMMYFUNCTION("""COMPUTED_VALUE"""),"ATT")</f>
        <v>ATT</v>
      </c>
      <c r="C112" s="517" t="str">
        <f>IFERROR(__xludf.DUMMYFUNCTION("""COMPUTED_VALUE"""),"Cancel")</f>
        <v>Cancel</v>
      </c>
      <c r="D112" s="517" t="str">
        <f>IFERROR(__xludf.DUMMYFUNCTION("""COMPUTED_VALUE"""),"Pristine")</f>
        <v>Pristine</v>
      </c>
      <c r="E112" s="517" t="str">
        <f>IFERROR(__xludf.DUMMYFUNCTION("""COMPUTED_VALUE"""),"GA10245-US")</f>
        <v>GA10245-US</v>
      </c>
      <c r="F112" s="517" t="str">
        <f>IFERROR(__xludf.DUMMYFUNCTION("""COMPUTED_VALUE"""),"Cancel")</f>
        <v>Cancel</v>
      </c>
      <c r="G112" s="517" t="str">
        <f>IFERROR(__xludf.DUMMYFUNCTION("""COMPUTED_VALUE"""),"Cancel")</f>
        <v>Cancel</v>
      </c>
      <c r="H112" s="517" t="str">
        <f>IFERROR(__xludf.DUMMYFUNCTION("""COMPUTED_VALUE"""),"Cancel")</f>
        <v>Cancel</v>
      </c>
      <c r="I112" s="517" t="str">
        <f>IFERROR(__xludf.DUMMYFUNCTION("""COMPUTED_VALUE"""),"Cancel")</f>
        <v>Cancel</v>
      </c>
      <c r="J112" s="517" t="str">
        <f>IFERROR(__xludf.DUMMYFUNCTION("""COMPUTED_VALUE"""),"Cancel")</f>
        <v>Cancel</v>
      </c>
      <c r="K112" s="517" t="str">
        <f>IFERROR(__xludf.DUMMYFUNCTION("""COMPUTED_VALUE"""),"Cancel")</f>
        <v>Cancel</v>
      </c>
      <c r="M112" s="519" t="str">
        <f>IFERROR(__xludf.DUMMYFUNCTION("""COMPUTED_VALUE"""),"G990-08380-31-02")</f>
        <v>G990-08380-31-02</v>
      </c>
      <c r="N112" s="519" t="str">
        <f>IFERROR(__xludf.DUMMYFUNCTION("""COMPUTED_VALUE"""),"G990-08491-31-01")</f>
        <v>G990-08491-31-01</v>
      </c>
      <c r="O112" s="517"/>
      <c r="P112" s="517" t="str">
        <f>IFERROR(__xludf.DUMMYFUNCTION("""COMPUTED_VALUE"""),"Cancel")</f>
        <v>Cancel</v>
      </c>
      <c r="Q112" s="517" t="str">
        <f>IFERROR(__xludf.DUMMYFUNCTION("""COMPUTED_VALUE"""),"Cancel")</f>
        <v>Cancel</v>
      </c>
      <c r="R112" s="517" t="str">
        <f>IFERROR(__xludf.DUMMYFUNCTION("""COMPUTED_VALUE"""),"Cancel")</f>
        <v>Cancel</v>
      </c>
      <c r="S112" s="517" t="str">
        <f>IFERROR(__xludf.DUMMYFUNCTION("""COMPUTED_VALUE"""),"Cancel")</f>
        <v>Cancel</v>
      </c>
      <c r="T112" s="517" t="str">
        <f>IFERROR(__xludf.DUMMYFUNCTION("""COMPUTED_VALUE"""),"Cancel")</f>
        <v>Cancel</v>
      </c>
      <c r="U112" s="517" t="str">
        <f>IFERROR(__xludf.DUMMYFUNCTION("""COMPUTED_VALUE"""),"Cancel")</f>
        <v>Cancel</v>
      </c>
      <c r="V112" s="624" t="str">
        <f>IFERROR(__xludf.DUMMYFUNCTION("""COMPUTED_VALUE"""),"#NUM!")</f>
        <v>#NUM!</v>
      </c>
      <c r="W112" s="625">
        <f>IFERROR(__xludf.DUMMYFUNCTION("""COMPUTED_VALUE"""),45815.0)</f>
        <v>45815</v>
      </c>
      <c r="X112" s="626">
        <f>IFERROR(__xludf.DUMMYFUNCTION("""COMPUTED_VALUE"""),45729.0)</f>
        <v>45729</v>
      </c>
      <c r="Y112" s="517" t="b">
        <f>IFERROR(__xludf.DUMMYFUNCTION("""COMPUTED_VALUE"""),FALSE)</f>
        <v>0</v>
      </c>
      <c r="Z112" s="626">
        <f>IFERROR(__xludf.DUMMYFUNCTION("""COMPUTED_VALUE"""),45730.0)</f>
        <v>45730</v>
      </c>
      <c r="AA112" s="517" t="b">
        <f>IFERROR(__xludf.DUMMYFUNCTION("""COMPUTED_VALUE"""),FALSE)</f>
        <v>0</v>
      </c>
      <c r="AB112" s="626">
        <f>IFERROR(__xludf.DUMMYFUNCTION("""COMPUTED_VALUE"""),45736.0)</f>
        <v>45736</v>
      </c>
      <c r="AC112" s="626">
        <f>IFERROR(__xludf.DUMMYFUNCTION("""COMPUTED_VALUE"""),45736.0)</f>
        <v>45736</v>
      </c>
      <c r="AD112" s="626">
        <f>IFERROR(__xludf.DUMMYFUNCTION("""COMPUTED_VALUE"""),45742.0)</f>
        <v>45742</v>
      </c>
      <c r="AE112" s="517" t="str">
        <f>IFERROR(__xludf.DUMMYFUNCTION("""COMPUTED_VALUE"""),"Cancel")</f>
        <v>Cancel</v>
      </c>
      <c r="AF112" s="517" t="str">
        <f>IFERROR(__xludf.DUMMYFUNCTION("""COMPUTED_VALUE"""),"Cancel")</f>
        <v>Cancel</v>
      </c>
      <c r="AG112" s="517" t="str">
        <f>IFERROR(__xludf.DUMMYFUNCTION("""COMPUTED_VALUE"""),"Cancel")</f>
        <v>Cancel</v>
      </c>
      <c r="AH112" s="517"/>
      <c r="AI112" s="626">
        <f>IFERROR(__xludf.DUMMYFUNCTION("""COMPUTED_VALUE"""),45764.0)</f>
        <v>45764</v>
      </c>
      <c r="AJ112" s="517" t="b">
        <f>IFERROR(__xludf.DUMMYFUNCTION("""COMPUTED_VALUE"""),FALSE)</f>
        <v>0</v>
      </c>
      <c r="AK112" s="517" t="b">
        <f>IFERROR(__xludf.DUMMYFUNCTION("""COMPUTED_VALUE"""),FALSE)</f>
        <v>0</v>
      </c>
      <c r="AL112" s="626">
        <f>IFERROR(__xludf.DUMMYFUNCTION("""COMPUTED_VALUE"""),45764.0)</f>
        <v>45764</v>
      </c>
      <c r="AM112" s="517"/>
      <c r="AN112" s="517"/>
      <c r="AO112" s="517"/>
      <c r="AP112" s="626">
        <f>IFERROR(__xludf.DUMMYFUNCTION("""COMPUTED_VALUE"""),45764.0)</f>
        <v>45764</v>
      </c>
      <c r="AQ112" s="517" t="b">
        <f>IFERROR(__xludf.DUMMYFUNCTION("""COMPUTED_VALUE"""),FALSE)</f>
        <v>0</v>
      </c>
      <c r="AR112" s="517" t="str">
        <f>IFERROR(__xludf.DUMMYFUNCTION("""COMPUTED_VALUE"""),"N")</f>
        <v>N</v>
      </c>
      <c r="AS112" s="517"/>
      <c r="AT112" s="626">
        <f>IFERROR(__xludf.DUMMYFUNCTION("""COMPUTED_VALUE"""),45764.0)</f>
        <v>45764</v>
      </c>
      <c r="AU112" s="517"/>
      <c r="AV112" s="517"/>
      <c r="AW112" s="626">
        <f>IFERROR(__xludf.DUMMYFUNCTION("""COMPUTED_VALUE"""),45811.0)</f>
        <v>45811</v>
      </c>
      <c r="AX112" s="626">
        <f>IFERROR(__xludf.DUMMYFUNCTION("""COMPUTED_VALUE"""),45811.0)</f>
        <v>45811</v>
      </c>
      <c r="AY112" s="517" t="b">
        <f>IFERROR(__xludf.DUMMYFUNCTION("""COMPUTED_VALUE"""),FALSE)</f>
        <v>0</v>
      </c>
    </row>
    <row r="113">
      <c r="B113" s="517" t="str">
        <f>IFERROR(__xludf.DUMMYFUNCTION("""COMPUTED_VALUE"""),"ATT")</f>
        <v>ATT</v>
      </c>
      <c r="C113" s="518" t="str">
        <f>IFERROR(__xludf.DUMMYFUNCTION("""COMPUTED_VALUE"""),"0840353926431")</f>
        <v>0840353926431</v>
      </c>
      <c r="D113" s="517" t="str">
        <f>IFERROR(__xludf.DUMMYFUNCTION("""COMPUTED_VALUE"""),"Pristine")</f>
        <v>Pristine</v>
      </c>
      <c r="E113" s="517" t="str">
        <f>IFERROR(__xludf.DUMMYFUNCTION("""COMPUTED_VALUE"""),"GA10246-US")</f>
        <v>GA10246-US</v>
      </c>
      <c r="F113" s="517" t="str">
        <f>IFERROR(__xludf.DUMMYFUNCTION("""COMPUTED_VALUE"""),"GLBW0")</f>
        <v>GLBW0</v>
      </c>
      <c r="G113" s="517" t="str">
        <f>IFERROR(__xludf.DUMMYFUNCTION("""COMPUTED_VALUE"""),"6991E")</f>
        <v>6991E</v>
      </c>
      <c r="H113" s="518" t="str">
        <f>IFERROR(__xludf.DUMMYFUNCTION("""COMPUTED_VALUE"""),"840353926431")</f>
        <v>840353926431</v>
      </c>
      <c r="I113" s="518" t="str">
        <f>IFERROR(__xludf.DUMMYFUNCTION("""COMPUTED_VALUE"""),"No")</f>
        <v>No</v>
      </c>
      <c r="J113" s="517" t="str">
        <f>IFERROR(__xludf.DUMMYFUNCTION("""COMPUTED_VALUE"""),"Retail_10ct")</f>
        <v>Retail_10ct</v>
      </c>
      <c r="K113" s="517" t="str">
        <f>IFERROR(__xludf.DUMMYFUNCTION("""COMPUTED_VALUE"""),"ATT Master Carton Label")</f>
        <v>ATT Master Carton Label</v>
      </c>
      <c r="M113" s="517" t="str">
        <f>IFERROR(__xludf.DUMMYFUNCTION("""COMPUTED_VALUE"""),"G990-08380-41-01
G990-08380-41-A")</f>
        <v>G990-08380-41-01
G990-08380-41-A</v>
      </c>
      <c r="N113" s="517" t="str">
        <f>IFERROR(__xludf.DUMMYFUNCTION("""COMPUTED_VALUE"""),"G990-08491-41-01
G990-08491-41-A")</f>
        <v>G990-08491-41-01
G990-08491-41-A</v>
      </c>
      <c r="O113" s="517" t="str">
        <f>IFERROR(__xludf.DUMMYFUNCTION("""COMPUTED_VALUE"""),"BOB→A
Retail→A")</f>
        <v>BOB→A
Retail→A</v>
      </c>
      <c r="P113" s="517" t="str">
        <f>IFERROR(__xludf.DUMMYFUNCTION("""COMPUTED_VALUE"""),"G990-08491-41-01
G990-08491-41-A")</f>
        <v>G990-08491-41-01
G990-08491-41-A</v>
      </c>
      <c r="Q113" s="517" t="str">
        <f>IFERROR(__xludf.DUMMYFUNCTION("""COMPUTED_VALUE"""),"Indigo")</f>
        <v>Indigo</v>
      </c>
      <c r="R113" s="517" t="str">
        <f>IFERROR(__xludf.DUMMYFUNCTION("""COMPUTED_VALUE"""),"BUE")</f>
        <v>BUE</v>
      </c>
      <c r="S113" s="517" t="str">
        <f>IFERROR(__xludf.DUMMYFUNCTION("""COMPUTED_VALUE"""),"AT&amp;T, US")</f>
        <v>AT&amp;T, US</v>
      </c>
      <c r="T113" s="517" t="str">
        <f>IFERROR(__xludf.DUMMYFUNCTION("""COMPUTED_VALUE"""),"SKU, CLR4, GOOD, MMWAVE, AT&amp;T, US, FL5")</f>
        <v>SKU, CLR4, GOOD, MMWAVE, AT&amp;T, US, FL5</v>
      </c>
      <c r="U113" s="517" t="str">
        <f>IFERROR(__xludf.DUMMYFUNCTION("""COMPUTED_VALUE"""),"Pixel 10, Indigo, 128GB, AT&amp;T, US")</f>
        <v>Pixel 10, Indigo, 128GB, AT&amp;T, US</v>
      </c>
      <c r="V113" s="624" t="str">
        <f>IFERROR(__xludf.DUMMYFUNCTION("""COMPUTED_VALUE"""),"#NUM!")</f>
        <v>#NUM!</v>
      </c>
      <c r="W113" s="625">
        <f>IFERROR(__xludf.DUMMYFUNCTION("""COMPUTED_VALUE"""),45815.0)</f>
        <v>45815</v>
      </c>
      <c r="X113" s="626">
        <f>IFERROR(__xludf.DUMMYFUNCTION("""COMPUTED_VALUE"""),45729.0)</f>
        <v>45729</v>
      </c>
      <c r="Y113" s="517" t="b">
        <f>IFERROR(__xludf.DUMMYFUNCTION("""COMPUTED_VALUE"""),TRUE)</f>
        <v>1</v>
      </c>
      <c r="Z113" s="626">
        <f>IFERROR(__xludf.DUMMYFUNCTION("""COMPUTED_VALUE"""),45730.0)</f>
        <v>45730</v>
      </c>
      <c r="AA113" s="517" t="b">
        <f>IFERROR(__xludf.DUMMYFUNCTION("""COMPUTED_VALUE"""),FALSE)</f>
        <v>0</v>
      </c>
      <c r="AB113" s="626">
        <f>IFERROR(__xludf.DUMMYFUNCTION("""COMPUTED_VALUE"""),45736.0)</f>
        <v>45736</v>
      </c>
      <c r="AC113" s="626">
        <f>IFERROR(__xludf.DUMMYFUNCTION("""COMPUTED_VALUE"""),45736.0)</f>
        <v>45736</v>
      </c>
      <c r="AD113" s="626">
        <f>IFERROR(__xludf.DUMMYFUNCTION("""COMPUTED_VALUE"""),45742.0)</f>
        <v>45742</v>
      </c>
      <c r="AE113" s="519" t="str">
        <f>IFERROR(__xludf.DUMMYFUNCTION("""COMPUTED_VALUE"""),"GA10246-US")</f>
        <v>GA10246-US</v>
      </c>
      <c r="AF113" s="519" t="str">
        <f>IFERROR(__xludf.DUMMYFUNCTION("""COMPUTED_VALUE"""),"GA10246-US")</f>
        <v>GA10246-US</v>
      </c>
      <c r="AG113" s="517" t="str">
        <f>IFERROR(__xludf.DUMMYFUNCTION("""COMPUTED_VALUE"""),"GA10246-US
GA10246-US(RevA)")</f>
        <v>GA10246-US
GA10246-US(RevA)</v>
      </c>
      <c r="AH113" s="519" t="str">
        <f>IFERROR(__xludf.DUMMYFUNCTION("""COMPUTED_VALUE"""),"GA10246-US")</f>
        <v>GA10246-US</v>
      </c>
      <c r="AI113" s="626">
        <f>IFERROR(__xludf.DUMMYFUNCTION("""COMPUTED_VALUE"""),45764.0)</f>
        <v>45764</v>
      </c>
      <c r="AJ113" s="517" t="b">
        <f>IFERROR(__xludf.DUMMYFUNCTION("""COMPUTED_VALUE"""),TRUE)</f>
        <v>1</v>
      </c>
      <c r="AK113" s="517" t="b">
        <f>IFERROR(__xludf.DUMMYFUNCTION("""COMPUTED_VALUE"""),TRUE)</f>
        <v>1</v>
      </c>
      <c r="AL113" s="626">
        <f>IFERROR(__xludf.DUMMYFUNCTION("""COMPUTED_VALUE"""),45764.0)</f>
        <v>45764</v>
      </c>
      <c r="AM113" s="517" t="str">
        <f>IFERROR(__xludf.DUMMYFUNCTION("""COMPUTED_VALUE"""),"Approved")</f>
        <v>Approved</v>
      </c>
      <c r="AN113" s="517" t="str">
        <f>IFERROR(__xludf.DUMMYFUNCTION("""COMPUTED_VALUE"""),"N")</f>
        <v>N</v>
      </c>
      <c r="AO113" s="517"/>
      <c r="AP113" s="626">
        <f>IFERROR(__xludf.DUMMYFUNCTION("""COMPUTED_VALUE"""),45764.0)</f>
        <v>45764</v>
      </c>
      <c r="AQ113" s="517" t="b">
        <f>IFERROR(__xludf.DUMMYFUNCTION("""COMPUTED_VALUE"""),TRUE)</f>
        <v>1</v>
      </c>
      <c r="AR113" s="517" t="str">
        <f>IFERROR(__xludf.DUMMYFUNCTION("""COMPUTED_VALUE"""),"N")</f>
        <v>N</v>
      </c>
      <c r="AS113" s="517"/>
      <c r="AT113" s="626">
        <f>IFERROR(__xludf.DUMMYFUNCTION("""COMPUTED_VALUE"""),45764.0)</f>
        <v>45764</v>
      </c>
      <c r="AU113" s="517" t="str">
        <f>IFERROR(__xludf.DUMMYFUNCTION("""COMPUTED_VALUE"""),"Y")</f>
        <v>Y</v>
      </c>
      <c r="AV113" s="517"/>
      <c r="AW113" s="626">
        <f>IFERROR(__xludf.DUMMYFUNCTION("""COMPUTED_VALUE"""),45811.0)</f>
        <v>45811</v>
      </c>
      <c r="AX113" s="626">
        <f>IFERROR(__xludf.DUMMYFUNCTION("""COMPUTED_VALUE"""),45811.0)</f>
        <v>45811</v>
      </c>
      <c r="AY113" s="517" t="b">
        <f>IFERROR(__xludf.DUMMYFUNCTION("""COMPUTED_VALUE"""),FALSE)</f>
        <v>0</v>
      </c>
    </row>
    <row r="114">
      <c r="B114" s="517" t="str">
        <f>IFERROR(__xludf.DUMMYFUNCTION("""COMPUTED_VALUE"""),"ATT")</f>
        <v>ATT</v>
      </c>
      <c r="C114" s="517" t="str">
        <f>IFERROR(__xludf.DUMMYFUNCTION("""COMPUTED_VALUE"""),"Cancel")</f>
        <v>Cancel</v>
      </c>
      <c r="D114" s="517" t="str">
        <f>IFERROR(__xludf.DUMMYFUNCTION("""COMPUTED_VALUE"""),"Pristine")</f>
        <v>Pristine</v>
      </c>
      <c r="E114" s="517" t="str">
        <f>IFERROR(__xludf.DUMMYFUNCTION("""COMPUTED_VALUE"""),"GA09881-US")</f>
        <v>GA09881-US</v>
      </c>
      <c r="F114" s="517" t="str">
        <f>IFERROR(__xludf.DUMMYFUNCTION("""COMPUTED_VALUE"""),"Cancel")</f>
        <v>Cancel</v>
      </c>
      <c r="G114" s="517" t="str">
        <f>IFERROR(__xludf.DUMMYFUNCTION("""COMPUTED_VALUE"""),"Cancel")</f>
        <v>Cancel</v>
      </c>
      <c r="H114" s="517" t="str">
        <f>IFERROR(__xludf.DUMMYFUNCTION("""COMPUTED_VALUE"""),"Cancel")</f>
        <v>Cancel</v>
      </c>
      <c r="I114" s="517" t="str">
        <f>IFERROR(__xludf.DUMMYFUNCTION("""COMPUTED_VALUE"""),"Cancel")</f>
        <v>Cancel</v>
      </c>
      <c r="J114" s="517" t="str">
        <f>IFERROR(__xludf.DUMMYFUNCTION("""COMPUTED_VALUE"""),"Cancel")</f>
        <v>Cancel</v>
      </c>
      <c r="K114" s="517" t="str">
        <f>IFERROR(__xludf.DUMMYFUNCTION("""COMPUTED_VALUE"""),"Cancel")</f>
        <v>Cancel</v>
      </c>
      <c r="M114" s="519" t="str">
        <f>IFERROR(__xludf.DUMMYFUNCTION("""COMPUTED_VALUE"""),"G990-08380-12-01")</f>
        <v>G990-08380-12-01</v>
      </c>
      <c r="N114" s="519" t="str">
        <f>IFERROR(__xludf.DUMMYFUNCTION("""COMPUTED_VALUE"""),"G990-08491-12-01")</f>
        <v>G990-08491-12-01</v>
      </c>
      <c r="O114" s="517"/>
      <c r="P114" s="517" t="str">
        <f>IFERROR(__xludf.DUMMYFUNCTION("""COMPUTED_VALUE"""),"Cancel")</f>
        <v>Cancel</v>
      </c>
      <c r="Q114" s="517" t="str">
        <f>IFERROR(__xludf.DUMMYFUNCTION("""COMPUTED_VALUE"""),"Cancel")</f>
        <v>Cancel</v>
      </c>
      <c r="R114" s="517" t="str">
        <f>IFERROR(__xludf.DUMMYFUNCTION("""COMPUTED_VALUE"""),"Cancel")</f>
        <v>Cancel</v>
      </c>
      <c r="S114" s="517" t="str">
        <f>IFERROR(__xludf.DUMMYFUNCTION("""COMPUTED_VALUE"""),"Cancel")</f>
        <v>Cancel</v>
      </c>
      <c r="T114" s="517" t="str">
        <f>IFERROR(__xludf.DUMMYFUNCTION("""COMPUTED_VALUE"""),"Cancel")</f>
        <v>Cancel</v>
      </c>
      <c r="U114" s="517" t="str">
        <f>IFERROR(__xludf.DUMMYFUNCTION("""COMPUTED_VALUE"""),"Cancel")</f>
        <v>Cancel</v>
      </c>
      <c r="V114" s="624" t="str">
        <f>IFERROR(__xludf.DUMMYFUNCTION("""COMPUTED_VALUE"""),"#NUM!")</f>
        <v>#NUM!</v>
      </c>
      <c r="W114" s="625">
        <f>IFERROR(__xludf.DUMMYFUNCTION("""COMPUTED_VALUE"""),45815.0)</f>
        <v>45815</v>
      </c>
      <c r="X114" s="626">
        <f>IFERROR(__xludf.DUMMYFUNCTION("""COMPUTED_VALUE"""),45729.0)</f>
        <v>45729</v>
      </c>
      <c r="Y114" s="517" t="b">
        <f>IFERROR(__xludf.DUMMYFUNCTION("""COMPUTED_VALUE"""),FALSE)</f>
        <v>0</v>
      </c>
      <c r="Z114" s="626">
        <f>IFERROR(__xludf.DUMMYFUNCTION("""COMPUTED_VALUE"""),45730.0)</f>
        <v>45730</v>
      </c>
      <c r="AA114" s="517" t="b">
        <f>IFERROR(__xludf.DUMMYFUNCTION("""COMPUTED_VALUE"""),FALSE)</f>
        <v>0</v>
      </c>
      <c r="AB114" s="626">
        <f>IFERROR(__xludf.DUMMYFUNCTION("""COMPUTED_VALUE"""),45736.0)</f>
        <v>45736</v>
      </c>
      <c r="AC114" s="626">
        <f>IFERROR(__xludf.DUMMYFUNCTION("""COMPUTED_VALUE"""),45736.0)</f>
        <v>45736</v>
      </c>
      <c r="AD114" s="626">
        <f>IFERROR(__xludf.DUMMYFUNCTION("""COMPUTED_VALUE"""),45742.0)</f>
        <v>45742</v>
      </c>
      <c r="AE114" s="517" t="str">
        <f>IFERROR(__xludf.DUMMYFUNCTION("""COMPUTED_VALUE"""),"Cancel")</f>
        <v>Cancel</v>
      </c>
      <c r="AF114" s="517" t="str">
        <f>IFERROR(__xludf.DUMMYFUNCTION("""COMPUTED_VALUE"""),"Cancel")</f>
        <v>Cancel</v>
      </c>
      <c r="AG114" s="517" t="str">
        <f>IFERROR(__xludf.DUMMYFUNCTION("""COMPUTED_VALUE"""),"Cancel")</f>
        <v>Cancel</v>
      </c>
      <c r="AH114" s="517"/>
      <c r="AI114" s="626">
        <f>IFERROR(__xludf.DUMMYFUNCTION("""COMPUTED_VALUE"""),45764.0)</f>
        <v>45764</v>
      </c>
      <c r="AJ114" s="517" t="b">
        <f>IFERROR(__xludf.DUMMYFUNCTION("""COMPUTED_VALUE"""),FALSE)</f>
        <v>0</v>
      </c>
      <c r="AK114" s="517" t="b">
        <f>IFERROR(__xludf.DUMMYFUNCTION("""COMPUTED_VALUE"""),FALSE)</f>
        <v>0</v>
      </c>
      <c r="AL114" s="626">
        <f>IFERROR(__xludf.DUMMYFUNCTION("""COMPUTED_VALUE"""),45764.0)</f>
        <v>45764</v>
      </c>
      <c r="AM114" s="517"/>
      <c r="AN114" s="517"/>
      <c r="AO114" s="517"/>
      <c r="AP114" s="626">
        <f>IFERROR(__xludf.DUMMYFUNCTION("""COMPUTED_VALUE"""),45764.0)</f>
        <v>45764</v>
      </c>
      <c r="AQ114" s="517" t="b">
        <f>IFERROR(__xludf.DUMMYFUNCTION("""COMPUTED_VALUE"""),FALSE)</f>
        <v>0</v>
      </c>
      <c r="AR114" s="517" t="str">
        <f>IFERROR(__xludf.DUMMYFUNCTION("""COMPUTED_VALUE"""),"N")</f>
        <v>N</v>
      </c>
      <c r="AS114" s="517"/>
      <c r="AT114" s="626">
        <f>IFERROR(__xludf.DUMMYFUNCTION("""COMPUTED_VALUE"""),45764.0)</f>
        <v>45764</v>
      </c>
      <c r="AU114" s="517"/>
      <c r="AV114" s="517"/>
      <c r="AW114" s="626">
        <f>IFERROR(__xludf.DUMMYFUNCTION("""COMPUTED_VALUE"""),45811.0)</f>
        <v>45811</v>
      </c>
      <c r="AX114" s="626">
        <f>IFERROR(__xludf.DUMMYFUNCTION("""COMPUTED_VALUE"""),45811.0)</f>
        <v>45811</v>
      </c>
      <c r="AY114" s="517" t="b">
        <f>IFERROR(__xludf.DUMMYFUNCTION("""COMPUTED_VALUE"""),FALSE)</f>
        <v>0</v>
      </c>
    </row>
    <row r="115">
      <c r="B115" s="517" t="str">
        <f>IFERROR(__xludf.DUMMYFUNCTION("""COMPUTED_VALUE"""),"ATT")</f>
        <v>ATT</v>
      </c>
      <c r="C115" s="517" t="str">
        <f>IFERROR(__xludf.DUMMYFUNCTION("""COMPUTED_VALUE"""),"Cancel")</f>
        <v>Cancel</v>
      </c>
      <c r="D115" s="517" t="str">
        <f>IFERROR(__xludf.DUMMYFUNCTION("""COMPUTED_VALUE"""),"Pristine")</f>
        <v>Pristine</v>
      </c>
      <c r="E115" s="517" t="str">
        <f>IFERROR(__xludf.DUMMYFUNCTION("""COMPUTED_VALUE"""),"GA10247-US")</f>
        <v>GA10247-US</v>
      </c>
      <c r="F115" s="517" t="str">
        <f>IFERROR(__xludf.DUMMYFUNCTION("""COMPUTED_VALUE"""),"Cancel")</f>
        <v>Cancel</v>
      </c>
      <c r="G115" s="517" t="str">
        <f>IFERROR(__xludf.DUMMYFUNCTION("""COMPUTED_VALUE"""),"Cancel")</f>
        <v>Cancel</v>
      </c>
      <c r="H115" s="517" t="str">
        <f>IFERROR(__xludf.DUMMYFUNCTION("""COMPUTED_VALUE"""),"Cancel")</f>
        <v>Cancel</v>
      </c>
      <c r="I115" s="517" t="str">
        <f>IFERROR(__xludf.DUMMYFUNCTION("""COMPUTED_VALUE"""),"Cancel")</f>
        <v>Cancel</v>
      </c>
      <c r="J115" s="517" t="str">
        <f>IFERROR(__xludf.DUMMYFUNCTION("""COMPUTED_VALUE"""),"Cancel")</f>
        <v>Cancel</v>
      </c>
      <c r="K115" s="517" t="str">
        <f>IFERROR(__xludf.DUMMYFUNCTION("""COMPUTED_VALUE"""),"Cancel")</f>
        <v>Cancel</v>
      </c>
      <c r="M115" s="519" t="str">
        <f>IFERROR(__xludf.DUMMYFUNCTION("""COMPUTED_VALUE"""),"G990-08380-22-01")</f>
        <v>G990-08380-22-01</v>
      </c>
      <c r="N115" s="519" t="str">
        <f>IFERROR(__xludf.DUMMYFUNCTION("""COMPUTED_VALUE"""),"G990-08491-22-01")</f>
        <v>G990-08491-22-01</v>
      </c>
      <c r="O115" s="517"/>
      <c r="P115" s="517" t="str">
        <f>IFERROR(__xludf.DUMMYFUNCTION("""COMPUTED_VALUE"""),"Cancel")</f>
        <v>Cancel</v>
      </c>
      <c r="Q115" s="517" t="str">
        <f>IFERROR(__xludf.DUMMYFUNCTION("""COMPUTED_VALUE"""),"Cancel")</f>
        <v>Cancel</v>
      </c>
      <c r="R115" s="517" t="str">
        <f>IFERROR(__xludf.DUMMYFUNCTION("""COMPUTED_VALUE"""),"Cancel")</f>
        <v>Cancel</v>
      </c>
      <c r="S115" s="517" t="str">
        <f>IFERROR(__xludf.DUMMYFUNCTION("""COMPUTED_VALUE"""),"Cancel")</f>
        <v>Cancel</v>
      </c>
      <c r="T115" s="517" t="str">
        <f>IFERROR(__xludf.DUMMYFUNCTION("""COMPUTED_VALUE"""),"Cancel")</f>
        <v>Cancel</v>
      </c>
      <c r="U115" s="517" t="str">
        <f>IFERROR(__xludf.DUMMYFUNCTION("""COMPUTED_VALUE"""),"Cancel")</f>
        <v>Cancel</v>
      </c>
      <c r="V115" s="624" t="str">
        <f>IFERROR(__xludf.DUMMYFUNCTION("""COMPUTED_VALUE"""),"#NUM!")</f>
        <v>#NUM!</v>
      </c>
      <c r="W115" s="625">
        <f>IFERROR(__xludf.DUMMYFUNCTION("""COMPUTED_VALUE"""),45815.0)</f>
        <v>45815</v>
      </c>
      <c r="X115" s="626">
        <f>IFERROR(__xludf.DUMMYFUNCTION("""COMPUTED_VALUE"""),45729.0)</f>
        <v>45729</v>
      </c>
      <c r="Y115" s="517" t="b">
        <f>IFERROR(__xludf.DUMMYFUNCTION("""COMPUTED_VALUE"""),FALSE)</f>
        <v>0</v>
      </c>
      <c r="Z115" s="626">
        <f>IFERROR(__xludf.DUMMYFUNCTION("""COMPUTED_VALUE"""),45730.0)</f>
        <v>45730</v>
      </c>
      <c r="AA115" s="517" t="b">
        <f>IFERROR(__xludf.DUMMYFUNCTION("""COMPUTED_VALUE"""),FALSE)</f>
        <v>0</v>
      </c>
      <c r="AB115" s="626">
        <f>IFERROR(__xludf.DUMMYFUNCTION("""COMPUTED_VALUE"""),45736.0)</f>
        <v>45736</v>
      </c>
      <c r="AC115" s="626">
        <f>IFERROR(__xludf.DUMMYFUNCTION("""COMPUTED_VALUE"""),45736.0)</f>
        <v>45736</v>
      </c>
      <c r="AD115" s="626">
        <f>IFERROR(__xludf.DUMMYFUNCTION("""COMPUTED_VALUE"""),45742.0)</f>
        <v>45742</v>
      </c>
      <c r="AE115" s="517" t="str">
        <f>IFERROR(__xludf.DUMMYFUNCTION("""COMPUTED_VALUE"""),"Cancel")</f>
        <v>Cancel</v>
      </c>
      <c r="AF115" s="517" t="str">
        <f>IFERROR(__xludf.DUMMYFUNCTION("""COMPUTED_VALUE"""),"Cancel")</f>
        <v>Cancel</v>
      </c>
      <c r="AG115" s="517" t="str">
        <f>IFERROR(__xludf.DUMMYFUNCTION("""COMPUTED_VALUE"""),"Cancel")</f>
        <v>Cancel</v>
      </c>
      <c r="AH115" s="517"/>
      <c r="AI115" s="626">
        <f>IFERROR(__xludf.DUMMYFUNCTION("""COMPUTED_VALUE"""),45764.0)</f>
        <v>45764</v>
      </c>
      <c r="AJ115" s="517" t="b">
        <f>IFERROR(__xludf.DUMMYFUNCTION("""COMPUTED_VALUE"""),FALSE)</f>
        <v>0</v>
      </c>
      <c r="AK115" s="517" t="b">
        <f>IFERROR(__xludf.DUMMYFUNCTION("""COMPUTED_VALUE"""),FALSE)</f>
        <v>0</v>
      </c>
      <c r="AL115" s="626">
        <f>IFERROR(__xludf.DUMMYFUNCTION("""COMPUTED_VALUE"""),45764.0)</f>
        <v>45764</v>
      </c>
      <c r="AM115" s="517"/>
      <c r="AN115" s="517"/>
      <c r="AO115" s="517"/>
      <c r="AP115" s="626">
        <f>IFERROR(__xludf.DUMMYFUNCTION("""COMPUTED_VALUE"""),45764.0)</f>
        <v>45764</v>
      </c>
      <c r="AQ115" s="517" t="b">
        <f>IFERROR(__xludf.DUMMYFUNCTION("""COMPUTED_VALUE"""),FALSE)</f>
        <v>0</v>
      </c>
      <c r="AR115" s="517" t="str">
        <f>IFERROR(__xludf.DUMMYFUNCTION("""COMPUTED_VALUE"""),"N")</f>
        <v>N</v>
      </c>
      <c r="AS115" s="517"/>
      <c r="AT115" s="626">
        <f>IFERROR(__xludf.DUMMYFUNCTION("""COMPUTED_VALUE"""),45764.0)</f>
        <v>45764</v>
      </c>
      <c r="AU115" s="517"/>
      <c r="AV115" s="517"/>
      <c r="AW115" s="626">
        <f>IFERROR(__xludf.DUMMYFUNCTION("""COMPUTED_VALUE"""),45811.0)</f>
        <v>45811</v>
      </c>
      <c r="AX115" s="626">
        <f>IFERROR(__xludf.DUMMYFUNCTION("""COMPUTED_VALUE"""),45811.0)</f>
        <v>45811</v>
      </c>
      <c r="AY115" s="517" t="b">
        <f>IFERROR(__xludf.DUMMYFUNCTION("""COMPUTED_VALUE"""),FALSE)</f>
        <v>0</v>
      </c>
    </row>
    <row r="116">
      <c r="B116" s="517" t="str">
        <f>IFERROR(__xludf.DUMMYFUNCTION("""COMPUTED_VALUE"""),"ATT")</f>
        <v>ATT</v>
      </c>
      <c r="C116" s="517" t="str">
        <f>IFERROR(__xludf.DUMMYFUNCTION("""COMPUTED_VALUE"""),"Cancel")</f>
        <v>Cancel</v>
      </c>
      <c r="D116" s="517" t="str">
        <f>IFERROR(__xludf.DUMMYFUNCTION("""COMPUTED_VALUE"""),"Pristine")</f>
        <v>Pristine</v>
      </c>
      <c r="E116" s="517" t="str">
        <f>IFERROR(__xludf.DUMMYFUNCTION("""COMPUTED_VALUE"""),"GA10248-US")</f>
        <v>GA10248-US</v>
      </c>
      <c r="F116" s="517" t="str">
        <f>IFERROR(__xludf.DUMMYFUNCTION("""COMPUTED_VALUE"""),"Cancel")</f>
        <v>Cancel</v>
      </c>
      <c r="G116" s="517" t="str">
        <f>IFERROR(__xludf.DUMMYFUNCTION("""COMPUTED_VALUE"""),"Cancel")</f>
        <v>Cancel</v>
      </c>
      <c r="H116" s="517" t="str">
        <f>IFERROR(__xludf.DUMMYFUNCTION("""COMPUTED_VALUE"""),"Cancel")</f>
        <v>Cancel</v>
      </c>
      <c r="I116" s="517" t="str">
        <f>IFERROR(__xludf.DUMMYFUNCTION("""COMPUTED_VALUE"""),"Cancel")</f>
        <v>Cancel</v>
      </c>
      <c r="J116" s="517" t="str">
        <f>IFERROR(__xludf.DUMMYFUNCTION("""COMPUTED_VALUE"""),"Cancel")</f>
        <v>Cancel</v>
      </c>
      <c r="K116" s="517" t="str">
        <f>IFERROR(__xludf.DUMMYFUNCTION("""COMPUTED_VALUE"""),"Cancel")</f>
        <v>Cancel</v>
      </c>
      <c r="M116" s="519" t="str">
        <f>IFERROR(__xludf.DUMMYFUNCTION("""COMPUTED_VALUE"""),"G990-08380-32-01")</f>
        <v>G990-08380-32-01</v>
      </c>
      <c r="N116" s="519" t="str">
        <f>IFERROR(__xludf.DUMMYFUNCTION("""COMPUTED_VALUE"""),"G990-08491-32-01")</f>
        <v>G990-08491-32-01</v>
      </c>
      <c r="O116" s="517"/>
      <c r="P116" s="517" t="str">
        <f>IFERROR(__xludf.DUMMYFUNCTION("""COMPUTED_VALUE"""),"Cancel")</f>
        <v>Cancel</v>
      </c>
      <c r="Q116" s="517" t="str">
        <f>IFERROR(__xludf.DUMMYFUNCTION("""COMPUTED_VALUE"""),"Cancel")</f>
        <v>Cancel</v>
      </c>
      <c r="R116" s="517" t="str">
        <f>IFERROR(__xludf.DUMMYFUNCTION("""COMPUTED_VALUE"""),"Cancel")</f>
        <v>Cancel</v>
      </c>
      <c r="S116" s="517" t="str">
        <f>IFERROR(__xludf.DUMMYFUNCTION("""COMPUTED_VALUE"""),"Cancel")</f>
        <v>Cancel</v>
      </c>
      <c r="T116" s="517" t="str">
        <f>IFERROR(__xludf.DUMMYFUNCTION("""COMPUTED_VALUE"""),"Cancel")</f>
        <v>Cancel</v>
      </c>
      <c r="U116" s="517" t="str">
        <f>IFERROR(__xludf.DUMMYFUNCTION("""COMPUTED_VALUE"""),"Cancel")</f>
        <v>Cancel</v>
      </c>
      <c r="V116" s="624" t="str">
        <f>IFERROR(__xludf.DUMMYFUNCTION("""COMPUTED_VALUE"""),"#NUM!")</f>
        <v>#NUM!</v>
      </c>
      <c r="W116" s="625">
        <f>IFERROR(__xludf.DUMMYFUNCTION("""COMPUTED_VALUE"""),45815.0)</f>
        <v>45815</v>
      </c>
      <c r="X116" s="626">
        <f>IFERROR(__xludf.DUMMYFUNCTION("""COMPUTED_VALUE"""),45729.0)</f>
        <v>45729</v>
      </c>
      <c r="Y116" s="517" t="b">
        <f>IFERROR(__xludf.DUMMYFUNCTION("""COMPUTED_VALUE"""),FALSE)</f>
        <v>0</v>
      </c>
      <c r="Z116" s="626">
        <f>IFERROR(__xludf.DUMMYFUNCTION("""COMPUTED_VALUE"""),45730.0)</f>
        <v>45730</v>
      </c>
      <c r="AA116" s="517" t="b">
        <f>IFERROR(__xludf.DUMMYFUNCTION("""COMPUTED_VALUE"""),FALSE)</f>
        <v>0</v>
      </c>
      <c r="AB116" s="626">
        <f>IFERROR(__xludf.DUMMYFUNCTION("""COMPUTED_VALUE"""),45736.0)</f>
        <v>45736</v>
      </c>
      <c r="AC116" s="626">
        <f>IFERROR(__xludf.DUMMYFUNCTION("""COMPUTED_VALUE"""),45736.0)</f>
        <v>45736</v>
      </c>
      <c r="AD116" s="626">
        <f>IFERROR(__xludf.DUMMYFUNCTION("""COMPUTED_VALUE"""),45742.0)</f>
        <v>45742</v>
      </c>
      <c r="AE116" s="517" t="str">
        <f>IFERROR(__xludf.DUMMYFUNCTION("""COMPUTED_VALUE"""),"Cancel")</f>
        <v>Cancel</v>
      </c>
      <c r="AF116" s="517" t="str">
        <f>IFERROR(__xludf.DUMMYFUNCTION("""COMPUTED_VALUE"""),"Cancel")</f>
        <v>Cancel</v>
      </c>
      <c r="AG116" s="517" t="str">
        <f>IFERROR(__xludf.DUMMYFUNCTION("""COMPUTED_VALUE"""),"Cancel")</f>
        <v>Cancel</v>
      </c>
      <c r="AH116" s="517"/>
      <c r="AI116" s="626">
        <f>IFERROR(__xludf.DUMMYFUNCTION("""COMPUTED_VALUE"""),45764.0)</f>
        <v>45764</v>
      </c>
      <c r="AJ116" s="517" t="b">
        <f>IFERROR(__xludf.DUMMYFUNCTION("""COMPUTED_VALUE"""),FALSE)</f>
        <v>0</v>
      </c>
      <c r="AK116" s="517" t="b">
        <f>IFERROR(__xludf.DUMMYFUNCTION("""COMPUTED_VALUE"""),FALSE)</f>
        <v>0</v>
      </c>
      <c r="AL116" s="626">
        <f>IFERROR(__xludf.DUMMYFUNCTION("""COMPUTED_VALUE"""),45764.0)</f>
        <v>45764</v>
      </c>
      <c r="AM116" s="517"/>
      <c r="AN116" s="517"/>
      <c r="AO116" s="517"/>
      <c r="AP116" s="626">
        <f>IFERROR(__xludf.DUMMYFUNCTION("""COMPUTED_VALUE"""),45764.0)</f>
        <v>45764</v>
      </c>
      <c r="AQ116" s="517" t="b">
        <f>IFERROR(__xludf.DUMMYFUNCTION("""COMPUTED_VALUE"""),FALSE)</f>
        <v>0</v>
      </c>
      <c r="AR116" s="517" t="str">
        <f>IFERROR(__xludf.DUMMYFUNCTION("""COMPUTED_VALUE"""),"N")</f>
        <v>N</v>
      </c>
      <c r="AS116" s="517"/>
      <c r="AT116" s="626">
        <f>IFERROR(__xludf.DUMMYFUNCTION("""COMPUTED_VALUE"""),45764.0)</f>
        <v>45764</v>
      </c>
      <c r="AU116" s="517"/>
      <c r="AV116" s="517"/>
      <c r="AW116" s="626">
        <f>IFERROR(__xludf.DUMMYFUNCTION("""COMPUTED_VALUE"""),45811.0)</f>
        <v>45811</v>
      </c>
      <c r="AX116" s="626">
        <f>IFERROR(__xludf.DUMMYFUNCTION("""COMPUTED_VALUE"""),45811.0)</f>
        <v>45811</v>
      </c>
      <c r="AY116" s="517" t="b">
        <f>IFERROR(__xludf.DUMMYFUNCTION("""COMPUTED_VALUE"""),FALSE)</f>
        <v>0</v>
      </c>
    </row>
    <row r="117">
      <c r="B117" s="517" t="str">
        <f>IFERROR(__xludf.DUMMYFUNCTION("""COMPUTED_VALUE"""),"ATT")</f>
        <v>ATT</v>
      </c>
      <c r="C117" s="517" t="str">
        <f>IFERROR(__xludf.DUMMYFUNCTION("""COMPUTED_VALUE"""),"Cancel")</f>
        <v>Cancel</v>
      </c>
      <c r="D117" s="517" t="str">
        <f>IFERROR(__xludf.DUMMYFUNCTION("""COMPUTED_VALUE"""),"Pristine")</f>
        <v>Pristine</v>
      </c>
      <c r="E117" s="517" t="str">
        <f>IFERROR(__xludf.DUMMYFUNCTION("""COMPUTED_VALUE"""),"GA10249-US")</f>
        <v>GA10249-US</v>
      </c>
      <c r="F117" s="517" t="str">
        <f>IFERROR(__xludf.DUMMYFUNCTION("""COMPUTED_VALUE"""),"Cancel")</f>
        <v>Cancel</v>
      </c>
      <c r="G117" s="517" t="str">
        <f>IFERROR(__xludf.DUMMYFUNCTION("""COMPUTED_VALUE"""),"Cancel")</f>
        <v>Cancel</v>
      </c>
      <c r="H117" s="517" t="str">
        <f>IFERROR(__xludf.DUMMYFUNCTION("""COMPUTED_VALUE"""),"Cancel")</f>
        <v>Cancel</v>
      </c>
      <c r="I117" s="517" t="str">
        <f>IFERROR(__xludf.DUMMYFUNCTION("""COMPUTED_VALUE"""),"Cancel")</f>
        <v>Cancel</v>
      </c>
      <c r="J117" s="517" t="str">
        <f>IFERROR(__xludf.DUMMYFUNCTION("""COMPUTED_VALUE"""),"Cancel")</f>
        <v>Cancel</v>
      </c>
      <c r="K117" s="517" t="str">
        <f>IFERROR(__xludf.DUMMYFUNCTION("""COMPUTED_VALUE"""),"Cancel")</f>
        <v>Cancel</v>
      </c>
      <c r="M117" s="519" t="str">
        <f>IFERROR(__xludf.DUMMYFUNCTION("""COMPUTED_VALUE"""),"G990-08380-42-01")</f>
        <v>G990-08380-42-01</v>
      </c>
      <c r="N117" s="519" t="str">
        <f>IFERROR(__xludf.DUMMYFUNCTION("""COMPUTED_VALUE"""),"G990-08491-42-01")</f>
        <v>G990-08491-42-01</v>
      </c>
      <c r="O117" s="517"/>
      <c r="P117" s="517" t="str">
        <f>IFERROR(__xludf.DUMMYFUNCTION("""COMPUTED_VALUE"""),"Cancel")</f>
        <v>Cancel</v>
      </c>
      <c r="Q117" s="517" t="str">
        <f>IFERROR(__xludf.DUMMYFUNCTION("""COMPUTED_VALUE"""),"Cancel")</f>
        <v>Cancel</v>
      </c>
      <c r="R117" s="517" t="str">
        <f>IFERROR(__xludf.DUMMYFUNCTION("""COMPUTED_VALUE"""),"Cancel")</f>
        <v>Cancel</v>
      </c>
      <c r="S117" s="517" t="str">
        <f>IFERROR(__xludf.DUMMYFUNCTION("""COMPUTED_VALUE"""),"Cancel")</f>
        <v>Cancel</v>
      </c>
      <c r="T117" s="517" t="str">
        <f>IFERROR(__xludf.DUMMYFUNCTION("""COMPUTED_VALUE"""),"Cancel")</f>
        <v>Cancel</v>
      </c>
      <c r="U117" s="517" t="str">
        <f>IFERROR(__xludf.DUMMYFUNCTION("""COMPUTED_VALUE"""),"Cancel")</f>
        <v>Cancel</v>
      </c>
      <c r="V117" s="624" t="str">
        <f>IFERROR(__xludf.DUMMYFUNCTION("""COMPUTED_VALUE"""),"#NUM!")</f>
        <v>#NUM!</v>
      </c>
      <c r="W117" s="625">
        <f>IFERROR(__xludf.DUMMYFUNCTION("""COMPUTED_VALUE"""),45815.0)</f>
        <v>45815</v>
      </c>
      <c r="X117" s="626">
        <f>IFERROR(__xludf.DUMMYFUNCTION("""COMPUTED_VALUE"""),45729.0)</f>
        <v>45729</v>
      </c>
      <c r="Y117" s="517" t="b">
        <f>IFERROR(__xludf.DUMMYFUNCTION("""COMPUTED_VALUE"""),FALSE)</f>
        <v>0</v>
      </c>
      <c r="Z117" s="626">
        <f>IFERROR(__xludf.DUMMYFUNCTION("""COMPUTED_VALUE"""),45730.0)</f>
        <v>45730</v>
      </c>
      <c r="AA117" s="517" t="b">
        <f>IFERROR(__xludf.DUMMYFUNCTION("""COMPUTED_VALUE"""),FALSE)</f>
        <v>0</v>
      </c>
      <c r="AB117" s="626">
        <f>IFERROR(__xludf.DUMMYFUNCTION("""COMPUTED_VALUE"""),45736.0)</f>
        <v>45736</v>
      </c>
      <c r="AC117" s="626">
        <f>IFERROR(__xludf.DUMMYFUNCTION("""COMPUTED_VALUE"""),45736.0)</f>
        <v>45736</v>
      </c>
      <c r="AD117" s="626">
        <f>IFERROR(__xludf.DUMMYFUNCTION("""COMPUTED_VALUE"""),45742.0)</f>
        <v>45742</v>
      </c>
      <c r="AE117" s="517" t="str">
        <f>IFERROR(__xludf.DUMMYFUNCTION("""COMPUTED_VALUE"""),"Cancel")</f>
        <v>Cancel</v>
      </c>
      <c r="AF117" s="517" t="str">
        <f>IFERROR(__xludf.DUMMYFUNCTION("""COMPUTED_VALUE"""),"Cancel")</f>
        <v>Cancel</v>
      </c>
      <c r="AG117" s="517" t="str">
        <f>IFERROR(__xludf.DUMMYFUNCTION("""COMPUTED_VALUE"""),"Cancel")</f>
        <v>Cancel</v>
      </c>
      <c r="AH117" s="517"/>
      <c r="AI117" s="626">
        <f>IFERROR(__xludf.DUMMYFUNCTION("""COMPUTED_VALUE"""),45764.0)</f>
        <v>45764</v>
      </c>
      <c r="AJ117" s="517" t="b">
        <f>IFERROR(__xludf.DUMMYFUNCTION("""COMPUTED_VALUE"""),FALSE)</f>
        <v>0</v>
      </c>
      <c r="AK117" s="517" t="b">
        <f>IFERROR(__xludf.DUMMYFUNCTION("""COMPUTED_VALUE"""),FALSE)</f>
        <v>0</v>
      </c>
      <c r="AL117" s="626">
        <f>IFERROR(__xludf.DUMMYFUNCTION("""COMPUTED_VALUE"""),45764.0)</f>
        <v>45764</v>
      </c>
      <c r="AM117" s="517"/>
      <c r="AN117" s="517"/>
      <c r="AO117" s="517"/>
      <c r="AP117" s="626">
        <f>IFERROR(__xludf.DUMMYFUNCTION("""COMPUTED_VALUE"""),45764.0)</f>
        <v>45764</v>
      </c>
      <c r="AQ117" s="517" t="b">
        <f>IFERROR(__xludf.DUMMYFUNCTION("""COMPUTED_VALUE"""),FALSE)</f>
        <v>0</v>
      </c>
      <c r="AR117" s="517" t="str">
        <f>IFERROR(__xludf.DUMMYFUNCTION("""COMPUTED_VALUE"""),"N")</f>
        <v>N</v>
      </c>
      <c r="AS117" s="517"/>
      <c r="AT117" s="626">
        <f>IFERROR(__xludf.DUMMYFUNCTION("""COMPUTED_VALUE"""),45764.0)</f>
        <v>45764</v>
      </c>
      <c r="AU117" s="517"/>
      <c r="AV117" s="517"/>
      <c r="AW117" s="626">
        <f>IFERROR(__xludf.DUMMYFUNCTION("""COMPUTED_VALUE"""),45811.0)</f>
        <v>45811</v>
      </c>
      <c r="AX117" s="626">
        <f>IFERROR(__xludf.DUMMYFUNCTION("""COMPUTED_VALUE"""),45811.0)</f>
        <v>45811</v>
      </c>
      <c r="AY117" s="517" t="b">
        <f>IFERROR(__xludf.DUMMYFUNCTION("""COMPUTED_VALUE"""),FALSE)</f>
        <v>0</v>
      </c>
    </row>
    <row r="118">
      <c r="B118" s="517" t="str">
        <f>IFERROR(__xludf.DUMMYFUNCTION("""COMPUTED_VALUE"""),"TMO")</f>
        <v>TMO</v>
      </c>
      <c r="C118" s="518" t="str">
        <f>IFERROR(__xludf.DUMMYFUNCTION("""COMPUTED_VALUE"""),"0840353926684")</f>
        <v>0840353926684</v>
      </c>
      <c r="D118" s="517" t="str">
        <f>IFERROR(__xludf.DUMMYFUNCTION("""COMPUTED_VALUE"""),"Pristine")</f>
        <v>Pristine</v>
      </c>
      <c r="E118" s="517" t="str">
        <f>IFERROR(__xludf.DUMMYFUNCTION("""COMPUTED_VALUE"""),"GA09862-US")</f>
        <v>GA09862-US</v>
      </c>
      <c r="F118" s="517" t="str">
        <f>IFERROR(__xludf.DUMMYFUNCTION("""COMPUTED_VALUE"""),"GLBW0")</f>
        <v>GLBW0</v>
      </c>
      <c r="G118" s="518" t="str">
        <f>IFERROR(__xludf.DUMMYFUNCTION("""COMPUTED_VALUE"""),"840353926684")</f>
        <v>840353926684</v>
      </c>
      <c r="H118" s="518" t="str">
        <f>IFERROR(__xludf.DUMMYFUNCTION("""COMPUTED_VALUE"""),"840353926684")</f>
        <v>840353926684</v>
      </c>
      <c r="I118" s="518" t="str">
        <f>IFERROR(__xludf.DUMMYFUNCTION("""COMPUTED_VALUE"""),"840353926684")</f>
        <v>840353926684</v>
      </c>
      <c r="J118" s="517" t="str">
        <f>IFERROR(__xludf.DUMMYFUNCTION("""COMPUTED_VALUE"""),"Retail_10ct")</f>
        <v>Retail_10ct</v>
      </c>
      <c r="K118" s="517" t="str">
        <f>IFERROR(__xludf.DUMMYFUNCTION("""COMPUTED_VALUE"""),"TMO Master Carton Label")</f>
        <v>TMO Master Carton Label</v>
      </c>
      <c r="M118" s="517" t="str">
        <f>IFERROR(__xludf.DUMMYFUNCTION("""COMPUTED_VALUE"""),"G990-08380-11-01
G990-08380-11-A")</f>
        <v>G990-08380-11-01
G990-08380-11-A</v>
      </c>
      <c r="N118" s="517" t="str">
        <f>IFERROR(__xludf.DUMMYFUNCTION("""COMPUTED_VALUE"""),"G990-08492-11-02
G990-08492-11-A")</f>
        <v>G990-08492-11-02
G990-08492-11-A</v>
      </c>
      <c r="O118" s="517" t="str">
        <f>IFERROR(__xludf.DUMMYFUNCTION("""COMPUTED_VALUE"""),"BOB→A
Retail→A")</f>
        <v>BOB→A
Retail→A</v>
      </c>
      <c r="P118" s="517" t="str">
        <f>IFERROR(__xludf.DUMMYFUNCTION("""COMPUTED_VALUE"""),"G990-08492-11-02
G990-08492-11-A")</f>
        <v>G990-08492-11-02
G990-08492-11-A</v>
      </c>
      <c r="Q118" s="517" t="str">
        <f>IFERROR(__xludf.DUMMYFUNCTION("""COMPUTED_VALUE"""),"Obsidian")</f>
        <v>Obsidian</v>
      </c>
      <c r="R118" s="517" t="str">
        <f>IFERROR(__xludf.DUMMYFUNCTION("""COMPUTED_VALUE"""),"BLK")</f>
        <v>BLK</v>
      </c>
      <c r="S118" s="517" t="str">
        <f>IFERROR(__xludf.DUMMYFUNCTION("""COMPUTED_VALUE"""),"TMO, US")</f>
        <v>TMO, US</v>
      </c>
      <c r="T118" s="517" t="str">
        <f>IFERROR(__xludf.DUMMYFUNCTION("""COMPUTED_VALUE"""),"SKU, CLR1, GOOD, MMWAVE, TMO, US, FL5")</f>
        <v>SKU, CLR1, GOOD, MMWAVE, TMO, US, FL5</v>
      </c>
      <c r="U118" s="517" t="str">
        <f>IFERROR(__xludf.DUMMYFUNCTION("""COMPUTED_VALUE"""),"Pixel 10, Obsidian, 128GB, TMO, US")</f>
        <v>Pixel 10, Obsidian, 128GB, TMO, US</v>
      </c>
      <c r="V118" s="624" t="str">
        <f>IFERROR(__xludf.DUMMYFUNCTION("""COMPUTED_VALUE"""),"#NUM!")</f>
        <v>#NUM!</v>
      </c>
      <c r="W118" s="625">
        <f>IFERROR(__xludf.DUMMYFUNCTION("""COMPUTED_VALUE"""),45815.0)</f>
        <v>45815</v>
      </c>
      <c r="X118" s="626">
        <f>IFERROR(__xludf.DUMMYFUNCTION("""COMPUTED_VALUE"""),45729.0)</f>
        <v>45729</v>
      </c>
      <c r="Y118" s="517" t="b">
        <f>IFERROR(__xludf.DUMMYFUNCTION("""COMPUTED_VALUE"""),TRUE)</f>
        <v>1</v>
      </c>
      <c r="Z118" s="626">
        <f>IFERROR(__xludf.DUMMYFUNCTION("""COMPUTED_VALUE"""),45730.0)</f>
        <v>45730</v>
      </c>
      <c r="AA118" s="517" t="b">
        <f>IFERROR(__xludf.DUMMYFUNCTION("""COMPUTED_VALUE"""),FALSE)</f>
        <v>0</v>
      </c>
      <c r="AB118" s="626">
        <f>IFERROR(__xludf.DUMMYFUNCTION("""COMPUTED_VALUE"""),45736.0)</f>
        <v>45736</v>
      </c>
      <c r="AC118" s="626">
        <f>IFERROR(__xludf.DUMMYFUNCTION("""COMPUTED_VALUE"""),45736.0)</f>
        <v>45736</v>
      </c>
      <c r="AD118" s="626">
        <f>IFERROR(__xludf.DUMMYFUNCTION("""COMPUTED_VALUE"""),45742.0)</f>
        <v>45742</v>
      </c>
      <c r="AE118" s="519" t="str">
        <f>IFERROR(__xludf.DUMMYFUNCTION("""COMPUTED_VALUE"""),"GA09862-US")</f>
        <v>GA09862-US</v>
      </c>
      <c r="AF118" s="519" t="str">
        <f>IFERROR(__xludf.DUMMYFUNCTION("""COMPUTED_VALUE"""),"GA09862-US
(Update pallet)")</f>
        <v>GA09862-US
(Update pallet)</v>
      </c>
      <c r="AG118" s="517" t="str">
        <f>IFERROR(__xludf.DUMMYFUNCTION("""COMPUTED_VALUE"""),"GA09862-US
GA09862-US(RevA)")</f>
        <v>GA09862-US
GA09862-US(RevA)</v>
      </c>
      <c r="AH118" s="519" t="str">
        <f>IFERROR(__xludf.DUMMYFUNCTION("""COMPUTED_VALUE"""),"GA09862-US")</f>
        <v>GA09862-US</v>
      </c>
      <c r="AI118" s="626">
        <f>IFERROR(__xludf.DUMMYFUNCTION("""COMPUTED_VALUE"""),45764.0)</f>
        <v>45764</v>
      </c>
      <c r="AJ118" s="517" t="b">
        <f>IFERROR(__xludf.DUMMYFUNCTION("""COMPUTED_VALUE"""),TRUE)</f>
        <v>1</v>
      </c>
      <c r="AK118" s="517" t="b">
        <f>IFERROR(__xludf.DUMMYFUNCTION("""COMPUTED_VALUE"""),TRUE)</f>
        <v>1</v>
      </c>
      <c r="AL118" s="626">
        <f>IFERROR(__xludf.DUMMYFUNCTION("""COMPUTED_VALUE"""),45764.0)</f>
        <v>45764</v>
      </c>
      <c r="AM118" s="517" t="str">
        <f>IFERROR(__xludf.DUMMYFUNCTION("""COMPUTED_VALUE"""),"Approved")</f>
        <v>Approved</v>
      </c>
      <c r="AN118" s="517" t="str">
        <f>IFERROR(__xludf.DUMMYFUNCTION("""COMPUTED_VALUE"""),"Y")</f>
        <v>Y</v>
      </c>
      <c r="AO118" s="517"/>
      <c r="AP118" s="626">
        <f>IFERROR(__xludf.DUMMYFUNCTION("""COMPUTED_VALUE"""),45764.0)</f>
        <v>45764</v>
      </c>
      <c r="AQ118" s="517" t="b">
        <f>IFERROR(__xludf.DUMMYFUNCTION("""COMPUTED_VALUE"""),TRUE)</f>
        <v>1</v>
      </c>
      <c r="AR118" s="517" t="str">
        <f>IFERROR(__xludf.DUMMYFUNCTION("""COMPUTED_VALUE"""),"N")</f>
        <v>N</v>
      </c>
      <c r="AS118" s="517"/>
      <c r="AT118" s="626">
        <f>IFERROR(__xludf.DUMMYFUNCTION("""COMPUTED_VALUE"""),45764.0)</f>
        <v>45764</v>
      </c>
      <c r="AU118" s="517" t="str">
        <f>IFERROR(__xludf.DUMMYFUNCTION("""COMPUTED_VALUE"""),"Y")</f>
        <v>Y</v>
      </c>
      <c r="AV118" s="517"/>
      <c r="AW118" s="626">
        <f>IFERROR(__xludf.DUMMYFUNCTION("""COMPUTED_VALUE"""),45811.0)</f>
        <v>45811</v>
      </c>
      <c r="AX118" s="626">
        <f>IFERROR(__xludf.DUMMYFUNCTION("""COMPUTED_VALUE"""),45811.0)</f>
        <v>45811</v>
      </c>
      <c r="AY118" s="517" t="b">
        <f>IFERROR(__xludf.DUMMYFUNCTION("""COMPUTED_VALUE"""),FALSE)</f>
        <v>0</v>
      </c>
    </row>
    <row r="119">
      <c r="B119" s="517" t="str">
        <f>IFERROR(__xludf.DUMMYFUNCTION("""COMPUTED_VALUE"""),"TMO")</f>
        <v>TMO</v>
      </c>
      <c r="C119" s="517" t="str">
        <f>IFERROR(__xludf.DUMMYFUNCTION("""COMPUTED_VALUE"""),"Cancel")</f>
        <v>Cancel</v>
      </c>
      <c r="D119" s="517" t="str">
        <f>IFERROR(__xludf.DUMMYFUNCTION("""COMPUTED_VALUE"""),"Pristine")</f>
        <v>Pristine</v>
      </c>
      <c r="E119" s="517" t="str">
        <f>IFERROR(__xludf.DUMMYFUNCTION("""COMPUTED_VALUE"""),"GA10250-US")</f>
        <v>GA10250-US</v>
      </c>
      <c r="F119" s="517" t="str">
        <f>IFERROR(__xludf.DUMMYFUNCTION("""COMPUTED_VALUE"""),"Cancel")</f>
        <v>Cancel</v>
      </c>
      <c r="G119" s="517" t="str">
        <f>IFERROR(__xludf.DUMMYFUNCTION("""COMPUTED_VALUE"""),"Cancel")</f>
        <v>Cancel</v>
      </c>
      <c r="H119" s="517" t="str">
        <f>IFERROR(__xludf.DUMMYFUNCTION("""COMPUTED_VALUE"""),"Cancel")</f>
        <v>Cancel</v>
      </c>
      <c r="I119" s="517" t="str">
        <f>IFERROR(__xludf.DUMMYFUNCTION("""COMPUTED_VALUE"""),"Cancel")</f>
        <v>Cancel</v>
      </c>
      <c r="J119" s="517" t="str">
        <f>IFERROR(__xludf.DUMMYFUNCTION("""COMPUTED_VALUE"""),"Cancel")</f>
        <v>Cancel</v>
      </c>
      <c r="K119" s="517" t="str">
        <f>IFERROR(__xludf.DUMMYFUNCTION("""COMPUTED_VALUE"""),"Cancel")</f>
        <v>Cancel</v>
      </c>
      <c r="M119" s="519" t="str">
        <f>IFERROR(__xludf.DUMMYFUNCTION("""COMPUTED_VALUE"""),"G990-08380-21-01")</f>
        <v>G990-08380-21-01</v>
      </c>
      <c r="N119" s="519" t="str">
        <f>IFERROR(__xludf.DUMMYFUNCTION("""COMPUTED_VALUE"""),"G990-08492-21-02")</f>
        <v>G990-08492-21-02</v>
      </c>
      <c r="O119" s="517" t="str">
        <f>IFERROR(__xludf.DUMMYFUNCTION("""COMPUTED_VALUE"""),"BOB→A
Retail→A")</f>
        <v>BOB→A
Retail→A</v>
      </c>
      <c r="P119" s="517" t="str">
        <f>IFERROR(__xludf.DUMMYFUNCTION("""COMPUTED_VALUE"""),"Cancel")</f>
        <v>Cancel</v>
      </c>
      <c r="Q119" s="517" t="str">
        <f>IFERROR(__xludf.DUMMYFUNCTION("""COMPUTED_VALUE"""),"Cancel")</f>
        <v>Cancel</v>
      </c>
      <c r="R119" s="517" t="str">
        <f>IFERROR(__xludf.DUMMYFUNCTION("""COMPUTED_VALUE"""),"Cancel")</f>
        <v>Cancel</v>
      </c>
      <c r="S119" s="517" t="str">
        <f>IFERROR(__xludf.DUMMYFUNCTION("""COMPUTED_VALUE"""),"Cancel")</f>
        <v>Cancel</v>
      </c>
      <c r="T119" s="517" t="str">
        <f>IFERROR(__xludf.DUMMYFUNCTION("""COMPUTED_VALUE"""),"Cancel")</f>
        <v>Cancel</v>
      </c>
      <c r="U119" s="517" t="str">
        <f>IFERROR(__xludf.DUMMYFUNCTION("""COMPUTED_VALUE"""),"Cancel")</f>
        <v>Cancel</v>
      </c>
      <c r="V119" s="624" t="str">
        <f>IFERROR(__xludf.DUMMYFUNCTION("""COMPUTED_VALUE"""),"#NUM!")</f>
        <v>#NUM!</v>
      </c>
      <c r="W119" s="625">
        <f>IFERROR(__xludf.DUMMYFUNCTION("""COMPUTED_VALUE"""),45815.0)</f>
        <v>45815</v>
      </c>
      <c r="X119" s="626">
        <f>IFERROR(__xludf.DUMMYFUNCTION("""COMPUTED_VALUE"""),45729.0)</f>
        <v>45729</v>
      </c>
      <c r="Y119" s="517" t="b">
        <f>IFERROR(__xludf.DUMMYFUNCTION("""COMPUTED_VALUE"""),FALSE)</f>
        <v>0</v>
      </c>
      <c r="Z119" s="626">
        <f>IFERROR(__xludf.DUMMYFUNCTION("""COMPUTED_VALUE"""),45730.0)</f>
        <v>45730</v>
      </c>
      <c r="AA119" s="517" t="b">
        <f>IFERROR(__xludf.DUMMYFUNCTION("""COMPUTED_VALUE"""),FALSE)</f>
        <v>0</v>
      </c>
      <c r="AB119" s="626">
        <f>IFERROR(__xludf.DUMMYFUNCTION("""COMPUTED_VALUE"""),45736.0)</f>
        <v>45736</v>
      </c>
      <c r="AC119" s="626">
        <f>IFERROR(__xludf.DUMMYFUNCTION("""COMPUTED_VALUE"""),45736.0)</f>
        <v>45736</v>
      </c>
      <c r="AD119" s="626">
        <f>IFERROR(__xludf.DUMMYFUNCTION("""COMPUTED_VALUE"""),45742.0)</f>
        <v>45742</v>
      </c>
      <c r="AE119" s="517" t="str">
        <f>IFERROR(__xludf.DUMMYFUNCTION("""COMPUTED_VALUE"""),"Cancel")</f>
        <v>Cancel</v>
      </c>
      <c r="AF119" s="517" t="str">
        <f>IFERROR(__xludf.DUMMYFUNCTION("""COMPUTED_VALUE"""),"Cancel")</f>
        <v>Cancel</v>
      </c>
      <c r="AG119" s="517" t="str">
        <f>IFERROR(__xludf.DUMMYFUNCTION("""COMPUTED_VALUE"""),"Cancel")</f>
        <v>Cancel</v>
      </c>
      <c r="AH119" s="517"/>
      <c r="AI119" s="626">
        <f>IFERROR(__xludf.DUMMYFUNCTION("""COMPUTED_VALUE"""),45764.0)</f>
        <v>45764</v>
      </c>
      <c r="AJ119" s="517" t="b">
        <f>IFERROR(__xludf.DUMMYFUNCTION("""COMPUTED_VALUE"""),FALSE)</f>
        <v>0</v>
      </c>
      <c r="AK119" s="517" t="b">
        <f>IFERROR(__xludf.DUMMYFUNCTION("""COMPUTED_VALUE"""),FALSE)</f>
        <v>0</v>
      </c>
      <c r="AL119" s="626">
        <f>IFERROR(__xludf.DUMMYFUNCTION("""COMPUTED_VALUE"""),45764.0)</f>
        <v>45764</v>
      </c>
      <c r="AM119" s="517"/>
      <c r="AN119" s="517"/>
      <c r="AO119" s="517"/>
      <c r="AP119" s="626">
        <f>IFERROR(__xludf.DUMMYFUNCTION("""COMPUTED_VALUE"""),45764.0)</f>
        <v>45764</v>
      </c>
      <c r="AQ119" s="517" t="b">
        <f>IFERROR(__xludf.DUMMYFUNCTION("""COMPUTED_VALUE"""),FALSE)</f>
        <v>0</v>
      </c>
      <c r="AR119" s="517" t="str">
        <f>IFERROR(__xludf.DUMMYFUNCTION("""COMPUTED_VALUE"""),"N")</f>
        <v>N</v>
      </c>
      <c r="AS119" s="517"/>
      <c r="AT119" s="626">
        <f>IFERROR(__xludf.DUMMYFUNCTION("""COMPUTED_VALUE"""),45764.0)</f>
        <v>45764</v>
      </c>
      <c r="AU119" s="517"/>
      <c r="AV119" s="517"/>
      <c r="AW119" s="626">
        <f>IFERROR(__xludf.DUMMYFUNCTION("""COMPUTED_VALUE"""),45811.0)</f>
        <v>45811</v>
      </c>
      <c r="AX119" s="626">
        <f>IFERROR(__xludf.DUMMYFUNCTION("""COMPUTED_VALUE"""),45811.0)</f>
        <v>45811</v>
      </c>
      <c r="AY119" s="517" t="b">
        <f>IFERROR(__xludf.DUMMYFUNCTION("""COMPUTED_VALUE"""),FALSE)</f>
        <v>0</v>
      </c>
    </row>
    <row r="120">
      <c r="B120" s="517" t="str">
        <f>IFERROR(__xludf.DUMMYFUNCTION("""COMPUTED_VALUE"""),"TMO")</f>
        <v>TMO</v>
      </c>
      <c r="C120" s="517" t="str">
        <f>IFERROR(__xludf.DUMMYFUNCTION("""COMPUTED_VALUE"""),"Cancel")</f>
        <v>Cancel</v>
      </c>
      <c r="D120" s="517" t="str">
        <f>IFERROR(__xludf.DUMMYFUNCTION("""COMPUTED_VALUE"""),"Pristine")</f>
        <v>Pristine</v>
      </c>
      <c r="E120" s="517" t="str">
        <f>IFERROR(__xludf.DUMMYFUNCTION("""COMPUTED_VALUE"""),"GA10251-US")</f>
        <v>GA10251-US</v>
      </c>
      <c r="F120" s="517" t="str">
        <f>IFERROR(__xludf.DUMMYFUNCTION("""COMPUTED_VALUE"""),"Cancel")</f>
        <v>Cancel</v>
      </c>
      <c r="G120" s="517" t="str">
        <f>IFERROR(__xludf.DUMMYFUNCTION("""COMPUTED_VALUE"""),"Cancel")</f>
        <v>Cancel</v>
      </c>
      <c r="H120" s="517" t="str">
        <f>IFERROR(__xludf.DUMMYFUNCTION("""COMPUTED_VALUE"""),"Cancel")</f>
        <v>Cancel</v>
      </c>
      <c r="I120" s="517" t="str">
        <f>IFERROR(__xludf.DUMMYFUNCTION("""COMPUTED_VALUE"""),"Cancel")</f>
        <v>Cancel</v>
      </c>
      <c r="J120" s="517" t="str">
        <f>IFERROR(__xludf.DUMMYFUNCTION("""COMPUTED_VALUE"""),"Cancel")</f>
        <v>Cancel</v>
      </c>
      <c r="K120" s="517" t="str">
        <f>IFERROR(__xludf.DUMMYFUNCTION("""COMPUTED_VALUE"""),"Cancel")</f>
        <v>Cancel</v>
      </c>
      <c r="M120" s="519" t="str">
        <f>IFERROR(__xludf.DUMMYFUNCTION("""COMPUTED_VALUE"""),"G990-08380-31-02")</f>
        <v>G990-08380-31-02</v>
      </c>
      <c r="N120" s="519" t="str">
        <f>IFERROR(__xludf.DUMMYFUNCTION("""COMPUTED_VALUE"""),"G990-08492-31-02")</f>
        <v>G990-08492-31-02</v>
      </c>
      <c r="O120" s="517" t="str">
        <f>IFERROR(__xludf.DUMMYFUNCTION("""COMPUTED_VALUE"""),"BOB→A
Retail→A")</f>
        <v>BOB→A
Retail→A</v>
      </c>
      <c r="P120" s="517" t="str">
        <f>IFERROR(__xludf.DUMMYFUNCTION("""COMPUTED_VALUE"""),"Cancel")</f>
        <v>Cancel</v>
      </c>
      <c r="Q120" s="517" t="str">
        <f>IFERROR(__xludf.DUMMYFUNCTION("""COMPUTED_VALUE"""),"Cancel")</f>
        <v>Cancel</v>
      </c>
      <c r="R120" s="517" t="str">
        <f>IFERROR(__xludf.DUMMYFUNCTION("""COMPUTED_VALUE"""),"Cancel")</f>
        <v>Cancel</v>
      </c>
      <c r="S120" s="517" t="str">
        <f>IFERROR(__xludf.DUMMYFUNCTION("""COMPUTED_VALUE"""),"Cancel")</f>
        <v>Cancel</v>
      </c>
      <c r="T120" s="517" t="str">
        <f>IFERROR(__xludf.DUMMYFUNCTION("""COMPUTED_VALUE"""),"Cancel")</f>
        <v>Cancel</v>
      </c>
      <c r="U120" s="517" t="str">
        <f>IFERROR(__xludf.DUMMYFUNCTION("""COMPUTED_VALUE"""),"Cancel")</f>
        <v>Cancel</v>
      </c>
      <c r="V120" s="624" t="str">
        <f>IFERROR(__xludf.DUMMYFUNCTION("""COMPUTED_VALUE"""),"#NUM!")</f>
        <v>#NUM!</v>
      </c>
      <c r="W120" s="625">
        <f>IFERROR(__xludf.DUMMYFUNCTION("""COMPUTED_VALUE"""),45815.0)</f>
        <v>45815</v>
      </c>
      <c r="X120" s="626">
        <f>IFERROR(__xludf.DUMMYFUNCTION("""COMPUTED_VALUE"""),45729.0)</f>
        <v>45729</v>
      </c>
      <c r="Y120" s="517" t="b">
        <f>IFERROR(__xludf.DUMMYFUNCTION("""COMPUTED_VALUE"""),FALSE)</f>
        <v>0</v>
      </c>
      <c r="Z120" s="626">
        <f>IFERROR(__xludf.DUMMYFUNCTION("""COMPUTED_VALUE"""),45730.0)</f>
        <v>45730</v>
      </c>
      <c r="AA120" s="517" t="b">
        <f>IFERROR(__xludf.DUMMYFUNCTION("""COMPUTED_VALUE"""),FALSE)</f>
        <v>0</v>
      </c>
      <c r="AB120" s="626">
        <f>IFERROR(__xludf.DUMMYFUNCTION("""COMPUTED_VALUE"""),45736.0)</f>
        <v>45736</v>
      </c>
      <c r="AC120" s="626">
        <f>IFERROR(__xludf.DUMMYFUNCTION("""COMPUTED_VALUE"""),45736.0)</f>
        <v>45736</v>
      </c>
      <c r="AD120" s="626">
        <f>IFERROR(__xludf.DUMMYFUNCTION("""COMPUTED_VALUE"""),45742.0)</f>
        <v>45742</v>
      </c>
      <c r="AE120" s="517" t="str">
        <f>IFERROR(__xludf.DUMMYFUNCTION("""COMPUTED_VALUE"""),"Cancel")</f>
        <v>Cancel</v>
      </c>
      <c r="AF120" s="517" t="str">
        <f>IFERROR(__xludf.DUMMYFUNCTION("""COMPUTED_VALUE"""),"Cancel")</f>
        <v>Cancel</v>
      </c>
      <c r="AG120" s="517" t="str">
        <f>IFERROR(__xludf.DUMMYFUNCTION("""COMPUTED_VALUE"""),"Cancel")</f>
        <v>Cancel</v>
      </c>
      <c r="AH120" s="517"/>
      <c r="AI120" s="626">
        <f>IFERROR(__xludf.DUMMYFUNCTION("""COMPUTED_VALUE"""),45764.0)</f>
        <v>45764</v>
      </c>
      <c r="AJ120" s="517" t="b">
        <f>IFERROR(__xludf.DUMMYFUNCTION("""COMPUTED_VALUE"""),FALSE)</f>
        <v>0</v>
      </c>
      <c r="AK120" s="517" t="b">
        <f>IFERROR(__xludf.DUMMYFUNCTION("""COMPUTED_VALUE"""),FALSE)</f>
        <v>0</v>
      </c>
      <c r="AL120" s="626">
        <f>IFERROR(__xludf.DUMMYFUNCTION("""COMPUTED_VALUE"""),45764.0)</f>
        <v>45764</v>
      </c>
      <c r="AM120" s="517"/>
      <c r="AN120" s="517"/>
      <c r="AO120" s="517"/>
      <c r="AP120" s="626">
        <f>IFERROR(__xludf.DUMMYFUNCTION("""COMPUTED_VALUE"""),45764.0)</f>
        <v>45764</v>
      </c>
      <c r="AQ120" s="517" t="b">
        <f>IFERROR(__xludf.DUMMYFUNCTION("""COMPUTED_VALUE"""),FALSE)</f>
        <v>0</v>
      </c>
      <c r="AR120" s="517" t="str">
        <f>IFERROR(__xludf.DUMMYFUNCTION("""COMPUTED_VALUE"""),"N")</f>
        <v>N</v>
      </c>
      <c r="AS120" s="517"/>
      <c r="AT120" s="626">
        <f>IFERROR(__xludf.DUMMYFUNCTION("""COMPUTED_VALUE"""),45764.0)</f>
        <v>45764</v>
      </c>
      <c r="AU120" s="517"/>
      <c r="AV120" s="517"/>
      <c r="AW120" s="626">
        <f>IFERROR(__xludf.DUMMYFUNCTION("""COMPUTED_VALUE"""),45811.0)</f>
        <v>45811</v>
      </c>
      <c r="AX120" s="626">
        <f>IFERROR(__xludf.DUMMYFUNCTION("""COMPUTED_VALUE"""),45811.0)</f>
        <v>45811</v>
      </c>
      <c r="AY120" s="517" t="b">
        <f>IFERROR(__xludf.DUMMYFUNCTION("""COMPUTED_VALUE"""),FALSE)</f>
        <v>0</v>
      </c>
    </row>
    <row r="121">
      <c r="B121" s="517" t="str">
        <f>IFERROR(__xludf.DUMMYFUNCTION("""COMPUTED_VALUE"""),"TMO")</f>
        <v>TMO</v>
      </c>
      <c r="C121" s="518" t="str">
        <f>IFERROR(__xludf.DUMMYFUNCTION("""COMPUTED_VALUE"""),"0840353926691")</f>
        <v>0840353926691</v>
      </c>
      <c r="D121" s="517" t="str">
        <f>IFERROR(__xludf.DUMMYFUNCTION("""COMPUTED_VALUE"""),"Pristine")</f>
        <v>Pristine</v>
      </c>
      <c r="E121" s="517" t="str">
        <f>IFERROR(__xludf.DUMMYFUNCTION("""COMPUTED_VALUE"""),"GA10252-US")</f>
        <v>GA10252-US</v>
      </c>
      <c r="F121" s="517" t="str">
        <f>IFERROR(__xludf.DUMMYFUNCTION("""COMPUTED_VALUE"""),"GLBW0")</f>
        <v>GLBW0</v>
      </c>
      <c r="G121" s="518" t="str">
        <f>IFERROR(__xludf.DUMMYFUNCTION("""COMPUTED_VALUE"""),"840353926691")</f>
        <v>840353926691</v>
      </c>
      <c r="H121" s="518" t="str">
        <f>IFERROR(__xludf.DUMMYFUNCTION("""COMPUTED_VALUE"""),"840353926691")</f>
        <v>840353926691</v>
      </c>
      <c r="I121" s="518" t="str">
        <f>IFERROR(__xludf.DUMMYFUNCTION("""COMPUTED_VALUE"""),"840353926691")</f>
        <v>840353926691</v>
      </c>
      <c r="J121" s="517" t="str">
        <f>IFERROR(__xludf.DUMMYFUNCTION("""COMPUTED_VALUE"""),"Retail_10ct")</f>
        <v>Retail_10ct</v>
      </c>
      <c r="K121" s="517" t="str">
        <f>IFERROR(__xludf.DUMMYFUNCTION("""COMPUTED_VALUE"""),"TMO Master Carton Label")</f>
        <v>TMO Master Carton Label</v>
      </c>
      <c r="M121" s="517" t="str">
        <f>IFERROR(__xludf.DUMMYFUNCTION("""COMPUTED_VALUE"""),"G990-08380-41-01
G990-08380-41-A")</f>
        <v>G990-08380-41-01
G990-08380-41-A</v>
      </c>
      <c r="N121" s="517" t="str">
        <f>IFERROR(__xludf.DUMMYFUNCTION("""COMPUTED_VALUE"""),"G990-08492-41-02
G990-08492-41-A")</f>
        <v>G990-08492-41-02
G990-08492-41-A</v>
      </c>
      <c r="O121" s="517" t="str">
        <f>IFERROR(__xludf.DUMMYFUNCTION("""COMPUTED_VALUE"""),"BOB→A
Retail→A")</f>
        <v>BOB→A
Retail→A</v>
      </c>
      <c r="P121" s="517" t="str">
        <f>IFERROR(__xludf.DUMMYFUNCTION("""COMPUTED_VALUE"""),"G990-08492-41-02
G990-08492-41-A")</f>
        <v>G990-08492-41-02
G990-08492-41-A</v>
      </c>
      <c r="Q121" s="517" t="str">
        <f>IFERROR(__xludf.DUMMYFUNCTION("""COMPUTED_VALUE"""),"Indigo")</f>
        <v>Indigo</v>
      </c>
      <c r="R121" s="517" t="str">
        <f>IFERROR(__xludf.DUMMYFUNCTION("""COMPUTED_VALUE"""),"BUE")</f>
        <v>BUE</v>
      </c>
      <c r="S121" s="517" t="str">
        <f>IFERROR(__xludf.DUMMYFUNCTION("""COMPUTED_VALUE"""),"TMO, US")</f>
        <v>TMO, US</v>
      </c>
      <c r="T121" s="517" t="str">
        <f>IFERROR(__xludf.DUMMYFUNCTION("""COMPUTED_VALUE"""),"SKU, CLR4, GOOD, MMWAVE, Tmobile, US, FL5")</f>
        <v>SKU, CLR4, GOOD, MMWAVE, Tmobile, US, FL5</v>
      </c>
      <c r="U121" s="517" t="str">
        <f>IFERROR(__xludf.DUMMYFUNCTION("""COMPUTED_VALUE"""),"Pixel 10, Indigo, 128GB, TMO, US")</f>
        <v>Pixel 10, Indigo, 128GB, TMO, US</v>
      </c>
      <c r="V121" s="624" t="str">
        <f>IFERROR(__xludf.DUMMYFUNCTION("""COMPUTED_VALUE"""),"#NUM!")</f>
        <v>#NUM!</v>
      </c>
      <c r="W121" s="625">
        <f>IFERROR(__xludf.DUMMYFUNCTION("""COMPUTED_VALUE"""),45815.0)</f>
        <v>45815</v>
      </c>
      <c r="X121" s="626">
        <f>IFERROR(__xludf.DUMMYFUNCTION("""COMPUTED_VALUE"""),45729.0)</f>
        <v>45729</v>
      </c>
      <c r="Y121" s="517" t="b">
        <f>IFERROR(__xludf.DUMMYFUNCTION("""COMPUTED_VALUE"""),TRUE)</f>
        <v>1</v>
      </c>
      <c r="Z121" s="626">
        <f>IFERROR(__xludf.DUMMYFUNCTION("""COMPUTED_VALUE"""),45730.0)</f>
        <v>45730</v>
      </c>
      <c r="AA121" s="517" t="b">
        <f>IFERROR(__xludf.DUMMYFUNCTION("""COMPUTED_VALUE"""),FALSE)</f>
        <v>0</v>
      </c>
      <c r="AB121" s="626">
        <f>IFERROR(__xludf.DUMMYFUNCTION("""COMPUTED_VALUE"""),45736.0)</f>
        <v>45736</v>
      </c>
      <c r="AC121" s="626">
        <f>IFERROR(__xludf.DUMMYFUNCTION("""COMPUTED_VALUE"""),45736.0)</f>
        <v>45736</v>
      </c>
      <c r="AD121" s="626">
        <f>IFERROR(__xludf.DUMMYFUNCTION("""COMPUTED_VALUE"""),45742.0)</f>
        <v>45742</v>
      </c>
      <c r="AE121" s="519" t="str">
        <f>IFERROR(__xludf.DUMMYFUNCTION("""COMPUTED_VALUE"""),"GA10252-US")</f>
        <v>GA10252-US</v>
      </c>
      <c r="AF121" s="519" t="str">
        <f>IFERROR(__xludf.DUMMYFUNCTION("""COMPUTED_VALUE"""),"GA10252-US
(Update pallet)")</f>
        <v>GA10252-US
(Update pallet)</v>
      </c>
      <c r="AG121" s="517" t="str">
        <f>IFERROR(__xludf.DUMMYFUNCTION("""COMPUTED_VALUE"""),"GA10252-US
GA10252-US(RevA)")</f>
        <v>GA10252-US
GA10252-US(RevA)</v>
      </c>
      <c r="AH121" s="519" t="str">
        <f>IFERROR(__xludf.DUMMYFUNCTION("""COMPUTED_VALUE"""),"GA10252-US")</f>
        <v>GA10252-US</v>
      </c>
      <c r="AI121" s="626">
        <f>IFERROR(__xludf.DUMMYFUNCTION("""COMPUTED_VALUE"""),45764.0)</f>
        <v>45764</v>
      </c>
      <c r="AJ121" s="517" t="b">
        <f>IFERROR(__xludf.DUMMYFUNCTION("""COMPUTED_VALUE"""),TRUE)</f>
        <v>1</v>
      </c>
      <c r="AK121" s="517" t="b">
        <f>IFERROR(__xludf.DUMMYFUNCTION("""COMPUTED_VALUE"""),TRUE)</f>
        <v>1</v>
      </c>
      <c r="AL121" s="626">
        <f>IFERROR(__xludf.DUMMYFUNCTION("""COMPUTED_VALUE"""),45764.0)</f>
        <v>45764</v>
      </c>
      <c r="AM121" s="517" t="str">
        <f>IFERROR(__xludf.DUMMYFUNCTION("""COMPUTED_VALUE"""),"Approved")</f>
        <v>Approved</v>
      </c>
      <c r="AN121" s="517" t="str">
        <f>IFERROR(__xludf.DUMMYFUNCTION("""COMPUTED_VALUE"""),"N")</f>
        <v>N</v>
      </c>
      <c r="AO121" s="517"/>
      <c r="AP121" s="626">
        <f>IFERROR(__xludf.DUMMYFUNCTION("""COMPUTED_VALUE"""),45764.0)</f>
        <v>45764</v>
      </c>
      <c r="AQ121" s="517" t="b">
        <f>IFERROR(__xludf.DUMMYFUNCTION("""COMPUTED_VALUE"""),TRUE)</f>
        <v>1</v>
      </c>
      <c r="AR121" s="517" t="str">
        <f>IFERROR(__xludf.DUMMYFUNCTION("""COMPUTED_VALUE"""),"N")</f>
        <v>N</v>
      </c>
      <c r="AS121" s="517"/>
      <c r="AT121" s="626">
        <f>IFERROR(__xludf.DUMMYFUNCTION("""COMPUTED_VALUE"""),45764.0)</f>
        <v>45764</v>
      </c>
      <c r="AU121" s="517" t="str">
        <f>IFERROR(__xludf.DUMMYFUNCTION("""COMPUTED_VALUE"""),"Y")</f>
        <v>Y</v>
      </c>
      <c r="AV121" s="517"/>
      <c r="AW121" s="626">
        <f>IFERROR(__xludf.DUMMYFUNCTION("""COMPUTED_VALUE"""),45811.0)</f>
        <v>45811</v>
      </c>
      <c r="AX121" s="626">
        <f>IFERROR(__xludf.DUMMYFUNCTION("""COMPUTED_VALUE"""),45811.0)</f>
        <v>45811</v>
      </c>
      <c r="AY121" s="517" t="b">
        <f>IFERROR(__xludf.DUMMYFUNCTION("""COMPUTED_VALUE"""),FALSE)</f>
        <v>0</v>
      </c>
    </row>
    <row r="122">
      <c r="B122" s="517" t="str">
        <f>IFERROR(__xludf.DUMMYFUNCTION("""COMPUTED_VALUE"""),"TMO")</f>
        <v>TMO</v>
      </c>
      <c r="C122" s="518" t="str">
        <f>IFERROR(__xludf.DUMMYFUNCTION("""COMPUTED_VALUE"""),"0840353926721")</f>
        <v>0840353926721</v>
      </c>
      <c r="D122" s="517" t="str">
        <f>IFERROR(__xludf.DUMMYFUNCTION("""COMPUTED_VALUE"""),"Pristine")</f>
        <v>Pristine</v>
      </c>
      <c r="E122" s="517" t="str">
        <f>IFERROR(__xludf.DUMMYFUNCTION("""COMPUTED_VALUE"""),"GA09882-US")</f>
        <v>GA09882-US</v>
      </c>
      <c r="F122" s="517" t="str">
        <f>IFERROR(__xludf.DUMMYFUNCTION("""COMPUTED_VALUE"""),"GLBW0")</f>
        <v>GLBW0</v>
      </c>
      <c r="G122" s="518" t="str">
        <f>IFERROR(__xludf.DUMMYFUNCTION("""COMPUTED_VALUE"""),"840353926721")</f>
        <v>840353926721</v>
      </c>
      <c r="H122" s="518" t="str">
        <f>IFERROR(__xludf.DUMMYFUNCTION("""COMPUTED_VALUE"""),"840353926721")</f>
        <v>840353926721</v>
      </c>
      <c r="I122" s="518" t="str">
        <f>IFERROR(__xludf.DUMMYFUNCTION("""COMPUTED_VALUE"""),"840353926721")</f>
        <v>840353926721</v>
      </c>
      <c r="J122" s="517" t="str">
        <f>IFERROR(__xludf.DUMMYFUNCTION("""COMPUTED_VALUE"""),"Retail_10ct")</f>
        <v>Retail_10ct</v>
      </c>
      <c r="K122" s="517" t="str">
        <f>IFERROR(__xludf.DUMMYFUNCTION("""COMPUTED_VALUE"""),"TMO Master Carton Label")</f>
        <v>TMO Master Carton Label</v>
      </c>
      <c r="M122" s="517" t="str">
        <f>IFERROR(__xludf.DUMMYFUNCTION("""COMPUTED_VALUE"""),"G990-08380-12-01
G990-08380-12-A")</f>
        <v>G990-08380-12-01
G990-08380-12-A</v>
      </c>
      <c r="N122" s="517" t="str">
        <f>IFERROR(__xludf.DUMMYFUNCTION("""COMPUTED_VALUE"""),"G990-08492-12-02
G990-08492-12-A")</f>
        <v>G990-08492-12-02
G990-08492-12-A</v>
      </c>
      <c r="O122" s="517" t="str">
        <f>IFERROR(__xludf.DUMMYFUNCTION("""COMPUTED_VALUE"""),"BOB→A
Retail→A")</f>
        <v>BOB→A
Retail→A</v>
      </c>
      <c r="P122" s="517" t="str">
        <f>IFERROR(__xludf.DUMMYFUNCTION("""COMPUTED_VALUE"""),"G990-08492-12-02
G990-08492-12-A")</f>
        <v>G990-08492-12-02
G990-08492-12-A</v>
      </c>
      <c r="Q122" s="517" t="str">
        <f>IFERROR(__xludf.DUMMYFUNCTION("""COMPUTED_VALUE"""),"Obsidian")</f>
        <v>Obsidian</v>
      </c>
      <c r="R122" s="517" t="str">
        <f>IFERROR(__xludf.DUMMYFUNCTION("""COMPUTED_VALUE"""),"BLK")</f>
        <v>BLK</v>
      </c>
      <c r="S122" s="517" t="str">
        <f>IFERROR(__xludf.DUMMYFUNCTION("""COMPUTED_VALUE"""),"TMO, US")</f>
        <v>TMO, US</v>
      </c>
      <c r="T122" s="517" t="str">
        <f>IFERROR(__xludf.DUMMYFUNCTION("""COMPUTED_VALUE"""),"SKU, CLR1, BETTER, MMWAVE, TMO, US, FL5")</f>
        <v>SKU, CLR1, BETTER, MMWAVE, TMO, US, FL5</v>
      </c>
      <c r="U122" s="517" t="str">
        <f>IFERROR(__xludf.DUMMYFUNCTION("""COMPUTED_VALUE"""),"Pixel 10, Obsidian, 256GB, TMO, US")</f>
        <v>Pixel 10, Obsidian, 256GB, TMO, US</v>
      </c>
      <c r="V122" s="624" t="str">
        <f>IFERROR(__xludf.DUMMYFUNCTION("""COMPUTED_VALUE"""),"#NUM!")</f>
        <v>#NUM!</v>
      </c>
      <c r="W122" s="625">
        <f>IFERROR(__xludf.DUMMYFUNCTION("""COMPUTED_VALUE"""),45815.0)</f>
        <v>45815</v>
      </c>
      <c r="X122" s="626">
        <f>IFERROR(__xludf.DUMMYFUNCTION("""COMPUTED_VALUE"""),45729.0)</f>
        <v>45729</v>
      </c>
      <c r="Y122" s="517" t="b">
        <f>IFERROR(__xludf.DUMMYFUNCTION("""COMPUTED_VALUE"""),TRUE)</f>
        <v>1</v>
      </c>
      <c r="Z122" s="626">
        <f>IFERROR(__xludf.DUMMYFUNCTION("""COMPUTED_VALUE"""),45730.0)</f>
        <v>45730</v>
      </c>
      <c r="AA122" s="517" t="b">
        <f>IFERROR(__xludf.DUMMYFUNCTION("""COMPUTED_VALUE"""),FALSE)</f>
        <v>0</v>
      </c>
      <c r="AB122" s="626">
        <f>IFERROR(__xludf.DUMMYFUNCTION("""COMPUTED_VALUE"""),45736.0)</f>
        <v>45736</v>
      </c>
      <c r="AC122" s="626">
        <f>IFERROR(__xludf.DUMMYFUNCTION("""COMPUTED_VALUE"""),45736.0)</f>
        <v>45736</v>
      </c>
      <c r="AD122" s="626">
        <f>IFERROR(__xludf.DUMMYFUNCTION("""COMPUTED_VALUE"""),45742.0)</f>
        <v>45742</v>
      </c>
      <c r="AE122" s="519" t="str">
        <f>IFERROR(__xludf.DUMMYFUNCTION("""COMPUTED_VALUE"""),"GA09882-US")</f>
        <v>GA09882-US</v>
      </c>
      <c r="AF122" s="519" t="str">
        <f>IFERROR(__xludf.DUMMYFUNCTION("""COMPUTED_VALUE"""),"GA09882-US
(Update pallet)")</f>
        <v>GA09882-US
(Update pallet)</v>
      </c>
      <c r="AG122" s="517" t="str">
        <f>IFERROR(__xludf.DUMMYFUNCTION("""COMPUTED_VALUE"""),"GA09882-US
GA09882-US(RevA)")</f>
        <v>GA09882-US
GA09882-US(RevA)</v>
      </c>
      <c r="AH122" s="519" t="str">
        <f>IFERROR(__xludf.DUMMYFUNCTION("""COMPUTED_VALUE"""),"GA09882-US")</f>
        <v>GA09882-US</v>
      </c>
      <c r="AI122" s="626">
        <f>IFERROR(__xludf.DUMMYFUNCTION("""COMPUTED_VALUE"""),45764.0)</f>
        <v>45764</v>
      </c>
      <c r="AJ122" s="517" t="b">
        <f>IFERROR(__xludf.DUMMYFUNCTION("""COMPUTED_VALUE"""),TRUE)</f>
        <v>1</v>
      </c>
      <c r="AK122" s="517" t="b">
        <f>IFERROR(__xludf.DUMMYFUNCTION("""COMPUTED_VALUE"""),TRUE)</f>
        <v>1</v>
      </c>
      <c r="AL122" s="626">
        <f>IFERROR(__xludf.DUMMYFUNCTION("""COMPUTED_VALUE"""),45764.0)</f>
        <v>45764</v>
      </c>
      <c r="AM122" s="517" t="str">
        <f>IFERROR(__xludf.DUMMYFUNCTION("""COMPUTED_VALUE"""),"Approved")</f>
        <v>Approved</v>
      </c>
      <c r="AN122" s="517" t="str">
        <f>IFERROR(__xludf.DUMMYFUNCTION("""COMPUTED_VALUE"""),"N")</f>
        <v>N</v>
      </c>
      <c r="AO122" s="517"/>
      <c r="AP122" s="626">
        <f>IFERROR(__xludf.DUMMYFUNCTION("""COMPUTED_VALUE"""),45764.0)</f>
        <v>45764</v>
      </c>
      <c r="AQ122" s="517" t="b">
        <f>IFERROR(__xludf.DUMMYFUNCTION("""COMPUTED_VALUE"""),TRUE)</f>
        <v>1</v>
      </c>
      <c r="AR122" s="517" t="str">
        <f>IFERROR(__xludf.DUMMYFUNCTION("""COMPUTED_VALUE"""),"N")</f>
        <v>N</v>
      </c>
      <c r="AS122" s="517"/>
      <c r="AT122" s="626">
        <f>IFERROR(__xludf.DUMMYFUNCTION("""COMPUTED_VALUE"""),45764.0)</f>
        <v>45764</v>
      </c>
      <c r="AU122" s="517" t="str">
        <f>IFERROR(__xludf.DUMMYFUNCTION("""COMPUTED_VALUE"""),"Y")</f>
        <v>Y</v>
      </c>
      <c r="AV122" s="517"/>
      <c r="AW122" s="626">
        <f>IFERROR(__xludf.DUMMYFUNCTION("""COMPUTED_VALUE"""),45811.0)</f>
        <v>45811</v>
      </c>
      <c r="AX122" s="626">
        <f>IFERROR(__xludf.DUMMYFUNCTION("""COMPUTED_VALUE"""),45811.0)</f>
        <v>45811</v>
      </c>
      <c r="AY122" s="517" t="b">
        <f>IFERROR(__xludf.DUMMYFUNCTION("""COMPUTED_VALUE"""),FALSE)</f>
        <v>0</v>
      </c>
    </row>
    <row r="123">
      <c r="B123" s="517" t="str">
        <f>IFERROR(__xludf.DUMMYFUNCTION("""COMPUTED_VALUE"""),"TMO")</f>
        <v>TMO</v>
      </c>
      <c r="C123" s="517" t="str">
        <f>IFERROR(__xludf.DUMMYFUNCTION("""COMPUTED_VALUE"""),"Cancel")</f>
        <v>Cancel</v>
      </c>
      <c r="D123" s="517" t="str">
        <f>IFERROR(__xludf.DUMMYFUNCTION("""COMPUTED_VALUE"""),"Pristine")</f>
        <v>Pristine</v>
      </c>
      <c r="E123" s="517" t="str">
        <f>IFERROR(__xludf.DUMMYFUNCTION("""COMPUTED_VALUE"""),"GA10253-US")</f>
        <v>GA10253-US</v>
      </c>
      <c r="F123" s="517" t="str">
        <f>IFERROR(__xludf.DUMMYFUNCTION("""COMPUTED_VALUE"""),"Cancel")</f>
        <v>Cancel</v>
      </c>
      <c r="G123" s="517" t="str">
        <f>IFERROR(__xludf.DUMMYFUNCTION("""COMPUTED_VALUE"""),"Cancel")</f>
        <v>Cancel</v>
      </c>
      <c r="H123" s="517" t="str">
        <f>IFERROR(__xludf.DUMMYFUNCTION("""COMPUTED_VALUE"""),"Cancel")</f>
        <v>Cancel</v>
      </c>
      <c r="I123" s="517" t="str">
        <f>IFERROR(__xludf.DUMMYFUNCTION("""COMPUTED_VALUE"""),"Cancel")</f>
        <v>Cancel</v>
      </c>
      <c r="J123" s="517" t="str">
        <f>IFERROR(__xludf.DUMMYFUNCTION("""COMPUTED_VALUE"""),"Cancel")</f>
        <v>Cancel</v>
      </c>
      <c r="K123" s="517" t="str">
        <f>IFERROR(__xludf.DUMMYFUNCTION("""COMPUTED_VALUE"""),"Cancel")</f>
        <v>Cancel</v>
      </c>
      <c r="M123" s="519" t="str">
        <f>IFERROR(__xludf.DUMMYFUNCTION("""COMPUTED_VALUE"""),"G990-08380-22-01")</f>
        <v>G990-08380-22-01</v>
      </c>
      <c r="N123" s="519" t="str">
        <f>IFERROR(__xludf.DUMMYFUNCTION("""COMPUTED_VALUE"""),"G990-08492-22-02")</f>
        <v>G990-08492-22-02</v>
      </c>
      <c r="O123" s="517" t="str">
        <f>IFERROR(__xludf.DUMMYFUNCTION("""COMPUTED_VALUE"""),"BOB→A
Retail→A")</f>
        <v>BOB→A
Retail→A</v>
      </c>
      <c r="P123" s="517" t="str">
        <f>IFERROR(__xludf.DUMMYFUNCTION("""COMPUTED_VALUE"""),"Cancel")</f>
        <v>Cancel</v>
      </c>
      <c r="Q123" s="517" t="str">
        <f>IFERROR(__xludf.DUMMYFUNCTION("""COMPUTED_VALUE"""),"Cancel")</f>
        <v>Cancel</v>
      </c>
      <c r="R123" s="517" t="str">
        <f>IFERROR(__xludf.DUMMYFUNCTION("""COMPUTED_VALUE"""),"Cancel")</f>
        <v>Cancel</v>
      </c>
      <c r="S123" s="517" t="str">
        <f>IFERROR(__xludf.DUMMYFUNCTION("""COMPUTED_VALUE"""),"Cancel")</f>
        <v>Cancel</v>
      </c>
      <c r="T123" s="517" t="str">
        <f>IFERROR(__xludf.DUMMYFUNCTION("""COMPUTED_VALUE"""),"Cancel")</f>
        <v>Cancel</v>
      </c>
      <c r="U123" s="517" t="str">
        <f>IFERROR(__xludf.DUMMYFUNCTION("""COMPUTED_VALUE"""),"Cancel")</f>
        <v>Cancel</v>
      </c>
      <c r="V123" s="624" t="str">
        <f>IFERROR(__xludf.DUMMYFUNCTION("""COMPUTED_VALUE"""),"#NUM!")</f>
        <v>#NUM!</v>
      </c>
      <c r="W123" s="625">
        <f>IFERROR(__xludf.DUMMYFUNCTION("""COMPUTED_VALUE"""),45815.0)</f>
        <v>45815</v>
      </c>
      <c r="X123" s="626">
        <f>IFERROR(__xludf.DUMMYFUNCTION("""COMPUTED_VALUE"""),45729.0)</f>
        <v>45729</v>
      </c>
      <c r="Y123" s="517" t="b">
        <f>IFERROR(__xludf.DUMMYFUNCTION("""COMPUTED_VALUE"""),FALSE)</f>
        <v>0</v>
      </c>
      <c r="Z123" s="626">
        <f>IFERROR(__xludf.DUMMYFUNCTION("""COMPUTED_VALUE"""),45730.0)</f>
        <v>45730</v>
      </c>
      <c r="AA123" s="517" t="b">
        <f>IFERROR(__xludf.DUMMYFUNCTION("""COMPUTED_VALUE"""),FALSE)</f>
        <v>0</v>
      </c>
      <c r="AB123" s="626">
        <f>IFERROR(__xludf.DUMMYFUNCTION("""COMPUTED_VALUE"""),45736.0)</f>
        <v>45736</v>
      </c>
      <c r="AC123" s="626">
        <f>IFERROR(__xludf.DUMMYFUNCTION("""COMPUTED_VALUE"""),45736.0)</f>
        <v>45736</v>
      </c>
      <c r="AD123" s="626">
        <f>IFERROR(__xludf.DUMMYFUNCTION("""COMPUTED_VALUE"""),45742.0)</f>
        <v>45742</v>
      </c>
      <c r="AE123" s="517" t="str">
        <f>IFERROR(__xludf.DUMMYFUNCTION("""COMPUTED_VALUE"""),"Cancel")</f>
        <v>Cancel</v>
      </c>
      <c r="AF123" s="517" t="str">
        <f>IFERROR(__xludf.DUMMYFUNCTION("""COMPUTED_VALUE"""),"Cancel")</f>
        <v>Cancel</v>
      </c>
      <c r="AG123" s="517" t="str">
        <f>IFERROR(__xludf.DUMMYFUNCTION("""COMPUTED_VALUE"""),"Cancel")</f>
        <v>Cancel</v>
      </c>
      <c r="AH123" s="517"/>
      <c r="AI123" s="626">
        <f>IFERROR(__xludf.DUMMYFUNCTION("""COMPUTED_VALUE"""),45764.0)</f>
        <v>45764</v>
      </c>
      <c r="AJ123" s="517" t="b">
        <f>IFERROR(__xludf.DUMMYFUNCTION("""COMPUTED_VALUE"""),FALSE)</f>
        <v>0</v>
      </c>
      <c r="AK123" s="517" t="b">
        <f>IFERROR(__xludf.DUMMYFUNCTION("""COMPUTED_VALUE"""),FALSE)</f>
        <v>0</v>
      </c>
      <c r="AL123" s="626">
        <f>IFERROR(__xludf.DUMMYFUNCTION("""COMPUTED_VALUE"""),45764.0)</f>
        <v>45764</v>
      </c>
      <c r="AM123" s="517"/>
      <c r="AN123" s="517"/>
      <c r="AO123" s="517"/>
      <c r="AP123" s="626">
        <f>IFERROR(__xludf.DUMMYFUNCTION("""COMPUTED_VALUE"""),45764.0)</f>
        <v>45764</v>
      </c>
      <c r="AQ123" s="517"/>
      <c r="AR123" s="517"/>
      <c r="AS123" s="517"/>
      <c r="AT123" s="626">
        <f>IFERROR(__xludf.DUMMYFUNCTION("""COMPUTED_VALUE"""),45764.0)</f>
        <v>45764</v>
      </c>
      <c r="AU123" s="517"/>
      <c r="AV123" s="517"/>
      <c r="AW123" s="626">
        <f>IFERROR(__xludf.DUMMYFUNCTION("""COMPUTED_VALUE"""),45811.0)</f>
        <v>45811</v>
      </c>
      <c r="AX123" s="626">
        <f>IFERROR(__xludf.DUMMYFUNCTION("""COMPUTED_VALUE"""),45811.0)</f>
        <v>45811</v>
      </c>
      <c r="AY123" s="517" t="b">
        <f>IFERROR(__xludf.DUMMYFUNCTION("""COMPUTED_VALUE"""),FALSE)</f>
        <v>0</v>
      </c>
    </row>
    <row r="124">
      <c r="B124" s="517" t="str">
        <f>IFERROR(__xludf.DUMMYFUNCTION("""COMPUTED_VALUE"""),"TMO")</f>
        <v>TMO</v>
      </c>
      <c r="C124" s="517" t="str">
        <f>IFERROR(__xludf.DUMMYFUNCTION("""COMPUTED_VALUE"""),"Cancel")</f>
        <v>Cancel</v>
      </c>
      <c r="D124" s="517" t="str">
        <f>IFERROR(__xludf.DUMMYFUNCTION("""COMPUTED_VALUE"""),"Pristine")</f>
        <v>Pristine</v>
      </c>
      <c r="E124" s="517" t="str">
        <f>IFERROR(__xludf.DUMMYFUNCTION("""COMPUTED_VALUE"""),"GA10254-US")</f>
        <v>GA10254-US</v>
      </c>
      <c r="F124" s="517" t="str">
        <f>IFERROR(__xludf.DUMMYFUNCTION("""COMPUTED_VALUE"""),"Cancel")</f>
        <v>Cancel</v>
      </c>
      <c r="G124" s="517" t="str">
        <f>IFERROR(__xludf.DUMMYFUNCTION("""COMPUTED_VALUE"""),"Cancel")</f>
        <v>Cancel</v>
      </c>
      <c r="H124" s="517" t="str">
        <f>IFERROR(__xludf.DUMMYFUNCTION("""COMPUTED_VALUE"""),"Cancel")</f>
        <v>Cancel</v>
      </c>
      <c r="I124" s="517" t="str">
        <f>IFERROR(__xludf.DUMMYFUNCTION("""COMPUTED_VALUE"""),"Cancel")</f>
        <v>Cancel</v>
      </c>
      <c r="J124" s="517" t="str">
        <f>IFERROR(__xludf.DUMMYFUNCTION("""COMPUTED_VALUE"""),"Cancel")</f>
        <v>Cancel</v>
      </c>
      <c r="K124" s="517" t="str">
        <f>IFERROR(__xludf.DUMMYFUNCTION("""COMPUTED_VALUE"""),"Cancel")</f>
        <v>Cancel</v>
      </c>
      <c r="M124" s="519" t="str">
        <f>IFERROR(__xludf.DUMMYFUNCTION("""COMPUTED_VALUE"""),"G990-08380-32-01")</f>
        <v>G990-08380-32-01</v>
      </c>
      <c r="N124" s="519" t="str">
        <f>IFERROR(__xludf.DUMMYFUNCTION("""COMPUTED_VALUE"""),"G990-08492-32-02")</f>
        <v>G990-08492-32-02</v>
      </c>
      <c r="O124" s="517" t="str">
        <f>IFERROR(__xludf.DUMMYFUNCTION("""COMPUTED_VALUE"""),"BOB→A
Retail→A")</f>
        <v>BOB→A
Retail→A</v>
      </c>
      <c r="P124" s="517" t="str">
        <f>IFERROR(__xludf.DUMMYFUNCTION("""COMPUTED_VALUE"""),"Cancel")</f>
        <v>Cancel</v>
      </c>
      <c r="Q124" s="517" t="str">
        <f>IFERROR(__xludf.DUMMYFUNCTION("""COMPUTED_VALUE"""),"Cancel")</f>
        <v>Cancel</v>
      </c>
      <c r="R124" s="517" t="str">
        <f>IFERROR(__xludf.DUMMYFUNCTION("""COMPUTED_VALUE"""),"Cancel")</f>
        <v>Cancel</v>
      </c>
      <c r="S124" s="517" t="str">
        <f>IFERROR(__xludf.DUMMYFUNCTION("""COMPUTED_VALUE"""),"Cancel")</f>
        <v>Cancel</v>
      </c>
      <c r="T124" s="517" t="str">
        <f>IFERROR(__xludf.DUMMYFUNCTION("""COMPUTED_VALUE"""),"Cancel")</f>
        <v>Cancel</v>
      </c>
      <c r="U124" s="517" t="str">
        <f>IFERROR(__xludf.DUMMYFUNCTION("""COMPUTED_VALUE"""),"Cancel")</f>
        <v>Cancel</v>
      </c>
      <c r="V124" s="624" t="str">
        <f>IFERROR(__xludf.DUMMYFUNCTION("""COMPUTED_VALUE"""),"#NUM!")</f>
        <v>#NUM!</v>
      </c>
      <c r="W124" s="625">
        <f>IFERROR(__xludf.DUMMYFUNCTION("""COMPUTED_VALUE"""),45815.0)</f>
        <v>45815</v>
      </c>
      <c r="X124" s="626">
        <f>IFERROR(__xludf.DUMMYFUNCTION("""COMPUTED_VALUE"""),45729.0)</f>
        <v>45729</v>
      </c>
      <c r="Y124" s="517" t="b">
        <f>IFERROR(__xludf.DUMMYFUNCTION("""COMPUTED_VALUE"""),FALSE)</f>
        <v>0</v>
      </c>
      <c r="Z124" s="626">
        <f>IFERROR(__xludf.DUMMYFUNCTION("""COMPUTED_VALUE"""),45730.0)</f>
        <v>45730</v>
      </c>
      <c r="AA124" s="517" t="b">
        <f>IFERROR(__xludf.DUMMYFUNCTION("""COMPUTED_VALUE"""),FALSE)</f>
        <v>0</v>
      </c>
      <c r="AB124" s="626">
        <f>IFERROR(__xludf.DUMMYFUNCTION("""COMPUTED_VALUE"""),45736.0)</f>
        <v>45736</v>
      </c>
      <c r="AC124" s="626">
        <f>IFERROR(__xludf.DUMMYFUNCTION("""COMPUTED_VALUE"""),45736.0)</f>
        <v>45736</v>
      </c>
      <c r="AD124" s="626">
        <f>IFERROR(__xludf.DUMMYFUNCTION("""COMPUTED_VALUE"""),45742.0)</f>
        <v>45742</v>
      </c>
      <c r="AE124" s="517" t="str">
        <f>IFERROR(__xludf.DUMMYFUNCTION("""COMPUTED_VALUE"""),"Cancel")</f>
        <v>Cancel</v>
      </c>
      <c r="AF124" s="517" t="str">
        <f>IFERROR(__xludf.DUMMYFUNCTION("""COMPUTED_VALUE"""),"Cancel")</f>
        <v>Cancel</v>
      </c>
      <c r="AG124" s="517" t="str">
        <f>IFERROR(__xludf.DUMMYFUNCTION("""COMPUTED_VALUE"""),"Cancel")</f>
        <v>Cancel</v>
      </c>
      <c r="AH124" s="517"/>
      <c r="AI124" s="626">
        <f>IFERROR(__xludf.DUMMYFUNCTION("""COMPUTED_VALUE"""),45764.0)</f>
        <v>45764</v>
      </c>
      <c r="AJ124" s="517" t="b">
        <f>IFERROR(__xludf.DUMMYFUNCTION("""COMPUTED_VALUE"""),FALSE)</f>
        <v>0</v>
      </c>
      <c r="AK124" s="517" t="b">
        <f>IFERROR(__xludf.DUMMYFUNCTION("""COMPUTED_VALUE"""),FALSE)</f>
        <v>0</v>
      </c>
      <c r="AL124" s="626">
        <f>IFERROR(__xludf.DUMMYFUNCTION("""COMPUTED_VALUE"""),45764.0)</f>
        <v>45764</v>
      </c>
      <c r="AM124" s="517"/>
      <c r="AN124" s="517"/>
      <c r="AO124" s="517"/>
      <c r="AP124" s="626">
        <f>IFERROR(__xludf.DUMMYFUNCTION("""COMPUTED_VALUE"""),45764.0)</f>
        <v>45764</v>
      </c>
      <c r="AQ124" s="517"/>
      <c r="AR124" s="517"/>
      <c r="AS124" s="517"/>
      <c r="AT124" s="626">
        <f>IFERROR(__xludf.DUMMYFUNCTION("""COMPUTED_VALUE"""),45764.0)</f>
        <v>45764</v>
      </c>
      <c r="AU124" s="517"/>
      <c r="AV124" s="517"/>
      <c r="AW124" s="626">
        <f>IFERROR(__xludf.DUMMYFUNCTION("""COMPUTED_VALUE"""),45811.0)</f>
        <v>45811</v>
      </c>
      <c r="AX124" s="626">
        <f>IFERROR(__xludf.DUMMYFUNCTION("""COMPUTED_VALUE"""),45811.0)</f>
        <v>45811</v>
      </c>
      <c r="AY124" s="517" t="b">
        <f>IFERROR(__xludf.DUMMYFUNCTION("""COMPUTED_VALUE"""),FALSE)</f>
        <v>0</v>
      </c>
    </row>
    <row r="125">
      <c r="B125" s="517" t="str">
        <f>IFERROR(__xludf.DUMMYFUNCTION("""COMPUTED_VALUE"""),"TMO")</f>
        <v>TMO</v>
      </c>
      <c r="C125" s="517" t="str">
        <f>IFERROR(__xludf.DUMMYFUNCTION("""COMPUTED_VALUE"""),"Cancel")</f>
        <v>Cancel</v>
      </c>
      <c r="D125" s="517" t="str">
        <f>IFERROR(__xludf.DUMMYFUNCTION("""COMPUTED_VALUE"""),"Pristine")</f>
        <v>Pristine</v>
      </c>
      <c r="E125" s="517" t="str">
        <f>IFERROR(__xludf.DUMMYFUNCTION("""COMPUTED_VALUE"""),"GA10255-US")</f>
        <v>GA10255-US</v>
      </c>
      <c r="F125" s="517" t="str">
        <f>IFERROR(__xludf.DUMMYFUNCTION("""COMPUTED_VALUE"""),"Cancel")</f>
        <v>Cancel</v>
      </c>
      <c r="G125" s="517" t="str">
        <f>IFERROR(__xludf.DUMMYFUNCTION("""COMPUTED_VALUE"""),"Cancel")</f>
        <v>Cancel</v>
      </c>
      <c r="H125" s="517" t="str">
        <f>IFERROR(__xludf.DUMMYFUNCTION("""COMPUTED_VALUE"""),"Cancel")</f>
        <v>Cancel</v>
      </c>
      <c r="I125" s="517" t="str">
        <f>IFERROR(__xludf.DUMMYFUNCTION("""COMPUTED_VALUE"""),"Cancel")</f>
        <v>Cancel</v>
      </c>
      <c r="J125" s="517" t="str">
        <f>IFERROR(__xludf.DUMMYFUNCTION("""COMPUTED_VALUE"""),"Cancel")</f>
        <v>Cancel</v>
      </c>
      <c r="K125" s="517" t="str">
        <f>IFERROR(__xludf.DUMMYFUNCTION("""COMPUTED_VALUE"""),"Cancel")</f>
        <v>Cancel</v>
      </c>
      <c r="M125" s="519" t="str">
        <f>IFERROR(__xludf.DUMMYFUNCTION("""COMPUTED_VALUE"""),"G990-08380-42-01")</f>
        <v>G990-08380-42-01</v>
      </c>
      <c r="N125" s="519" t="str">
        <f>IFERROR(__xludf.DUMMYFUNCTION("""COMPUTED_VALUE"""),"G990-08492-42-02")</f>
        <v>G990-08492-42-02</v>
      </c>
      <c r="O125" s="517" t="str">
        <f>IFERROR(__xludf.DUMMYFUNCTION("""COMPUTED_VALUE"""),"BOB→A
Retail→A")</f>
        <v>BOB→A
Retail→A</v>
      </c>
      <c r="P125" s="517" t="str">
        <f>IFERROR(__xludf.DUMMYFUNCTION("""COMPUTED_VALUE"""),"Cancel")</f>
        <v>Cancel</v>
      </c>
      <c r="Q125" s="517" t="str">
        <f>IFERROR(__xludf.DUMMYFUNCTION("""COMPUTED_VALUE"""),"Cancel")</f>
        <v>Cancel</v>
      </c>
      <c r="R125" s="517" t="str">
        <f>IFERROR(__xludf.DUMMYFUNCTION("""COMPUTED_VALUE"""),"Cancel")</f>
        <v>Cancel</v>
      </c>
      <c r="S125" s="517" t="str">
        <f>IFERROR(__xludf.DUMMYFUNCTION("""COMPUTED_VALUE"""),"Cancel")</f>
        <v>Cancel</v>
      </c>
      <c r="T125" s="517" t="str">
        <f>IFERROR(__xludf.DUMMYFUNCTION("""COMPUTED_VALUE"""),"Cancel")</f>
        <v>Cancel</v>
      </c>
      <c r="U125" s="517" t="str">
        <f>IFERROR(__xludf.DUMMYFUNCTION("""COMPUTED_VALUE"""),"Cancel")</f>
        <v>Cancel</v>
      </c>
      <c r="V125" s="624" t="str">
        <f>IFERROR(__xludf.DUMMYFUNCTION("""COMPUTED_VALUE"""),"#NUM!")</f>
        <v>#NUM!</v>
      </c>
      <c r="W125" s="625">
        <f>IFERROR(__xludf.DUMMYFUNCTION("""COMPUTED_VALUE"""),45815.0)</f>
        <v>45815</v>
      </c>
      <c r="X125" s="626">
        <f>IFERROR(__xludf.DUMMYFUNCTION("""COMPUTED_VALUE"""),45729.0)</f>
        <v>45729</v>
      </c>
      <c r="Y125" s="517" t="b">
        <f>IFERROR(__xludf.DUMMYFUNCTION("""COMPUTED_VALUE"""),FALSE)</f>
        <v>0</v>
      </c>
      <c r="Z125" s="626">
        <f>IFERROR(__xludf.DUMMYFUNCTION("""COMPUTED_VALUE"""),45730.0)</f>
        <v>45730</v>
      </c>
      <c r="AA125" s="517" t="b">
        <f>IFERROR(__xludf.DUMMYFUNCTION("""COMPUTED_VALUE"""),FALSE)</f>
        <v>0</v>
      </c>
      <c r="AB125" s="626">
        <f>IFERROR(__xludf.DUMMYFUNCTION("""COMPUTED_VALUE"""),45736.0)</f>
        <v>45736</v>
      </c>
      <c r="AC125" s="626">
        <f>IFERROR(__xludf.DUMMYFUNCTION("""COMPUTED_VALUE"""),45736.0)</f>
        <v>45736</v>
      </c>
      <c r="AD125" s="626">
        <f>IFERROR(__xludf.DUMMYFUNCTION("""COMPUTED_VALUE"""),45742.0)</f>
        <v>45742</v>
      </c>
      <c r="AE125" s="517" t="str">
        <f>IFERROR(__xludf.DUMMYFUNCTION("""COMPUTED_VALUE"""),"Cancel")</f>
        <v>Cancel</v>
      </c>
      <c r="AF125" s="517" t="str">
        <f>IFERROR(__xludf.DUMMYFUNCTION("""COMPUTED_VALUE"""),"Cancel")</f>
        <v>Cancel</v>
      </c>
      <c r="AG125" s="517" t="str">
        <f>IFERROR(__xludf.DUMMYFUNCTION("""COMPUTED_VALUE"""),"Cancel")</f>
        <v>Cancel</v>
      </c>
      <c r="AH125" s="517"/>
      <c r="AI125" s="626">
        <f>IFERROR(__xludf.DUMMYFUNCTION("""COMPUTED_VALUE"""),45764.0)</f>
        <v>45764</v>
      </c>
      <c r="AJ125" s="517" t="b">
        <f>IFERROR(__xludf.DUMMYFUNCTION("""COMPUTED_VALUE"""),FALSE)</f>
        <v>0</v>
      </c>
      <c r="AK125" s="517" t="b">
        <f>IFERROR(__xludf.DUMMYFUNCTION("""COMPUTED_VALUE"""),FALSE)</f>
        <v>0</v>
      </c>
      <c r="AL125" s="626">
        <f>IFERROR(__xludf.DUMMYFUNCTION("""COMPUTED_VALUE"""),45764.0)</f>
        <v>45764</v>
      </c>
      <c r="AM125" s="517"/>
      <c r="AN125" s="517"/>
      <c r="AO125" s="517"/>
      <c r="AP125" s="626">
        <f>IFERROR(__xludf.DUMMYFUNCTION("""COMPUTED_VALUE"""),45764.0)</f>
        <v>45764</v>
      </c>
      <c r="AQ125" s="517"/>
      <c r="AR125" s="517"/>
      <c r="AS125" s="517"/>
      <c r="AT125" s="626">
        <f>IFERROR(__xludf.DUMMYFUNCTION("""COMPUTED_VALUE"""),45764.0)</f>
        <v>45764</v>
      </c>
      <c r="AU125" s="517"/>
      <c r="AV125" s="517"/>
      <c r="AW125" s="626">
        <f>IFERROR(__xludf.DUMMYFUNCTION("""COMPUTED_VALUE"""),45811.0)</f>
        <v>45811</v>
      </c>
      <c r="AX125" s="626">
        <f>IFERROR(__xludf.DUMMYFUNCTION("""COMPUTED_VALUE"""),45811.0)</f>
        <v>45811</v>
      </c>
      <c r="AY125" s="517" t="b">
        <f>IFERROR(__xludf.DUMMYFUNCTION("""COMPUTED_VALUE"""),FALSE)</f>
        <v>0</v>
      </c>
    </row>
    <row r="126">
      <c r="B126" s="517" t="str">
        <f>IFERROR(__xludf.DUMMYFUNCTION("""COMPUTED_VALUE"""),"VZW")</f>
        <v>VZW</v>
      </c>
      <c r="C126" s="518" t="str">
        <f>IFERROR(__xludf.DUMMYFUNCTION("""COMPUTED_VALUE"""),"0840353928350")</f>
        <v>0840353928350</v>
      </c>
      <c r="D126" s="517" t="str">
        <f>IFERROR(__xludf.DUMMYFUNCTION("""COMPUTED_VALUE"""),"IQ")</f>
        <v>IQ</v>
      </c>
      <c r="E126" s="517" t="str">
        <f>IFERROR(__xludf.DUMMYFUNCTION("""COMPUTED_VALUE"""),"IQGA09425-US")</f>
        <v>IQGA09425-US</v>
      </c>
      <c r="F126" s="517" t="str">
        <f>IFERROR(__xludf.DUMMYFUNCTION("""COMPUTED_VALUE"""),"GLBW0")</f>
        <v>GLBW0</v>
      </c>
      <c r="G126" s="517"/>
      <c r="H126" s="518" t="str">
        <f>IFERROR(__xludf.DUMMYFUNCTION("""COMPUTED_VALUE"""),"840353928350")</f>
        <v>840353928350</v>
      </c>
      <c r="I126" s="518" t="str">
        <f>IFERROR(__xludf.DUMMYFUNCTION("""COMPUTED_VALUE"""),"No")</f>
        <v>No</v>
      </c>
      <c r="J126" s="517" t="str">
        <f>IFERROR(__xludf.DUMMYFUNCTION("""COMPUTED_VALUE"""),"Retail_10ct")</f>
        <v>Retail_10ct</v>
      </c>
      <c r="K126" s="517" t="str">
        <f>IFERROR(__xludf.DUMMYFUNCTION("""COMPUTED_VALUE"""),"VZN Master Carton Label")</f>
        <v>VZN Master Carton Label</v>
      </c>
      <c r="M126" s="517" t="str">
        <f>IFERROR(__xludf.DUMMYFUNCTION("""COMPUTED_VALUE"""),"G990-08380-11-01
G990-08380-11-A")</f>
        <v>G990-08380-11-01
G990-08380-11-A</v>
      </c>
      <c r="N126" s="517" t="str">
        <f>IFERROR(__xludf.DUMMYFUNCTION("""COMPUTED_VALUE"""),"G990-08382-11-01
G990-08382-11-A")</f>
        <v>G990-08382-11-01
G990-08382-11-A</v>
      </c>
      <c r="O126" s="517" t="str">
        <f>IFERROR(__xludf.DUMMYFUNCTION("""COMPUTED_VALUE"""),"BOB→A
Retail→A")</f>
        <v>BOB→A
Retail→A</v>
      </c>
      <c r="P126" s="517" t="str">
        <f>IFERROR(__xludf.DUMMYFUNCTION("""COMPUTED_VALUE"""),"G990-08382-11-01
G990-08382-11-A")</f>
        <v>G990-08382-11-01
G990-08382-11-A</v>
      </c>
      <c r="Q126" s="517" t="str">
        <f>IFERROR(__xludf.DUMMYFUNCTION("""COMPUTED_VALUE"""),"Obsidian")</f>
        <v>Obsidian</v>
      </c>
      <c r="R126" s="517" t="str">
        <f>IFERROR(__xludf.DUMMYFUNCTION("""COMPUTED_VALUE"""),"BLK")</f>
        <v>BLK</v>
      </c>
      <c r="S126" s="517" t="str">
        <f>IFERROR(__xludf.DUMMYFUNCTION("""COMPUTED_VALUE"""),"VZW, US")</f>
        <v>VZW, US</v>
      </c>
      <c r="T126" s="517" t="str">
        <f>IFERROR(__xludf.DUMMYFUNCTION("""COMPUTED_VALUE"""),"SKU, CLR1, GOOD, MMWAVE, VZW, US, IQ, FL5")</f>
        <v>SKU, CLR1, GOOD, MMWAVE, VZW, US, IQ, FL5</v>
      </c>
      <c r="U126" s="517" t="str">
        <f>IFERROR(__xludf.DUMMYFUNCTION("""COMPUTED_VALUE"""),"Pixel 10, Obsidian, 128GB, VZW, US, IQ")</f>
        <v>Pixel 10, Obsidian, 128GB, VZW, US, IQ</v>
      </c>
      <c r="V126" s="624" t="str">
        <f>IFERROR(__xludf.DUMMYFUNCTION("""COMPUTED_VALUE"""),"#NUM!")</f>
        <v>#NUM!</v>
      </c>
      <c r="W126" s="625">
        <f>IFERROR(__xludf.DUMMYFUNCTION("""COMPUTED_VALUE"""),45815.0)</f>
        <v>45815</v>
      </c>
      <c r="X126" s="626">
        <f>IFERROR(__xludf.DUMMYFUNCTION("""COMPUTED_VALUE"""),45729.0)</f>
        <v>45729</v>
      </c>
      <c r="Y126" s="517" t="b">
        <f>IFERROR(__xludf.DUMMYFUNCTION("""COMPUTED_VALUE"""),TRUE)</f>
        <v>1</v>
      </c>
      <c r="Z126" s="626">
        <f>IFERROR(__xludf.DUMMYFUNCTION("""COMPUTED_VALUE"""),45730.0)</f>
        <v>45730</v>
      </c>
      <c r="AA126" s="517" t="b">
        <f>IFERROR(__xludf.DUMMYFUNCTION("""COMPUTED_VALUE"""),FALSE)</f>
        <v>0</v>
      </c>
      <c r="AB126" s="626">
        <f>IFERROR(__xludf.DUMMYFUNCTION("""COMPUTED_VALUE"""),45736.0)</f>
        <v>45736</v>
      </c>
      <c r="AC126" s="626">
        <f>IFERROR(__xludf.DUMMYFUNCTION("""COMPUTED_VALUE"""),45736.0)</f>
        <v>45736</v>
      </c>
      <c r="AD126" s="626">
        <f>IFERROR(__xludf.DUMMYFUNCTION("""COMPUTED_VALUE"""),45742.0)</f>
        <v>45742</v>
      </c>
      <c r="AE126" s="519" t="str">
        <f>IFERROR(__xludf.DUMMYFUNCTION("""COMPUTED_VALUE"""),"IQGA09425-US")</f>
        <v>IQGA09425-US</v>
      </c>
      <c r="AF126" s="519" t="str">
        <f>IFERROR(__xludf.DUMMYFUNCTION("""COMPUTED_VALUE"""),"IQGA09425-US")</f>
        <v>IQGA09425-US</v>
      </c>
      <c r="AG126" s="517" t="str">
        <f>IFERROR(__xludf.DUMMYFUNCTION("""COMPUTED_VALUE"""),"IQGA09425-US
IQGA09425-US(RevA)")</f>
        <v>IQGA09425-US
IQGA09425-US(RevA)</v>
      </c>
      <c r="AH126" s="519" t="str">
        <f>IFERROR(__xludf.DUMMYFUNCTION("""COMPUTED_VALUE"""),"IQGA09425-US")</f>
        <v>IQGA09425-US</v>
      </c>
      <c r="AI126" s="626">
        <f>IFERROR(__xludf.DUMMYFUNCTION("""COMPUTED_VALUE"""),45764.0)</f>
        <v>45764</v>
      </c>
      <c r="AJ126" s="517" t="b">
        <f>IFERROR(__xludf.DUMMYFUNCTION("""COMPUTED_VALUE"""),TRUE)</f>
        <v>1</v>
      </c>
      <c r="AK126" s="517" t="b">
        <f>IFERROR(__xludf.DUMMYFUNCTION("""COMPUTED_VALUE"""),TRUE)</f>
        <v>1</v>
      </c>
      <c r="AL126" s="626">
        <f>IFERROR(__xludf.DUMMYFUNCTION("""COMPUTED_VALUE"""),45764.0)</f>
        <v>45764</v>
      </c>
      <c r="AM126" s="517" t="str">
        <f>IFERROR(__xludf.DUMMYFUNCTION("""COMPUTED_VALUE"""),"Approved")</f>
        <v>Approved</v>
      </c>
      <c r="AN126" s="517" t="str">
        <f>IFERROR(__xludf.DUMMYFUNCTION("""COMPUTED_VALUE"""),"N")</f>
        <v>N</v>
      </c>
      <c r="AO126" s="517"/>
      <c r="AP126" s="626">
        <f>IFERROR(__xludf.DUMMYFUNCTION("""COMPUTED_VALUE"""),45764.0)</f>
        <v>45764</v>
      </c>
      <c r="AQ126" s="517" t="b">
        <f>IFERROR(__xludf.DUMMYFUNCTION("""COMPUTED_VALUE"""),FALSE)</f>
        <v>0</v>
      </c>
      <c r="AR126" s="517" t="str">
        <f>IFERROR(__xludf.DUMMYFUNCTION("""COMPUTED_VALUE"""),"N")</f>
        <v>N</v>
      </c>
      <c r="AS126" s="517"/>
      <c r="AT126" s="517" t="str">
        <f>IFERROR(__xludf.DUMMYFUNCTION("""COMPUTED_VALUE"""),"YunYu
5/13")</f>
        <v>YunYu
5/13</v>
      </c>
      <c r="AU126" s="517"/>
      <c r="AV126" s="517"/>
      <c r="AW126" s="626">
        <f>IFERROR(__xludf.DUMMYFUNCTION("""COMPUTED_VALUE"""),45811.0)</f>
        <v>45811</v>
      </c>
      <c r="AX126" s="626">
        <f>IFERROR(__xludf.DUMMYFUNCTION("""COMPUTED_VALUE"""),45811.0)</f>
        <v>45811</v>
      </c>
      <c r="AY126" s="517" t="b">
        <f>IFERROR(__xludf.DUMMYFUNCTION("""COMPUTED_VALUE"""),FALSE)</f>
        <v>0</v>
      </c>
    </row>
    <row r="127">
      <c r="B127" s="517" t="str">
        <f>IFERROR(__xludf.DUMMYFUNCTION("""COMPUTED_VALUE"""),"VZW")</f>
        <v>VZW</v>
      </c>
      <c r="C127" s="518" t="str">
        <f>IFERROR(__xludf.DUMMYFUNCTION("""COMPUTED_VALUE"""),"0840353928367")</f>
        <v>0840353928367</v>
      </c>
      <c r="D127" s="517" t="str">
        <f>IFERROR(__xludf.DUMMYFUNCTION("""COMPUTED_VALUE"""),"IQ")</f>
        <v>IQ</v>
      </c>
      <c r="E127" s="517" t="str">
        <f>IFERROR(__xludf.DUMMYFUNCTION("""COMPUTED_VALUE"""),"IQGA10238-US")</f>
        <v>IQGA10238-US</v>
      </c>
      <c r="F127" s="517" t="str">
        <f>IFERROR(__xludf.DUMMYFUNCTION("""COMPUTED_VALUE"""),"GLBW0")</f>
        <v>GLBW0</v>
      </c>
      <c r="G127" s="517"/>
      <c r="H127" s="518" t="str">
        <f>IFERROR(__xludf.DUMMYFUNCTION("""COMPUTED_VALUE"""),"840353928367")</f>
        <v>840353928367</v>
      </c>
      <c r="I127" s="518" t="str">
        <f>IFERROR(__xludf.DUMMYFUNCTION("""COMPUTED_VALUE"""),"No")</f>
        <v>No</v>
      </c>
      <c r="J127" s="517" t="str">
        <f>IFERROR(__xludf.DUMMYFUNCTION("""COMPUTED_VALUE"""),"Retail_10ct")</f>
        <v>Retail_10ct</v>
      </c>
      <c r="K127" s="517" t="str">
        <f>IFERROR(__xludf.DUMMYFUNCTION("""COMPUTED_VALUE"""),"VZN Master Carton Label")</f>
        <v>VZN Master Carton Label</v>
      </c>
      <c r="M127" s="517" t="str">
        <f>IFERROR(__xludf.DUMMYFUNCTION("""COMPUTED_VALUE"""),"G990-08380-21-01
G990-08380-21-A")</f>
        <v>G990-08380-21-01
G990-08380-21-A</v>
      </c>
      <c r="N127" s="517" t="str">
        <f>IFERROR(__xludf.DUMMYFUNCTION("""COMPUTED_VALUE"""),"G990-08382-11-01
G990-08382-11-A")</f>
        <v>G990-08382-11-01
G990-08382-11-A</v>
      </c>
      <c r="O127" s="517" t="str">
        <f>IFERROR(__xludf.DUMMYFUNCTION("""COMPUTED_VALUE"""),"BOB→A
Retail→A")</f>
        <v>BOB→A
Retail→A</v>
      </c>
      <c r="P127" s="517" t="str">
        <f>IFERROR(__xludf.DUMMYFUNCTION("""COMPUTED_VALUE"""),"G990-08382-11-01
G990-08382-11-A")</f>
        <v>G990-08382-11-01
G990-08382-11-A</v>
      </c>
      <c r="Q127" s="517" t="str">
        <f>IFERROR(__xludf.DUMMYFUNCTION("""COMPUTED_VALUE"""),"Frost")</f>
        <v>Frost</v>
      </c>
      <c r="R127" s="517" t="str">
        <f>IFERROR(__xludf.DUMMYFUNCTION("""COMPUTED_VALUE"""),"PPL")</f>
        <v>PPL</v>
      </c>
      <c r="S127" s="517" t="str">
        <f>IFERROR(__xludf.DUMMYFUNCTION("""COMPUTED_VALUE"""),"VZW, US")</f>
        <v>VZW, US</v>
      </c>
      <c r="T127" s="517" t="str">
        <f>IFERROR(__xludf.DUMMYFUNCTION("""COMPUTED_VALUE"""),"SKU, CLR2, GOOD, MMWAVE, VZW, US, IQ, FL5")</f>
        <v>SKU, CLR2, GOOD, MMWAVE, VZW, US, IQ, FL5</v>
      </c>
      <c r="U127" s="517" t="str">
        <f>IFERROR(__xludf.DUMMYFUNCTION("""COMPUTED_VALUE"""),"Pixel 10, Frost, 128GB, VZW, US, IQ")</f>
        <v>Pixel 10, Frost, 128GB, VZW, US, IQ</v>
      </c>
      <c r="V127" s="624" t="str">
        <f>IFERROR(__xludf.DUMMYFUNCTION("""COMPUTED_VALUE"""),"#NUM!")</f>
        <v>#NUM!</v>
      </c>
      <c r="W127" s="625">
        <f>IFERROR(__xludf.DUMMYFUNCTION("""COMPUTED_VALUE"""),45815.0)</f>
        <v>45815</v>
      </c>
      <c r="X127" s="626">
        <f>IFERROR(__xludf.DUMMYFUNCTION("""COMPUTED_VALUE"""),45729.0)</f>
        <v>45729</v>
      </c>
      <c r="Y127" s="517" t="b">
        <f>IFERROR(__xludf.DUMMYFUNCTION("""COMPUTED_VALUE"""),TRUE)</f>
        <v>1</v>
      </c>
      <c r="Z127" s="626">
        <f>IFERROR(__xludf.DUMMYFUNCTION("""COMPUTED_VALUE"""),45730.0)</f>
        <v>45730</v>
      </c>
      <c r="AA127" s="517" t="b">
        <f>IFERROR(__xludf.DUMMYFUNCTION("""COMPUTED_VALUE"""),FALSE)</f>
        <v>0</v>
      </c>
      <c r="AB127" s="626">
        <f>IFERROR(__xludf.DUMMYFUNCTION("""COMPUTED_VALUE"""),45736.0)</f>
        <v>45736</v>
      </c>
      <c r="AC127" s="626">
        <f>IFERROR(__xludf.DUMMYFUNCTION("""COMPUTED_VALUE"""),45736.0)</f>
        <v>45736</v>
      </c>
      <c r="AD127" s="626">
        <f>IFERROR(__xludf.DUMMYFUNCTION("""COMPUTED_VALUE"""),45742.0)</f>
        <v>45742</v>
      </c>
      <c r="AE127" s="519" t="str">
        <f>IFERROR(__xludf.DUMMYFUNCTION("""COMPUTED_VALUE"""),"IQGA10238-US")</f>
        <v>IQGA10238-US</v>
      </c>
      <c r="AF127" s="519" t="str">
        <f>IFERROR(__xludf.DUMMYFUNCTION("""COMPUTED_VALUE"""),"IQGA10238-US")</f>
        <v>IQGA10238-US</v>
      </c>
      <c r="AG127" s="517" t="str">
        <f>IFERROR(__xludf.DUMMYFUNCTION("""COMPUTED_VALUE"""),"IQGA10238-US
IQGA10238-US(RevA)")</f>
        <v>IQGA10238-US
IQGA10238-US(RevA)</v>
      </c>
      <c r="AH127" s="519" t="str">
        <f>IFERROR(__xludf.DUMMYFUNCTION("""COMPUTED_VALUE"""),"IQGA10238-US")</f>
        <v>IQGA10238-US</v>
      </c>
      <c r="AI127" s="626">
        <f>IFERROR(__xludf.DUMMYFUNCTION("""COMPUTED_VALUE"""),45764.0)</f>
        <v>45764</v>
      </c>
      <c r="AJ127" s="517" t="b">
        <f>IFERROR(__xludf.DUMMYFUNCTION("""COMPUTED_VALUE"""),TRUE)</f>
        <v>1</v>
      </c>
      <c r="AK127" s="517" t="b">
        <f>IFERROR(__xludf.DUMMYFUNCTION("""COMPUTED_VALUE"""),TRUE)</f>
        <v>1</v>
      </c>
      <c r="AL127" s="626">
        <f>IFERROR(__xludf.DUMMYFUNCTION("""COMPUTED_VALUE"""),45764.0)</f>
        <v>45764</v>
      </c>
      <c r="AM127" s="517" t="str">
        <f>IFERROR(__xludf.DUMMYFUNCTION("""COMPUTED_VALUE"""),"Approved")</f>
        <v>Approved</v>
      </c>
      <c r="AN127" s="517" t="str">
        <f>IFERROR(__xludf.DUMMYFUNCTION("""COMPUTED_VALUE"""),"N")</f>
        <v>N</v>
      </c>
      <c r="AO127" s="517"/>
      <c r="AP127" s="626">
        <f>IFERROR(__xludf.DUMMYFUNCTION("""COMPUTED_VALUE"""),45764.0)</f>
        <v>45764</v>
      </c>
      <c r="AQ127" s="517" t="b">
        <f>IFERROR(__xludf.DUMMYFUNCTION("""COMPUTED_VALUE"""),FALSE)</f>
        <v>0</v>
      </c>
      <c r="AR127" s="517" t="str">
        <f>IFERROR(__xludf.DUMMYFUNCTION("""COMPUTED_VALUE"""),"N")</f>
        <v>N</v>
      </c>
      <c r="AS127" s="517"/>
      <c r="AT127" s="517" t="str">
        <f>IFERROR(__xludf.DUMMYFUNCTION("""COMPUTED_VALUE"""),"YunYu
5/13")</f>
        <v>YunYu
5/13</v>
      </c>
      <c r="AU127" s="517"/>
      <c r="AV127" s="517"/>
      <c r="AW127" s="626">
        <f>IFERROR(__xludf.DUMMYFUNCTION("""COMPUTED_VALUE"""),45811.0)</f>
        <v>45811</v>
      </c>
      <c r="AX127" s="626">
        <f>IFERROR(__xludf.DUMMYFUNCTION("""COMPUTED_VALUE"""),45811.0)</f>
        <v>45811</v>
      </c>
      <c r="AY127" s="517" t="b">
        <f>IFERROR(__xludf.DUMMYFUNCTION("""COMPUTED_VALUE"""),FALSE)</f>
        <v>0</v>
      </c>
    </row>
    <row r="128">
      <c r="B128" s="517" t="str">
        <f>IFERROR(__xludf.DUMMYFUNCTION("""COMPUTED_VALUE"""),"VZW")</f>
        <v>VZW</v>
      </c>
      <c r="C128" s="518" t="str">
        <f>IFERROR(__xludf.DUMMYFUNCTION("""COMPUTED_VALUE"""),"0840353928329")</f>
        <v>0840353928329</v>
      </c>
      <c r="D128" s="517" t="str">
        <f>IFERROR(__xludf.DUMMYFUNCTION("""COMPUTED_VALUE"""),"IQ")</f>
        <v>IQ</v>
      </c>
      <c r="E128" s="517" t="str">
        <f>IFERROR(__xludf.DUMMYFUNCTION("""COMPUTED_VALUE"""),"IQGA10239-US")</f>
        <v>IQGA10239-US</v>
      </c>
      <c r="F128" s="517" t="str">
        <f>IFERROR(__xludf.DUMMYFUNCTION("""COMPUTED_VALUE"""),"GLBW0")</f>
        <v>GLBW0</v>
      </c>
      <c r="G128" s="517"/>
      <c r="H128" s="518" t="str">
        <f>IFERROR(__xludf.DUMMYFUNCTION("""COMPUTED_VALUE"""),"840353928329")</f>
        <v>840353928329</v>
      </c>
      <c r="I128" s="518" t="str">
        <f>IFERROR(__xludf.DUMMYFUNCTION("""COMPUTED_VALUE"""),"No")</f>
        <v>No</v>
      </c>
      <c r="J128" s="517" t="str">
        <f>IFERROR(__xludf.DUMMYFUNCTION("""COMPUTED_VALUE"""),"Retail_10ct")</f>
        <v>Retail_10ct</v>
      </c>
      <c r="K128" s="517" t="str">
        <f>IFERROR(__xludf.DUMMYFUNCTION("""COMPUTED_VALUE"""),"VZN Master Carton Label")</f>
        <v>VZN Master Carton Label</v>
      </c>
      <c r="M128" s="517" t="str">
        <f>IFERROR(__xludf.DUMMYFUNCTION("""COMPUTED_VALUE"""),"G990-08380-31-02
G990-08380-31-A")</f>
        <v>G990-08380-31-02
G990-08380-31-A</v>
      </c>
      <c r="N128" s="517" t="str">
        <f>IFERROR(__xludf.DUMMYFUNCTION("""COMPUTED_VALUE"""),"G990-08382-11-01
G990-08382-11-A")</f>
        <v>G990-08382-11-01
G990-08382-11-A</v>
      </c>
      <c r="O128" s="517" t="str">
        <f>IFERROR(__xludf.DUMMYFUNCTION("""COMPUTED_VALUE"""),"BOB→A
Retail→A")</f>
        <v>BOB→A
Retail→A</v>
      </c>
      <c r="P128" s="517" t="str">
        <f>IFERROR(__xludf.DUMMYFUNCTION("""COMPUTED_VALUE"""),"G990-08382-11-01
G990-08382-11-A")</f>
        <v>G990-08382-11-01
G990-08382-11-A</v>
      </c>
      <c r="Q128" s="517" t="str">
        <f>IFERROR(__xludf.DUMMYFUNCTION("""COMPUTED_VALUE"""),"Lemongrass")</f>
        <v>Lemongrass</v>
      </c>
      <c r="R128" s="517" t="str">
        <f>IFERROR(__xludf.DUMMYFUNCTION("""COMPUTED_VALUE"""),"YEL")</f>
        <v>YEL</v>
      </c>
      <c r="S128" s="517" t="str">
        <f>IFERROR(__xludf.DUMMYFUNCTION("""COMPUTED_VALUE"""),"VZW, US")</f>
        <v>VZW, US</v>
      </c>
      <c r="T128" s="517" t="str">
        <f>IFERROR(__xludf.DUMMYFUNCTION("""COMPUTED_VALUE"""),"SKU, CLR3, GOOD, MMWAVE, VZW, US, IQ, FL5")</f>
        <v>SKU, CLR3, GOOD, MMWAVE, VZW, US, IQ, FL5</v>
      </c>
      <c r="U128" s="517" t="str">
        <f>IFERROR(__xludf.DUMMYFUNCTION("""COMPUTED_VALUE"""),"Pixel 10, Lemongrass, 128GB, VZW, US, IQ")</f>
        <v>Pixel 10, Lemongrass, 128GB, VZW, US, IQ</v>
      </c>
      <c r="V128" s="624" t="str">
        <f>IFERROR(__xludf.DUMMYFUNCTION("""COMPUTED_VALUE"""),"#NUM!")</f>
        <v>#NUM!</v>
      </c>
      <c r="W128" s="625">
        <f>IFERROR(__xludf.DUMMYFUNCTION("""COMPUTED_VALUE"""),45815.0)</f>
        <v>45815</v>
      </c>
      <c r="X128" s="626">
        <f>IFERROR(__xludf.DUMMYFUNCTION("""COMPUTED_VALUE"""),45729.0)</f>
        <v>45729</v>
      </c>
      <c r="Y128" s="517" t="b">
        <f>IFERROR(__xludf.DUMMYFUNCTION("""COMPUTED_VALUE"""),TRUE)</f>
        <v>1</v>
      </c>
      <c r="Z128" s="626">
        <f>IFERROR(__xludf.DUMMYFUNCTION("""COMPUTED_VALUE"""),45730.0)</f>
        <v>45730</v>
      </c>
      <c r="AA128" s="517" t="b">
        <f>IFERROR(__xludf.DUMMYFUNCTION("""COMPUTED_VALUE"""),FALSE)</f>
        <v>0</v>
      </c>
      <c r="AB128" s="626">
        <f>IFERROR(__xludf.DUMMYFUNCTION("""COMPUTED_VALUE"""),45736.0)</f>
        <v>45736</v>
      </c>
      <c r="AC128" s="626">
        <f>IFERROR(__xludf.DUMMYFUNCTION("""COMPUTED_VALUE"""),45736.0)</f>
        <v>45736</v>
      </c>
      <c r="AD128" s="626">
        <f>IFERROR(__xludf.DUMMYFUNCTION("""COMPUTED_VALUE"""),45742.0)</f>
        <v>45742</v>
      </c>
      <c r="AE128" s="519" t="str">
        <f>IFERROR(__xludf.DUMMYFUNCTION("""COMPUTED_VALUE"""),"IQGA10239-US")</f>
        <v>IQGA10239-US</v>
      </c>
      <c r="AF128" s="519" t="str">
        <f>IFERROR(__xludf.DUMMYFUNCTION("""COMPUTED_VALUE"""),"IQGA10239-US")</f>
        <v>IQGA10239-US</v>
      </c>
      <c r="AG128" s="517" t="str">
        <f>IFERROR(__xludf.DUMMYFUNCTION("""COMPUTED_VALUE"""),"IQGA10239-US
IQGA10239-US(RevA)")</f>
        <v>IQGA10239-US
IQGA10239-US(RevA)</v>
      </c>
      <c r="AH128" s="519" t="str">
        <f>IFERROR(__xludf.DUMMYFUNCTION("""COMPUTED_VALUE"""),"IQGA10239-US")</f>
        <v>IQGA10239-US</v>
      </c>
      <c r="AI128" s="626">
        <f>IFERROR(__xludf.DUMMYFUNCTION("""COMPUTED_VALUE"""),45764.0)</f>
        <v>45764</v>
      </c>
      <c r="AJ128" s="517" t="b">
        <f>IFERROR(__xludf.DUMMYFUNCTION("""COMPUTED_VALUE"""),TRUE)</f>
        <v>1</v>
      </c>
      <c r="AK128" s="517" t="b">
        <f>IFERROR(__xludf.DUMMYFUNCTION("""COMPUTED_VALUE"""),TRUE)</f>
        <v>1</v>
      </c>
      <c r="AL128" s="626">
        <f>IFERROR(__xludf.DUMMYFUNCTION("""COMPUTED_VALUE"""),45764.0)</f>
        <v>45764</v>
      </c>
      <c r="AM128" s="517" t="str">
        <f>IFERROR(__xludf.DUMMYFUNCTION("""COMPUTED_VALUE"""),"Approved")</f>
        <v>Approved</v>
      </c>
      <c r="AN128" s="517" t="str">
        <f>IFERROR(__xludf.DUMMYFUNCTION("""COMPUTED_VALUE"""),"N")</f>
        <v>N</v>
      </c>
      <c r="AO128" s="517"/>
      <c r="AP128" s="626">
        <f>IFERROR(__xludf.DUMMYFUNCTION("""COMPUTED_VALUE"""),45764.0)</f>
        <v>45764</v>
      </c>
      <c r="AQ128" s="517" t="b">
        <f>IFERROR(__xludf.DUMMYFUNCTION("""COMPUTED_VALUE"""),FALSE)</f>
        <v>0</v>
      </c>
      <c r="AR128" s="517" t="str">
        <f>IFERROR(__xludf.DUMMYFUNCTION("""COMPUTED_VALUE"""),"N")</f>
        <v>N</v>
      </c>
      <c r="AS128" s="517"/>
      <c r="AT128" s="517" t="str">
        <f>IFERROR(__xludf.DUMMYFUNCTION("""COMPUTED_VALUE"""),"YunYu
5/13")</f>
        <v>YunYu
5/13</v>
      </c>
      <c r="AU128" s="517"/>
      <c r="AV128" s="517"/>
      <c r="AW128" s="626">
        <f>IFERROR(__xludf.DUMMYFUNCTION("""COMPUTED_VALUE"""),45811.0)</f>
        <v>45811</v>
      </c>
      <c r="AX128" s="626">
        <f>IFERROR(__xludf.DUMMYFUNCTION("""COMPUTED_VALUE"""),45811.0)</f>
        <v>45811</v>
      </c>
      <c r="AY128" s="517" t="b">
        <f>IFERROR(__xludf.DUMMYFUNCTION("""COMPUTED_VALUE"""),FALSE)</f>
        <v>0</v>
      </c>
    </row>
    <row r="129">
      <c r="B129" s="517" t="str">
        <f>IFERROR(__xludf.DUMMYFUNCTION("""COMPUTED_VALUE"""),"VZW")</f>
        <v>VZW</v>
      </c>
      <c r="C129" s="518" t="str">
        <f>IFERROR(__xludf.DUMMYFUNCTION("""COMPUTED_VALUE"""),"0840353928336")</f>
        <v>0840353928336</v>
      </c>
      <c r="D129" s="517" t="str">
        <f>IFERROR(__xludf.DUMMYFUNCTION("""COMPUTED_VALUE"""),"IQ")</f>
        <v>IQ</v>
      </c>
      <c r="E129" s="517" t="str">
        <f>IFERROR(__xludf.DUMMYFUNCTION("""COMPUTED_VALUE"""),"IQGA10240-US")</f>
        <v>IQGA10240-US</v>
      </c>
      <c r="F129" s="517" t="str">
        <f>IFERROR(__xludf.DUMMYFUNCTION("""COMPUTED_VALUE"""),"GLBW0")</f>
        <v>GLBW0</v>
      </c>
      <c r="G129" s="517"/>
      <c r="H129" s="518" t="str">
        <f>IFERROR(__xludf.DUMMYFUNCTION("""COMPUTED_VALUE"""),"840353928336")</f>
        <v>840353928336</v>
      </c>
      <c r="I129" s="518" t="str">
        <f>IFERROR(__xludf.DUMMYFUNCTION("""COMPUTED_VALUE"""),"No")</f>
        <v>No</v>
      </c>
      <c r="J129" s="517" t="str">
        <f>IFERROR(__xludf.DUMMYFUNCTION("""COMPUTED_VALUE"""),"Retail_10ct")</f>
        <v>Retail_10ct</v>
      </c>
      <c r="K129" s="517" t="str">
        <f>IFERROR(__xludf.DUMMYFUNCTION("""COMPUTED_VALUE"""),"VZN Master Carton Label")</f>
        <v>VZN Master Carton Label</v>
      </c>
      <c r="M129" s="517" t="str">
        <f>IFERROR(__xludf.DUMMYFUNCTION("""COMPUTED_VALUE"""),"G990-08380-41-01
G990-08380-41-A")</f>
        <v>G990-08380-41-01
G990-08380-41-A</v>
      </c>
      <c r="N129" s="517" t="str">
        <f>IFERROR(__xludf.DUMMYFUNCTION("""COMPUTED_VALUE"""),"G990-08382-11-01
G990-08382-11-A")</f>
        <v>G990-08382-11-01
G990-08382-11-A</v>
      </c>
      <c r="O129" s="517" t="str">
        <f>IFERROR(__xludf.DUMMYFUNCTION("""COMPUTED_VALUE"""),"BOB→A
Retail→A")</f>
        <v>BOB→A
Retail→A</v>
      </c>
      <c r="P129" s="517" t="str">
        <f>IFERROR(__xludf.DUMMYFUNCTION("""COMPUTED_VALUE"""),"G990-08382-11-01
G990-08382-11-A")</f>
        <v>G990-08382-11-01
G990-08382-11-A</v>
      </c>
      <c r="Q129" s="517" t="str">
        <f>IFERROR(__xludf.DUMMYFUNCTION("""COMPUTED_VALUE"""),"Indigo")</f>
        <v>Indigo</v>
      </c>
      <c r="R129" s="517" t="str">
        <f>IFERROR(__xludf.DUMMYFUNCTION("""COMPUTED_VALUE"""),"BUE")</f>
        <v>BUE</v>
      </c>
      <c r="S129" s="517" t="str">
        <f>IFERROR(__xludf.DUMMYFUNCTION("""COMPUTED_VALUE"""),"VZW, US")</f>
        <v>VZW, US</v>
      </c>
      <c r="T129" s="517" t="str">
        <f>IFERROR(__xludf.DUMMYFUNCTION("""COMPUTED_VALUE"""),"SKU, CLR4, GOOD, MMWAVE, VZW, US, IQ, FL5")</f>
        <v>SKU, CLR4, GOOD, MMWAVE, VZW, US, IQ, FL5</v>
      </c>
      <c r="U129" s="517" t="str">
        <f>IFERROR(__xludf.DUMMYFUNCTION("""COMPUTED_VALUE"""),"Pixel 10, Indigo, 128GB, VZW, US, IQ")</f>
        <v>Pixel 10, Indigo, 128GB, VZW, US, IQ</v>
      </c>
      <c r="V129" s="624" t="str">
        <f>IFERROR(__xludf.DUMMYFUNCTION("""COMPUTED_VALUE"""),"#NUM!")</f>
        <v>#NUM!</v>
      </c>
      <c r="W129" s="625">
        <f>IFERROR(__xludf.DUMMYFUNCTION("""COMPUTED_VALUE"""),45815.0)</f>
        <v>45815</v>
      </c>
      <c r="X129" s="626">
        <f>IFERROR(__xludf.DUMMYFUNCTION("""COMPUTED_VALUE"""),45729.0)</f>
        <v>45729</v>
      </c>
      <c r="Y129" s="517" t="b">
        <f>IFERROR(__xludf.DUMMYFUNCTION("""COMPUTED_VALUE"""),TRUE)</f>
        <v>1</v>
      </c>
      <c r="Z129" s="626">
        <f>IFERROR(__xludf.DUMMYFUNCTION("""COMPUTED_VALUE"""),45730.0)</f>
        <v>45730</v>
      </c>
      <c r="AA129" s="517" t="b">
        <f>IFERROR(__xludf.DUMMYFUNCTION("""COMPUTED_VALUE"""),FALSE)</f>
        <v>0</v>
      </c>
      <c r="AB129" s="626">
        <f>IFERROR(__xludf.DUMMYFUNCTION("""COMPUTED_VALUE"""),45736.0)</f>
        <v>45736</v>
      </c>
      <c r="AC129" s="626">
        <f>IFERROR(__xludf.DUMMYFUNCTION("""COMPUTED_VALUE"""),45736.0)</f>
        <v>45736</v>
      </c>
      <c r="AD129" s="626">
        <f>IFERROR(__xludf.DUMMYFUNCTION("""COMPUTED_VALUE"""),45742.0)</f>
        <v>45742</v>
      </c>
      <c r="AE129" s="519" t="str">
        <f>IFERROR(__xludf.DUMMYFUNCTION("""COMPUTED_VALUE"""),"IQGA10240-US")</f>
        <v>IQGA10240-US</v>
      </c>
      <c r="AF129" s="519" t="str">
        <f>IFERROR(__xludf.DUMMYFUNCTION("""COMPUTED_VALUE"""),"IQGA10240-US")</f>
        <v>IQGA10240-US</v>
      </c>
      <c r="AG129" s="517" t="str">
        <f>IFERROR(__xludf.DUMMYFUNCTION("""COMPUTED_VALUE"""),"IQGA10240-US
IQGA10240-US(RevA)")</f>
        <v>IQGA10240-US
IQGA10240-US(RevA)</v>
      </c>
      <c r="AH129" s="519" t="str">
        <f>IFERROR(__xludf.DUMMYFUNCTION("""COMPUTED_VALUE"""),"IQGA10240-US")</f>
        <v>IQGA10240-US</v>
      </c>
      <c r="AI129" s="626">
        <f>IFERROR(__xludf.DUMMYFUNCTION("""COMPUTED_VALUE"""),45764.0)</f>
        <v>45764</v>
      </c>
      <c r="AJ129" s="517" t="b">
        <f>IFERROR(__xludf.DUMMYFUNCTION("""COMPUTED_VALUE"""),TRUE)</f>
        <v>1</v>
      </c>
      <c r="AK129" s="517" t="b">
        <f>IFERROR(__xludf.DUMMYFUNCTION("""COMPUTED_VALUE"""),TRUE)</f>
        <v>1</v>
      </c>
      <c r="AL129" s="626">
        <f>IFERROR(__xludf.DUMMYFUNCTION("""COMPUTED_VALUE"""),45764.0)</f>
        <v>45764</v>
      </c>
      <c r="AM129" s="517" t="str">
        <f>IFERROR(__xludf.DUMMYFUNCTION("""COMPUTED_VALUE"""),"Approved")</f>
        <v>Approved</v>
      </c>
      <c r="AN129" s="517" t="str">
        <f>IFERROR(__xludf.DUMMYFUNCTION("""COMPUTED_VALUE"""),"N")</f>
        <v>N</v>
      </c>
      <c r="AO129" s="517"/>
      <c r="AP129" s="626">
        <f>IFERROR(__xludf.DUMMYFUNCTION("""COMPUTED_VALUE"""),45764.0)</f>
        <v>45764</v>
      </c>
      <c r="AQ129" s="517" t="b">
        <f>IFERROR(__xludf.DUMMYFUNCTION("""COMPUTED_VALUE"""),FALSE)</f>
        <v>0</v>
      </c>
      <c r="AR129" s="517" t="str">
        <f>IFERROR(__xludf.DUMMYFUNCTION("""COMPUTED_VALUE"""),"N")</f>
        <v>N</v>
      </c>
      <c r="AS129" s="517"/>
      <c r="AT129" s="517" t="str">
        <f>IFERROR(__xludf.DUMMYFUNCTION("""COMPUTED_VALUE"""),"YunYu
5/13")</f>
        <v>YunYu
5/13</v>
      </c>
      <c r="AU129" s="517"/>
      <c r="AV129" s="517"/>
      <c r="AW129" s="626">
        <f>IFERROR(__xludf.DUMMYFUNCTION("""COMPUTED_VALUE"""),45811.0)</f>
        <v>45811</v>
      </c>
      <c r="AX129" s="626">
        <f>IFERROR(__xludf.DUMMYFUNCTION("""COMPUTED_VALUE"""),45811.0)</f>
        <v>45811</v>
      </c>
      <c r="AY129" s="517" t="b">
        <f>IFERROR(__xludf.DUMMYFUNCTION("""COMPUTED_VALUE"""),FALSE)</f>
        <v>0</v>
      </c>
    </row>
    <row r="130">
      <c r="B130" s="517" t="str">
        <f>IFERROR(__xludf.DUMMYFUNCTION("""COMPUTED_VALUE"""),"VZW")</f>
        <v>VZW</v>
      </c>
      <c r="C130" s="518" t="str">
        <f>IFERROR(__xludf.DUMMYFUNCTION("""COMPUTED_VALUE"""),"0840353928114")</f>
        <v>0840353928114</v>
      </c>
      <c r="D130" s="517" t="str">
        <f>IFERROR(__xludf.DUMMYFUNCTION("""COMPUTED_VALUE"""),"IQ")</f>
        <v>IQ</v>
      </c>
      <c r="E130" s="517" t="str">
        <f>IFERROR(__xludf.DUMMYFUNCTION("""COMPUTED_VALUE"""),"IQGA09880-US")</f>
        <v>IQGA09880-US</v>
      </c>
      <c r="F130" s="517" t="str">
        <f>IFERROR(__xludf.DUMMYFUNCTION("""COMPUTED_VALUE"""),"GLBW0")</f>
        <v>GLBW0</v>
      </c>
      <c r="G130" s="517"/>
      <c r="H130" s="518" t="str">
        <f>IFERROR(__xludf.DUMMYFUNCTION("""COMPUTED_VALUE"""),"840353928114")</f>
        <v>840353928114</v>
      </c>
      <c r="I130" s="517"/>
      <c r="J130" s="517" t="str">
        <f>IFERROR(__xludf.DUMMYFUNCTION("""COMPUTED_VALUE"""),"Retail_10ct")</f>
        <v>Retail_10ct</v>
      </c>
      <c r="K130" s="517" t="str">
        <f>IFERROR(__xludf.DUMMYFUNCTION("""COMPUTED_VALUE"""),"VZN Master Carton Label")</f>
        <v>VZN Master Carton Label</v>
      </c>
      <c r="M130" s="517" t="str">
        <f>IFERROR(__xludf.DUMMYFUNCTION("""COMPUTED_VALUE"""),"G990-08380-12-01
G990-08380-12-A")</f>
        <v>G990-08380-12-01
G990-08380-12-A</v>
      </c>
      <c r="N130" s="517" t="str">
        <f>IFERROR(__xludf.DUMMYFUNCTION("""COMPUTED_VALUE"""),"G990-08382-11-01
G990-08382-11-A")</f>
        <v>G990-08382-11-01
G990-08382-11-A</v>
      </c>
      <c r="O130" s="517" t="str">
        <f>IFERROR(__xludf.DUMMYFUNCTION("""COMPUTED_VALUE"""),"BOB→A
Retail→A")</f>
        <v>BOB→A
Retail→A</v>
      </c>
      <c r="P130" s="517" t="str">
        <f>IFERROR(__xludf.DUMMYFUNCTION("""COMPUTED_VALUE"""),"G990-08382-11-01
G990-08382-11-A")</f>
        <v>G990-08382-11-01
G990-08382-11-A</v>
      </c>
      <c r="Q130" s="517" t="str">
        <f>IFERROR(__xludf.DUMMYFUNCTION("""COMPUTED_VALUE"""),"Obsidian")</f>
        <v>Obsidian</v>
      </c>
      <c r="R130" s="517" t="str">
        <f>IFERROR(__xludf.DUMMYFUNCTION("""COMPUTED_VALUE"""),"BLK")</f>
        <v>BLK</v>
      </c>
      <c r="S130" s="517" t="str">
        <f>IFERROR(__xludf.DUMMYFUNCTION("""COMPUTED_VALUE"""),"VZW, US")</f>
        <v>VZW, US</v>
      </c>
      <c r="T130" s="517" t="str">
        <f>IFERROR(__xludf.DUMMYFUNCTION("""COMPUTED_VALUE"""),"SKU, CLR1, BETTER, MMWAVE, VZW, US, IQ, FL5")</f>
        <v>SKU, CLR1, BETTER, MMWAVE, VZW, US, IQ, FL5</v>
      </c>
      <c r="U130" s="517" t="str">
        <f>IFERROR(__xludf.DUMMYFUNCTION("""COMPUTED_VALUE"""),"Pixel 10, Obsidian, 256GB, VZW, US, IQ")</f>
        <v>Pixel 10, Obsidian, 256GB, VZW, US, IQ</v>
      </c>
      <c r="V130" s="624" t="str">
        <f>IFERROR(__xludf.DUMMYFUNCTION("""COMPUTED_VALUE"""),"#NUM!")</f>
        <v>#NUM!</v>
      </c>
      <c r="W130" s="625">
        <f>IFERROR(__xludf.DUMMYFUNCTION("""COMPUTED_VALUE"""),45815.0)</f>
        <v>45815</v>
      </c>
      <c r="X130" s="626">
        <f>IFERROR(__xludf.DUMMYFUNCTION("""COMPUTED_VALUE"""),45729.0)</f>
        <v>45729</v>
      </c>
      <c r="Y130" s="517" t="b">
        <f>IFERROR(__xludf.DUMMYFUNCTION("""COMPUTED_VALUE"""),TRUE)</f>
        <v>1</v>
      </c>
      <c r="Z130" s="626">
        <f>IFERROR(__xludf.DUMMYFUNCTION("""COMPUTED_VALUE"""),45730.0)</f>
        <v>45730</v>
      </c>
      <c r="AA130" s="517" t="b">
        <f>IFERROR(__xludf.DUMMYFUNCTION("""COMPUTED_VALUE"""),FALSE)</f>
        <v>0</v>
      </c>
      <c r="AB130" s="626">
        <f>IFERROR(__xludf.DUMMYFUNCTION("""COMPUTED_VALUE"""),45736.0)</f>
        <v>45736</v>
      </c>
      <c r="AC130" s="626">
        <f>IFERROR(__xludf.DUMMYFUNCTION("""COMPUTED_VALUE"""),45736.0)</f>
        <v>45736</v>
      </c>
      <c r="AD130" s="626">
        <f>IFERROR(__xludf.DUMMYFUNCTION("""COMPUTED_VALUE"""),45742.0)</f>
        <v>45742</v>
      </c>
      <c r="AE130" s="519" t="str">
        <f>IFERROR(__xludf.DUMMYFUNCTION("""COMPUTED_VALUE"""),"IQGA09880-US")</f>
        <v>IQGA09880-US</v>
      </c>
      <c r="AF130" s="519" t="str">
        <f>IFERROR(__xludf.DUMMYFUNCTION("""COMPUTED_VALUE"""),"IQGA09880-US")</f>
        <v>IQGA09880-US</v>
      </c>
      <c r="AG130" s="517" t="str">
        <f>IFERROR(__xludf.DUMMYFUNCTION("""COMPUTED_VALUE"""),"IQGA09880-US
IQGA09880-US(RevA)")</f>
        <v>IQGA09880-US
IQGA09880-US(RevA)</v>
      </c>
      <c r="AH130" s="519" t="str">
        <f>IFERROR(__xludf.DUMMYFUNCTION("""COMPUTED_VALUE"""),"IQGA09880-US")</f>
        <v>IQGA09880-US</v>
      </c>
      <c r="AI130" s="626">
        <f>IFERROR(__xludf.DUMMYFUNCTION("""COMPUTED_VALUE"""),45764.0)</f>
        <v>45764</v>
      </c>
      <c r="AJ130" s="517" t="b">
        <f>IFERROR(__xludf.DUMMYFUNCTION("""COMPUTED_VALUE"""),TRUE)</f>
        <v>1</v>
      </c>
      <c r="AK130" s="517" t="b">
        <f>IFERROR(__xludf.DUMMYFUNCTION("""COMPUTED_VALUE"""),TRUE)</f>
        <v>1</v>
      </c>
      <c r="AL130" s="626">
        <f>IFERROR(__xludf.DUMMYFUNCTION("""COMPUTED_VALUE"""),45764.0)</f>
        <v>45764</v>
      </c>
      <c r="AM130" s="517" t="str">
        <f>IFERROR(__xludf.DUMMYFUNCTION("""COMPUTED_VALUE"""),"Approved")</f>
        <v>Approved</v>
      </c>
      <c r="AN130" s="517" t="str">
        <f>IFERROR(__xludf.DUMMYFUNCTION("""COMPUTED_VALUE"""),"N")</f>
        <v>N</v>
      </c>
      <c r="AO130" s="517"/>
      <c r="AP130" s="626">
        <f>IFERROR(__xludf.DUMMYFUNCTION("""COMPUTED_VALUE"""),45764.0)</f>
        <v>45764</v>
      </c>
      <c r="AQ130" s="517" t="b">
        <f>IFERROR(__xludf.DUMMYFUNCTION("""COMPUTED_VALUE"""),FALSE)</f>
        <v>0</v>
      </c>
      <c r="AR130" s="517" t="str">
        <f>IFERROR(__xludf.DUMMYFUNCTION("""COMPUTED_VALUE"""),"N")</f>
        <v>N</v>
      </c>
      <c r="AS130" s="517"/>
      <c r="AT130" s="517" t="str">
        <f>IFERROR(__xludf.DUMMYFUNCTION("""COMPUTED_VALUE"""),"YunYu
5/13")</f>
        <v>YunYu
5/13</v>
      </c>
      <c r="AU130" s="517"/>
      <c r="AV130" s="517"/>
      <c r="AW130" s="626">
        <f>IFERROR(__xludf.DUMMYFUNCTION("""COMPUTED_VALUE"""),45811.0)</f>
        <v>45811</v>
      </c>
      <c r="AX130" s="626">
        <f>IFERROR(__xludf.DUMMYFUNCTION("""COMPUTED_VALUE"""),45811.0)</f>
        <v>45811</v>
      </c>
      <c r="AY130" s="517" t="b">
        <f>IFERROR(__xludf.DUMMYFUNCTION("""COMPUTED_VALUE"""),FALSE)</f>
        <v>0</v>
      </c>
    </row>
    <row r="131">
      <c r="B131" s="517" t="str">
        <f>IFERROR(__xludf.DUMMYFUNCTION("""COMPUTED_VALUE"""),"VZW")</f>
        <v>VZW</v>
      </c>
      <c r="C131" s="517" t="str">
        <f>IFERROR(__xludf.DUMMYFUNCTION("""COMPUTED_VALUE"""),"Cancel")</f>
        <v>Cancel</v>
      </c>
      <c r="D131" s="517" t="str">
        <f>IFERROR(__xludf.DUMMYFUNCTION("""COMPUTED_VALUE"""),"IQ")</f>
        <v>IQ</v>
      </c>
      <c r="E131" s="517" t="str">
        <f>IFERROR(__xludf.DUMMYFUNCTION("""COMPUTED_VALUE"""),"IQGA10241-US")</f>
        <v>IQGA10241-US</v>
      </c>
      <c r="F131" s="517" t="str">
        <f>IFERROR(__xludf.DUMMYFUNCTION("""COMPUTED_VALUE"""),"Cancel")</f>
        <v>Cancel</v>
      </c>
      <c r="G131" s="517" t="str">
        <f>IFERROR(__xludf.DUMMYFUNCTION("""COMPUTED_VALUE"""),"Cancel")</f>
        <v>Cancel</v>
      </c>
      <c r="H131" s="517" t="str">
        <f>IFERROR(__xludf.DUMMYFUNCTION("""COMPUTED_VALUE"""),"Cancel")</f>
        <v>Cancel</v>
      </c>
      <c r="I131" s="517" t="str">
        <f>IFERROR(__xludf.DUMMYFUNCTION("""COMPUTED_VALUE"""),"Cancel")</f>
        <v>Cancel</v>
      </c>
      <c r="J131" s="517" t="str">
        <f>IFERROR(__xludf.DUMMYFUNCTION("""COMPUTED_VALUE"""),"Cancel")</f>
        <v>Cancel</v>
      </c>
      <c r="K131" s="517" t="str">
        <f>IFERROR(__xludf.DUMMYFUNCTION("""COMPUTED_VALUE"""),"Cancel")</f>
        <v>Cancel</v>
      </c>
      <c r="M131" s="519" t="str">
        <f>IFERROR(__xludf.DUMMYFUNCTION("""COMPUTED_VALUE"""),"G990-08380-22-01")</f>
        <v>G990-08380-22-01</v>
      </c>
      <c r="N131" s="517" t="str">
        <f>IFERROR(__xludf.DUMMYFUNCTION("""COMPUTED_VALUE"""),"G990-08382-11-01
G990-08382-11-A")</f>
        <v>G990-08382-11-01
G990-08382-11-A</v>
      </c>
      <c r="O131" s="517" t="str">
        <f>IFERROR(__xludf.DUMMYFUNCTION("""COMPUTED_VALUE"""),"BOB→A
Retail→A")</f>
        <v>BOB→A
Retail→A</v>
      </c>
      <c r="P131" s="517" t="str">
        <f>IFERROR(__xludf.DUMMYFUNCTION("""COMPUTED_VALUE"""),"Cancel")</f>
        <v>Cancel</v>
      </c>
      <c r="Q131" s="517" t="str">
        <f>IFERROR(__xludf.DUMMYFUNCTION("""COMPUTED_VALUE"""),"Cancel")</f>
        <v>Cancel</v>
      </c>
      <c r="R131" s="517" t="str">
        <f>IFERROR(__xludf.DUMMYFUNCTION("""COMPUTED_VALUE"""),"Cancel")</f>
        <v>Cancel</v>
      </c>
      <c r="S131" s="517" t="str">
        <f>IFERROR(__xludf.DUMMYFUNCTION("""COMPUTED_VALUE"""),"Cancel")</f>
        <v>Cancel</v>
      </c>
      <c r="T131" s="517" t="str">
        <f>IFERROR(__xludf.DUMMYFUNCTION("""COMPUTED_VALUE"""),"Cancel")</f>
        <v>Cancel</v>
      </c>
      <c r="U131" s="517" t="str">
        <f>IFERROR(__xludf.DUMMYFUNCTION("""COMPUTED_VALUE"""),"Cancel")</f>
        <v>Cancel</v>
      </c>
      <c r="V131" s="624" t="str">
        <f>IFERROR(__xludf.DUMMYFUNCTION("""COMPUTED_VALUE"""),"#NUM!")</f>
        <v>#NUM!</v>
      </c>
      <c r="W131" s="625">
        <f>IFERROR(__xludf.DUMMYFUNCTION("""COMPUTED_VALUE"""),45815.0)</f>
        <v>45815</v>
      </c>
      <c r="X131" s="626">
        <f>IFERROR(__xludf.DUMMYFUNCTION("""COMPUTED_VALUE"""),45729.0)</f>
        <v>45729</v>
      </c>
      <c r="Y131" s="517" t="b">
        <f>IFERROR(__xludf.DUMMYFUNCTION("""COMPUTED_VALUE"""),FALSE)</f>
        <v>0</v>
      </c>
      <c r="Z131" s="626">
        <f>IFERROR(__xludf.DUMMYFUNCTION("""COMPUTED_VALUE"""),45730.0)</f>
        <v>45730</v>
      </c>
      <c r="AA131" s="517" t="b">
        <f>IFERROR(__xludf.DUMMYFUNCTION("""COMPUTED_VALUE"""),FALSE)</f>
        <v>0</v>
      </c>
      <c r="AB131" s="626">
        <f>IFERROR(__xludf.DUMMYFUNCTION("""COMPUTED_VALUE"""),45736.0)</f>
        <v>45736</v>
      </c>
      <c r="AC131" s="626">
        <f>IFERROR(__xludf.DUMMYFUNCTION("""COMPUTED_VALUE"""),45736.0)</f>
        <v>45736</v>
      </c>
      <c r="AD131" s="626">
        <f>IFERROR(__xludf.DUMMYFUNCTION("""COMPUTED_VALUE"""),45742.0)</f>
        <v>45742</v>
      </c>
      <c r="AE131" s="517" t="str">
        <f>IFERROR(__xludf.DUMMYFUNCTION("""COMPUTED_VALUE"""),"Cancel")</f>
        <v>Cancel</v>
      </c>
      <c r="AF131" s="517" t="str">
        <f>IFERROR(__xludf.DUMMYFUNCTION("""COMPUTED_VALUE"""),"Cancel")</f>
        <v>Cancel</v>
      </c>
      <c r="AG131" s="517" t="str">
        <f>IFERROR(__xludf.DUMMYFUNCTION("""COMPUTED_VALUE"""),"Cancel")</f>
        <v>Cancel</v>
      </c>
      <c r="AH131" s="517"/>
      <c r="AI131" s="626">
        <f>IFERROR(__xludf.DUMMYFUNCTION("""COMPUTED_VALUE"""),45764.0)</f>
        <v>45764</v>
      </c>
      <c r="AJ131" s="517" t="b">
        <f>IFERROR(__xludf.DUMMYFUNCTION("""COMPUTED_VALUE"""),FALSE)</f>
        <v>0</v>
      </c>
      <c r="AK131" s="517" t="b">
        <f>IFERROR(__xludf.DUMMYFUNCTION("""COMPUTED_VALUE"""),FALSE)</f>
        <v>0</v>
      </c>
      <c r="AL131" s="626">
        <f>IFERROR(__xludf.DUMMYFUNCTION("""COMPUTED_VALUE"""),45764.0)</f>
        <v>45764</v>
      </c>
      <c r="AM131" s="517"/>
      <c r="AN131" s="517"/>
      <c r="AO131" s="517"/>
      <c r="AP131" s="626">
        <f>IFERROR(__xludf.DUMMYFUNCTION("""COMPUTED_VALUE"""),45764.0)</f>
        <v>45764</v>
      </c>
      <c r="AQ131" s="517" t="b">
        <f>IFERROR(__xludf.DUMMYFUNCTION("""COMPUTED_VALUE"""),FALSE)</f>
        <v>0</v>
      </c>
      <c r="AR131" s="517" t="str">
        <f>IFERROR(__xludf.DUMMYFUNCTION("""COMPUTED_VALUE"""),"N")</f>
        <v>N</v>
      </c>
      <c r="AS131" s="517"/>
      <c r="AT131" s="626">
        <f>IFERROR(__xludf.DUMMYFUNCTION("""COMPUTED_VALUE"""),45764.0)</f>
        <v>45764</v>
      </c>
      <c r="AU131" s="517"/>
      <c r="AV131" s="517"/>
      <c r="AW131" s="626">
        <f>IFERROR(__xludf.DUMMYFUNCTION("""COMPUTED_VALUE"""),45811.0)</f>
        <v>45811</v>
      </c>
      <c r="AX131" s="626">
        <f>IFERROR(__xludf.DUMMYFUNCTION("""COMPUTED_VALUE"""),45811.0)</f>
        <v>45811</v>
      </c>
      <c r="AY131" s="517" t="b">
        <f>IFERROR(__xludf.DUMMYFUNCTION("""COMPUTED_VALUE"""),FALSE)</f>
        <v>0</v>
      </c>
    </row>
    <row r="132">
      <c r="B132" s="517" t="str">
        <f>IFERROR(__xludf.DUMMYFUNCTION("""COMPUTED_VALUE"""),"VZW")</f>
        <v>VZW</v>
      </c>
      <c r="C132" s="517" t="str">
        <f>IFERROR(__xludf.DUMMYFUNCTION("""COMPUTED_VALUE"""),"Cancel")</f>
        <v>Cancel</v>
      </c>
      <c r="D132" s="517" t="str">
        <f>IFERROR(__xludf.DUMMYFUNCTION("""COMPUTED_VALUE"""),"IQ")</f>
        <v>IQ</v>
      </c>
      <c r="E132" s="517" t="str">
        <f>IFERROR(__xludf.DUMMYFUNCTION("""COMPUTED_VALUE"""),"IQGA10242-US")</f>
        <v>IQGA10242-US</v>
      </c>
      <c r="F132" s="517" t="str">
        <f>IFERROR(__xludf.DUMMYFUNCTION("""COMPUTED_VALUE"""),"Cancel")</f>
        <v>Cancel</v>
      </c>
      <c r="G132" s="517" t="str">
        <f>IFERROR(__xludf.DUMMYFUNCTION("""COMPUTED_VALUE"""),"Cancel")</f>
        <v>Cancel</v>
      </c>
      <c r="H132" s="517" t="str">
        <f>IFERROR(__xludf.DUMMYFUNCTION("""COMPUTED_VALUE"""),"Cancel")</f>
        <v>Cancel</v>
      </c>
      <c r="I132" s="517" t="str">
        <f>IFERROR(__xludf.DUMMYFUNCTION("""COMPUTED_VALUE"""),"Cancel")</f>
        <v>Cancel</v>
      </c>
      <c r="J132" s="517" t="str">
        <f>IFERROR(__xludf.DUMMYFUNCTION("""COMPUTED_VALUE"""),"Cancel")</f>
        <v>Cancel</v>
      </c>
      <c r="K132" s="517" t="str">
        <f>IFERROR(__xludf.DUMMYFUNCTION("""COMPUTED_VALUE"""),"Cancel")</f>
        <v>Cancel</v>
      </c>
      <c r="M132" s="519" t="str">
        <f>IFERROR(__xludf.DUMMYFUNCTION("""COMPUTED_VALUE"""),"G990-08380-32-01")</f>
        <v>G990-08380-32-01</v>
      </c>
      <c r="N132" s="517" t="str">
        <f>IFERROR(__xludf.DUMMYFUNCTION("""COMPUTED_VALUE"""),"G990-08382-11-01
G990-08382-11-A")</f>
        <v>G990-08382-11-01
G990-08382-11-A</v>
      </c>
      <c r="O132" s="517" t="str">
        <f>IFERROR(__xludf.DUMMYFUNCTION("""COMPUTED_VALUE"""),"BOB→A
Retail→A")</f>
        <v>BOB→A
Retail→A</v>
      </c>
      <c r="P132" s="517" t="str">
        <f>IFERROR(__xludf.DUMMYFUNCTION("""COMPUTED_VALUE"""),"Cancel")</f>
        <v>Cancel</v>
      </c>
      <c r="Q132" s="517" t="str">
        <f>IFERROR(__xludf.DUMMYFUNCTION("""COMPUTED_VALUE"""),"Cancel")</f>
        <v>Cancel</v>
      </c>
      <c r="R132" s="517" t="str">
        <f>IFERROR(__xludf.DUMMYFUNCTION("""COMPUTED_VALUE"""),"Cancel")</f>
        <v>Cancel</v>
      </c>
      <c r="S132" s="517" t="str">
        <f>IFERROR(__xludf.DUMMYFUNCTION("""COMPUTED_VALUE"""),"Cancel")</f>
        <v>Cancel</v>
      </c>
      <c r="T132" s="517" t="str">
        <f>IFERROR(__xludf.DUMMYFUNCTION("""COMPUTED_VALUE"""),"Cancel")</f>
        <v>Cancel</v>
      </c>
      <c r="U132" s="517" t="str">
        <f>IFERROR(__xludf.DUMMYFUNCTION("""COMPUTED_VALUE"""),"Cancel")</f>
        <v>Cancel</v>
      </c>
      <c r="V132" s="624" t="str">
        <f>IFERROR(__xludf.DUMMYFUNCTION("""COMPUTED_VALUE"""),"#NUM!")</f>
        <v>#NUM!</v>
      </c>
      <c r="W132" s="625">
        <f>IFERROR(__xludf.DUMMYFUNCTION("""COMPUTED_VALUE"""),45815.0)</f>
        <v>45815</v>
      </c>
      <c r="X132" s="626">
        <f>IFERROR(__xludf.DUMMYFUNCTION("""COMPUTED_VALUE"""),45729.0)</f>
        <v>45729</v>
      </c>
      <c r="Y132" s="517" t="b">
        <f>IFERROR(__xludf.DUMMYFUNCTION("""COMPUTED_VALUE"""),FALSE)</f>
        <v>0</v>
      </c>
      <c r="Z132" s="626">
        <f>IFERROR(__xludf.DUMMYFUNCTION("""COMPUTED_VALUE"""),45730.0)</f>
        <v>45730</v>
      </c>
      <c r="AA132" s="517" t="b">
        <f>IFERROR(__xludf.DUMMYFUNCTION("""COMPUTED_VALUE"""),FALSE)</f>
        <v>0</v>
      </c>
      <c r="AB132" s="626">
        <f>IFERROR(__xludf.DUMMYFUNCTION("""COMPUTED_VALUE"""),45736.0)</f>
        <v>45736</v>
      </c>
      <c r="AC132" s="626">
        <f>IFERROR(__xludf.DUMMYFUNCTION("""COMPUTED_VALUE"""),45736.0)</f>
        <v>45736</v>
      </c>
      <c r="AD132" s="626">
        <f>IFERROR(__xludf.DUMMYFUNCTION("""COMPUTED_VALUE"""),45742.0)</f>
        <v>45742</v>
      </c>
      <c r="AE132" s="517" t="str">
        <f>IFERROR(__xludf.DUMMYFUNCTION("""COMPUTED_VALUE"""),"Cancel")</f>
        <v>Cancel</v>
      </c>
      <c r="AF132" s="517" t="str">
        <f>IFERROR(__xludf.DUMMYFUNCTION("""COMPUTED_VALUE"""),"Cancel")</f>
        <v>Cancel</v>
      </c>
      <c r="AG132" s="517" t="str">
        <f>IFERROR(__xludf.DUMMYFUNCTION("""COMPUTED_VALUE"""),"Cancel")</f>
        <v>Cancel</v>
      </c>
      <c r="AH132" s="517"/>
      <c r="AI132" s="626">
        <f>IFERROR(__xludf.DUMMYFUNCTION("""COMPUTED_VALUE"""),45764.0)</f>
        <v>45764</v>
      </c>
      <c r="AJ132" s="517" t="b">
        <f>IFERROR(__xludf.DUMMYFUNCTION("""COMPUTED_VALUE"""),FALSE)</f>
        <v>0</v>
      </c>
      <c r="AK132" s="517" t="b">
        <f>IFERROR(__xludf.DUMMYFUNCTION("""COMPUTED_VALUE"""),FALSE)</f>
        <v>0</v>
      </c>
      <c r="AL132" s="626">
        <f>IFERROR(__xludf.DUMMYFUNCTION("""COMPUTED_VALUE"""),45764.0)</f>
        <v>45764</v>
      </c>
      <c r="AM132" s="517"/>
      <c r="AN132" s="517"/>
      <c r="AO132" s="517"/>
      <c r="AP132" s="626">
        <f>IFERROR(__xludf.DUMMYFUNCTION("""COMPUTED_VALUE"""),45764.0)</f>
        <v>45764</v>
      </c>
      <c r="AQ132" s="517" t="b">
        <f>IFERROR(__xludf.DUMMYFUNCTION("""COMPUTED_VALUE"""),FALSE)</f>
        <v>0</v>
      </c>
      <c r="AR132" s="517" t="str">
        <f>IFERROR(__xludf.DUMMYFUNCTION("""COMPUTED_VALUE"""),"N")</f>
        <v>N</v>
      </c>
      <c r="AS132" s="517"/>
      <c r="AT132" s="626">
        <f>IFERROR(__xludf.DUMMYFUNCTION("""COMPUTED_VALUE"""),45764.0)</f>
        <v>45764</v>
      </c>
      <c r="AU132" s="517"/>
      <c r="AV132" s="517"/>
      <c r="AW132" s="626">
        <f>IFERROR(__xludf.DUMMYFUNCTION("""COMPUTED_VALUE"""),45811.0)</f>
        <v>45811</v>
      </c>
      <c r="AX132" s="626">
        <f>IFERROR(__xludf.DUMMYFUNCTION("""COMPUTED_VALUE"""),45811.0)</f>
        <v>45811</v>
      </c>
      <c r="AY132" s="517" t="b">
        <f>IFERROR(__xludf.DUMMYFUNCTION("""COMPUTED_VALUE"""),FALSE)</f>
        <v>0</v>
      </c>
    </row>
    <row r="133">
      <c r="B133" s="517" t="str">
        <f>IFERROR(__xludf.DUMMYFUNCTION("""COMPUTED_VALUE"""),"VZW")</f>
        <v>VZW</v>
      </c>
      <c r="C133" s="518" t="str">
        <f>IFERROR(__xludf.DUMMYFUNCTION("""COMPUTED_VALUE"""),"0840353928145")</f>
        <v>0840353928145</v>
      </c>
      <c r="D133" s="517" t="str">
        <f>IFERROR(__xludf.DUMMYFUNCTION("""COMPUTED_VALUE"""),"IQ")</f>
        <v>IQ</v>
      </c>
      <c r="E133" s="517" t="str">
        <f>IFERROR(__xludf.DUMMYFUNCTION("""COMPUTED_VALUE"""),"IQGA10243-US")</f>
        <v>IQGA10243-US</v>
      </c>
      <c r="F133" s="517" t="str">
        <f>IFERROR(__xludf.DUMMYFUNCTION("""COMPUTED_VALUE"""),"GLBW0")</f>
        <v>GLBW0</v>
      </c>
      <c r="G133" s="517"/>
      <c r="H133" s="518" t="str">
        <f>IFERROR(__xludf.DUMMYFUNCTION("""COMPUTED_VALUE"""),"840353928145")</f>
        <v>840353928145</v>
      </c>
      <c r="I133" s="518" t="str">
        <f>IFERROR(__xludf.DUMMYFUNCTION("""COMPUTED_VALUE"""),"No")</f>
        <v>No</v>
      </c>
      <c r="J133" s="517" t="str">
        <f>IFERROR(__xludf.DUMMYFUNCTION("""COMPUTED_VALUE"""),"Retail_10ct")</f>
        <v>Retail_10ct</v>
      </c>
      <c r="K133" s="517" t="str">
        <f>IFERROR(__xludf.DUMMYFUNCTION("""COMPUTED_VALUE"""),"VZN Master Carton Label")</f>
        <v>VZN Master Carton Label</v>
      </c>
      <c r="M133" s="517" t="str">
        <f>IFERROR(__xludf.DUMMYFUNCTION("""COMPUTED_VALUE"""),"G990-08380-42-01
G990-08380-42-A")</f>
        <v>G990-08380-42-01
G990-08380-42-A</v>
      </c>
      <c r="N133" s="517" t="str">
        <f>IFERROR(__xludf.DUMMYFUNCTION("""COMPUTED_VALUE"""),"G990-08382-11-01
G990-08382-11-A")</f>
        <v>G990-08382-11-01
G990-08382-11-A</v>
      </c>
      <c r="O133" s="517" t="str">
        <f>IFERROR(__xludf.DUMMYFUNCTION("""COMPUTED_VALUE"""),"BOB→A
Retail→A")</f>
        <v>BOB→A
Retail→A</v>
      </c>
      <c r="P133" s="517" t="str">
        <f>IFERROR(__xludf.DUMMYFUNCTION("""COMPUTED_VALUE"""),"G990-08382-11-01
G990-08382-11-A")</f>
        <v>G990-08382-11-01
G990-08382-11-A</v>
      </c>
      <c r="Q133" s="517" t="str">
        <f>IFERROR(__xludf.DUMMYFUNCTION("""COMPUTED_VALUE"""),"Indigo")</f>
        <v>Indigo</v>
      </c>
      <c r="R133" s="517" t="str">
        <f>IFERROR(__xludf.DUMMYFUNCTION("""COMPUTED_VALUE"""),"BUE")</f>
        <v>BUE</v>
      </c>
      <c r="S133" s="517" t="str">
        <f>IFERROR(__xludf.DUMMYFUNCTION("""COMPUTED_VALUE"""),"VZW, US")</f>
        <v>VZW, US</v>
      </c>
      <c r="T133" s="517" t="str">
        <f>IFERROR(__xludf.DUMMYFUNCTION("""COMPUTED_VALUE"""),"SKU, CLR4, BETTER, MMWAVE, VZW, US, IQ, FL5")</f>
        <v>SKU, CLR4, BETTER, MMWAVE, VZW, US, IQ, FL5</v>
      </c>
      <c r="U133" s="517" t="str">
        <f>IFERROR(__xludf.DUMMYFUNCTION("""COMPUTED_VALUE"""),"Pixel 10, Indigo, 256GB, VZW, US, IQ")</f>
        <v>Pixel 10, Indigo, 256GB, VZW, US, IQ</v>
      </c>
      <c r="V133" s="624" t="str">
        <f>IFERROR(__xludf.DUMMYFUNCTION("""COMPUTED_VALUE"""),"#NUM!")</f>
        <v>#NUM!</v>
      </c>
      <c r="W133" s="625">
        <f>IFERROR(__xludf.DUMMYFUNCTION("""COMPUTED_VALUE"""),45815.0)</f>
        <v>45815</v>
      </c>
      <c r="X133" s="626">
        <f>IFERROR(__xludf.DUMMYFUNCTION("""COMPUTED_VALUE"""),45729.0)</f>
        <v>45729</v>
      </c>
      <c r="Y133" s="517" t="b">
        <f>IFERROR(__xludf.DUMMYFUNCTION("""COMPUTED_VALUE"""),TRUE)</f>
        <v>1</v>
      </c>
      <c r="Z133" s="626">
        <f>IFERROR(__xludf.DUMMYFUNCTION("""COMPUTED_VALUE"""),45730.0)</f>
        <v>45730</v>
      </c>
      <c r="AA133" s="517" t="b">
        <f>IFERROR(__xludf.DUMMYFUNCTION("""COMPUTED_VALUE"""),FALSE)</f>
        <v>0</v>
      </c>
      <c r="AB133" s="626">
        <f>IFERROR(__xludf.DUMMYFUNCTION("""COMPUTED_VALUE"""),45736.0)</f>
        <v>45736</v>
      </c>
      <c r="AC133" s="626">
        <f>IFERROR(__xludf.DUMMYFUNCTION("""COMPUTED_VALUE"""),45736.0)</f>
        <v>45736</v>
      </c>
      <c r="AD133" s="626">
        <f>IFERROR(__xludf.DUMMYFUNCTION("""COMPUTED_VALUE"""),45742.0)</f>
        <v>45742</v>
      </c>
      <c r="AE133" s="519" t="str">
        <f>IFERROR(__xludf.DUMMYFUNCTION("""COMPUTED_VALUE"""),"IQGA10243-US")</f>
        <v>IQGA10243-US</v>
      </c>
      <c r="AF133" s="519" t="str">
        <f>IFERROR(__xludf.DUMMYFUNCTION("""COMPUTED_VALUE"""),"IQGA10243-US")</f>
        <v>IQGA10243-US</v>
      </c>
      <c r="AG133" s="517" t="str">
        <f>IFERROR(__xludf.DUMMYFUNCTION("""COMPUTED_VALUE"""),"IQGA10243-US
IQGA10243-US(RevA)")</f>
        <v>IQGA10243-US
IQGA10243-US(RevA)</v>
      </c>
      <c r="AH133" s="519" t="str">
        <f>IFERROR(__xludf.DUMMYFUNCTION("""COMPUTED_VALUE"""),"IQGA10243-US")</f>
        <v>IQGA10243-US</v>
      </c>
      <c r="AI133" s="626">
        <f>IFERROR(__xludf.DUMMYFUNCTION("""COMPUTED_VALUE"""),45764.0)</f>
        <v>45764</v>
      </c>
      <c r="AJ133" s="517" t="b">
        <f>IFERROR(__xludf.DUMMYFUNCTION("""COMPUTED_VALUE"""),TRUE)</f>
        <v>1</v>
      </c>
      <c r="AK133" s="517" t="b">
        <f>IFERROR(__xludf.DUMMYFUNCTION("""COMPUTED_VALUE"""),TRUE)</f>
        <v>1</v>
      </c>
      <c r="AL133" s="626">
        <f>IFERROR(__xludf.DUMMYFUNCTION("""COMPUTED_VALUE"""),45764.0)</f>
        <v>45764</v>
      </c>
      <c r="AM133" s="517" t="str">
        <f>IFERROR(__xludf.DUMMYFUNCTION("""COMPUTED_VALUE"""),"Approved")</f>
        <v>Approved</v>
      </c>
      <c r="AN133" s="517" t="str">
        <f>IFERROR(__xludf.DUMMYFUNCTION("""COMPUTED_VALUE"""),"Y")</f>
        <v>Y</v>
      </c>
      <c r="AO133" s="517"/>
      <c r="AP133" s="626">
        <f>IFERROR(__xludf.DUMMYFUNCTION("""COMPUTED_VALUE"""),45764.0)</f>
        <v>45764</v>
      </c>
      <c r="AQ133" s="517" t="b">
        <f>IFERROR(__xludf.DUMMYFUNCTION("""COMPUTED_VALUE"""),FALSE)</f>
        <v>0</v>
      </c>
      <c r="AR133" s="517" t="str">
        <f>IFERROR(__xludf.DUMMYFUNCTION("""COMPUTED_VALUE"""),"N")</f>
        <v>N</v>
      </c>
      <c r="AS133" s="517"/>
      <c r="AT133" s="517" t="str">
        <f>IFERROR(__xludf.DUMMYFUNCTION("""COMPUTED_VALUE"""),"YunYu
5/13")</f>
        <v>YunYu
5/13</v>
      </c>
      <c r="AU133" s="517"/>
      <c r="AV133" s="517"/>
      <c r="AW133" s="626">
        <f>IFERROR(__xludf.DUMMYFUNCTION("""COMPUTED_VALUE"""),45811.0)</f>
        <v>45811</v>
      </c>
      <c r="AX133" s="626">
        <f>IFERROR(__xludf.DUMMYFUNCTION("""COMPUTED_VALUE"""),45811.0)</f>
        <v>45811</v>
      </c>
      <c r="AY133" s="517" t="b">
        <f>IFERROR(__xludf.DUMMYFUNCTION("""COMPUTED_VALUE"""),FALSE)</f>
        <v>0</v>
      </c>
    </row>
    <row r="134">
      <c r="B134" s="517" t="str">
        <f>IFERROR(__xludf.DUMMYFUNCTION("""COMPUTED_VALUE"""),"VZW")</f>
        <v>VZW</v>
      </c>
      <c r="C134" s="518" t="str">
        <f>IFERROR(__xludf.DUMMYFUNCTION("""COMPUTED_VALUE"""),"0840353939622")</f>
        <v>0840353939622</v>
      </c>
      <c r="D134" s="517" t="str">
        <f>IFERROR(__xludf.DUMMYFUNCTION("""COMPUTED_VALUE"""),"CLNR/FRU")</f>
        <v>CLNR/FRU</v>
      </c>
      <c r="E134" s="517" t="str">
        <f>IFERROR(__xludf.DUMMYFUNCTION("""COMPUTED_VALUE"""),"CLNRGOGA09425")</f>
        <v>CLNRGOGA09425</v>
      </c>
      <c r="F134" s="517" t="str">
        <f>IFERROR(__xludf.DUMMYFUNCTION("""COMPUTED_VALUE"""),"GLBW0")</f>
        <v>GLBW0</v>
      </c>
      <c r="G134" s="517"/>
      <c r="H134" s="518" t="str">
        <f>IFERROR(__xludf.DUMMYFUNCTION("""COMPUTED_VALUE"""),"840353939622")</f>
        <v>840353939622</v>
      </c>
      <c r="I134" s="518" t="str">
        <f>IFERROR(__xludf.DUMMYFUNCTION("""COMPUTED_VALUE"""),"No")</f>
        <v>No</v>
      </c>
      <c r="J134" s="517" t="str">
        <f>IFERROR(__xludf.DUMMYFUNCTION("""COMPUTED_VALUE"""),"Bulk_30ct")</f>
        <v>Bulk_30ct</v>
      </c>
      <c r="K134" s="517" t="str">
        <f>IFERROR(__xludf.DUMMYFUNCTION("""COMPUTED_VALUE"""),"VZN Master Carton Label")</f>
        <v>VZN Master Carton Label</v>
      </c>
      <c r="M134" s="517" t="str">
        <f>IFERROR(__xludf.DUMMYFUNCTION("""COMPUTED_VALUE"""),"N/A")</f>
        <v>N/A</v>
      </c>
      <c r="N134" s="517" t="str">
        <f>IFERROR(__xludf.DUMMYFUNCTION("""COMPUTED_VALUE"""),"N/A")</f>
        <v>N/A</v>
      </c>
      <c r="O134" s="517"/>
      <c r="P134" s="517" t="str">
        <f>IFERROR(__xludf.DUMMYFUNCTION("""COMPUTED_VALUE"""),"N/A")</f>
        <v>N/A</v>
      </c>
      <c r="Q134" s="517" t="str">
        <f>IFERROR(__xludf.DUMMYFUNCTION("""COMPUTED_VALUE"""),"Obsidian")</f>
        <v>Obsidian</v>
      </c>
      <c r="R134" s="517" t="str">
        <f>IFERROR(__xludf.DUMMYFUNCTION("""COMPUTED_VALUE"""),"BLK")</f>
        <v>BLK</v>
      </c>
      <c r="S134" s="517" t="str">
        <f>IFERROR(__xludf.DUMMYFUNCTION("""COMPUTED_VALUE"""),"VZW, US")</f>
        <v>VZW, US</v>
      </c>
      <c r="T134" s="517" t="str">
        <f>IFERROR(__xludf.DUMMYFUNCTION("""COMPUTED_VALUE"""),"SKU, CLR1, GOOD, MMWAVE, VZW, FL5, FRU")</f>
        <v>SKU, CLR1, GOOD, MMWAVE, VZW, FL5, FRU</v>
      </c>
      <c r="U134" s="517" t="str">
        <f>IFERROR(__xludf.DUMMYFUNCTION("""COMPUTED_VALUE"""),"Pixel 10, Obsidian, 128GB, VZW, US, FRU")</f>
        <v>Pixel 10, Obsidian, 128GB, VZW, US, FRU</v>
      </c>
      <c r="V134" s="624" t="str">
        <f>IFERROR(__xludf.DUMMYFUNCTION("""COMPUTED_VALUE"""),"#NUM!")</f>
        <v>#NUM!</v>
      </c>
      <c r="W134" s="625">
        <f>IFERROR(__xludf.DUMMYFUNCTION("""COMPUTED_VALUE"""),45815.0)</f>
        <v>45815</v>
      </c>
      <c r="X134" s="626">
        <f>IFERROR(__xludf.DUMMYFUNCTION("""COMPUTED_VALUE"""),45729.0)</f>
        <v>45729</v>
      </c>
      <c r="Y134" s="517" t="str">
        <f>IFERROR(__xludf.DUMMYFUNCTION("""COMPUTED_VALUE"""),"N/A")</f>
        <v>N/A</v>
      </c>
      <c r="Z134" s="626">
        <f>IFERROR(__xludf.DUMMYFUNCTION("""COMPUTED_VALUE"""),45730.0)</f>
        <v>45730</v>
      </c>
      <c r="AA134" s="517" t="b">
        <f>IFERROR(__xludf.DUMMYFUNCTION("""COMPUTED_VALUE"""),FALSE)</f>
        <v>0</v>
      </c>
      <c r="AB134" s="626">
        <f>IFERROR(__xludf.DUMMYFUNCTION("""COMPUTED_VALUE"""),45736.0)</f>
        <v>45736</v>
      </c>
      <c r="AC134" s="626">
        <f>IFERROR(__xludf.DUMMYFUNCTION("""COMPUTED_VALUE"""),45736.0)</f>
        <v>45736</v>
      </c>
      <c r="AD134" s="626">
        <f>IFERROR(__xludf.DUMMYFUNCTION("""COMPUTED_VALUE"""),45742.0)</f>
        <v>45742</v>
      </c>
      <c r="AE134" s="519" t="str">
        <f>IFERROR(__xludf.DUMMYFUNCTION("""COMPUTED_VALUE"""),"CLNRGOGA09425")</f>
        <v>CLNRGOGA09425</v>
      </c>
      <c r="AF134" s="519" t="str">
        <f>IFERROR(__xludf.DUMMYFUNCTION("""COMPUTED_VALUE"""),"CLNRGOGA09425")</f>
        <v>CLNRGOGA09425</v>
      </c>
      <c r="AG134" s="517" t="str">
        <f>IFERROR(__xludf.DUMMYFUNCTION("""COMPUTED_VALUE"""),"N/A")</f>
        <v>N/A</v>
      </c>
      <c r="AH134" s="519" t="str">
        <f>IFERROR(__xludf.DUMMYFUNCTION("""COMPUTED_VALUE"""),"CLNRGOGA09425")</f>
        <v>CLNRGOGA09425</v>
      </c>
      <c r="AI134" s="626">
        <f>IFERROR(__xludf.DUMMYFUNCTION("""COMPUTED_VALUE"""),45764.0)</f>
        <v>45764</v>
      </c>
      <c r="AJ134" s="517" t="str">
        <f>IFERROR(__xludf.DUMMYFUNCTION("""COMPUTED_VALUE"""),"n/a")</f>
        <v>n/a</v>
      </c>
      <c r="AK134" s="517" t="str">
        <f>IFERROR(__xludf.DUMMYFUNCTION("""COMPUTED_VALUE"""),"n/a")</f>
        <v>n/a</v>
      </c>
      <c r="AL134" s="626">
        <f>IFERROR(__xludf.DUMMYFUNCTION("""COMPUTED_VALUE"""),45764.0)</f>
        <v>45764</v>
      </c>
      <c r="AM134" s="517" t="b">
        <f>IFERROR(__xludf.DUMMYFUNCTION("""COMPUTED_VALUE"""),TRUE)</f>
        <v>1</v>
      </c>
      <c r="AN134" s="517" t="str">
        <f>IFERROR(__xludf.DUMMYFUNCTION("""COMPUTED_VALUE"""),"Y")</f>
        <v>Y</v>
      </c>
      <c r="AO134" s="517"/>
      <c r="AP134" s="626">
        <f>IFERROR(__xludf.DUMMYFUNCTION("""COMPUTED_VALUE"""),45764.0)</f>
        <v>45764</v>
      </c>
      <c r="AQ134" s="517" t="b">
        <f>IFERROR(__xludf.DUMMYFUNCTION("""COMPUTED_VALUE"""),FALSE)</f>
        <v>0</v>
      </c>
      <c r="AR134" s="517" t="str">
        <f>IFERROR(__xludf.DUMMYFUNCTION("""COMPUTED_VALUE"""),"N")</f>
        <v>N</v>
      </c>
      <c r="AS134" s="517"/>
      <c r="AT134" s="626">
        <f>IFERROR(__xludf.DUMMYFUNCTION("""COMPUTED_VALUE"""),45764.0)</f>
        <v>45764</v>
      </c>
      <c r="AU134" s="517"/>
      <c r="AV134" s="517"/>
      <c r="AW134" s="626">
        <f>IFERROR(__xludf.DUMMYFUNCTION("""COMPUTED_VALUE"""),45811.0)</f>
        <v>45811</v>
      </c>
      <c r="AX134" s="626">
        <f>IFERROR(__xludf.DUMMYFUNCTION("""COMPUTED_VALUE"""),45811.0)</f>
        <v>45811</v>
      </c>
      <c r="AY134" s="517" t="b">
        <f>IFERROR(__xludf.DUMMYFUNCTION("""COMPUTED_VALUE"""),FALSE)</f>
        <v>0</v>
      </c>
    </row>
    <row r="135">
      <c r="B135" s="517" t="str">
        <f>IFERROR(__xludf.DUMMYFUNCTION("""COMPUTED_VALUE"""),"VZW")</f>
        <v>VZW</v>
      </c>
      <c r="C135" s="518" t="str">
        <f>IFERROR(__xludf.DUMMYFUNCTION("""COMPUTED_VALUE"""),"0840353939646")</f>
        <v>0840353939646</v>
      </c>
      <c r="D135" s="517" t="str">
        <f>IFERROR(__xludf.DUMMYFUNCTION("""COMPUTED_VALUE"""),"CLNR/FRU")</f>
        <v>CLNR/FRU</v>
      </c>
      <c r="E135" s="517" t="str">
        <f>IFERROR(__xludf.DUMMYFUNCTION("""COMPUTED_VALUE"""),"CLNRGOGA10238")</f>
        <v>CLNRGOGA10238</v>
      </c>
      <c r="F135" s="517" t="str">
        <f>IFERROR(__xludf.DUMMYFUNCTION("""COMPUTED_VALUE"""),"GLBW0")</f>
        <v>GLBW0</v>
      </c>
      <c r="G135" s="517"/>
      <c r="H135" s="518" t="str">
        <f>IFERROR(__xludf.DUMMYFUNCTION("""COMPUTED_VALUE"""),"840353939646")</f>
        <v>840353939646</v>
      </c>
      <c r="I135" s="517"/>
      <c r="J135" s="517" t="str">
        <f>IFERROR(__xludf.DUMMYFUNCTION("""COMPUTED_VALUE"""),"Bulk_30ct")</f>
        <v>Bulk_30ct</v>
      </c>
      <c r="K135" s="517" t="str">
        <f>IFERROR(__xludf.DUMMYFUNCTION("""COMPUTED_VALUE"""),"VZN Master Carton Label")</f>
        <v>VZN Master Carton Label</v>
      </c>
      <c r="M135" s="517" t="str">
        <f>IFERROR(__xludf.DUMMYFUNCTION("""COMPUTED_VALUE"""),"N/A")</f>
        <v>N/A</v>
      </c>
      <c r="N135" s="517" t="str">
        <f>IFERROR(__xludf.DUMMYFUNCTION("""COMPUTED_VALUE"""),"N/A")</f>
        <v>N/A</v>
      </c>
      <c r="O135" s="517"/>
      <c r="P135" s="517" t="str">
        <f>IFERROR(__xludf.DUMMYFUNCTION("""COMPUTED_VALUE"""),"N/A")</f>
        <v>N/A</v>
      </c>
      <c r="Q135" s="517" t="str">
        <f>IFERROR(__xludf.DUMMYFUNCTION("""COMPUTED_VALUE"""),"Frost")</f>
        <v>Frost</v>
      </c>
      <c r="R135" s="517" t="str">
        <f>IFERROR(__xludf.DUMMYFUNCTION("""COMPUTED_VALUE"""),"PPL")</f>
        <v>PPL</v>
      </c>
      <c r="S135" s="517" t="str">
        <f>IFERROR(__xludf.DUMMYFUNCTION("""COMPUTED_VALUE"""),"VZW, US")</f>
        <v>VZW, US</v>
      </c>
      <c r="T135" s="517" t="str">
        <f>IFERROR(__xludf.DUMMYFUNCTION("""COMPUTED_VALUE"""),"SKU, CLR2, GOOD, MMWAVE, VZW, FL5, FRU")</f>
        <v>SKU, CLR2, GOOD, MMWAVE, VZW, FL5, FRU</v>
      </c>
      <c r="U135" s="517" t="str">
        <f>IFERROR(__xludf.DUMMYFUNCTION("""COMPUTED_VALUE"""),"Pixel 10, Frost, 128GB, VZW, US, FRU")</f>
        <v>Pixel 10, Frost, 128GB, VZW, US, FRU</v>
      </c>
      <c r="V135" s="624" t="str">
        <f>IFERROR(__xludf.DUMMYFUNCTION("""COMPUTED_VALUE"""),"#NUM!")</f>
        <v>#NUM!</v>
      </c>
      <c r="W135" s="625">
        <f>IFERROR(__xludf.DUMMYFUNCTION("""COMPUTED_VALUE"""),45815.0)</f>
        <v>45815</v>
      </c>
      <c r="X135" s="626">
        <f>IFERROR(__xludf.DUMMYFUNCTION("""COMPUTED_VALUE"""),45729.0)</f>
        <v>45729</v>
      </c>
      <c r="Y135" s="517" t="str">
        <f>IFERROR(__xludf.DUMMYFUNCTION("""COMPUTED_VALUE"""),"N/A")</f>
        <v>N/A</v>
      </c>
      <c r="Z135" s="626">
        <f>IFERROR(__xludf.DUMMYFUNCTION("""COMPUTED_VALUE"""),45730.0)</f>
        <v>45730</v>
      </c>
      <c r="AA135" s="517" t="b">
        <f>IFERROR(__xludf.DUMMYFUNCTION("""COMPUTED_VALUE"""),FALSE)</f>
        <v>0</v>
      </c>
      <c r="AB135" s="626">
        <f>IFERROR(__xludf.DUMMYFUNCTION("""COMPUTED_VALUE"""),45736.0)</f>
        <v>45736</v>
      </c>
      <c r="AC135" s="626">
        <f>IFERROR(__xludf.DUMMYFUNCTION("""COMPUTED_VALUE"""),45736.0)</f>
        <v>45736</v>
      </c>
      <c r="AD135" s="626">
        <f>IFERROR(__xludf.DUMMYFUNCTION("""COMPUTED_VALUE"""),45742.0)</f>
        <v>45742</v>
      </c>
      <c r="AE135" s="519" t="str">
        <f>IFERROR(__xludf.DUMMYFUNCTION("""COMPUTED_VALUE"""),"CLNRGOGA10238")</f>
        <v>CLNRGOGA10238</v>
      </c>
      <c r="AF135" s="519" t="str">
        <f>IFERROR(__xludf.DUMMYFUNCTION("""COMPUTED_VALUE"""),"CLNRGOGA10238")</f>
        <v>CLNRGOGA10238</v>
      </c>
      <c r="AG135" s="517" t="str">
        <f>IFERROR(__xludf.DUMMYFUNCTION("""COMPUTED_VALUE"""),"N/A")</f>
        <v>N/A</v>
      </c>
      <c r="AH135" s="519" t="str">
        <f>IFERROR(__xludf.DUMMYFUNCTION("""COMPUTED_VALUE"""),"CLNRGOGA10238")</f>
        <v>CLNRGOGA10238</v>
      </c>
      <c r="AI135" s="626">
        <f>IFERROR(__xludf.DUMMYFUNCTION("""COMPUTED_VALUE"""),45764.0)</f>
        <v>45764</v>
      </c>
      <c r="AJ135" s="517" t="str">
        <f>IFERROR(__xludf.DUMMYFUNCTION("""COMPUTED_VALUE"""),"n/a")</f>
        <v>n/a</v>
      </c>
      <c r="AK135" s="517" t="str">
        <f>IFERROR(__xludf.DUMMYFUNCTION("""COMPUTED_VALUE"""),"n/a")</f>
        <v>n/a</v>
      </c>
      <c r="AL135" s="626">
        <f>IFERROR(__xludf.DUMMYFUNCTION("""COMPUTED_VALUE"""),45764.0)</f>
        <v>45764</v>
      </c>
      <c r="AM135" s="517" t="b">
        <f>IFERROR(__xludf.DUMMYFUNCTION("""COMPUTED_VALUE"""),TRUE)</f>
        <v>1</v>
      </c>
      <c r="AN135" s="517" t="str">
        <f>IFERROR(__xludf.DUMMYFUNCTION("""COMPUTED_VALUE"""),"N")</f>
        <v>N</v>
      </c>
      <c r="AO135" s="517"/>
      <c r="AP135" s="626">
        <f>IFERROR(__xludf.DUMMYFUNCTION("""COMPUTED_VALUE"""),45764.0)</f>
        <v>45764</v>
      </c>
      <c r="AQ135" s="517" t="b">
        <f>IFERROR(__xludf.DUMMYFUNCTION("""COMPUTED_VALUE"""),FALSE)</f>
        <v>0</v>
      </c>
      <c r="AR135" s="517" t="str">
        <f>IFERROR(__xludf.DUMMYFUNCTION("""COMPUTED_VALUE"""),"N")</f>
        <v>N</v>
      </c>
      <c r="AS135" s="517"/>
      <c r="AT135" s="626">
        <f>IFERROR(__xludf.DUMMYFUNCTION("""COMPUTED_VALUE"""),45764.0)</f>
        <v>45764</v>
      </c>
      <c r="AU135" s="517"/>
      <c r="AV135" s="517"/>
      <c r="AW135" s="626">
        <f>IFERROR(__xludf.DUMMYFUNCTION("""COMPUTED_VALUE"""),45811.0)</f>
        <v>45811</v>
      </c>
      <c r="AX135" s="626">
        <f>IFERROR(__xludf.DUMMYFUNCTION("""COMPUTED_VALUE"""),45811.0)</f>
        <v>45811</v>
      </c>
      <c r="AY135" s="517" t="b">
        <f>IFERROR(__xludf.DUMMYFUNCTION("""COMPUTED_VALUE"""),FALSE)</f>
        <v>0</v>
      </c>
    </row>
    <row r="136">
      <c r="B136" s="517" t="str">
        <f>IFERROR(__xludf.DUMMYFUNCTION("""COMPUTED_VALUE"""),"VZW")</f>
        <v>VZW</v>
      </c>
      <c r="C136" s="518" t="str">
        <f>IFERROR(__xludf.DUMMYFUNCTION("""COMPUTED_VALUE"""),"0840353939653")</f>
        <v>0840353939653</v>
      </c>
      <c r="D136" s="517" t="str">
        <f>IFERROR(__xludf.DUMMYFUNCTION("""COMPUTED_VALUE"""),"CLNR/FRU")</f>
        <v>CLNR/FRU</v>
      </c>
      <c r="E136" s="519" t="str">
        <f>IFERROR(__xludf.DUMMYFUNCTION("""COMPUTED_VALUE"""),"CLNRGOGA10239")</f>
        <v>CLNRGOGA10239</v>
      </c>
      <c r="F136" s="517" t="str">
        <f>IFERROR(__xludf.DUMMYFUNCTION("""COMPUTED_VALUE"""),"GLBW0")</f>
        <v>GLBW0</v>
      </c>
      <c r="G136" s="517"/>
      <c r="H136" s="518" t="str">
        <f>IFERROR(__xludf.DUMMYFUNCTION("""COMPUTED_VALUE"""),"840353939653")</f>
        <v>840353939653</v>
      </c>
      <c r="I136" s="517"/>
      <c r="J136" s="517" t="str">
        <f>IFERROR(__xludf.DUMMYFUNCTION("""COMPUTED_VALUE"""),"Bulk_30ct")</f>
        <v>Bulk_30ct</v>
      </c>
      <c r="K136" s="517" t="str">
        <f>IFERROR(__xludf.DUMMYFUNCTION("""COMPUTED_VALUE"""),"VZN Master Carton Label")</f>
        <v>VZN Master Carton Label</v>
      </c>
      <c r="M136" s="517" t="str">
        <f>IFERROR(__xludf.DUMMYFUNCTION("""COMPUTED_VALUE"""),"N/A")</f>
        <v>N/A</v>
      </c>
      <c r="N136" s="517" t="str">
        <f>IFERROR(__xludf.DUMMYFUNCTION("""COMPUTED_VALUE"""),"N/A")</f>
        <v>N/A</v>
      </c>
      <c r="O136" s="517"/>
      <c r="P136" s="517" t="str">
        <f>IFERROR(__xludf.DUMMYFUNCTION("""COMPUTED_VALUE"""),"N/A")</f>
        <v>N/A</v>
      </c>
      <c r="Q136" s="517" t="str">
        <f>IFERROR(__xludf.DUMMYFUNCTION("""COMPUTED_VALUE"""),"Lemongrass")</f>
        <v>Lemongrass</v>
      </c>
      <c r="R136" s="517" t="str">
        <f>IFERROR(__xludf.DUMMYFUNCTION("""COMPUTED_VALUE"""),"YEL")</f>
        <v>YEL</v>
      </c>
      <c r="S136" s="517" t="str">
        <f>IFERROR(__xludf.DUMMYFUNCTION("""COMPUTED_VALUE"""),"VZW, US")</f>
        <v>VZW, US</v>
      </c>
      <c r="T136" s="517" t="str">
        <f>IFERROR(__xludf.DUMMYFUNCTION("""COMPUTED_VALUE"""),"SKU, CLR3, GOOD, MMWAVE, VZW, FL5, FRU")</f>
        <v>SKU, CLR3, GOOD, MMWAVE, VZW, FL5, FRU</v>
      </c>
      <c r="U136" s="517" t="str">
        <f>IFERROR(__xludf.DUMMYFUNCTION("""COMPUTED_VALUE"""),"Pixel 10, Lemongrass, 128GB, VZW, US, FRU")</f>
        <v>Pixel 10, Lemongrass, 128GB, VZW, US, FRU</v>
      </c>
      <c r="V136" s="624" t="str">
        <f>IFERROR(__xludf.DUMMYFUNCTION("""COMPUTED_VALUE"""),"#NUM!")</f>
        <v>#NUM!</v>
      </c>
      <c r="W136" s="625">
        <f>IFERROR(__xludf.DUMMYFUNCTION("""COMPUTED_VALUE"""),45815.0)</f>
        <v>45815</v>
      </c>
      <c r="X136" s="626">
        <f>IFERROR(__xludf.DUMMYFUNCTION("""COMPUTED_VALUE"""),45729.0)</f>
        <v>45729</v>
      </c>
      <c r="Y136" s="517" t="str">
        <f>IFERROR(__xludf.DUMMYFUNCTION("""COMPUTED_VALUE"""),"N/A")</f>
        <v>N/A</v>
      </c>
      <c r="Z136" s="626">
        <f>IFERROR(__xludf.DUMMYFUNCTION("""COMPUTED_VALUE"""),45730.0)</f>
        <v>45730</v>
      </c>
      <c r="AA136" s="517" t="b">
        <f>IFERROR(__xludf.DUMMYFUNCTION("""COMPUTED_VALUE"""),FALSE)</f>
        <v>0</v>
      </c>
      <c r="AB136" s="626">
        <f>IFERROR(__xludf.DUMMYFUNCTION("""COMPUTED_VALUE"""),45736.0)</f>
        <v>45736</v>
      </c>
      <c r="AC136" s="626">
        <f>IFERROR(__xludf.DUMMYFUNCTION("""COMPUTED_VALUE"""),45736.0)</f>
        <v>45736</v>
      </c>
      <c r="AD136" s="626">
        <f>IFERROR(__xludf.DUMMYFUNCTION("""COMPUTED_VALUE"""),45742.0)</f>
        <v>45742</v>
      </c>
      <c r="AE136" s="519" t="str">
        <f>IFERROR(__xludf.DUMMYFUNCTION("""COMPUTED_VALUE"""),"CLNRGOGA10239")</f>
        <v>CLNRGOGA10239</v>
      </c>
      <c r="AF136" s="519" t="str">
        <f>IFERROR(__xludf.DUMMYFUNCTION("""COMPUTED_VALUE"""),"CLNRGOGA10239")</f>
        <v>CLNRGOGA10239</v>
      </c>
      <c r="AG136" s="517" t="str">
        <f>IFERROR(__xludf.DUMMYFUNCTION("""COMPUTED_VALUE"""),"N/A")</f>
        <v>N/A</v>
      </c>
      <c r="AH136" s="519" t="str">
        <f>IFERROR(__xludf.DUMMYFUNCTION("""COMPUTED_VALUE"""),"CLNRGOGA10239")</f>
        <v>CLNRGOGA10239</v>
      </c>
      <c r="AI136" s="626">
        <f>IFERROR(__xludf.DUMMYFUNCTION("""COMPUTED_VALUE"""),45764.0)</f>
        <v>45764</v>
      </c>
      <c r="AJ136" s="517" t="str">
        <f>IFERROR(__xludf.DUMMYFUNCTION("""COMPUTED_VALUE"""),"n/a")</f>
        <v>n/a</v>
      </c>
      <c r="AK136" s="517" t="str">
        <f>IFERROR(__xludf.DUMMYFUNCTION("""COMPUTED_VALUE"""),"n/a")</f>
        <v>n/a</v>
      </c>
      <c r="AL136" s="626">
        <f>IFERROR(__xludf.DUMMYFUNCTION("""COMPUTED_VALUE"""),45764.0)</f>
        <v>45764</v>
      </c>
      <c r="AM136" s="517" t="b">
        <f>IFERROR(__xludf.DUMMYFUNCTION("""COMPUTED_VALUE"""),TRUE)</f>
        <v>1</v>
      </c>
      <c r="AN136" s="517" t="str">
        <f>IFERROR(__xludf.DUMMYFUNCTION("""COMPUTED_VALUE"""),"N")</f>
        <v>N</v>
      </c>
      <c r="AO136" s="517"/>
      <c r="AP136" s="626">
        <f>IFERROR(__xludf.DUMMYFUNCTION("""COMPUTED_VALUE"""),45764.0)</f>
        <v>45764</v>
      </c>
      <c r="AQ136" s="517" t="b">
        <f>IFERROR(__xludf.DUMMYFUNCTION("""COMPUTED_VALUE"""),FALSE)</f>
        <v>0</v>
      </c>
      <c r="AR136" s="517" t="str">
        <f>IFERROR(__xludf.DUMMYFUNCTION("""COMPUTED_VALUE"""),"N")</f>
        <v>N</v>
      </c>
      <c r="AS136" s="517"/>
      <c r="AT136" s="626">
        <f>IFERROR(__xludf.DUMMYFUNCTION("""COMPUTED_VALUE"""),45764.0)</f>
        <v>45764</v>
      </c>
      <c r="AU136" s="517"/>
      <c r="AV136" s="517"/>
      <c r="AW136" s="626">
        <f>IFERROR(__xludf.DUMMYFUNCTION("""COMPUTED_VALUE"""),45811.0)</f>
        <v>45811</v>
      </c>
      <c r="AX136" s="626">
        <f>IFERROR(__xludf.DUMMYFUNCTION("""COMPUTED_VALUE"""),45811.0)</f>
        <v>45811</v>
      </c>
      <c r="AY136" s="517" t="b">
        <f>IFERROR(__xludf.DUMMYFUNCTION("""COMPUTED_VALUE"""),FALSE)</f>
        <v>0</v>
      </c>
    </row>
    <row r="137">
      <c r="B137" s="517" t="str">
        <f>IFERROR(__xludf.DUMMYFUNCTION("""COMPUTED_VALUE"""),"VZW")</f>
        <v>VZW</v>
      </c>
      <c r="C137" s="518" t="str">
        <f>IFERROR(__xludf.DUMMYFUNCTION("""COMPUTED_VALUE"""),"0840353939660")</f>
        <v>0840353939660</v>
      </c>
      <c r="D137" s="517" t="str">
        <f>IFERROR(__xludf.DUMMYFUNCTION("""COMPUTED_VALUE"""),"CLNR/FRU")</f>
        <v>CLNR/FRU</v>
      </c>
      <c r="E137" s="517" t="str">
        <f>IFERROR(__xludf.DUMMYFUNCTION("""COMPUTED_VALUE"""),"CLNRGOGA10240")</f>
        <v>CLNRGOGA10240</v>
      </c>
      <c r="F137" s="517" t="str">
        <f>IFERROR(__xludf.DUMMYFUNCTION("""COMPUTED_VALUE"""),"GLBW0")</f>
        <v>GLBW0</v>
      </c>
      <c r="G137" s="517"/>
      <c r="H137" s="518" t="str">
        <f>IFERROR(__xludf.DUMMYFUNCTION("""COMPUTED_VALUE"""),"840353939660")</f>
        <v>840353939660</v>
      </c>
      <c r="I137" s="518" t="str">
        <f>IFERROR(__xludf.DUMMYFUNCTION("""COMPUTED_VALUE"""),"No")</f>
        <v>No</v>
      </c>
      <c r="J137" s="517" t="str">
        <f>IFERROR(__xludf.DUMMYFUNCTION("""COMPUTED_VALUE"""),"Bulk_30ct")</f>
        <v>Bulk_30ct</v>
      </c>
      <c r="K137" s="517" t="str">
        <f>IFERROR(__xludf.DUMMYFUNCTION("""COMPUTED_VALUE"""),"VZN Master Carton Label")</f>
        <v>VZN Master Carton Label</v>
      </c>
      <c r="M137" s="517" t="str">
        <f>IFERROR(__xludf.DUMMYFUNCTION("""COMPUTED_VALUE"""),"N/A")</f>
        <v>N/A</v>
      </c>
      <c r="N137" s="517" t="str">
        <f>IFERROR(__xludf.DUMMYFUNCTION("""COMPUTED_VALUE"""),"N/A")</f>
        <v>N/A</v>
      </c>
      <c r="O137" s="517"/>
      <c r="P137" s="517" t="str">
        <f>IFERROR(__xludf.DUMMYFUNCTION("""COMPUTED_VALUE"""),"N/A")</f>
        <v>N/A</v>
      </c>
      <c r="Q137" s="517" t="str">
        <f>IFERROR(__xludf.DUMMYFUNCTION("""COMPUTED_VALUE"""),"Indigo")</f>
        <v>Indigo</v>
      </c>
      <c r="R137" s="517" t="str">
        <f>IFERROR(__xludf.DUMMYFUNCTION("""COMPUTED_VALUE"""),"BUE")</f>
        <v>BUE</v>
      </c>
      <c r="S137" s="517" t="str">
        <f>IFERROR(__xludf.DUMMYFUNCTION("""COMPUTED_VALUE"""),"VZW, US")</f>
        <v>VZW, US</v>
      </c>
      <c r="T137" s="517" t="str">
        <f>IFERROR(__xludf.DUMMYFUNCTION("""COMPUTED_VALUE"""),"SKU, CLR4, GOOD, MMWAVE, VZW, FL5, FRU")</f>
        <v>SKU, CLR4, GOOD, MMWAVE, VZW, FL5, FRU</v>
      </c>
      <c r="U137" s="517" t="str">
        <f>IFERROR(__xludf.DUMMYFUNCTION("""COMPUTED_VALUE"""),"Pixel 10, Indigo, 128GB, VZW, US, FRU")</f>
        <v>Pixel 10, Indigo, 128GB, VZW, US, FRU</v>
      </c>
      <c r="V137" s="624" t="str">
        <f>IFERROR(__xludf.DUMMYFUNCTION("""COMPUTED_VALUE"""),"#NUM!")</f>
        <v>#NUM!</v>
      </c>
      <c r="W137" s="625">
        <f>IFERROR(__xludf.DUMMYFUNCTION("""COMPUTED_VALUE"""),45815.0)</f>
        <v>45815</v>
      </c>
      <c r="X137" s="626">
        <f>IFERROR(__xludf.DUMMYFUNCTION("""COMPUTED_VALUE"""),45729.0)</f>
        <v>45729</v>
      </c>
      <c r="Y137" s="517" t="str">
        <f>IFERROR(__xludf.DUMMYFUNCTION("""COMPUTED_VALUE"""),"N/A")</f>
        <v>N/A</v>
      </c>
      <c r="Z137" s="626">
        <f>IFERROR(__xludf.DUMMYFUNCTION("""COMPUTED_VALUE"""),45730.0)</f>
        <v>45730</v>
      </c>
      <c r="AA137" s="517" t="b">
        <f>IFERROR(__xludf.DUMMYFUNCTION("""COMPUTED_VALUE"""),FALSE)</f>
        <v>0</v>
      </c>
      <c r="AB137" s="626">
        <f>IFERROR(__xludf.DUMMYFUNCTION("""COMPUTED_VALUE"""),45736.0)</f>
        <v>45736</v>
      </c>
      <c r="AC137" s="626">
        <f>IFERROR(__xludf.DUMMYFUNCTION("""COMPUTED_VALUE"""),45736.0)</f>
        <v>45736</v>
      </c>
      <c r="AD137" s="626">
        <f>IFERROR(__xludf.DUMMYFUNCTION("""COMPUTED_VALUE"""),45742.0)</f>
        <v>45742</v>
      </c>
      <c r="AE137" s="519" t="str">
        <f>IFERROR(__xludf.DUMMYFUNCTION("""COMPUTED_VALUE"""),"CLNRGOGA10240")</f>
        <v>CLNRGOGA10240</v>
      </c>
      <c r="AF137" s="519" t="str">
        <f>IFERROR(__xludf.DUMMYFUNCTION("""COMPUTED_VALUE"""),"CLNRGOGA10240")</f>
        <v>CLNRGOGA10240</v>
      </c>
      <c r="AG137" s="517" t="str">
        <f>IFERROR(__xludf.DUMMYFUNCTION("""COMPUTED_VALUE"""),"N/A")</f>
        <v>N/A</v>
      </c>
      <c r="AH137" s="519" t="str">
        <f>IFERROR(__xludf.DUMMYFUNCTION("""COMPUTED_VALUE"""),"CLNRGOGA10240")</f>
        <v>CLNRGOGA10240</v>
      </c>
      <c r="AI137" s="626">
        <f>IFERROR(__xludf.DUMMYFUNCTION("""COMPUTED_VALUE"""),45764.0)</f>
        <v>45764</v>
      </c>
      <c r="AJ137" s="517" t="str">
        <f>IFERROR(__xludf.DUMMYFUNCTION("""COMPUTED_VALUE"""),"n/a")</f>
        <v>n/a</v>
      </c>
      <c r="AK137" s="517" t="str">
        <f>IFERROR(__xludf.DUMMYFUNCTION("""COMPUTED_VALUE"""),"n/a")</f>
        <v>n/a</v>
      </c>
      <c r="AL137" s="626">
        <f>IFERROR(__xludf.DUMMYFUNCTION("""COMPUTED_VALUE"""),45764.0)</f>
        <v>45764</v>
      </c>
      <c r="AM137" s="517" t="b">
        <f>IFERROR(__xludf.DUMMYFUNCTION("""COMPUTED_VALUE"""),TRUE)</f>
        <v>1</v>
      </c>
      <c r="AN137" s="517" t="str">
        <f>IFERROR(__xludf.DUMMYFUNCTION("""COMPUTED_VALUE"""),"N")</f>
        <v>N</v>
      </c>
      <c r="AO137" s="517"/>
      <c r="AP137" s="626">
        <f>IFERROR(__xludf.DUMMYFUNCTION("""COMPUTED_VALUE"""),45764.0)</f>
        <v>45764</v>
      </c>
      <c r="AQ137" s="517" t="b">
        <f>IFERROR(__xludf.DUMMYFUNCTION("""COMPUTED_VALUE"""),FALSE)</f>
        <v>0</v>
      </c>
      <c r="AR137" s="517" t="str">
        <f>IFERROR(__xludf.DUMMYFUNCTION("""COMPUTED_VALUE"""),"N")</f>
        <v>N</v>
      </c>
      <c r="AS137" s="517"/>
      <c r="AT137" s="626">
        <f>IFERROR(__xludf.DUMMYFUNCTION("""COMPUTED_VALUE"""),45764.0)</f>
        <v>45764</v>
      </c>
      <c r="AU137" s="517"/>
      <c r="AV137" s="517"/>
      <c r="AW137" s="626">
        <f>IFERROR(__xludf.DUMMYFUNCTION("""COMPUTED_VALUE"""),45811.0)</f>
        <v>45811</v>
      </c>
      <c r="AX137" s="626">
        <f>IFERROR(__xludf.DUMMYFUNCTION("""COMPUTED_VALUE"""),45811.0)</f>
        <v>45811</v>
      </c>
      <c r="AY137" s="517" t="b">
        <f>IFERROR(__xludf.DUMMYFUNCTION("""COMPUTED_VALUE"""),FALSE)</f>
        <v>0</v>
      </c>
    </row>
    <row r="138">
      <c r="B138" s="517" t="str">
        <f>IFERROR(__xludf.DUMMYFUNCTION("""COMPUTED_VALUE"""),"VZW")</f>
        <v>VZW</v>
      </c>
      <c r="C138" s="518" t="str">
        <f>IFERROR(__xludf.DUMMYFUNCTION("""COMPUTED_VALUE"""),"0840353939639")</f>
        <v>0840353939639</v>
      </c>
      <c r="D138" s="517" t="str">
        <f>IFERROR(__xludf.DUMMYFUNCTION("""COMPUTED_VALUE"""),"CLNR/FRU")</f>
        <v>CLNR/FRU</v>
      </c>
      <c r="E138" s="517" t="str">
        <f>IFERROR(__xludf.DUMMYFUNCTION("""COMPUTED_VALUE"""),"CLNRGOGA09880")</f>
        <v>CLNRGOGA09880</v>
      </c>
      <c r="F138" s="517" t="str">
        <f>IFERROR(__xludf.DUMMYFUNCTION("""COMPUTED_VALUE"""),"GLBW0")</f>
        <v>GLBW0</v>
      </c>
      <c r="G138" s="517"/>
      <c r="H138" s="518" t="str">
        <f>IFERROR(__xludf.DUMMYFUNCTION("""COMPUTED_VALUE"""),"840353939639")</f>
        <v>840353939639</v>
      </c>
      <c r="I138" s="518" t="str">
        <f>IFERROR(__xludf.DUMMYFUNCTION("""COMPUTED_VALUE"""),"No")</f>
        <v>No</v>
      </c>
      <c r="J138" s="517" t="str">
        <f>IFERROR(__xludf.DUMMYFUNCTION("""COMPUTED_VALUE"""),"Bulk_30ct")</f>
        <v>Bulk_30ct</v>
      </c>
      <c r="K138" s="517" t="str">
        <f>IFERROR(__xludf.DUMMYFUNCTION("""COMPUTED_VALUE"""),"VZN Master Carton Label")</f>
        <v>VZN Master Carton Label</v>
      </c>
      <c r="M138" s="517" t="str">
        <f>IFERROR(__xludf.DUMMYFUNCTION("""COMPUTED_VALUE"""),"N/A")</f>
        <v>N/A</v>
      </c>
      <c r="N138" s="517" t="str">
        <f>IFERROR(__xludf.DUMMYFUNCTION("""COMPUTED_VALUE"""),"N/A")</f>
        <v>N/A</v>
      </c>
      <c r="O138" s="517"/>
      <c r="P138" s="517" t="str">
        <f>IFERROR(__xludf.DUMMYFUNCTION("""COMPUTED_VALUE"""),"N/A")</f>
        <v>N/A</v>
      </c>
      <c r="Q138" s="517" t="str">
        <f>IFERROR(__xludf.DUMMYFUNCTION("""COMPUTED_VALUE"""),"Obsidian")</f>
        <v>Obsidian</v>
      </c>
      <c r="R138" s="517" t="str">
        <f>IFERROR(__xludf.DUMMYFUNCTION("""COMPUTED_VALUE"""),"BLK")</f>
        <v>BLK</v>
      </c>
      <c r="S138" s="517" t="str">
        <f>IFERROR(__xludf.DUMMYFUNCTION("""COMPUTED_VALUE"""),"VZW, US")</f>
        <v>VZW, US</v>
      </c>
      <c r="T138" s="517" t="str">
        <f>IFERROR(__xludf.DUMMYFUNCTION("""COMPUTED_VALUE"""),"SKU, CLR1, BETTER, MMWAVE, VZW, FL5, FRU")</f>
        <v>SKU, CLR1, BETTER, MMWAVE, VZW, FL5, FRU</v>
      </c>
      <c r="U138" s="517" t="str">
        <f>IFERROR(__xludf.DUMMYFUNCTION("""COMPUTED_VALUE"""),"Pixel 10, Obsidian, 256GB, VZW, US, FRU")</f>
        <v>Pixel 10, Obsidian, 256GB, VZW, US, FRU</v>
      </c>
      <c r="V138" s="624" t="str">
        <f>IFERROR(__xludf.DUMMYFUNCTION("""COMPUTED_VALUE"""),"#NUM!")</f>
        <v>#NUM!</v>
      </c>
      <c r="W138" s="625">
        <f>IFERROR(__xludf.DUMMYFUNCTION("""COMPUTED_VALUE"""),45815.0)</f>
        <v>45815</v>
      </c>
      <c r="X138" s="626">
        <f>IFERROR(__xludf.DUMMYFUNCTION("""COMPUTED_VALUE"""),45729.0)</f>
        <v>45729</v>
      </c>
      <c r="Y138" s="517" t="str">
        <f>IFERROR(__xludf.DUMMYFUNCTION("""COMPUTED_VALUE"""),"N/A")</f>
        <v>N/A</v>
      </c>
      <c r="Z138" s="626">
        <f>IFERROR(__xludf.DUMMYFUNCTION("""COMPUTED_VALUE"""),45730.0)</f>
        <v>45730</v>
      </c>
      <c r="AA138" s="517" t="b">
        <f>IFERROR(__xludf.DUMMYFUNCTION("""COMPUTED_VALUE"""),FALSE)</f>
        <v>0</v>
      </c>
      <c r="AB138" s="626">
        <f>IFERROR(__xludf.DUMMYFUNCTION("""COMPUTED_VALUE"""),45736.0)</f>
        <v>45736</v>
      </c>
      <c r="AC138" s="626">
        <f>IFERROR(__xludf.DUMMYFUNCTION("""COMPUTED_VALUE"""),45736.0)</f>
        <v>45736</v>
      </c>
      <c r="AD138" s="626">
        <f>IFERROR(__xludf.DUMMYFUNCTION("""COMPUTED_VALUE"""),45742.0)</f>
        <v>45742</v>
      </c>
      <c r="AE138" s="519" t="str">
        <f>IFERROR(__xludf.DUMMYFUNCTION("""COMPUTED_VALUE"""),"CLNRGOGA09880")</f>
        <v>CLNRGOGA09880</v>
      </c>
      <c r="AF138" s="519" t="str">
        <f>IFERROR(__xludf.DUMMYFUNCTION("""COMPUTED_VALUE"""),"CLNRGOGA09880")</f>
        <v>CLNRGOGA09880</v>
      </c>
      <c r="AG138" s="517" t="str">
        <f>IFERROR(__xludf.DUMMYFUNCTION("""COMPUTED_VALUE"""),"N/A")</f>
        <v>N/A</v>
      </c>
      <c r="AH138" s="519" t="str">
        <f>IFERROR(__xludf.DUMMYFUNCTION("""COMPUTED_VALUE"""),"CLNRGOGA09880")</f>
        <v>CLNRGOGA09880</v>
      </c>
      <c r="AI138" s="626">
        <f>IFERROR(__xludf.DUMMYFUNCTION("""COMPUTED_VALUE"""),45764.0)</f>
        <v>45764</v>
      </c>
      <c r="AJ138" s="517" t="str">
        <f>IFERROR(__xludf.DUMMYFUNCTION("""COMPUTED_VALUE"""),"n/a")</f>
        <v>n/a</v>
      </c>
      <c r="AK138" s="517" t="str">
        <f>IFERROR(__xludf.DUMMYFUNCTION("""COMPUTED_VALUE"""),"n/a")</f>
        <v>n/a</v>
      </c>
      <c r="AL138" s="626">
        <f>IFERROR(__xludf.DUMMYFUNCTION("""COMPUTED_VALUE"""),45764.0)</f>
        <v>45764</v>
      </c>
      <c r="AM138" s="517" t="b">
        <f>IFERROR(__xludf.DUMMYFUNCTION("""COMPUTED_VALUE"""),TRUE)</f>
        <v>1</v>
      </c>
      <c r="AN138" s="517" t="str">
        <f>IFERROR(__xludf.DUMMYFUNCTION("""COMPUTED_VALUE"""),"N")</f>
        <v>N</v>
      </c>
      <c r="AO138" s="517"/>
      <c r="AP138" s="626">
        <f>IFERROR(__xludf.DUMMYFUNCTION("""COMPUTED_VALUE"""),45764.0)</f>
        <v>45764</v>
      </c>
      <c r="AQ138" s="517" t="b">
        <f>IFERROR(__xludf.DUMMYFUNCTION("""COMPUTED_VALUE"""),FALSE)</f>
        <v>0</v>
      </c>
      <c r="AR138" s="517" t="str">
        <f>IFERROR(__xludf.DUMMYFUNCTION("""COMPUTED_VALUE"""),"N")</f>
        <v>N</v>
      </c>
      <c r="AS138" s="517"/>
      <c r="AT138" s="626">
        <f>IFERROR(__xludf.DUMMYFUNCTION("""COMPUTED_VALUE"""),45764.0)</f>
        <v>45764</v>
      </c>
      <c r="AU138" s="517"/>
      <c r="AV138" s="517"/>
      <c r="AW138" s="626">
        <f>IFERROR(__xludf.DUMMYFUNCTION("""COMPUTED_VALUE"""),45811.0)</f>
        <v>45811</v>
      </c>
      <c r="AX138" s="626">
        <f>IFERROR(__xludf.DUMMYFUNCTION("""COMPUTED_VALUE"""),45811.0)</f>
        <v>45811</v>
      </c>
      <c r="AY138" s="517" t="b">
        <f>IFERROR(__xludf.DUMMYFUNCTION("""COMPUTED_VALUE"""),FALSE)</f>
        <v>0</v>
      </c>
    </row>
    <row r="139">
      <c r="B139" s="517" t="str">
        <f>IFERROR(__xludf.DUMMYFUNCTION("""COMPUTED_VALUE"""),"VZW")</f>
        <v>VZW</v>
      </c>
      <c r="C139" s="517" t="str">
        <f>IFERROR(__xludf.DUMMYFUNCTION("""COMPUTED_VALUE"""),"Cancel")</f>
        <v>Cancel</v>
      </c>
      <c r="D139" s="517" t="str">
        <f>IFERROR(__xludf.DUMMYFUNCTION("""COMPUTED_VALUE"""),"CLNR/FRU")</f>
        <v>CLNR/FRU</v>
      </c>
      <c r="E139" s="517" t="str">
        <f>IFERROR(__xludf.DUMMYFUNCTION("""COMPUTED_VALUE"""),"CLNRGOGA10241")</f>
        <v>CLNRGOGA10241</v>
      </c>
      <c r="F139" s="517" t="str">
        <f>IFERROR(__xludf.DUMMYFUNCTION("""COMPUTED_VALUE"""),"Cancel")</f>
        <v>Cancel</v>
      </c>
      <c r="G139" s="517" t="str">
        <f>IFERROR(__xludf.DUMMYFUNCTION("""COMPUTED_VALUE"""),"Cancel")</f>
        <v>Cancel</v>
      </c>
      <c r="H139" s="517" t="str">
        <f>IFERROR(__xludf.DUMMYFUNCTION("""COMPUTED_VALUE"""),"Cancel")</f>
        <v>Cancel</v>
      </c>
      <c r="I139" s="517" t="str">
        <f>IFERROR(__xludf.DUMMYFUNCTION("""COMPUTED_VALUE"""),"Cancel")</f>
        <v>Cancel</v>
      </c>
      <c r="J139" s="517" t="str">
        <f>IFERROR(__xludf.DUMMYFUNCTION("""COMPUTED_VALUE"""),"Cancel")</f>
        <v>Cancel</v>
      </c>
      <c r="K139" s="517" t="str">
        <f>IFERROR(__xludf.DUMMYFUNCTION("""COMPUTED_VALUE"""),"Cancel")</f>
        <v>Cancel</v>
      </c>
      <c r="M139" s="517" t="str">
        <f>IFERROR(__xludf.DUMMYFUNCTION("""COMPUTED_VALUE"""),"N/A")</f>
        <v>N/A</v>
      </c>
      <c r="N139" s="517" t="str">
        <f>IFERROR(__xludf.DUMMYFUNCTION("""COMPUTED_VALUE"""),"N/A")</f>
        <v>N/A</v>
      </c>
      <c r="O139" s="517"/>
      <c r="P139" s="517" t="str">
        <f>IFERROR(__xludf.DUMMYFUNCTION("""COMPUTED_VALUE"""),"Cancel")</f>
        <v>Cancel</v>
      </c>
      <c r="Q139" s="517" t="str">
        <f>IFERROR(__xludf.DUMMYFUNCTION("""COMPUTED_VALUE"""),"Cancel")</f>
        <v>Cancel</v>
      </c>
      <c r="R139" s="517" t="str">
        <f>IFERROR(__xludf.DUMMYFUNCTION("""COMPUTED_VALUE"""),"Cancel")</f>
        <v>Cancel</v>
      </c>
      <c r="S139" s="517" t="str">
        <f>IFERROR(__xludf.DUMMYFUNCTION("""COMPUTED_VALUE"""),"Cancel")</f>
        <v>Cancel</v>
      </c>
      <c r="T139" s="517" t="str">
        <f>IFERROR(__xludf.DUMMYFUNCTION("""COMPUTED_VALUE"""),"Cancel")</f>
        <v>Cancel</v>
      </c>
      <c r="U139" s="517" t="str">
        <f>IFERROR(__xludf.DUMMYFUNCTION("""COMPUTED_VALUE"""),"Cancel")</f>
        <v>Cancel</v>
      </c>
      <c r="V139" s="624" t="str">
        <f>IFERROR(__xludf.DUMMYFUNCTION("""COMPUTED_VALUE"""),"#NUM!")</f>
        <v>#NUM!</v>
      </c>
      <c r="W139" s="625">
        <f>IFERROR(__xludf.DUMMYFUNCTION("""COMPUTED_VALUE"""),45815.0)</f>
        <v>45815</v>
      </c>
      <c r="X139" s="626">
        <f>IFERROR(__xludf.DUMMYFUNCTION("""COMPUTED_VALUE"""),45729.0)</f>
        <v>45729</v>
      </c>
      <c r="Y139" s="517" t="b">
        <f>IFERROR(__xludf.DUMMYFUNCTION("""COMPUTED_VALUE"""),FALSE)</f>
        <v>0</v>
      </c>
      <c r="Z139" s="626">
        <f>IFERROR(__xludf.DUMMYFUNCTION("""COMPUTED_VALUE"""),45730.0)</f>
        <v>45730</v>
      </c>
      <c r="AA139" s="517" t="b">
        <f>IFERROR(__xludf.DUMMYFUNCTION("""COMPUTED_VALUE"""),FALSE)</f>
        <v>0</v>
      </c>
      <c r="AB139" s="626">
        <f>IFERROR(__xludf.DUMMYFUNCTION("""COMPUTED_VALUE"""),45736.0)</f>
        <v>45736</v>
      </c>
      <c r="AC139" s="626">
        <f>IFERROR(__xludf.DUMMYFUNCTION("""COMPUTED_VALUE"""),45736.0)</f>
        <v>45736</v>
      </c>
      <c r="AD139" s="626">
        <f>IFERROR(__xludf.DUMMYFUNCTION("""COMPUTED_VALUE"""),45742.0)</f>
        <v>45742</v>
      </c>
      <c r="AE139" s="517"/>
      <c r="AF139" s="517"/>
      <c r="AG139" s="517"/>
      <c r="AH139" s="517"/>
      <c r="AI139" s="626">
        <f>IFERROR(__xludf.DUMMYFUNCTION("""COMPUTED_VALUE"""),45764.0)</f>
        <v>45764</v>
      </c>
      <c r="AJ139" s="517" t="b">
        <f>IFERROR(__xludf.DUMMYFUNCTION("""COMPUTED_VALUE"""),FALSE)</f>
        <v>0</v>
      </c>
      <c r="AK139" s="517" t="b">
        <f>IFERROR(__xludf.DUMMYFUNCTION("""COMPUTED_VALUE"""),FALSE)</f>
        <v>0</v>
      </c>
      <c r="AL139" s="626">
        <f>IFERROR(__xludf.DUMMYFUNCTION("""COMPUTED_VALUE"""),45764.0)</f>
        <v>45764</v>
      </c>
      <c r="AM139" s="517"/>
      <c r="AN139" s="517"/>
      <c r="AO139" s="517"/>
      <c r="AP139" s="626">
        <f>IFERROR(__xludf.DUMMYFUNCTION("""COMPUTED_VALUE"""),45764.0)</f>
        <v>45764</v>
      </c>
      <c r="AQ139" s="517"/>
      <c r="AR139" s="517"/>
      <c r="AS139" s="517"/>
      <c r="AT139" s="626">
        <f>IFERROR(__xludf.DUMMYFUNCTION("""COMPUTED_VALUE"""),45764.0)</f>
        <v>45764</v>
      </c>
      <c r="AU139" s="517"/>
      <c r="AV139" s="517"/>
      <c r="AW139" s="626">
        <f>IFERROR(__xludf.DUMMYFUNCTION("""COMPUTED_VALUE"""),45811.0)</f>
        <v>45811</v>
      </c>
      <c r="AX139" s="626">
        <f>IFERROR(__xludf.DUMMYFUNCTION("""COMPUTED_VALUE"""),45811.0)</f>
        <v>45811</v>
      </c>
      <c r="AY139" s="517" t="b">
        <f>IFERROR(__xludf.DUMMYFUNCTION("""COMPUTED_VALUE"""),FALSE)</f>
        <v>0</v>
      </c>
    </row>
    <row r="140">
      <c r="B140" s="517" t="str">
        <f>IFERROR(__xludf.DUMMYFUNCTION("""COMPUTED_VALUE"""),"VZW")</f>
        <v>VZW</v>
      </c>
      <c r="C140" s="517" t="str">
        <f>IFERROR(__xludf.DUMMYFUNCTION("""COMPUTED_VALUE"""),"Cancel")</f>
        <v>Cancel</v>
      </c>
      <c r="D140" s="517" t="str">
        <f>IFERROR(__xludf.DUMMYFUNCTION("""COMPUTED_VALUE"""),"CLNR/FRU")</f>
        <v>CLNR/FRU</v>
      </c>
      <c r="E140" s="517" t="str">
        <f>IFERROR(__xludf.DUMMYFUNCTION("""COMPUTED_VALUE"""),"CLNRGOGA10242")</f>
        <v>CLNRGOGA10242</v>
      </c>
      <c r="F140" s="517" t="str">
        <f>IFERROR(__xludf.DUMMYFUNCTION("""COMPUTED_VALUE"""),"Cancel")</f>
        <v>Cancel</v>
      </c>
      <c r="G140" s="517" t="str">
        <f>IFERROR(__xludf.DUMMYFUNCTION("""COMPUTED_VALUE"""),"Cancel")</f>
        <v>Cancel</v>
      </c>
      <c r="H140" s="517" t="str">
        <f>IFERROR(__xludf.DUMMYFUNCTION("""COMPUTED_VALUE"""),"Cancel")</f>
        <v>Cancel</v>
      </c>
      <c r="I140" s="517" t="str">
        <f>IFERROR(__xludf.DUMMYFUNCTION("""COMPUTED_VALUE"""),"Cancel")</f>
        <v>Cancel</v>
      </c>
      <c r="J140" s="517" t="str">
        <f>IFERROR(__xludf.DUMMYFUNCTION("""COMPUTED_VALUE"""),"Cancel")</f>
        <v>Cancel</v>
      </c>
      <c r="K140" s="517" t="str">
        <f>IFERROR(__xludf.DUMMYFUNCTION("""COMPUTED_VALUE"""),"Cancel")</f>
        <v>Cancel</v>
      </c>
      <c r="M140" s="517" t="str">
        <f>IFERROR(__xludf.DUMMYFUNCTION("""COMPUTED_VALUE"""),"N/A")</f>
        <v>N/A</v>
      </c>
      <c r="N140" s="517" t="str">
        <f>IFERROR(__xludf.DUMMYFUNCTION("""COMPUTED_VALUE"""),"N/A")</f>
        <v>N/A</v>
      </c>
      <c r="O140" s="517"/>
      <c r="P140" s="517" t="str">
        <f>IFERROR(__xludf.DUMMYFUNCTION("""COMPUTED_VALUE"""),"Cancel")</f>
        <v>Cancel</v>
      </c>
      <c r="Q140" s="517" t="str">
        <f>IFERROR(__xludf.DUMMYFUNCTION("""COMPUTED_VALUE"""),"Cancel")</f>
        <v>Cancel</v>
      </c>
      <c r="R140" s="517" t="str">
        <f>IFERROR(__xludf.DUMMYFUNCTION("""COMPUTED_VALUE"""),"Cancel")</f>
        <v>Cancel</v>
      </c>
      <c r="S140" s="517" t="str">
        <f>IFERROR(__xludf.DUMMYFUNCTION("""COMPUTED_VALUE"""),"Cancel")</f>
        <v>Cancel</v>
      </c>
      <c r="T140" s="517" t="str">
        <f>IFERROR(__xludf.DUMMYFUNCTION("""COMPUTED_VALUE"""),"Cancel")</f>
        <v>Cancel</v>
      </c>
      <c r="U140" s="517" t="str">
        <f>IFERROR(__xludf.DUMMYFUNCTION("""COMPUTED_VALUE"""),"Cancel")</f>
        <v>Cancel</v>
      </c>
      <c r="V140" s="624" t="str">
        <f>IFERROR(__xludf.DUMMYFUNCTION("""COMPUTED_VALUE"""),"#NUM!")</f>
        <v>#NUM!</v>
      </c>
      <c r="W140" s="625">
        <f>IFERROR(__xludf.DUMMYFUNCTION("""COMPUTED_VALUE"""),45815.0)</f>
        <v>45815</v>
      </c>
      <c r="X140" s="626">
        <f>IFERROR(__xludf.DUMMYFUNCTION("""COMPUTED_VALUE"""),45729.0)</f>
        <v>45729</v>
      </c>
      <c r="Y140" s="517" t="b">
        <f>IFERROR(__xludf.DUMMYFUNCTION("""COMPUTED_VALUE"""),FALSE)</f>
        <v>0</v>
      </c>
      <c r="Z140" s="626">
        <f>IFERROR(__xludf.DUMMYFUNCTION("""COMPUTED_VALUE"""),45730.0)</f>
        <v>45730</v>
      </c>
      <c r="AA140" s="517" t="b">
        <f>IFERROR(__xludf.DUMMYFUNCTION("""COMPUTED_VALUE"""),FALSE)</f>
        <v>0</v>
      </c>
      <c r="AB140" s="626">
        <f>IFERROR(__xludf.DUMMYFUNCTION("""COMPUTED_VALUE"""),45736.0)</f>
        <v>45736</v>
      </c>
      <c r="AC140" s="626">
        <f>IFERROR(__xludf.DUMMYFUNCTION("""COMPUTED_VALUE"""),45736.0)</f>
        <v>45736</v>
      </c>
      <c r="AD140" s="626">
        <f>IFERROR(__xludf.DUMMYFUNCTION("""COMPUTED_VALUE"""),45742.0)</f>
        <v>45742</v>
      </c>
      <c r="AE140" s="517"/>
      <c r="AF140" s="517"/>
      <c r="AG140" s="517"/>
      <c r="AH140" s="517"/>
      <c r="AI140" s="626">
        <f>IFERROR(__xludf.DUMMYFUNCTION("""COMPUTED_VALUE"""),45764.0)</f>
        <v>45764</v>
      </c>
      <c r="AJ140" s="517" t="b">
        <f>IFERROR(__xludf.DUMMYFUNCTION("""COMPUTED_VALUE"""),FALSE)</f>
        <v>0</v>
      </c>
      <c r="AK140" s="517" t="b">
        <f>IFERROR(__xludf.DUMMYFUNCTION("""COMPUTED_VALUE"""),FALSE)</f>
        <v>0</v>
      </c>
      <c r="AL140" s="626">
        <f>IFERROR(__xludf.DUMMYFUNCTION("""COMPUTED_VALUE"""),45764.0)</f>
        <v>45764</v>
      </c>
      <c r="AM140" s="517"/>
      <c r="AN140" s="517"/>
      <c r="AO140" s="517"/>
      <c r="AP140" s="626">
        <f>IFERROR(__xludf.DUMMYFUNCTION("""COMPUTED_VALUE"""),45764.0)</f>
        <v>45764</v>
      </c>
      <c r="AQ140" s="517"/>
      <c r="AR140" s="517"/>
      <c r="AS140" s="517"/>
      <c r="AT140" s="626">
        <f>IFERROR(__xludf.DUMMYFUNCTION("""COMPUTED_VALUE"""),45764.0)</f>
        <v>45764</v>
      </c>
      <c r="AU140" s="517"/>
      <c r="AV140" s="517"/>
      <c r="AW140" s="626">
        <f>IFERROR(__xludf.DUMMYFUNCTION("""COMPUTED_VALUE"""),45811.0)</f>
        <v>45811</v>
      </c>
      <c r="AX140" s="626">
        <f>IFERROR(__xludf.DUMMYFUNCTION("""COMPUTED_VALUE"""),45811.0)</f>
        <v>45811</v>
      </c>
      <c r="AY140" s="517" t="b">
        <f>IFERROR(__xludf.DUMMYFUNCTION("""COMPUTED_VALUE"""),FALSE)</f>
        <v>0</v>
      </c>
    </row>
    <row r="141">
      <c r="B141" s="517" t="str">
        <f>IFERROR(__xludf.DUMMYFUNCTION("""COMPUTED_VALUE"""),"VZW")</f>
        <v>VZW</v>
      </c>
      <c r="C141" s="518" t="str">
        <f>IFERROR(__xludf.DUMMYFUNCTION("""COMPUTED_VALUE"""),"0840353939691")</f>
        <v>0840353939691</v>
      </c>
      <c r="D141" s="517" t="str">
        <f>IFERROR(__xludf.DUMMYFUNCTION("""COMPUTED_VALUE"""),"CLNR/FRU")</f>
        <v>CLNR/FRU</v>
      </c>
      <c r="E141" s="517" t="str">
        <f>IFERROR(__xludf.DUMMYFUNCTION("""COMPUTED_VALUE"""),"CLNRGOGA10243")</f>
        <v>CLNRGOGA10243</v>
      </c>
      <c r="F141" s="517" t="str">
        <f>IFERROR(__xludf.DUMMYFUNCTION("""COMPUTED_VALUE"""),"GLBW0")</f>
        <v>GLBW0</v>
      </c>
      <c r="G141" s="517"/>
      <c r="H141" s="518" t="str">
        <f>IFERROR(__xludf.DUMMYFUNCTION("""COMPUTED_VALUE"""),"840353939691")</f>
        <v>840353939691</v>
      </c>
      <c r="I141" s="517"/>
      <c r="J141" s="517" t="str">
        <f>IFERROR(__xludf.DUMMYFUNCTION("""COMPUTED_VALUE"""),"Bulk_30ct")</f>
        <v>Bulk_30ct</v>
      </c>
      <c r="K141" s="517" t="str">
        <f>IFERROR(__xludf.DUMMYFUNCTION("""COMPUTED_VALUE"""),"VZN Master Carton Label")</f>
        <v>VZN Master Carton Label</v>
      </c>
      <c r="M141" s="517" t="str">
        <f>IFERROR(__xludf.DUMMYFUNCTION("""COMPUTED_VALUE"""),"N/A")</f>
        <v>N/A</v>
      </c>
      <c r="N141" s="517" t="str">
        <f>IFERROR(__xludf.DUMMYFUNCTION("""COMPUTED_VALUE"""),"N/A")</f>
        <v>N/A</v>
      </c>
      <c r="O141" s="517"/>
      <c r="P141" s="517" t="str">
        <f>IFERROR(__xludf.DUMMYFUNCTION("""COMPUTED_VALUE"""),"N/A")</f>
        <v>N/A</v>
      </c>
      <c r="Q141" s="517" t="str">
        <f>IFERROR(__xludf.DUMMYFUNCTION("""COMPUTED_VALUE"""),"Indigo")</f>
        <v>Indigo</v>
      </c>
      <c r="R141" s="517" t="str">
        <f>IFERROR(__xludf.DUMMYFUNCTION("""COMPUTED_VALUE"""),"BUE")</f>
        <v>BUE</v>
      </c>
      <c r="S141" s="517" t="str">
        <f>IFERROR(__xludf.DUMMYFUNCTION("""COMPUTED_VALUE"""),"VZW, US")</f>
        <v>VZW, US</v>
      </c>
      <c r="T141" s="517" t="str">
        <f>IFERROR(__xludf.DUMMYFUNCTION("""COMPUTED_VALUE"""),"SKU, CLR4, BETTER, MMWAVE, VZW, FL5, FRU")</f>
        <v>SKU, CLR4, BETTER, MMWAVE, VZW, FL5, FRU</v>
      </c>
      <c r="U141" s="517" t="str">
        <f>IFERROR(__xludf.DUMMYFUNCTION("""COMPUTED_VALUE"""),"Pixel 10, Indigo, 256GB, VZW, US, FRU")</f>
        <v>Pixel 10, Indigo, 256GB, VZW, US, FRU</v>
      </c>
      <c r="V141" s="624" t="str">
        <f>IFERROR(__xludf.DUMMYFUNCTION("""COMPUTED_VALUE"""),"#NUM!")</f>
        <v>#NUM!</v>
      </c>
      <c r="W141" s="625">
        <f>IFERROR(__xludf.DUMMYFUNCTION("""COMPUTED_VALUE"""),45815.0)</f>
        <v>45815</v>
      </c>
      <c r="X141" s="626">
        <f>IFERROR(__xludf.DUMMYFUNCTION("""COMPUTED_VALUE"""),45729.0)</f>
        <v>45729</v>
      </c>
      <c r="Y141" s="517" t="str">
        <f>IFERROR(__xludf.DUMMYFUNCTION("""COMPUTED_VALUE"""),"N/A")</f>
        <v>N/A</v>
      </c>
      <c r="Z141" s="626">
        <f>IFERROR(__xludf.DUMMYFUNCTION("""COMPUTED_VALUE"""),45730.0)</f>
        <v>45730</v>
      </c>
      <c r="AA141" s="517" t="b">
        <f>IFERROR(__xludf.DUMMYFUNCTION("""COMPUTED_VALUE"""),FALSE)</f>
        <v>0</v>
      </c>
      <c r="AB141" s="626">
        <f>IFERROR(__xludf.DUMMYFUNCTION("""COMPUTED_VALUE"""),45736.0)</f>
        <v>45736</v>
      </c>
      <c r="AC141" s="626">
        <f>IFERROR(__xludf.DUMMYFUNCTION("""COMPUTED_VALUE"""),45736.0)</f>
        <v>45736</v>
      </c>
      <c r="AD141" s="626">
        <f>IFERROR(__xludf.DUMMYFUNCTION("""COMPUTED_VALUE"""),45742.0)</f>
        <v>45742</v>
      </c>
      <c r="AE141" s="519" t="str">
        <f>IFERROR(__xludf.DUMMYFUNCTION("""COMPUTED_VALUE"""),"CLNRGOGA10243")</f>
        <v>CLNRGOGA10243</v>
      </c>
      <c r="AF141" s="519" t="str">
        <f>IFERROR(__xludf.DUMMYFUNCTION("""COMPUTED_VALUE"""),"CLNRGOGA10243")</f>
        <v>CLNRGOGA10243</v>
      </c>
      <c r="AG141" s="517" t="str">
        <f>IFERROR(__xludf.DUMMYFUNCTION("""COMPUTED_VALUE"""),"N/A")</f>
        <v>N/A</v>
      </c>
      <c r="AH141" s="519" t="str">
        <f>IFERROR(__xludf.DUMMYFUNCTION("""COMPUTED_VALUE"""),"CLNRGOGA10243")</f>
        <v>CLNRGOGA10243</v>
      </c>
      <c r="AI141" s="626">
        <f>IFERROR(__xludf.DUMMYFUNCTION("""COMPUTED_VALUE"""),45764.0)</f>
        <v>45764</v>
      </c>
      <c r="AJ141" s="517" t="str">
        <f>IFERROR(__xludf.DUMMYFUNCTION("""COMPUTED_VALUE"""),"n/a")</f>
        <v>n/a</v>
      </c>
      <c r="AK141" s="517" t="str">
        <f>IFERROR(__xludf.DUMMYFUNCTION("""COMPUTED_VALUE"""),"n/a")</f>
        <v>n/a</v>
      </c>
      <c r="AL141" s="626">
        <f>IFERROR(__xludf.DUMMYFUNCTION("""COMPUTED_VALUE"""),45764.0)</f>
        <v>45764</v>
      </c>
      <c r="AM141" s="517" t="b">
        <f>IFERROR(__xludf.DUMMYFUNCTION("""COMPUTED_VALUE"""),TRUE)</f>
        <v>1</v>
      </c>
      <c r="AN141" s="517" t="str">
        <f>IFERROR(__xludf.DUMMYFUNCTION("""COMPUTED_VALUE"""),"N")</f>
        <v>N</v>
      </c>
      <c r="AO141" s="517"/>
      <c r="AP141" s="626">
        <f>IFERROR(__xludf.DUMMYFUNCTION("""COMPUTED_VALUE"""),45764.0)</f>
        <v>45764</v>
      </c>
      <c r="AQ141" s="517" t="b">
        <f>IFERROR(__xludf.DUMMYFUNCTION("""COMPUTED_VALUE"""),FALSE)</f>
        <v>0</v>
      </c>
      <c r="AR141" s="517" t="str">
        <f>IFERROR(__xludf.DUMMYFUNCTION("""COMPUTED_VALUE"""),"N")</f>
        <v>N</v>
      </c>
      <c r="AS141" s="517"/>
      <c r="AT141" s="626">
        <f>IFERROR(__xludf.DUMMYFUNCTION("""COMPUTED_VALUE"""),45764.0)</f>
        <v>45764</v>
      </c>
      <c r="AU141" s="517"/>
      <c r="AV141" s="517"/>
      <c r="AW141" s="626">
        <f>IFERROR(__xludf.DUMMYFUNCTION("""COMPUTED_VALUE"""),45811.0)</f>
        <v>45811</v>
      </c>
      <c r="AX141" s="626">
        <f>IFERROR(__xludf.DUMMYFUNCTION("""COMPUTED_VALUE"""),45811.0)</f>
        <v>45811</v>
      </c>
      <c r="AY141" s="517" t="b">
        <f>IFERROR(__xludf.DUMMYFUNCTION("""COMPUTED_VALUE"""),FALSE)</f>
        <v>0</v>
      </c>
    </row>
    <row r="142">
      <c r="B142" s="517" t="str">
        <f>IFERROR(__xludf.DUMMYFUNCTION("""COMPUTED_VALUE"""),"TMO")</f>
        <v>TMO</v>
      </c>
      <c r="C142" s="518" t="str">
        <f>IFERROR(__xludf.DUMMYFUNCTION("""COMPUTED_VALUE"""),"0840353939318")</f>
        <v>0840353939318</v>
      </c>
      <c r="D142" s="517" t="str">
        <f>IFERROR(__xludf.DUMMYFUNCTION("""COMPUTED_VALUE"""),"CLNR/FRU")</f>
        <v>CLNR/FRU</v>
      </c>
      <c r="E142" s="517" t="str">
        <f>IFERROR(__xludf.DUMMYFUNCTION("""COMPUTED_VALUE"""),"CLNRGA09862")</f>
        <v>CLNRGA09862</v>
      </c>
      <c r="F142" s="517" t="str">
        <f>IFERROR(__xludf.DUMMYFUNCTION("""COMPUTED_VALUE"""),"GLBW0")</f>
        <v>GLBW0</v>
      </c>
      <c r="G142" s="518" t="str">
        <f>IFERROR(__xludf.DUMMYFUNCTION("""COMPUTED_VALUE"""),"840353939318")</f>
        <v>840353939318</v>
      </c>
      <c r="H142" s="518" t="str">
        <f>IFERROR(__xludf.DUMMYFUNCTION("""COMPUTED_VALUE"""),"840353939318")</f>
        <v>840353939318</v>
      </c>
      <c r="I142" s="518" t="str">
        <f>IFERROR(__xludf.DUMMYFUNCTION("""COMPUTED_VALUE"""),"No")</f>
        <v>No</v>
      </c>
      <c r="J142" s="517" t="str">
        <f>IFERROR(__xludf.DUMMYFUNCTION("""COMPUTED_VALUE"""),"Bulk_30ct")</f>
        <v>Bulk_30ct</v>
      </c>
      <c r="K142" s="517" t="str">
        <f>IFERROR(__xludf.DUMMYFUNCTION("""COMPUTED_VALUE"""),"TMO Master Carton Label")</f>
        <v>TMO Master Carton Label</v>
      </c>
      <c r="M142" s="517" t="str">
        <f>IFERROR(__xludf.DUMMYFUNCTION("""COMPUTED_VALUE"""),"N/A")</f>
        <v>N/A</v>
      </c>
      <c r="N142" s="517" t="str">
        <f>IFERROR(__xludf.DUMMYFUNCTION("""COMPUTED_VALUE"""),"N/A")</f>
        <v>N/A</v>
      </c>
      <c r="O142" s="517"/>
      <c r="P142" s="517" t="str">
        <f>IFERROR(__xludf.DUMMYFUNCTION("""COMPUTED_VALUE"""),"N/A")</f>
        <v>N/A</v>
      </c>
      <c r="Q142" s="517" t="str">
        <f>IFERROR(__xludf.DUMMYFUNCTION("""COMPUTED_VALUE"""),"Obsidian")</f>
        <v>Obsidian</v>
      </c>
      <c r="R142" s="517" t="str">
        <f>IFERROR(__xludf.DUMMYFUNCTION("""COMPUTED_VALUE"""),"BLK")</f>
        <v>BLK</v>
      </c>
      <c r="S142" s="517" t="str">
        <f>IFERROR(__xludf.DUMMYFUNCTION("""COMPUTED_VALUE"""),"TMO, US")</f>
        <v>TMO, US</v>
      </c>
      <c r="T142" s="517" t="str">
        <f>IFERROR(__xludf.DUMMYFUNCTION("""COMPUTED_VALUE"""),"SKU, CLR1, GOOD, MMWAVE, TMO, FL5, FRU")</f>
        <v>SKU, CLR1, GOOD, MMWAVE, TMO, FL5, FRU</v>
      </c>
      <c r="U142" s="517" t="str">
        <f>IFERROR(__xludf.DUMMYFUNCTION("""COMPUTED_VALUE"""),"SKU, CLR1, GOOD, MMWAVE, TMO, FL5, FRU")</f>
        <v>SKU, CLR1, GOOD, MMWAVE, TMO, FL5, FRU</v>
      </c>
      <c r="V142" s="624" t="str">
        <f>IFERROR(__xludf.DUMMYFUNCTION("""COMPUTED_VALUE"""),"#NUM!")</f>
        <v>#NUM!</v>
      </c>
      <c r="W142" s="625">
        <f>IFERROR(__xludf.DUMMYFUNCTION("""COMPUTED_VALUE"""),45815.0)</f>
        <v>45815</v>
      </c>
      <c r="X142" s="626">
        <f>IFERROR(__xludf.DUMMYFUNCTION("""COMPUTED_VALUE"""),45729.0)</f>
        <v>45729</v>
      </c>
      <c r="Y142" s="517" t="str">
        <f>IFERROR(__xludf.DUMMYFUNCTION("""COMPUTED_VALUE"""),"N/A")</f>
        <v>N/A</v>
      </c>
      <c r="Z142" s="626">
        <f>IFERROR(__xludf.DUMMYFUNCTION("""COMPUTED_VALUE"""),45730.0)</f>
        <v>45730</v>
      </c>
      <c r="AA142" s="517" t="b">
        <f>IFERROR(__xludf.DUMMYFUNCTION("""COMPUTED_VALUE"""),FALSE)</f>
        <v>0</v>
      </c>
      <c r="AB142" s="626">
        <f>IFERROR(__xludf.DUMMYFUNCTION("""COMPUTED_VALUE"""),45736.0)</f>
        <v>45736</v>
      </c>
      <c r="AC142" s="626">
        <f>IFERROR(__xludf.DUMMYFUNCTION("""COMPUTED_VALUE"""),45736.0)</f>
        <v>45736</v>
      </c>
      <c r="AD142" s="626">
        <f>IFERROR(__xludf.DUMMYFUNCTION("""COMPUTED_VALUE"""),45742.0)</f>
        <v>45742</v>
      </c>
      <c r="AE142" s="519" t="str">
        <f>IFERROR(__xludf.DUMMYFUNCTION("""COMPUTED_VALUE"""),"CLNRGA09862")</f>
        <v>CLNRGA09862</v>
      </c>
      <c r="AF142" s="519" t="str">
        <f>IFERROR(__xludf.DUMMYFUNCTION("""COMPUTED_VALUE"""),"CLNRGA09862")</f>
        <v>CLNRGA09862</v>
      </c>
      <c r="AG142" s="517" t="str">
        <f>IFERROR(__xludf.DUMMYFUNCTION("""COMPUTED_VALUE"""),"N/A")</f>
        <v>N/A</v>
      </c>
      <c r="AH142" s="519" t="str">
        <f>IFERROR(__xludf.DUMMYFUNCTION("""COMPUTED_VALUE"""),"CLNRGA09862")</f>
        <v>CLNRGA09862</v>
      </c>
      <c r="AI142" s="626">
        <f>IFERROR(__xludf.DUMMYFUNCTION("""COMPUTED_VALUE"""),45764.0)</f>
        <v>45764</v>
      </c>
      <c r="AJ142" s="517" t="str">
        <f>IFERROR(__xludf.DUMMYFUNCTION("""COMPUTED_VALUE"""),"n/a")</f>
        <v>n/a</v>
      </c>
      <c r="AK142" s="517" t="str">
        <f>IFERROR(__xludf.DUMMYFUNCTION("""COMPUTED_VALUE"""),"n/a")</f>
        <v>n/a</v>
      </c>
      <c r="AL142" s="626">
        <f>IFERROR(__xludf.DUMMYFUNCTION("""COMPUTED_VALUE"""),45764.0)</f>
        <v>45764</v>
      </c>
      <c r="AM142" s="517" t="b">
        <f>IFERROR(__xludf.DUMMYFUNCTION("""COMPUTED_VALUE"""),TRUE)</f>
        <v>1</v>
      </c>
      <c r="AN142" s="517" t="str">
        <f>IFERROR(__xludf.DUMMYFUNCTION("""COMPUTED_VALUE"""),"N")</f>
        <v>N</v>
      </c>
      <c r="AO142" s="517"/>
      <c r="AP142" s="626">
        <f>IFERROR(__xludf.DUMMYFUNCTION("""COMPUTED_VALUE"""),45764.0)</f>
        <v>45764</v>
      </c>
      <c r="AQ142" s="517" t="b">
        <f>IFERROR(__xludf.DUMMYFUNCTION("""COMPUTED_VALUE"""),FALSE)</f>
        <v>0</v>
      </c>
      <c r="AR142" s="517" t="str">
        <f>IFERROR(__xludf.DUMMYFUNCTION("""COMPUTED_VALUE"""),"N")</f>
        <v>N</v>
      </c>
      <c r="AS142" s="517"/>
      <c r="AT142" s="626">
        <f>IFERROR(__xludf.DUMMYFUNCTION("""COMPUTED_VALUE"""),45764.0)</f>
        <v>45764</v>
      </c>
      <c r="AU142" s="517"/>
      <c r="AV142" s="517"/>
      <c r="AW142" s="626">
        <f>IFERROR(__xludf.DUMMYFUNCTION("""COMPUTED_VALUE"""),45811.0)</f>
        <v>45811</v>
      </c>
      <c r="AX142" s="626">
        <f>IFERROR(__xludf.DUMMYFUNCTION("""COMPUTED_VALUE"""),45811.0)</f>
        <v>45811</v>
      </c>
      <c r="AY142" s="517" t="b">
        <f>IFERROR(__xludf.DUMMYFUNCTION("""COMPUTED_VALUE"""),FALSE)</f>
        <v>0</v>
      </c>
    </row>
    <row r="143">
      <c r="B143" s="517" t="str">
        <f>IFERROR(__xludf.DUMMYFUNCTION("""COMPUTED_VALUE"""),"TMO")</f>
        <v>TMO</v>
      </c>
      <c r="C143" s="517" t="str">
        <f>IFERROR(__xludf.DUMMYFUNCTION("""COMPUTED_VALUE"""),"Cancel")</f>
        <v>Cancel</v>
      </c>
      <c r="D143" s="517" t="str">
        <f>IFERROR(__xludf.DUMMYFUNCTION("""COMPUTED_VALUE"""),"CLNR/FRU")</f>
        <v>CLNR/FRU</v>
      </c>
      <c r="E143" s="517" t="str">
        <f>IFERROR(__xludf.DUMMYFUNCTION("""COMPUTED_VALUE"""),"CLNRGA10250")</f>
        <v>CLNRGA10250</v>
      </c>
      <c r="F143" s="517" t="str">
        <f>IFERROR(__xludf.DUMMYFUNCTION("""COMPUTED_VALUE"""),"Cancel")</f>
        <v>Cancel</v>
      </c>
      <c r="G143" s="517" t="str">
        <f>IFERROR(__xludf.DUMMYFUNCTION("""COMPUTED_VALUE"""),"Cancel")</f>
        <v>Cancel</v>
      </c>
      <c r="H143" s="517" t="str">
        <f>IFERROR(__xludf.DUMMYFUNCTION("""COMPUTED_VALUE"""),"Cancel")</f>
        <v>Cancel</v>
      </c>
      <c r="I143" s="517" t="str">
        <f>IFERROR(__xludf.DUMMYFUNCTION("""COMPUTED_VALUE"""),"Cancel")</f>
        <v>Cancel</v>
      </c>
      <c r="J143" s="517" t="str">
        <f>IFERROR(__xludf.DUMMYFUNCTION("""COMPUTED_VALUE"""),"Cancel")</f>
        <v>Cancel</v>
      </c>
      <c r="K143" s="517" t="str">
        <f>IFERROR(__xludf.DUMMYFUNCTION("""COMPUTED_VALUE"""),"Cancel")</f>
        <v>Cancel</v>
      </c>
      <c r="M143" s="517" t="str">
        <f>IFERROR(__xludf.DUMMYFUNCTION("""COMPUTED_VALUE"""),"N/A")</f>
        <v>N/A</v>
      </c>
      <c r="N143" s="517" t="str">
        <f>IFERROR(__xludf.DUMMYFUNCTION("""COMPUTED_VALUE"""),"N/A")</f>
        <v>N/A</v>
      </c>
      <c r="O143" s="517"/>
      <c r="P143" s="517" t="str">
        <f>IFERROR(__xludf.DUMMYFUNCTION("""COMPUTED_VALUE"""),"Cancel")</f>
        <v>Cancel</v>
      </c>
      <c r="Q143" s="517" t="str">
        <f>IFERROR(__xludf.DUMMYFUNCTION("""COMPUTED_VALUE"""),"Cancel")</f>
        <v>Cancel</v>
      </c>
      <c r="R143" s="517" t="str">
        <f>IFERROR(__xludf.DUMMYFUNCTION("""COMPUTED_VALUE"""),"Cancel")</f>
        <v>Cancel</v>
      </c>
      <c r="S143" s="517" t="str">
        <f>IFERROR(__xludf.DUMMYFUNCTION("""COMPUTED_VALUE"""),"Cancel")</f>
        <v>Cancel</v>
      </c>
      <c r="T143" s="517" t="str">
        <f>IFERROR(__xludf.DUMMYFUNCTION("""COMPUTED_VALUE"""),"Cancel")</f>
        <v>Cancel</v>
      </c>
      <c r="U143" s="517" t="str">
        <f>IFERROR(__xludf.DUMMYFUNCTION("""COMPUTED_VALUE"""),"Cancel")</f>
        <v>Cancel</v>
      </c>
      <c r="V143" s="624" t="str">
        <f>IFERROR(__xludf.DUMMYFUNCTION("""COMPUTED_VALUE"""),"#NUM!")</f>
        <v>#NUM!</v>
      </c>
      <c r="W143" s="625">
        <f>IFERROR(__xludf.DUMMYFUNCTION("""COMPUTED_VALUE"""),45815.0)</f>
        <v>45815</v>
      </c>
      <c r="X143" s="626">
        <f>IFERROR(__xludf.DUMMYFUNCTION("""COMPUTED_VALUE"""),45729.0)</f>
        <v>45729</v>
      </c>
      <c r="Y143" s="517" t="b">
        <f>IFERROR(__xludf.DUMMYFUNCTION("""COMPUTED_VALUE"""),FALSE)</f>
        <v>0</v>
      </c>
      <c r="Z143" s="626">
        <f>IFERROR(__xludf.DUMMYFUNCTION("""COMPUTED_VALUE"""),45730.0)</f>
        <v>45730</v>
      </c>
      <c r="AA143" s="517" t="b">
        <f>IFERROR(__xludf.DUMMYFUNCTION("""COMPUTED_VALUE"""),FALSE)</f>
        <v>0</v>
      </c>
      <c r="AB143" s="626">
        <f>IFERROR(__xludf.DUMMYFUNCTION("""COMPUTED_VALUE"""),45736.0)</f>
        <v>45736</v>
      </c>
      <c r="AC143" s="626">
        <f>IFERROR(__xludf.DUMMYFUNCTION("""COMPUTED_VALUE"""),45736.0)</f>
        <v>45736</v>
      </c>
      <c r="AD143" s="626">
        <f>IFERROR(__xludf.DUMMYFUNCTION("""COMPUTED_VALUE"""),45742.0)</f>
        <v>45742</v>
      </c>
      <c r="AE143" s="517"/>
      <c r="AF143" s="517"/>
      <c r="AG143" s="517"/>
      <c r="AH143" s="517"/>
      <c r="AI143" s="626">
        <f>IFERROR(__xludf.DUMMYFUNCTION("""COMPUTED_VALUE"""),45764.0)</f>
        <v>45764</v>
      </c>
      <c r="AJ143" s="517" t="b">
        <f>IFERROR(__xludf.DUMMYFUNCTION("""COMPUTED_VALUE"""),FALSE)</f>
        <v>0</v>
      </c>
      <c r="AK143" s="517" t="b">
        <f>IFERROR(__xludf.DUMMYFUNCTION("""COMPUTED_VALUE"""),FALSE)</f>
        <v>0</v>
      </c>
      <c r="AL143" s="626">
        <f>IFERROR(__xludf.DUMMYFUNCTION("""COMPUTED_VALUE"""),45764.0)</f>
        <v>45764</v>
      </c>
      <c r="AM143" s="517"/>
      <c r="AN143" s="517"/>
      <c r="AO143" s="517"/>
      <c r="AP143" s="626">
        <f>IFERROR(__xludf.DUMMYFUNCTION("""COMPUTED_VALUE"""),45764.0)</f>
        <v>45764</v>
      </c>
      <c r="AQ143" s="517"/>
      <c r="AR143" s="517"/>
      <c r="AS143" s="517"/>
      <c r="AT143" s="626">
        <f>IFERROR(__xludf.DUMMYFUNCTION("""COMPUTED_VALUE"""),45764.0)</f>
        <v>45764</v>
      </c>
      <c r="AU143" s="517"/>
      <c r="AV143" s="517"/>
      <c r="AW143" s="626">
        <f>IFERROR(__xludf.DUMMYFUNCTION("""COMPUTED_VALUE"""),45811.0)</f>
        <v>45811</v>
      </c>
      <c r="AX143" s="626">
        <f>IFERROR(__xludf.DUMMYFUNCTION("""COMPUTED_VALUE"""),45811.0)</f>
        <v>45811</v>
      </c>
      <c r="AY143" s="517" t="b">
        <f>IFERROR(__xludf.DUMMYFUNCTION("""COMPUTED_VALUE"""),FALSE)</f>
        <v>0</v>
      </c>
    </row>
    <row r="144">
      <c r="B144" s="517" t="str">
        <f>IFERROR(__xludf.DUMMYFUNCTION("""COMPUTED_VALUE"""),"TMO")</f>
        <v>TMO</v>
      </c>
      <c r="C144" s="517" t="str">
        <f>IFERROR(__xludf.DUMMYFUNCTION("""COMPUTED_VALUE"""),"Cancel")</f>
        <v>Cancel</v>
      </c>
      <c r="D144" s="517" t="str">
        <f>IFERROR(__xludf.DUMMYFUNCTION("""COMPUTED_VALUE"""),"CLNR/FRU")</f>
        <v>CLNR/FRU</v>
      </c>
      <c r="E144" s="517" t="str">
        <f>IFERROR(__xludf.DUMMYFUNCTION("""COMPUTED_VALUE"""),"CLNRGA10251")</f>
        <v>CLNRGA10251</v>
      </c>
      <c r="F144" s="517" t="str">
        <f>IFERROR(__xludf.DUMMYFUNCTION("""COMPUTED_VALUE"""),"Cancel")</f>
        <v>Cancel</v>
      </c>
      <c r="G144" s="517" t="str">
        <f>IFERROR(__xludf.DUMMYFUNCTION("""COMPUTED_VALUE"""),"Cancel")</f>
        <v>Cancel</v>
      </c>
      <c r="H144" s="517" t="str">
        <f>IFERROR(__xludf.DUMMYFUNCTION("""COMPUTED_VALUE"""),"Cancel")</f>
        <v>Cancel</v>
      </c>
      <c r="I144" s="517" t="str">
        <f>IFERROR(__xludf.DUMMYFUNCTION("""COMPUTED_VALUE"""),"Cancel")</f>
        <v>Cancel</v>
      </c>
      <c r="J144" s="517" t="str">
        <f>IFERROR(__xludf.DUMMYFUNCTION("""COMPUTED_VALUE"""),"Cancel")</f>
        <v>Cancel</v>
      </c>
      <c r="K144" s="517" t="str">
        <f>IFERROR(__xludf.DUMMYFUNCTION("""COMPUTED_VALUE"""),"Cancel")</f>
        <v>Cancel</v>
      </c>
      <c r="M144" s="517" t="str">
        <f>IFERROR(__xludf.DUMMYFUNCTION("""COMPUTED_VALUE"""),"N/A")</f>
        <v>N/A</v>
      </c>
      <c r="N144" s="517" t="str">
        <f>IFERROR(__xludf.DUMMYFUNCTION("""COMPUTED_VALUE"""),"N/A")</f>
        <v>N/A</v>
      </c>
      <c r="O144" s="517"/>
      <c r="P144" s="517" t="str">
        <f>IFERROR(__xludf.DUMMYFUNCTION("""COMPUTED_VALUE"""),"Cancel")</f>
        <v>Cancel</v>
      </c>
      <c r="Q144" s="517" t="str">
        <f>IFERROR(__xludf.DUMMYFUNCTION("""COMPUTED_VALUE"""),"Cancel")</f>
        <v>Cancel</v>
      </c>
      <c r="R144" s="517" t="str">
        <f>IFERROR(__xludf.DUMMYFUNCTION("""COMPUTED_VALUE"""),"Cancel")</f>
        <v>Cancel</v>
      </c>
      <c r="S144" s="517" t="str">
        <f>IFERROR(__xludf.DUMMYFUNCTION("""COMPUTED_VALUE"""),"Cancel")</f>
        <v>Cancel</v>
      </c>
      <c r="T144" s="517" t="str">
        <f>IFERROR(__xludf.DUMMYFUNCTION("""COMPUTED_VALUE"""),"Cancel")</f>
        <v>Cancel</v>
      </c>
      <c r="U144" s="517" t="str">
        <f>IFERROR(__xludf.DUMMYFUNCTION("""COMPUTED_VALUE"""),"Cancel")</f>
        <v>Cancel</v>
      </c>
      <c r="V144" s="624" t="str">
        <f>IFERROR(__xludf.DUMMYFUNCTION("""COMPUTED_VALUE"""),"#NUM!")</f>
        <v>#NUM!</v>
      </c>
      <c r="W144" s="625">
        <f>IFERROR(__xludf.DUMMYFUNCTION("""COMPUTED_VALUE"""),45815.0)</f>
        <v>45815</v>
      </c>
      <c r="X144" s="626">
        <f>IFERROR(__xludf.DUMMYFUNCTION("""COMPUTED_VALUE"""),45729.0)</f>
        <v>45729</v>
      </c>
      <c r="Y144" s="517" t="b">
        <f>IFERROR(__xludf.DUMMYFUNCTION("""COMPUTED_VALUE"""),FALSE)</f>
        <v>0</v>
      </c>
      <c r="Z144" s="626">
        <f>IFERROR(__xludf.DUMMYFUNCTION("""COMPUTED_VALUE"""),45730.0)</f>
        <v>45730</v>
      </c>
      <c r="AA144" s="517" t="b">
        <f>IFERROR(__xludf.DUMMYFUNCTION("""COMPUTED_VALUE"""),FALSE)</f>
        <v>0</v>
      </c>
      <c r="AB144" s="626">
        <f>IFERROR(__xludf.DUMMYFUNCTION("""COMPUTED_VALUE"""),45736.0)</f>
        <v>45736</v>
      </c>
      <c r="AC144" s="626">
        <f>IFERROR(__xludf.DUMMYFUNCTION("""COMPUTED_VALUE"""),45736.0)</f>
        <v>45736</v>
      </c>
      <c r="AD144" s="626">
        <f>IFERROR(__xludf.DUMMYFUNCTION("""COMPUTED_VALUE"""),45742.0)</f>
        <v>45742</v>
      </c>
      <c r="AE144" s="517"/>
      <c r="AF144" s="517"/>
      <c r="AG144" s="517"/>
      <c r="AH144" s="517"/>
      <c r="AI144" s="626">
        <f>IFERROR(__xludf.DUMMYFUNCTION("""COMPUTED_VALUE"""),45764.0)</f>
        <v>45764</v>
      </c>
      <c r="AJ144" s="517" t="b">
        <f>IFERROR(__xludf.DUMMYFUNCTION("""COMPUTED_VALUE"""),FALSE)</f>
        <v>0</v>
      </c>
      <c r="AK144" s="517" t="b">
        <f>IFERROR(__xludf.DUMMYFUNCTION("""COMPUTED_VALUE"""),FALSE)</f>
        <v>0</v>
      </c>
      <c r="AL144" s="626">
        <f>IFERROR(__xludf.DUMMYFUNCTION("""COMPUTED_VALUE"""),45764.0)</f>
        <v>45764</v>
      </c>
      <c r="AM144" s="517"/>
      <c r="AN144" s="517"/>
      <c r="AO144" s="517"/>
      <c r="AP144" s="626">
        <f>IFERROR(__xludf.DUMMYFUNCTION("""COMPUTED_VALUE"""),45764.0)</f>
        <v>45764</v>
      </c>
      <c r="AQ144" s="517"/>
      <c r="AR144" s="517"/>
      <c r="AS144" s="517"/>
      <c r="AT144" s="626">
        <f>IFERROR(__xludf.DUMMYFUNCTION("""COMPUTED_VALUE"""),45764.0)</f>
        <v>45764</v>
      </c>
      <c r="AU144" s="517"/>
      <c r="AV144" s="517"/>
      <c r="AW144" s="626">
        <f>IFERROR(__xludf.DUMMYFUNCTION("""COMPUTED_VALUE"""),45811.0)</f>
        <v>45811</v>
      </c>
      <c r="AX144" s="626">
        <f>IFERROR(__xludf.DUMMYFUNCTION("""COMPUTED_VALUE"""),45811.0)</f>
        <v>45811</v>
      </c>
      <c r="AY144" s="517" t="b">
        <f>IFERROR(__xludf.DUMMYFUNCTION("""COMPUTED_VALUE"""),FALSE)</f>
        <v>0</v>
      </c>
    </row>
    <row r="145">
      <c r="B145" s="517" t="str">
        <f>IFERROR(__xludf.DUMMYFUNCTION("""COMPUTED_VALUE"""),"TMO")</f>
        <v>TMO</v>
      </c>
      <c r="C145" s="518" t="str">
        <f>IFERROR(__xludf.DUMMYFUNCTION("""COMPUTED_VALUE"""),"0840353939424")</f>
        <v>0840353939424</v>
      </c>
      <c r="D145" s="517" t="str">
        <f>IFERROR(__xludf.DUMMYFUNCTION("""COMPUTED_VALUE"""),"CLNR/FRU")</f>
        <v>CLNR/FRU</v>
      </c>
      <c r="E145" s="517" t="str">
        <f>IFERROR(__xludf.DUMMYFUNCTION("""COMPUTED_VALUE"""),"CLNRGA10252")</f>
        <v>CLNRGA10252</v>
      </c>
      <c r="F145" s="517" t="str">
        <f>IFERROR(__xludf.DUMMYFUNCTION("""COMPUTED_VALUE"""),"GLBW0")</f>
        <v>GLBW0</v>
      </c>
      <c r="G145" s="518" t="str">
        <f>IFERROR(__xludf.DUMMYFUNCTION("""COMPUTED_VALUE"""),"840353939424")</f>
        <v>840353939424</v>
      </c>
      <c r="H145" s="518" t="str">
        <f>IFERROR(__xludf.DUMMYFUNCTION("""COMPUTED_VALUE"""),"840353939424")</f>
        <v>840353939424</v>
      </c>
      <c r="I145" s="518" t="str">
        <f>IFERROR(__xludf.DUMMYFUNCTION("""COMPUTED_VALUE"""),"No")</f>
        <v>No</v>
      </c>
      <c r="J145" s="517" t="str">
        <f>IFERROR(__xludf.DUMMYFUNCTION("""COMPUTED_VALUE"""),"Bulk_30ct")</f>
        <v>Bulk_30ct</v>
      </c>
      <c r="K145" s="517" t="str">
        <f>IFERROR(__xludf.DUMMYFUNCTION("""COMPUTED_VALUE"""),"TMO Master Carton Label")</f>
        <v>TMO Master Carton Label</v>
      </c>
      <c r="M145" s="517" t="str">
        <f>IFERROR(__xludf.DUMMYFUNCTION("""COMPUTED_VALUE"""),"N/A")</f>
        <v>N/A</v>
      </c>
      <c r="N145" s="517" t="str">
        <f>IFERROR(__xludf.DUMMYFUNCTION("""COMPUTED_VALUE"""),"N/A")</f>
        <v>N/A</v>
      </c>
      <c r="O145" s="517"/>
      <c r="P145" s="517" t="str">
        <f>IFERROR(__xludf.DUMMYFUNCTION("""COMPUTED_VALUE"""),"N/A")</f>
        <v>N/A</v>
      </c>
      <c r="Q145" s="517" t="str">
        <f>IFERROR(__xludf.DUMMYFUNCTION("""COMPUTED_VALUE"""),"Indigo")</f>
        <v>Indigo</v>
      </c>
      <c r="R145" s="517" t="str">
        <f>IFERROR(__xludf.DUMMYFUNCTION("""COMPUTED_VALUE"""),"BUE")</f>
        <v>BUE</v>
      </c>
      <c r="S145" s="517" t="str">
        <f>IFERROR(__xludf.DUMMYFUNCTION("""COMPUTED_VALUE"""),"TMO, US")</f>
        <v>TMO, US</v>
      </c>
      <c r="T145" s="517" t="str">
        <f>IFERROR(__xludf.DUMMYFUNCTION("""COMPUTED_VALUE"""),"SKU, CLR4, GOOD, MMWAVE, TMO, FL5, FRU")</f>
        <v>SKU, CLR4, GOOD, MMWAVE, TMO, FL5, FRU</v>
      </c>
      <c r="U145" s="517" t="str">
        <f>IFERROR(__xludf.DUMMYFUNCTION("""COMPUTED_VALUE"""),"Pixel 10, Indigo, 128GB, TMO, US, FRU")</f>
        <v>Pixel 10, Indigo, 128GB, TMO, US, FRU</v>
      </c>
      <c r="V145" s="624" t="str">
        <f>IFERROR(__xludf.DUMMYFUNCTION("""COMPUTED_VALUE"""),"#NUM!")</f>
        <v>#NUM!</v>
      </c>
      <c r="W145" s="625">
        <f>IFERROR(__xludf.DUMMYFUNCTION("""COMPUTED_VALUE"""),45815.0)</f>
        <v>45815</v>
      </c>
      <c r="X145" s="626">
        <f>IFERROR(__xludf.DUMMYFUNCTION("""COMPUTED_VALUE"""),45729.0)</f>
        <v>45729</v>
      </c>
      <c r="Y145" s="517" t="str">
        <f>IFERROR(__xludf.DUMMYFUNCTION("""COMPUTED_VALUE"""),"N/A")</f>
        <v>N/A</v>
      </c>
      <c r="Z145" s="626">
        <f>IFERROR(__xludf.DUMMYFUNCTION("""COMPUTED_VALUE"""),45730.0)</f>
        <v>45730</v>
      </c>
      <c r="AA145" s="517" t="b">
        <f>IFERROR(__xludf.DUMMYFUNCTION("""COMPUTED_VALUE"""),FALSE)</f>
        <v>0</v>
      </c>
      <c r="AB145" s="626">
        <f>IFERROR(__xludf.DUMMYFUNCTION("""COMPUTED_VALUE"""),45736.0)</f>
        <v>45736</v>
      </c>
      <c r="AC145" s="626">
        <f>IFERROR(__xludf.DUMMYFUNCTION("""COMPUTED_VALUE"""),45736.0)</f>
        <v>45736</v>
      </c>
      <c r="AD145" s="626">
        <f>IFERROR(__xludf.DUMMYFUNCTION("""COMPUTED_VALUE"""),45742.0)</f>
        <v>45742</v>
      </c>
      <c r="AE145" s="519" t="str">
        <f>IFERROR(__xludf.DUMMYFUNCTION("""COMPUTED_VALUE"""),"CLNRGA10252")</f>
        <v>CLNRGA10252</v>
      </c>
      <c r="AF145" s="519" t="str">
        <f>IFERROR(__xludf.DUMMYFUNCTION("""COMPUTED_VALUE"""),"CLNRGA10252")</f>
        <v>CLNRGA10252</v>
      </c>
      <c r="AG145" s="517" t="str">
        <f>IFERROR(__xludf.DUMMYFUNCTION("""COMPUTED_VALUE"""),"N/A")</f>
        <v>N/A</v>
      </c>
      <c r="AH145" s="519" t="str">
        <f>IFERROR(__xludf.DUMMYFUNCTION("""COMPUTED_VALUE"""),"CLNRGA10252")</f>
        <v>CLNRGA10252</v>
      </c>
      <c r="AI145" s="626">
        <f>IFERROR(__xludf.DUMMYFUNCTION("""COMPUTED_VALUE"""),45764.0)</f>
        <v>45764</v>
      </c>
      <c r="AJ145" s="517" t="str">
        <f>IFERROR(__xludf.DUMMYFUNCTION("""COMPUTED_VALUE"""),"n/a")</f>
        <v>n/a</v>
      </c>
      <c r="AK145" s="517" t="str">
        <f>IFERROR(__xludf.DUMMYFUNCTION("""COMPUTED_VALUE"""),"n/a")</f>
        <v>n/a</v>
      </c>
      <c r="AL145" s="626">
        <f>IFERROR(__xludf.DUMMYFUNCTION("""COMPUTED_VALUE"""),45764.0)</f>
        <v>45764</v>
      </c>
      <c r="AM145" s="517" t="b">
        <f>IFERROR(__xludf.DUMMYFUNCTION("""COMPUTED_VALUE"""),TRUE)</f>
        <v>1</v>
      </c>
      <c r="AN145" s="517" t="str">
        <f>IFERROR(__xludf.DUMMYFUNCTION("""COMPUTED_VALUE"""),"Y")</f>
        <v>Y</v>
      </c>
      <c r="AO145" s="517"/>
      <c r="AP145" s="626">
        <f>IFERROR(__xludf.DUMMYFUNCTION("""COMPUTED_VALUE"""),45764.0)</f>
        <v>45764</v>
      </c>
      <c r="AQ145" s="517" t="b">
        <f>IFERROR(__xludf.DUMMYFUNCTION("""COMPUTED_VALUE"""),FALSE)</f>
        <v>0</v>
      </c>
      <c r="AR145" s="517" t="str">
        <f>IFERROR(__xludf.DUMMYFUNCTION("""COMPUTED_VALUE"""),"N")</f>
        <v>N</v>
      </c>
      <c r="AS145" s="517"/>
      <c r="AT145" s="626">
        <f>IFERROR(__xludf.DUMMYFUNCTION("""COMPUTED_VALUE"""),45764.0)</f>
        <v>45764</v>
      </c>
      <c r="AU145" s="517"/>
      <c r="AV145" s="517"/>
      <c r="AW145" s="626">
        <f>IFERROR(__xludf.DUMMYFUNCTION("""COMPUTED_VALUE"""),45811.0)</f>
        <v>45811</v>
      </c>
      <c r="AX145" s="626">
        <f>IFERROR(__xludf.DUMMYFUNCTION("""COMPUTED_VALUE"""),45811.0)</f>
        <v>45811</v>
      </c>
      <c r="AY145" s="517" t="b">
        <f>IFERROR(__xludf.DUMMYFUNCTION("""COMPUTED_VALUE"""),FALSE)</f>
        <v>0</v>
      </c>
    </row>
    <row r="146">
      <c r="B146" s="517" t="str">
        <f>IFERROR(__xludf.DUMMYFUNCTION("""COMPUTED_VALUE"""),"TMO")</f>
        <v>TMO</v>
      </c>
      <c r="C146" s="518" t="str">
        <f>IFERROR(__xludf.DUMMYFUNCTION("""COMPUTED_VALUE"""),"0840353939325")</f>
        <v>0840353939325</v>
      </c>
      <c r="D146" s="517" t="str">
        <f>IFERROR(__xludf.DUMMYFUNCTION("""COMPUTED_VALUE"""),"CLNR/FRU")</f>
        <v>CLNR/FRU</v>
      </c>
      <c r="E146" s="517" t="str">
        <f>IFERROR(__xludf.DUMMYFUNCTION("""COMPUTED_VALUE"""),"CLNRGA09882")</f>
        <v>CLNRGA09882</v>
      </c>
      <c r="F146" s="517" t="str">
        <f>IFERROR(__xludf.DUMMYFUNCTION("""COMPUTED_VALUE"""),"GLBW0")</f>
        <v>GLBW0</v>
      </c>
      <c r="G146" s="518" t="str">
        <f>IFERROR(__xludf.DUMMYFUNCTION("""COMPUTED_VALUE"""),"840353939325")</f>
        <v>840353939325</v>
      </c>
      <c r="H146" s="518" t="str">
        <f>IFERROR(__xludf.DUMMYFUNCTION("""COMPUTED_VALUE"""),"840353939325")</f>
        <v>840353939325</v>
      </c>
      <c r="I146" s="518" t="str">
        <f>IFERROR(__xludf.DUMMYFUNCTION("""COMPUTED_VALUE"""),"No")</f>
        <v>No</v>
      </c>
      <c r="J146" s="517" t="str">
        <f>IFERROR(__xludf.DUMMYFUNCTION("""COMPUTED_VALUE"""),"Bulk_30ct")</f>
        <v>Bulk_30ct</v>
      </c>
      <c r="K146" s="517" t="str">
        <f>IFERROR(__xludf.DUMMYFUNCTION("""COMPUTED_VALUE"""),"TMO Master Carton Label")</f>
        <v>TMO Master Carton Label</v>
      </c>
      <c r="M146" s="517" t="str">
        <f>IFERROR(__xludf.DUMMYFUNCTION("""COMPUTED_VALUE"""),"N/A")</f>
        <v>N/A</v>
      </c>
      <c r="N146" s="517" t="str">
        <f>IFERROR(__xludf.DUMMYFUNCTION("""COMPUTED_VALUE"""),"N/A")</f>
        <v>N/A</v>
      </c>
      <c r="O146" s="517"/>
      <c r="P146" s="517" t="str">
        <f>IFERROR(__xludf.DUMMYFUNCTION("""COMPUTED_VALUE"""),"N/A")</f>
        <v>N/A</v>
      </c>
      <c r="Q146" s="517" t="str">
        <f>IFERROR(__xludf.DUMMYFUNCTION("""COMPUTED_VALUE"""),"Obsidian")</f>
        <v>Obsidian</v>
      </c>
      <c r="R146" s="517" t="str">
        <f>IFERROR(__xludf.DUMMYFUNCTION("""COMPUTED_VALUE"""),"BLK")</f>
        <v>BLK</v>
      </c>
      <c r="S146" s="517" t="str">
        <f>IFERROR(__xludf.DUMMYFUNCTION("""COMPUTED_VALUE"""),"TMO, US")</f>
        <v>TMO, US</v>
      </c>
      <c r="T146" s="517" t="str">
        <f>IFERROR(__xludf.DUMMYFUNCTION("""COMPUTED_VALUE"""),"SKU, CLR1, BETTER, MMWAVE, TMO, FL5, FRU")</f>
        <v>SKU, CLR1, BETTER, MMWAVE, TMO, FL5, FRU</v>
      </c>
      <c r="U146" s="517" t="str">
        <f>IFERROR(__xludf.DUMMYFUNCTION("""COMPUTED_VALUE"""),"Pixel 10, Obsidian, 256GB, TMO, US, FRU")</f>
        <v>Pixel 10, Obsidian, 256GB, TMO, US, FRU</v>
      </c>
      <c r="V146" s="624" t="str">
        <f>IFERROR(__xludf.DUMMYFUNCTION("""COMPUTED_VALUE"""),"#NUM!")</f>
        <v>#NUM!</v>
      </c>
      <c r="W146" s="625">
        <f>IFERROR(__xludf.DUMMYFUNCTION("""COMPUTED_VALUE"""),45815.0)</f>
        <v>45815</v>
      </c>
      <c r="X146" s="626">
        <f>IFERROR(__xludf.DUMMYFUNCTION("""COMPUTED_VALUE"""),45729.0)</f>
        <v>45729</v>
      </c>
      <c r="Y146" s="517" t="str">
        <f>IFERROR(__xludf.DUMMYFUNCTION("""COMPUTED_VALUE"""),"N/A")</f>
        <v>N/A</v>
      </c>
      <c r="Z146" s="626">
        <f>IFERROR(__xludf.DUMMYFUNCTION("""COMPUTED_VALUE"""),45730.0)</f>
        <v>45730</v>
      </c>
      <c r="AA146" s="517" t="b">
        <f>IFERROR(__xludf.DUMMYFUNCTION("""COMPUTED_VALUE"""),FALSE)</f>
        <v>0</v>
      </c>
      <c r="AB146" s="626">
        <f>IFERROR(__xludf.DUMMYFUNCTION("""COMPUTED_VALUE"""),45736.0)</f>
        <v>45736</v>
      </c>
      <c r="AC146" s="626">
        <f>IFERROR(__xludf.DUMMYFUNCTION("""COMPUTED_VALUE"""),45736.0)</f>
        <v>45736</v>
      </c>
      <c r="AD146" s="626">
        <f>IFERROR(__xludf.DUMMYFUNCTION("""COMPUTED_VALUE"""),45742.0)</f>
        <v>45742</v>
      </c>
      <c r="AE146" s="519" t="str">
        <f>IFERROR(__xludf.DUMMYFUNCTION("""COMPUTED_VALUE"""),"CLNRGA09882")</f>
        <v>CLNRGA09882</v>
      </c>
      <c r="AF146" s="519" t="str">
        <f>IFERROR(__xludf.DUMMYFUNCTION("""COMPUTED_VALUE"""),"CLNRGA09882")</f>
        <v>CLNRGA09882</v>
      </c>
      <c r="AG146" s="517" t="str">
        <f>IFERROR(__xludf.DUMMYFUNCTION("""COMPUTED_VALUE"""),"N/A")</f>
        <v>N/A</v>
      </c>
      <c r="AH146" s="519" t="str">
        <f>IFERROR(__xludf.DUMMYFUNCTION("""COMPUTED_VALUE"""),"CLNRGA09882")</f>
        <v>CLNRGA09882</v>
      </c>
      <c r="AI146" s="626">
        <f>IFERROR(__xludf.DUMMYFUNCTION("""COMPUTED_VALUE"""),45764.0)</f>
        <v>45764</v>
      </c>
      <c r="AJ146" s="517" t="str">
        <f>IFERROR(__xludf.DUMMYFUNCTION("""COMPUTED_VALUE"""),"n/a")</f>
        <v>n/a</v>
      </c>
      <c r="AK146" s="517" t="str">
        <f>IFERROR(__xludf.DUMMYFUNCTION("""COMPUTED_VALUE"""),"n/a")</f>
        <v>n/a</v>
      </c>
      <c r="AL146" s="626">
        <f>IFERROR(__xludf.DUMMYFUNCTION("""COMPUTED_VALUE"""),45764.0)</f>
        <v>45764</v>
      </c>
      <c r="AM146" s="517" t="b">
        <f>IFERROR(__xludf.DUMMYFUNCTION("""COMPUTED_VALUE"""),TRUE)</f>
        <v>1</v>
      </c>
      <c r="AN146" s="517" t="str">
        <f>IFERROR(__xludf.DUMMYFUNCTION("""COMPUTED_VALUE"""),"N")</f>
        <v>N</v>
      </c>
      <c r="AO146" s="517"/>
      <c r="AP146" s="626">
        <f>IFERROR(__xludf.DUMMYFUNCTION("""COMPUTED_VALUE"""),45764.0)</f>
        <v>45764</v>
      </c>
      <c r="AQ146" s="517" t="b">
        <f>IFERROR(__xludf.DUMMYFUNCTION("""COMPUTED_VALUE"""),FALSE)</f>
        <v>0</v>
      </c>
      <c r="AR146" s="517" t="str">
        <f>IFERROR(__xludf.DUMMYFUNCTION("""COMPUTED_VALUE"""),"N")</f>
        <v>N</v>
      </c>
      <c r="AS146" s="517"/>
      <c r="AT146" s="626">
        <f>IFERROR(__xludf.DUMMYFUNCTION("""COMPUTED_VALUE"""),45764.0)</f>
        <v>45764</v>
      </c>
      <c r="AU146" s="517"/>
      <c r="AV146" s="517"/>
      <c r="AW146" s="626">
        <f>IFERROR(__xludf.DUMMYFUNCTION("""COMPUTED_VALUE"""),45811.0)</f>
        <v>45811</v>
      </c>
      <c r="AX146" s="626">
        <f>IFERROR(__xludf.DUMMYFUNCTION("""COMPUTED_VALUE"""),45811.0)</f>
        <v>45811</v>
      </c>
      <c r="AY146" s="517" t="b">
        <f>IFERROR(__xludf.DUMMYFUNCTION("""COMPUTED_VALUE"""),FALSE)</f>
        <v>0</v>
      </c>
    </row>
    <row r="147">
      <c r="B147" s="517" t="str">
        <f>IFERROR(__xludf.DUMMYFUNCTION("""COMPUTED_VALUE"""),"TMO")</f>
        <v>TMO</v>
      </c>
      <c r="C147" s="517" t="str">
        <f>IFERROR(__xludf.DUMMYFUNCTION("""COMPUTED_VALUE"""),"Cancel")</f>
        <v>Cancel</v>
      </c>
      <c r="D147" s="517" t="str">
        <f>IFERROR(__xludf.DUMMYFUNCTION("""COMPUTED_VALUE"""),"CLNR/FRU")</f>
        <v>CLNR/FRU</v>
      </c>
      <c r="E147" s="517" t="str">
        <f>IFERROR(__xludf.DUMMYFUNCTION("""COMPUTED_VALUE"""),"CLNRGA10253")</f>
        <v>CLNRGA10253</v>
      </c>
      <c r="F147" s="517" t="str">
        <f>IFERROR(__xludf.DUMMYFUNCTION("""COMPUTED_VALUE"""),"Cancel")</f>
        <v>Cancel</v>
      </c>
      <c r="G147" s="517" t="str">
        <f>IFERROR(__xludf.DUMMYFUNCTION("""COMPUTED_VALUE"""),"Cancel")</f>
        <v>Cancel</v>
      </c>
      <c r="H147" s="517" t="str">
        <f>IFERROR(__xludf.DUMMYFUNCTION("""COMPUTED_VALUE"""),"Cancel")</f>
        <v>Cancel</v>
      </c>
      <c r="I147" s="517" t="str">
        <f>IFERROR(__xludf.DUMMYFUNCTION("""COMPUTED_VALUE"""),"Cancel")</f>
        <v>Cancel</v>
      </c>
      <c r="J147" s="517" t="str">
        <f>IFERROR(__xludf.DUMMYFUNCTION("""COMPUTED_VALUE"""),"Cancel")</f>
        <v>Cancel</v>
      </c>
      <c r="K147" s="517" t="str">
        <f>IFERROR(__xludf.DUMMYFUNCTION("""COMPUTED_VALUE"""),"Cancel")</f>
        <v>Cancel</v>
      </c>
      <c r="M147" s="517" t="str">
        <f>IFERROR(__xludf.DUMMYFUNCTION("""COMPUTED_VALUE"""),"N/A")</f>
        <v>N/A</v>
      </c>
      <c r="N147" s="517" t="str">
        <f>IFERROR(__xludf.DUMMYFUNCTION("""COMPUTED_VALUE"""),"N/A")</f>
        <v>N/A</v>
      </c>
      <c r="O147" s="517"/>
      <c r="P147" s="517" t="str">
        <f>IFERROR(__xludf.DUMMYFUNCTION("""COMPUTED_VALUE"""),"Cancel")</f>
        <v>Cancel</v>
      </c>
      <c r="Q147" s="517" t="str">
        <f>IFERROR(__xludf.DUMMYFUNCTION("""COMPUTED_VALUE"""),"Cancel")</f>
        <v>Cancel</v>
      </c>
      <c r="R147" s="517" t="str">
        <f>IFERROR(__xludf.DUMMYFUNCTION("""COMPUTED_VALUE"""),"Cancel")</f>
        <v>Cancel</v>
      </c>
      <c r="S147" s="517" t="str">
        <f>IFERROR(__xludf.DUMMYFUNCTION("""COMPUTED_VALUE"""),"Cancel")</f>
        <v>Cancel</v>
      </c>
      <c r="T147" s="517" t="str">
        <f>IFERROR(__xludf.DUMMYFUNCTION("""COMPUTED_VALUE"""),"Cancel")</f>
        <v>Cancel</v>
      </c>
      <c r="U147" s="517" t="str">
        <f>IFERROR(__xludf.DUMMYFUNCTION("""COMPUTED_VALUE"""),"Cancel")</f>
        <v>Cancel</v>
      </c>
      <c r="V147" s="624" t="str">
        <f>IFERROR(__xludf.DUMMYFUNCTION("""COMPUTED_VALUE"""),"#NUM!")</f>
        <v>#NUM!</v>
      </c>
      <c r="W147" s="625">
        <f>IFERROR(__xludf.DUMMYFUNCTION("""COMPUTED_VALUE"""),45815.0)</f>
        <v>45815</v>
      </c>
      <c r="X147" s="626">
        <f>IFERROR(__xludf.DUMMYFUNCTION("""COMPUTED_VALUE"""),45729.0)</f>
        <v>45729</v>
      </c>
      <c r="Y147" s="517" t="b">
        <f>IFERROR(__xludf.DUMMYFUNCTION("""COMPUTED_VALUE"""),FALSE)</f>
        <v>0</v>
      </c>
      <c r="Z147" s="626">
        <f>IFERROR(__xludf.DUMMYFUNCTION("""COMPUTED_VALUE"""),45730.0)</f>
        <v>45730</v>
      </c>
      <c r="AA147" s="517" t="b">
        <f>IFERROR(__xludf.DUMMYFUNCTION("""COMPUTED_VALUE"""),FALSE)</f>
        <v>0</v>
      </c>
      <c r="AB147" s="626">
        <f>IFERROR(__xludf.DUMMYFUNCTION("""COMPUTED_VALUE"""),45736.0)</f>
        <v>45736</v>
      </c>
      <c r="AC147" s="626">
        <f>IFERROR(__xludf.DUMMYFUNCTION("""COMPUTED_VALUE"""),45736.0)</f>
        <v>45736</v>
      </c>
      <c r="AD147" s="626">
        <f>IFERROR(__xludf.DUMMYFUNCTION("""COMPUTED_VALUE"""),45742.0)</f>
        <v>45742</v>
      </c>
      <c r="AE147" s="517"/>
      <c r="AF147" s="517"/>
      <c r="AG147" s="517"/>
      <c r="AH147" s="517"/>
      <c r="AI147" s="626">
        <f>IFERROR(__xludf.DUMMYFUNCTION("""COMPUTED_VALUE"""),45764.0)</f>
        <v>45764</v>
      </c>
      <c r="AJ147" s="517" t="b">
        <f>IFERROR(__xludf.DUMMYFUNCTION("""COMPUTED_VALUE"""),FALSE)</f>
        <v>0</v>
      </c>
      <c r="AK147" s="517" t="b">
        <f>IFERROR(__xludf.DUMMYFUNCTION("""COMPUTED_VALUE"""),FALSE)</f>
        <v>0</v>
      </c>
      <c r="AL147" s="626">
        <f>IFERROR(__xludf.DUMMYFUNCTION("""COMPUTED_VALUE"""),45764.0)</f>
        <v>45764</v>
      </c>
      <c r="AM147" s="517"/>
      <c r="AN147" s="517"/>
      <c r="AO147" s="517"/>
      <c r="AP147" s="626">
        <f>IFERROR(__xludf.DUMMYFUNCTION("""COMPUTED_VALUE"""),45764.0)</f>
        <v>45764</v>
      </c>
      <c r="AQ147" s="517"/>
      <c r="AR147" s="517"/>
      <c r="AS147" s="517"/>
      <c r="AT147" s="626">
        <f>IFERROR(__xludf.DUMMYFUNCTION("""COMPUTED_VALUE"""),45764.0)</f>
        <v>45764</v>
      </c>
      <c r="AU147" s="517"/>
      <c r="AV147" s="517"/>
      <c r="AW147" s="626">
        <f>IFERROR(__xludf.DUMMYFUNCTION("""COMPUTED_VALUE"""),45811.0)</f>
        <v>45811</v>
      </c>
      <c r="AX147" s="626">
        <f>IFERROR(__xludf.DUMMYFUNCTION("""COMPUTED_VALUE"""),45811.0)</f>
        <v>45811</v>
      </c>
      <c r="AY147" s="517" t="b">
        <f>IFERROR(__xludf.DUMMYFUNCTION("""COMPUTED_VALUE"""),FALSE)</f>
        <v>0</v>
      </c>
    </row>
    <row r="148">
      <c r="B148" s="517" t="str">
        <f>IFERROR(__xludf.DUMMYFUNCTION("""COMPUTED_VALUE"""),"TMO")</f>
        <v>TMO</v>
      </c>
      <c r="C148" s="517" t="str">
        <f>IFERROR(__xludf.DUMMYFUNCTION("""COMPUTED_VALUE"""),"Cancel")</f>
        <v>Cancel</v>
      </c>
      <c r="D148" s="517" t="str">
        <f>IFERROR(__xludf.DUMMYFUNCTION("""COMPUTED_VALUE"""),"CLNR/FRU")</f>
        <v>CLNR/FRU</v>
      </c>
      <c r="E148" s="517" t="str">
        <f>IFERROR(__xludf.DUMMYFUNCTION("""COMPUTED_VALUE"""),"CLNRGA10254")</f>
        <v>CLNRGA10254</v>
      </c>
      <c r="F148" s="517" t="str">
        <f>IFERROR(__xludf.DUMMYFUNCTION("""COMPUTED_VALUE"""),"Cancel")</f>
        <v>Cancel</v>
      </c>
      <c r="G148" s="517" t="str">
        <f>IFERROR(__xludf.DUMMYFUNCTION("""COMPUTED_VALUE"""),"Cancel")</f>
        <v>Cancel</v>
      </c>
      <c r="H148" s="517" t="str">
        <f>IFERROR(__xludf.DUMMYFUNCTION("""COMPUTED_VALUE"""),"Cancel")</f>
        <v>Cancel</v>
      </c>
      <c r="I148" s="517" t="str">
        <f>IFERROR(__xludf.DUMMYFUNCTION("""COMPUTED_VALUE"""),"Cancel")</f>
        <v>Cancel</v>
      </c>
      <c r="J148" s="517" t="str">
        <f>IFERROR(__xludf.DUMMYFUNCTION("""COMPUTED_VALUE"""),"Cancel")</f>
        <v>Cancel</v>
      </c>
      <c r="K148" s="517" t="str">
        <f>IFERROR(__xludf.DUMMYFUNCTION("""COMPUTED_VALUE"""),"Cancel")</f>
        <v>Cancel</v>
      </c>
      <c r="M148" s="517" t="str">
        <f>IFERROR(__xludf.DUMMYFUNCTION("""COMPUTED_VALUE"""),"N/A")</f>
        <v>N/A</v>
      </c>
      <c r="N148" s="517" t="str">
        <f>IFERROR(__xludf.DUMMYFUNCTION("""COMPUTED_VALUE"""),"N/A")</f>
        <v>N/A</v>
      </c>
      <c r="O148" s="517"/>
      <c r="P148" s="517" t="str">
        <f>IFERROR(__xludf.DUMMYFUNCTION("""COMPUTED_VALUE"""),"Cancel")</f>
        <v>Cancel</v>
      </c>
      <c r="Q148" s="517" t="str">
        <f>IFERROR(__xludf.DUMMYFUNCTION("""COMPUTED_VALUE"""),"Cancel")</f>
        <v>Cancel</v>
      </c>
      <c r="R148" s="517" t="str">
        <f>IFERROR(__xludf.DUMMYFUNCTION("""COMPUTED_VALUE"""),"Cancel")</f>
        <v>Cancel</v>
      </c>
      <c r="S148" s="517" t="str">
        <f>IFERROR(__xludf.DUMMYFUNCTION("""COMPUTED_VALUE"""),"Cancel")</f>
        <v>Cancel</v>
      </c>
      <c r="T148" s="517" t="str">
        <f>IFERROR(__xludf.DUMMYFUNCTION("""COMPUTED_VALUE"""),"Cancel")</f>
        <v>Cancel</v>
      </c>
      <c r="U148" s="517" t="str">
        <f>IFERROR(__xludf.DUMMYFUNCTION("""COMPUTED_VALUE"""),"Cancel")</f>
        <v>Cancel</v>
      </c>
      <c r="V148" s="624" t="str">
        <f>IFERROR(__xludf.DUMMYFUNCTION("""COMPUTED_VALUE"""),"#NUM!")</f>
        <v>#NUM!</v>
      </c>
      <c r="W148" s="625">
        <f>IFERROR(__xludf.DUMMYFUNCTION("""COMPUTED_VALUE"""),45815.0)</f>
        <v>45815</v>
      </c>
      <c r="X148" s="626">
        <f>IFERROR(__xludf.DUMMYFUNCTION("""COMPUTED_VALUE"""),45729.0)</f>
        <v>45729</v>
      </c>
      <c r="Y148" s="517" t="b">
        <f>IFERROR(__xludf.DUMMYFUNCTION("""COMPUTED_VALUE"""),FALSE)</f>
        <v>0</v>
      </c>
      <c r="Z148" s="626">
        <f>IFERROR(__xludf.DUMMYFUNCTION("""COMPUTED_VALUE"""),45730.0)</f>
        <v>45730</v>
      </c>
      <c r="AA148" s="517" t="b">
        <f>IFERROR(__xludf.DUMMYFUNCTION("""COMPUTED_VALUE"""),FALSE)</f>
        <v>0</v>
      </c>
      <c r="AB148" s="626">
        <f>IFERROR(__xludf.DUMMYFUNCTION("""COMPUTED_VALUE"""),45736.0)</f>
        <v>45736</v>
      </c>
      <c r="AC148" s="626">
        <f>IFERROR(__xludf.DUMMYFUNCTION("""COMPUTED_VALUE"""),45736.0)</f>
        <v>45736</v>
      </c>
      <c r="AD148" s="626">
        <f>IFERROR(__xludf.DUMMYFUNCTION("""COMPUTED_VALUE"""),45742.0)</f>
        <v>45742</v>
      </c>
      <c r="AE148" s="517"/>
      <c r="AF148" s="517"/>
      <c r="AG148" s="517"/>
      <c r="AH148" s="517"/>
      <c r="AI148" s="626">
        <f>IFERROR(__xludf.DUMMYFUNCTION("""COMPUTED_VALUE"""),45764.0)</f>
        <v>45764</v>
      </c>
      <c r="AJ148" s="517" t="b">
        <f>IFERROR(__xludf.DUMMYFUNCTION("""COMPUTED_VALUE"""),FALSE)</f>
        <v>0</v>
      </c>
      <c r="AK148" s="517" t="b">
        <f>IFERROR(__xludf.DUMMYFUNCTION("""COMPUTED_VALUE"""),FALSE)</f>
        <v>0</v>
      </c>
      <c r="AL148" s="626">
        <f>IFERROR(__xludf.DUMMYFUNCTION("""COMPUTED_VALUE"""),45764.0)</f>
        <v>45764</v>
      </c>
      <c r="AM148" s="517"/>
      <c r="AN148" s="517"/>
      <c r="AO148" s="517"/>
      <c r="AP148" s="626">
        <f>IFERROR(__xludf.DUMMYFUNCTION("""COMPUTED_VALUE"""),45764.0)</f>
        <v>45764</v>
      </c>
      <c r="AQ148" s="517"/>
      <c r="AR148" s="517"/>
      <c r="AS148" s="517"/>
      <c r="AT148" s="626">
        <f>IFERROR(__xludf.DUMMYFUNCTION("""COMPUTED_VALUE"""),45764.0)</f>
        <v>45764</v>
      </c>
      <c r="AU148" s="517"/>
      <c r="AV148" s="517"/>
      <c r="AW148" s="626">
        <f>IFERROR(__xludf.DUMMYFUNCTION("""COMPUTED_VALUE"""),45811.0)</f>
        <v>45811</v>
      </c>
      <c r="AX148" s="626">
        <f>IFERROR(__xludf.DUMMYFUNCTION("""COMPUTED_VALUE"""),45811.0)</f>
        <v>45811</v>
      </c>
      <c r="AY148" s="517" t="b">
        <f>IFERROR(__xludf.DUMMYFUNCTION("""COMPUTED_VALUE"""),FALSE)</f>
        <v>0</v>
      </c>
    </row>
    <row r="149">
      <c r="B149" s="517" t="str">
        <f>IFERROR(__xludf.DUMMYFUNCTION("""COMPUTED_VALUE"""),"TMO")</f>
        <v>TMO</v>
      </c>
      <c r="C149" s="517" t="str">
        <f>IFERROR(__xludf.DUMMYFUNCTION("""COMPUTED_VALUE"""),"Cancel")</f>
        <v>Cancel</v>
      </c>
      <c r="D149" s="517" t="str">
        <f>IFERROR(__xludf.DUMMYFUNCTION("""COMPUTED_VALUE"""),"CLNR/FRU")</f>
        <v>CLNR/FRU</v>
      </c>
      <c r="E149" s="517" t="str">
        <f>IFERROR(__xludf.DUMMYFUNCTION("""COMPUTED_VALUE"""),"CLNRGA10255")</f>
        <v>CLNRGA10255</v>
      </c>
      <c r="F149" s="517" t="str">
        <f>IFERROR(__xludf.DUMMYFUNCTION("""COMPUTED_VALUE"""),"Cancel")</f>
        <v>Cancel</v>
      </c>
      <c r="G149" s="517" t="str">
        <f>IFERROR(__xludf.DUMMYFUNCTION("""COMPUTED_VALUE"""),"Cancel")</f>
        <v>Cancel</v>
      </c>
      <c r="H149" s="517" t="str">
        <f>IFERROR(__xludf.DUMMYFUNCTION("""COMPUTED_VALUE"""),"Cancel")</f>
        <v>Cancel</v>
      </c>
      <c r="I149" s="517" t="str">
        <f>IFERROR(__xludf.DUMMYFUNCTION("""COMPUTED_VALUE"""),"Cancel")</f>
        <v>Cancel</v>
      </c>
      <c r="J149" s="517" t="str">
        <f>IFERROR(__xludf.DUMMYFUNCTION("""COMPUTED_VALUE"""),"Cancel")</f>
        <v>Cancel</v>
      </c>
      <c r="K149" s="517" t="str">
        <f>IFERROR(__xludf.DUMMYFUNCTION("""COMPUTED_VALUE"""),"Cancel")</f>
        <v>Cancel</v>
      </c>
      <c r="M149" s="517" t="str">
        <f>IFERROR(__xludf.DUMMYFUNCTION("""COMPUTED_VALUE"""),"N/A")</f>
        <v>N/A</v>
      </c>
      <c r="N149" s="517" t="str">
        <f>IFERROR(__xludf.DUMMYFUNCTION("""COMPUTED_VALUE"""),"N/A")</f>
        <v>N/A</v>
      </c>
      <c r="O149" s="517"/>
      <c r="P149" s="517" t="str">
        <f>IFERROR(__xludf.DUMMYFUNCTION("""COMPUTED_VALUE"""),"Cancel")</f>
        <v>Cancel</v>
      </c>
      <c r="Q149" s="517" t="str">
        <f>IFERROR(__xludf.DUMMYFUNCTION("""COMPUTED_VALUE"""),"Cancel")</f>
        <v>Cancel</v>
      </c>
      <c r="R149" s="517" t="str">
        <f>IFERROR(__xludf.DUMMYFUNCTION("""COMPUTED_VALUE"""),"Cancel")</f>
        <v>Cancel</v>
      </c>
      <c r="S149" s="517" t="str">
        <f>IFERROR(__xludf.DUMMYFUNCTION("""COMPUTED_VALUE"""),"Cancel")</f>
        <v>Cancel</v>
      </c>
      <c r="T149" s="517" t="str">
        <f>IFERROR(__xludf.DUMMYFUNCTION("""COMPUTED_VALUE"""),"Cancel")</f>
        <v>Cancel</v>
      </c>
      <c r="U149" s="517" t="str">
        <f>IFERROR(__xludf.DUMMYFUNCTION("""COMPUTED_VALUE"""),"Cancel")</f>
        <v>Cancel</v>
      </c>
      <c r="V149" s="624" t="str">
        <f>IFERROR(__xludf.DUMMYFUNCTION("""COMPUTED_VALUE"""),"#NUM!")</f>
        <v>#NUM!</v>
      </c>
      <c r="W149" s="625">
        <f>IFERROR(__xludf.DUMMYFUNCTION("""COMPUTED_VALUE"""),45815.0)</f>
        <v>45815</v>
      </c>
      <c r="X149" s="626">
        <f>IFERROR(__xludf.DUMMYFUNCTION("""COMPUTED_VALUE"""),45729.0)</f>
        <v>45729</v>
      </c>
      <c r="Y149" s="517" t="b">
        <f>IFERROR(__xludf.DUMMYFUNCTION("""COMPUTED_VALUE"""),FALSE)</f>
        <v>0</v>
      </c>
      <c r="Z149" s="626">
        <f>IFERROR(__xludf.DUMMYFUNCTION("""COMPUTED_VALUE"""),45730.0)</f>
        <v>45730</v>
      </c>
      <c r="AA149" s="517" t="b">
        <f>IFERROR(__xludf.DUMMYFUNCTION("""COMPUTED_VALUE"""),FALSE)</f>
        <v>0</v>
      </c>
      <c r="AB149" s="626">
        <f>IFERROR(__xludf.DUMMYFUNCTION("""COMPUTED_VALUE"""),45736.0)</f>
        <v>45736</v>
      </c>
      <c r="AC149" s="626">
        <f>IFERROR(__xludf.DUMMYFUNCTION("""COMPUTED_VALUE"""),45736.0)</f>
        <v>45736</v>
      </c>
      <c r="AD149" s="626">
        <f>IFERROR(__xludf.DUMMYFUNCTION("""COMPUTED_VALUE"""),45742.0)</f>
        <v>45742</v>
      </c>
      <c r="AE149" s="517"/>
      <c r="AF149" s="517"/>
      <c r="AG149" s="517"/>
      <c r="AH149" s="517"/>
      <c r="AI149" s="626">
        <f>IFERROR(__xludf.DUMMYFUNCTION("""COMPUTED_VALUE"""),45764.0)</f>
        <v>45764</v>
      </c>
      <c r="AJ149" s="517" t="b">
        <f>IFERROR(__xludf.DUMMYFUNCTION("""COMPUTED_VALUE"""),FALSE)</f>
        <v>0</v>
      </c>
      <c r="AK149" s="517" t="b">
        <f>IFERROR(__xludf.DUMMYFUNCTION("""COMPUTED_VALUE"""),FALSE)</f>
        <v>0</v>
      </c>
      <c r="AL149" s="626">
        <f>IFERROR(__xludf.DUMMYFUNCTION("""COMPUTED_VALUE"""),45764.0)</f>
        <v>45764</v>
      </c>
      <c r="AM149" s="517"/>
      <c r="AN149" s="517"/>
      <c r="AO149" s="517"/>
      <c r="AP149" s="626">
        <f>IFERROR(__xludf.DUMMYFUNCTION("""COMPUTED_VALUE"""),45764.0)</f>
        <v>45764</v>
      </c>
      <c r="AQ149" s="517"/>
      <c r="AR149" s="517"/>
      <c r="AS149" s="517"/>
      <c r="AT149" s="626">
        <f>IFERROR(__xludf.DUMMYFUNCTION("""COMPUTED_VALUE"""),45764.0)</f>
        <v>45764</v>
      </c>
      <c r="AU149" s="517"/>
      <c r="AV149" s="517"/>
      <c r="AW149" s="626">
        <f>IFERROR(__xludf.DUMMYFUNCTION("""COMPUTED_VALUE"""),45811.0)</f>
        <v>45811</v>
      </c>
      <c r="AX149" s="626">
        <f>IFERROR(__xludf.DUMMYFUNCTION("""COMPUTED_VALUE"""),45811.0)</f>
        <v>45811</v>
      </c>
      <c r="AY149" s="517" t="b">
        <f>IFERROR(__xludf.DUMMYFUNCTION("""COMPUTED_VALUE"""),FALSE)</f>
        <v>0</v>
      </c>
    </row>
    <row r="150">
      <c r="B150" s="517" t="str">
        <f>IFERROR(__xludf.DUMMYFUNCTION("""COMPUTED_VALUE"""),"ATT")</f>
        <v>ATT</v>
      </c>
      <c r="C150" s="518" t="str">
        <f>IFERROR(__xludf.DUMMYFUNCTION("""COMPUTED_VALUE"""),"0840353928084")</f>
        <v>0840353928084</v>
      </c>
      <c r="D150" s="517" t="str">
        <f>IFERROR(__xludf.DUMMYFUNCTION("""COMPUTED_VALUE"""),"DEMO")</f>
        <v>DEMO</v>
      </c>
      <c r="E150" s="517" t="str">
        <f>IFERROR(__xludf.DUMMYFUNCTION("""COMPUTED_VALUE"""),"GA10773-US")</f>
        <v>GA10773-US</v>
      </c>
      <c r="F150" s="517" t="str">
        <f>IFERROR(__xludf.DUMMYFUNCTION("""COMPUTED_VALUE"""),"GLBW0")</f>
        <v>GLBW0</v>
      </c>
      <c r="G150" s="517"/>
      <c r="H150" s="518" t="str">
        <f>IFERROR(__xludf.DUMMYFUNCTION("""COMPUTED_VALUE"""),"840353928084")</f>
        <v>840353928084</v>
      </c>
      <c r="I150" s="518" t="str">
        <f>IFERROR(__xludf.DUMMYFUNCTION("""COMPUTED_VALUE"""),"No")</f>
        <v>No</v>
      </c>
      <c r="J150" s="517" t="str">
        <f>IFERROR(__xludf.DUMMYFUNCTION("""COMPUTED_VALUE"""),"Retail_10ct")</f>
        <v>Retail_10ct</v>
      </c>
      <c r="K150" s="517" t="str">
        <f>IFERROR(__xludf.DUMMYFUNCTION("""COMPUTED_VALUE"""),"ATT Master Carton Label")</f>
        <v>ATT Master Carton Label</v>
      </c>
      <c r="M150" s="517" t="str">
        <f>IFERROR(__xludf.DUMMYFUNCTION("""COMPUTED_VALUE"""),"G990-08380-11-01
G990-08380-11-A")</f>
        <v>G990-08380-11-01
G990-08380-11-A</v>
      </c>
      <c r="N150" s="517" t="str">
        <f>IFERROR(__xludf.DUMMYFUNCTION("""COMPUTED_VALUE"""),"G990-09763-00-01
G990-09763-00-A")</f>
        <v>G990-09763-00-01
G990-09763-00-A</v>
      </c>
      <c r="O150" s="517" t="str">
        <f>IFERROR(__xludf.DUMMYFUNCTION("""COMPUTED_VALUE"""),"BOB→A
Retail→A")</f>
        <v>BOB→A
Retail→A</v>
      </c>
      <c r="P150" s="517" t="str">
        <f>IFERROR(__xludf.DUMMYFUNCTION("""COMPUTED_VALUE"""),"G990-09763-00-01
G990-09763-00-A")</f>
        <v>G990-09763-00-01
G990-09763-00-A</v>
      </c>
      <c r="Q150" s="517" t="str">
        <f>IFERROR(__xludf.DUMMYFUNCTION("""COMPUTED_VALUE"""),"Obsidian")</f>
        <v>Obsidian</v>
      </c>
      <c r="R150" s="517" t="str">
        <f>IFERROR(__xludf.DUMMYFUNCTION("""COMPUTED_VALUE"""),"BLK")</f>
        <v>BLK</v>
      </c>
      <c r="S150" s="517" t="str">
        <f>IFERROR(__xludf.DUMMYFUNCTION("""COMPUTED_VALUE"""),"ATT, US")</f>
        <v>ATT, US</v>
      </c>
      <c r="T150" s="517" t="str">
        <f>IFERROR(__xludf.DUMMYFUNCTION("""COMPUTED_VALUE"""),"SKU, CLR1, GOOD, MMWAVE, ATT, US, DEMO, FL5")</f>
        <v>SKU, CLR1, GOOD, MMWAVE, ATT, US, DEMO, FL5</v>
      </c>
      <c r="U150" s="517" t="str">
        <f>IFERROR(__xludf.DUMMYFUNCTION("""COMPUTED_VALUE"""),"Pixel 10, Obsidian, 128GB, ATT, US, DEMO")</f>
        <v>Pixel 10, Obsidian, 128GB, ATT, US, DEMO</v>
      </c>
      <c r="V150" s="624" t="str">
        <f>IFERROR(__xludf.DUMMYFUNCTION("""COMPUTED_VALUE"""),"#NUM!")</f>
        <v>#NUM!</v>
      </c>
      <c r="W150" s="625">
        <f>IFERROR(__xludf.DUMMYFUNCTION("""COMPUTED_VALUE"""),45815.0)</f>
        <v>45815</v>
      </c>
      <c r="X150" s="626">
        <f>IFERROR(__xludf.DUMMYFUNCTION("""COMPUTED_VALUE"""),45729.0)</f>
        <v>45729</v>
      </c>
      <c r="Y150" s="517" t="b">
        <f>IFERROR(__xludf.DUMMYFUNCTION("""COMPUTED_VALUE"""),TRUE)</f>
        <v>1</v>
      </c>
      <c r="Z150" s="626">
        <f>IFERROR(__xludf.DUMMYFUNCTION("""COMPUTED_VALUE"""),45730.0)</f>
        <v>45730</v>
      </c>
      <c r="AA150" s="517" t="b">
        <f>IFERROR(__xludf.DUMMYFUNCTION("""COMPUTED_VALUE"""),FALSE)</f>
        <v>0</v>
      </c>
      <c r="AB150" s="626">
        <f>IFERROR(__xludf.DUMMYFUNCTION("""COMPUTED_VALUE"""),45736.0)</f>
        <v>45736</v>
      </c>
      <c r="AC150" s="626">
        <f>IFERROR(__xludf.DUMMYFUNCTION("""COMPUTED_VALUE"""),45736.0)</f>
        <v>45736</v>
      </c>
      <c r="AD150" s="626">
        <f>IFERROR(__xludf.DUMMYFUNCTION("""COMPUTED_VALUE"""),45742.0)</f>
        <v>45742</v>
      </c>
      <c r="AE150" s="517" t="str">
        <f>IFERROR(__xludf.DUMMYFUNCTION("""COMPUTED_VALUE"""),"GA10773-US")</f>
        <v>GA10773-US</v>
      </c>
      <c r="AF150" s="517" t="str">
        <f>IFERROR(__xludf.DUMMYFUNCTION("""COMPUTED_VALUE"""),"GA10773-US")</f>
        <v>GA10773-US</v>
      </c>
      <c r="AG150" s="517" t="str">
        <f>IFERROR(__xludf.DUMMYFUNCTION("""COMPUTED_VALUE"""),"GA10773-US")</f>
        <v>GA10773-US</v>
      </c>
      <c r="AH150" s="517" t="str">
        <f>IFERROR(__xludf.DUMMYFUNCTION("""COMPUTED_VALUE"""),"GA10773-US")</f>
        <v>GA10773-US</v>
      </c>
      <c r="AI150" s="626">
        <f>IFERROR(__xludf.DUMMYFUNCTION("""COMPUTED_VALUE"""),45764.0)</f>
        <v>45764</v>
      </c>
      <c r="AJ150" s="517" t="b">
        <f>IFERROR(__xludf.DUMMYFUNCTION("""COMPUTED_VALUE"""),FALSE)</f>
        <v>0</v>
      </c>
      <c r="AK150" s="517" t="b">
        <f>IFERROR(__xludf.DUMMYFUNCTION("""COMPUTED_VALUE"""),FALSE)</f>
        <v>0</v>
      </c>
      <c r="AL150" s="626">
        <f>IFERROR(__xludf.DUMMYFUNCTION("""COMPUTED_VALUE"""),45764.0)</f>
        <v>45764</v>
      </c>
      <c r="AM150" s="517" t="b">
        <f>IFERROR(__xludf.DUMMYFUNCTION("""COMPUTED_VALUE"""),FALSE)</f>
        <v>0</v>
      </c>
      <c r="AN150" s="517" t="str">
        <f>IFERROR(__xludf.DUMMYFUNCTION("""COMPUTED_VALUE"""),"N")</f>
        <v>N</v>
      </c>
      <c r="AO150" s="517"/>
      <c r="AP150" s="626">
        <f>IFERROR(__xludf.DUMMYFUNCTION("""COMPUTED_VALUE"""),45764.0)</f>
        <v>45764</v>
      </c>
      <c r="AQ150" s="517" t="b">
        <f>IFERROR(__xludf.DUMMYFUNCTION("""COMPUTED_VALUE"""),FALSE)</f>
        <v>0</v>
      </c>
      <c r="AR150" s="517"/>
      <c r="AS150" s="517"/>
      <c r="AT150" s="626">
        <f>IFERROR(__xludf.DUMMYFUNCTION("""COMPUTED_VALUE"""),45764.0)</f>
        <v>45764</v>
      </c>
      <c r="AU150" s="517"/>
      <c r="AV150" s="517"/>
      <c r="AW150" s="626">
        <f>IFERROR(__xludf.DUMMYFUNCTION("""COMPUTED_VALUE"""),45811.0)</f>
        <v>45811</v>
      </c>
      <c r="AX150" s="626">
        <f>IFERROR(__xludf.DUMMYFUNCTION("""COMPUTED_VALUE"""),45811.0)</f>
        <v>45811</v>
      </c>
      <c r="AY150" s="517" t="b">
        <f>IFERROR(__xludf.DUMMYFUNCTION("""COMPUTED_VALUE"""),FALSE)</f>
        <v>0</v>
      </c>
    </row>
    <row r="151">
      <c r="B151" s="517" t="str">
        <f>IFERROR(__xludf.DUMMYFUNCTION("""COMPUTED_VALUE"""),"ATT")</f>
        <v>ATT</v>
      </c>
      <c r="C151" s="518" t="str">
        <f>IFERROR(__xludf.DUMMYFUNCTION("""COMPUTED_VALUE"""),"0840353928053")</f>
        <v>0840353928053</v>
      </c>
      <c r="D151" s="517" t="str">
        <f>IFERROR(__xludf.DUMMYFUNCTION("""COMPUTED_VALUE"""),"DEMO")</f>
        <v>DEMO</v>
      </c>
      <c r="E151" s="517" t="str">
        <f>IFERROR(__xludf.DUMMYFUNCTION("""COMPUTED_VALUE"""),"GA10774-US")</f>
        <v>GA10774-US</v>
      </c>
      <c r="F151" s="517" t="str">
        <f>IFERROR(__xludf.DUMMYFUNCTION("""COMPUTED_VALUE"""),"GLBW0")</f>
        <v>GLBW0</v>
      </c>
      <c r="G151" s="517" t="str">
        <f>IFERROR(__xludf.DUMMYFUNCTION("""COMPUTED_VALUE"""),"D991E")</f>
        <v>D991E</v>
      </c>
      <c r="H151" s="518" t="str">
        <f>IFERROR(__xludf.DUMMYFUNCTION("""COMPUTED_VALUE"""),"840353928053")</f>
        <v>840353928053</v>
      </c>
      <c r="I151" s="518" t="str">
        <f>IFERROR(__xludf.DUMMYFUNCTION("""COMPUTED_VALUE"""),"No")</f>
        <v>No</v>
      </c>
      <c r="J151" s="517" t="str">
        <f>IFERROR(__xludf.DUMMYFUNCTION("""COMPUTED_VALUE"""),"Retail_10ct")</f>
        <v>Retail_10ct</v>
      </c>
      <c r="K151" s="517" t="str">
        <f>IFERROR(__xludf.DUMMYFUNCTION("""COMPUTED_VALUE"""),"ATT Master Carton Label")</f>
        <v>ATT Master Carton Label</v>
      </c>
      <c r="M151" s="517" t="str">
        <f>IFERROR(__xludf.DUMMYFUNCTION("""COMPUTED_VALUE"""),"G990-08380-41-01
G990-08380-41-A")</f>
        <v>G990-08380-41-01
G990-08380-41-A</v>
      </c>
      <c r="N151" s="517" t="str">
        <f>IFERROR(__xludf.DUMMYFUNCTION("""COMPUTED_VALUE"""),"G990-09764-00-01
G990-09764-00-A")</f>
        <v>G990-09764-00-01
G990-09764-00-A</v>
      </c>
      <c r="O151" s="517" t="str">
        <f>IFERROR(__xludf.DUMMYFUNCTION("""COMPUTED_VALUE"""),"BOB→A
Retail→A")</f>
        <v>BOB→A
Retail→A</v>
      </c>
      <c r="P151" s="517" t="str">
        <f>IFERROR(__xludf.DUMMYFUNCTION("""COMPUTED_VALUE"""),"G990-09764-00-01
G990-09764-00-A")</f>
        <v>G990-09764-00-01
G990-09764-00-A</v>
      </c>
      <c r="Q151" s="517" t="str">
        <f>IFERROR(__xludf.DUMMYFUNCTION("""COMPUTED_VALUE"""),"Indigo")</f>
        <v>Indigo</v>
      </c>
      <c r="R151" s="517" t="str">
        <f>IFERROR(__xludf.DUMMYFUNCTION("""COMPUTED_VALUE"""),"BUE")</f>
        <v>BUE</v>
      </c>
      <c r="S151" s="517" t="str">
        <f>IFERROR(__xludf.DUMMYFUNCTION("""COMPUTED_VALUE"""),"ATT, US")</f>
        <v>ATT, US</v>
      </c>
      <c r="T151" s="517" t="str">
        <f>IFERROR(__xludf.DUMMYFUNCTION("""COMPUTED_VALUE"""),"SKU, CLR4, GOOD, MMWAVE, ATT, US, DEMO, FL5")</f>
        <v>SKU, CLR4, GOOD, MMWAVE, ATT, US, DEMO, FL5</v>
      </c>
      <c r="U151" s="517" t="str">
        <f>IFERROR(__xludf.DUMMYFUNCTION("""COMPUTED_VALUE"""),"Pixel 10, Indigo, 128GB, ATT, US, DEMO")</f>
        <v>Pixel 10, Indigo, 128GB, ATT, US, DEMO</v>
      </c>
      <c r="V151" s="624" t="str">
        <f>IFERROR(__xludf.DUMMYFUNCTION("""COMPUTED_VALUE"""),"#NUM!")</f>
        <v>#NUM!</v>
      </c>
      <c r="W151" s="625">
        <f>IFERROR(__xludf.DUMMYFUNCTION("""COMPUTED_VALUE"""),45815.0)</f>
        <v>45815</v>
      </c>
      <c r="X151" s="626">
        <f>IFERROR(__xludf.DUMMYFUNCTION("""COMPUTED_VALUE"""),45729.0)</f>
        <v>45729</v>
      </c>
      <c r="Y151" s="517" t="b">
        <f>IFERROR(__xludf.DUMMYFUNCTION("""COMPUTED_VALUE"""),TRUE)</f>
        <v>1</v>
      </c>
      <c r="Z151" s="626">
        <f>IFERROR(__xludf.DUMMYFUNCTION("""COMPUTED_VALUE"""),45730.0)</f>
        <v>45730</v>
      </c>
      <c r="AA151" s="517" t="b">
        <f>IFERROR(__xludf.DUMMYFUNCTION("""COMPUTED_VALUE"""),FALSE)</f>
        <v>0</v>
      </c>
      <c r="AB151" s="626">
        <f>IFERROR(__xludf.DUMMYFUNCTION("""COMPUTED_VALUE"""),45736.0)</f>
        <v>45736</v>
      </c>
      <c r="AC151" s="626">
        <f>IFERROR(__xludf.DUMMYFUNCTION("""COMPUTED_VALUE"""),45736.0)</f>
        <v>45736</v>
      </c>
      <c r="AD151" s="626">
        <f>IFERROR(__xludf.DUMMYFUNCTION("""COMPUTED_VALUE"""),45742.0)</f>
        <v>45742</v>
      </c>
      <c r="AE151" s="519" t="str">
        <f>IFERROR(__xludf.DUMMYFUNCTION("""COMPUTED_VALUE"""),"GA10774-US")</f>
        <v>GA10774-US</v>
      </c>
      <c r="AF151" s="519" t="str">
        <f>IFERROR(__xludf.DUMMYFUNCTION("""COMPUTED_VALUE"""),"GA10774-US")</f>
        <v>GA10774-US</v>
      </c>
      <c r="AG151" s="517" t="str">
        <f>IFERROR(__xludf.DUMMYFUNCTION("""COMPUTED_VALUE"""),"GA10774-US
GA10774-US(RevA)")</f>
        <v>GA10774-US
GA10774-US(RevA)</v>
      </c>
      <c r="AH151" s="519" t="str">
        <f>IFERROR(__xludf.DUMMYFUNCTION("""COMPUTED_VALUE"""),"GA10774-US")</f>
        <v>GA10774-US</v>
      </c>
      <c r="AI151" s="626">
        <f>IFERROR(__xludf.DUMMYFUNCTION("""COMPUTED_VALUE"""),45764.0)</f>
        <v>45764</v>
      </c>
      <c r="AJ151" s="517" t="b">
        <f>IFERROR(__xludf.DUMMYFUNCTION("""COMPUTED_VALUE"""),TRUE)</f>
        <v>1</v>
      </c>
      <c r="AK151" s="517" t="b">
        <f>IFERROR(__xludf.DUMMYFUNCTION("""COMPUTED_VALUE"""),TRUE)</f>
        <v>1</v>
      </c>
      <c r="AL151" s="626">
        <f>IFERROR(__xludf.DUMMYFUNCTION("""COMPUTED_VALUE"""),45764.0)</f>
        <v>45764</v>
      </c>
      <c r="AM151" s="517" t="str">
        <f>IFERROR(__xludf.DUMMYFUNCTION("""COMPUTED_VALUE"""),"Approved")</f>
        <v>Approved</v>
      </c>
      <c r="AN151" s="517" t="str">
        <f>IFERROR(__xludf.DUMMYFUNCTION("""COMPUTED_VALUE"""),"Y")</f>
        <v>Y</v>
      </c>
      <c r="AO151" s="517"/>
      <c r="AP151" s="626">
        <f>IFERROR(__xludf.DUMMYFUNCTION("""COMPUTED_VALUE"""),45764.0)</f>
        <v>45764</v>
      </c>
      <c r="AQ151" s="517" t="b">
        <f>IFERROR(__xludf.DUMMYFUNCTION("""COMPUTED_VALUE"""),FALSE)</f>
        <v>0</v>
      </c>
      <c r="AR151" s="517" t="str">
        <f>IFERROR(__xludf.DUMMYFUNCTION("""COMPUTED_VALUE"""),"N")</f>
        <v>N</v>
      </c>
      <c r="AS151" s="517"/>
      <c r="AT151" s="626">
        <f>IFERROR(__xludf.DUMMYFUNCTION("""COMPUTED_VALUE"""),45764.0)</f>
        <v>45764</v>
      </c>
      <c r="AU151" s="517" t="str">
        <f>IFERROR(__xludf.DUMMYFUNCTION("""COMPUTED_VALUE"""),"Y")</f>
        <v>Y</v>
      </c>
      <c r="AV151" s="517"/>
      <c r="AW151" s="626">
        <f>IFERROR(__xludf.DUMMYFUNCTION("""COMPUTED_VALUE"""),45811.0)</f>
        <v>45811</v>
      </c>
      <c r="AX151" s="626">
        <f>IFERROR(__xludf.DUMMYFUNCTION("""COMPUTED_VALUE"""),45811.0)</f>
        <v>45811</v>
      </c>
      <c r="AY151" s="517" t="b">
        <f>IFERROR(__xludf.DUMMYFUNCTION("""COMPUTED_VALUE"""),FALSE)</f>
        <v>0</v>
      </c>
    </row>
    <row r="152">
      <c r="B152" s="517" t="str">
        <f>IFERROR(__xludf.DUMMYFUNCTION("""COMPUTED_VALUE"""),"TMO")</f>
        <v>TMO</v>
      </c>
      <c r="C152" s="518" t="str">
        <f>IFERROR(__xludf.DUMMYFUNCTION("""COMPUTED_VALUE"""),"0840353928190")</f>
        <v>0840353928190</v>
      </c>
      <c r="D152" s="517" t="str">
        <f>IFERROR(__xludf.DUMMYFUNCTION("""COMPUTED_VALUE"""),"DEMO")</f>
        <v>DEMO</v>
      </c>
      <c r="E152" s="517" t="str">
        <f>IFERROR(__xludf.DUMMYFUNCTION("""COMPUTED_VALUE"""),"GA10771-US")</f>
        <v>GA10771-US</v>
      </c>
      <c r="F152" s="517" t="str">
        <f>IFERROR(__xludf.DUMMYFUNCTION("""COMPUTED_VALUE"""),"GLBW0")</f>
        <v>GLBW0</v>
      </c>
      <c r="G152" s="518" t="str">
        <f>IFERROR(__xludf.DUMMYFUNCTION("""COMPUTED_VALUE"""),"840353928190")</f>
        <v>840353928190</v>
      </c>
      <c r="H152" s="518" t="str">
        <f>IFERROR(__xludf.DUMMYFUNCTION("""COMPUTED_VALUE"""),"840353928190")</f>
        <v>840353928190</v>
      </c>
      <c r="I152" s="518" t="str">
        <f>IFERROR(__xludf.DUMMYFUNCTION("""COMPUTED_VALUE"""),"840353928190")</f>
        <v>840353928190</v>
      </c>
      <c r="J152" s="517" t="str">
        <f>IFERROR(__xludf.DUMMYFUNCTION("""COMPUTED_VALUE"""),"Retail_10ct")</f>
        <v>Retail_10ct</v>
      </c>
      <c r="K152" s="517" t="str">
        <f>IFERROR(__xludf.DUMMYFUNCTION("""COMPUTED_VALUE"""),"TMO Master Carton Label")</f>
        <v>TMO Master Carton Label</v>
      </c>
      <c r="M152" s="517" t="str">
        <f>IFERROR(__xludf.DUMMYFUNCTION("""COMPUTED_VALUE"""),"G990-08380-11-01
G990-08380-11-A")</f>
        <v>G990-08380-11-01
G990-08380-11-A</v>
      </c>
      <c r="N152" s="517" t="str">
        <f>IFERROR(__xludf.DUMMYFUNCTION("""COMPUTED_VALUE"""),"G990-09761-00-02
G990-09761-00-A")</f>
        <v>G990-09761-00-02
G990-09761-00-A</v>
      </c>
      <c r="O152" s="517" t="str">
        <f>IFERROR(__xludf.DUMMYFUNCTION("""COMPUTED_VALUE"""),"BOB→A
Retail→A")</f>
        <v>BOB→A
Retail→A</v>
      </c>
      <c r="P152" s="517" t="str">
        <f>IFERROR(__xludf.DUMMYFUNCTION("""COMPUTED_VALUE"""),"G990-09761-00-02
G990-09761-00-A")</f>
        <v>G990-09761-00-02
G990-09761-00-A</v>
      </c>
      <c r="Q152" s="517" t="str">
        <f>IFERROR(__xludf.DUMMYFUNCTION("""COMPUTED_VALUE"""),"Obsidian")</f>
        <v>Obsidian</v>
      </c>
      <c r="R152" s="517" t="str">
        <f>IFERROR(__xludf.DUMMYFUNCTION("""COMPUTED_VALUE"""),"BLK")</f>
        <v>BLK</v>
      </c>
      <c r="S152" s="517" t="str">
        <f>IFERROR(__xludf.DUMMYFUNCTION("""COMPUTED_VALUE"""),"TMO, US")</f>
        <v>TMO, US</v>
      </c>
      <c r="T152" s="517" t="str">
        <f>IFERROR(__xludf.DUMMYFUNCTION("""COMPUTED_VALUE"""),"SKU, CLR1, GOOD, MMWAVE, TMO, US, DEMO, FL5")</f>
        <v>SKU, CLR1, GOOD, MMWAVE, TMO, US, DEMO, FL5</v>
      </c>
      <c r="U152" s="517" t="str">
        <f>IFERROR(__xludf.DUMMYFUNCTION("""COMPUTED_VALUE"""),"Pixel 10, Obsidian, 128GB, TMO, US, DEMO")</f>
        <v>Pixel 10, Obsidian, 128GB, TMO, US, DEMO</v>
      </c>
      <c r="V152" s="624" t="str">
        <f>IFERROR(__xludf.DUMMYFUNCTION("""COMPUTED_VALUE"""),"#NUM!")</f>
        <v>#NUM!</v>
      </c>
      <c r="W152" s="625">
        <f>IFERROR(__xludf.DUMMYFUNCTION("""COMPUTED_VALUE"""),45815.0)</f>
        <v>45815</v>
      </c>
      <c r="X152" s="626">
        <f>IFERROR(__xludf.DUMMYFUNCTION("""COMPUTED_VALUE"""),45729.0)</f>
        <v>45729</v>
      </c>
      <c r="Y152" s="517" t="b">
        <f>IFERROR(__xludf.DUMMYFUNCTION("""COMPUTED_VALUE"""),TRUE)</f>
        <v>1</v>
      </c>
      <c r="Z152" s="626">
        <f>IFERROR(__xludf.DUMMYFUNCTION("""COMPUTED_VALUE"""),45730.0)</f>
        <v>45730</v>
      </c>
      <c r="AA152" s="517" t="b">
        <f>IFERROR(__xludf.DUMMYFUNCTION("""COMPUTED_VALUE"""),FALSE)</f>
        <v>0</v>
      </c>
      <c r="AB152" s="626">
        <f>IFERROR(__xludf.DUMMYFUNCTION("""COMPUTED_VALUE"""),45736.0)</f>
        <v>45736</v>
      </c>
      <c r="AC152" s="626">
        <f>IFERROR(__xludf.DUMMYFUNCTION("""COMPUTED_VALUE"""),45736.0)</f>
        <v>45736</v>
      </c>
      <c r="AD152" s="626">
        <f>IFERROR(__xludf.DUMMYFUNCTION("""COMPUTED_VALUE"""),45742.0)</f>
        <v>45742</v>
      </c>
      <c r="AE152" s="519" t="str">
        <f>IFERROR(__xludf.DUMMYFUNCTION("""COMPUTED_VALUE"""),"GA10771-US")</f>
        <v>GA10771-US</v>
      </c>
      <c r="AF152" s="519" t="str">
        <f>IFERROR(__xludf.DUMMYFUNCTION("""COMPUTED_VALUE"""),"GA10771-US
(Update pallet)")</f>
        <v>GA10771-US
(Update pallet)</v>
      </c>
      <c r="AG152" s="517" t="str">
        <f>IFERROR(__xludf.DUMMYFUNCTION("""COMPUTED_VALUE"""),"GA10771-US
GA10771-US(RevA)")</f>
        <v>GA10771-US
GA10771-US(RevA)</v>
      </c>
      <c r="AH152" s="519" t="str">
        <f>IFERROR(__xludf.DUMMYFUNCTION("""COMPUTED_VALUE"""),"GA10771-US")</f>
        <v>GA10771-US</v>
      </c>
      <c r="AI152" s="626">
        <f>IFERROR(__xludf.DUMMYFUNCTION("""COMPUTED_VALUE"""),45764.0)</f>
        <v>45764</v>
      </c>
      <c r="AJ152" s="517" t="b">
        <f>IFERROR(__xludf.DUMMYFUNCTION("""COMPUTED_VALUE"""),TRUE)</f>
        <v>1</v>
      </c>
      <c r="AK152" s="517" t="b">
        <f>IFERROR(__xludf.DUMMYFUNCTION("""COMPUTED_VALUE"""),TRUE)</f>
        <v>1</v>
      </c>
      <c r="AL152" s="626">
        <f>IFERROR(__xludf.DUMMYFUNCTION("""COMPUTED_VALUE"""),45764.0)</f>
        <v>45764</v>
      </c>
      <c r="AM152" s="517" t="str">
        <f>IFERROR(__xludf.DUMMYFUNCTION("""COMPUTED_VALUE"""),"Approved")</f>
        <v>Approved</v>
      </c>
      <c r="AN152" s="517" t="str">
        <f>IFERROR(__xludf.DUMMYFUNCTION("""COMPUTED_VALUE"""),"N")</f>
        <v>N</v>
      </c>
      <c r="AO152" s="517"/>
      <c r="AP152" s="626">
        <f>IFERROR(__xludf.DUMMYFUNCTION("""COMPUTED_VALUE"""),45764.0)</f>
        <v>45764</v>
      </c>
      <c r="AQ152" s="517" t="b">
        <f>IFERROR(__xludf.DUMMYFUNCTION("""COMPUTED_VALUE"""),FALSE)</f>
        <v>0</v>
      </c>
      <c r="AR152" s="517" t="str">
        <f>IFERROR(__xludf.DUMMYFUNCTION("""COMPUTED_VALUE"""),"N")</f>
        <v>N</v>
      </c>
      <c r="AS152" s="517"/>
      <c r="AT152" s="626">
        <f>IFERROR(__xludf.DUMMYFUNCTION("""COMPUTED_VALUE"""),45764.0)</f>
        <v>45764</v>
      </c>
      <c r="AU152" s="517" t="str">
        <f>IFERROR(__xludf.DUMMYFUNCTION("""COMPUTED_VALUE"""),"N")</f>
        <v>N</v>
      </c>
      <c r="AV152" s="517"/>
      <c r="AW152" s="626">
        <f>IFERROR(__xludf.DUMMYFUNCTION("""COMPUTED_VALUE"""),45811.0)</f>
        <v>45811</v>
      </c>
      <c r="AX152" s="626">
        <f>IFERROR(__xludf.DUMMYFUNCTION("""COMPUTED_VALUE"""),45811.0)</f>
        <v>45811</v>
      </c>
      <c r="AY152" s="517" t="b">
        <f>IFERROR(__xludf.DUMMYFUNCTION("""COMPUTED_VALUE"""),FALSE)</f>
        <v>0</v>
      </c>
    </row>
    <row r="153">
      <c r="B153" s="517" t="str">
        <f>IFERROR(__xludf.DUMMYFUNCTION("""COMPUTED_VALUE"""),"TMO")</f>
        <v>TMO</v>
      </c>
      <c r="C153" s="518" t="str">
        <f>IFERROR(__xludf.DUMMYFUNCTION("""COMPUTED_VALUE"""),"0840353928220")</f>
        <v>0840353928220</v>
      </c>
      <c r="D153" s="517" t="str">
        <f>IFERROR(__xludf.DUMMYFUNCTION("""COMPUTED_VALUE"""),"DEMO")</f>
        <v>DEMO</v>
      </c>
      <c r="E153" s="517" t="str">
        <f>IFERROR(__xludf.DUMMYFUNCTION("""COMPUTED_VALUE"""),"GA10772-US")</f>
        <v>GA10772-US</v>
      </c>
      <c r="F153" s="517" t="str">
        <f>IFERROR(__xludf.DUMMYFUNCTION("""COMPUTED_VALUE"""),"GLBW0")</f>
        <v>GLBW0</v>
      </c>
      <c r="G153" s="518" t="str">
        <f>IFERROR(__xludf.DUMMYFUNCTION("""COMPUTED_VALUE"""),"840353928220")</f>
        <v>840353928220</v>
      </c>
      <c r="H153" s="518" t="str">
        <f>IFERROR(__xludf.DUMMYFUNCTION("""COMPUTED_VALUE"""),"840353928220")</f>
        <v>840353928220</v>
      </c>
      <c r="I153" s="518" t="str">
        <f>IFERROR(__xludf.DUMMYFUNCTION("""COMPUTED_VALUE"""),"840353928220")</f>
        <v>840353928220</v>
      </c>
      <c r="J153" s="517" t="str">
        <f>IFERROR(__xludf.DUMMYFUNCTION("""COMPUTED_VALUE"""),"Retail_10ct")</f>
        <v>Retail_10ct</v>
      </c>
      <c r="K153" s="517" t="str">
        <f>IFERROR(__xludf.DUMMYFUNCTION("""COMPUTED_VALUE"""),"TMO Master Carton Label")</f>
        <v>TMO Master Carton Label</v>
      </c>
      <c r="M153" s="517" t="str">
        <f>IFERROR(__xludf.DUMMYFUNCTION("""COMPUTED_VALUE"""),"G990-08380-41-01
G990-08380-41-A")</f>
        <v>G990-08380-41-01
G990-08380-41-A</v>
      </c>
      <c r="N153" s="517" t="str">
        <f>IFERROR(__xludf.DUMMYFUNCTION("""COMPUTED_VALUE"""),"G990-09762-00-02
G990-09762-00-A")</f>
        <v>G990-09762-00-02
G990-09762-00-A</v>
      </c>
      <c r="O153" s="517" t="str">
        <f>IFERROR(__xludf.DUMMYFUNCTION("""COMPUTED_VALUE"""),"BOB→A
Retail→A")</f>
        <v>BOB→A
Retail→A</v>
      </c>
      <c r="P153" s="517" t="str">
        <f>IFERROR(__xludf.DUMMYFUNCTION("""COMPUTED_VALUE"""),"G990-09762-00-02
G990-09762-00-A")</f>
        <v>G990-09762-00-02
G990-09762-00-A</v>
      </c>
      <c r="Q153" s="517" t="str">
        <f>IFERROR(__xludf.DUMMYFUNCTION("""COMPUTED_VALUE"""),"Indigo")</f>
        <v>Indigo</v>
      </c>
      <c r="R153" s="517" t="str">
        <f>IFERROR(__xludf.DUMMYFUNCTION("""COMPUTED_VALUE"""),"BUE")</f>
        <v>BUE</v>
      </c>
      <c r="S153" s="517" t="str">
        <f>IFERROR(__xludf.DUMMYFUNCTION("""COMPUTED_VALUE"""),"TMO, US")</f>
        <v>TMO, US</v>
      </c>
      <c r="T153" s="517" t="str">
        <f>IFERROR(__xludf.DUMMYFUNCTION("""COMPUTED_VALUE"""),"SKU, CLR4, GOOD, MMWAVE, TMO, US, DEMO, FL5")</f>
        <v>SKU, CLR4, GOOD, MMWAVE, TMO, US, DEMO, FL5</v>
      </c>
      <c r="U153" s="517" t="str">
        <f>IFERROR(__xludf.DUMMYFUNCTION("""COMPUTED_VALUE"""),"Pixel 10, Indigo, 128GB, TMO, US, DEMO")</f>
        <v>Pixel 10, Indigo, 128GB, TMO, US, DEMO</v>
      </c>
      <c r="V153" s="624" t="str">
        <f>IFERROR(__xludf.DUMMYFUNCTION("""COMPUTED_VALUE"""),"#NUM!")</f>
        <v>#NUM!</v>
      </c>
      <c r="W153" s="625">
        <f>IFERROR(__xludf.DUMMYFUNCTION("""COMPUTED_VALUE"""),45815.0)</f>
        <v>45815</v>
      </c>
      <c r="X153" s="626">
        <f>IFERROR(__xludf.DUMMYFUNCTION("""COMPUTED_VALUE"""),45729.0)</f>
        <v>45729</v>
      </c>
      <c r="Y153" s="517" t="b">
        <f>IFERROR(__xludf.DUMMYFUNCTION("""COMPUTED_VALUE"""),TRUE)</f>
        <v>1</v>
      </c>
      <c r="Z153" s="626">
        <f>IFERROR(__xludf.DUMMYFUNCTION("""COMPUTED_VALUE"""),45730.0)</f>
        <v>45730</v>
      </c>
      <c r="AA153" s="517" t="b">
        <f>IFERROR(__xludf.DUMMYFUNCTION("""COMPUTED_VALUE"""),FALSE)</f>
        <v>0</v>
      </c>
      <c r="AB153" s="626">
        <f>IFERROR(__xludf.DUMMYFUNCTION("""COMPUTED_VALUE"""),45736.0)</f>
        <v>45736</v>
      </c>
      <c r="AC153" s="626">
        <f>IFERROR(__xludf.DUMMYFUNCTION("""COMPUTED_VALUE"""),45736.0)</f>
        <v>45736</v>
      </c>
      <c r="AD153" s="626">
        <f>IFERROR(__xludf.DUMMYFUNCTION("""COMPUTED_VALUE"""),45742.0)</f>
        <v>45742</v>
      </c>
      <c r="AE153" s="519" t="str">
        <f>IFERROR(__xludf.DUMMYFUNCTION("""COMPUTED_VALUE"""),"GA10772-US")</f>
        <v>GA10772-US</v>
      </c>
      <c r="AF153" s="519" t="str">
        <f>IFERROR(__xludf.DUMMYFUNCTION("""COMPUTED_VALUE"""),"GA10772-US
(Update pallet)")</f>
        <v>GA10772-US
(Update pallet)</v>
      </c>
      <c r="AG153" s="517" t="str">
        <f>IFERROR(__xludf.DUMMYFUNCTION("""COMPUTED_VALUE"""),"GA10772-US
GA10772-US(RevA)")</f>
        <v>GA10772-US
GA10772-US(RevA)</v>
      </c>
      <c r="AH153" s="519" t="str">
        <f>IFERROR(__xludf.DUMMYFUNCTION("""COMPUTED_VALUE"""),"GA10772-US")</f>
        <v>GA10772-US</v>
      </c>
      <c r="AI153" s="626">
        <f>IFERROR(__xludf.DUMMYFUNCTION("""COMPUTED_VALUE"""),45764.0)</f>
        <v>45764</v>
      </c>
      <c r="AJ153" s="517" t="b">
        <f>IFERROR(__xludf.DUMMYFUNCTION("""COMPUTED_VALUE"""),TRUE)</f>
        <v>1</v>
      </c>
      <c r="AK153" s="517" t="b">
        <f>IFERROR(__xludf.DUMMYFUNCTION("""COMPUTED_VALUE"""),TRUE)</f>
        <v>1</v>
      </c>
      <c r="AL153" s="626">
        <f>IFERROR(__xludf.DUMMYFUNCTION("""COMPUTED_VALUE"""),45764.0)</f>
        <v>45764</v>
      </c>
      <c r="AM153" s="517" t="str">
        <f>IFERROR(__xludf.DUMMYFUNCTION("""COMPUTED_VALUE"""),"Approved")</f>
        <v>Approved</v>
      </c>
      <c r="AN153" s="517" t="str">
        <f>IFERROR(__xludf.DUMMYFUNCTION("""COMPUTED_VALUE"""),"Y")</f>
        <v>Y</v>
      </c>
      <c r="AO153" s="517"/>
      <c r="AP153" s="626">
        <f>IFERROR(__xludf.DUMMYFUNCTION("""COMPUTED_VALUE"""),45764.0)</f>
        <v>45764</v>
      </c>
      <c r="AQ153" s="517" t="b">
        <f>IFERROR(__xludf.DUMMYFUNCTION("""COMPUTED_VALUE"""),FALSE)</f>
        <v>0</v>
      </c>
      <c r="AR153" s="517" t="str">
        <f>IFERROR(__xludf.DUMMYFUNCTION("""COMPUTED_VALUE"""),"N")</f>
        <v>N</v>
      </c>
      <c r="AS153" s="517"/>
      <c r="AT153" s="626">
        <f>IFERROR(__xludf.DUMMYFUNCTION("""COMPUTED_VALUE"""),45764.0)</f>
        <v>45764</v>
      </c>
      <c r="AU153" s="517" t="str">
        <f>IFERROR(__xludf.DUMMYFUNCTION("""COMPUTED_VALUE"""),"Y")</f>
        <v>Y</v>
      </c>
      <c r="AV153" s="517"/>
      <c r="AW153" s="626">
        <f>IFERROR(__xludf.DUMMYFUNCTION("""COMPUTED_VALUE"""),45811.0)</f>
        <v>45811</v>
      </c>
      <c r="AX153" s="626">
        <f>IFERROR(__xludf.DUMMYFUNCTION("""COMPUTED_VALUE"""),45811.0)</f>
        <v>45811</v>
      </c>
      <c r="AY153" s="517" t="b">
        <f>IFERROR(__xludf.DUMMYFUNCTION("""COMPUTED_VALUE"""),FALSE)</f>
        <v>0</v>
      </c>
    </row>
    <row r="154">
      <c r="B154" s="517" t="str">
        <f>IFERROR(__xludf.DUMMYFUNCTION("""COMPUTED_VALUE"""),"TMO")</f>
        <v>TMO</v>
      </c>
      <c r="C154" s="518" t="str">
        <f>IFERROR(__xludf.DUMMYFUNCTION("""COMPUTED_VALUE"""),"0840353948280")</f>
        <v>0840353948280</v>
      </c>
      <c r="D154" s="517" t="str">
        <f>IFERROR(__xludf.DUMMYFUNCTION("""COMPUTED_VALUE"""),"IQ")</f>
        <v>IQ</v>
      </c>
      <c r="E154" s="517" t="str">
        <f>IFERROR(__xludf.DUMMYFUNCTION("""COMPUTED_VALUE"""),"GA11019-US")</f>
        <v>GA11019-US</v>
      </c>
      <c r="F154" s="517" t="str">
        <f>IFERROR(__xludf.DUMMYFUNCTION("""COMPUTED_VALUE"""),"GLBW0")</f>
        <v>GLBW0</v>
      </c>
      <c r="G154" s="518" t="str">
        <f>IFERROR(__xludf.DUMMYFUNCTION("""COMPUTED_VALUE"""),"840353948280")</f>
        <v>840353948280</v>
      </c>
      <c r="H154" s="518" t="str">
        <f>IFERROR(__xludf.DUMMYFUNCTION("""COMPUTED_VALUE"""),"840353948280")</f>
        <v>840353948280</v>
      </c>
      <c r="I154" s="518" t="str">
        <f>IFERROR(__xludf.DUMMYFUNCTION("""COMPUTED_VALUE"""),"No")</f>
        <v>No</v>
      </c>
      <c r="J154" s="517" t="str">
        <f>IFERROR(__xludf.DUMMYFUNCTION("""COMPUTED_VALUE"""),"Retail_10ct")</f>
        <v>Retail_10ct</v>
      </c>
      <c r="K154" s="517" t="str">
        <f>IFERROR(__xludf.DUMMYFUNCTION("""COMPUTED_VALUE"""),"TMO Master Carton Label")</f>
        <v>TMO Master Carton Label</v>
      </c>
      <c r="M154" s="517" t="str">
        <f>IFERROR(__xludf.DUMMYFUNCTION("""COMPUTED_VALUE"""),"G990-08380-41-01
G990-08380-41-A")</f>
        <v>G990-08380-41-01
G990-08380-41-A</v>
      </c>
      <c r="N154" s="517" t="str">
        <f>IFERROR(__xludf.DUMMYFUNCTION("""COMPUTED_VALUE"""),"G990-09769-00-02
G990-09769-00-A")</f>
        <v>G990-09769-00-02
G990-09769-00-A</v>
      </c>
      <c r="O154" s="517" t="str">
        <f>IFERROR(__xludf.DUMMYFUNCTION("""COMPUTED_VALUE"""),"BOB→A
Retail→A")</f>
        <v>BOB→A
Retail→A</v>
      </c>
      <c r="P154" s="517" t="str">
        <f>IFERROR(__xludf.DUMMYFUNCTION("""COMPUTED_VALUE"""),"G990-09769-00-02
G990-09769-00-A")</f>
        <v>G990-09769-00-02
G990-09769-00-A</v>
      </c>
      <c r="Q154" s="517" t="str">
        <f>IFERROR(__xludf.DUMMYFUNCTION("""COMPUTED_VALUE"""),"Indigo")</f>
        <v>Indigo</v>
      </c>
      <c r="R154" s="517" t="str">
        <f>IFERROR(__xludf.DUMMYFUNCTION("""COMPUTED_VALUE"""),"BUE")</f>
        <v>BUE</v>
      </c>
      <c r="S154" s="517" t="str">
        <f>IFERROR(__xludf.DUMMYFUNCTION("""COMPUTED_VALUE"""),"TMO, US")</f>
        <v>TMO, US</v>
      </c>
      <c r="T154" s="517" t="str">
        <f>IFERROR(__xludf.DUMMYFUNCTION("""COMPUTED_VALUE"""),"SKU, CLR 4, GOOD, MMWAVE, TMO, IQ, US, FL5")</f>
        <v>SKU, CLR 4, GOOD, MMWAVE, TMO, IQ, US, FL5</v>
      </c>
      <c r="U154" s="517" t="str">
        <f>IFERROR(__xludf.DUMMYFUNCTION("""COMPUTED_VALUE"""),"Pixel 10, CLR 4, 128GB, TMO, US, IQ")</f>
        <v>Pixel 10, CLR 4, 128GB, TMO, US, IQ</v>
      </c>
      <c r="V154" s="624" t="str">
        <f>IFERROR(__xludf.DUMMYFUNCTION("""COMPUTED_VALUE"""),"#NUM!")</f>
        <v>#NUM!</v>
      </c>
      <c r="W154" s="625">
        <f>IFERROR(__xludf.DUMMYFUNCTION("""COMPUTED_VALUE"""),45815.0)</f>
        <v>45815</v>
      </c>
      <c r="X154" s="626">
        <f>IFERROR(__xludf.DUMMYFUNCTION("""COMPUTED_VALUE"""),45729.0)</f>
        <v>45729</v>
      </c>
      <c r="Y154" s="517" t="b">
        <f>IFERROR(__xludf.DUMMYFUNCTION("""COMPUTED_VALUE"""),TRUE)</f>
        <v>1</v>
      </c>
      <c r="Z154" s="626">
        <f>IFERROR(__xludf.DUMMYFUNCTION("""COMPUTED_VALUE"""),45730.0)</f>
        <v>45730</v>
      </c>
      <c r="AA154" s="517" t="b">
        <f>IFERROR(__xludf.DUMMYFUNCTION("""COMPUTED_VALUE"""),FALSE)</f>
        <v>0</v>
      </c>
      <c r="AB154" s="626">
        <f>IFERROR(__xludf.DUMMYFUNCTION("""COMPUTED_VALUE"""),45736.0)</f>
        <v>45736</v>
      </c>
      <c r="AC154" s="626">
        <f>IFERROR(__xludf.DUMMYFUNCTION("""COMPUTED_VALUE"""),45736.0)</f>
        <v>45736</v>
      </c>
      <c r="AD154" s="626">
        <f>IFERROR(__xludf.DUMMYFUNCTION("""COMPUTED_VALUE"""),45742.0)</f>
        <v>45742</v>
      </c>
      <c r="AE154" s="519" t="str">
        <f>IFERROR(__xludf.DUMMYFUNCTION("""COMPUTED_VALUE"""),"GA11019-US")</f>
        <v>GA11019-US</v>
      </c>
      <c r="AF154" s="519" t="str">
        <f>IFERROR(__xludf.DUMMYFUNCTION("""COMPUTED_VALUE"""),"GA11019-US
(Update pallet)")</f>
        <v>GA11019-US
(Update pallet)</v>
      </c>
      <c r="AG154" s="517" t="str">
        <f>IFERROR(__xludf.DUMMYFUNCTION("""COMPUTED_VALUE"""),"GA11019-US
GA11019-US(RevA)")</f>
        <v>GA11019-US
GA11019-US(RevA)</v>
      </c>
      <c r="AH154" s="519" t="str">
        <f>IFERROR(__xludf.DUMMYFUNCTION("""COMPUTED_VALUE"""),"GA11019-US")</f>
        <v>GA11019-US</v>
      </c>
      <c r="AI154" s="626">
        <f>IFERROR(__xludf.DUMMYFUNCTION("""COMPUTED_VALUE"""),45764.0)</f>
        <v>45764</v>
      </c>
      <c r="AJ154" s="517" t="b">
        <f>IFERROR(__xludf.DUMMYFUNCTION("""COMPUTED_VALUE"""),TRUE)</f>
        <v>1</v>
      </c>
      <c r="AK154" s="517" t="b">
        <f>IFERROR(__xludf.DUMMYFUNCTION("""COMPUTED_VALUE"""),TRUE)</f>
        <v>1</v>
      </c>
      <c r="AL154" s="626">
        <f>IFERROR(__xludf.DUMMYFUNCTION("""COMPUTED_VALUE"""),45764.0)</f>
        <v>45764</v>
      </c>
      <c r="AM154" s="517" t="str">
        <f>IFERROR(__xludf.DUMMYFUNCTION("""COMPUTED_VALUE"""),"Approved")</f>
        <v>Approved</v>
      </c>
      <c r="AN154" s="517" t="str">
        <f>IFERROR(__xludf.DUMMYFUNCTION("""COMPUTED_VALUE"""),"Y")</f>
        <v>Y</v>
      </c>
      <c r="AO154" s="517"/>
      <c r="AP154" s="626">
        <f>IFERROR(__xludf.DUMMYFUNCTION("""COMPUTED_VALUE"""),45764.0)</f>
        <v>45764</v>
      </c>
      <c r="AQ154" s="517"/>
      <c r="AR154" s="517" t="str">
        <f>IFERROR(__xludf.DUMMYFUNCTION("""COMPUTED_VALUE"""),"N")</f>
        <v>N</v>
      </c>
      <c r="AS154" s="517"/>
      <c r="AT154" s="626">
        <f>IFERROR(__xludf.DUMMYFUNCTION("""COMPUTED_VALUE"""),45764.0)</f>
        <v>45764</v>
      </c>
      <c r="AU154" s="517" t="str">
        <f>IFERROR(__xludf.DUMMYFUNCTION("""COMPUTED_VALUE"""),"Y")</f>
        <v>Y</v>
      </c>
      <c r="AV154" s="517"/>
      <c r="AW154" s="626">
        <f>IFERROR(__xludf.DUMMYFUNCTION("""COMPUTED_VALUE"""),45811.0)</f>
        <v>45811</v>
      </c>
      <c r="AX154" s="626">
        <f>IFERROR(__xludf.DUMMYFUNCTION("""COMPUTED_VALUE"""),45811.0)</f>
        <v>45811</v>
      </c>
      <c r="AY154" s="517" t="b">
        <f>IFERROR(__xludf.DUMMYFUNCTION("""COMPUTED_VALUE"""),FALSE)</f>
        <v>0</v>
      </c>
    </row>
  </sheetData>
  <autoFilter ref="$B$4:$M$154"/>
  <hyperlinks>
    <hyperlink r:id="rId1" ref="N8"/>
    <hyperlink r:id="rId2" ref="N9"/>
    <hyperlink r:id="rId3" ref="N10"/>
    <hyperlink r:id="rId4" ref="N11"/>
    <hyperlink r:id="rId5" ref="N12"/>
    <hyperlink r:id="rId6" ref="N13"/>
    <hyperlink r:id="rId7" ref="N14"/>
    <hyperlink r:id="rId8" ref="N15"/>
    <hyperlink r:id="rId9" ref="L36"/>
    <hyperlink r:id="rId10" ref="L37"/>
    <hyperlink r:id="rId11" ref="L38"/>
    <hyperlink r:id="rId12" ref="L39"/>
    <hyperlink r:id="rId13" ref="N72"/>
    <hyperlink r:id="rId14" ref="N73"/>
    <hyperlink r:id="rId15" ref="N74"/>
    <hyperlink r:id="rId16" ref="N75"/>
    <hyperlink r:id="rId17" ref="N84"/>
    <hyperlink r:id="rId18" ref="N85"/>
    <hyperlink r:id="rId19" ref="N86"/>
    <hyperlink r:id="rId20" ref="N87"/>
    <hyperlink r:id="rId21" ref="L96"/>
    <hyperlink r:id="rId22" ref="L97"/>
    <hyperlink r:id="rId23" ref="AE102"/>
    <hyperlink r:id="rId24" ref="AF102"/>
    <hyperlink r:id="rId25" ref="AH102"/>
    <hyperlink r:id="rId26" ref="AE103"/>
    <hyperlink r:id="rId27" ref="AF103"/>
    <hyperlink r:id="rId28" ref="AH103"/>
    <hyperlink r:id="rId29" ref="AE104"/>
    <hyperlink r:id="rId30" ref="AF104"/>
    <hyperlink r:id="rId31" ref="AH104"/>
    <hyperlink r:id="rId32" ref="AE105"/>
    <hyperlink r:id="rId33" ref="AF105"/>
    <hyperlink r:id="rId34" ref="AH105"/>
    <hyperlink r:id="rId35" ref="AE106"/>
    <hyperlink r:id="rId36" ref="AF106"/>
    <hyperlink r:id="rId37" ref="AH106"/>
    <hyperlink r:id="rId38" ref="M107"/>
    <hyperlink r:id="rId39" ref="M108"/>
    <hyperlink r:id="rId40" ref="AE109"/>
    <hyperlink r:id="rId41" ref="AF109"/>
    <hyperlink r:id="rId42" ref="AH109"/>
    <hyperlink r:id="rId43" ref="AE110"/>
    <hyperlink r:id="rId44" ref="AF110"/>
    <hyperlink r:id="rId45" ref="AH110"/>
    <hyperlink r:id="rId46" ref="M111"/>
    <hyperlink r:id="rId47" ref="N111"/>
    <hyperlink r:id="rId48" ref="M112"/>
    <hyperlink r:id="rId49" ref="N112"/>
    <hyperlink r:id="rId50" ref="AE113"/>
    <hyperlink r:id="rId51" ref="AF113"/>
    <hyperlink r:id="rId52" ref="AH113"/>
    <hyperlink r:id="rId53" ref="M114"/>
    <hyperlink r:id="rId54" ref="N114"/>
    <hyperlink r:id="rId55" ref="M115"/>
    <hyperlink r:id="rId56" ref="N115"/>
    <hyperlink r:id="rId57" ref="M116"/>
    <hyperlink r:id="rId58" ref="N116"/>
    <hyperlink r:id="rId59" ref="M117"/>
    <hyperlink r:id="rId60" ref="N117"/>
    <hyperlink r:id="rId61" ref="AE118"/>
    <hyperlink r:id="rId62" ref="AF118"/>
    <hyperlink r:id="rId63" ref="AH118"/>
    <hyperlink r:id="rId64" ref="M119"/>
    <hyperlink r:id="rId65" ref="N119"/>
    <hyperlink r:id="rId66" ref="M120"/>
    <hyperlink r:id="rId67" ref="N120"/>
    <hyperlink r:id="rId68" ref="AE121"/>
    <hyperlink r:id="rId69" ref="AF121"/>
    <hyperlink r:id="rId70" ref="AH121"/>
    <hyperlink r:id="rId71" ref="AE122"/>
    <hyperlink r:id="rId72" ref="AF122"/>
    <hyperlink r:id="rId73" ref="AH122"/>
    <hyperlink r:id="rId74" ref="M123"/>
    <hyperlink r:id="rId75" ref="N123"/>
    <hyperlink r:id="rId76" ref="M124"/>
    <hyperlink r:id="rId77" ref="N124"/>
    <hyperlink r:id="rId78" ref="M125"/>
    <hyperlink r:id="rId79" ref="N125"/>
    <hyperlink r:id="rId80" ref="AE126"/>
    <hyperlink r:id="rId81" ref="AF126"/>
    <hyperlink r:id="rId82" ref="AH126"/>
    <hyperlink r:id="rId83" ref="AE127"/>
    <hyperlink r:id="rId84" ref="AF127"/>
    <hyperlink r:id="rId85" ref="AH127"/>
    <hyperlink r:id="rId86" ref="AE128"/>
    <hyperlink r:id="rId87" ref="AF128"/>
    <hyperlink r:id="rId88" ref="AH128"/>
    <hyperlink r:id="rId89" ref="AE129"/>
    <hyperlink r:id="rId90" ref="AF129"/>
    <hyperlink r:id="rId91" ref="AH129"/>
    <hyperlink r:id="rId92" ref="AE130"/>
    <hyperlink r:id="rId93" ref="AF130"/>
    <hyperlink r:id="rId94" ref="AH130"/>
    <hyperlink r:id="rId95" ref="M131"/>
    <hyperlink r:id="rId96" ref="M132"/>
    <hyperlink r:id="rId97" ref="AE133"/>
    <hyperlink r:id="rId98" ref="AF133"/>
    <hyperlink r:id="rId99" ref="AH133"/>
    <hyperlink r:id="rId100" ref="AE134"/>
    <hyperlink r:id="rId101" ref="AF134"/>
    <hyperlink r:id="rId102" ref="AH134"/>
    <hyperlink r:id="rId103" ref="AE135"/>
    <hyperlink r:id="rId104" ref="AF135"/>
    <hyperlink r:id="rId105" ref="AH135"/>
    <hyperlink r:id="rId106" ref="E136"/>
    <hyperlink r:id="rId107" ref="AE136"/>
    <hyperlink r:id="rId108" ref="AF136"/>
    <hyperlink r:id="rId109" ref="AH136"/>
    <hyperlink r:id="rId110" ref="AE137"/>
    <hyperlink r:id="rId111" ref="AF137"/>
    <hyperlink r:id="rId112" ref="AH137"/>
    <hyperlink r:id="rId113" ref="AE138"/>
    <hyperlink r:id="rId114" ref="AF138"/>
    <hyperlink r:id="rId115" ref="AH138"/>
    <hyperlink r:id="rId116" ref="AE141"/>
    <hyperlink r:id="rId117" ref="AF141"/>
    <hyperlink r:id="rId118" ref="AH141"/>
    <hyperlink r:id="rId119" ref="AE142"/>
    <hyperlink r:id="rId120" ref="AF142"/>
    <hyperlink r:id="rId121" ref="AH142"/>
    <hyperlink r:id="rId122" ref="AE145"/>
    <hyperlink r:id="rId123" ref="AF145"/>
    <hyperlink r:id="rId124" ref="AH145"/>
    <hyperlink r:id="rId125" ref="AE146"/>
    <hyperlink r:id="rId126" ref="AF146"/>
    <hyperlink r:id="rId127" ref="AH146"/>
    <hyperlink r:id="rId128" ref="AE151"/>
    <hyperlink r:id="rId129" ref="AF151"/>
    <hyperlink r:id="rId130" ref="AH151"/>
    <hyperlink r:id="rId131" ref="AE152"/>
    <hyperlink r:id="rId132" ref="AF152"/>
    <hyperlink r:id="rId133" ref="AH152"/>
    <hyperlink r:id="rId134" ref="AE153"/>
    <hyperlink r:id="rId135" ref="AF153"/>
    <hyperlink r:id="rId136" ref="AH153"/>
    <hyperlink r:id="rId137" ref="AE154"/>
    <hyperlink r:id="rId138" ref="AF154"/>
    <hyperlink r:id="rId139" ref="AH154"/>
  </hyperlinks>
  <drawing r:id="rId14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7.0" topLeftCell="H8" activePane="bottomRight" state="frozen"/>
      <selection activeCell="H1" sqref="H1" pane="topRight"/>
      <selection activeCell="A8" sqref="A8" pane="bottomLeft"/>
      <selection activeCell="H8" sqref="H8" pane="bottomRight"/>
    </sheetView>
  </sheetViews>
  <sheetFormatPr customHeight="1" defaultColWidth="12.63" defaultRowHeight="15.75" outlineLevelCol="1"/>
  <cols>
    <col min="11" max="75" width="12.63" outlineLevel="1"/>
    <col collapsed="1" min="76" max="76" width="12.63"/>
    <col hidden="1" min="77" max="83" width="12.63" outlineLevel="1"/>
    <col collapsed="1" min="84" max="84" width="12.63"/>
    <col hidden="1" min="85" max="147" width="12.63" outlineLevel="1"/>
  </cols>
  <sheetData>
    <row r="1">
      <c r="ES1" s="627"/>
    </row>
    <row r="2">
      <c r="A2" s="628">
        <v>1.0</v>
      </c>
      <c r="B2" s="628">
        <v>2.0</v>
      </c>
      <c r="C2" s="628">
        <v>3.0</v>
      </c>
      <c r="D2" s="628">
        <v>4.0</v>
      </c>
      <c r="E2" s="628">
        <v>5.0</v>
      </c>
      <c r="F2" s="628">
        <v>6.0</v>
      </c>
      <c r="G2" s="628">
        <v>7.0</v>
      </c>
      <c r="H2" s="628">
        <v>8.0</v>
      </c>
      <c r="I2" s="628">
        <v>9.0</v>
      </c>
      <c r="J2" s="628">
        <v>10.0</v>
      </c>
      <c r="K2" s="628">
        <v>11.0</v>
      </c>
      <c r="L2" s="628">
        <v>12.0</v>
      </c>
      <c r="M2" s="628">
        <v>13.0</v>
      </c>
      <c r="N2" s="628">
        <v>14.0</v>
      </c>
      <c r="O2" s="628">
        <v>15.0</v>
      </c>
      <c r="P2" s="628">
        <v>16.0</v>
      </c>
      <c r="Q2" s="628">
        <v>17.0</v>
      </c>
      <c r="R2" s="628">
        <v>18.0</v>
      </c>
      <c r="S2" s="628">
        <v>19.0</v>
      </c>
      <c r="T2" s="628">
        <v>20.0</v>
      </c>
      <c r="U2" s="628">
        <v>21.0</v>
      </c>
      <c r="V2" s="628">
        <v>22.0</v>
      </c>
      <c r="W2" s="628">
        <v>23.0</v>
      </c>
      <c r="X2" s="628">
        <v>24.0</v>
      </c>
      <c r="Y2" s="628">
        <v>25.0</v>
      </c>
      <c r="Z2" s="628">
        <v>26.0</v>
      </c>
      <c r="AA2" s="628">
        <v>27.0</v>
      </c>
      <c r="AB2" s="628">
        <v>28.0</v>
      </c>
      <c r="AC2" s="628">
        <v>29.0</v>
      </c>
      <c r="AD2" s="628">
        <v>30.0</v>
      </c>
      <c r="AE2" s="628">
        <v>31.0</v>
      </c>
      <c r="AF2" s="628">
        <v>32.0</v>
      </c>
      <c r="AG2" s="628">
        <v>33.0</v>
      </c>
      <c r="AH2" s="628">
        <v>34.0</v>
      </c>
      <c r="AI2" s="628">
        <v>35.0</v>
      </c>
      <c r="AJ2" s="628">
        <v>36.0</v>
      </c>
      <c r="AK2" s="628">
        <v>37.0</v>
      </c>
      <c r="AL2" s="628">
        <v>38.0</v>
      </c>
      <c r="AM2" s="628">
        <v>39.0</v>
      </c>
      <c r="AN2" s="628">
        <v>40.0</v>
      </c>
      <c r="AO2" s="628">
        <v>41.0</v>
      </c>
      <c r="AP2" s="628">
        <v>42.0</v>
      </c>
      <c r="AQ2" s="628">
        <v>43.0</v>
      </c>
      <c r="AR2" s="628">
        <v>44.0</v>
      </c>
      <c r="AS2" s="628">
        <v>45.0</v>
      </c>
      <c r="AT2" s="628">
        <v>46.0</v>
      </c>
      <c r="AU2" s="628">
        <v>47.0</v>
      </c>
      <c r="AV2" s="628">
        <v>48.0</v>
      </c>
      <c r="AW2" s="628">
        <v>49.0</v>
      </c>
      <c r="AX2" s="628">
        <v>50.0</v>
      </c>
      <c r="AY2" s="628">
        <v>51.0</v>
      </c>
      <c r="AZ2" s="628">
        <v>52.0</v>
      </c>
      <c r="BA2" s="628">
        <v>53.0</v>
      </c>
      <c r="BB2" s="628">
        <v>54.0</v>
      </c>
      <c r="BC2" s="628">
        <v>55.0</v>
      </c>
      <c r="BD2" s="628">
        <v>56.0</v>
      </c>
      <c r="BE2" s="628">
        <v>57.0</v>
      </c>
      <c r="BF2" s="628">
        <v>58.0</v>
      </c>
      <c r="BG2" s="628">
        <v>59.0</v>
      </c>
      <c r="BH2" s="628">
        <v>60.0</v>
      </c>
      <c r="BI2" s="628">
        <v>61.0</v>
      </c>
      <c r="BJ2" s="628">
        <v>62.0</v>
      </c>
      <c r="BK2" s="628">
        <v>63.0</v>
      </c>
      <c r="BL2" s="628">
        <v>64.0</v>
      </c>
      <c r="BM2" s="628">
        <v>65.0</v>
      </c>
      <c r="BN2" s="628">
        <v>66.0</v>
      </c>
      <c r="BO2" s="628">
        <v>67.0</v>
      </c>
      <c r="BP2" s="628">
        <v>68.0</v>
      </c>
      <c r="BQ2" s="628">
        <v>69.0</v>
      </c>
      <c r="BR2" s="628">
        <v>70.0</v>
      </c>
      <c r="BS2" s="628">
        <v>71.0</v>
      </c>
      <c r="BT2" s="628">
        <v>72.0</v>
      </c>
      <c r="BU2" s="628">
        <v>73.0</v>
      </c>
      <c r="BV2" s="628">
        <v>74.0</v>
      </c>
      <c r="BW2" s="628">
        <v>75.0</v>
      </c>
      <c r="BX2" s="628">
        <v>76.0</v>
      </c>
      <c r="BY2" s="628">
        <v>77.0</v>
      </c>
      <c r="BZ2" s="628">
        <v>78.0</v>
      </c>
      <c r="CA2" s="628">
        <v>79.0</v>
      </c>
      <c r="CB2" s="628">
        <v>80.0</v>
      </c>
      <c r="CC2" s="628">
        <v>81.0</v>
      </c>
      <c r="CD2" s="628">
        <v>82.0</v>
      </c>
      <c r="CE2" s="628">
        <v>83.0</v>
      </c>
      <c r="CF2" s="628">
        <v>84.0</v>
      </c>
      <c r="CG2" s="628">
        <v>85.0</v>
      </c>
      <c r="CH2" s="628">
        <v>86.0</v>
      </c>
      <c r="CI2" s="628">
        <v>87.0</v>
      </c>
      <c r="CJ2" s="628">
        <v>88.0</v>
      </c>
      <c r="CK2" s="628">
        <v>89.0</v>
      </c>
      <c r="CL2" s="628">
        <v>90.0</v>
      </c>
      <c r="CM2" s="628">
        <v>91.0</v>
      </c>
      <c r="CN2" s="628">
        <v>92.0</v>
      </c>
      <c r="CO2" s="628">
        <v>93.0</v>
      </c>
      <c r="CP2" s="628">
        <v>94.0</v>
      </c>
      <c r="CQ2" s="628">
        <v>95.0</v>
      </c>
      <c r="CR2" s="628">
        <v>96.0</v>
      </c>
      <c r="CS2" s="628">
        <v>97.0</v>
      </c>
      <c r="CT2" s="628">
        <v>98.0</v>
      </c>
      <c r="CU2" s="628">
        <v>99.0</v>
      </c>
      <c r="CV2" s="628">
        <v>100.0</v>
      </c>
      <c r="CW2" s="628">
        <v>101.0</v>
      </c>
      <c r="CX2" s="628">
        <v>102.0</v>
      </c>
      <c r="CY2" s="628">
        <v>103.0</v>
      </c>
      <c r="CZ2" s="628">
        <v>104.0</v>
      </c>
      <c r="DA2" s="628">
        <v>105.0</v>
      </c>
      <c r="DB2" s="628">
        <v>106.0</v>
      </c>
      <c r="DC2" s="628">
        <v>107.0</v>
      </c>
      <c r="DD2" s="628">
        <v>108.0</v>
      </c>
      <c r="DE2" s="628">
        <v>109.0</v>
      </c>
      <c r="DF2" s="628">
        <v>110.0</v>
      </c>
      <c r="DG2" s="628">
        <v>111.0</v>
      </c>
      <c r="DH2" s="628">
        <v>112.0</v>
      </c>
      <c r="DI2" s="628">
        <v>113.0</v>
      </c>
      <c r="DJ2" s="628">
        <v>114.0</v>
      </c>
      <c r="DK2" s="628">
        <v>115.0</v>
      </c>
      <c r="DL2" s="628">
        <v>116.0</v>
      </c>
      <c r="DM2" s="628">
        <v>117.0</v>
      </c>
      <c r="DN2" s="628">
        <v>118.0</v>
      </c>
      <c r="DO2" s="628">
        <v>119.0</v>
      </c>
      <c r="DP2" s="628">
        <v>120.0</v>
      </c>
      <c r="DQ2" s="628">
        <v>121.0</v>
      </c>
      <c r="DR2" s="628">
        <v>122.0</v>
      </c>
      <c r="DS2" s="628">
        <v>123.0</v>
      </c>
      <c r="DT2" s="628">
        <v>124.0</v>
      </c>
      <c r="DU2" s="628">
        <v>125.0</v>
      </c>
      <c r="DV2" s="628">
        <v>126.0</v>
      </c>
      <c r="DW2" s="628">
        <v>127.0</v>
      </c>
      <c r="DX2" s="628">
        <v>128.0</v>
      </c>
      <c r="DY2" s="628">
        <v>129.0</v>
      </c>
      <c r="DZ2" s="628">
        <v>130.0</v>
      </c>
      <c r="EA2" s="628">
        <v>131.0</v>
      </c>
      <c r="EB2" s="628">
        <v>132.0</v>
      </c>
      <c r="EC2" s="628">
        <v>133.0</v>
      </c>
      <c r="ED2" s="628">
        <v>134.0</v>
      </c>
      <c r="EE2" s="628">
        <v>135.0</v>
      </c>
      <c r="EF2" s="628">
        <v>136.0</v>
      </c>
      <c r="EG2" s="628">
        <v>137.0</v>
      </c>
      <c r="EH2" s="628">
        <v>138.0</v>
      </c>
      <c r="EI2" s="628">
        <v>139.0</v>
      </c>
      <c r="EJ2" s="628">
        <v>140.0</v>
      </c>
      <c r="EK2" s="628">
        <v>141.0</v>
      </c>
      <c r="EL2" s="628">
        <v>142.0</v>
      </c>
      <c r="EM2" s="628">
        <v>143.0</v>
      </c>
      <c r="EN2" s="628">
        <v>144.0</v>
      </c>
      <c r="EO2" s="628">
        <v>145.0</v>
      </c>
      <c r="EP2" s="628">
        <v>146.0</v>
      </c>
      <c r="EQ2" s="628">
        <v>147.0</v>
      </c>
      <c r="ER2" s="628">
        <v>148.0</v>
      </c>
      <c r="ES2" s="628">
        <v>149.0</v>
      </c>
      <c r="ET2" s="629"/>
      <c r="EU2" s="629"/>
      <c r="EV2" s="629"/>
      <c r="EW2" s="629"/>
      <c r="EX2" s="629"/>
      <c r="EY2" s="629"/>
      <c r="EZ2" s="629"/>
      <c r="FA2" s="629"/>
    </row>
    <row r="3">
      <c r="ES3" s="630"/>
    </row>
    <row r="4">
      <c r="H4" s="631" t="s">
        <v>1999</v>
      </c>
      <c r="J4" s="631" t="s">
        <v>23</v>
      </c>
      <c r="M4" s="631">
        <v>0.0</v>
      </c>
      <c r="N4" s="631">
        <v>0.0</v>
      </c>
      <c r="O4" s="631">
        <v>0.0</v>
      </c>
      <c r="P4" s="631">
        <v>0.0</v>
      </c>
      <c r="Q4" s="631">
        <v>0.0</v>
      </c>
      <c r="R4" s="631">
        <v>19720.0</v>
      </c>
      <c r="S4" s="631">
        <v>20160.0</v>
      </c>
      <c r="T4" s="631">
        <v>20160.0</v>
      </c>
      <c r="U4" s="631">
        <v>20160.0</v>
      </c>
      <c r="V4" s="631">
        <v>28600.0</v>
      </c>
      <c r="W4" s="631">
        <v>20160.0</v>
      </c>
      <c r="X4" s="631">
        <v>13530.0</v>
      </c>
      <c r="Y4" s="631">
        <v>13000.0</v>
      </c>
      <c r="Z4" s="631">
        <v>31560.0</v>
      </c>
      <c r="AA4" s="631">
        <v>37950.0</v>
      </c>
      <c r="AB4" s="631">
        <v>45430.0</v>
      </c>
      <c r="AC4" s="631">
        <v>33940.0</v>
      </c>
      <c r="AD4" s="631">
        <v>22940.0</v>
      </c>
      <c r="AE4" s="631">
        <v>34900.0</v>
      </c>
      <c r="AF4" s="631">
        <v>34910.0</v>
      </c>
      <c r="AG4" s="631">
        <v>34920.0</v>
      </c>
      <c r="AH4" s="631">
        <v>35840.0</v>
      </c>
      <c r="AI4" s="631">
        <v>13130.0</v>
      </c>
      <c r="AJ4" s="631">
        <v>78700.0</v>
      </c>
      <c r="AK4" s="631">
        <v>50380.0</v>
      </c>
      <c r="AL4" s="631">
        <v>23260.0</v>
      </c>
      <c r="AM4" s="631">
        <v>150.0</v>
      </c>
      <c r="AN4" s="631">
        <v>2890.0</v>
      </c>
      <c r="AO4" s="631">
        <v>11670.0</v>
      </c>
      <c r="AP4" s="631">
        <v>31200.0</v>
      </c>
      <c r="AQ4" s="631">
        <v>37590.0</v>
      </c>
      <c r="AR4" s="631">
        <v>37260.0</v>
      </c>
      <c r="AS4" s="631">
        <v>23480.0</v>
      </c>
      <c r="AT4" s="631">
        <v>11540.0</v>
      </c>
      <c r="AU4" s="631">
        <v>33350.0</v>
      </c>
      <c r="AV4" s="631">
        <v>0.0</v>
      </c>
      <c r="AW4" s="631">
        <v>0.0</v>
      </c>
      <c r="AX4" s="631">
        <v>0.0</v>
      </c>
      <c r="AY4" s="631">
        <v>21210.0</v>
      </c>
      <c r="AZ4" s="631">
        <v>34970.0</v>
      </c>
      <c r="BA4" s="631">
        <v>37560.0</v>
      </c>
      <c r="BB4" s="631">
        <v>22800.0</v>
      </c>
      <c r="BC4" s="631">
        <v>0.0</v>
      </c>
      <c r="BD4" s="631">
        <v>0.0</v>
      </c>
      <c r="BE4" s="631">
        <v>0.0</v>
      </c>
      <c r="BF4" s="631">
        <v>0.0</v>
      </c>
      <c r="BG4" s="631">
        <v>0.0</v>
      </c>
      <c r="BH4" s="631">
        <v>0.0</v>
      </c>
      <c r="BI4" s="631">
        <v>0.0</v>
      </c>
      <c r="BJ4" s="631">
        <v>0.0</v>
      </c>
      <c r="BK4" s="631">
        <v>0.0</v>
      </c>
      <c r="BL4" s="631">
        <v>0.0</v>
      </c>
      <c r="BM4" s="631">
        <v>0.0</v>
      </c>
      <c r="BN4" s="631">
        <v>0.0</v>
      </c>
      <c r="BO4" s="631">
        <v>0.0</v>
      </c>
      <c r="BP4" s="631">
        <v>0.0</v>
      </c>
      <c r="BQ4" s="631">
        <v>0.0</v>
      </c>
      <c r="BR4" s="631">
        <v>0.0</v>
      </c>
      <c r="BS4" s="631">
        <v>0.0</v>
      </c>
      <c r="BT4" s="631">
        <v>0.0</v>
      </c>
      <c r="BU4" s="631">
        <v>0.0</v>
      </c>
      <c r="BV4" s="631">
        <v>0.0</v>
      </c>
      <c r="BW4" s="631">
        <v>0.0</v>
      </c>
      <c r="ES4" s="630"/>
    </row>
    <row r="5">
      <c r="H5" s="631" t="s">
        <v>2000</v>
      </c>
      <c r="M5" s="631">
        <v>0.0</v>
      </c>
      <c r="N5" s="631">
        <v>0.0</v>
      </c>
      <c r="O5" s="631">
        <v>0.0</v>
      </c>
      <c r="P5" s="631">
        <v>0.0</v>
      </c>
      <c r="Q5" s="631">
        <v>0.0</v>
      </c>
      <c r="R5" s="631">
        <v>19720.0</v>
      </c>
      <c r="S5" s="631">
        <v>39880.0</v>
      </c>
      <c r="T5" s="631">
        <v>60040.0</v>
      </c>
      <c r="U5" s="631">
        <v>80200.0</v>
      </c>
      <c r="V5" s="631">
        <v>108800.0</v>
      </c>
      <c r="W5" s="631">
        <v>128960.0</v>
      </c>
      <c r="X5" s="631">
        <v>142490.0</v>
      </c>
      <c r="Y5" s="631">
        <v>155490.0</v>
      </c>
      <c r="Z5" s="631">
        <v>187050.0</v>
      </c>
      <c r="AA5" s="631">
        <v>225000.0</v>
      </c>
      <c r="AB5" s="631">
        <v>270430.0</v>
      </c>
      <c r="AC5" s="631">
        <v>304370.0</v>
      </c>
      <c r="AD5" s="631">
        <v>327310.0</v>
      </c>
      <c r="AE5" s="631">
        <v>362210.0</v>
      </c>
      <c r="AF5" s="631">
        <v>397120.0</v>
      </c>
      <c r="AG5" s="631">
        <v>432040.0</v>
      </c>
      <c r="AH5" s="631">
        <v>467880.0</v>
      </c>
      <c r="AI5" s="631">
        <v>481010.0</v>
      </c>
      <c r="AJ5" s="631">
        <v>559710.0</v>
      </c>
      <c r="AK5" s="631">
        <v>610090.0</v>
      </c>
      <c r="AL5" s="631">
        <v>633350.0</v>
      </c>
      <c r="AM5" s="631">
        <v>633500.0</v>
      </c>
      <c r="AN5" s="631">
        <v>636390.0</v>
      </c>
      <c r="AO5" s="631">
        <v>648060.0</v>
      </c>
      <c r="AP5" s="631">
        <v>679260.0</v>
      </c>
      <c r="AQ5" s="631">
        <v>716850.0</v>
      </c>
      <c r="AR5" s="631">
        <v>754110.0</v>
      </c>
      <c r="AS5" s="631">
        <v>777590.0</v>
      </c>
      <c r="AT5" s="631">
        <v>789130.0</v>
      </c>
      <c r="AU5" s="631">
        <v>822480.0</v>
      </c>
      <c r="AV5" s="631">
        <v>822480.0</v>
      </c>
      <c r="AW5" s="631">
        <v>822480.0</v>
      </c>
      <c r="AX5" s="631">
        <v>822480.0</v>
      </c>
      <c r="AY5" s="631">
        <v>843690.0</v>
      </c>
      <c r="AZ5" s="631">
        <v>878660.0</v>
      </c>
      <c r="BA5" s="631">
        <v>916220.0</v>
      </c>
      <c r="BB5" s="631">
        <v>939020.0</v>
      </c>
      <c r="BC5" s="631">
        <v>939020.0</v>
      </c>
      <c r="BD5" s="631">
        <v>939020.0</v>
      </c>
      <c r="BE5" s="631">
        <v>939020.0</v>
      </c>
      <c r="BF5" s="631">
        <v>939020.0</v>
      </c>
      <c r="BG5" s="631">
        <v>939020.0</v>
      </c>
      <c r="BH5" s="631">
        <v>939020.0</v>
      </c>
      <c r="BI5" s="631">
        <v>939020.0</v>
      </c>
      <c r="BJ5" s="631">
        <v>939020.0</v>
      </c>
      <c r="BK5" s="631">
        <v>939020.0</v>
      </c>
      <c r="BL5" s="631">
        <v>939020.0</v>
      </c>
      <c r="BM5" s="631">
        <v>939020.0</v>
      </c>
      <c r="BN5" s="631">
        <v>939020.0</v>
      </c>
      <c r="BO5" s="631">
        <v>939020.0</v>
      </c>
      <c r="BP5" s="631">
        <v>939020.0</v>
      </c>
      <c r="BQ5" s="631">
        <v>939020.0</v>
      </c>
      <c r="BR5" s="631">
        <v>939020.0</v>
      </c>
      <c r="BS5" s="631">
        <v>939020.0</v>
      </c>
      <c r="BT5" s="631">
        <v>939020.0</v>
      </c>
      <c r="BU5" s="631">
        <v>939020.0</v>
      </c>
      <c r="BV5" s="631">
        <v>939020.0</v>
      </c>
      <c r="BW5" s="631">
        <v>939020.0</v>
      </c>
      <c r="CF5" s="631" t="s">
        <v>2001</v>
      </c>
      <c r="CG5" s="631">
        <v>0.0</v>
      </c>
      <c r="CH5" s="631">
        <v>0.0</v>
      </c>
      <c r="CI5" s="631">
        <v>0.0</v>
      </c>
      <c r="CJ5" s="631">
        <v>12030.0</v>
      </c>
      <c r="CK5" s="631">
        <v>62030.0</v>
      </c>
      <c r="CL5" s="631">
        <v>113000.0</v>
      </c>
      <c r="CM5" s="631">
        <v>184300.0</v>
      </c>
      <c r="CN5" s="631">
        <v>250500.0</v>
      </c>
      <c r="CO5" s="631">
        <v>346960.0</v>
      </c>
      <c r="CP5" s="631">
        <v>439120.0</v>
      </c>
      <c r="CQ5" s="631">
        <v>531279.0</v>
      </c>
      <c r="CR5" s="631">
        <v>621099.0</v>
      </c>
      <c r="CS5" s="631">
        <v>694689.0</v>
      </c>
      <c r="CT5" s="631">
        <v>767929.0</v>
      </c>
      <c r="CU5" s="631">
        <v>841369.0</v>
      </c>
      <c r="CV5" s="631">
        <v>921939.0</v>
      </c>
      <c r="CW5" s="631">
        <v>1008939.0</v>
      </c>
      <c r="CX5" s="631">
        <v>1113179.0</v>
      </c>
      <c r="CY5" s="631">
        <v>1224229.0</v>
      </c>
      <c r="CZ5" s="631">
        <v>1296939.0</v>
      </c>
      <c r="DA5" s="631">
        <v>1338039.0</v>
      </c>
      <c r="DB5" s="631">
        <v>1381299.0</v>
      </c>
      <c r="DC5" s="631">
        <v>1422769.0</v>
      </c>
      <c r="DD5" s="631">
        <v>1467209.0</v>
      </c>
      <c r="DE5" s="631">
        <v>1503429.0</v>
      </c>
      <c r="DF5" s="631">
        <v>1516559.0</v>
      </c>
      <c r="DG5" s="631">
        <v>1595259.0</v>
      </c>
      <c r="DH5" s="631">
        <v>1645639.0</v>
      </c>
      <c r="DI5" s="631">
        <v>1668899.0</v>
      </c>
      <c r="DJ5" s="631">
        <v>1669049.0</v>
      </c>
      <c r="DK5" s="631">
        <v>1671939.0</v>
      </c>
      <c r="DL5" s="631">
        <v>1683609.0</v>
      </c>
      <c r="DM5" s="631">
        <v>1714809.0</v>
      </c>
      <c r="DN5" s="631">
        <v>1752399.0</v>
      </c>
      <c r="DO5" s="631">
        <v>1789659.0</v>
      </c>
      <c r="DP5" s="631">
        <v>1813139.0</v>
      </c>
      <c r="DQ5" s="631">
        <v>1824679.0</v>
      </c>
      <c r="DR5" s="631">
        <v>1858029.0</v>
      </c>
      <c r="DS5" s="631">
        <v>1858029.0</v>
      </c>
      <c r="DT5" s="631">
        <v>1858029.0</v>
      </c>
      <c r="DU5" s="631">
        <v>1858029.0</v>
      </c>
      <c r="DV5" s="631">
        <v>1879239.0</v>
      </c>
      <c r="DW5" s="631">
        <v>1914209.0</v>
      </c>
      <c r="DX5" s="631">
        <v>1951769.0</v>
      </c>
      <c r="DY5" s="631">
        <v>1974569.0</v>
      </c>
      <c r="DZ5" s="631">
        <v>1974569.0</v>
      </c>
      <c r="EA5" s="631">
        <v>1974569.0</v>
      </c>
      <c r="EB5" s="631">
        <v>1974569.0</v>
      </c>
      <c r="EC5" s="631">
        <v>1974569.0</v>
      </c>
      <c r="ED5" s="631">
        <v>1974569.0</v>
      </c>
      <c r="EE5" s="631">
        <v>1974569.0</v>
      </c>
      <c r="EF5" s="631">
        <v>1974569.0</v>
      </c>
      <c r="EG5" s="631">
        <v>1974569.0</v>
      </c>
      <c r="EH5" s="631">
        <v>1974569.0</v>
      </c>
      <c r="EI5" s="631">
        <v>1974569.0</v>
      </c>
      <c r="EJ5" s="631">
        <v>1974569.0</v>
      </c>
      <c r="EK5" s="631">
        <v>1974569.0</v>
      </c>
      <c r="EL5" s="631">
        <v>1974569.0</v>
      </c>
      <c r="EM5" s="631">
        <v>1974569.0</v>
      </c>
      <c r="EN5" s="631">
        <v>1974569.0</v>
      </c>
      <c r="EO5" s="631">
        <v>1974569.0</v>
      </c>
      <c r="EP5" s="631">
        <v>1974569.0</v>
      </c>
      <c r="EQ5" s="631">
        <v>1974569.0</v>
      </c>
      <c r="ES5" s="630"/>
    </row>
    <row r="6">
      <c r="J6" s="517" t="s">
        <v>2002</v>
      </c>
      <c r="K6" s="517" t="s">
        <v>2002</v>
      </c>
      <c r="L6" s="517" t="s">
        <v>2002</v>
      </c>
      <c r="M6" s="517" t="s">
        <v>2002</v>
      </c>
      <c r="N6" s="517" t="s">
        <v>2002</v>
      </c>
      <c r="O6" s="517" t="s">
        <v>2002</v>
      </c>
      <c r="P6" s="517" t="s">
        <v>2002</v>
      </c>
      <c r="Q6" s="517" t="s">
        <v>2002</v>
      </c>
      <c r="R6" s="517" t="s">
        <v>2002</v>
      </c>
      <c r="S6" s="517" t="s">
        <v>2002</v>
      </c>
      <c r="T6" s="517" t="s">
        <v>2002</v>
      </c>
      <c r="U6" s="632" t="s">
        <v>2003</v>
      </c>
      <c r="V6" s="632" t="s">
        <v>2003</v>
      </c>
      <c r="W6" s="632" t="s">
        <v>2003</v>
      </c>
      <c r="X6" s="632" t="s">
        <v>2003</v>
      </c>
      <c r="Y6" s="632" t="s">
        <v>2003</v>
      </c>
      <c r="Z6" s="632" t="s">
        <v>2003</v>
      </c>
      <c r="AA6" s="632" t="s">
        <v>2003</v>
      </c>
      <c r="AB6" s="632" t="s">
        <v>2003</v>
      </c>
      <c r="AC6" s="632" t="s">
        <v>2003</v>
      </c>
      <c r="AD6" s="632" t="s">
        <v>2003</v>
      </c>
      <c r="AE6" s="632" t="s">
        <v>2003</v>
      </c>
      <c r="AF6" s="632" t="s">
        <v>2003</v>
      </c>
      <c r="AG6" s="632" t="s">
        <v>2003</v>
      </c>
      <c r="AH6" s="517" t="s">
        <v>2004</v>
      </c>
      <c r="AI6" s="517" t="s">
        <v>2004</v>
      </c>
      <c r="AJ6" s="517" t="s">
        <v>2004</v>
      </c>
      <c r="AK6" s="517" t="s">
        <v>2004</v>
      </c>
      <c r="AL6" s="517" t="s">
        <v>2004</v>
      </c>
      <c r="AM6" s="517" t="s">
        <v>2004</v>
      </c>
      <c r="AN6" s="517" t="s">
        <v>2004</v>
      </c>
      <c r="AO6" s="517" t="s">
        <v>2004</v>
      </c>
      <c r="AP6" s="517" t="s">
        <v>2004</v>
      </c>
      <c r="AQ6" s="517" t="s">
        <v>2004</v>
      </c>
      <c r="AR6" s="517" t="s">
        <v>2004</v>
      </c>
      <c r="AS6" s="517" t="s">
        <v>2004</v>
      </c>
      <c r="AT6" s="517" t="s">
        <v>2004</v>
      </c>
      <c r="AU6" s="633" t="s">
        <v>2005</v>
      </c>
      <c r="AV6" s="633" t="s">
        <v>2005</v>
      </c>
      <c r="AW6" s="633" t="s">
        <v>2005</v>
      </c>
      <c r="AX6" s="633" t="s">
        <v>2005</v>
      </c>
      <c r="AY6" s="633" t="s">
        <v>2005</v>
      </c>
      <c r="AZ6" s="633" t="s">
        <v>2005</v>
      </c>
      <c r="BA6" s="633" t="s">
        <v>2005</v>
      </c>
      <c r="BB6" s="633" t="s">
        <v>2005</v>
      </c>
      <c r="BC6" s="633" t="s">
        <v>2005</v>
      </c>
      <c r="BD6" s="633" t="s">
        <v>2005</v>
      </c>
      <c r="BE6" s="633" t="s">
        <v>2005</v>
      </c>
      <c r="BF6" s="633" t="s">
        <v>2005</v>
      </c>
      <c r="BG6" s="633" t="s">
        <v>2005</v>
      </c>
      <c r="BH6" s="633" t="s">
        <v>2006</v>
      </c>
      <c r="BI6" s="633" t="s">
        <v>2006</v>
      </c>
      <c r="BJ6" s="633" t="s">
        <v>2006</v>
      </c>
      <c r="BK6" s="633" t="s">
        <v>2006</v>
      </c>
      <c r="BL6" s="633" t="s">
        <v>2006</v>
      </c>
      <c r="BM6" s="633" t="s">
        <v>2006</v>
      </c>
      <c r="BN6" s="633" t="s">
        <v>2006</v>
      </c>
      <c r="BO6" s="633" t="s">
        <v>2006</v>
      </c>
      <c r="BP6" s="633" t="s">
        <v>2006</v>
      </c>
      <c r="BQ6" s="633" t="s">
        <v>2006</v>
      </c>
      <c r="BR6" s="633" t="s">
        <v>2006</v>
      </c>
      <c r="BS6" s="633" t="s">
        <v>2006</v>
      </c>
      <c r="BT6" s="633" t="s">
        <v>2006</v>
      </c>
      <c r="CG6" s="517" t="s">
        <v>2002</v>
      </c>
      <c r="CH6" s="517" t="s">
        <v>2002</v>
      </c>
      <c r="CI6" s="517" t="s">
        <v>2002</v>
      </c>
      <c r="CJ6" s="517" t="s">
        <v>2002</v>
      </c>
      <c r="CK6" s="517" t="s">
        <v>2002</v>
      </c>
      <c r="CL6" s="517" t="s">
        <v>2002</v>
      </c>
      <c r="CM6" s="517" t="s">
        <v>2002</v>
      </c>
      <c r="CN6" s="517" t="s">
        <v>2002</v>
      </c>
      <c r="CO6" s="517" t="s">
        <v>2002</v>
      </c>
      <c r="CP6" s="517" t="s">
        <v>2002</v>
      </c>
      <c r="CQ6" s="517" t="s">
        <v>2002</v>
      </c>
      <c r="CR6" s="632" t="s">
        <v>2003</v>
      </c>
      <c r="CS6" s="632" t="s">
        <v>2003</v>
      </c>
      <c r="CT6" s="632" t="s">
        <v>2003</v>
      </c>
      <c r="CU6" s="632" t="s">
        <v>2003</v>
      </c>
      <c r="CV6" s="632" t="s">
        <v>2003</v>
      </c>
      <c r="CW6" s="632" t="s">
        <v>2003</v>
      </c>
      <c r="CX6" s="632" t="s">
        <v>2003</v>
      </c>
      <c r="CY6" s="632" t="s">
        <v>2003</v>
      </c>
      <c r="CZ6" s="632" t="s">
        <v>2003</v>
      </c>
      <c r="DA6" s="632" t="s">
        <v>2003</v>
      </c>
      <c r="DB6" s="632" t="s">
        <v>2003</v>
      </c>
      <c r="DC6" s="632" t="s">
        <v>2003</v>
      </c>
      <c r="DD6" s="632" t="s">
        <v>2003</v>
      </c>
      <c r="DE6" s="517" t="s">
        <v>2004</v>
      </c>
      <c r="DF6" s="517" t="s">
        <v>2004</v>
      </c>
      <c r="DG6" s="517" t="s">
        <v>2004</v>
      </c>
      <c r="DH6" s="517" t="s">
        <v>2004</v>
      </c>
      <c r="DI6" s="517" t="s">
        <v>2004</v>
      </c>
      <c r="DJ6" s="517" t="s">
        <v>2004</v>
      </c>
      <c r="DK6" s="517" t="s">
        <v>2004</v>
      </c>
      <c r="DL6" s="517" t="s">
        <v>2004</v>
      </c>
      <c r="DM6" s="517" t="s">
        <v>2004</v>
      </c>
      <c r="DN6" s="517" t="s">
        <v>2004</v>
      </c>
      <c r="DO6" s="517" t="s">
        <v>2004</v>
      </c>
      <c r="DP6" s="517" t="s">
        <v>2004</v>
      </c>
      <c r="DQ6" s="517" t="s">
        <v>2004</v>
      </c>
      <c r="DR6" s="633" t="s">
        <v>2005</v>
      </c>
      <c r="DS6" s="633" t="s">
        <v>2005</v>
      </c>
      <c r="DT6" s="633" t="s">
        <v>2005</v>
      </c>
      <c r="DU6" s="633" t="s">
        <v>2005</v>
      </c>
      <c r="DV6" s="633" t="s">
        <v>2005</v>
      </c>
      <c r="DW6" s="633" t="s">
        <v>2005</v>
      </c>
      <c r="DX6" s="633" t="s">
        <v>2005</v>
      </c>
      <c r="DY6" s="633" t="s">
        <v>2005</v>
      </c>
      <c r="DZ6" s="633" t="s">
        <v>2005</v>
      </c>
      <c r="EA6" s="633" t="s">
        <v>2005</v>
      </c>
      <c r="EB6" s="633" t="s">
        <v>2005</v>
      </c>
      <c r="EC6" s="633" t="s">
        <v>2005</v>
      </c>
      <c r="ED6" s="633" t="s">
        <v>2005</v>
      </c>
      <c r="EE6" s="633" t="s">
        <v>2006</v>
      </c>
      <c r="EF6" s="633" t="s">
        <v>2006</v>
      </c>
      <c r="EG6" s="633" t="s">
        <v>2006</v>
      </c>
      <c r="EH6" s="633" t="s">
        <v>2006</v>
      </c>
      <c r="EI6" s="633" t="s">
        <v>2006</v>
      </c>
      <c r="EJ6" s="633" t="s">
        <v>2006</v>
      </c>
      <c r="EK6" s="633" t="s">
        <v>2006</v>
      </c>
      <c r="EL6" s="633" t="s">
        <v>2006</v>
      </c>
      <c r="EM6" s="633" t="s">
        <v>2006</v>
      </c>
      <c r="EN6" s="633" t="s">
        <v>2006</v>
      </c>
      <c r="EO6" s="633" t="s">
        <v>2006</v>
      </c>
      <c r="EP6" s="633" t="s">
        <v>2006</v>
      </c>
      <c r="EQ6" s="633" t="s">
        <v>2006</v>
      </c>
      <c r="ES6" s="630"/>
    </row>
    <row r="7">
      <c r="A7" s="634" t="s">
        <v>2007</v>
      </c>
      <c r="B7" s="634" t="s">
        <v>2008</v>
      </c>
      <c r="C7" s="635" t="s">
        <v>2009</v>
      </c>
      <c r="D7" s="635" t="s">
        <v>2010</v>
      </c>
      <c r="E7" s="636" t="s">
        <v>2011</v>
      </c>
      <c r="F7" s="636" t="s">
        <v>1740</v>
      </c>
      <c r="G7" s="635" t="s">
        <v>2012</v>
      </c>
      <c r="H7" s="635" t="s">
        <v>2013</v>
      </c>
      <c r="I7" s="536"/>
      <c r="J7" s="637">
        <v>45760.0</v>
      </c>
      <c r="K7" s="637">
        <v>45767.0</v>
      </c>
      <c r="L7" s="637">
        <v>45774.0</v>
      </c>
      <c r="M7" s="637">
        <v>45781.0</v>
      </c>
      <c r="N7" s="637">
        <v>45788.0</v>
      </c>
      <c r="O7" s="637">
        <v>45795.0</v>
      </c>
      <c r="P7" s="637">
        <v>45802.0</v>
      </c>
      <c r="Q7" s="637">
        <v>45809.0</v>
      </c>
      <c r="R7" s="637">
        <v>45816.0</v>
      </c>
      <c r="S7" s="637">
        <v>45823.0</v>
      </c>
      <c r="T7" s="637">
        <v>45830.0</v>
      </c>
      <c r="U7" s="637">
        <v>45837.0</v>
      </c>
      <c r="V7" s="637">
        <v>45844.0</v>
      </c>
      <c r="W7" s="637">
        <v>45851.0</v>
      </c>
      <c r="X7" s="637">
        <v>45858.0</v>
      </c>
      <c r="Y7" s="637">
        <v>45865.0</v>
      </c>
      <c r="Z7" s="637">
        <v>45872.0</v>
      </c>
      <c r="AA7" s="637">
        <v>45879.0</v>
      </c>
      <c r="AB7" s="637">
        <v>45886.0</v>
      </c>
      <c r="AC7" s="637">
        <v>45893.0</v>
      </c>
      <c r="AD7" s="637">
        <v>45900.0</v>
      </c>
      <c r="AE7" s="637">
        <v>45907.0</v>
      </c>
      <c r="AF7" s="637">
        <v>45914.0</v>
      </c>
      <c r="AG7" s="637">
        <v>45921.0</v>
      </c>
      <c r="AH7" s="637">
        <v>45928.0</v>
      </c>
      <c r="AI7" s="637">
        <v>45935.0</v>
      </c>
      <c r="AJ7" s="637">
        <v>45942.0</v>
      </c>
      <c r="AK7" s="637">
        <v>45949.0</v>
      </c>
      <c r="AL7" s="637">
        <v>45956.0</v>
      </c>
      <c r="AM7" s="637">
        <v>45963.0</v>
      </c>
      <c r="AN7" s="637">
        <v>45970.0</v>
      </c>
      <c r="AO7" s="637">
        <v>45977.0</v>
      </c>
      <c r="AP7" s="637">
        <v>45984.0</v>
      </c>
      <c r="AQ7" s="637">
        <v>45991.0</v>
      </c>
      <c r="AR7" s="637">
        <v>45998.0</v>
      </c>
      <c r="AS7" s="637">
        <v>46005.0</v>
      </c>
      <c r="AT7" s="637">
        <v>46012.0</v>
      </c>
      <c r="AU7" s="637">
        <v>46019.0</v>
      </c>
      <c r="AV7" s="637">
        <v>46026.0</v>
      </c>
      <c r="AW7" s="637">
        <v>46033.0</v>
      </c>
      <c r="AX7" s="637">
        <v>46040.0</v>
      </c>
      <c r="AY7" s="637">
        <v>46047.0</v>
      </c>
      <c r="AZ7" s="637">
        <v>46054.0</v>
      </c>
      <c r="BA7" s="637">
        <v>46061.0</v>
      </c>
      <c r="BB7" s="637">
        <v>46068.0</v>
      </c>
      <c r="BC7" s="637">
        <v>46075.0</v>
      </c>
      <c r="BD7" s="637">
        <v>46082.0</v>
      </c>
      <c r="BE7" s="637">
        <v>46089.0</v>
      </c>
      <c r="BF7" s="637">
        <v>46096.0</v>
      </c>
      <c r="BG7" s="637">
        <v>46103.0</v>
      </c>
      <c r="BH7" s="637">
        <v>46110.0</v>
      </c>
      <c r="BI7" s="637">
        <v>46117.0</v>
      </c>
      <c r="BJ7" s="637">
        <v>46124.0</v>
      </c>
      <c r="BK7" s="637">
        <v>46131.0</v>
      </c>
      <c r="BL7" s="637">
        <v>46138.0</v>
      </c>
      <c r="BM7" s="637">
        <v>46145.0</v>
      </c>
      <c r="BN7" s="637">
        <v>46152.0</v>
      </c>
      <c r="BO7" s="637">
        <v>46159.0</v>
      </c>
      <c r="BP7" s="637">
        <v>46166.0</v>
      </c>
      <c r="BQ7" s="637">
        <v>46173.0</v>
      </c>
      <c r="BR7" s="637">
        <v>46180.0</v>
      </c>
      <c r="BS7" s="637">
        <v>46187.0</v>
      </c>
      <c r="BT7" s="637">
        <v>46194.0</v>
      </c>
      <c r="BU7" s="637">
        <v>46201.0</v>
      </c>
      <c r="BV7" s="637">
        <v>46208.0</v>
      </c>
      <c r="BW7" s="637">
        <v>46215.0</v>
      </c>
      <c r="BX7" s="536"/>
      <c r="BY7" s="536"/>
      <c r="BZ7" s="536"/>
      <c r="CA7" s="536"/>
      <c r="CB7" s="536"/>
      <c r="CC7" s="536"/>
      <c r="CD7" s="536"/>
      <c r="CE7" s="536"/>
      <c r="CF7" s="536"/>
      <c r="CG7" s="637">
        <v>45760.0</v>
      </c>
      <c r="CH7" s="637">
        <v>45767.0</v>
      </c>
      <c r="CI7" s="637">
        <v>45774.0</v>
      </c>
      <c r="CJ7" s="637">
        <v>45781.0</v>
      </c>
      <c r="CK7" s="637">
        <v>45788.0</v>
      </c>
      <c r="CL7" s="637">
        <v>45795.0</v>
      </c>
      <c r="CM7" s="637">
        <v>45802.0</v>
      </c>
      <c r="CN7" s="637">
        <v>45809.0</v>
      </c>
      <c r="CO7" s="637">
        <v>45816.0</v>
      </c>
      <c r="CP7" s="637">
        <v>45823.0</v>
      </c>
      <c r="CQ7" s="637">
        <v>45830.0</v>
      </c>
      <c r="CR7" s="637">
        <v>45837.0</v>
      </c>
      <c r="CS7" s="637">
        <v>45844.0</v>
      </c>
      <c r="CT7" s="637">
        <v>45851.0</v>
      </c>
      <c r="CU7" s="637">
        <v>45858.0</v>
      </c>
      <c r="CV7" s="637">
        <v>45865.0</v>
      </c>
      <c r="CW7" s="637">
        <v>45872.0</v>
      </c>
      <c r="CX7" s="637">
        <v>45879.0</v>
      </c>
      <c r="CY7" s="637">
        <v>45886.0</v>
      </c>
      <c r="CZ7" s="637">
        <v>45893.0</v>
      </c>
      <c r="DA7" s="637">
        <v>45900.0</v>
      </c>
      <c r="DB7" s="637">
        <v>45907.0</v>
      </c>
      <c r="DC7" s="637">
        <v>45914.0</v>
      </c>
      <c r="DD7" s="637">
        <v>45921.0</v>
      </c>
      <c r="DE7" s="637">
        <v>45928.0</v>
      </c>
      <c r="DF7" s="637">
        <v>45935.0</v>
      </c>
      <c r="DG7" s="637">
        <v>45942.0</v>
      </c>
      <c r="DH7" s="637">
        <v>45949.0</v>
      </c>
      <c r="DI7" s="637">
        <v>45956.0</v>
      </c>
      <c r="DJ7" s="637">
        <v>45963.0</v>
      </c>
      <c r="DK7" s="637">
        <v>45970.0</v>
      </c>
      <c r="DL7" s="637">
        <v>45977.0</v>
      </c>
      <c r="DM7" s="637">
        <v>45984.0</v>
      </c>
      <c r="DN7" s="637">
        <v>45991.0</v>
      </c>
      <c r="DO7" s="637">
        <v>45998.0</v>
      </c>
      <c r="DP7" s="637">
        <v>46005.0</v>
      </c>
      <c r="DQ7" s="637">
        <v>46012.0</v>
      </c>
      <c r="DR7" s="637">
        <v>46019.0</v>
      </c>
      <c r="DS7" s="637">
        <v>46026.0</v>
      </c>
      <c r="DT7" s="637">
        <v>46033.0</v>
      </c>
      <c r="DU7" s="637">
        <v>46040.0</v>
      </c>
      <c r="DV7" s="637">
        <v>46047.0</v>
      </c>
      <c r="DW7" s="637">
        <v>46054.0</v>
      </c>
      <c r="DX7" s="637">
        <v>46061.0</v>
      </c>
      <c r="DY7" s="637">
        <v>46068.0</v>
      </c>
      <c r="DZ7" s="637">
        <v>46075.0</v>
      </c>
      <c r="EA7" s="637">
        <v>46082.0</v>
      </c>
      <c r="EB7" s="637">
        <v>46089.0</v>
      </c>
      <c r="EC7" s="637">
        <v>46096.0</v>
      </c>
      <c r="ED7" s="637">
        <v>46103.0</v>
      </c>
      <c r="EE7" s="637">
        <v>46110.0</v>
      </c>
      <c r="EF7" s="637">
        <v>46117.0</v>
      </c>
      <c r="EG7" s="637">
        <v>46124.0</v>
      </c>
      <c r="EH7" s="637">
        <v>46131.0</v>
      </c>
      <c r="EI7" s="637">
        <v>46138.0</v>
      </c>
      <c r="EJ7" s="637">
        <v>46145.0</v>
      </c>
      <c r="EK7" s="637">
        <v>46152.0</v>
      </c>
      <c r="EL7" s="637">
        <v>46159.0</v>
      </c>
      <c r="EM7" s="637">
        <v>46166.0</v>
      </c>
      <c r="EN7" s="637">
        <v>46173.0</v>
      </c>
      <c r="EO7" s="637">
        <v>46180.0</v>
      </c>
      <c r="EP7" s="637">
        <v>46187.0</v>
      </c>
      <c r="EQ7" s="637">
        <v>46194.0</v>
      </c>
      <c r="ER7" s="536"/>
      <c r="ES7" s="638" t="s">
        <v>2014</v>
      </c>
      <c r="ET7" s="536"/>
      <c r="EU7" s="536"/>
      <c r="EV7" s="536"/>
      <c r="EW7" s="536"/>
      <c r="EX7" s="536"/>
      <c r="EY7" s="536"/>
      <c r="EZ7" s="536"/>
      <c r="FA7" s="536"/>
    </row>
    <row r="8">
      <c r="A8" s="516" t="str">
        <f t="array" ref="A8:ES400">sort('Import_FL5 MPS (06.06.25)'!A8:ES400,149,-1)</f>
        <v/>
      </c>
      <c r="B8" s="517"/>
      <c r="C8" s="517"/>
      <c r="D8" s="517"/>
      <c r="E8" s="517"/>
      <c r="F8" s="517"/>
      <c r="G8" s="517"/>
      <c r="H8" s="517"/>
      <c r="I8" s="517"/>
      <c r="J8" s="517"/>
      <c r="K8" s="517"/>
      <c r="L8" s="517"/>
      <c r="M8" s="517"/>
      <c r="N8" s="517"/>
      <c r="O8" s="517"/>
      <c r="P8" s="517"/>
      <c r="Q8" s="517"/>
      <c r="R8" s="517"/>
      <c r="S8" s="517"/>
      <c r="T8" s="517"/>
      <c r="U8" s="517"/>
      <c r="V8" s="517"/>
      <c r="W8" s="517"/>
      <c r="X8" s="517"/>
      <c r="Y8" s="517"/>
      <c r="Z8" s="517"/>
      <c r="AA8" s="517"/>
      <c r="AB8" s="517"/>
      <c r="AC8" s="517"/>
      <c r="AD8" s="517"/>
      <c r="AE8" s="517"/>
      <c r="AF8" s="517"/>
      <c r="AG8" s="517"/>
      <c r="AH8" s="517"/>
      <c r="AI8" s="517"/>
      <c r="AJ8" s="517"/>
      <c r="AK8" s="517"/>
      <c r="AL8" s="517"/>
      <c r="AM8" s="517"/>
      <c r="AN8" s="517"/>
      <c r="AO8" s="517"/>
      <c r="AP8" s="517"/>
      <c r="AQ8" s="517"/>
      <c r="AR8" s="517"/>
      <c r="AS8" s="517"/>
      <c r="AT8" s="517"/>
      <c r="AU8" s="517"/>
      <c r="AV8" s="517"/>
      <c r="AW8" s="517"/>
      <c r="AX8" s="517"/>
      <c r="AY8" s="517"/>
      <c r="AZ8" s="517"/>
      <c r="BA8" s="517"/>
      <c r="BB8" s="517"/>
      <c r="BC8" s="517"/>
      <c r="BD8" s="517"/>
      <c r="BE8" s="517"/>
      <c r="BF8" s="517"/>
      <c r="BG8" s="517"/>
      <c r="BH8" s="517"/>
      <c r="BI8" s="517"/>
      <c r="BJ8" s="517"/>
      <c r="BK8" s="517"/>
      <c r="BL8" s="517"/>
      <c r="BM8" s="517"/>
      <c r="BN8" s="517"/>
      <c r="BO8" s="517"/>
      <c r="BP8" s="517"/>
      <c r="BQ8" s="517"/>
      <c r="BR8" s="517"/>
      <c r="BS8" s="517"/>
      <c r="BT8" s="517"/>
      <c r="BU8" s="517"/>
      <c r="BV8" s="517"/>
      <c r="BW8" s="517"/>
      <c r="BX8" s="517"/>
      <c r="BY8" s="517"/>
      <c r="BZ8" s="517"/>
      <c r="CA8" s="517"/>
      <c r="CB8" s="517"/>
      <c r="CC8" s="517"/>
      <c r="CD8" s="517"/>
      <c r="CE8" s="517"/>
      <c r="CF8" s="517"/>
      <c r="CG8" s="517"/>
      <c r="CH8" s="517"/>
      <c r="CI8" s="517"/>
      <c r="CJ8" s="517"/>
      <c r="CK8" s="517"/>
      <c r="CL8" s="517"/>
      <c r="CM8" s="517"/>
      <c r="CN8" s="517"/>
      <c r="CO8" s="517"/>
      <c r="CP8" s="517"/>
      <c r="CQ8" s="517"/>
      <c r="CR8" s="517"/>
      <c r="CS8" s="517"/>
      <c r="CT8" s="517"/>
      <c r="CU8" s="517"/>
      <c r="CV8" s="517"/>
      <c r="CW8" s="517"/>
      <c r="CX8" s="517"/>
      <c r="CY8" s="517"/>
      <c r="CZ8" s="517"/>
      <c r="DA8" s="517"/>
      <c r="DB8" s="517"/>
      <c r="DC8" s="517"/>
      <c r="DD8" s="517"/>
      <c r="DE8" s="517"/>
      <c r="DF8" s="517"/>
      <c r="DG8" s="517"/>
      <c r="DH8" s="517"/>
      <c r="DI8" s="517"/>
      <c r="DJ8" s="517"/>
      <c r="DK8" s="517"/>
      <c r="DL8" s="517"/>
      <c r="DM8" s="517"/>
      <c r="DN8" s="517"/>
      <c r="DO8" s="517"/>
      <c r="DP8" s="517"/>
      <c r="DQ8" s="517"/>
      <c r="DR8" s="517"/>
      <c r="DS8" s="517"/>
      <c r="DT8" s="517"/>
      <c r="DU8" s="517"/>
      <c r="DV8" s="517"/>
      <c r="DW8" s="517"/>
      <c r="DX8" s="517"/>
      <c r="DY8" s="517"/>
      <c r="DZ8" s="517"/>
      <c r="EA8" s="517"/>
      <c r="EB8" s="517"/>
      <c r="EC8" s="517"/>
      <c r="ED8" s="517"/>
      <c r="EE8" s="517"/>
      <c r="EF8" s="517"/>
      <c r="EG8" s="517"/>
      <c r="EH8" s="517"/>
      <c r="EI8" s="517"/>
      <c r="EJ8" s="517"/>
      <c r="EK8" s="517"/>
      <c r="EL8" s="517"/>
      <c r="EM8" s="517"/>
      <c r="EN8" s="517"/>
      <c r="EO8" s="517"/>
      <c r="EP8" s="517"/>
      <c r="EQ8" s="517"/>
      <c r="ER8" s="517"/>
      <c r="ES8" s="627" t="s">
        <v>1140</v>
      </c>
    </row>
    <row r="9">
      <c r="A9" s="517"/>
      <c r="B9" s="517"/>
      <c r="C9" s="517"/>
      <c r="D9" s="517"/>
      <c r="E9" s="517"/>
      <c r="F9" s="517"/>
      <c r="G9" s="517"/>
      <c r="H9" s="517"/>
      <c r="I9" s="517"/>
      <c r="J9" s="517"/>
      <c r="K9" s="517"/>
      <c r="L9" s="517"/>
      <c r="M9" s="517"/>
      <c r="N9" s="517"/>
      <c r="O9" s="517"/>
      <c r="P9" s="517"/>
      <c r="Q9" s="517"/>
      <c r="R9" s="517"/>
      <c r="S9" s="517"/>
      <c r="T9" s="517"/>
      <c r="U9" s="517"/>
      <c r="V9" s="517"/>
      <c r="W9" s="517"/>
      <c r="X9" s="517"/>
      <c r="Y9" s="517"/>
      <c r="Z9" s="517"/>
      <c r="AA9" s="517"/>
      <c r="AB9" s="517"/>
      <c r="AC9" s="517"/>
      <c r="AD9" s="517"/>
      <c r="AE9" s="517"/>
      <c r="AF9" s="517"/>
      <c r="AG9" s="517"/>
      <c r="AH9" s="517"/>
      <c r="AI9" s="517"/>
      <c r="AJ9" s="517"/>
      <c r="AK9" s="517"/>
      <c r="AL9" s="517"/>
      <c r="AM9" s="517"/>
      <c r="AN9" s="517"/>
      <c r="AO9" s="517"/>
      <c r="AP9" s="517"/>
      <c r="AQ9" s="517"/>
      <c r="AR9" s="517"/>
      <c r="AS9" s="517"/>
      <c r="AT9" s="517"/>
      <c r="AU9" s="517"/>
      <c r="AV9" s="517"/>
      <c r="AW9" s="517"/>
      <c r="AX9" s="517"/>
      <c r="AY9" s="517"/>
      <c r="AZ9" s="517"/>
      <c r="BA9" s="517"/>
      <c r="BB9" s="517"/>
      <c r="BC9" s="517"/>
      <c r="BD9" s="517"/>
      <c r="BE9" s="517"/>
      <c r="BF9" s="517"/>
      <c r="BG9" s="517"/>
      <c r="BH9" s="517"/>
      <c r="BI9" s="517"/>
      <c r="BJ9" s="517"/>
      <c r="BK9" s="517"/>
      <c r="BL9" s="517"/>
      <c r="BM9" s="517"/>
      <c r="BN9" s="517"/>
      <c r="BO9" s="517"/>
      <c r="BP9" s="517"/>
      <c r="BQ9" s="517"/>
      <c r="BR9" s="517"/>
      <c r="BS9" s="517"/>
      <c r="BT9" s="517"/>
      <c r="BU9" s="517"/>
      <c r="BV9" s="517"/>
      <c r="BW9" s="517"/>
      <c r="BX9" s="517"/>
      <c r="BY9" s="517"/>
      <c r="BZ9" s="517"/>
      <c r="CA9" s="517"/>
      <c r="CB9" s="517"/>
      <c r="CC9" s="517"/>
      <c r="CD9" s="517"/>
      <c r="CE9" s="517"/>
      <c r="CF9" s="517"/>
      <c r="CG9" s="517"/>
      <c r="CH9" s="517"/>
      <c r="CI9" s="517"/>
      <c r="CJ9" s="517"/>
      <c r="CK9" s="517"/>
      <c r="CL9" s="517"/>
      <c r="CM9" s="517"/>
      <c r="CN9" s="517"/>
      <c r="CO9" s="517"/>
      <c r="CP9" s="517"/>
      <c r="CQ9" s="517"/>
      <c r="CR9" s="517"/>
      <c r="CS9" s="517"/>
      <c r="CT9" s="517"/>
      <c r="CU9" s="517"/>
      <c r="CV9" s="517"/>
      <c r="CW9" s="517"/>
      <c r="CX9" s="517"/>
      <c r="CY9" s="517"/>
      <c r="CZ9" s="517"/>
      <c r="DA9" s="517"/>
      <c r="DB9" s="517"/>
      <c r="DC9" s="517"/>
      <c r="DD9" s="517"/>
      <c r="DE9" s="517"/>
      <c r="DF9" s="517"/>
      <c r="DG9" s="517"/>
      <c r="DH9" s="517"/>
      <c r="DI9" s="517"/>
      <c r="DJ9" s="517"/>
      <c r="DK9" s="517"/>
      <c r="DL9" s="517"/>
      <c r="DM9" s="517"/>
      <c r="DN9" s="517"/>
      <c r="DO9" s="517"/>
      <c r="DP9" s="517"/>
      <c r="DQ9" s="517"/>
      <c r="DR9" s="517"/>
      <c r="DS9" s="517"/>
      <c r="DT9" s="517"/>
      <c r="DU9" s="517"/>
      <c r="DV9" s="517"/>
      <c r="DW9" s="517"/>
      <c r="DX9" s="517"/>
      <c r="DY9" s="517"/>
      <c r="DZ9" s="517"/>
      <c r="EA9" s="517"/>
      <c r="EB9" s="517"/>
      <c r="EC9" s="517"/>
      <c r="ED9" s="517"/>
      <c r="EE9" s="517"/>
      <c r="EF9" s="517"/>
      <c r="EG9" s="517"/>
      <c r="EH9" s="517"/>
      <c r="EI9" s="517"/>
      <c r="EJ9" s="517"/>
      <c r="EK9" s="517"/>
      <c r="EL9" s="517"/>
      <c r="EM9" s="517"/>
      <c r="EN9" s="517"/>
      <c r="EO9" s="517"/>
      <c r="EP9" s="517"/>
      <c r="EQ9" s="517"/>
      <c r="ER9" s="517"/>
      <c r="ES9" s="627" t="s">
        <v>1140</v>
      </c>
    </row>
    <row r="10">
      <c r="A10" s="517"/>
      <c r="B10" s="517"/>
      <c r="C10" s="517"/>
      <c r="D10" s="517"/>
      <c r="E10" s="517"/>
      <c r="F10" s="517"/>
      <c r="G10" s="517"/>
      <c r="H10" s="517"/>
      <c r="I10" s="517"/>
      <c r="J10" s="517"/>
      <c r="K10" s="517"/>
      <c r="L10" s="517"/>
      <c r="M10" s="517"/>
      <c r="N10" s="517"/>
      <c r="O10" s="517"/>
      <c r="P10" s="517"/>
      <c r="Q10" s="517"/>
      <c r="R10" s="517"/>
      <c r="S10" s="517"/>
      <c r="T10" s="517"/>
      <c r="U10" s="517"/>
      <c r="V10" s="517"/>
      <c r="W10" s="517"/>
      <c r="X10" s="517"/>
      <c r="Y10" s="517"/>
      <c r="Z10" s="517"/>
      <c r="AA10" s="517"/>
      <c r="AB10" s="517"/>
      <c r="AC10" s="517"/>
      <c r="AD10" s="517"/>
      <c r="AE10" s="517"/>
      <c r="AF10" s="517"/>
      <c r="AG10" s="517"/>
      <c r="AH10" s="517"/>
      <c r="AI10" s="517"/>
      <c r="AJ10" s="517"/>
      <c r="AK10" s="517"/>
      <c r="AL10" s="517"/>
      <c r="AM10" s="517"/>
      <c r="AN10" s="517"/>
      <c r="AO10" s="517"/>
      <c r="AP10" s="517"/>
      <c r="AQ10" s="517"/>
      <c r="AR10" s="517"/>
      <c r="AS10" s="517"/>
      <c r="AT10" s="517"/>
      <c r="AU10" s="517"/>
      <c r="AV10" s="517"/>
      <c r="AW10" s="517"/>
      <c r="AX10" s="517"/>
      <c r="AY10" s="517"/>
      <c r="AZ10" s="517"/>
      <c r="BA10" s="517"/>
      <c r="BB10" s="517"/>
      <c r="BC10" s="517"/>
      <c r="BD10" s="517"/>
      <c r="BE10" s="517"/>
      <c r="BF10" s="517"/>
      <c r="BG10" s="517"/>
      <c r="BH10" s="517"/>
      <c r="BI10" s="517"/>
      <c r="BJ10" s="517"/>
      <c r="BK10" s="517"/>
      <c r="BL10" s="517"/>
      <c r="BM10" s="517"/>
      <c r="BN10" s="517"/>
      <c r="BO10" s="517"/>
      <c r="BP10" s="517"/>
      <c r="BQ10" s="517"/>
      <c r="BR10" s="517"/>
      <c r="BS10" s="517"/>
      <c r="BT10" s="517"/>
      <c r="BU10" s="517"/>
      <c r="BV10" s="517"/>
      <c r="BW10" s="517"/>
      <c r="BX10" s="517"/>
      <c r="BY10" s="517"/>
      <c r="BZ10" s="517"/>
      <c r="CA10" s="517"/>
      <c r="CB10" s="517"/>
      <c r="CC10" s="517"/>
      <c r="CD10" s="517"/>
      <c r="CE10" s="517"/>
      <c r="CF10" s="517"/>
      <c r="CG10" s="517"/>
      <c r="CH10" s="517"/>
      <c r="CI10" s="517"/>
      <c r="CJ10" s="517"/>
      <c r="CK10" s="517"/>
      <c r="CL10" s="517"/>
      <c r="CM10" s="517"/>
      <c r="CN10" s="517"/>
      <c r="CO10" s="517"/>
      <c r="CP10" s="517"/>
      <c r="CQ10" s="517"/>
      <c r="CR10" s="517"/>
      <c r="CS10" s="517"/>
      <c r="CT10" s="517"/>
      <c r="CU10" s="517"/>
      <c r="CV10" s="517"/>
      <c r="CW10" s="517"/>
      <c r="CX10" s="517"/>
      <c r="CY10" s="517"/>
      <c r="CZ10" s="517"/>
      <c r="DA10" s="517"/>
      <c r="DB10" s="517"/>
      <c r="DC10" s="517"/>
      <c r="DD10" s="517"/>
      <c r="DE10" s="517"/>
      <c r="DF10" s="517"/>
      <c r="DG10" s="517"/>
      <c r="DH10" s="517"/>
      <c r="DI10" s="517"/>
      <c r="DJ10" s="517"/>
      <c r="DK10" s="517"/>
      <c r="DL10" s="517"/>
      <c r="DM10" s="517"/>
      <c r="DN10" s="517"/>
      <c r="DO10" s="517"/>
      <c r="DP10" s="517"/>
      <c r="DQ10" s="517"/>
      <c r="DR10" s="517"/>
      <c r="DS10" s="517"/>
      <c r="DT10" s="517"/>
      <c r="DU10" s="517"/>
      <c r="DV10" s="517"/>
      <c r="DW10" s="517"/>
      <c r="DX10" s="517"/>
      <c r="DY10" s="517"/>
      <c r="DZ10" s="517"/>
      <c r="EA10" s="517"/>
      <c r="EB10" s="517"/>
      <c r="EC10" s="517"/>
      <c r="ED10" s="517"/>
      <c r="EE10" s="517"/>
      <c r="EF10" s="517"/>
      <c r="EG10" s="517"/>
      <c r="EH10" s="517"/>
      <c r="EI10" s="517"/>
      <c r="EJ10" s="517"/>
      <c r="EK10" s="517"/>
      <c r="EL10" s="517"/>
      <c r="EM10" s="517"/>
      <c r="EN10" s="517"/>
      <c r="EO10" s="517"/>
      <c r="EP10" s="517"/>
      <c r="EQ10" s="517"/>
      <c r="ER10" s="517"/>
      <c r="ES10" s="627" t="s">
        <v>1140</v>
      </c>
    </row>
    <row r="11">
      <c r="A11" s="517"/>
      <c r="B11" s="517"/>
      <c r="C11" s="517"/>
      <c r="D11" s="517"/>
      <c r="E11" s="517"/>
      <c r="F11" s="517"/>
      <c r="G11" s="517"/>
      <c r="H11" s="517"/>
      <c r="I11" s="517"/>
      <c r="J11" s="517"/>
      <c r="K11" s="517"/>
      <c r="L11" s="517"/>
      <c r="M11" s="517"/>
      <c r="N11" s="517"/>
      <c r="O11" s="517"/>
      <c r="P11" s="517"/>
      <c r="Q11" s="517"/>
      <c r="R11" s="517"/>
      <c r="S11" s="517"/>
      <c r="T11" s="517"/>
      <c r="U11" s="517"/>
      <c r="V11" s="517"/>
      <c r="W11" s="517"/>
      <c r="X11" s="517"/>
      <c r="Y11" s="517"/>
      <c r="Z11" s="517"/>
      <c r="AA11" s="517"/>
      <c r="AB11" s="517"/>
      <c r="AC11" s="517"/>
      <c r="AD11" s="517"/>
      <c r="AE11" s="517"/>
      <c r="AF11" s="517"/>
      <c r="AG11" s="517"/>
      <c r="AH11" s="517"/>
      <c r="AI11" s="517"/>
      <c r="AJ11" s="517"/>
      <c r="AK11" s="517"/>
      <c r="AL11" s="517"/>
      <c r="AM11" s="517"/>
      <c r="AN11" s="517"/>
      <c r="AO11" s="517"/>
      <c r="AP11" s="517"/>
      <c r="AQ11" s="517"/>
      <c r="AR11" s="517"/>
      <c r="AS11" s="517"/>
      <c r="AT11" s="517"/>
      <c r="AU11" s="517"/>
      <c r="AV11" s="517"/>
      <c r="AW11" s="517"/>
      <c r="AX11" s="517"/>
      <c r="AY11" s="517"/>
      <c r="AZ11" s="517"/>
      <c r="BA11" s="517"/>
      <c r="BB11" s="517"/>
      <c r="BC11" s="517"/>
      <c r="BD11" s="517"/>
      <c r="BE11" s="517"/>
      <c r="BF11" s="517"/>
      <c r="BG11" s="517"/>
      <c r="BH11" s="517"/>
      <c r="BI11" s="517"/>
      <c r="BJ11" s="517"/>
      <c r="BK11" s="517"/>
      <c r="BL11" s="517"/>
      <c r="BM11" s="517"/>
      <c r="BN11" s="517"/>
      <c r="BO11" s="517"/>
      <c r="BP11" s="517"/>
      <c r="BQ11" s="517"/>
      <c r="BR11" s="517"/>
      <c r="BS11" s="517"/>
      <c r="BT11" s="517"/>
      <c r="BU11" s="517"/>
      <c r="BV11" s="517"/>
      <c r="BW11" s="517"/>
      <c r="BX11" s="517"/>
      <c r="BY11" s="517"/>
      <c r="BZ11" s="517"/>
      <c r="CA11" s="517"/>
      <c r="CB11" s="517"/>
      <c r="CC11" s="517"/>
      <c r="CD11" s="517"/>
      <c r="CE11" s="517"/>
      <c r="CF11" s="517"/>
      <c r="CG11" s="517"/>
      <c r="CH11" s="517"/>
      <c r="CI11" s="517"/>
      <c r="CJ11" s="517"/>
      <c r="CK11" s="517"/>
      <c r="CL11" s="517"/>
      <c r="CM11" s="517"/>
      <c r="CN11" s="517"/>
      <c r="CO11" s="517"/>
      <c r="CP11" s="517"/>
      <c r="CQ11" s="517"/>
      <c r="CR11" s="517"/>
      <c r="CS11" s="517"/>
      <c r="CT11" s="517"/>
      <c r="CU11" s="517"/>
      <c r="CV11" s="517"/>
      <c r="CW11" s="517"/>
      <c r="CX11" s="517"/>
      <c r="CY11" s="517"/>
      <c r="CZ11" s="517"/>
      <c r="DA11" s="517"/>
      <c r="DB11" s="517"/>
      <c r="DC11" s="517"/>
      <c r="DD11" s="517"/>
      <c r="DE11" s="517"/>
      <c r="DF11" s="517"/>
      <c r="DG11" s="517"/>
      <c r="DH11" s="517"/>
      <c r="DI11" s="517"/>
      <c r="DJ11" s="517"/>
      <c r="DK11" s="517"/>
      <c r="DL11" s="517"/>
      <c r="DM11" s="517"/>
      <c r="DN11" s="517"/>
      <c r="DO11" s="517"/>
      <c r="DP11" s="517"/>
      <c r="DQ11" s="517"/>
      <c r="DR11" s="517"/>
      <c r="DS11" s="517"/>
      <c r="DT11" s="517"/>
      <c r="DU11" s="517"/>
      <c r="DV11" s="517"/>
      <c r="DW11" s="517"/>
      <c r="DX11" s="517"/>
      <c r="DY11" s="517"/>
      <c r="DZ11" s="517"/>
      <c r="EA11" s="517"/>
      <c r="EB11" s="517"/>
      <c r="EC11" s="517"/>
      <c r="ED11" s="517"/>
      <c r="EE11" s="517"/>
      <c r="EF11" s="517"/>
      <c r="EG11" s="517"/>
      <c r="EH11" s="517"/>
      <c r="EI11" s="517"/>
      <c r="EJ11" s="517"/>
      <c r="EK11" s="517"/>
      <c r="EL11" s="517"/>
      <c r="EM11" s="517"/>
      <c r="EN11" s="517"/>
      <c r="EO11" s="517"/>
      <c r="EP11" s="517"/>
      <c r="EQ11" s="517"/>
      <c r="ER11" s="517"/>
      <c r="ES11" s="627" t="s">
        <v>1140</v>
      </c>
    </row>
    <row r="12">
      <c r="A12" s="517"/>
      <c r="B12" s="517"/>
      <c r="C12" s="517"/>
      <c r="D12" s="517"/>
      <c r="E12" s="517"/>
      <c r="F12" s="517"/>
      <c r="G12" s="517"/>
      <c r="H12" s="517"/>
      <c r="I12" s="517"/>
      <c r="J12" s="517"/>
      <c r="K12" s="517"/>
      <c r="L12" s="517"/>
      <c r="M12" s="517"/>
      <c r="N12" s="517"/>
      <c r="O12" s="517"/>
      <c r="P12" s="517"/>
      <c r="Q12" s="517"/>
      <c r="R12" s="517"/>
      <c r="S12" s="517"/>
      <c r="T12" s="517"/>
      <c r="U12" s="517"/>
      <c r="V12" s="517"/>
      <c r="W12" s="517"/>
      <c r="X12" s="517"/>
      <c r="Y12" s="517"/>
      <c r="Z12" s="517"/>
      <c r="AA12" s="517"/>
      <c r="AB12" s="517"/>
      <c r="AC12" s="517"/>
      <c r="AD12" s="517"/>
      <c r="AE12" s="517"/>
      <c r="AF12" s="517"/>
      <c r="AG12" s="517"/>
      <c r="AH12" s="517"/>
      <c r="AI12" s="517"/>
      <c r="AJ12" s="517"/>
      <c r="AK12" s="517"/>
      <c r="AL12" s="517"/>
      <c r="AM12" s="517"/>
      <c r="AN12" s="517"/>
      <c r="AO12" s="517"/>
      <c r="AP12" s="517"/>
      <c r="AQ12" s="517"/>
      <c r="AR12" s="517"/>
      <c r="AS12" s="517"/>
      <c r="AT12" s="517"/>
      <c r="AU12" s="517"/>
      <c r="AV12" s="517"/>
      <c r="AW12" s="517"/>
      <c r="AX12" s="517"/>
      <c r="AY12" s="517"/>
      <c r="AZ12" s="517"/>
      <c r="BA12" s="517"/>
      <c r="BB12" s="517"/>
      <c r="BC12" s="517"/>
      <c r="BD12" s="517"/>
      <c r="BE12" s="517"/>
      <c r="BF12" s="517"/>
      <c r="BG12" s="517"/>
      <c r="BH12" s="517"/>
      <c r="BI12" s="517"/>
      <c r="BJ12" s="517"/>
      <c r="BK12" s="517"/>
      <c r="BL12" s="517"/>
      <c r="BM12" s="517"/>
      <c r="BN12" s="517"/>
      <c r="BO12" s="517"/>
      <c r="BP12" s="517"/>
      <c r="BQ12" s="517"/>
      <c r="BR12" s="517"/>
      <c r="BS12" s="517"/>
      <c r="BT12" s="517"/>
      <c r="BU12" s="517"/>
      <c r="BV12" s="517"/>
      <c r="BW12" s="517"/>
      <c r="BX12" s="517"/>
      <c r="BY12" s="517"/>
      <c r="BZ12" s="517"/>
      <c r="CA12" s="517"/>
      <c r="CB12" s="517"/>
      <c r="CC12" s="517"/>
      <c r="CD12" s="517"/>
      <c r="CE12" s="517"/>
      <c r="CF12" s="517"/>
      <c r="CG12" s="517"/>
      <c r="CH12" s="517"/>
      <c r="CI12" s="517"/>
      <c r="CJ12" s="517"/>
      <c r="CK12" s="517"/>
      <c r="CL12" s="517"/>
      <c r="CM12" s="517"/>
      <c r="CN12" s="517"/>
      <c r="CO12" s="517"/>
      <c r="CP12" s="517"/>
      <c r="CQ12" s="517"/>
      <c r="CR12" s="517"/>
      <c r="CS12" s="517"/>
      <c r="CT12" s="517"/>
      <c r="CU12" s="517"/>
      <c r="CV12" s="517"/>
      <c r="CW12" s="517"/>
      <c r="CX12" s="517"/>
      <c r="CY12" s="517"/>
      <c r="CZ12" s="517"/>
      <c r="DA12" s="517"/>
      <c r="DB12" s="517"/>
      <c r="DC12" s="517"/>
      <c r="DD12" s="517"/>
      <c r="DE12" s="517"/>
      <c r="DF12" s="517"/>
      <c r="DG12" s="517"/>
      <c r="DH12" s="517"/>
      <c r="DI12" s="517"/>
      <c r="DJ12" s="517"/>
      <c r="DK12" s="517"/>
      <c r="DL12" s="517"/>
      <c r="DM12" s="517"/>
      <c r="DN12" s="517"/>
      <c r="DO12" s="517"/>
      <c r="DP12" s="517"/>
      <c r="DQ12" s="517"/>
      <c r="DR12" s="517"/>
      <c r="DS12" s="517"/>
      <c r="DT12" s="517"/>
      <c r="DU12" s="517"/>
      <c r="DV12" s="517"/>
      <c r="DW12" s="517"/>
      <c r="DX12" s="517"/>
      <c r="DY12" s="517"/>
      <c r="DZ12" s="517"/>
      <c r="EA12" s="517"/>
      <c r="EB12" s="517"/>
      <c r="EC12" s="517"/>
      <c r="ED12" s="517"/>
      <c r="EE12" s="517"/>
      <c r="EF12" s="517"/>
      <c r="EG12" s="517"/>
      <c r="EH12" s="517"/>
      <c r="EI12" s="517"/>
      <c r="EJ12" s="517"/>
      <c r="EK12" s="517"/>
      <c r="EL12" s="517"/>
      <c r="EM12" s="517"/>
      <c r="EN12" s="517"/>
      <c r="EO12" s="517"/>
      <c r="EP12" s="517"/>
      <c r="EQ12" s="517"/>
      <c r="ER12" s="517"/>
      <c r="ES12" s="627" t="s">
        <v>1140</v>
      </c>
    </row>
    <row r="13">
      <c r="A13" s="517"/>
      <c r="B13" s="517"/>
      <c r="C13" s="517"/>
      <c r="D13" s="517"/>
      <c r="E13" s="517"/>
      <c r="F13" s="517"/>
      <c r="G13" s="517"/>
      <c r="H13" s="517"/>
      <c r="I13" s="517"/>
      <c r="J13" s="517"/>
      <c r="K13" s="517"/>
      <c r="L13" s="517"/>
      <c r="M13" s="517"/>
      <c r="N13" s="517"/>
      <c r="O13" s="517"/>
      <c r="P13" s="517"/>
      <c r="Q13" s="517"/>
      <c r="R13" s="517"/>
      <c r="S13" s="517"/>
      <c r="T13" s="517"/>
      <c r="U13" s="517"/>
      <c r="V13" s="517"/>
      <c r="W13" s="517"/>
      <c r="X13" s="517"/>
      <c r="Y13" s="517"/>
      <c r="Z13" s="517"/>
      <c r="AA13" s="517"/>
      <c r="AB13" s="517"/>
      <c r="AC13" s="517"/>
      <c r="AD13" s="517"/>
      <c r="AE13" s="517"/>
      <c r="AF13" s="517"/>
      <c r="AG13" s="517"/>
      <c r="AH13" s="517"/>
      <c r="AI13" s="517"/>
      <c r="AJ13" s="517"/>
      <c r="AK13" s="517"/>
      <c r="AL13" s="517"/>
      <c r="AM13" s="517"/>
      <c r="AN13" s="517"/>
      <c r="AO13" s="517"/>
      <c r="AP13" s="517"/>
      <c r="AQ13" s="517"/>
      <c r="AR13" s="517"/>
      <c r="AS13" s="517"/>
      <c r="AT13" s="517"/>
      <c r="AU13" s="517"/>
      <c r="AV13" s="517"/>
      <c r="AW13" s="517"/>
      <c r="AX13" s="517"/>
      <c r="AY13" s="517"/>
      <c r="AZ13" s="517"/>
      <c r="BA13" s="517"/>
      <c r="BB13" s="517"/>
      <c r="BC13" s="517"/>
      <c r="BD13" s="517"/>
      <c r="BE13" s="517"/>
      <c r="BF13" s="517"/>
      <c r="BG13" s="517"/>
      <c r="BH13" s="517"/>
      <c r="BI13" s="517"/>
      <c r="BJ13" s="517"/>
      <c r="BK13" s="517"/>
      <c r="BL13" s="517"/>
      <c r="BM13" s="517"/>
      <c r="BN13" s="517"/>
      <c r="BO13" s="517"/>
      <c r="BP13" s="517"/>
      <c r="BQ13" s="517"/>
      <c r="BR13" s="517"/>
      <c r="BS13" s="517"/>
      <c r="BT13" s="517"/>
      <c r="BU13" s="517"/>
      <c r="BV13" s="517"/>
      <c r="BW13" s="517"/>
      <c r="BX13" s="517"/>
      <c r="BY13" s="517"/>
      <c r="BZ13" s="517"/>
      <c r="CA13" s="517"/>
      <c r="CB13" s="517"/>
      <c r="CC13" s="517"/>
      <c r="CD13" s="517"/>
      <c r="CE13" s="517"/>
      <c r="CF13" s="517"/>
      <c r="CG13" s="517"/>
      <c r="CH13" s="517"/>
      <c r="CI13" s="517"/>
      <c r="CJ13" s="517"/>
      <c r="CK13" s="517"/>
      <c r="CL13" s="517"/>
      <c r="CM13" s="517"/>
      <c r="CN13" s="517"/>
      <c r="CO13" s="517"/>
      <c r="CP13" s="517"/>
      <c r="CQ13" s="517"/>
      <c r="CR13" s="517"/>
      <c r="CS13" s="517"/>
      <c r="CT13" s="517"/>
      <c r="CU13" s="517"/>
      <c r="CV13" s="517"/>
      <c r="CW13" s="517"/>
      <c r="CX13" s="517"/>
      <c r="CY13" s="517"/>
      <c r="CZ13" s="517"/>
      <c r="DA13" s="517"/>
      <c r="DB13" s="517"/>
      <c r="DC13" s="517"/>
      <c r="DD13" s="517"/>
      <c r="DE13" s="517"/>
      <c r="DF13" s="517"/>
      <c r="DG13" s="517"/>
      <c r="DH13" s="517"/>
      <c r="DI13" s="517"/>
      <c r="DJ13" s="517"/>
      <c r="DK13" s="517"/>
      <c r="DL13" s="517"/>
      <c r="DM13" s="517"/>
      <c r="DN13" s="517"/>
      <c r="DO13" s="517"/>
      <c r="DP13" s="517"/>
      <c r="DQ13" s="517"/>
      <c r="DR13" s="517"/>
      <c r="DS13" s="517"/>
      <c r="DT13" s="517"/>
      <c r="DU13" s="517"/>
      <c r="DV13" s="517"/>
      <c r="DW13" s="517"/>
      <c r="DX13" s="517"/>
      <c r="DY13" s="517"/>
      <c r="DZ13" s="517"/>
      <c r="EA13" s="517"/>
      <c r="EB13" s="517"/>
      <c r="EC13" s="517"/>
      <c r="ED13" s="517"/>
      <c r="EE13" s="517"/>
      <c r="EF13" s="517"/>
      <c r="EG13" s="517"/>
      <c r="EH13" s="517"/>
      <c r="EI13" s="517"/>
      <c r="EJ13" s="517"/>
      <c r="EK13" s="517"/>
      <c r="EL13" s="517"/>
      <c r="EM13" s="517"/>
      <c r="EN13" s="517"/>
      <c r="EO13" s="517"/>
      <c r="EP13" s="517"/>
      <c r="EQ13" s="517"/>
      <c r="ER13" s="517"/>
      <c r="ES13" s="627" t="s">
        <v>1140</v>
      </c>
    </row>
    <row r="14">
      <c r="A14" s="517"/>
      <c r="B14" s="517"/>
      <c r="C14" s="517"/>
      <c r="D14" s="517"/>
      <c r="E14" s="517"/>
      <c r="F14" s="517"/>
      <c r="G14" s="517"/>
      <c r="H14" s="517"/>
      <c r="I14" s="517"/>
      <c r="J14" s="517"/>
      <c r="K14" s="517"/>
      <c r="L14" s="517"/>
      <c r="M14" s="517"/>
      <c r="N14" s="517"/>
      <c r="O14" s="517"/>
      <c r="P14" s="517"/>
      <c r="Q14" s="517"/>
      <c r="R14" s="517"/>
      <c r="S14" s="517"/>
      <c r="T14" s="517"/>
      <c r="U14" s="517"/>
      <c r="V14" s="517"/>
      <c r="W14" s="517"/>
      <c r="X14" s="517"/>
      <c r="Y14" s="517"/>
      <c r="Z14" s="517"/>
      <c r="AA14" s="517"/>
      <c r="AB14" s="517"/>
      <c r="AC14" s="517"/>
      <c r="AD14" s="517"/>
      <c r="AE14" s="517"/>
      <c r="AF14" s="517"/>
      <c r="AG14" s="517"/>
      <c r="AH14" s="517"/>
      <c r="AI14" s="517"/>
      <c r="AJ14" s="517"/>
      <c r="AK14" s="517"/>
      <c r="AL14" s="517"/>
      <c r="AM14" s="517"/>
      <c r="AN14" s="517"/>
      <c r="AO14" s="517"/>
      <c r="AP14" s="517"/>
      <c r="AQ14" s="517"/>
      <c r="AR14" s="517"/>
      <c r="AS14" s="517"/>
      <c r="AT14" s="517"/>
      <c r="AU14" s="517"/>
      <c r="AV14" s="517"/>
      <c r="AW14" s="517"/>
      <c r="AX14" s="517"/>
      <c r="AY14" s="517"/>
      <c r="AZ14" s="517"/>
      <c r="BA14" s="517"/>
      <c r="BB14" s="517"/>
      <c r="BC14" s="517"/>
      <c r="BD14" s="517"/>
      <c r="BE14" s="517"/>
      <c r="BF14" s="517"/>
      <c r="BG14" s="517"/>
      <c r="BH14" s="517"/>
      <c r="BI14" s="517"/>
      <c r="BJ14" s="517"/>
      <c r="BK14" s="517"/>
      <c r="BL14" s="517"/>
      <c r="BM14" s="517"/>
      <c r="BN14" s="517"/>
      <c r="BO14" s="517"/>
      <c r="BP14" s="517"/>
      <c r="BQ14" s="517"/>
      <c r="BR14" s="517"/>
      <c r="BS14" s="517"/>
      <c r="BT14" s="517"/>
      <c r="BU14" s="517"/>
      <c r="BV14" s="517"/>
      <c r="BW14" s="517"/>
      <c r="BX14" s="517"/>
      <c r="BY14" s="517"/>
      <c r="BZ14" s="517"/>
      <c r="CA14" s="517"/>
      <c r="CB14" s="517"/>
      <c r="CC14" s="517"/>
      <c r="CD14" s="517"/>
      <c r="CE14" s="517"/>
      <c r="CF14" s="517"/>
      <c r="CG14" s="517"/>
      <c r="CH14" s="517"/>
      <c r="CI14" s="517"/>
      <c r="CJ14" s="517"/>
      <c r="CK14" s="517"/>
      <c r="CL14" s="517"/>
      <c r="CM14" s="517"/>
      <c r="CN14" s="517"/>
      <c r="CO14" s="517"/>
      <c r="CP14" s="517"/>
      <c r="CQ14" s="517"/>
      <c r="CR14" s="517"/>
      <c r="CS14" s="517"/>
      <c r="CT14" s="517"/>
      <c r="CU14" s="517"/>
      <c r="CV14" s="517"/>
      <c r="CW14" s="517"/>
      <c r="CX14" s="517"/>
      <c r="CY14" s="517"/>
      <c r="CZ14" s="517"/>
      <c r="DA14" s="517"/>
      <c r="DB14" s="517"/>
      <c r="DC14" s="517"/>
      <c r="DD14" s="517"/>
      <c r="DE14" s="517"/>
      <c r="DF14" s="517"/>
      <c r="DG14" s="517"/>
      <c r="DH14" s="517"/>
      <c r="DI14" s="517"/>
      <c r="DJ14" s="517"/>
      <c r="DK14" s="517"/>
      <c r="DL14" s="517"/>
      <c r="DM14" s="517"/>
      <c r="DN14" s="517"/>
      <c r="DO14" s="517"/>
      <c r="DP14" s="517"/>
      <c r="DQ14" s="517"/>
      <c r="DR14" s="517"/>
      <c r="DS14" s="517"/>
      <c r="DT14" s="517"/>
      <c r="DU14" s="517"/>
      <c r="DV14" s="517"/>
      <c r="DW14" s="517"/>
      <c r="DX14" s="517"/>
      <c r="DY14" s="517"/>
      <c r="DZ14" s="517"/>
      <c r="EA14" s="517"/>
      <c r="EB14" s="517"/>
      <c r="EC14" s="517"/>
      <c r="ED14" s="517"/>
      <c r="EE14" s="517"/>
      <c r="EF14" s="517"/>
      <c r="EG14" s="517"/>
      <c r="EH14" s="517"/>
      <c r="EI14" s="517"/>
      <c r="EJ14" s="517"/>
      <c r="EK14" s="517"/>
      <c r="EL14" s="517"/>
      <c r="EM14" s="517"/>
      <c r="EN14" s="517"/>
      <c r="EO14" s="517"/>
      <c r="EP14" s="517"/>
      <c r="EQ14" s="517"/>
      <c r="ER14" s="517"/>
      <c r="ES14" s="627" t="s">
        <v>1140</v>
      </c>
    </row>
    <row r="15">
      <c r="A15" s="517"/>
      <c r="B15" s="517"/>
      <c r="C15" s="517"/>
      <c r="D15" s="517"/>
      <c r="E15" s="517"/>
      <c r="F15" s="517"/>
      <c r="G15" s="517"/>
      <c r="H15" s="517"/>
      <c r="I15" s="517"/>
      <c r="J15" s="517"/>
      <c r="K15" s="517"/>
      <c r="L15" s="517"/>
      <c r="M15" s="517"/>
      <c r="N15" s="517"/>
      <c r="O15" s="517"/>
      <c r="P15" s="517"/>
      <c r="Q15" s="517"/>
      <c r="R15" s="517"/>
      <c r="S15" s="517"/>
      <c r="T15" s="517"/>
      <c r="U15" s="517"/>
      <c r="V15" s="517"/>
      <c r="W15" s="517"/>
      <c r="X15" s="517"/>
      <c r="Y15" s="517"/>
      <c r="Z15" s="517"/>
      <c r="AA15" s="517"/>
      <c r="AB15" s="517"/>
      <c r="AC15" s="517"/>
      <c r="AD15" s="517"/>
      <c r="AE15" s="517"/>
      <c r="AF15" s="517"/>
      <c r="AG15" s="517"/>
      <c r="AH15" s="517"/>
      <c r="AI15" s="517"/>
      <c r="AJ15" s="517"/>
      <c r="AK15" s="517"/>
      <c r="AL15" s="517"/>
      <c r="AM15" s="517"/>
      <c r="AN15" s="517"/>
      <c r="AO15" s="517"/>
      <c r="AP15" s="517"/>
      <c r="AQ15" s="517"/>
      <c r="AR15" s="517"/>
      <c r="AS15" s="517"/>
      <c r="AT15" s="517"/>
      <c r="AU15" s="517"/>
      <c r="AV15" s="517"/>
      <c r="AW15" s="517"/>
      <c r="AX15" s="517"/>
      <c r="AY15" s="517"/>
      <c r="AZ15" s="517"/>
      <c r="BA15" s="517"/>
      <c r="BB15" s="517"/>
      <c r="BC15" s="517"/>
      <c r="BD15" s="517"/>
      <c r="BE15" s="517"/>
      <c r="BF15" s="517"/>
      <c r="BG15" s="517"/>
      <c r="BH15" s="517"/>
      <c r="BI15" s="517"/>
      <c r="BJ15" s="517"/>
      <c r="BK15" s="517"/>
      <c r="BL15" s="517"/>
      <c r="BM15" s="517"/>
      <c r="BN15" s="517"/>
      <c r="BO15" s="517"/>
      <c r="BP15" s="517"/>
      <c r="BQ15" s="517"/>
      <c r="BR15" s="517"/>
      <c r="BS15" s="517"/>
      <c r="BT15" s="517"/>
      <c r="BU15" s="517"/>
      <c r="BV15" s="517"/>
      <c r="BW15" s="517"/>
      <c r="BX15" s="517"/>
      <c r="BY15" s="517"/>
      <c r="BZ15" s="517"/>
      <c r="CA15" s="517"/>
      <c r="CB15" s="517"/>
      <c r="CC15" s="517"/>
      <c r="CD15" s="517"/>
      <c r="CE15" s="517"/>
      <c r="CF15" s="517"/>
      <c r="CG15" s="517"/>
      <c r="CH15" s="517"/>
      <c r="CI15" s="517"/>
      <c r="CJ15" s="517"/>
      <c r="CK15" s="517"/>
      <c r="CL15" s="517"/>
      <c r="CM15" s="517"/>
      <c r="CN15" s="517"/>
      <c r="CO15" s="517"/>
      <c r="CP15" s="517"/>
      <c r="CQ15" s="517"/>
      <c r="CR15" s="517"/>
      <c r="CS15" s="517"/>
      <c r="CT15" s="517"/>
      <c r="CU15" s="517"/>
      <c r="CV15" s="517"/>
      <c r="CW15" s="517"/>
      <c r="CX15" s="517"/>
      <c r="CY15" s="517"/>
      <c r="CZ15" s="517"/>
      <c r="DA15" s="517"/>
      <c r="DB15" s="517"/>
      <c r="DC15" s="517"/>
      <c r="DD15" s="517"/>
      <c r="DE15" s="517"/>
      <c r="DF15" s="517"/>
      <c r="DG15" s="517"/>
      <c r="DH15" s="517"/>
      <c r="DI15" s="517"/>
      <c r="DJ15" s="517"/>
      <c r="DK15" s="517"/>
      <c r="DL15" s="517"/>
      <c r="DM15" s="517"/>
      <c r="DN15" s="517"/>
      <c r="DO15" s="517"/>
      <c r="DP15" s="517"/>
      <c r="DQ15" s="517"/>
      <c r="DR15" s="517"/>
      <c r="DS15" s="517"/>
      <c r="DT15" s="517"/>
      <c r="DU15" s="517"/>
      <c r="DV15" s="517"/>
      <c r="DW15" s="517"/>
      <c r="DX15" s="517"/>
      <c r="DY15" s="517"/>
      <c r="DZ15" s="517"/>
      <c r="EA15" s="517"/>
      <c r="EB15" s="517"/>
      <c r="EC15" s="517"/>
      <c r="ED15" s="517"/>
      <c r="EE15" s="517"/>
      <c r="EF15" s="517"/>
      <c r="EG15" s="517"/>
      <c r="EH15" s="517"/>
      <c r="EI15" s="517"/>
      <c r="EJ15" s="517"/>
      <c r="EK15" s="517"/>
      <c r="EL15" s="517"/>
      <c r="EM15" s="517"/>
      <c r="EN15" s="517"/>
      <c r="EO15" s="517"/>
      <c r="EP15" s="517"/>
      <c r="EQ15" s="517"/>
      <c r="ER15" s="517"/>
      <c r="ES15" s="627" t="s">
        <v>1140</v>
      </c>
    </row>
    <row r="16">
      <c r="A16" s="517"/>
      <c r="B16" s="517"/>
      <c r="C16" s="517"/>
      <c r="D16" s="517"/>
      <c r="E16" s="517"/>
      <c r="F16" s="517"/>
      <c r="G16" s="517"/>
      <c r="H16" s="517"/>
      <c r="I16" s="517"/>
      <c r="J16" s="517"/>
      <c r="K16" s="517"/>
      <c r="L16" s="517"/>
      <c r="M16" s="517"/>
      <c r="N16" s="517"/>
      <c r="O16" s="517"/>
      <c r="P16" s="517"/>
      <c r="Q16" s="517"/>
      <c r="R16" s="517"/>
      <c r="S16" s="517"/>
      <c r="T16" s="517"/>
      <c r="U16" s="517"/>
      <c r="V16" s="517"/>
      <c r="W16" s="517"/>
      <c r="X16" s="517"/>
      <c r="Y16" s="517"/>
      <c r="Z16" s="517"/>
      <c r="AA16" s="517"/>
      <c r="AB16" s="517"/>
      <c r="AC16" s="517"/>
      <c r="AD16" s="517"/>
      <c r="AE16" s="517"/>
      <c r="AF16" s="517"/>
      <c r="AG16" s="517"/>
      <c r="AH16" s="517"/>
      <c r="AI16" s="517"/>
      <c r="AJ16" s="517"/>
      <c r="AK16" s="517"/>
      <c r="AL16" s="517"/>
      <c r="AM16" s="517"/>
      <c r="AN16" s="517"/>
      <c r="AO16" s="517"/>
      <c r="AP16" s="517"/>
      <c r="AQ16" s="517"/>
      <c r="AR16" s="517"/>
      <c r="AS16" s="517"/>
      <c r="AT16" s="517"/>
      <c r="AU16" s="517"/>
      <c r="AV16" s="517"/>
      <c r="AW16" s="517"/>
      <c r="AX16" s="517"/>
      <c r="AY16" s="517"/>
      <c r="AZ16" s="517"/>
      <c r="BA16" s="517"/>
      <c r="BB16" s="517"/>
      <c r="BC16" s="517"/>
      <c r="BD16" s="517"/>
      <c r="BE16" s="517"/>
      <c r="BF16" s="517"/>
      <c r="BG16" s="517"/>
      <c r="BH16" s="517"/>
      <c r="BI16" s="517"/>
      <c r="BJ16" s="517"/>
      <c r="BK16" s="517"/>
      <c r="BL16" s="517"/>
      <c r="BM16" s="517"/>
      <c r="BN16" s="517"/>
      <c r="BO16" s="517"/>
      <c r="BP16" s="517"/>
      <c r="BQ16" s="517"/>
      <c r="BR16" s="517"/>
      <c r="BS16" s="517"/>
      <c r="BT16" s="517"/>
      <c r="BU16" s="517"/>
      <c r="BV16" s="517"/>
      <c r="BW16" s="517"/>
      <c r="BX16" s="517"/>
      <c r="BY16" s="517"/>
      <c r="BZ16" s="517"/>
      <c r="CA16" s="517"/>
      <c r="CB16" s="517"/>
      <c r="CC16" s="517"/>
      <c r="CD16" s="517"/>
      <c r="CE16" s="517"/>
      <c r="CF16" s="517"/>
      <c r="CG16" s="517"/>
      <c r="CH16" s="517"/>
      <c r="CI16" s="517"/>
      <c r="CJ16" s="517"/>
      <c r="CK16" s="517"/>
      <c r="CL16" s="517"/>
      <c r="CM16" s="517"/>
      <c r="CN16" s="517"/>
      <c r="CO16" s="517"/>
      <c r="CP16" s="517"/>
      <c r="CQ16" s="517"/>
      <c r="CR16" s="517"/>
      <c r="CS16" s="517"/>
      <c r="CT16" s="517"/>
      <c r="CU16" s="517"/>
      <c r="CV16" s="517"/>
      <c r="CW16" s="517"/>
      <c r="CX16" s="517"/>
      <c r="CY16" s="517"/>
      <c r="CZ16" s="517"/>
      <c r="DA16" s="517"/>
      <c r="DB16" s="517"/>
      <c r="DC16" s="517"/>
      <c r="DD16" s="517"/>
      <c r="DE16" s="517"/>
      <c r="DF16" s="517"/>
      <c r="DG16" s="517"/>
      <c r="DH16" s="517"/>
      <c r="DI16" s="517"/>
      <c r="DJ16" s="517"/>
      <c r="DK16" s="517"/>
      <c r="DL16" s="517"/>
      <c r="DM16" s="517"/>
      <c r="DN16" s="517"/>
      <c r="DO16" s="517"/>
      <c r="DP16" s="517"/>
      <c r="DQ16" s="517"/>
      <c r="DR16" s="517"/>
      <c r="DS16" s="517"/>
      <c r="DT16" s="517"/>
      <c r="DU16" s="517"/>
      <c r="DV16" s="517"/>
      <c r="DW16" s="517"/>
      <c r="DX16" s="517"/>
      <c r="DY16" s="517"/>
      <c r="DZ16" s="517"/>
      <c r="EA16" s="517"/>
      <c r="EB16" s="517"/>
      <c r="EC16" s="517"/>
      <c r="ED16" s="517"/>
      <c r="EE16" s="517"/>
      <c r="EF16" s="517"/>
      <c r="EG16" s="517"/>
      <c r="EH16" s="517"/>
      <c r="EI16" s="517"/>
      <c r="EJ16" s="517"/>
      <c r="EK16" s="517"/>
      <c r="EL16" s="517"/>
      <c r="EM16" s="517"/>
      <c r="EN16" s="517"/>
      <c r="EO16" s="517"/>
      <c r="EP16" s="517"/>
      <c r="EQ16" s="517"/>
      <c r="ER16" s="517"/>
      <c r="ES16" s="627" t="s">
        <v>1140</v>
      </c>
    </row>
    <row r="17">
      <c r="A17" s="517"/>
      <c r="B17" s="517"/>
      <c r="C17" s="517"/>
      <c r="D17" s="517"/>
      <c r="E17" s="517"/>
      <c r="F17" s="517"/>
      <c r="G17" s="517"/>
      <c r="H17" s="517"/>
      <c r="I17" s="517"/>
      <c r="J17" s="517"/>
      <c r="K17" s="517"/>
      <c r="L17" s="517"/>
      <c r="M17" s="517"/>
      <c r="N17" s="517"/>
      <c r="O17" s="517"/>
      <c r="P17" s="517"/>
      <c r="Q17" s="517"/>
      <c r="R17" s="517"/>
      <c r="S17" s="517"/>
      <c r="T17" s="517"/>
      <c r="U17" s="517"/>
      <c r="V17" s="517"/>
      <c r="W17" s="517"/>
      <c r="X17" s="517"/>
      <c r="Y17" s="517"/>
      <c r="Z17" s="517"/>
      <c r="AA17" s="517"/>
      <c r="AB17" s="517"/>
      <c r="AC17" s="517"/>
      <c r="AD17" s="517"/>
      <c r="AE17" s="517"/>
      <c r="AF17" s="517"/>
      <c r="AG17" s="517"/>
      <c r="AH17" s="517"/>
      <c r="AI17" s="517"/>
      <c r="AJ17" s="517"/>
      <c r="AK17" s="517"/>
      <c r="AL17" s="517"/>
      <c r="AM17" s="517"/>
      <c r="AN17" s="517"/>
      <c r="AO17" s="517"/>
      <c r="AP17" s="517"/>
      <c r="AQ17" s="517"/>
      <c r="AR17" s="517"/>
      <c r="AS17" s="517"/>
      <c r="AT17" s="517"/>
      <c r="AU17" s="517"/>
      <c r="AV17" s="517"/>
      <c r="AW17" s="517"/>
      <c r="AX17" s="517"/>
      <c r="AY17" s="517"/>
      <c r="AZ17" s="517"/>
      <c r="BA17" s="517"/>
      <c r="BB17" s="517"/>
      <c r="BC17" s="517"/>
      <c r="BD17" s="517"/>
      <c r="BE17" s="517"/>
      <c r="BF17" s="517"/>
      <c r="BG17" s="517"/>
      <c r="BH17" s="517"/>
      <c r="BI17" s="517"/>
      <c r="BJ17" s="517"/>
      <c r="BK17" s="517"/>
      <c r="BL17" s="517"/>
      <c r="BM17" s="517"/>
      <c r="BN17" s="517"/>
      <c r="BO17" s="517"/>
      <c r="BP17" s="517"/>
      <c r="BQ17" s="517"/>
      <c r="BR17" s="517"/>
      <c r="BS17" s="517"/>
      <c r="BT17" s="517"/>
      <c r="BU17" s="517"/>
      <c r="BV17" s="517"/>
      <c r="BW17" s="517"/>
      <c r="BX17" s="517"/>
      <c r="BY17" s="517"/>
      <c r="BZ17" s="517"/>
      <c r="CA17" s="517"/>
      <c r="CB17" s="517"/>
      <c r="CC17" s="517"/>
      <c r="CD17" s="517"/>
      <c r="CE17" s="517"/>
      <c r="CF17" s="517"/>
      <c r="CG17" s="517"/>
      <c r="CH17" s="517"/>
      <c r="CI17" s="517"/>
      <c r="CJ17" s="517"/>
      <c r="CK17" s="517"/>
      <c r="CL17" s="517"/>
      <c r="CM17" s="517"/>
      <c r="CN17" s="517"/>
      <c r="CO17" s="517"/>
      <c r="CP17" s="517"/>
      <c r="CQ17" s="517"/>
      <c r="CR17" s="517"/>
      <c r="CS17" s="517"/>
      <c r="CT17" s="517"/>
      <c r="CU17" s="517"/>
      <c r="CV17" s="517"/>
      <c r="CW17" s="517"/>
      <c r="CX17" s="517"/>
      <c r="CY17" s="517"/>
      <c r="CZ17" s="517"/>
      <c r="DA17" s="517"/>
      <c r="DB17" s="517"/>
      <c r="DC17" s="517"/>
      <c r="DD17" s="517"/>
      <c r="DE17" s="517"/>
      <c r="DF17" s="517"/>
      <c r="DG17" s="517"/>
      <c r="DH17" s="517"/>
      <c r="DI17" s="517"/>
      <c r="DJ17" s="517"/>
      <c r="DK17" s="517"/>
      <c r="DL17" s="517"/>
      <c r="DM17" s="517"/>
      <c r="DN17" s="517"/>
      <c r="DO17" s="517"/>
      <c r="DP17" s="517"/>
      <c r="DQ17" s="517"/>
      <c r="DR17" s="517"/>
      <c r="DS17" s="517"/>
      <c r="DT17" s="517"/>
      <c r="DU17" s="517"/>
      <c r="DV17" s="517"/>
      <c r="DW17" s="517"/>
      <c r="DX17" s="517"/>
      <c r="DY17" s="517"/>
      <c r="DZ17" s="517"/>
      <c r="EA17" s="517"/>
      <c r="EB17" s="517"/>
      <c r="EC17" s="517"/>
      <c r="ED17" s="517"/>
      <c r="EE17" s="517"/>
      <c r="EF17" s="517"/>
      <c r="EG17" s="517"/>
      <c r="EH17" s="517"/>
      <c r="EI17" s="517"/>
      <c r="EJ17" s="517"/>
      <c r="EK17" s="517"/>
      <c r="EL17" s="517"/>
      <c r="EM17" s="517"/>
      <c r="EN17" s="517"/>
      <c r="EO17" s="517"/>
      <c r="EP17" s="517"/>
      <c r="EQ17" s="517"/>
      <c r="ER17" s="517"/>
      <c r="ES17" s="627" t="s">
        <v>1140</v>
      </c>
    </row>
    <row r="18">
      <c r="A18" s="517"/>
      <c r="B18" s="517"/>
      <c r="C18" s="517"/>
      <c r="D18" s="517"/>
      <c r="E18" s="517"/>
      <c r="F18" s="517"/>
      <c r="G18" s="517"/>
      <c r="H18" s="517"/>
      <c r="I18" s="517"/>
      <c r="J18" s="517"/>
      <c r="K18" s="517"/>
      <c r="L18" s="517"/>
      <c r="M18" s="517"/>
      <c r="N18" s="517"/>
      <c r="O18" s="517"/>
      <c r="P18" s="517"/>
      <c r="Q18" s="517"/>
      <c r="R18" s="517"/>
      <c r="S18" s="517"/>
      <c r="T18" s="517"/>
      <c r="U18" s="517"/>
      <c r="V18" s="517"/>
      <c r="W18" s="517"/>
      <c r="X18" s="517"/>
      <c r="Y18" s="517"/>
      <c r="Z18" s="517"/>
      <c r="AA18" s="517"/>
      <c r="AB18" s="517"/>
      <c r="AC18" s="517"/>
      <c r="AD18" s="517"/>
      <c r="AE18" s="517"/>
      <c r="AF18" s="517"/>
      <c r="AG18" s="517"/>
      <c r="AH18" s="517"/>
      <c r="AI18" s="517"/>
      <c r="AJ18" s="517"/>
      <c r="AK18" s="517"/>
      <c r="AL18" s="517"/>
      <c r="AM18" s="517"/>
      <c r="AN18" s="517"/>
      <c r="AO18" s="517"/>
      <c r="AP18" s="517"/>
      <c r="AQ18" s="517"/>
      <c r="AR18" s="517"/>
      <c r="AS18" s="517"/>
      <c r="AT18" s="517"/>
      <c r="AU18" s="517"/>
      <c r="AV18" s="517"/>
      <c r="AW18" s="517"/>
      <c r="AX18" s="517"/>
      <c r="AY18" s="517"/>
      <c r="AZ18" s="517"/>
      <c r="BA18" s="517"/>
      <c r="BB18" s="517"/>
      <c r="BC18" s="517"/>
      <c r="BD18" s="517"/>
      <c r="BE18" s="517"/>
      <c r="BF18" s="517"/>
      <c r="BG18" s="517"/>
      <c r="BH18" s="517"/>
      <c r="BI18" s="517"/>
      <c r="BJ18" s="517"/>
      <c r="BK18" s="517"/>
      <c r="BL18" s="517"/>
      <c r="BM18" s="517"/>
      <c r="BN18" s="517"/>
      <c r="BO18" s="517"/>
      <c r="BP18" s="517"/>
      <c r="BQ18" s="517"/>
      <c r="BR18" s="517"/>
      <c r="BS18" s="517"/>
      <c r="BT18" s="517"/>
      <c r="BU18" s="517"/>
      <c r="BV18" s="517"/>
      <c r="BW18" s="517"/>
      <c r="BX18" s="517"/>
      <c r="BY18" s="517"/>
      <c r="BZ18" s="517"/>
      <c r="CA18" s="517"/>
      <c r="CB18" s="517"/>
      <c r="CC18" s="517"/>
      <c r="CD18" s="517"/>
      <c r="CE18" s="517"/>
      <c r="CF18" s="517"/>
      <c r="CG18" s="517"/>
      <c r="CH18" s="517"/>
      <c r="CI18" s="517"/>
      <c r="CJ18" s="517"/>
      <c r="CK18" s="517"/>
      <c r="CL18" s="517"/>
      <c r="CM18" s="517"/>
      <c r="CN18" s="517"/>
      <c r="CO18" s="517"/>
      <c r="CP18" s="517"/>
      <c r="CQ18" s="517"/>
      <c r="CR18" s="517"/>
      <c r="CS18" s="517"/>
      <c r="CT18" s="517"/>
      <c r="CU18" s="517"/>
      <c r="CV18" s="517"/>
      <c r="CW18" s="517"/>
      <c r="CX18" s="517"/>
      <c r="CY18" s="517"/>
      <c r="CZ18" s="517"/>
      <c r="DA18" s="517"/>
      <c r="DB18" s="517"/>
      <c r="DC18" s="517"/>
      <c r="DD18" s="517"/>
      <c r="DE18" s="517"/>
      <c r="DF18" s="517"/>
      <c r="DG18" s="517"/>
      <c r="DH18" s="517"/>
      <c r="DI18" s="517"/>
      <c r="DJ18" s="517"/>
      <c r="DK18" s="517"/>
      <c r="DL18" s="517"/>
      <c r="DM18" s="517"/>
      <c r="DN18" s="517"/>
      <c r="DO18" s="517"/>
      <c r="DP18" s="517"/>
      <c r="DQ18" s="517"/>
      <c r="DR18" s="517"/>
      <c r="DS18" s="517"/>
      <c r="DT18" s="517"/>
      <c r="DU18" s="517"/>
      <c r="DV18" s="517"/>
      <c r="DW18" s="517"/>
      <c r="DX18" s="517"/>
      <c r="DY18" s="517"/>
      <c r="DZ18" s="517"/>
      <c r="EA18" s="517"/>
      <c r="EB18" s="517"/>
      <c r="EC18" s="517"/>
      <c r="ED18" s="517"/>
      <c r="EE18" s="517"/>
      <c r="EF18" s="517"/>
      <c r="EG18" s="517"/>
      <c r="EH18" s="517"/>
      <c r="EI18" s="517"/>
      <c r="EJ18" s="517"/>
      <c r="EK18" s="517"/>
      <c r="EL18" s="517"/>
      <c r="EM18" s="517"/>
      <c r="EN18" s="517"/>
      <c r="EO18" s="517"/>
      <c r="EP18" s="517"/>
      <c r="EQ18" s="517"/>
      <c r="ER18" s="517"/>
      <c r="ES18" s="627" t="s">
        <v>1140</v>
      </c>
    </row>
    <row r="19">
      <c r="A19" s="517"/>
      <c r="B19" s="517"/>
      <c r="C19" s="517"/>
      <c r="D19" s="517"/>
      <c r="E19" s="517"/>
      <c r="F19" s="517"/>
      <c r="G19" s="517"/>
      <c r="H19" s="517"/>
      <c r="I19" s="517"/>
      <c r="J19" s="517"/>
      <c r="K19" s="517"/>
      <c r="L19" s="517"/>
      <c r="M19" s="517"/>
      <c r="N19" s="517"/>
      <c r="O19" s="517"/>
      <c r="P19" s="517"/>
      <c r="Q19" s="517"/>
      <c r="R19" s="517"/>
      <c r="S19" s="517"/>
      <c r="T19" s="517"/>
      <c r="U19" s="517"/>
      <c r="V19" s="517"/>
      <c r="W19" s="517"/>
      <c r="X19" s="517"/>
      <c r="Y19" s="517"/>
      <c r="Z19" s="517"/>
      <c r="AA19" s="517"/>
      <c r="AB19" s="517"/>
      <c r="AC19" s="517"/>
      <c r="AD19" s="517"/>
      <c r="AE19" s="517"/>
      <c r="AF19" s="517"/>
      <c r="AG19" s="517"/>
      <c r="AH19" s="517"/>
      <c r="AI19" s="517"/>
      <c r="AJ19" s="517"/>
      <c r="AK19" s="517"/>
      <c r="AL19" s="517"/>
      <c r="AM19" s="517"/>
      <c r="AN19" s="517"/>
      <c r="AO19" s="517"/>
      <c r="AP19" s="517"/>
      <c r="AQ19" s="517"/>
      <c r="AR19" s="517"/>
      <c r="AS19" s="517"/>
      <c r="AT19" s="517"/>
      <c r="AU19" s="517"/>
      <c r="AV19" s="517"/>
      <c r="AW19" s="517"/>
      <c r="AX19" s="517"/>
      <c r="AY19" s="517"/>
      <c r="AZ19" s="517"/>
      <c r="BA19" s="517"/>
      <c r="BB19" s="517"/>
      <c r="BC19" s="517"/>
      <c r="BD19" s="517"/>
      <c r="BE19" s="517"/>
      <c r="BF19" s="517"/>
      <c r="BG19" s="517"/>
      <c r="BH19" s="517"/>
      <c r="BI19" s="517"/>
      <c r="BJ19" s="517"/>
      <c r="BK19" s="517"/>
      <c r="BL19" s="517"/>
      <c r="BM19" s="517"/>
      <c r="BN19" s="517"/>
      <c r="BO19" s="517"/>
      <c r="BP19" s="517"/>
      <c r="BQ19" s="517"/>
      <c r="BR19" s="517"/>
      <c r="BS19" s="517"/>
      <c r="BT19" s="517"/>
      <c r="BU19" s="517"/>
      <c r="BV19" s="517"/>
      <c r="BW19" s="517"/>
      <c r="BX19" s="517"/>
      <c r="BY19" s="517"/>
      <c r="BZ19" s="517"/>
      <c r="CA19" s="517"/>
      <c r="CB19" s="517"/>
      <c r="CC19" s="517"/>
      <c r="CD19" s="517"/>
      <c r="CE19" s="517"/>
      <c r="CF19" s="517"/>
      <c r="CG19" s="517"/>
      <c r="CH19" s="517"/>
      <c r="CI19" s="517"/>
      <c r="CJ19" s="517"/>
      <c r="CK19" s="517"/>
      <c r="CL19" s="517"/>
      <c r="CM19" s="517"/>
      <c r="CN19" s="517"/>
      <c r="CO19" s="517"/>
      <c r="CP19" s="517"/>
      <c r="CQ19" s="517"/>
      <c r="CR19" s="517"/>
      <c r="CS19" s="517"/>
      <c r="CT19" s="517"/>
      <c r="CU19" s="517"/>
      <c r="CV19" s="517"/>
      <c r="CW19" s="517"/>
      <c r="CX19" s="517"/>
      <c r="CY19" s="517"/>
      <c r="CZ19" s="517"/>
      <c r="DA19" s="517"/>
      <c r="DB19" s="517"/>
      <c r="DC19" s="517"/>
      <c r="DD19" s="517"/>
      <c r="DE19" s="517"/>
      <c r="DF19" s="517"/>
      <c r="DG19" s="517"/>
      <c r="DH19" s="517"/>
      <c r="DI19" s="517"/>
      <c r="DJ19" s="517"/>
      <c r="DK19" s="517"/>
      <c r="DL19" s="517"/>
      <c r="DM19" s="517"/>
      <c r="DN19" s="517"/>
      <c r="DO19" s="517"/>
      <c r="DP19" s="517"/>
      <c r="DQ19" s="517"/>
      <c r="DR19" s="517"/>
      <c r="DS19" s="517"/>
      <c r="DT19" s="517"/>
      <c r="DU19" s="517"/>
      <c r="DV19" s="517"/>
      <c r="DW19" s="517"/>
      <c r="DX19" s="517"/>
      <c r="DY19" s="517"/>
      <c r="DZ19" s="517"/>
      <c r="EA19" s="517"/>
      <c r="EB19" s="517"/>
      <c r="EC19" s="517"/>
      <c r="ED19" s="517"/>
      <c r="EE19" s="517"/>
      <c r="EF19" s="517"/>
      <c r="EG19" s="517"/>
      <c r="EH19" s="517"/>
      <c r="EI19" s="517"/>
      <c r="EJ19" s="517"/>
      <c r="EK19" s="517"/>
      <c r="EL19" s="517"/>
      <c r="EM19" s="517"/>
      <c r="EN19" s="517"/>
      <c r="EO19" s="517"/>
      <c r="EP19" s="517"/>
      <c r="EQ19" s="517"/>
      <c r="ER19" s="517"/>
      <c r="ES19" s="627" t="s">
        <v>1140</v>
      </c>
    </row>
    <row r="20">
      <c r="A20" s="517"/>
      <c r="B20" s="517"/>
      <c r="C20" s="517"/>
      <c r="D20" s="517"/>
      <c r="E20" s="517"/>
      <c r="F20" s="517"/>
      <c r="G20" s="517"/>
      <c r="H20" s="517"/>
      <c r="I20" s="517"/>
      <c r="J20" s="517"/>
      <c r="K20" s="517"/>
      <c r="L20" s="517"/>
      <c r="M20" s="517"/>
      <c r="N20" s="517"/>
      <c r="O20" s="517"/>
      <c r="P20" s="517"/>
      <c r="Q20" s="517"/>
      <c r="R20" s="517"/>
      <c r="S20" s="517"/>
      <c r="T20" s="517"/>
      <c r="U20" s="517"/>
      <c r="V20" s="517"/>
      <c r="W20" s="517"/>
      <c r="X20" s="517"/>
      <c r="Y20" s="517"/>
      <c r="Z20" s="517"/>
      <c r="AA20" s="517"/>
      <c r="AB20" s="517"/>
      <c r="AC20" s="517"/>
      <c r="AD20" s="517"/>
      <c r="AE20" s="517"/>
      <c r="AF20" s="517"/>
      <c r="AG20" s="517"/>
      <c r="AH20" s="517"/>
      <c r="AI20" s="517"/>
      <c r="AJ20" s="517"/>
      <c r="AK20" s="517"/>
      <c r="AL20" s="517"/>
      <c r="AM20" s="517"/>
      <c r="AN20" s="517"/>
      <c r="AO20" s="517"/>
      <c r="AP20" s="517"/>
      <c r="AQ20" s="517"/>
      <c r="AR20" s="517"/>
      <c r="AS20" s="517"/>
      <c r="AT20" s="517"/>
      <c r="AU20" s="517"/>
      <c r="AV20" s="517"/>
      <c r="AW20" s="517"/>
      <c r="AX20" s="517"/>
      <c r="AY20" s="517"/>
      <c r="AZ20" s="517"/>
      <c r="BA20" s="517"/>
      <c r="BB20" s="517"/>
      <c r="BC20" s="517"/>
      <c r="BD20" s="517"/>
      <c r="BE20" s="517"/>
      <c r="BF20" s="517"/>
      <c r="BG20" s="517"/>
      <c r="BH20" s="517"/>
      <c r="BI20" s="517"/>
      <c r="BJ20" s="517"/>
      <c r="BK20" s="517"/>
      <c r="BL20" s="517"/>
      <c r="BM20" s="517"/>
      <c r="BN20" s="517"/>
      <c r="BO20" s="517"/>
      <c r="BP20" s="517"/>
      <c r="BQ20" s="517"/>
      <c r="BR20" s="517"/>
      <c r="BS20" s="517"/>
      <c r="BT20" s="517"/>
      <c r="BU20" s="517"/>
      <c r="BV20" s="517"/>
      <c r="BW20" s="517"/>
      <c r="BX20" s="517"/>
      <c r="BY20" s="517"/>
      <c r="BZ20" s="517"/>
      <c r="CA20" s="517"/>
      <c r="CB20" s="517"/>
      <c r="CC20" s="517"/>
      <c r="CD20" s="517"/>
      <c r="CE20" s="517"/>
      <c r="CF20" s="517"/>
      <c r="CG20" s="517"/>
      <c r="CH20" s="517"/>
      <c r="CI20" s="517"/>
      <c r="CJ20" s="517"/>
      <c r="CK20" s="517"/>
      <c r="CL20" s="517"/>
      <c r="CM20" s="517"/>
      <c r="CN20" s="517"/>
      <c r="CO20" s="517"/>
      <c r="CP20" s="517"/>
      <c r="CQ20" s="517"/>
      <c r="CR20" s="517"/>
      <c r="CS20" s="517"/>
      <c r="CT20" s="517"/>
      <c r="CU20" s="517"/>
      <c r="CV20" s="517"/>
      <c r="CW20" s="517"/>
      <c r="CX20" s="517"/>
      <c r="CY20" s="517"/>
      <c r="CZ20" s="517"/>
      <c r="DA20" s="517"/>
      <c r="DB20" s="517"/>
      <c r="DC20" s="517"/>
      <c r="DD20" s="517"/>
      <c r="DE20" s="517"/>
      <c r="DF20" s="517"/>
      <c r="DG20" s="517"/>
      <c r="DH20" s="517"/>
      <c r="DI20" s="517"/>
      <c r="DJ20" s="517"/>
      <c r="DK20" s="517"/>
      <c r="DL20" s="517"/>
      <c r="DM20" s="517"/>
      <c r="DN20" s="517"/>
      <c r="DO20" s="517"/>
      <c r="DP20" s="517"/>
      <c r="DQ20" s="517"/>
      <c r="DR20" s="517"/>
      <c r="DS20" s="517"/>
      <c r="DT20" s="517"/>
      <c r="DU20" s="517"/>
      <c r="DV20" s="517"/>
      <c r="DW20" s="517"/>
      <c r="DX20" s="517"/>
      <c r="DY20" s="517"/>
      <c r="DZ20" s="517"/>
      <c r="EA20" s="517"/>
      <c r="EB20" s="517"/>
      <c r="EC20" s="517"/>
      <c r="ED20" s="517"/>
      <c r="EE20" s="517"/>
      <c r="EF20" s="517"/>
      <c r="EG20" s="517"/>
      <c r="EH20" s="517"/>
      <c r="EI20" s="517"/>
      <c r="EJ20" s="517"/>
      <c r="EK20" s="517"/>
      <c r="EL20" s="517"/>
      <c r="EM20" s="517"/>
      <c r="EN20" s="517"/>
      <c r="EO20" s="517"/>
      <c r="EP20" s="517"/>
      <c r="EQ20" s="517"/>
      <c r="ER20" s="517"/>
      <c r="ES20" s="627" t="s">
        <v>1140</v>
      </c>
    </row>
    <row r="21">
      <c r="A21" s="517"/>
      <c r="B21" s="517"/>
      <c r="C21" s="517"/>
      <c r="D21" s="517"/>
      <c r="E21" s="517"/>
      <c r="F21" s="517"/>
      <c r="G21" s="517"/>
      <c r="H21" s="517"/>
      <c r="I21" s="517"/>
      <c r="J21" s="517"/>
      <c r="K21" s="517"/>
      <c r="L21" s="517"/>
      <c r="M21" s="517"/>
      <c r="N21" s="517"/>
      <c r="O21" s="517"/>
      <c r="P21" s="517"/>
      <c r="Q21" s="517"/>
      <c r="R21" s="517"/>
      <c r="S21" s="517"/>
      <c r="T21" s="517"/>
      <c r="U21" s="517"/>
      <c r="V21" s="517"/>
      <c r="W21" s="517"/>
      <c r="X21" s="517"/>
      <c r="Y21" s="517"/>
      <c r="Z21" s="517"/>
      <c r="AA21" s="517"/>
      <c r="AB21" s="517"/>
      <c r="AC21" s="517"/>
      <c r="AD21" s="517"/>
      <c r="AE21" s="517"/>
      <c r="AF21" s="517"/>
      <c r="AG21" s="517"/>
      <c r="AH21" s="517"/>
      <c r="AI21" s="517"/>
      <c r="AJ21" s="517"/>
      <c r="AK21" s="517"/>
      <c r="AL21" s="517"/>
      <c r="AM21" s="517"/>
      <c r="AN21" s="517"/>
      <c r="AO21" s="517"/>
      <c r="AP21" s="517"/>
      <c r="AQ21" s="517"/>
      <c r="AR21" s="517"/>
      <c r="AS21" s="517"/>
      <c r="AT21" s="517"/>
      <c r="AU21" s="517"/>
      <c r="AV21" s="517"/>
      <c r="AW21" s="517"/>
      <c r="AX21" s="517"/>
      <c r="AY21" s="517"/>
      <c r="AZ21" s="517"/>
      <c r="BA21" s="517"/>
      <c r="BB21" s="517"/>
      <c r="BC21" s="517"/>
      <c r="BD21" s="517"/>
      <c r="BE21" s="517"/>
      <c r="BF21" s="517"/>
      <c r="BG21" s="517"/>
      <c r="BH21" s="517"/>
      <c r="BI21" s="517"/>
      <c r="BJ21" s="517"/>
      <c r="BK21" s="517"/>
      <c r="BL21" s="517"/>
      <c r="BM21" s="517"/>
      <c r="BN21" s="517"/>
      <c r="BO21" s="517"/>
      <c r="BP21" s="517"/>
      <c r="BQ21" s="517"/>
      <c r="BR21" s="517"/>
      <c r="BS21" s="517"/>
      <c r="BT21" s="517"/>
      <c r="BU21" s="517"/>
      <c r="BV21" s="517"/>
      <c r="BW21" s="517"/>
      <c r="BX21" s="517"/>
      <c r="BY21" s="517"/>
      <c r="BZ21" s="517"/>
      <c r="CA21" s="517"/>
      <c r="CB21" s="517"/>
      <c r="CC21" s="517"/>
      <c r="CD21" s="517"/>
      <c r="CE21" s="517"/>
      <c r="CF21" s="517"/>
      <c r="CG21" s="517"/>
      <c r="CH21" s="517"/>
      <c r="CI21" s="517"/>
      <c r="CJ21" s="517"/>
      <c r="CK21" s="517"/>
      <c r="CL21" s="517"/>
      <c r="CM21" s="517"/>
      <c r="CN21" s="517"/>
      <c r="CO21" s="517"/>
      <c r="CP21" s="517"/>
      <c r="CQ21" s="517"/>
      <c r="CR21" s="517"/>
      <c r="CS21" s="517"/>
      <c r="CT21" s="517"/>
      <c r="CU21" s="517"/>
      <c r="CV21" s="517"/>
      <c r="CW21" s="517"/>
      <c r="CX21" s="517"/>
      <c r="CY21" s="517"/>
      <c r="CZ21" s="517"/>
      <c r="DA21" s="517"/>
      <c r="DB21" s="517"/>
      <c r="DC21" s="517"/>
      <c r="DD21" s="517"/>
      <c r="DE21" s="517"/>
      <c r="DF21" s="517"/>
      <c r="DG21" s="517"/>
      <c r="DH21" s="517"/>
      <c r="DI21" s="517"/>
      <c r="DJ21" s="517"/>
      <c r="DK21" s="517"/>
      <c r="DL21" s="517"/>
      <c r="DM21" s="517"/>
      <c r="DN21" s="517"/>
      <c r="DO21" s="517"/>
      <c r="DP21" s="517"/>
      <c r="DQ21" s="517"/>
      <c r="DR21" s="517"/>
      <c r="DS21" s="517"/>
      <c r="DT21" s="517"/>
      <c r="DU21" s="517"/>
      <c r="DV21" s="517"/>
      <c r="DW21" s="517"/>
      <c r="DX21" s="517"/>
      <c r="DY21" s="517"/>
      <c r="DZ21" s="517"/>
      <c r="EA21" s="517"/>
      <c r="EB21" s="517"/>
      <c r="EC21" s="517"/>
      <c r="ED21" s="517"/>
      <c r="EE21" s="517"/>
      <c r="EF21" s="517"/>
      <c r="EG21" s="517"/>
      <c r="EH21" s="517"/>
      <c r="EI21" s="517"/>
      <c r="EJ21" s="517"/>
      <c r="EK21" s="517"/>
      <c r="EL21" s="517"/>
      <c r="EM21" s="517"/>
      <c r="EN21" s="517"/>
      <c r="EO21" s="517"/>
      <c r="EP21" s="517"/>
      <c r="EQ21" s="517"/>
      <c r="ER21" s="517"/>
      <c r="ES21" s="627" t="s">
        <v>1140</v>
      </c>
    </row>
    <row r="22">
      <c r="A22" s="517"/>
      <c r="B22" s="517"/>
      <c r="C22" s="517"/>
      <c r="D22" s="517"/>
      <c r="E22" s="517"/>
      <c r="F22" s="517"/>
      <c r="G22" s="517"/>
      <c r="H22" s="517"/>
      <c r="I22" s="517"/>
      <c r="J22" s="517"/>
      <c r="K22" s="517"/>
      <c r="L22" s="517"/>
      <c r="M22" s="517"/>
      <c r="N22" s="517"/>
      <c r="O22" s="517"/>
      <c r="P22" s="517"/>
      <c r="Q22" s="517"/>
      <c r="R22" s="517"/>
      <c r="S22" s="517"/>
      <c r="T22" s="517"/>
      <c r="U22" s="517"/>
      <c r="V22" s="517"/>
      <c r="W22" s="517"/>
      <c r="X22" s="517"/>
      <c r="Y22" s="517"/>
      <c r="Z22" s="517"/>
      <c r="AA22" s="517"/>
      <c r="AB22" s="517"/>
      <c r="AC22" s="517"/>
      <c r="AD22" s="517"/>
      <c r="AE22" s="517"/>
      <c r="AF22" s="517"/>
      <c r="AG22" s="517"/>
      <c r="AH22" s="517"/>
      <c r="AI22" s="517"/>
      <c r="AJ22" s="517"/>
      <c r="AK22" s="517"/>
      <c r="AL22" s="517"/>
      <c r="AM22" s="517"/>
      <c r="AN22" s="517"/>
      <c r="AO22" s="517"/>
      <c r="AP22" s="517"/>
      <c r="AQ22" s="517"/>
      <c r="AR22" s="517"/>
      <c r="AS22" s="517"/>
      <c r="AT22" s="517"/>
      <c r="AU22" s="517"/>
      <c r="AV22" s="517"/>
      <c r="AW22" s="517"/>
      <c r="AX22" s="517"/>
      <c r="AY22" s="517"/>
      <c r="AZ22" s="517"/>
      <c r="BA22" s="517"/>
      <c r="BB22" s="517"/>
      <c r="BC22" s="517"/>
      <c r="BD22" s="517"/>
      <c r="BE22" s="517"/>
      <c r="BF22" s="517"/>
      <c r="BG22" s="517"/>
      <c r="BH22" s="517"/>
      <c r="BI22" s="517"/>
      <c r="BJ22" s="517"/>
      <c r="BK22" s="517"/>
      <c r="BL22" s="517"/>
      <c r="BM22" s="517"/>
      <c r="BN22" s="517"/>
      <c r="BO22" s="517"/>
      <c r="BP22" s="517"/>
      <c r="BQ22" s="517"/>
      <c r="BR22" s="517"/>
      <c r="BS22" s="517"/>
      <c r="BT22" s="517"/>
      <c r="BU22" s="517"/>
      <c r="BV22" s="517"/>
      <c r="BW22" s="517"/>
      <c r="BX22" s="517"/>
      <c r="BY22" s="517"/>
      <c r="BZ22" s="517"/>
      <c r="CA22" s="517"/>
      <c r="CB22" s="517"/>
      <c r="CC22" s="517"/>
      <c r="CD22" s="517"/>
      <c r="CE22" s="517"/>
      <c r="CF22" s="517"/>
      <c r="CG22" s="517"/>
      <c r="CH22" s="517"/>
      <c r="CI22" s="517"/>
      <c r="CJ22" s="517"/>
      <c r="CK22" s="517"/>
      <c r="CL22" s="517"/>
      <c r="CM22" s="517"/>
      <c r="CN22" s="517"/>
      <c r="CO22" s="517"/>
      <c r="CP22" s="517"/>
      <c r="CQ22" s="517"/>
      <c r="CR22" s="517"/>
      <c r="CS22" s="517"/>
      <c r="CT22" s="517"/>
      <c r="CU22" s="517"/>
      <c r="CV22" s="517"/>
      <c r="CW22" s="517"/>
      <c r="CX22" s="517"/>
      <c r="CY22" s="517"/>
      <c r="CZ22" s="517"/>
      <c r="DA22" s="517"/>
      <c r="DB22" s="517"/>
      <c r="DC22" s="517"/>
      <c r="DD22" s="517"/>
      <c r="DE22" s="517"/>
      <c r="DF22" s="517"/>
      <c r="DG22" s="517"/>
      <c r="DH22" s="517"/>
      <c r="DI22" s="517"/>
      <c r="DJ22" s="517"/>
      <c r="DK22" s="517"/>
      <c r="DL22" s="517"/>
      <c r="DM22" s="517"/>
      <c r="DN22" s="517"/>
      <c r="DO22" s="517"/>
      <c r="DP22" s="517"/>
      <c r="DQ22" s="517"/>
      <c r="DR22" s="517"/>
      <c r="DS22" s="517"/>
      <c r="DT22" s="517"/>
      <c r="DU22" s="517"/>
      <c r="DV22" s="517"/>
      <c r="DW22" s="517"/>
      <c r="DX22" s="517"/>
      <c r="DY22" s="517"/>
      <c r="DZ22" s="517"/>
      <c r="EA22" s="517"/>
      <c r="EB22" s="517"/>
      <c r="EC22" s="517"/>
      <c r="ED22" s="517"/>
      <c r="EE22" s="517"/>
      <c r="EF22" s="517"/>
      <c r="EG22" s="517"/>
      <c r="EH22" s="517"/>
      <c r="EI22" s="517"/>
      <c r="EJ22" s="517"/>
      <c r="EK22" s="517"/>
      <c r="EL22" s="517"/>
      <c r="EM22" s="517"/>
      <c r="EN22" s="517"/>
      <c r="EO22" s="517"/>
      <c r="EP22" s="517"/>
      <c r="EQ22" s="517"/>
      <c r="ER22" s="517"/>
      <c r="ES22" s="627" t="s">
        <v>1140</v>
      </c>
    </row>
    <row r="23">
      <c r="A23" s="517"/>
      <c r="B23" s="517"/>
      <c r="C23" s="517"/>
      <c r="D23" s="517"/>
      <c r="E23" s="517"/>
      <c r="F23" s="517"/>
      <c r="G23" s="517"/>
      <c r="H23" s="517"/>
      <c r="I23" s="517"/>
      <c r="J23" s="517"/>
      <c r="K23" s="517"/>
      <c r="L23" s="517"/>
      <c r="M23" s="517"/>
      <c r="N23" s="517"/>
      <c r="O23" s="517"/>
      <c r="P23" s="517"/>
      <c r="Q23" s="517"/>
      <c r="R23" s="517"/>
      <c r="S23" s="517"/>
      <c r="T23" s="517"/>
      <c r="U23" s="517"/>
      <c r="V23" s="517"/>
      <c r="W23" s="517"/>
      <c r="X23" s="517"/>
      <c r="Y23" s="517"/>
      <c r="Z23" s="517"/>
      <c r="AA23" s="517"/>
      <c r="AB23" s="517"/>
      <c r="AC23" s="517"/>
      <c r="AD23" s="517"/>
      <c r="AE23" s="517"/>
      <c r="AF23" s="517"/>
      <c r="AG23" s="517"/>
      <c r="AH23" s="517"/>
      <c r="AI23" s="517"/>
      <c r="AJ23" s="517"/>
      <c r="AK23" s="517"/>
      <c r="AL23" s="517"/>
      <c r="AM23" s="517"/>
      <c r="AN23" s="517"/>
      <c r="AO23" s="517"/>
      <c r="AP23" s="517"/>
      <c r="AQ23" s="517"/>
      <c r="AR23" s="517"/>
      <c r="AS23" s="517"/>
      <c r="AT23" s="517"/>
      <c r="AU23" s="517"/>
      <c r="AV23" s="517"/>
      <c r="AW23" s="517"/>
      <c r="AX23" s="517"/>
      <c r="AY23" s="517"/>
      <c r="AZ23" s="517"/>
      <c r="BA23" s="517"/>
      <c r="BB23" s="517"/>
      <c r="BC23" s="517"/>
      <c r="BD23" s="517"/>
      <c r="BE23" s="517"/>
      <c r="BF23" s="517"/>
      <c r="BG23" s="517"/>
      <c r="BH23" s="517"/>
      <c r="BI23" s="517"/>
      <c r="BJ23" s="517"/>
      <c r="BK23" s="517"/>
      <c r="BL23" s="517"/>
      <c r="BM23" s="517"/>
      <c r="BN23" s="517"/>
      <c r="BO23" s="517"/>
      <c r="BP23" s="517"/>
      <c r="BQ23" s="517"/>
      <c r="BR23" s="517"/>
      <c r="BS23" s="517"/>
      <c r="BT23" s="517"/>
      <c r="BU23" s="517"/>
      <c r="BV23" s="517"/>
      <c r="BW23" s="517"/>
      <c r="BX23" s="517"/>
      <c r="BY23" s="517"/>
      <c r="BZ23" s="517"/>
      <c r="CA23" s="517"/>
      <c r="CB23" s="517"/>
      <c r="CC23" s="517"/>
      <c r="CD23" s="517"/>
      <c r="CE23" s="517"/>
      <c r="CF23" s="517"/>
      <c r="CG23" s="517"/>
      <c r="CH23" s="517"/>
      <c r="CI23" s="517"/>
      <c r="CJ23" s="517"/>
      <c r="CK23" s="517"/>
      <c r="CL23" s="517"/>
      <c r="CM23" s="517"/>
      <c r="CN23" s="517"/>
      <c r="CO23" s="517"/>
      <c r="CP23" s="517"/>
      <c r="CQ23" s="517"/>
      <c r="CR23" s="517"/>
      <c r="CS23" s="517"/>
      <c r="CT23" s="517"/>
      <c r="CU23" s="517"/>
      <c r="CV23" s="517"/>
      <c r="CW23" s="517"/>
      <c r="CX23" s="517"/>
      <c r="CY23" s="517"/>
      <c r="CZ23" s="517"/>
      <c r="DA23" s="517"/>
      <c r="DB23" s="517"/>
      <c r="DC23" s="517"/>
      <c r="DD23" s="517"/>
      <c r="DE23" s="517"/>
      <c r="DF23" s="517"/>
      <c r="DG23" s="517"/>
      <c r="DH23" s="517"/>
      <c r="DI23" s="517"/>
      <c r="DJ23" s="517"/>
      <c r="DK23" s="517"/>
      <c r="DL23" s="517"/>
      <c r="DM23" s="517"/>
      <c r="DN23" s="517"/>
      <c r="DO23" s="517"/>
      <c r="DP23" s="517"/>
      <c r="DQ23" s="517"/>
      <c r="DR23" s="517"/>
      <c r="DS23" s="517"/>
      <c r="DT23" s="517"/>
      <c r="DU23" s="517"/>
      <c r="DV23" s="517"/>
      <c r="DW23" s="517"/>
      <c r="DX23" s="517"/>
      <c r="DY23" s="517"/>
      <c r="DZ23" s="517"/>
      <c r="EA23" s="517"/>
      <c r="EB23" s="517"/>
      <c r="EC23" s="517"/>
      <c r="ED23" s="517"/>
      <c r="EE23" s="517"/>
      <c r="EF23" s="517"/>
      <c r="EG23" s="517"/>
      <c r="EH23" s="517"/>
      <c r="EI23" s="517"/>
      <c r="EJ23" s="517"/>
      <c r="EK23" s="517"/>
      <c r="EL23" s="517"/>
      <c r="EM23" s="517"/>
      <c r="EN23" s="517"/>
      <c r="EO23" s="517"/>
      <c r="EP23" s="517"/>
      <c r="EQ23" s="517"/>
      <c r="ER23" s="517"/>
      <c r="ES23" s="627" t="s">
        <v>1140</v>
      </c>
    </row>
    <row r="24">
      <c r="A24" s="517"/>
      <c r="B24" s="517"/>
      <c r="C24" s="517"/>
      <c r="D24" s="517"/>
      <c r="E24" s="517"/>
      <c r="F24" s="517"/>
      <c r="G24" s="517"/>
      <c r="H24" s="517"/>
      <c r="I24" s="517"/>
      <c r="J24" s="517"/>
      <c r="K24" s="517"/>
      <c r="L24" s="517"/>
      <c r="M24" s="517"/>
      <c r="N24" s="517"/>
      <c r="O24" s="517"/>
      <c r="P24" s="517"/>
      <c r="Q24" s="517"/>
      <c r="R24" s="517"/>
      <c r="S24" s="517"/>
      <c r="T24" s="517"/>
      <c r="U24" s="517"/>
      <c r="V24" s="517"/>
      <c r="W24" s="517"/>
      <c r="X24" s="517"/>
      <c r="Y24" s="517"/>
      <c r="Z24" s="517"/>
      <c r="AA24" s="517"/>
      <c r="AB24" s="517"/>
      <c r="AC24" s="517"/>
      <c r="AD24" s="517"/>
      <c r="AE24" s="517"/>
      <c r="AF24" s="517"/>
      <c r="AG24" s="517"/>
      <c r="AH24" s="517"/>
      <c r="AI24" s="517"/>
      <c r="AJ24" s="517"/>
      <c r="AK24" s="517"/>
      <c r="AL24" s="517"/>
      <c r="AM24" s="517"/>
      <c r="AN24" s="517"/>
      <c r="AO24" s="517"/>
      <c r="AP24" s="517"/>
      <c r="AQ24" s="517"/>
      <c r="AR24" s="517"/>
      <c r="AS24" s="517"/>
      <c r="AT24" s="517"/>
      <c r="AU24" s="517"/>
      <c r="AV24" s="517"/>
      <c r="AW24" s="517"/>
      <c r="AX24" s="517"/>
      <c r="AY24" s="517"/>
      <c r="AZ24" s="517"/>
      <c r="BA24" s="517"/>
      <c r="BB24" s="517"/>
      <c r="BC24" s="517"/>
      <c r="BD24" s="517"/>
      <c r="BE24" s="517"/>
      <c r="BF24" s="517"/>
      <c r="BG24" s="517"/>
      <c r="BH24" s="517"/>
      <c r="BI24" s="517"/>
      <c r="BJ24" s="517"/>
      <c r="BK24" s="517"/>
      <c r="BL24" s="517"/>
      <c r="BM24" s="517"/>
      <c r="BN24" s="517"/>
      <c r="BO24" s="517"/>
      <c r="BP24" s="517"/>
      <c r="BQ24" s="517"/>
      <c r="BR24" s="517"/>
      <c r="BS24" s="517"/>
      <c r="BT24" s="517"/>
      <c r="BU24" s="517"/>
      <c r="BV24" s="517"/>
      <c r="BW24" s="517"/>
      <c r="BX24" s="517"/>
      <c r="BY24" s="517"/>
      <c r="BZ24" s="517"/>
      <c r="CA24" s="517"/>
      <c r="CB24" s="517"/>
      <c r="CC24" s="517"/>
      <c r="CD24" s="517"/>
      <c r="CE24" s="517"/>
      <c r="CF24" s="517"/>
      <c r="CG24" s="517"/>
      <c r="CH24" s="517"/>
      <c r="CI24" s="517"/>
      <c r="CJ24" s="517"/>
      <c r="CK24" s="517"/>
      <c r="CL24" s="517"/>
      <c r="CM24" s="517"/>
      <c r="CN24" s="517"/>
      <c r="CO24" s="517"/>
      <c r="CP24" s="517"/>
      <c r="CQ24" s="517"/>
      <c r="CR24" s="517"/>
      <c r="CS24" s="517"/>
      <c r="CT24" s="517"/>
      <c r="CU24" s="517"/>
      <c r="CV24" s="517"/>
      <c r="CW24" s="517"/>
      <c r="CX24" s="517"/>
      <c r="CY24" s="517"/>
      <c r="CZ24" s="517"/>
      <c r="DA24" s="517"/>
      <c r="DB24" s="517"/>
      <c r="DC24" s="517"/>
      <c r="DD24" s="517"/>
      <c r="DE24" s="517"/>
      <c r="DF24" s="517"/>
      <c r="DG24" s="517"/>
      <c r="DH24" s="517"/>
      <c r="DI24" s="517"/>
      <c r="DJ24" s="517"/>
      <c r="DK24" s="517"/>
      <c r="DL24" s="517"/>
      <c r="DM24" s="517"/>
      <c r="DN24" s="517"/>
      <c r="DO24" s="517"/>
      <c r="DP24" s="517"/>
      <c r="DQ24" s="517"/>
      <c r="DR24" s="517"/>
      <c r="DS24" s="517"/>
      <c r="DT24" s="517"/>
      <c r="DU24" s="517"/>
      <c r="DV24" s="517"/>
      <c r="DW24" s="517"/>
      <c r="DX24" s="517"/>
      <c r="DY24" s="517"/>
      <c r="DZ24" s="517"/>
      <c r="EA24" s="517"/>
      <c r="EB24" s="517"/>
      <c r="EC24" s="517"/>
      <c r="ED24" s="517"/>
      <c r="EE24" s="517"/>
      <c r="EF24" s="517"/>
      <c r="EG24" s="517"/>
      <c r="EH24" s="517"/>
      <c r="EI24" s="517"/>
      <c r="EJ24" s="517"/>
      <c r="EK24" s="517"/>
      <c r="EL24" s="517"/>
      <c r="EM24" s="517"/>
      <c r="EN24" s="517"/>
      <c r="EO24" s="517"/>
      <c r="EP24" s="517"/>
      <c r="EQ24" s="517"/>
      <c r="ER24" s="517"/>
      <c r="ES24" s="627" t="s">
        <v>1140</v>
      </c>
    </row>
    <row r="25">
      <c r="A25" s="517"/>
      <c r="B25" s="517"/>
      <c r="C25" s="517"/>
      <c r="D25" s="517"/>
      <c r="E25" s="517"/>
      <c r="F25" s="517"/>
      <c r="G25" s="517"/>
      <c r="H25" s="517"/>
      <c r="I25" s="517"/>
      <c r="J25" s="517"/>
      <c r="K25" s="517"/>
      <c r="L25" s="517"/>
      <c r="M25" s="517"/>
      <c r="N25" s="517"/>
      <c r="O25" s="517"/>
      <c r="P25" s="517"/>
      <c r="Q25" s="517"/>
      <c r="R25" s="517"/>
      <c r="S25" s="517"/>
      <c r="T25" s="517"/>
      <c r="U25" s="517"/>
      <c r="V25" s="517"/>
      <c r="W25" s="517"/>
      <c r="X25" s="517"/>
      <c r="Y25" s="517"/>
      <c r="Z25" s="517"/>
      <c r="AA25" s="517"/>
      <c r="AB25" s="517"/>
      <c r="AC25" s="517"/>
      <c r="AD25" s="517"/>
      <c r="AE25" s="517"/>
      <c r="AF25" s="517"/>
      <c r="AG25" s="517"/>
      <c r="AH25" s="517"/>
      <c r="AI25" s="517"/>
      <c r="AJ25" s="517"/>
      <c r="AK25" s="517"/>
      <c r="AL25" s="517"/>
      <c r="AM25" s="517"/>
      <c r="AN25" s="517"/>
      <c r="AO25" s="517"/>
      <c r="AP25" s="517"/>
      <c r="AQ25" s="517"/>
      <c r="AR25" s="517"/>
      <c r="AS25" s="517"/>
      <c r="AT25" s="517"/>
      <c r="AU25" s="517"/>
      <c r="AV25" s="517"/>
      <c r="AW25" s="517"/>
      <c r="AX25" s="517"/>
      <c r="AY25" s="517"/>
      <c r="AZ25" s="517"/>
      <c r="BA25" s="517"/>
      <c r="BB25" s="517"/>
      <c r="BC25" s="517"/>
      <c r="BD25" s="517"/>
      <c r="BE25" s="517"/>
      <c r="BF25" s="517"/>
      <c r="BG25" s="517"/>
      <c r="BH25" s="517"/>
      <c r="BI25" s="517"/>
      <c r="BJ25" s="517"/>
      <c r="BK25" s="517"/>
      <c r="BL25" s="517"/>
      <c r="BM25" s="517"/>
      <c r="BN25" s="517"/>
      <c r="BO25" s="517"/>
      <c r="BP25" s="517"/>
      <c r="BQ25" s="517"/>
      <c r="BR25" s="517"/>
      <c r="BS25" s="517"/>
      <c r="BT25" s="517"/>
      <c r="BU25" s="517"/>
      <c r="BV25" s="517"/>
      <c r="BW25" s="517"/>
      <c r="BX25" s="517"/>
      <c r="BY25" s="517"/>
      <c r="BZ25" s="517"/>
      <c r="CA25" s="517"/>
      <c r="CB25" s="517"/>
      <c r="CC25" s="517"/>
      <c r="CD25" s="517"/>
      <c r="CE25" s="517"/>
      <c r="CF25" s="517"/>
      <c r="CG25" s="517"/>
      <c r="CH25" s="517"/>
      <c r="CI25" s="517"/>
      <c r="CJ25" s="517"/>
      <c r="CK25" s="517"/>
      <c r="CL25" s="517"/>
      <c r="CM25" s="517"/>
      <c r="CN25" s="517"/>
      <c r="CO25" s="517"/>
      <c r="CP25" s="517"/>
      <c r="CQ25" s="517"/>
      <c r="CR25" s="517"/>
      <c r="CS25" s="517"/>
      <c r="CT25" s="517"/>
      <c r="CU25" s="517"/>
      <c r="CV25" s="517"/>
      <c r="CW25" s="517"/>
      <c r="CX25" s="517"/>
      <c r="CY25" s="517"/>
      <c r="CZ25" s="517"/>
      <c r="DA25" s="517"/>
      <c r="DB25" s="517"/>
      <c r="DC25" s="517"/>
      <c r="DD25" s="517"/>
      <c r="DE25" s="517"/>
      <c r="DF25" s="517"/>
      <c r="DG25" s="517"/>
      <c r="DH25" s="517"/>
      <c r="DI25" s="517"/>
      <c r="DJ25" s="517"/>
      <c r="DK25" s="517"/>
      <c r="DL25" s="517"/>
      <c r="DM25" s="517"/>
      <c r="DN25" s="517"/>
      <c r="DO25" s="517"/>
      <c r="DP25" s="517"/>
      <c r="DQ25" s="517"/>
      <c r="DR25" s="517"/>
      <c r="DS25" s="517"/>
      <c r="DT25" s="517"/>
      <c r="DU25" s="517"/>
      <c r="DV25" s="517"/>
      <c r="DW25" s="517"/>
      <c r="DX25" s="517"/>
      <c r="DY25" s="517"/>
      <c r="DZ25" s="517"/>
      <c r="EA25" s="517"/>
      <c r="EB25" s="517"/>
      <c r="EC25" s="517"/>
      <c r="ED25" s="517"/>
      <c r="EE25" s="517"/>
      <c r="EF25" s="517"/>
      <c r="EG25" s="517"/>
      <c r="EH25" s="517"/>
      <c r="EI25" s="517"/>
      <c r="EJ25" s="517"/>
      <c r="EK25" s="517"/>
      <c r="EL25" s="517"/>
      <c r="EM25" s="517"/>
      <c r="EN25" s="517"/>
      <c r="EO25" s="517"/>
      <c r="EP25" s="517"/>
      <c r="EQ25" s="517"/>
      <c r="ER25" s="517"/>
      <c r="ES25" s="627" t="s">
        <v>1140</v>
      </c>
    </row>
    <row r="26">
      <c r="A26" s="517"/>
      <c r="B26" s="517"/>
      <c r="C26" s="517"/>
      <c r="D26" s="517"/>
      <c r="E26" s="517"/>
      <c r="F26" s="517"/>
      <c r="G26" s="517"/>
      <c r="H26" s="517"/>
      <c r="I26" s="517"/>
      <c r="J26" s="517"/>
      <c r="K26" s="517"/>
      <c r="L26" s="517"/>
      <c r="M26" s="517"/>
      <c r="N26" s="517"/>
      <c r="O26" s="517"/>
      <c r="P26" s="517"/>
      <c r="Q26" s="517"/>
      <c r="R26" s="517"/>
      <c r="S26" s="517"/>
      <c r="T26" s="517"/>
      <c r="U26" s="517"/>
      <c r="V26" s="517"/>
      <c r="W26" s="517"/>
      <c r="X26" s="517"/>
      <c r="Y26" s="517"/>
      <c r="Z26" s="517"/>
      <c r="AA26" s="517"/>
      <c r="AB26" s="517"/>
      <c r="AC26" s="517"/>
      <c r="AD26" s="517"/>
      <c r="AE26" s="517"/>
      <c r="AF26" s="517"/>
      <c r="AG26" s="517"/>
      <c r="AH26" s="517"/>
      <c r="AI26" s="517"/>
      <c r="AJ26" s="517"/>
      <c r="AK26" s="517"/>
      <c r="AL26" s="517"/>
      <c r="AM26" s="517"/>
      <c r="AN26" s="517"/>
      <c r="AO26" s="517"/>
      <c r="AP26" s="517"/>
      <c r="AQ26" s="517"/>
      <c r="AR26" s="517"/>
      <c r="AS26" s="517"/>
      <c r="AT26" s="517"/>
      <c r="AU26" s="517"/>
      <c r="AV26" s="517"/>
      <c r="AW26" s="517"/>
      <c r="AX26" s="517"/>
      <c r="AY26" s="517"/>
      <c r="AZ26" s="517"/>
      <c r="BA26" s="517"/>
      <c r="BB26" s="517"/>
      <c r="BC26" s="517"/>
      <c r="BD26" s="517"/>
      <c r="BE26" s="517"/>
      <c r="BF26" s="517"/>
      <c r="BG26" s="517"/>
      <c r="BH26" s="517"/>
      <c r="BI26" s="517"/>
      <c r="BJ26" s="517"/>
      <c r="BK26" s="517"/>
      <c r="BL26" s="517"/>
      <c r="BM26" s="517"/>
      <c r="BN26" s="517"/>
      <c r="BO26" s="517"/>
      <c r="BP26" s="517"/>
      <c r="BQ26" s="517"/>
      <c r="BR26" s="517"/>
      <c r="BS26" s="517"/>
      <c r="BT26" s="517"/>
      <c r="BU26" s="517"/>
      <c r="BV26" s="517"/>
      <c r="BW26" s="517"/>
      <c r="BX26" s="517"/>
      <c r="BY26" s="517"/>
      <c r="BZ26" s="517"/>
      <c r="CA26" s="517"/>
      <c r="CB26" s="517"/>
      <c r="CC26" s="517"/>
      <c r="CD26" s="517"/>
      <c r="CE26" s="517"/>
      <c r="CF26" s="517"/>
      <c r="CG26" s="517"/>
      <c r="CH26" s="517"/>
      <c r="CI26" s="517"/>
      <c r="CJ26" s="517"/>
      <c r="CK26" s="517"/>
      <c r="CL26" s="517"/>
      <c r="CM26" s="517"/>
      <c r="CN26" s="517"/>
      <c r="CO26" s="517"/>
      <c r="CP26" s="517"/>
      <c r="CQ26" s="517"/>
      <c r="CR26" s="517"/>
      <c r="CS26" s="517"/>
      <c r="CT26" s="517"/>
      <c r="CU26" s="517"/>
      <c r="CV26" s="517"/>
      <c r="CW26" s="517"/>
      <c r="CX26" s="517"/>
      <c r="CY26" s="517"/>
      <c r="CZ26" s="517"/>
      <c r="DA26" s="517"/>
      <c r="DB26" s="517"/>
      <c r="DC26" s="517"/>
      <c r="DD26" s="517"/>
      <c r="DE26" s="517"/>
      <c r="DF26" s="517"/>
      <c r="DG26" s="517"/>
      <c r="DH26" s="517"/>
      <c r="DI26" s="517"/>
      <c r="DJ26" s="517"/>
      <c r="DK26" s="517"/>
      <c r="DL26" s="517"/>
      <c r="DM26" s="517"/>
      <c r="DN26" s="517"/>
      <c r="DO26" s="517"/>
      <c r="DP26" s="517"/>
      <c r="DQ26" s="517"/>
      <c r="DR26" s="517"/>
      <c r="DS26" s="517"/>
      <c r="DT26" s="517"/>
      <c r="DU26" s="517"/>
      <c r="DV26" s="517"/>
      <c r="DW26" s="517"/>
      <c r="DX26" s="517"/>
      <c r="DY26" s="517"/>
      <c r="DZ26" s="517"/>
      <c r="EA26" s="517"/>
      <c r="EB26" s="517"/>
      <c r="EC26" s="517"/>
      <c r="ED26" s="517"/>
      <c r="EE26" s="517"/>
      <c r="EF26" s="517"/>
      <c r="EG26" s="517"/>
      <c r="EH26" s="517"/>
      <c r="EI26" s="517"/>
      <c r="EJ26" s="517"/>
      <c r="EK26" s="517"/>
      <c r="EL26" s="517"/>
      <c r="EM26" s="517"/>
      <c r="EN26" s="517"/>
      <c r="EO26" s="517"/>
      <c r="EP26" s="517"/>
      <c r="EQ26" s="517"/>
      <c r="ER26" s="517"/>
      <c r="ES26" s="627" t="s">
        <v>1140</v>
      </c>
    </row>
    <row r="27">
      <c r="A27" s="517"/>
      <c r="B27" s="517"/>
      <c r="C27" s="517"/>
      <c r="D27" s="517"/>
      <c r="E27" s="517"/>
      <c r="F27" s="517"/>
      <c r="G27" s="517"/>
      <c r="H27" s="517"/>
      <c r="I27" s="517"/>
      <c r="J27" s="517"/>
      <c r="K27" s="517"/>
      <c r="L27" s="517"/>
      <c r="M27" s="517"/>
      <c r="N27" s="517"/>
      <c r="O27" s="517"/>
      <c r="P27" s="517"/>
      <c r="Q27" s="517"/>
      <c r="R27" s="517"/>
      <c r="S27" s="517"/>
      <c r="T27" s="517"/>
      <c r="U27" s="517"/>
      <c r="V27" s="517"/>
      <c r="W27" s="517"/>
      <c r="X27" s="517"/>
      <c r="Y27" s="517"/>
      <c r="Z27" s="517"/>
      <c r="AA27" s="517"/>
      <c r="AB27" s="517"/>
      <c r="AC27" s="517"/>
      <c r="AD27" s="517"/>
      <c r="AE27" s="517"/>
      <c r="AF27" s="517"/>
      <c r="AG27" s="517"/>
      <c r="AH27" s="517"/>
      <c r="AI27" s="517"/>
      <c r="AJ27" s="517"/>
      <c r="AK27" s="517"/>
      <c r="AL27" s="517"/>
      <c r="AM27" s="517"/>
      <c r="AN27" s="517"/>
      <c r="AO27" s="517"/>
      <c r="AP27" s="517"/>
      <c r="AQ27" s="517"/>
      <c r="AR27" s="517"/>
      <c r="AS27" s="517"/>
      <c r="AT27" s="517"/>
      <c r="AU27" s="517"/>
      <c r="AV27" s="517"/>
      <c r="AW27" s="517"/>
      <c r="AX27" s="517"/>
      <c r="AY27" s="517"/>
      <c r="AZ27" s="517"/>
      <c r="BA27" s="517"/>
      <c r="BB27" s="517"/>
      <c r="BC27" s="517"/>
      <c r="BD27" s="517"/>
      <c r="BE27" s="517"/>
      <c r="BF27" s="517"/>
      <c r="BG27" s="517"/>
      <c r="BH27" s="517"/>
      <c r="BI27" s="517"/>
      <c r="BJ27" s="517"/>
      <c r="BK27" s="517"/>
      <c r="BL27" s="517"/>
      <c r="BM27" s="517"/>
      <c r="BN27" s="517"/>
      <c r="BO27" s="517"/>
      <c r="BP27" s="517"/>
      <c r="BQ27" s="517"/>
      <c r="BR27" s="517"/>
      <c r="BS27" s="517"/>
      <c r="BT27" s="517"/>
      <c r="BU27" s="517"/>
      <c r="BV27" s="517"/>
      <c r="BW27" s="517"/>
      <c r="BX27" s="517"/>
      <c r="BY27" s="517"/>
      <c r="BZ27" s="517"/>
      <c r="CA27" s="517"/>
      <c r="CB27" s="517"/>
      <c r="CC27" s="517"/>
      <c r="CD27" s="517"/>
      <c r="CE27" s="517"/>
      <c r="CF27" s="517"/>
      <c r="CG27" s="517"/>
      <c r="CH27" s="517"/>
      <c r="CI27" s="517"/>
      <c r="CJ27" s="517"/>
      <c r="CK27" s="517"/>
      <c r="CL27" s="517"/>
      <c r="CM27" s="517"/>
      <c r="CN27" s="517"/>
      <c r="CO27" s="517"/>
      <c r="CP27" s="517"/>
      <c r="CQ27" s="517"/>
      <c r="CR27" s="517"/>
      <c r="CS27" s="517"/>
      <c r="CT27" s="517"/>
      <c r="CU27" s="517"/>
      <c r="CV27" s="517"/>
      <c r="CW27" s="517"/>
      <c r="CX27" s="517"/>
      <c r="CY27" s="517"/>
      <c r="CZ27" s="517"/>
      <c r="DA27" s="517"/>
      <c r="DB27" s="517"/>
      <c r="DC27" s="517"/>
      <c r="DD27" s="517"/>
      <c r="DE27" s="517"/>
      <c r="DF27" s="517"/>
      <c r="DG27" s="517"/>
      <c r="DH27" s="517"/>
      <c r="DI27" s="517"/>
      <c r="DJ27" s="517"/>
      <c r="DK27" s="517"/>
      <c r="DL27" s="517"/>
      <c r="DM27" s="517"/>
      <c r="DN27" s="517"/>
      <c r="DO27" s="517"/>
      <c r="DP27" s="517"/>
      <c r="DQ27" s="517"/>
      <c r="DR27" s="517"/>
      <c r="DS27" s="517"/>
      <c r="DT27" s="517"/>
      <c r="DU27" s="517"/>
      <c r="DV27" s="517"/>
      <c r="DW27" s="517"/>
      <c r="DX27" s="517"/>
      <c r="DY27" s="517"/>
      <c r="DZ27" s="517"/>
      <c r="EA27" s="517"/>
      <c r="EB27" s="517"/>
      <c r="EC27" s="517"/>
      <c r="ED27" s="517"/>
      <c r="EE27" s="517"/>
      <c r="EF27" s="517"/>
      <c r="EG27" s="517"/>
      <c r="EH27" s="517"/>
      <c r="EI27" s="517"/>
      <c r="EJ27" s="517"/>
      <c r="EK27" s="517"/>
      <c r="EL27" s="517"/>
      <c r="EM27" s="517"/>
      <c r="EN27" s="517"/>
      <c r="EO27" s="517"/>
      <c r="EP27" s="517"/>
      <c r="EQ27" s="517"/>
      <c r="ER27" s="517"/>
      <c r="ES27" s="627" t="s">
        <v>1140</v>
      </c>
    </row>
    <row r="28">
      <c r="A28" s="517"/>
      <c r="B28" s="517"/>
      <c r="C28" s="517"/>
      <c r="D28" s="517"/>
      <c r="E28" s="517"/>
      <c r="F28" s="517"/>
      <c r="G28" s="517"/>
      <c r="H28" s="517"/>
      <c r="I28" s="517"/>
      <c r="J28" s="517"/>
      <c r="K28" s="517"/>
      <c r="L28" s="517"/>
      <c r="M28" s="517"/>
      <c r="N28" s="517"/>
      <c r="O28" s="517"/>
      <c r="P28" s="517"/>
      <c r="Q28" s="517"/>
      <c r="R28" s="517"/>
      <c r="S28" s="517"/>
      <c r="T28" s="517"/>
      <c r="U28" s="517"/>
      <c r="V28" s="517"/>
      <c r="W28" s="517"/>
      <c r="X28" s="517"/>
      <c r="Y28" s="517"/>
      <c r="Z28" s="517"/>
      <c r="AA28" s="517"/>
      <c r="AB28" s="517"/>
      <c r="AC28" s="517"/>
      <c r="AD28" s="517"/>
      <c r="AE28" s="517"/>
      <c r="AF28" s="517"/>
      <c r="AG28" s="517"/>
      <c r="AH28" s="517"/>
      <c r="AI28" s="517"/>
      <c r="AJ28" s="517"/>
      <c r="AK28" s="517"/>
      <c r="AL28" s="517"/>
      <c r="AM28" s="517"/>
      <c r="AN28" s="517"/>
      <c r="AO28" s="517"/>
      <c r="AP28" s="517"/>
      <c r="AQ28" s="517"/>
      <c r="AR28" s="517"/>
      <c r="AS28" s="517"/>
      <c r="AT28" s="517"/>
      <c r="AU28" s="517"/>
      <c r="AV28" s="517"/>
      <c r="AW28" s="517"/>
      <c r="AX28" s="517"/>
      <c r="AY28" s="517"/>
      <c r="AZ28" s="517"/>
      <c r="BA28" s="517"/>
      <c r="BB28" s="517"/>
      <c r="BC28" s="517"/>
      <c r="BD28" s="517"/>
      <c r="BE28" s="517"/>
      <c r="BF28" s="517"/>
      <c r="BG28" s="517"/>
      <c r="BH28" s="517"/>
      <c r="BI28" s="517"/>
      <c r="BJ28" s="517"/>
      <c r="BK28" s="517"/>
      <c r="BL28" s="517"/>
      <c r="BM28" s="517"/>
      <c r="BN28" s="517"/>
      <c r="BO28" s="517"/>
      <c r="BP28" s="517"/>
      <c r="BQ28" s="517"/>
      <c r="BR28" s="517"/>
      <c r="BS28" s="517"/>
      <c r="BT28" s="517"/>
      <c r="BU28" s="517"/>
      <c r="BV28" s="517"/>
      <c r="BW28" s="517"/>
      <c r="BX28" s="517"/>
      <c r="BY28" s="517"/>
      <c r="BZ28" s="517"/>
      <c r="CA28" s="517"/>
      <c r="CB28" s="517"/>
      <c r="CC28" s="517"/>
      <c r="CD28" s="517"/>
      <c r="CE28" s="517"/>
      <c r="CF28" s="517"/>
      <c r="CG28" s="517"/>
      <c r="CH28" s="517"/>
      <c r="CI28" s="517"/>
      <c r="CJ28" s="517"/>
      <c r="CK28" s="517"/>
      <c r="CL28" s="517"/>
      <c r="CM28" s="517"/>
      <c r="CN28" s="517"/>
      <c r="CO28" s="517"/>
      <c r="CP28" s="517"/>
      <c r="CQ28" s="517"/>
      <c r="CR28" s="517"/>
      <c r="CS28" s="517"/>
      <c r="CT28" s="517"/>
      <c r="CU28" s="517"/>
      <c r="CV28" s="517"/>
      <c r="CW28" s="517"/>
      <c r="CX28" s="517"/>
      <c r="CY28" s="517"/>
      <c r="CZ28" s="517"/>
      <c r="DA28" s="517"/>
      <c r="DB28" s="517"/>
      <c r="DC28" s="517"/>
      <c r="DD28" s="517"/>
      <c r="DE28" s="517"/>
      <c r="DF28" s="517"/>
      <c r="DG28" s="517"/>
      <c r="DH28" s="517"/>
      <c r="DI28" s="517"/>
      <c r="DJ28" s="517"/>
      <c r="DK28" s="517"/>
      <c r="DL28" s="517"/>
      <c r="DM28" s="517"/>
      <c r="DN28" s="517"/>
      <c r="DO28" s="517"/>
      <c r="DP28" s="517"/>
      <c r="DQ28" s="517"/>
      <c r="DR28" s="517"/>
      <c r="DS28" s="517"/>
      <c r="DT28" s="517"/>
      <c r="DU28" s="517"/>
      <c r="DV28" s="517"/>
      <c r="DW28" s="517"/>
      <c r="DX28" s="517"/>
      <c r="DY28" s="517"/>
      <c r="DZ28" s="517"/>
      <c r="EA28" s="517"/>
      <c r="EB28" s="517"/>
      <c r="EC28" s="517"/>
      <c r="ED28" s="517"/>
      <c r="EE28" s="517"/>
      <c r="EF28" s="517"/>
      <c r="EG28" s="517"/>
      <c r="EH28" s="517"/>
      <c r="EI28" s="517"/>
      <c r="EJ28" s="517"/>
      <c r="EK28" s="517"/>
      <c r="EL28" s="517"/>
      <c r="EM28" s="517"/>
      <c r="EN28" s="517"/>
      <c r="EO28" s="517"/>
      <c r="EP28" s="517"/>
      <c r="EQ28" s="517"/>
      <c r="ER28" s="517"/>
      <c r="ES28" s="627" t="s">
        <v>1140</v>
      </c>
    </row>
    <row r="29">
      <c r="A29" s="517"/>
      <c r="B29" s="517"/>
      <c r="C29" s="517"/>
      <c r="D29" s="517"/>
      <c r="E29" s="517"/>
      <c r="F29" s="517"/>
      <c r="G29" s="517"/>
      <c r="H29" s="517"/>
      <c r="I29" s="517"/>
      <c r="J29" s="517"/>
      <c r="K29" s="517"/>
      <c r="L29" s="517"/>
      <c r="M29" s="517"/>
      <c r="N29" s="517"/>
      <c r="O29" s="517"/>
      <c r="P29" s="517"/>
      <c r="Q29" s="517"/>
      <c r="R29" s="517"/>
      <c r="S29" s="517"/>
      <c r="T29" s="517"/>
      <c r="U29" s="517"/>
      <c r="V29" s="517"/>
      <c r="W29" s="517"/>
      <c r="X29" s="517"/>
      <c r="Y29" s="517"/>
      <c r="Z29" s="517"/>
      <c r="AA29" s="517"/>
      <c r="AB29" s="517"/>
      <c r="AC29" s="517"/>
      <c r="AD29" s="517"/>
      <c r="AE29" s="517"/>
      <c r="AF29" s="517"/>
      <c r="AG29" s="517"/>
      <c r="AH29" s="517"/>
      <c r="AI29" s="517"/>
      <c r="AJ29" s="517"/>
      <c r="AK29" s="517"/>
      <c r="AL29" s="517"/>
      <c r="AM29" s="517"/>
      <c r="AN29" s="517"/>
      <c r="AO29" s="517"/>
      <c r="AP29" s="517"/>
      <c r="AQ29" s="517"/>
      <c r="AR29" s="517"/>
      <c r="AS29" s="517"/>
      <c r="AT29" s="517"/>
      <c r="AU29" s="517"/>
      <c r="AV29" s="517"/>
      <c r="AW29" s="517"/>
      <c r="AX29" s="517"/>
      <c r="AY29" s="517"/>
      <c r="AZ29" s="517"/>
      <c r="BA29" s="517"/>
      <c r="BB29" s="517"/>
      <c r="BC29" s="517"/>
      <c r="BD29" s="517"/>
      <c r="BE29" s="517"/>
      <c r="BF29" s="517"/>
      <c r="BG29" s="517"/>
      <c r="BH29" s="517"/>
      <c r="BI29" s="517"/>
      <c r="BJ29" s="517"/>
      <c r="BK29" s="517"/>
      <c r="BL29" s="517"/>
      <c r="BM29" s="517"/>
      <c r="BN29" s="517"/>
      <c r="BO29" s="517"/>
      <c r="BP29" s="517"/>
      <c r="BQ29" s="517"/>
      <c r="BR29" s="517"/>
      <c r="BS29" s="517"/>
      <c r="BT29" s="517"/>
      <c r="BU29" s="517"/>
      <c r="BV29" s="517"/>
      <c r="BW29" s="517"/>
      <c r="BX29" s="517"/>
      <c r="BY29" s="517"/>
      <c r="BZ29" s="517"/>
      <c r="CA29" s="517"/>
      <c r="CB29" s="517"/>
      <c r="CC29" s="517"/>
      <c r="CD29" s="517"/>
      <c r="CE29" s="517"/>
      <c r="CF29" s="517"/>
      <c r="CG29" s="517"/>
      <c r="CH29" s="517"/>
      <c r="CI29" s="517"/>
      <c r="CJ29" s="517"/>
      <c r="CK29" s="517"/>
      <c r="CL29" s="517"/>
      <c r="CM29" s="517"/>
      <c r="CN29" s="517"/>
      <c r="CO29" s="517"/>
      <c r="CP29" s="517"/>
      <c r="CQ29" s="517"/>
      <c r="CR29" s="517"/>
      <c r="CS29" s="517"/>
      <c r="CT29" s="517"/>
      <c r="CU29" s="517"/>
      <c r="CV29" s="517"/>
      <c r="CW29" s="517"/>
      <c r="CX29" s="517"/>
      <c r="CY29" s="517"/>
      <c r="CZ29" s="517"/>
      <c r="DA29" s="517"/>
      <c r="DB29" s="517"/>
      <c r="DC29" s="517"/>
      <c r="DD29" s="517"/>
      <c r="DE29" s="517"/>
      <c r="DF29" s="517"/>
      <c r="DG29" s="517"/>
      <c r="DH29" s="517"/>
      <c r="DI29" s="517"/>
      <c r="DJ29" s="517"/>
      <c r="DK29" s="517"/>
      <c r="DL29" s="517"/>
      <c r="DM29" s="517"/>
      <c r="DN29" s="517"/>
      <c r="DO29" s="517"/>
      <c r="DP29" s="517"/>
      <c r="DQ29" s="517"/>
      <c r="DR29" s="517"/>
      <c r="DS29" s="517"/>
      <c r="DT29" s="517"/>
      <c r="DU29" s="517"/>
      <c r="DV29" s="517"/>
      <c r="DW29" s="517"/>
      <c r="DX29" s="517"/>
      <c r="DY29" s="517"/>
      <c r="DZ29" s="517"/>
      <c r="EA29" s="517"/>
      <c r="EB29" s="517"/>
      <c r="EC29" s="517"/>
      <c r="ED29" s="517"/>
      <c r="EE29" s="517"/>
      <c r="EF29" s="517"/>
      <c r="EG29" s="517"/>
      <c r="EH29" s="517"/>
      <c r="EI29" s="517"/>
      <c r="EJ29" s="517"/>
      <c r="EK29" s="517"/>
      <c r="EL29" s="517"/>
      <c r="EM29" s="517"/>
      <c r="EN29" s="517"/>
      <c r="EO29" s="517"/>
      <c r="EP29" s="517"/>
      <c r="EQ29" s="517"/>
      <c r="ER29" s="517"/>
      <c r="ES29" s="627" t="s">
        <v>1140</v>
      </c>
    </row>
    <row r="30">
      <c r="A30" s="517"/>
      <c r="B30" s="517"/>
      <c r="C30" s="517"/>
      <c r="D30" s="517"/>
      <c r="E30" s="517"/>
      <c r="F30" s="517"/>
      <c r="G30" s="517"/>
      <c r="H30" s="517"/>
      <c r="I30" s="517"/>
      <c r="J30" s="517"/>
      <c r="K30" s="517"/>
      <c r="L30" s="517"/>
      <c r="M30" s="517"/>
      <c r="N30" s="517"/>
      <c r="O30" s="517"/>
      <c r="P30" s="517"/>
      <c r="Q30" s="517"/>
      <c r="R30" s="517"/>
      <c r="S30" s="517"/>
      <c r="T30" s="517"/>
      <c r="U30" s="517"/>
      <c r="V30" s="517"/>
      <c r="W30" s="517"/>
      <c r="X30" s="517"/>
      <c r="Y30" s="517"/>
      <c r="Z30" s="517"/>
      <c r="AA30" s="517"/>
      <c r="AB30" s="517"/>
      <c r="AC30" s="517"/>
      <c r="AD30" s="517"/>
      <c r="AE30" s="517"/>
      <c r="AF30" s="517"/>
      <c r="AG30" s="517"/>
      <c r="AH30" s="517"/>
      <c r="AI30" s="517"/>
      <c r="AJ30" s="517"/>
      <c r="AK30" s="517"/>
      <c r="AL30" s="517"/>
      <c r="AM30" s="517"/>
      <c r="AN30" s="517"/>
      <c r="AO30" s="517"/>
      <c r="AP30" s="517"/>
      <c r="AQ30" s="517"/>
      <c r="AR30" s="517"/>
      <c r="AS30" s="517"/>
      <c r="AT30" s="517"/>
      <c r="AU30" s="517"/>
      <c r="AV30" s="517"/>
      <c r="AW30" s="517"/>
      <c r="AX30" s="517"/>
      <c r="AY30" s="517"/>
      <c r="AZ30" s="517"/>
      <c r="BA30" s="517"/>
      <c r="BB30" s="517"/>
      <c r="BC30" s="517"/>
      <c r="BD30" s="517"/>
      <c r="BE30" s="517"/>
      <c r="BF30" s="517"/>
      <c r="BG30" s="517"/>
      <c r="BH30" s="517"/>
      <c r="BI30" s="517"/>
      <c r="BJ30" s="517"/>
      <c r="BK30" s="517"/>
      <c r="BL30" s="517"/>
      <c r="BM30" s="517"/>
      <c r="BN30" s="517"/>
      <c r="BO30" s="517"/>
      <c r="BP30" s="517"/>
      <c r="BQ30" s="517"/>
      <c r="BR30" s="517"/>
      <c r="BS30" s="517"/>
      <c r="BT30" s="517"/>
      <c r="BU30" s="517"/>
      <c r="BV30" s="517"/>
      <c r="BW30" s="517"/>
      <c r="BX30" s="517"/>
      <c r="BY30" s="517"/>
      <c r="BZ30" s="517"/>
      <c r="CA30" s="517"/>
      <c r="CB30" s="517"/>
      <c r="CC30" s="517"/>
      <c r="CD30" s="517"/>
      <c r="CE30" s="517"/>
      <c r="CF30" s="517"/>
      <c r="CG30" s="517"/>
      <c r="CH30" s="517"/>
      <c r="CI30" s="517"/>
      <c r="CJ30" s="517"/>
      <c r="CK30" s="517"/>
      <c r="CL30" s="517"/>
      <c r="CM30" s="517"/>
      <c r="CN30" s="517"/>
      <c r="CO30" s="517"/>
      <c r="CP30" s="517"/>
      <c r="CQ30" s="517"/>
      <c r="CR30" s="517"/>
      <c r="CS30" s="517"/>
      <c r="CT30" s="517"/>
      <c r="CU30" s="517"/>
      <c r="CV30" s="517"/>
      <c r="CW30" s="517"/>
      <c r="CX30" s="517"/>
      <c r="CY30" s="517"/>
      <c r="CZ30" s="517"/>
      <c r="DA30" s="517"/>
      <c r="DB30" s="517"/>
      <c r="DC30" s="517"/>
      <c r="DD30" s="517"/>
      <c r="DE30" s="517"/>
      <c r="DF30" s="517"/>
      <c r="DG30" s="517"/>
      <c r="DH30" s="517"/>
      <c r="DI30" s="517"/>
      <c r="DJ30" s="517"/>
      <c r="DK30" s="517"/>
      <c r="DL30" s="517"/>
      <c r="DM30" s="517"/>
      <c r="DN30" s="517"/>
      <c r="DO30" s="517"/>
      <c r="DP30" s="517"/>
      <c r="DQ30" s="517"/>
      <c r="DR30" s="517"/>
      <c r="DS30" s="517"/>
      <c r="DT30" s="517"/>
      <c r="DU30" s="517"/>
      <c r="DV30" s="517"/>
      <c r="DW30" s="517"/>
      <c r="DX30" s="517"/>
      <c r="DY30" s="517"/>
      <c r="DZ30" s="517"/>
      <c r="EA30" s="517"/>
      <c r="EB30" s="517"/>
      <c r="EC30" s="517"/>
      <c r="ED30" s="517"/>
      <c r="EE30" s="517"/>
      <c r="EF30" s="517"/>
      <c r="EG30" s="517"/>
      <c r="EH30" s="517"/>
      <c r="EI30" s="517"/>
      <c r="EJ30" s="517"/>
      <c r="EK30" s="517"/>
      <c r="EL30" s="517"/>
      <c r="EM30" s="517"/>
      <c r="EN30" s="517"/>
      <c r="EO30" s="517"/>
      <c r="EP30" s="517"/>
      <c r="EQ30" s="517"/>
      <c r="ER30" s="517"/>
      <c r="ES30" s="627" t="s">
        <v>1140</v>
      </c>
    </row>
    <row r="31">
      <c r="A31" s="517"/>
      <c r="B31" s="517"/>
      <c r="C31" s="517"/>
      <c r="D31" s="517"/>
      <c r="E31" s="517"/>
      <c r="F31" s="517"/>
      <c r="G31" s="517"/>
      <c r="H31" s="517"/>
      <c r="I31" s="517"/>
      <c r="J31" s="517"/>
      <c r="K31" s="517"/>
      <c r="L31" s="517"/>
      <c r="M31" s="517"/>
      <c r="N31" s="517"/>
      <c r="O31" s="517"/>
      <c r="P31" s="517"/>
      <c r="Q31" s="517"/>
      <c r="R31" s="517"/>
      <c r="S31" s="517"/>
      <c r="T31" s="517"/>
      <c r="U31" s="517"/>
      <c r="V31" s="517"/>
      <c r="W31" s="517"/>
      <c r="X31" s="517"/>
      <c r="Y31" s="517"/>
      <c r="Z31" s="517"/>
      <c r="AA31" s="517"/>
      <c r="AB31" s="517"/>
      <c r="AC31" s="517"/>
      <c r="AD31" s="517"/>
      <c r="AE31" s="517"/>
      <c r="AF31" s="517"/>
      <c r="AG31" s="517"/>
      <c r="AH31" s="517"/>
      <c r="AI31" s="517"/>
      <c r="AJ31" s="517"/>
      <c r="AK31" s="517"/>
      <c r="AL31" s="517"/>
      <c r="AM31" s="517"/>
      <c r="AN31" s="517"/>
      <c r="AO31" s="517"/>
      <c r="AP31" s="517"/>
      <c r="AQ31" s="517"/>
      <c r="AR31" s="517"/>
      <c r="AS31" s="517"/>
      <c r="AT31" s="517"/>
      <c r="AU31" s="517"/>
      <c r="AV31" s="517"/>
      <c r="AW31" s="517"/>
      <c r="AX31" s="517"/>
      <c r="AY31" s="517"/>
      <c r="AZ31" s="517"/>
      <c r="BA31" s="517"/>
      <c r="BB31" s="517"/>
      <c r="BC31" s="517"/>
      <c r="BD31" s="517"/>
      <c r="BE31" s="517"/>
      <c r="BF31" s="517"/>
      <c r="BG31" s="517"/>
      <c r="BH31" s="517"/>
      <c r="BI31" s="517"/>
      <c r="BJ31" s="517"/>
      <c r="BK31" s="517"/>
      <c r="BL31" s="517"/>
      <c r="BM31" s="517"/>
      <c r="BN31" s="517"/>
      <c r="BO31" s="517"/>
      <c r="BP31" s="517"/>
      <c r="BQ31" s="517"/>
      <c r="BR31" s="517"/>
      <c r="BS31" s="517"/>
      <c r="BT31" s="517"/>
      <c r="BU31" s="517"/>
      <c r="BV31" s="517"/>
      <c r="BW31" s="517"/>
      <c r="BX31" s="517"/>
      <c r="BY31" s="517"/>
      <c r="BZ31" s="517"/>
      <c r="CA31" s="517"/>
      <c r="CB31" s="517"/>
      <c r="CC31" s="517"/>
      <c r="CD31" s="517"/>
      <c r="CE31" s="517"/>
      <c r="CF31" s="517"/>
      <c r="CG31" s="517"/>
      <c r="CH31" s="517"/>
      <c r="CI31" s="517"/>
      <c r="CJ31" s="517"/>
      <c r="CK31" s="517"/>
      <c r="CL31" s="517"/>
      <c r="CM31" s="517"/>
      <c r="CN31" s="517"/>
      <c r="CO31" s="517"/>
      <c r="CP31" s="517"/>
      <c r="CQ31" s="517"/>
      <c r="CR31" s="517"/>
      <c r="CS31" s="517"/>
      <c r="CT31" s="517"/>
      <c r="CU31" s="517"/>
      <c r="CV31" s="517"/>
      <c r="CW31" s="517"/>
      <c r="CX31" s="517"/>
      <c r="CY31" s="517"/>
      <c r="CZ31" s="517"/>
      <c r="DA31" s="517"/>
      <c r="DB31" s="517"/>
      <c r="DC31" s="517"/>
      <c r="DD31" s="517"/>
      <c r="DE31" s="517"/>
      <c r="DF31" s="517"/>
      <c r="DG31" s="517"/>
      <c r="DH31" s="517"/>
      <c r="DI31" s="517"/>
      <c r="DJ31" s="517"/>
      <c r="DK31" s="517"/>
      <c r="DL31" s="517"/>
      <c r="DM31" s="517"/>
      <c r="DN31" s="517"/>
      <c r="DO31" s="517"/>
      <c r="DP31" s="517"/>
      <c r="DQ31" s="517"/>
      <c r="DR31" s="517"/>
      <c r="DS31" s="517"/>
      <c r="DT31" s="517"/>
      <c r="DU31" s="517"/>
      <c r="DV31" s="517"/>
      <c r="DW31" s="517"/>
      <c r="DX31" s="517"/>
      <c r="DY31" s="517"/>
      <c r="DZ31" s="517"/>
      <c r="EA31" s="517"/>
      <c r="EB31" s="517"/>
      <c r="EC31" s="517"/>
      <c r="ED31" s="517"/>
      <c r="EE31" s="517"/>
      <c r="EF31" s="517"/>
      <c r="EG31" s="517"/>
      <c r="EH31" s="517"/>
      <c r="EI31" s="517"/>
      <c r="EJ31" s="517"/>
      <c r="EK31" s="517"/>
      <c r="EL31" s="517"/>
      <c r="EM31" s="517"/>
      <c r="EN31" s="517"/>
      <c r="EO31" s="517"/>
      <c r="EP31" s="517"/>
      <c r="EQ31" s="517"/>
      <c r="ER31" s="517"/>
      <c r="ES31" s="627" t="s">
        <v>1140</v>
      </c>
    </row>
    <row r="32">
      <c r="A32" s="517"/>
      <c r="B32" s="517"/>
      <c r="C32" s="517"/>
      <c r="D32" s="517"/>
      <c r="E32" s="517"/>
      <c r="F32" s="517"/>
      <c r="G32" s="517"/>
      <c r="H32" s="517"/>
      <c r="I32" s="517"/>
      <c r="J32" s="517"/>
      <c r="K32" s="517"/>
      <c r="L32" s="517"/>
      <c r="M32" s="517"/>
      <c r="N32" s="517"/>
      <c r="O32" s="517"/>
      <c r="P32" s="517"/>
      <c r="Q32" s="517"/>
      <c r="R32" s="517"/>
      <c r="S32" s="517"/>
      <c r="T32" s="517"/>
      <c r="U32" s="517"/>
      <c r="V32" s="517"/>
      <c r="W32" s="517"/>
      <c r="X32" s="517"/>
      <c r="Y32" s="517"/>
      <c r="Z32" s="517"/>
      <c r="AA32" s="517"/>
      <c r="AB32" s="517"/>
      <c r="AC32" s="517"/>
      <c r="AD32" s="517"/>
      <c r="AE32" s="517"/>
      <c r="AF32" s="517"/>
      <c r="AG32" s="517"/>
      <c r="AH32" s="517"/>
      <c r="AI32" s="517"/>
      <c r="AJ32" s="517"/>
      <c r="AK32" s="517"/>
      <c r="AL32" s="517"/>
      <c r="AM32" s="517"/>
      <c r="AN32" s="517"/>
      <c r="AO32" s="517"/>
      <c r="AP32" s="517"/>
      <c r="AQ32" s="517"/>
      <c r="AR32" s="517"/>
      <c r="AS32" s="517"/>
      <c r="AT32" s="517"/>
      <c r="AU32" s="517"/>
      <c r="AV32" s="517"/>
      <c r="AW32" s="517"/>
      <c r="AX32" s="517"/>
      <c r="AY32" s="517"/>
      <c r="AZ32" s="517"/>
      <c r="BA32" s="517"/>
      <c r="BB32" s="517"/>
      <c r="BC32" s="517"/>
      <c r="BD32" s="517"/>
      <c r="BE32" s="517"/>
      <c r="BF32" s="517"/>
      <c r="BG32" s="517"/>
      <c r="BH32" s="517"/>
      <c r="BI32" s="517"/>
      <c r="BJ32" s="517"/>
      <c r="BK32" s="517"/>
      <c r="BL32" s="517"/>
      <c r="BM32" s="517"/>
      <c r="BN32" s="517"/>
      <c r="BO32" s="517"/>
      <c r="BP32" s="517"/>
      <c r="BQ32" s="517"/>
      <c r="BR32" s="517"/>
      <c r="BS32" s="517"/>
      <c r="BT32" s="517"/>
      <c r="BU32" s="517"/>
      <c r="BV32" s="517"/>
      <c r="BW32" s="517"/>
      <c r="BX32" s="517"/>
      <c r="BY32" s="517"/>
      <c r="BZ32" s="517"/>
      <c r="CA32" s="517"/>
      <c r="CB32" s="517"/>
      <c r="CC32" s="517"/>
      <c r="CD32" s="517"/>
      <c r="CE32" s="517"/>
      <c r="CF32" s="517"/>
      <c r="CG32" s="517"/>
      <c r="CH32" s="517"/>
      <c r="CI32" s="517"/>
      <c r="CJ32" s="517"/>
      <c r="CK32" s="517"/>
      <c r="CL32" s="517"/>
      <c r="CM32" s="517"/>
      <c r="CN32" s="517"/>
      <c r="CO32" s="517"/>
      <c r="CP32" s="517"/>
      <c r="CQ32" s="517"/>
      <c r="CR32" s="517"/>
      <c r="CS32" s="517"/>
      <c r="CT32" s="517"/>
      <c r="CU32" s="517"/>
      <c r="CV32" s="517"/>
      <c r="CW32" s="517"/>
      <c r="CX32" s="517"/>
      <c r="CY32" s="517"/>
      <c r="CZ32" s="517"/>
      <c r="DA32" s="517"/>
      <c r="DB32" s="517"/>
      <c r="DC32" s="517"/>
      <c r="DD32" s="517"/>
      <c r="DE32" s="517"/>
      <c r="DF32" s="517"/>
      <c r="DG32" s="517"/>
      <c r="DH32" s="517"/>
      <c r="DI32" s="517"/>
      <c r="DJ32" s="517"/>
      <c r="DK32" s="517"/>
      <c r="DL32" s="517"/>
      <c r="DM32" s="517"/>
      <c r="DN32" s="517"/>
      <c r="DO32" s="517"/>
      <c r="DP32" s="517"/>
      <c r="DQ32" s="517"/>
      <c r="DR32" s="517"/>
      <c r="DS32" s="517"/>
      <c r="DT32" s="517"/>
      <c r="DU32" s="517"/>
      <c r="DV32" s="517"/>
      <c r="DW32" s="517"/>
      <c r="DX32" s="517"/>
      <c r="DY32" s="517"/>
      <c r="DZ32" s="517"/>
      <c r="EA32" s="517"/>
      <c r="EB32" s="517"/>
      <c r="EC32" s="517"/>
      <c r="ED32" s="517"/>
      <c r="EE32" s="517"/>
      <c r="EF32" s="517"/>
      <c r="EG32" s="517"/>
      <c r="EH32" s="517"/>
      <c r="EI32" s="517"/>
      <c r="EJ32" s="517"/>
      <c r="EK32" s="517"/>
      <c r="EL32" s="517"/>
      <c r="EM32" s="517"/>
      <c r="EN32" s="517"/>
      <c r="EO32" s="517"/>
      <c r="EP32" s="517"/>
      <c r="EQ32" s="517"/>
      <c r="ER32" s="517"/>
      <c r="ES32" s="627" t="s">
        <v>1140</v>
      </c>
    </row>
    <row r="33">
      <c r="A33" s="517"/>
      <c r="B33" s="517"/>
      <c r="C33" s="517"/>
      <c r="D33" s="517"/>
      <c r="E33" s="517"/>
      <c r="F33" s="517"/>
      <c r="G33" s="517"/>
      <c r="H33" s="517"/>
      <c r="I33" s="517"/>
      <c r="J33" s="517"/>
      <c r="K33" s="517"/>
      <c r="L33" s="517"/>
      <c r="M33" s="517"/>
      <c r="N33" s="517"/>
      <c r="O33" s="517"/>
      <c r="P33" s="517"/>
      <c r="Q33" s="517"/>
      <c r="R33" s="517"/>
      <c r="S33" s="517"/>
      <c r="T33" s="517"/>
      <c r="U33" s="517"/>
      <c r="V33" s="517"/>
      <c r="W33" s="517"/>
      <c r="X33" s="517"/>
      <c r="Y33" s="517"/>
      <c r="Z33" s="517"/>
      <c r="AA33" s="517"/>
      <c r="AB33" s="517"/>
      <c r="AC33" s="517"/>
      <c r="AD33" s="517"/>
      <c r="AE33" s="517"/>
      <c r="AF33" s="517"/>
      <c r="AG33" s="517"/>
      <c r="AH33" s="517"/>
      <c r="AI33" s="517"/>
      <c r="AJ33" s="517"/>
      <c r="AK33" s="517"/>
      <c r="AL33" s="517"/>
      <c r="AM33" s="517"/>
      <c r="AN33" s="517"/>
      <c r="AO33" s="517"/>
      <c r="AP33" s="517"/>
      <c r="AQ33" s="517"/>
      <c r="AR33" s="517"/>
      <c r="AS33" s="517"/>
      <c r="AT33" s="517"/>
      <c r="AU33" s="517"/>
      <c r="AV33" s="517"/>
      <c r="AW33" s="517"/>
      <c r="AX33" s="517"/>
      <c r="AY33" s="517"/>
      <c r="AZ33" s="517"/>
      <c r="BA33" s="517"/>
      <c r="BB33" s="517"/>
      <c r="BC33" s="517"/>
      <c r="BD33" s="517"/>
      <c r="BE33" s="517"/>
      <c r="BF33" s="517"/>
      <c r="BG33" s="517"/>
      <c r="BH33" s="517"/>
      <c r="BI33" s="517"/>
      <c r="BJ33" s="517"/>
      <c r="BK33" s="517"/>
      <c r="BL33" s="517"/>
      <c r="BM33" s="517"/>
      <c r="BN33" s="517"/>
      <c r="BO33" s="517"/>
      <c r="BP33" s="517"/>
      <c r="BQ33" s="517"/>
      <c r="BR33" s="517"/>
      <c r="BS33" s="517"/>
      <c r="BT33" s="517"/>
      <c r="BU33" s="517"/>
      <c r="BV33" s="517"/>
      <c r="BW33" s="517"/>
      <c r="BX33" s="517"/>
      <c r="BY33" s="517"/>
      <c r="BZ33" s="517"/>
      <c r="CA33" s="517"/>
      <c r="CB33" s="517"/>
      <c r="CC33" s="517"/>
      <c r="CD33" s="517"/>
      <c r="CE33" s="517"/>
      <c r="CF33" s="517"/>
      <c r="CG33" s="517"/>
      <c r="CH33" s="517"/>
      <c r="CI33" s="517"/>
      <c r="CJ33" s="517"/>
      <c r="CK33" s="517"/>
      <c r="CL33" s="517"/>
      <c r="CM33" s="517"/>
      <c r="CN33" s="517"/>
      <c r="CO33" s="517"/>
      <c r="CP33" s="517"/>
      <c r="CQ33" s="517"/>
      <c r="CR33" s="517"/>
      <c r="CS33" s="517"/>
      <c r="CT33" s="517"/>
      <c r="CU33" s="517"/>
      <c r="CV33" s="517"/>
      <c r="CW33" s="517"/>
      <c r="CX33" s="517"/>
      <c r="CY33" s="517"/>
      <c r="CZ33" s="517"/>
      <c r="DA33" s="517"/>
      <c r="DB33" s="517"/>
      <c r="DC33" s="517"/>
      <c r="DD33" s="517"/>
      <c r="DE33" s="517"/>
      <c r="DF33" s="517"/>
      <c r="DG33" s="517"/>
      <c r="DH33" s="517"/>
      <c r="DI33" s="517"/>
      <c r="DJ33" s="517"/>
      <c r="DK33" s="517"/>
      <c r="DL33" s="517"/>
      <c r="DM33" s="517"/>
      <c r="DN33" s="517"/>
      <c r="DO33" s="517"/>
      <c r="DP33" s="517"/>
      <c r="DQ33" s="517"/>
      <c r="DR33" s="517"/>
      <c r="DS33" s="517"/>
      <c r="DT33" s="517"/>
      <c r="DU33" s="517"/>
      <c r="DV33" s="517"/>
      <c r="DW33" s="517"/>
      <c r="DX33" s="517"/>
      <c r="DY33" s="517"/>
      <c r="DZ33" s="517"/>
      <c r="EA33" s="517"/>
      <c r="EB33" s="517"/>
      <c r="EC33" s="517"/>
      <c r="ED33" s="517"/>
      <c r="EE33" s="517"/>
      <c r="EF33" s="517"/>
      <c r="EG33" s="517"/>
      <c r="EH33" s="517"/>
      <c r="EI33" s="517"/>
      <c r="EJ33" s="517"/>
      <c r="EK33" s="517"/>
      <c r="EL33" s="517"/>
      <c r="EM33" s="517"/>
      <c r="EN33" s="517"/>
      <c r="EO33" s="517"/>
      <c r="EP33" s="517"/>
      <c r="EQ33" s="517"/>
      <c r="ER33" s="517"/>
      <c r="ES33" s="627" t="s">
        <v>1140</v>
      </c>
    </row>
    <row r="34">
      <c r="A34" s="517"/>
      <c r="B34" s="517"/>
      <c r="C34" s="517"/>
      <c r="D34" s="517"/>
      <c r="E34" s="517"/>
      <c r="F34" s="517"/>
      <c r="G34" s="517"/>
      <c r="H34" s="517"/>
      <c r="I34" s="517"/>
      <c r="J34" s="517"/>
      <c r="K34" s="517"/>
      <c r="L34" s="517"/>
      <c r="M34" s="517"/>
      <c r="N34" s="517"/>
      <c r="O34" s="517"/>
      <c r="P34" s="517"/>
      <c r="Q34" s="517"/>
      <c r="R34" s="517"/>
      <c r="S34" s="517"/>
      <c r="T34" s="517"/>
      <c r="U34" s="517"/>
      <c r="V34" s="517"/>
      <c r="W34" s="517"/>
      <c r="X34" s="517"/>
      <c r="Y34" s="517"/>
      <c r="Z34" s="517"/>
      <c r="AA34" s="517"/>
      <c r="AB34" s="517"/>
      <c r="AC34" s="517"/>
      <c r="AD34" s="517"/>
      <c r="AE34" s="517"/>
      <c r="AF34" s="517"/>
      <c r="AG34" s="517"/>
      <c r="AH34" s="517"/>
      <c r="AI34" s="517"/>
      <c r="AJ34" s="517"/>
      <c r="AK34" s="517"/>
      <c r="AL34" s="517"/>
      <c r="AM34" s="517"/>
      <c r="AN34" s="517"/>
      <c r="AO34" s="517"/>
      <c r="AP34" s="517"/>
      <c r="AQ34" s="517"/>
      <c r="AR34" s="517"/>
      <c r="AS34" s="517"/>
      <c r="AT34" s="517"/>
      <c r="AU34" s="517"/>
      <c r="AV34" s="517"/>
      <c r="AW34" s="517"/>
      <c r="AX34" s="517"/>
      <c r="AY34" s="517"/>
      <c r="AZ34" s="517"/>
      <c r="BA34" s="517"/>
      <c r="BB34" s="517"/>
      <c r="BC34" s="517"/>
      <c r="BD34" s="517"/>
      <c r="BE34" s="517"/>
      <c r="BF34" s="517"/>
      <c r="BG34" s="517"/>
      <c r="BH34" s="517"/>
      <c r="BI34" s="517"/>
      <c r="BJ34" s="517"/>
      <c r="BK34" s="517"/>
      <c r="BL34" s="517"/>
      <c r="BM34" s="517"/>
      <c r="BN34" s="517"/>
      <c r="BO34" s="517"/>
      <c r="BP34" s="517"/>
      <c r="BQ34" s="517"/>
      <c r="BR34" s="517"/>
      <c r="BS34" s="517"/>
      <c r="BT34" s="517"/>
      <c r="BU34" s="517"/>
      <c r="BV34" s="517"/>
      <c r="BW34" s="517"/>
      <c r="BX34" s="517"/>
      <c r="BY34" s="517"/>
      <c r="BZ34" s="517"/>
      <c r="CA34" s="517"/>
      <c r="CB34" s="517"/>
      <c r="CC34" s="517"/>
      <c r="CD34" s="517"/>
      <c r="CE34" s="517"/>
      <c r="CF34" s="517"/>
      <c r="CG34" s="517"/>
      <c r="CH34" s="517"/>
      <c r="CI34" s="517"/>
      <c r="CJ34" s="517"/>
      <c r="CK34" s="517"/>
      <c r="CL34" s="517"/>
      <c r="CM34" s="517"/>
      <c r="CN34" s="517"/>
      <c r="CO34" s="517"/>
      <c r="CP34" s="517"/>
      <c r="CQ34" s="517"/>
      <c r="CR34" s="517"/>
      <c r="CS34" s="517"/>
      <c r="CT34" s="517"/>
      <c r="CU34" s="517"/>
      <c r="CV34" s="517"/>
      <c r="CW34" s="517"/>
      <c r="CX34" s="517"/>
      <c r="CY34" s="517"/>
      <c r="CZ34" s="517"/>
      <c r="DA34" s="517"/>
      <c r="DB34" s="517"/>
      <c r="DC34" s="517"/>
      <c r="DD34" s="517"/>
      <c r="DE34" s="517"/>
      <c r="DF34" s="517"/>
      <c r="DG34" s="517"/>
      <c r="DH34" s="517"/>
      <c r="DI34" s="517"/>
      <c r="DJ34" s="517"/>
      <c r="DK34" s="517"/>
      <c r="DL34" s="517"/>
      <c r="DM34" s="517"/>
      <c r="DN34" s="517"/>
      <c r="DO34" s="517"/>
      <c r="DP34" s="517"/>
      <c r="DQ34" s="517"/>
      <c r="DR34" s="517"/>
      <c r="DS34" s="517"/>
      <c r="DT34" s="517"/>
      <c r="DU34" s="517"/>
      <c r="DV34" s="517"/>
      <c r="DW34" s="517"/>
      <c r="DX34" s="517"/>
      <c r="DY34" s="517"/>
      <c r="DZ34" s="517"/>
      <c r="EA34" s="517"/>
      <c r="EB34" s="517"/>
      <c r="EC34" s="517"/>
      <c r="ED34" s="517"/>
      <c r="EE34" s="517"/>
      <c r="EF34" s="517"/>
      <c r="EG34" s="517"/>
      <c r="EH34" s="517"/>
      <c r="EI34" s="517"/>
      <c r="EJ34" s="517"/>
      <c r="EK34" s="517"/>
      <c r="EL34" s="517"/>
      <c r="EM34" s="517"/>
      <c r="EN34" s="517"/>
      <c r="EO34" s="517"/>
      <c r="EP34" s="517"/>
      <c r="EQ34" s="517"/>
      <c r="ER34" s="517"/>
      <c r="ES34" s="627" t="s">
        <v>1140</v>
      </c>
    </row>
    <row r="35">
      <c r="A35" s="517"/>
      <c r="B35" s="517"/>
      <c r="C35" s="517"/>
      <c r="D35" s="517"/>
      <c r="E35" s="517"/>
      <c r="F35" s="517"/>
      <c r="G35" s="517"/>
      <c r="H35" s="517"/>
      <c r="I35" s="517"/>
      <c r="J35" s="517"/>
      <c r="K35" s="517"/>
      <c r="L35" s="517"/>
      <c r="M35" s="517"/>
      <c r="N35" s="517"/>
      <c r="O35" s="517"/>
      <c r="P35" s="517"/>
      <c r="Q35" s="517"/>
      <c r="R35" s="517"/>
      <c r="S35" s="517"/>
      <c r="T35" s="517"/>
      <c r="U35" s="517"/>
      <c r="V35" s="517"/>
      <c r="W35" s="517"/>
      <c r="X35" s="517"/>
      <c r="Y35" s="517"/>
      <c r="Z35" s="517"/>
      <c r="AA35" s="517"/>
      <c r="AB35" s="517"/>
      <c r="AC35" s="517"/>
      <c r="AD35" s="517"/>
      <c r="AE35" s="517"/>
      <c r="AF35" s="517"/>
      <c r="AG35" s="517"/>
      <c r="AH35" s="517"/>
      <c r="AI35" s="517"/>
      <c r="AJ35" s="517"/>
      <c r="AK35" s="517"/>
      <c r="AL35" s="517"/>
      <c r="AM35" s="517"/>
      <c r="AN35" s="517"/>
      <c r="AO35" s="517"/>
      <c r="AP35" s="517"/>
      <c r="AQ35" s="517"/>
      <c r="AR35" s="517"/>
      <c r="AS35" s="517"/>
      <c r="AT35" s="517"/>
      <c r="AU35" s="517"/>
      <c r="AV35" s="517"/>
      <c r="AW35" s="517"/>
      <c r="AX35" s="517"/>
      <c r="AY35" s="517"/>
      <c r="AZ35" s="517"/>
      <c r="BA35" s="517"/>
      <c r="BB35" s="517"/>
      <c r="BC35" s="517"/>
      <c r="BD35" s="517"/>
      <c r="BE35" s="517"/>
      <c r="BF35" s="517"/>
      <c r="BG35" s="517"/>
      <c r="BH35" s="517"/>
      <c r="BI35" s="517"/>
      <c r="BJ35" s="517"/>
      <c r="BK35" s="517"/>
      <c r="BL35" s="517"/>
      <c r="BM35" s="517"/>
      <c r="BN35" s="517"/>
      <c r="BO35" s="517"/>
      <c r="BP35" s="517"/>
      <c r="BQ35" s="517"/>
      <c r="BR35" s="517"/>
      <c r="BS35" s="517"/>
      <c r="BT35" s="517"/>
      <c r="BU35" s="517"/>
      <c r="BV35" s="517"/>
      <c r="BW35" s="517"/>
      <c r="BX35" s="517"/>
      <c r="BY35" s="517"/>
      <c r="BZ35" s="517"/>
      <c r="CA35" s="517"/>
      <c r="CB35" s="517"/>
      <c r="CC35" s="517"/>
      <c r="CD35" s="517"/>
      <c r="CE35" s="517"/>
      <c r="CF35" s="517"/>
      <c r="CG35" s="517"/>
      <c r="CH35" s="517"/>
      <c r="CI35" s="517"/>
      <c r="CJ35" s="517"/>
      <c r="CK35" s="517"/>
      <c r="CL35" s="517"/>
      <c r="CM35" s="517"/>
      <c r="CN35" s="517"/>
      <c r="CO35" s="517"/>
      <c r="CP35" s="517"/>
      <c r="CQ35" s="517"/>
      <c r="CR35" s="517"/>
      <c r="CS35" s="517"/>
      <c r="CT35" s="517"/>
      <c r="CU35" s="517"/>
      <c r="CV35" s="517"/>
      <c r="CW35" s="517"/>
      <c r="CX35" s="517"/>
      <c r="CY35" s="517"/>
      <c r="CZ35" s="517"/>
      <c r="DA35" s="517"/>
      <c r="DB35" s="517"/>
      <c r="DC35" s="517"/>
      <c r="DD35" s="517"/>
      <c r="DE35" s="517"/>
      <c r="DF35" s="517"/>
      <c r="DG35" s="517"/>
      <c r="DH35" s="517"/>
      <c r="DI35" s="517"/>
      <c r="DJ35" s="517"/>
      <c r="DK35" s="517"/>
      <c r="DL35" s="517"/>
      <c r="DM35" s="517"/>
      <c r="DN35" s="517"/>
      <c r="DO35" s="517"/>
      <c r="DP35" s="517"/>
      <c r="DQ35" s="517"/>
      <c r="DR35" s="517"/>
      <c r="DS35" s="517"/>
      <c r="DT35" s="517"/>
      <c r="DU35" s="517"/>
      <c r="DV35" s="517"/>
      <c r="DW35" s="517"/>
      <c r="DX35" s="517"/>
      <c r="DY35" s="517"/>
      <c r="DZ35" s="517"/>
      <c r="EA35" s="517"/>
      <c r="EB35" s="517"/>
      <c r="EC35" s="517"/>
      <c r="ED35" s="517"/>
      <c r="EE35" s="517"/>
      <c r="EF35" s="517"/>
      <c r="EG35" s="517"/>
      <c r="EH35" s="517"/>
      <c r="EI35" s="517"/>
      <c r="EJ35" s="517"/>
      <c r="EK35" s="517"/>
      <c r="EL35" s="517"/>
      <c r="EM35" s="517"/>
      <c r="EN35" s="517"/>
      <c r="EO35" s="517"/>
      <c r="EP35" s="517"/>
      <c r="EQ35" s="517"/>
      <c r="ER35" s="517"/>
      <c r="ES35" s="627" t="s">
        <v>1140</v>
      </c>
    </row>
    <row r="36">
      <c r="A36" s="517"/>
      <c r="B36" s="517"/>
      <c r="C36" s="517"/>
      <c r="D36" s="517"/>
      <c r="E36" s="517"/>
      <c r="F36" s="517"/>
      <c r="G36" s="517"/>
      <c r="H36" s="517"/>
      <c r="I36" s="517"/>
      <c r="J36" s="517"/>
      <c r="K36" s="517"/>
      <c r="L36" s="517"/>
      <c r="M36" s="517"/>
      <c r="N36" s="517"/>
      <c r="O36" s="517"/>
      <c r="P36" s="517"/>
      <c r="Q36" s="517"/>
      <c r="R36" s="517"/>
      <c r="S36" s="517"/>
      <c r="T36" s="517"/>
      <c r="U36" s="517"/>
      <c r="V36" s="517"/>
      <c r="W36" s="517"/>
      <c r="X36" s="517"/>
      <c r="Y36" s="517"/>
      <c r="Z36" s="517"/>
      <c r="AA36" s="517"/>
      <c r="AB36" s="517"/>
      <c r="AC36" s="517"/>
      <c r="AD36" s="517"/>
      <c r="AE36" s="517"/>
      <c r="AF36" s="517"/>
      <c r="AG36" s="517"/>
      <c r="AH36" s="517"/>
      <c r="AI36" s="517"/>
      <c r="AJ36" s="517"/>
      <c r="AK36" s="517"/>
      <c r="AL36" s="517"/>
      <c r="AM36" s="517"/>
      <c r="AN36" s="517"/>
      <c r="AO36" s="517"/>
      <c r="AP36" s="517"/>
      <c r="AQ36" s="517"/>
      <c r="AR36" s="517"/>
      <c r="AS36" s="517"/>
      <c r="AT36" s="517"/>
      <c r="AU36" s="517"/>
      <c r="AV36" s="517"/>
      <c r="AW36" s="517"/>
      <c r="AX36" s="517"/>
      <c r="AY36" s="517"/>
      <c r="AZ36" s="517"/>
      <c r="BA36" s="517"/>
      <c r="BB36" s="517"/>
      <c r="BC36" s="517"/>
      <c r="BD36" s="517"/>
      <c r="BE36" s="517"/>
      <c r="BF36" s="517"/>
      <c r="BG36" s="517"/>
      <c r="BH36" s="517"/>
      <c r="BI36" s="517"/>
      <c r="BJ36" s="517"/>
      <c r="BK36" s="517"/>
      <c r="BL36" s="517"/>
      <c r="BM36" s="517"/>
      <c r="BN36" s="517"/>
      <c r="BO36" s="517"/>
      <c r="BP36" s="517"/>
      <c r="BQ36" s="517"/>
      <c r="BR36" s="517"/>
      <c r="BS36" s="517"/>
      <c r="BT36" s="517"/>
      <c r="BU36" s="517"/>
      <c r="BV36" s="517"/>
      <c r="BW36" s="517"/>
      <c r="BX36" s="517"/>
      <c r="BY36" s="517"/>
      <c r="BZ36" s="517"/>
      <c r="CA36" s="517"/>
      <c r="CB36" s="517"/>
      <c r="CC36" s="517"/>
      <c r="CD36" s="517"/>
      <c r="CE36" s="517"/>
      <c r="CF36" s="517"/>
      <c r="CG36" s="517"/>
      <c r="CH36" s="517"/>
      <c r="CI36" s="517"/>
      <c r="CJ36" s="517"/>
      <c r="CK36" s="517"/>
      <c r="CL36" s="517"/>
      <c r="CM36" s="517"/>
      <c r="CN36" s="517"/>
      <c r="CO36" s="517"/>
      <c r="CP36" s="517"/>
      <c r="CQ36" s="517"/>
      <c r="CR36" s="517"/>
      <c r="CS36" s="517"/>
      <c r="CT36" s="517"/>
      <c r="CU36" s="517"/>
      <c r="CV36" s="517"/>
      <c r="CW36" s="517"/>
      <c r="CX36" s="517"/>
      <c r="CY36" s="517"/>
      <c r="CZ36" s="517"/>
      <c r="DA36" s="517"/>
      <c r="DB36" s="517"/>
      <c r="DC36" s="517"/>
      <c r="DD36" s="517"/>
      <c r="DE36" s="517"/>
      <c r="DF36" s="517"/>
      <c r="DG36" s="517"/>
      <c r="DH36" s="517"/>
      <c r="DI36" s="517"/>
      <c r="DJ36" s="517"/>
      <c r="DK36" s="517"/>
      <c r="DL36" s="517"/>
      <c r="DM36" s="517"/>
      <c r="DN36" s="517"/>
      <c r="DO36" s="517"/>
      <c r="DP36" s="517"/>
      <c r="DQ36" s="517"/>
      <c r="DR36" s="517"/>
      <c r="DS36" s="517"/>
      <c r="DT36" s="517"/>
      <c r="DU36" s="517"/>
      <c r="DV36" s="517"/>
      <c r="DW36" s="517"/>
      <c r="DX36" s="517"/>
      <c r="DY36" s="517"/>
      <c r="DZ36" s="517"/>
      <c r="EA36" s="517"/>
      <c r="EB36" s="517"/>
      <c r="EC36" s="517"/>
      <c r="ED36" s="517"/>
      <c r="EE36" s="517"/>
      <c r="EF36" s="517"/>
      <c r="EG36" s="517"/>
      <c r="EH36" s="517"/>
      <c r="EI36" s="517"/>
      <c r="EJ36" s="517"/>
      <c r="EK36" s="517"/>
      <c r="EL36" s="517"/>
      <c r="EM36" s="517"/>
      <c r="EN36" s="517"/>
      <c r="EO36" s="517"/>
      <c r="EP36" s="517"/>
      <c r="EQ36" s="517"/>
      <c r="ER36" s="517"/>
      <c r="ES36" s="627" t="s">
        <v>1140</v>
      </c>
    </row>
    <row r="37">
      <c r="A37" s="517"/>
      <c r="B37" s="517"/>
      <c r="C37" s="517"/>
      <c r="D37" s="517"/>
      <c r="E37" s="517"/>
      <c r="F37" s="517"/>
      <c r="G37" s="517"/>
      <c r="H37" s="517"/>
      <c r="I37" s="517"/>
      <c r="J37" s="517"/>
      <c r="K37" s="517"/>
      <c r="L37" s="517"/>
      <c r="M37" s="517"/>
      <c r="N37" s="517"/>
      <c r="O37" s="517"/>
      <c r="P37" s="517"/>
      <c r="Q37" s="517"/>
      <c r="R37" s="517"/>
      <c r="S37" s="517"/>
      <c r="T37" s="517"/>
      <c r="U37" s="517"/>
      <c r="V37" s="517"/>
      <c r="W37" s="517"/>
      <c r="X37" s="517"/>
      <c r="Y37" s="517"/>
      <c r="Z37" s="517"/>
      <c r="AA37" s="517"/>
      <c r="AB37" s="517"/>
      <c r="AC37" s="517"/>
      <c r="AD37" s="517"/>
      <c r="AE37" s="517"/>
      <c r="AF37" s="517"/>
      <c r="AG37" s="517"/>
      <c r="AH37" s="517"/>
      <c r="AI37" s="517"/>
      <c r="AJ37" s="517"/>
      <c r="AK37" s="517"/>
      <c r="AL37" s="517"/>
      <c r="AM37" s="517"/>
      <c r="AN37" s="517"/>
      <c r="AO37" s="517"/>
      <c r="AP37" s="517"/>
      <c r="AQ37" s="517"/>
      <c r="AR37" s="517"/>
      <c r="AS37" s="517"/>
      <c r="AT37" s="517"/>
      <c r="AU37" s="517"/>
      <c r="AV37" s="517"/>
      <c r="AW37" s="517"/>
      <c r="AX37" s="517"/>
      <c r="AY37" s="517"/>
      <c r="AZ37" s="517"/>
      <c r="BA37" s="517"/>
      <c r="BB37" s="517"/>
      <c r="BC37" s="517"/>
      <c r="BD37" s="517"/>
      <c r="BE37" s="517"/>
      <c r="BF37" s="517"/>
      <c r="BG37" s="517"/>
      <c r="BH37" s="517"/>
      <c r="BI37" s="517"/>
      <c r="BJ37" s="517"/>
      <c r="BK37" s="517"/>
      <c r="BL37" s="517"/>
      <c r="BM37" s="517"/>
      <c r="BN37" s="517"/>
      <c r="BO37" s="517"/>
      <c r="BP37" s="517"/>
      <c r="BQ37" s="517"/>
      <c r="BR37" s="517"/>
      <c r="BS37" s="517"/>
      <c r="BT37" s="517"/>
      <c r="BU37" s="517"/>
      <c r="BV37" s="517"/>
      <c r="BW37" s="517"/>
      <c r="BX37" s="517"/>
      <c r="BY37" s="517"/>
      <c r="BZ37" s="517"/>
      <c r="CA37" s="517"/>
      <c r="CB37" s="517"/>
      <c r="CC37" s="517"/>
      <c r="CD37" s="517"/>
      <c r="CE37" s="517"/>
      <c r="CF37" s="517"/>
      <c r="CG37" s="517"/>
      <c r="CH37" s="517"/>
      <c r="CI37" s="517"/>
      <c r="CJ37" s="517"/>
      <c r="CK37" s="517"/>
      <c r="CL37" s="517"/>
      <c r="CM37" s="517"/>
      <c r="CN37" s="517"/>
      <c r="CO37" s="517"/>
      <c r="CP37" s="517"/>
      <c r="CQ37" s="517"/>
      <c r="CR37" s="517"/>
      <c r="CS37" s="517"/>
      <c r="CT37" s="517"/>
      <c r="CU37" s="517"/>
      <c r="CV37" s="517"/>
      <c r="CW37" s="517"/>
      <c r="CX37" s="517"/>
      <c r="CY37" s="517"/>
      <c r="CZ37" s="517"/>
      <c r="DA37" s="517"/>
      <c r="DB37" s="517"/>
      <c r="DC37" s="517"/>
      <c r="DD37" s="517"/>
      <c r="DE37" s="517"/>
      <c r="DF37" s="517"/>
      <c r="DG37" s="517"/>
      <c r="DH37" s="517"/>
      <c r="DI37" s="517"/>
      <c r="DJ37" s="517"/>
      <c r="DK37" s="517"/>
      <c r="DL37" s="517"/>
      <c r="DM37" s="517"/>
      <c r="DN37" s="517"/>
      <c r="DO37" s="517"/>
      <c r="DP37" s="517"/>
      <c r="DQ37" s="517"/>
      <c r="DR37" s="517"/>
      <c r="DS37" s="517"/>
      <c r="DT37" s="517"/>
      <c r="DU37" s="517"/>
      <c r="DV37" s="517"/>
      <c r="DW37" s="517"/>
      <c r="DX37" s="517"/>
      <c r="DY37" s="517"/>
      <c r="DZ37" s="517"/>
      <c r="EA37" s="517"/>
      <c r="EB37" s="517"/>
      <c r="EC37" s="517"/>
      <c r="ED37" s="517"/>
      <c r="EE37" s="517"/>
      <c r="EF37" s="517"/>
      <c r="EG37" s="517"/>
      <c r="EH37" s="517"/>
      <c r="EI37" s="517"/>
      <c r="EJ37" s="517"/>
      <c r="EK37" s="517"/>
      <c r="EL37" s="517"/>
      <c r="EM37" s="517"/>
      <c r="EN37" s="517"/>
      <c r="EO37" s="517"/>
      <c r="EP37" s="517"/>
      <c r="EQ37" s="517"/>
      <c r="ER37" s="517"/>
      <c r="ES37" s="627" t="s">
        <v>1140</v>
      </c>
    </row>
    <row r="38">
      <c r="A38" s="517"/>
      <c r="B38" s="517"/>
      <c r="C38" s="517"/>
      <c r="D38" s="517"/>
      <c r="E38" s="517"/>
      <c r="F38" s="517"/>
      <c r="G38" s="517"/>
      <c r="H38" s="517"/>
      <c r="I38" s="517"/>
      <c r="J38" s="517"/>
      <c r="K38" s="517"/>
      <c r="L38" s="517"/>
      <c r="M38" s="517"/>
      <c r="N38" s="517"/>
      <c r="O38" s="517"/>
      <c r="P38" s="517"/>
      <c r="Q38" s="517"/>
      <c r="R38" s="517"/>
      <c r="S38" s="517"/>
      <c r="T38" s="517"/>
      <c r="U38" s="517"/>
      <c r="V38" s="517"/>
      <c r="W38" s="517"/>
      <c r="X38" s="517"/>
      <c r="Y38" s="517"/>
      <c r="Z38" s="517"/>
      <c r="AA38" s="517"/>
      <c r="AB38" s="517"/>
      <c r="AC38" s="517"/>
      <c r="AD38" s="517"/>
      <c r="AE38" s="517"/>
      <c r="AF38" s="517"/>
      <c r="AG38" s="517"/>
      <c r="AH38" s="517"/>
      <c r="AI38" s="517"/>
      <c r="AJ38" s="517"/>
      <c r="AK38" s="517"/>
      <c r="AL38" s="517"/>
      <c r="AM38" s="517"/>
      <c r="AN38" s="517"/>
      <c r="AO38" s="517"/>
      <c r="AP38" s="517"/>
      <c r="AQ38" s="517"/>
      <c r="AR38" s="517"/>
      <c r="AS38" s="517"/>
      <c r="AT38" s="517"/>
      <c r="AU38" s="517"/>
      <c r="AV38" s="517"/>
      <c r="AW38" s="517"/>
      <c r="AX38" s="517"/>
      <c r="AY38" s="517"/>
      <c r="AZ38" s="517"/>
      <c r="BA38" s="517"/>
      <c r="BB38" s="517"/>
      <c r="BC38" s="517"/>
      <c r="BD38" s="517"/>
      <c r="BE38" s="517"/>
      <c r="BF38" s="517"/>
      <c r="BG38" s="517"/>
      <c r="BH38" s="517"/>
      <c r="BI38" s="517"/>
      <c r="BJ38" s="517"/>
      <c r="BK38" s="517"/>
      <c r="BL38" s="517"/>
      <c r="BM38" s="517"/>
      <c r="BN38" s="517"/>
      <c r="BO38" s="517"/>
      <c r="BP38" s="517"/>
      <c r="BQ38" s="517"/>
      <c r="BR38" s="517"/>
      <c r="BS38" s="517"/>
      <c r="BT38" s="517"/>
      <c r="BU38" s="517"/>
      <c r="BV38" s="517"/>
      <c r="BW38" s="517"/>
      <c r="BX38" s="517"/>
      <c r="BY38" s="517"/>
      <c r="BZ38" s="517"/>
      <c r="CA38" s="517"/>
      <c r="CB38" s="517"/>
      <c r="CC38" s="517"/>
      <c r="CD38" s="517"/>
      <c r="CE38" s="517"/>
      <c r="CF38" s="517"/>
      <c r="CG38" s="517"/>
      <c r="CH38" s="517"/>
      <c r="CI38" s="517"/>
      <c r="CJ38" s="517"/>
      <c r="CK38" s="517"/>
      <c r="CL38" s="517"/>
      <c r="CM38" s="517"/>
      <c r="CN38" s="517"/>
      <c r="CO38" s="517"/>
      <c r="CP38" s="517"/>
      <c r="CQ38" s="517"/>
      <c r="CR38" s="517"/>
      <c r="CS38" s="517"/>
      <c r="CT38" s="517"/>
      <c r="CU38" s="517"/>
      <c r="CV38" s="517"/>
      <c r="CW38" s="517"/>
      <c r="CX38" s="517"/>
      <c r="CY38" s="517"/>
      <c r="CZ38" s="517"/>
      <c r="DA38" s="517"/>
      <c r="DB38" s="517"/>
      <c r="DC38" s="517"/>
      <c r="DD38" s="517"/>
      <c r="DE38" s="517"/>
      <c r="DF38" s="517"/>
      <c r="DG38" s="517"/>
      <c r="DH38" s="517"/>
      <c r="DI38" s="517"/>
      <c r="DJ38" s="517"/>
      <c r="DK38" s="517"/>
      <c r="DL38" s="517"/>
      <c r="DM38" s="517"/>
      <c r="DN38" s="517"/>
      <c r="DO38" s="517"/>
      <c r="DP38" s="517"/>
      <c r="DQ38" s="517"/>
      <c r="DR38" s="517"/>
      <c r="DS38" s="517"/>
      <c r="DT38" s="517"/>
      <c r="DU38" s="517"/>
      <c r="DV38" s="517"/>
      <c r="DW38" s="517"/>
      <c r="DX38" s="517"/>
      <c r="DY38" s="517"/>
      <c r="DZ38" s="517"/>
      <c r="EA38" s="517"/>
      <c r="EB38" s="517"/>
      <c r="EC38" s="517"/>
      <c r="ED38" s="517"/>
      <c r="EE38" s="517"/>
      <c r="EF38" s="517"/>
      <c r="EG38" s="517"/>
      <c r="EH38" s="517"/>
      <c r="EI38" s="517"/>
      <c r="EJ38" s="517"/>
      <c r="EK38" s="517"/>
      <c r="EL38" s="517"/>
      <c r="EM38" s="517"/>
      <c r="EN38" s="517"/>
      <c r="EO38" s="517"/>
      <c r="EP38" s="517"/>
      <c r="EQ38" s="517"/>
      <c r="ER38" s="517"/>
      <c r="ES38" s="627" t="s">
        <v>1140</v>
      </c>
    </row>
    <row r="39">
      <c r="A39" s="517"/>
      <c r="B39" s="517"/>
      <c r="C39" s="517"/>
      <c r="D39" s="517"/>
      <c r="E39" s="517"/>
      <c r="F39" s="517"/>
      <c r="G39" s="517"/>
      <c r="H39" s="517"/>
      <c r="I39" s="517"/>
      <c r="J39" s="517"/>
      <c r="K39" s="517"/>
      <c r="L39" s="517"/>
      <c r="M39" s="517"/>
      <c r="N39" s="517"/>
      <c r="O39" s="517"/>
      <c r="P39" s="517"/>
      <c r="Q39" s="517"/>
      <c r="R39" s="517"/>
      <c r="S39" s="517"/>
      <c r="T39" s="517"/>
      <c r="U39" s="517"/>
      <c r="V39" s="517"/>
      <c r="W39" s="517"/>
      <c r="X39" s="517"/>
      <c r="Y39" s="517"/>
      <c r="Z39" s="517"/>
      <c r="AA39" s="517"/>
      <c r="AB39" s="517"/>
      <c r="AC39" s="517"/>
      <c r="AD39" s="517"/>
      <c r="AE39" s="517"/>
      <c r="AF39" s="517"/>
      <c r="AG39" s="517"/>
      <c r="AH39" s="517"/>
      <c r="AI39" s="517"/>
      <c r="AJ39" s="517"/>
      <c r="AK39" s="517"/>
      <c r="AL39" s="517"/>
      <c r="AM39" s="517"/>
      <c r="AN39" s="517"/>
      <c r="AO39" s="517"/>
      <c r="AP39" s="517"/>
      <c r="AQ39" s="517"/>
      <c r="AR39" s="517"/>
      <c r="AS39" s="517"/>
      <c r="AT39" s="517"/>
      <c r="AU39" s="517"/>
      <c r="AV39" s="517"/>
      <c r="AW39" s="517"/>
      <c r="AX39" s="517"/>
      <c r="AY39" s="517"/>
      <c r="AZ39" s="517"/>
      <c r="BA39" s="517"/>
      <c r="BB39" s="517"/>
      <c r="BC39" s="517"/>
      <c r="BD39" s="517"/>
      <c r="BE39" s="517"/>
      <c r="BF39" s="517"/>
      <c r="BG39" s="517"/>
      <c r="BH39" s="517"/>
      <c r="BI39" s="517"/>
      <c r="BJ39" s="517"/>
      <c r="BK39" s="517"/>
      <c r="BL39" s="517"/>
      <c r="BM39" s="517"/>
      <c r="BN39" s="517"/>
      <c r="BO39" s="517"/>
      <c r="BP39" s="517"/>
      <c r="BQ39" s="517"/>
      <c r="BR39" s="517"/>
      <c r="BS39" s="517"/>
      <c r="BT39" s="517"/>
      <c r="BU39" s="517"/>
      <c r="BV39" s="517"/>
      <c r="BW39" s="517"/>
      <c r="BX39" s="517"/>
      <c r="BY39" s="517"/>
      <c r="BZ39" s="517"/>
      <c r="CA39" s="517"/>
      <c r="CB39" s="517"/>
      <c r="CC39" s="517"/>
      <c r="CD39" s="517"/>
      <c r="CE39" s="517"/>
      <c r="CF39" s="517"/>
      <c r="CG39" s="517"/>
      <c r="CH39" s="517"/>
      <c r="CI39" s="517"/>
      <c r="CJ39" s="517"/>
      <c r="CK39" s="517"/>
      <c r="CL39" s="517"/>
      <c r="CM39" s="517"/>
      <c r="CN39" s="517"/>
      <c r="CO39" s="517"/>
      <c r="CP39" s="517"/>
      <c r="CQ39" s="517"/>
      <c r="CR39" s="517"/>
      <c r="CS39" s="517"/>
      <c r="CT39" s="517"/>
      <c r="CU39" s="517"/>
      <c r="CV39" s="517"/>
      <c r="CW39" s="517"/>
      <c r="CX39" s="517"/>
      <c r="CY39" s="517"/>
      <c r="CZ39" s="517"/>
      <c r="DA39" s="517"/>
      <c r="DB39" s="517"/>
      <c r="DC39" s="517"/>
      <c r="DD39" s="517"/>
      <c r="DE39" s="517"/>
      <c r="DF39" s="517"/>
      <c r="DG39" s="517"/>
      <c r="DH39" s="517"/>
      <c r="DI39" s="517"/>
      <c r="DJ39" s="517"/>
      <c r="DK39" s="517"/>
      <c r="DL39" s="517"/>
      <c r="DM39" s="517"/>
      <c r="DN39" s="517"/>
      <c r="DO39" s="517"/>
      <c r="DP39" s="517"/>
      <c r="DQ39" s="517"/>
      <c r="DR39" s="517"/>
      <c r="DS39" s="517"/>
      <c r="DT39" s="517"/>
      <c r="DU39" s="517"/>
      <c r="DV39" s="517"/>
      <c r="DW39" s="517"/>
      <c r="DX39" s="517"/>
      <c r="DY39" s="517"/>
      <c r="DZ39" s="517"/>
      <c r="EA39" s="517"/>
      <c r="EB39" s="517"/>
      <c r="EC39" s="517"/>
      <c r="ED39" s="517"/>
      <c r="EE39" s="517"/>
      <c r="EF39" s="517"/>
      <c r="EG39" s="517"/>
      <c r="EH39" s="517"/>
      <c r="EI39" s="517"/>
      <c r="EJ39" s="517"/>
      <c r="EK39" s="517"/>
      <c r="EL39" s="517"/>
      <c r="EM39" s="517"/>
      <c r="EN39" s="517"/>
      <c r="EO39" s="517"/>
      <c r="EP39" s="517"/>
      <c r="EQ39" s="517"/>
      <c r="ER39" s="517"/>
      <c r="ES39" s="627" t="s">
        <v>1140</v>
      </c>
    </row>
    <row r="40">
      <c r="A40" s="517"/>
      <c r="B40" s="517"/>
      <c r="C40" s="517"/>
      <c r="D40" s="517"/>
      <c r="E40" s="517"/>
      <c r="F40" s="517"/>
      <c r="G40" s="517"/>
      <c r="H40" s="517"/>
      <c r="I40" s="517"/>
      <c r="J40" s="517"/>
      <c r="K40" s="517"/>
      <c r="L40" s="517"/>
      <c r="M40" s="517"/>
      <c r="N40" s="517"/>
      <c r="O40" s="517"/>
      <c r="P40" s="517"/>
      <c r="Q40" s="517"/>
      <c r="R40" s="517"/>
      <c r="S40" s="517"/>
      <c r="T40" s="517"/>
      <c r="U40" s="517"/>
      <c r="V40" s="517"/>
      <c r="W40" s="517"/>
      <c r="X40" s="517"/>
      <c r="Y40" s="517"/>
      <c r="Z40" s="517"/>
      <c r="AA40" s="517"/>
      <c r="AB40" s="517"/>
      <c r="AC40" s="517"/>
      <c r="AD40" s="517"/>
      <c r="AE40" s="517"/>
      <c r="AF40" s="517"/>
      <c r="AG40" s="517"/>
      <c r="AH40" s="517"/>
      <c r="AI40" s="517"/>
      <c r="AJ40" s="517"/>
      <c r="AK40" s="517"/>
      <c r="AL40" s="517"/>
      <c r="AM40" s="517"/>
      <c r="AN40" s="517"/>
      <c r="AO40" s="517"/>
      <c r="AP40" s="517"/>
      <c r="AQ40" s="517"/>
      <c r="AR40" s="517"/>
      <c r="AS40" s="517"/>
      <c r="AT40" s="517"/>
      <c r="AU40" s="517"/>
      <c r="AV40" s="517"/>
      <c r="AW40" s="517"/>
      <c r="AX40" s="517"/>
      <c r="AY40" s="517"/>
      <c r="AZ40" s="517"/>
      <c r="BA40" s="517"/>
      <c r="BB40" s="517"/>
      <c r="BC40" s="517"/>
      <c r="BD40" s="517"/>
      <c r="BE40" s="517"/>
      <c r="BF40" s="517"/>
      <c r="BG40" s="517"/>
      <c r="BH40" s="517"/>
      <c r="BI40" s="517"/>
      <c r="BJ40" s="517"/>
      <c r="BK40" s="517"/>
      <c r="BL40" s="517"/>
      <c r="BM40" s="517"/>
      <c r="BN40" s="517"/>
      <c r="BO40" s="517"/>
      <c r="BP40" s="517"/>
      <c r="BQ40" s="517"/>
      <c r="BR40" s="517"/>
      <c r="BS40" s="517"/>
      <c r="BT40" s="517"/>
      <c r="BU40" s="517"/>
      <c r="BV40" s="517"/>
      <c r="BW40" s="517"/>
      <c r="BX40" s="517"/>
      <c r="BY40" s="517"/>
      <c r="BZ40" s="517"/>
      <c r="CA40" s="517"/>
      <c r="CB40" s="517"/>
      <c r="CC40" s="517"/>
      <c r="CD40" s="517"/>
      <c r="CE40" s="517"/>
      <c r="CF40" s="517"/>
      <c r="CG40" s="517"/>
      <c r="CH40" s="517"/>
      <c r="CI40" s="517"/>
      <c r="CJ40" s="517"/>
      <c r="CK40" s="517"/>
      <c r="CL40" s="517"/>
      <c r="CM40" s="517"/>
      <c r="CN40" s="517"/>
      <c r="CO40" s="517"/>
      <c r="CP40" s="517"/>
      <c r="CQ40" s="517"/>
      <c r="CR40" s="517"/>
      <c r="CS40" s="517"/>
      <c r="CT40" s="517"/>
      <c r="CU40" s="517"/>
      <c r="CV40" s="517"/>
      <c r="CW40" s="517"/>
      <c r="CX40" s="517"/>
      <c r="CY40" s="517"/>
      <c r="CZ40" s="517"/>
      <c r="DA40" s="517"/>
      <c r="DB40" s="517"/>
      <c r="DC40" s="517"/>
      <c r="DD40" s="517"/>
      <c r="DE40" s="517"/>
      <c r="DF40" s="517"/>
      <c r="DG40" s="517"/>
      <c r="DH40" s="517"/>
      <c r="DI40" s="517"/>
      <c r="DJ40" s="517"/>
      <c r="DK40" s="517"/>
      <c r="DL40" s="517"/>
      <c r="DM40" s="517"/>
      <c r="DN40" s="517"/>
      <c r="DO40" s="517"/>
      <c r="DP40" s="517"/>
      <c r="DQ40" s="517"/>
      <c r="DR40" s="517"/>
      <c r="DS40" s="517"/>
      <c r="DT40" s="517"/>
      <c r="DU40" s="517"/>
      <c r="DV40" s="517"/>
      <c r="DW40" s="517"/>
      <c r="DX40" s="517"/>
      <c r="DY40" s="517"/>
      <c r="DZ40" s="517"/>
      <c r="EA40" s="517"/>
      <c r="EB40" s="517"/>
      <c r="EC40" s="517"/>
      <c r="ED40" s="517"/>
      <c r="EE40" s="517"/>
      <c r="EF40" s="517"/>
      <c r="EG40" s="517"/>
      <c r="EH40" s="517"/>
      <c r="EI40" s="517"/>
      <c r="EJ40" s="517"/>
      <c r="EK40" s="517"/>
      <c r="EL40" s="517"/>
      <c r="EM40" s="517"/>
      <c r="EN40" s="517"/>
      <c r="EO40" s="517"/>
      <c r="EP40" s="517"/>
      <c r="EQ40" s="517"/>
      <c r="ER40" s="517"/>
      <c r="ES40" s="627" t="s">
        <v>1140</v>
      </c>
    </row>
    <row r="41">
      <c r="A41" s="517"/>
      <c r="B41" s="517"/>
      <c r="C41" s="517"/>
      <c r="D41" s="517"/>
      <c r="E41" s="517"/>
      <c r="F41" s="517"/>
      <c r="G41" s="517"/>
      <c r="H41" s="517"/>
      <c r="I41" s="517"/>
      <c r="J41" s="517"/>
      <c r="K41" s="517"/>
      <c r="L41" s="517"/>
      <c r="M41" s="517"/>
      <c r="N41" s="517"/>
      <c r="O41" s="517"/>
      <c r="P41" s="517"/>
      <c r="Q41" s="517"/>
      <c r="R41" s="517"/>
      <c r="S41" s="517"/>
      <c r="T41" s="517"/>
      <c r="U41" s="517"/>
      <c r="V41" s="517"/>
      <c r="W41" s="517"/>
      <c r="X41" s="517"/>
      <c r="Y41" s="517"/>
      <c r="Z41" s="517"/>
      <c r="AA41" s="517"/>
      <c r="AB41" s="517"/>
      <c r="AC41" s="517"/>
      <c r="AD41" s="517"/>
      <c r="AE41" s="517"/>
      <c r="AF41" s="517"/>
      <c r="AG41" s="517"/>
      <c r="AH41" s="517"/>
      <c r="AI41" s="517"/>
      <c r="AJ41" s="517"/>
      <c r="AK41" s="517"/>
      <c r="AL41" s="517"/>
      <c r="AM41" s="517"/>
      <c r="AN41" s="517"/>
      <c r="AO41" s="517"/>
      <c r="AP41" s="517"/>
      <c r="AQ41" s="517"/>
      <c r="AR41" s="517"/>
      <c r="AS41" s="517"/>
      <c r="AT41" s="517"/>
      <c r="AU41" s="517"/>
      <c r="AV41" s="517"/>
      <c r="AW41" s="517"/>
      <c r="AX41" s="517"/>
      <c r="AY41" s="517"/>
      <c r="AZ41" s="517"/>
      <c r="BA41" s="517"/>
      <c r="BB41" s="517"/>
      <c r="BC41" s="517"/>
      <c r="BD41" s="517"/>
      <c r="BE41" s="517"/>
      <c r="BF41" s="517"/>
      <c r="BG41" s="517"/>
      <c r="BH41" s="517"/>
      <c r="BI41" s="517"/>
      <c r="BJ41" s="517"/>
      <c r="BK41" s="517"/>
      <c r="BL41" s="517"/>
      <c r="BM41" s="517"/>
      <c r="BN41" s="517"/>
      <c r="BO41" s="517"/>
      <c r="BP41" s="517"/>
      <c r="BQ41" s="517"/>
      <c r="BR41" s="517"/>
      <c r="BS41" s="517"/>
      <c r="BT41" s="517"/>
      <c r="BU41" s="517"/>
      <c r="BV41" s="517"/>
      <c r="BW41" s="517"/>
      <c r="BX41" s="517"/>
      <c r="BY41" s="517"/>
      <c r="BZ41" s="517"/>
      <c r="CA41" s="517"/>
      <c r="CB41" s="517"/>
      <c r="CC41" s="517"/>
      <c r="CD41" s="517"/>
      <c r="CE41" s="517"/>
      <c r="CF41" s="517"/>
      <c r="CG41" s="517"/>
      <c r="CH41" s="517"/>
      <c r="CI41" s="517"/>
      <c r="CJ41" s="517"/>
      <c r="CK41" s="517"/>
      <c r="CL41" s="517"/>
      <c r="CM41" s="517"/>
      <c r="CN41" s="517"/>
      <c r="CO41" s="517"/>
      <c r="CP41" s="517"/>
      <c r="CQ41" s="517"/>
      <c r="CR41" s="517"/>
      <c r="CS41" s="517"/>
      <c r="CT41" s="517"/>
      <c r="CU41" s="517"/>
      <c r="CV41" s="517"/>
      <c r="CW41" s="517"/>
      <c r="CX41" s="517"/>
      <c r="CY41" s="517"/>
      <c r="CZ41" s="517"/>
      <c r="DA41" s="517"/>
      <c r="DB41" s="517"/>
      <c r="DC41" s="517"/>
      <c r="DD41" s="517"/>
      <c r="DE41" s="517"/>
      <c r="DF41" s="517"/>
      <c r="DG41" s="517"/>
      <c r="DH41" s="517"/>
      <c r="DI41" s="517"/>
      <c r="DJ41" s="517"/>
      <c r="DK41" s="517"/>
      <c r="DL41" s="517"/>
      <c r="DM41" s="517"/>
      <c r="DN41" s="517"/>
      <c r="DO41" s="517"/>
      <c r="DP41" s="517"/>
      <c r="DQ41" s="517"/>
      <c r="DR41" s="517"/>
      <c r="DS41" s="517"/>
      <c r="DT41" s="517"/>
      <c r="DU41" s="517"/>
      <c r="DV41" s="517"/>
      <c r="DW41" s="517"/>
      <c r="DX41" s="517"/>
      <c r="DY41" s="517"/>
      <c r="DZ41" s="517"/>
      <c r="EA41" s="517"/>
      <c r="EB41" s="517"/>
      <c r="EC41" s="517"/>
      <c r="ED41" s="517"/>
      <c r="EE41" s="517"/>
      <c r="EF41" s="517"/>
      <c r="EG41" s="517"/>
      <c r="EH41" s="517"/>
      <c r="EI41" s="517"/>
      <c r="EJ41" s="517"/>
      <c r="EK41" s="517"/>
      <c r="EL41" s="517"/>
      <c r="EM41" s="517"/>
      <c r="EN41" s="517"/>
      <c r="EO41" s="517"/>
      <c r="EP41" s="517"/>
      <c r="EQ41" s="517"/>
      <c r="ER41" s="517"/>
      <c r="ES41" s="627" t="s">
        <v>1140</v>
      </c>
    </row>
    <row r="42">
      <c r="A42" s="517"/>
      <c r="B42" s="517"/>
      <c r="C42" s="517"/>
      <c r="D42" s="517"/>
      <c r="E42" s="517"/>
      <c r="F42" s="517"/>
      <c r="G42" s="517"/>
      <c r="H42" s="517"/>
      <c r="I42" s="517"/>
      <c r="J42" s="517"/>
      <c r="K42" s="517"/>
      <c r="L42" s="517"/>
      <c r="M42" s="517"/>
      <c r="N42" s="517"/>
      <c r="O42" s="517"/>
      <c r="P42" s="517"/>
      <c r="Q42" s="517"/>
      <c r="R42" s="517"/>
      <c r="S42" s="517"/>
      <c r="T42" s="517"/>
      <c r="U42" s="517"/>
      <c r="V42" s="517"/>
      <c r="W42" s="517"/>
      <c r="X42" s="517"/>
      <c r="Y42" s="517"/>
      <c r="Z42" s="517"/>
      <c r="AA42" s="517"/>
      <c r="AB42" s="517"/>
      <c r="AC42" s="517"/>
      <c r="AD42" s="517"/>
      <c r="AE42" s="517"/>
      <c r="AF42" s="517"/>
      <c r="AG42" s="517"/>
      <c r="AH42" s="517"/>
      <c r="AI42" s="517"/>
      <c r="AJ42" s="517"/>
      <c r="AK42" s="517"/>
      <c r="AL42" s="517"/>
      <c r="AM42" s="517"/>
      <c r="AN42" s="517"/>
      <c r="AO42" s="517"/>
      <c r="AP42" s="517"/>
      <c r="AQ42" s="517"/>
      <c r="AR42" s="517"/>
      <c r="AS42" s="517"/>
      <c r="AT42" s="517"/>
      <c r="AU42" s="517"/>
      <c r="AV42" s="517"/>
      <c r="AW42" s="517"/>
      <c r="AX42" s="517"/>
      <c r="AY42" s="517"/>
      <c r="AZ42" s="517"/>
      <c r="BA42" s="517"/>
      <c r="BB42" s="517"/>
      <c r="BC42" s="517"/>
      <c r="BD42" s="517"/>
      <c r="BE42" s="517"/>
      <c r="BF42" s="517"/>
      <c r="BG42" s="517"/>
      <c r="BH42" s="517"/>
      <c r="BI42" s="517"/>
      <c r="BJ42" s="517"/>
      <c r="BK42" s="517"/>
      <c r="BL42" s="517"/>
      <c r="BM42" s="517"/>
      <c r="BN42" s="517"/>
      <c r="BO42" s="517"/>
      <c r="BP42" s="517"/>
      <c r="BQ42" s="517"/>
      <c r="BR42" s="517"/>
      <c r="BS42" s="517"/>
      <c r="BT42" s="517"/>
      <c r="BU42" s="517"/>
      <c r="BV42" s="517"/>
      <c r="BW42" s="517"/>
      <c r="BX42" s="517"/>
      <c r="BY42" s="517"/>
      <c r="BZ42" s="517"/>
      <c r="CA42" s="517"/>
      <c r="CB42" s="517"/>
      <c r="CC42" s="517"/>
      <c r="CD42" s="517"/>
      <c r="CE42" s="517"/>
      <c r="CF42" s="517"/>
      <c r="CG42" s="517"/>
      <c r="CH42" s="517"/>
      <c r="CI42" s="517"/>
      <c r="CJ42" s="517"/>
      <c r="CK42" s="517"/>
      <c r="CL42" s="517"/>
      <c r="CM42" s="517"/>
      <c r="CN42" s="517"/>
      <c r="CO42" s="517"/>
      <c r="CP42" s="517"/>
      <c r="CQ42" s="517"/>
      <c r="CR42" s="517"/>
      <c r="CS42" s="517"/>
      <c r="CT42" s="517"/>
      <c r="CU42" s="517"/>
      <c r="CV42" s="517"/>
      <c r="CW42" s="517"/>
      <c r="CX42" s="517"/>
      <c r="CY42" s="517"/>
      <c r="CZ42" s="517"/>
      <c r="DA42" s="517"/>
      <c r="DB42" s="517"/>
      <c r="DC42" s="517"/>
      <c r="DD42" s="517"/>
      <c r="DE42" s="517"/>
      <c r="DF42" s="517"/>
      <c r="DG42" s="517"/>
      <c r="DH42" s="517"/>
      <c r="DI42" s="517"/>
      <c r="DJ42" s="517"/>
      <c r="DK42" s="517"/>
      <c r="DL42" s="517"/>
      <c r="DM42" s="517"/>
      <c r="DN42" s="517"/>
      <c r="DO42" s="517"/>
      <c r="DP42" s="517"/>
      <c r="DQ42" s="517"/>
      <c r="DR42" s="517"/>
      <c r="DS42" s="517"/>
      <c r="DT42" s="517"/>
      <c r="DU42" s="517"/>
      <c r="DV42" s="517"/>
      <c r="DW42" s="517"/>
      <c r="DX42" s="517"/>
      <c r="DY42" s="517"/>
      <c r="DZ42" s="517"/>
      <c r="EA42" s="517"/>
      <c r="EB42" s="517"/>
      <c r="EC42" s="517"/>
      <c r="ED42" s="517"/>
      <c r="EE42" s="517"/>
      <c r="EF42" s="517"/>
      <c r="EG42" s="517"/>
      <c r="EH42" s="517"/>
      <c r="EI42" s="517"/>
      <c r="EJ42" s="517"/>
      <c r="EK42" s="517"/>
      <c r="EL42" s="517"/>
      <c r="EM42" s="517"/>
      <c r="EN42" s="517"/>
      <c r="EO42" s="517"/>
      <c r="EP42" s="517"/>
      <c r="EQ42" s="517"/>
      <c r="ER42" s="517"/>
      <c r="ES42" s="627" t="s">
        <v>1140</v>
      </c>
    </row>
    <row r="43">
      <c r="A43" s="517"/>
      <c r="B43" s="517"/>
      <c r="C43" s="517"/>
      <c r="D43" s="517"/>
      <c r="E43" s="517"/>
      <c r="F43" s="517"/>
      <c r="G43" s="517"/>
      <c r="H43" s="517"/>
      <c r="I43" s="517"/>
      <c r="J43" s="517"/>
      <c r="K43" s="517"/>
      <c r="L43" s="517"/>
      <c r="M43" s="517"/>
      <c r="N43" s="517"/>
      <c r="O43" s="517"/>
      <c r="P43" s="517"/>
      <c r="Q43" s="517"/>
      <c r="R43" s="517"/>
      <c r="S43" s="517"/>
      <c r="T43" s="517"/>
      <c r="U43" s="517"/>
      <c r="V43" s="517"/>
      <c r="W43" s="517"/>
      <c r="X43" s="517"/>
      <c r="Y43" s="517"/>
      <c r="Z43" s="517"/>
      <c r="AA43" s="517"/>
      <c r="AB43" s="517"/>
      <c r="AC43" s="517"/>
      <c r="AD43" s="517"/>
      <c r="AE43" s="517"/>
      <c r="AF43" s="517"/>
      <c r="AG43" s="517"/>
      <c r="AH43" s="517"/>
      <c r="AI43" s="517"/>
      <c r="AJ43" s="517"/>
      <c r="AK43" s="517"/>
      <c r="AL43" s="517"/>
      <c r="AM43" s="517"/>
      <c r="AN43" s="517"/>
      <c r="AO43" s="517"/>
      <c r="AP43" s="517"/>
      <c r="AQ43" s="517"/>
      <c r="AR43" s="517"/>
      <c r="AS43" s="517"/>
      <c r="AT43" s="517"/>
      <c r="AU43" s="517"/>
      <c r="AV43" s="517"/>
      <c r="AW43" s="517"/>
      <c r="AX43" s="517"/>
      <c r="AY43" s="517"/>
      <c r="AZ43" s="517"/>
      <c r="BA43" s="517"/>
      <c r="BB43" s="517"/>
      <c r="BC43" s="517"/>
      <c r="BD43" s="517"/>
      <c r="BE43" s="517"/>
      <c r="BF43" s="517"/>
      <c r="BG43" s="517"/>
      <c r="BH43" s="517"/>
      <c r="BI43" s="517"/>
      <c r="BJ43" s="517"/>
      <c r="BK43" s="517"/>
      <c r="BL43" s="517"/>
      <c r="BM43" s="517"/>
      <c r="BN43" s="517"/>
      <c r="BO43" s="517"/>
      <c r="BP43" s="517"/>
      <c r="BQ43" s="517"/>
      <c r="BR43" s="517"/>
      <c r="BS43" s="517"/>
      <c r="BT43" s="517"/>
      <c r="BU43" s="517"/>
      <c r="BV43" s="517"/>
      <c r="BW43" s="517"/>
      <c r="BX43" s="517"/>
      <c r="BY43" s="517"/>
      <c r="BZ43" s="517"/>
      <c r="CA43" s="517"/>
      <c r="CB43" s="517"/>
      <c r="CC43" s="517"/>
      <c r="CD43" s="517"/>
      <c r="CE43" s="517"/>
      <c r="CF43" s="517"/>
      <c r="CG43" s="517"/>
      <c r="CH43" s="517"/>
      <c r="CI43" s="517"/>
      <c r="CJ43" s="517"/>
      <c r="CK43" s="517"/>
      <c r="CL43" s="517"/>
      <c r="CM43" s="517"/>
      <c r="CN43" s="517"/>
      <c r="CO43" s="517"/>
      <c r="CP43" s="517"/>
      <c r="CQ43" s="517"/>
      <c r="CR43" s="517"/>
      <c r="CS43" s="517"/>
      <c r="CT43" s="517"/>
      <c r="CU43" s="517"/>
      <c r="CV43" s="517"/>
      <c r="CW43" s="517"/>
      <c r="CX43" s="517"/>
      <c r="CY43" s="517"/>
      <c r="CZ43" s="517"/>
      <c r="DA43" s="517"/>
      <c r="DB43" s="517"/>
      <c r="DC43" s="517"/>
      <c r="DD43" s="517"/>
      <c r="DE43" s="517"/>
      <c r="DF43" s="517"/>
      <c r="DG43" s="517"/>
      <c r="DH43" s="517"/>
      <c r="DI43" s="517"/>
      <c r="DJ43" s="517"/>
      <c r="DK43" s="517"/>
      <c r="DL43" s="517"/>
      <c r="DM43" s="517"/>
      <c r="DN43" s="517"/>
      <c r="DO43" s="517"/>
      <c r="DP43" s="517"/>
      <c r="DQ43" s="517"/>
      <c r="DR43" s="517"/>
      <c r="DS43" s="517"/>
      <c r="DT43" s="517"/>
      <c r="DU43" s="517"/>
      <c r="DV43" s="517"/>
      <c r="DW43" s="517"/>
      <c r="DX43" s="517"/>
      <c r="DY43" s="517"/>
      <c r="DZ43" s="517"/>
      <c r="EA43" s="517"/>
      <c r="EB43" s="517"/>
      <c r="EC43" s="517"/>
      <c r="ED43" s="517"/>
      <c r="EE43" s="517"/>
      <c r="EF43" s="517"/>
      <c r="EG43" s="517"/>
      <c r="EH43" s="517"/>
      <c r="EI43" s="517"/>
      <c r="EJ43" s="517"/>
      <c r="EK43" s="517"/>
      <c r="EL43" s="517"/>
      <c r="EM43" s="517"/>
      <c r="EN43" s="517"/>
      <c r="EO43" s="517"/>
      <c r="EP43" s="517"/>
      <c r="EQ43" s="517"/>
      <c r="ER43" s="517"/>
      <c r="ES43" s="627" t="s">
        <v>1140</v>
      </c>
    </row>
    <row r="44">
      <c r="A44" s="517"/>
      <c r="B44" s="517"/>
      <c r="C44" s="517"/>
      <c r="D44" s="517"/>
      <c r="E44" s="517"/>
      <c r="F44" s="517"/>
      <c r="G44" s="517"/>
      <c r="H44" s="517"/>
      <c r="I44" s="517"/>
      <c r="J44" s="517"/>
      <c r="K44" s="517"/>
      <c r="L44" s="517"/>
      <c r="M44" s="517"/>
      <c r="N44" s="517"/>
      <c r="O44" s="517"/>
      <c r="P44" s="517"/>
      <c r="Q44" s="517"/>
      <c r="R44" s="517"/>
      <c r="S44" s="517"/>
      <c r="T44" s="517"/>
      <c r="U44" s="517"/>
      <c r="V44" s="517"/>
      <c r="W44" s="517"/>
      <c r="X44" s="517"/>
      <c r="Y44" s="517"/>
      <c r="Z44" s="517"/>
      <c r="AA44" s="517"/>
      <c r="AB44" s="517"/>
      <c r="AC44" s="517"/>
      <c r="AD44" s="517"/>
      <c r="AE44" s="517"/>
      <c r="AF44" s="517"/>
      <c r="AG44" s="517"/>
      <c r="AH44" s="517"/>
      <c r="AI44" s="517"/>
      <c r="AJ44" s="517"/>
      <c r="AK44" s="517"/>
      <c r="AL44" s="517"/>
      <c r="AM44" s="517"/>
      <c r="AN44" s="517"/>
      <c r="AO44" s="517"/>
      <c r="AP44" s="517"/>
      <c r="AQ44" s="517"/>
      <c r="AR44" s="517"/>
      <c r="AS44" s="517"/>
      <c r="AT44" s="517"/>
      <c r="AU44" s="517"/>
      <c r="AV44" s="517"/>
      <c r="AW44" s="517"/>
      <c r="AX44" s="517"/>
      <c r="AY44" s="517"/>
      <c r="AZ44" s="517"/>
      <c r="BA44" s="517"/>
      <c r="BB44" s="517"/>
      <c r="BC44" s="517"/>
      <c r="BD44" s="517"/>
      <c r="BE44" s="517"/>
      <c r="BF44" s="517"/>
      <c r="BG44" s="517"/>
      <c r="BH44" s="517"/>
      <c r="BI44" s="517"/>
      <c r="BJ44" s="517"/>
      <c r="BK44" s="517"/>
      <c r="BL44" s="517"/>
      <c r="BM44" s="517"/>
      <c r="BN44" s="517"/>
      <c r="BO44" s="517"/>
      <c r="BP44" s="517"/>
      <c r="BQ44" s="517"/>
      <c r="BR44" s="517"/>
      <c r="BS44" s="517"/>
      <c r="BT44" s="517"/>
      <c r="BU44" s="517"/>
      <c r="BV44" s="517"/>
      <c r="BW44" s="517"/>
      <c r="BX44" s="517"/>
      <c r="BY44" s="517"/>
      <c r="BZ44" s="517"/>
      <c r="CA44" s="517"/>
      <c r="CB44" s="517"/>
      <c r="CC44" s="517"/>
      <c r="CD44" s="517"/>
      <c r="CE44" s="517"/>
      <c r="CF44" s="517"/>
      <c r="CG44" s="517"/>
      <c r="CH44" s="517"/>
      <c r="CI44" s="517"/>
      <c r="CJ44" s="517"/>
      <c r="CK44" s="517"/>
      <c r="CL44" s="517"/>
      <c r="CM44" s="517"/>
      <c r="CN44" s="517"/>
      <c r="CO44" s="517"/>
      <c r="CP44" s="517"/>
      <c r="CQ44" s="517"/>
      <c r="CR44" s="517"/>
      <c r="CS44" s="517"/>
      <c r="CT44" s="517"/>
      <c r="CU44" s="517"/>
      <c r="CV44" s="517"/>
      <c r="CW44" s="517"/>
      <c r="CX44" s="517"/>
      <c r="CY44" s="517"/>
      <c r="CZ44" s="517"/>
      <c r="DA44" s="517"/>
      <c r="DB44" s="517"/>
      <c r="DC44" s="517"/>
      <c r="DD44" s="517"/>
      <c r="DE44" s="517"/>
      <c r="DF44" s="517"/>
      <c r="DG44" s="517"/>
      <c r="DH44" s="517"/>
      <c r="DI44" s="517"/>
      <c r="DJ44" s="517"/>
      <c r="DK44" s="517"/>
      <c r="DL44" s="517"/>
      <c r="DM44" s="517"/>
      <c r="DN44" s="517"/>
      <c r="DO44" s="517"/>
      <c r="DP44" s="517"/>
      <c r="DQ44" s="517"/>
      <c r="DR44" s="517"/>
      <c r="DS44" s="517"/>
      <c r="DT44" s="517"/>
      <c r="DU44" s="517"/>
      <c r="DV44" s="517"/>
      <c r="DW44" s="517"/>
      <c r="DX44" s="517"/>
      <c r="DY44" s="517"/>
      <c r="DZ44" s="517"/>
      <c r="EA44" s="517"/>
      <c r="EB44" s="517"/>
      <c r="EC44" s="517"/>
      <c r="ED44" s="517"/>
      <c r="EE44" s="517"/>
      <c r="EF44" s="517"/>
      <c r="EG44" s="517"/>
      <c r="EH44" s="517"/>
      <c r="EI44" s="517"/>
      <c r="EJ44" s="517"/>
      <c r="EK44" s="517"/>
      <c r="EL44" s="517"/>
      <c r="EM44" s="517"/>
      <c r="EN44" s="517"/>
      <c r="EO44" s="517"/>
      <c r="EP44" s="517"/>
      <c r="EQ44" s="517"/>
      <c r="ER44" s="517"/>
      <c r="ES44" s="627" t="s">
        <v>1140</v>
      </c>
    </row>
    <row r="45">
      <c r="A45" s="517"/>
      <c r="B45" s="517"/>
      <c r="C45" s="517"/>
      <c r="D45" s="517"/>
      <c r="E45" s="517"/>
      <c r="F45" s="517"/>
      <c r="G45" s="517"/>
      <c r="H45" s="517"/>
      <c r="I45" s="517"/>
      <c r="J45" s="517"/>
      <c r="K45" s="517"/>
      <c r="L45" s="517"/>
      <c r="M45" s="517"/>
      <c r="N45" s="517"/>
      <c r="O45" s="517"/>
      <c r="P45" s="517"/>
      <c r="Q45" s="517"/>
      <c r="R45" s="517"/>
      <c r="S45" s="517"/>
      <c r="T45" s="517"/>
      <c r="U45" s="517"/>
      <c r="V45" s="517"/>
      <c r="W45" s="517"/>
      <c r="X45" s="517"/>
      <c r="Y45" s="517"/>
      <c r="Z45" s="517"/>
      <c r="AA45" s="517"/>
      <c r="AB45" s="517"/>
      <c r="AC45" s="517"/>
      <c r="AD45" s="517"/>
      <c r="AE45" s="517"/>
      <c r="AF45" s="517"/>
      <c r="AG45" s="517"/>
      <c r="AH45" s="517"/>
      <c r="AI45" s="517"/>
      <c r="AJ45" s="517"/>
      <c r="AK45" s="517"/>
      <c r="AL45" s="517"/>
      <c r="AM45" s="517"/>
      <c r="AN45" s="517"/>
      <c r="AO45" s="517"/>
      <c r="AP45" s="517"/>
      <c r="AQ45" s="517"/>
      <c r="AR45" s="517"/>
      <c r="AS45" s="517"/>
      <c r="AT45" s="517"/>
      <c r="AU45" s="517"/>
      <c r="AV45" s="517"/>
      <c r="AW45" s="517"/>
      <c r="AX45" s="517"/>
      <c r="AY45" s="517"/>
      <c r="AZ45" s="517"/>
      <c r="BA45" s="517"/>
      <c r="BB45" s="517"/>
      <c r="BC45" s="517"/>
      <c r="BD45" s="517"/>
      <c r="BE45" s="517"/>
      <c r="BF45" s="517"/>
      <c r="BG45" s="517"/>
      <c r="BH45" s="517"/>
      <c r="BI45" s="517"/>
      <c r="BJ45" s="517"/>
      <c r="BK45" s="517"/>
      <c r="BL45" s="517"/>
      <c r="BM45" s="517"/>
      <c r="BN45" s="517"/>
      <c r="BO45" s="517"/>
      <c r="BP45" s="517"/>
      <c r="BQ45" s="517"/>
      <c r="BR45" s="517"/>
      <c r="BS45" s="517"/>
      <c r="BT45" s="517"/>
      <c r="BU45" s="517"/>
      <c r="BV45" s="517"/>
      <c r="BW45" s="517"/>
      <c r="BX45" s="517"/>
      <c r="BY45" s="517"/>
      <c r="BZ45" s="517"/>
      <c r="CA45" s="517"/>
      <c r="CB45" s="517"/>
      <c r="CC45" s="517"/>
      <c r="CD45" s="517"/>
      <c r="CE45" s="517"/>
      <c r="CF45" s="517"/>
      <c r="CG45" s="517"/>
      <c r="CH45" s="517"/>
      <c r="CI45" s="517"/>
      <c r="CJ45" s="517"/>
      <c r="CK45" s="517"/>
      <c r="CL45" s="517"/>
      <c r="CM45" s="517"/>
      <c r="CN45" s="517"/>
      <c r="CO45" s="517"/>
      <c r="CP45" s="517"/>
      <c r="CQ45" s="517"/>
      <c r="CR45" s="517"/>
      <c r="CS45" s="517"/>
      <c r="CT45" s="517"/>
      <c r="CU45" s="517"/>
      <c r="CV45" s="517"/>
      <c r="CW45" s="517"/>
      <c r="CX45" s="517"/>
      <c r="CY45" s="517"/>
      <c r="CZ45" s="517"/>
      <c r="DA45" s="517"/>
      <c r="DB45" s="517"/>
      <c r="DC45" s="517"/>
      <c r="DD45" s="517"/>
      <c r="DE45" s="517"/>
      <c r="DF45" s="517"/>
      <c r="DG45" s="517"/>
      <c r="DH45" s="517"/>
      <c r="DI45" s="517"/>
      <c r="DJ45" s="517"/>
      <c r="DK45" s="517"/>
      <c r="DL45" s="517"/>
      <c r="DM45" s="517"/>
      <c r="DN45" s="517"/>
      <c r="DO45" s="517"/>
      <c r="DP45" s="517"/>
      <c r="DQ45" s="517"/>
      <c r="DR45" s="517"/>
      <c r="DS45" s="517"/>
      <c r="DT45" s="517"/>
      <c r="DU45" s="517"/>
      <c r="DV45" s="517"/>
      <c r="DW45" s="517"/>
      <c r="DX45" s="517"/>
      <c r="DY45" s="517"/>
      <c r="DZ45" s="517"/>
      <c r="EA45" s="517"/>
      <c r="EB45" s="517"/>
      <c r="EC45" s="517"/>
      <c r="ED45" s="517"/>
      <c r="EE45" s="517"/>
      <c r="EF45" s="517"/>
      <c r="EG45" s="517"/>
      <c r="EH45" s="517"/>
      <c r="EI45" s="517"/>
      <c r="EJ45" s="517"/>
      <c r="EK45" s="517"/>
      <c r="EL45" s="517"/>
      <c r="EM45" s="517"/>
      <c r="EN45" s="517"/>
      <c r="EO45" s="517"/>
      <c r="EP45" s="517"/>
      <c r="EQ45" s="517"/>
      <c r="ER45" s="517"/>
      <c r="ES45" s="627" t="s">
        <v>1140</v>
      </c>
    </row>
    <row r="46">
      <c r="A46" s="517"/>
      <c r="B46" s="517"/>
      <c r="C46" s="517"/>
      <c r="D46" s="517"/>
      <c r="E46" s="517"/>
      <c r="F46" s="517"/>
      <c r="G46" s="517"/>
      <c r="H46" s="517"/>
      <c r="I46" s="517"/>
      <c r="J46" s="517"/>
      <c r="K46" s="517"/>
      <c r="L46" s="517"/>
      <c r="M46" s="517"/>
      <c r="N46" s="517"/>
      <c r="O46" s="517"/>
      <c r="P46" s="517"/>
      <c r="Q46" s="517"/>
      <c r="R46" s="517"/>
      <c r="S46" s="517"/>
      <c r="T46" s="517"/>
      <c r="U46" s="517"/>
      <c r="V46" s="517"/>
      <c r="W46" s="517"/>
      <c r="X46" s="517"/>
      <c r="Y46" s="517"/>
      <c r="Z46" s="517"/>
      <c r="AA46" s="517"/>
      <c r="AB46" s="517"/>
      <c r="AC46" s="517"/>
      <c r="AD46" s="517"/>
      <c r="AE46" s="517"/>
      <c r="AF46" s="517"/>
      <c r="AG46" s="517"/>
      <c r="AH46" s="517"/>
      <c r="AI46" s="517"/>
      <c r="AJ46" s="517"/>
      <c r="AK46" s="517"/>
      <c r="AL46" s="517"/>
      <c r="AM46" s="517"/>
      <c r="AN46" s="517"/>
      <c r="AO46" s="517"/>
      <c r="AP46" s="517"/>
      <c r="AQ46" s="517"/>
      <c r="AR46" s="517"/>
      <c r="AS46" s="517"/>
      <c r="AT46" s="517"/>
      <c r="AU46" s="517"/>
      <c r="AV46" s="517"/>
      <c r="AW46" s="517"/>
      <c r="AX46" s="517"/>
      <c r="AY46" s="517"/>
      <c r="AZ46" s="517"/>
      <c r="BA46" s="517"/>
      <c r="BB46" s="517"/>
      <c r="BC46" s="517"/>
      <c r="BD46" s="517"/>
      <c r="BE46" s="517"/>
      <c r="BF46" s="517"/>
      <c r="BG46" s="517"/>
      <c r="BH46" s="517"/>
      <c r="BI46" s="517"/>
      <c r="BJ46" s="517"/>
      <c r="BK46" s="517"/>
      <c r="BL46" s="517"/>
      <c r="BM46" s="517"/>
      <c r="BN46" s="517"/>
      <c r="BO46" s="517"/>
      <c r="BP46" s="517"/>
      <c r="BQ46" s="517"/>
      <c r="BR46" s="517"/>
      <c r="BS46" s="517"/>
      <c r="BT46" s="517"/>
      <c r="BU46" s="517"/>
      <c r="BV46" s="517"/>
      <c r="BW46" s="517"/>
      <c r="BX46" s="517"/>
      <c r="BY46" s="517"/>
      <c r="BZ46" s="517"/>
      <c r="CA46" s="517"/>
      <c r="CB46" s="517"/>
      <c r="CC46" s="517"/>
      <c r="CD46" s="517"/>
      <c r="CE46" s="517"/>
      <c r="CF46" s="517"/>
      <c r="CG46" s="517"/>
      <c r="CH46" s="517"/>
      <c r="CI46" s="517"/>
      <c r="CJ46" s="517"/>
      <c r="CK46" s="517"/>
      <c r="CL46" s="517"/>
      <c r="CM46" s="517"/>
      <c r="CN46" s="517"/>
      <c r="CO46" s="517"/>
      <c r="CP46" s="517"/>
      <c r="CQ46" s="517"/>
      <c r="CR46" s="517"/>
      <c r="CS46" s="517"/>
      <c r="CT46" s="517"/>
      <c r="CU46" s="517"/>
      <c r="CV46" s="517"/>
      <c r="CW46" s="517"/>
      <c r="CX46" s="517"/>
      <c r="CY46" s="517"/>
      <c r="CZ46" s="517"/>
      <c r="DA46" s="517"/>
      <c r="DB46" s="517"/>
      <c r="DC46" s="517"/>
      <c r="DD46" s="517"/>
      <c r="DE46" s="517"/>
      <c r="DF46" s="517"/>
      <c r="DG46" s="517"/>
      <c r="DH46" s="517"/>
      <c r="DI46" s="517"/>
      <c r="DJ46" s="517"/>
      <c r="DK46" s="517"/>
      <c r="DL46" s="517"/>
      <c r="DM46" s="517"/>
      <c r="DN46" s="517"/>
      <c r="DO46" s="517"/>
      <c r="DP46" s="517"/>
      <c r="DQ46" s="517"/>
      <c r="DR46" s="517"/>
      <c r="DS46" s="517"/>
      <c r="DT46" s="517"/>
      <c r="DU46" s="517"/>
      <c r="DV46" s="517"/>
      <c r="DW46" s="517"/>
      <c r="DX46" s="517"/>
      <c r="DY46" s="517"/>
      <c r="DZ46" s="517"/>
      <c r="EA46" s="517"/>
      <c r="EB46" s="517"/>
      <c r="EC46" s="517"/>
      <c r="ED46" s="517"/>
      <c r="EE46" s="517"/>
      <c r="EF46" s="517"/>
      <c r="EG46" s="517"/>
      <c r="EH46" s="517"/>
      <c r="EI46" s="517"/>
      <c r="EJ46" s="517"/>
      <c r="EK46" s="517"/>
      <c r="EL46" s="517"/>
      <c r="EM46" s="517"/>
      <c r="EN46" s="517"/>
      <c r="EO46" s="517"/>
      <c r="EP46" s="517"/>
      <c r="EQ46" s="517"/>
      <c r="ER46" s="517"/>
      <c r="ES46" s="627" t="s">
        <v>1140</v>
      </c>
    </row>
    <row r="47">
      <c r="A47" s="517"/>
      <c r="B47" s="517"/>
      <c r="C47" s="517"/>
      <c r="D47" s="517"/>
      <c r="E47" s="517"/>
      <c r="F47" s="517"/>
      <c r="G47" s="517"/>
      <c r="H47" s="517"/>
      <c r="I47" s="517"/>
      <c r="J47" s="517"/>
      <c r="K47" s="517"/>
      <c r="L47" s="517"/>
      <c r="M47" s="517"/>
      <c r="N47" s="517"/>
      <c r="O47" s="517"/>
      <c r="P47" s="517"/>
      <c r="Q47" s="517"/>
      <c r="R47" s="517"/>
      <c r="S47" s="517"/>
      <c r="T47" s="517"/>
      <c r="U47" s="517"/>
      <c r="V47" s="517"/>
      <c r="W47" s="517"/>
      <c r="X47" s="517"/>
      <c r="Y47" s="517"/>
      <c r="Z47" s="517"/>
      <c r="AA47" s="517"/>
      <c r="AB47" s="517"/>
      <c r="AC47" s="517"/>
      <c r="AD47" s="517"/>
      <c r="AE47" s="517"/>
      <c r="AF47" s="517"/>
      <c r="AG47" s="517"/>
      <c r="AH47" s="517"/>
      <c r="AI47" s="517"/>
      <c r="AJ47" s="517"/>
      <c r="AK47" s="517"/>
      <c r="AL47" s="517"/>
      <c r="AM47" s="517"/>
      <c r="AN47" s="517"/>
      <c r="AO47" s="517"/>
      <c r="AP47" s="517"/>
      <c r="AQ47" s="517"/>
      <c r="AR47" s="517"/>
      <c r="AS47" s="517"/>
      <c r="AT47" s="517"/>
      <c r="AU47" s="517"/>
      <c r="AV47" s="517"/>
      <c r="AW47" s="517"/>
      <c r="AX47" s="517"/>
      <c r="AY47" s="517"/>
      <c r="AZ47" s="517"/>
      <c r="BA47" s="517"/>
      <c r="BB47" s="517"/>
      <c r="BC47" s="517"/>
      <c r="BD47" s="517"/>
      <c r="BE47" s="517"/>
      <c r="BF47" s="517"/>
      <c r="BG47" s="517"/>
      <c r="BH47" s="517"/>
      <c r="BI47" s="517"/>
      <c r="BJ47" s="517"/>
      <c r="BK47" s="517"/>
      <c r="BL47" s="517"/>
      <c r="BM47" s="517"/>
      <c r="BN47" s="517"/>
      <c r="BO47" s="517"/>
      <c r="BP47" s="517"/>
      <c r="BQ47" s="517"/>
      <c r="BR47" s="517"/>
      <c r="BS47" s="517"/>
      <c r="BT47" s="517"/>
      <c r="BU47" s="517"/>
      <c r="BV47" s="517"/>
      <c r="BW47" s="517"/>
      <c r="BX47" s="517"/>
      <c r="BY47" s="517"/>
      <c r="BZ47" s="517"/>
      <c r="CA47" s="517"/>
      <c r="CB47" s="517"/>
      <c r="CC47" s="517"/>
      <c r="CD47" s="517"/>
      <c r="CE47" s="517"/>
      <c r="CF47" s="517"/>
      <c r="CG47" s="517"/>
      <c r="CH47" s="517"/>
      <c r="CI47" s="517"/>
      <c r="CJ47" s="517"/>
      <c r="CK47" s="517"/>
      <c r="CL47" s="517"/>
      <c r="CM47" s="517"/>
      <c r="CN47" s="517"/>
      <c r="CO47" s="517"/>
      <c r="CP47" s="517"/>
      <c r="CQ47" s="517"/>
      <c r="CR47" s="517"/>
      <c r="CS47" s="517"/>
      <c r="CT47" s="517"/>
      <c r="CU47" s="517"/>
      <c r="CV47" s="517"/>
      <c r="CW47" s="517"/>
      <c r="CX47" s="517"/>
      <c r="CY47" s="517"/>
      <c r="CZ47" s="517"/>
      <c r="DA47" s="517"/>
      <c r="DB47" s="517"/>
      <c r="DC47" s="517"/>
      <c r="DD47" s="517"/>
      <c r="DE47" s="517"/>
      <c r="DF47" s="517"/>
      <c r="DG47" s="517"/>
      <c r="DH47" s="517"/>
      <c r="DI47" s="517"/>
      <c r="DJ47" s="517"/>
      <c r="DK47" s="517"/>
      <c r="DL47" s="517"/>
      <c r="DM47" s="517"/>
      <c r="DN47" s="517"/>
      <c r="DO47" s="517"/>
      <c r="DP47" s="517"/>
      <c r="DQ47" s="517"/>
      <c r="DR47" s="517"/>
      <c r="DS47" s="517"/>
      <c r="DT47" s="517"/>
      <c r="DU47" s="517"/>
      <c r="DV47" s="517"/>
      <c r="DW47" s="517"/>
      <c r="DX47" s="517"/>
      <c r="DY47" s="517"/>
      <c r="DZ47" s="517"/>
      <c r="EA47" s="517"/>
      <c r="EB47" s="517"/>
      <c r="EC47" s="517"/>
      <c r="ED47" s="517"/>
      <c r="EE47" s="517"/>
      <c r="EF47" s="517"/>
      <c r="EG47" s="517"/>
      <c r="EH47" s="517"/>
      <c r="EI47" s="517"/>
      <c r="EJ47" s="517"/>
      <c r="EK47" s="517"/>
      <c r="EL47" s="517"/>
      <c r="EM47" s="517"/>
      <c r="EN47" s="517"/>
      <c r="EO47" s="517"/>
      <c r="EP47" s="517"/>
      <c r="EQ47" s="517"/>
      <c r="ER47" s="517"/>
      <c r="ES47" s="627" t="s">
        <v>1140</v>
      </c>
    </row>
    <row r="48">
      <c r="A48" s="517"/>
      <c r="B48" s="517"/>
      <c r="C48" s="517"/>
      <c r="D48" s="517"/>
      <c r="E48" s="517"/>
      <c r="F48" s="517"/>
      <c r="G48" s="517"/>
      <c r="H48" s="517"/>
      <c r="I48" s="517"/>
      <c r="J48" s="517"/>
      <c r="K48" s="517"/>
      <c r="L48" s="517"/>
      <c r="M48" s="517"/>
      <c r="N48" s="517"/>
      <c r="O48" s="517"/>
      <c r="P48" s="517"/>
      <c r="Q48" s="517"/>
      <c r="R48" s="517"/>
      <c r="S48" s="517"/>
      <c r="T48" s="517"/>
      <c r="U48" s="517"/>
      <c r="V48" s="517"/>
      <c r="W48" s="517"/>
      <c r="X48" s="517"/>
      <c r="Y48" s="517"/>
      <c r="Z48" s="517"/>
      <c r="AA48" s="517"/>
      <c r="AB48" s="517"/>
      <c r="AC48" s="517"/>
      <c r="AD48" s="517"/>
      <c r="AE48" s="517"/>
      <c r="AF48" s="517"/>
      <c r="AG48" s="517"/>
      <c r="AH48" s="517"/>
      <c r="AI48" s="517"/>
      <c r="AJ48" s="517"/>
      <c r="AK48" s="517"/>
      <c r="AL48" s="517"/>
      <c r="AM48" s="517"/>
      <c r="AN48" s="517"/>
      <c r="AO48" s="517"/>
      <c r="AP48" s="517"/>
      <c r="AQ48" s="517"/>
      <c r="AR48" s="517"/>
      <c r="AS48" s="517"/>
      <c r="AT48" s="517"/>
      <c r="AU48" s="517"/>
      <c r="AV48" s="517"/>
      <c r="AW48" s="517"/>
      <c r="AX48" s="517"/>
      <c r="AY48" s="517"/>
      <c r="AZ48" s="517"/>
      <c r="BA48" s="517"/>
      <c r="BB48" s="517"/>
      <c r="BC48" s="517"/>
      <c r="BD48" s="517"/>
      <c r="BE48" s="517"/>
      <c r="BF48" s="517"/>
      <c r="BG48" s="517"/>
      <c r="BH48" s="517"/>
      <c r="BI48" s="517"/>
      <c r="BJ48" s="517"/>
      <c r="BK48" s="517"/>
      <c r="BL48" s="517"/>
      <c r="BM48" s="517"/>
      <c r="BN48" s="517"/>
      <c r="BO48" s="517"/>
      <c r="BP48" s="517"/>
      <c r="BQ48" s="517"/>
      <c r="BR48" s="517"/>
      <c r="BS48" s="517"/>
      <c r="BT48" s="517"/>
      <c r="BU48" s="517"/>
      <c r="BV48" s="517"/>
      <c r="BW48" s="517"/>
      <c r="BX48" s="517"/>
      <c r="BY48" s="517"/>
      <c r="BZ48" s="517"/>
      <c r="CA48" s="517"/>
      <c r="CB48" s="517"/>
      <c r="CC48" s="517"/>
      <c r="CD48" s="517"/>
      <c r="CE48" s="517"/>
      <c r="CF48" s="517"/>
      <c r="CG48" s="517"/>
      <c r="CH48" s="517"/>
      <c r="CI48" s="517"/>
      <c r="CJ48" s="517"/>
      <c r="CK48" s="517"/>
      <c r="CL48" s="517"/>
      <c r="CM48" s="517"/>
      <c r="CN48" s="517"/>
      <c r="CO48" s="517"/>
      <c r="CP48" s="517"/>
      <c r="CQ48" s="517"/>
      <c r="CR48" s="517"/>
      <c r="CS48" s="517"/>
      <c r="CT48" s="517"/>
      <c r="CU48" s="517"/>
      <c r="CV48" s="517"/>
      <c r="CW48" s="517"/>
      <c r="CX48" s="517"/>
      <c r="CY48" s="517"/>
      <c r="CZ48" s="517"/>
      <c r="DA48" s="517"/>
      <c r="DB48" s="517"/>
      <c r="DC48" s="517"/>
      <c r="DD48" s="517"/>
      <c r="DE48" s="517"/>
      <c r="DF48" s="517"/>
      <c r="DG48" s="517"/>
      <c r="DH48" s="517"/>
      <c r="DI48" s="517"/>
      <c r="DJ48" s="517"/>
      <c r="DK48" s="517"/>
      <c r="DL48" s="517"/>
      <c r="DM48" s="517"/>
      <c r="DN48" s="517"/>
      <c r="DO48" s="517"/>
      <c r="DP48" s="517"/>
      <c r="DQ48" s="517"/>
      <c r="DR48" s="517"/>
      <c r="DS48" s="517"/>
      <c r="DT48" s="517"/>
      <c r="DU48" s="517"/>
      <c r="DV48" s="517"/>
      <c r="DW48" s="517"/>
      <c r="DX48" s="517"/>
      <c r="DY48" s="517"/>
      <c r="DZ48" s="517"/>
      <c r="EA48" s="517"/>
      <c r="EB48" s="517"/>
      <c r="EC48" s="517"/>
      <c r="ED48" s="517"/>
      <c r="EE48" s="517"/>
      <c r="EF48" s="517"/>
      <c r="EG48" s="517"/>
      <c r="EH48" s="517"/>
      <c r="EI48" s="517"/>
      <c r="EJ48" s="517"/>
      <c r="EK48" s="517"/>
      <c r="EL48" s="517"/>
      <c r="EM48" s="517"/>
      <c r="EN48" s="517"/>
      <c r="EO48" s="517"/>
      <c r="EP48" s="517"/>
      <c r="EQ48" s="517"/>
      <c r="ER48" s="517"/>
      <c r="ES48" s="627" t="s">
        <v>1140</v>
      </c>
    </row>
    <row r="49">
      <c r="A49" s="517"/>
      <c r="B49" s="517"/>
      <c r="C49" s="517"/>
      <c r="D49" s="517"/>
      <c r="E49" s="517"/>
      <c r="F49" s="517"/>
      <c r="G49" s="517"/>
      <c r="H49" s="517"/>
      <c r="I49" s="517"/>
      <c r="J49" s="517"/>
      <c r="K49" s="517"/>
      <c r="L49" s="517"/>
      <c r="M49" s="517"/>
      <c r="N49" s="517"/>
      <c r="O49" s="517"/>
      <c r="P49" s="517"/>
      <c r="Q49" s="517"/>
      <c r="R49" s="517"/>
      <c r="S49" s="517"/>
      <c r="T49" s="517"/>
      <c r="U49" s="517"/>
      <c r="V49" s="517"/>
      <c r="W49" s="517"/>
      <c r="X49" s="517"/>
      <c r="Y49" s="517"/>
      <c r="Z49" s="517"/>
      <c r="AA49" s="517"/>
      <c r="AB49" s="517"/>
      <c r="AC49" s="517"/>
      <c r="AD49" s="517"/>
      <c r="AE49" s="517"/>
      <c r="AF49" s="517"/>
      <c r="AG49" s="517"/>
      <c r="AH49" s="517"/>
      <c r="AI49" s="517"/>
      <c r="AJ49" s="517"/>
      <c r="AK49" s="517"/>
      <c r="AL49" s="517"/>
      <c r="AM49" s="517"/>
      <c r="AN49" s="517"/>
      <c r="AO49" s="517"/>
      <c r="AP49" s="517"/>
      <c r="AQ49" s="517"/>
      <c r="AR49" s="517"/>
      <c r="AS49" s="517"/>
      <c r="AT49" s="517"/>
      <c r="AU49" s="517"/>
      <c r="AV49" s="517"/>
      <c r="AW49" s="517"/>
      <c r="AX49" s="517"/>
      <c r="AY49" s="517"/>
      <c r="AZ49" s="517"/>
      <c r="BA49" s="517"/>
      <c r="BB49" s="517"/>
      <c r="BC49" s="517"/>
      <c r="BD49" s="517"/>
      <c r="BE49" s="517"/>
      <c r="BF49" s="517"/>
      <c r="BG49" s="517"/>
      <c r="BH49" s="517"/>
      <c r="BI49" s="517"/>
      <c r="BJ49" s="517"/>
      <c r="BK49" s="517"/>
      <c r="BL49" s="517"/>
      <c r="BM49" s="517"/>
      <c r="BN49" s="517"/>
      <c r="BO49" s="517"/>
      <c r="BP49" s="517"/>
      <c r="BQ49" s="517"/>
      <c r="BR49" s="517"/>
      <c r="BS49" s="517"/>
      <c r="BT49" s="517"/>
      <c r="BU49" s="517"/>
      <c r="BV49" s="517"/>
      <c r="BW49" s="517"/>
      <c r="BX49" s="517"/>
      <c r="BY49" s="517"/>
      <c r="BZ49" s="517"/>
      <c r="CA49" s="517"/>
      <c r="CB49" s="517"/>
      <c r="CC49" s="517"/>
      <c r="CD49" s="517"/>
      <c r="CE49" s="517"/>
      <c r="CF49" s="517"/>
      <c r="CG49" s="517"/>
      <c r="CH49" s="517"/>
      <c r="CI49" s="517"/>
      <c r="CJ49" s="517"/>
      <c r="CK49" s="517"/>
      <c r="CL49" s="517"/>
      <c r="CM49" s="517"/>
      <c r="CN49" s="517"/>
      <c r="CO49" s="517"/>
      <c r="CP49" s="517"/>
      <c r="CQ49" s="517"/>
      <c r="CR49" s="517"/>
      <c r="CS49" s="517"/>
      <c r="CT49" s="517"/>
      <c r="CU49" s="517"/>
      <c r="CV49" s="517"/>
      <c r="CW49" s="517"/>
      <c r="CX49" s="517"/>
      <c r="CY49" s="517"/>
      <c r="CZ49" s="517"/>
      <c r="DA49" s="517"/>
      <c r="DB49" s="517"/>
      <c r="DC49" s="517"/>
      <c r="DD49" s="517"/>
      <c r="DE49" s="517"/>
      <c r="DF49" s="517"/>
      <c r="DG49" s="517"/>
      <c r="DH49" s="517"/>
      <c r="DI49" s="517"/>
      <c r="DJ49" s="517"/>
      <c r="DK49" s="517"/>
      <c r="DL49" s="517"/>
      <c r="DM49" s="517"/>
      <c r="DN49" s="517"/>
      <c r="DO49" s="517"/>
      <c r="DP49" s="517"/>
      <c r="DQ49" s="517"/>
      <c r="DR49" s="517"/>
      <c r="DS49" s="517"/>
      <c r="DT49" s="517"/>
      <c r="DU49" s="517"/>
      <c r="DV49" s="517"/>
      <c r="DW49" s="517"/>
      <c r="DX49" s="517"/>
      <c r="DY49" s="517"/>
      <c r="DZ49" s="517"/>
      <c r="EA49" s="517"/>
      <c r="EB49" s="517"/>
      <c r="EC49" s="517"/>
      <c r="ED49" s="517"/>
      <c r="EE49" s="517"/>
      <c r="EF49" s="517"/>
      <c r="EG49" s="517"/>
      <c r="EH49" s="517"/>
      <c r="EI49" s="517"/>
      <c r="EJ49" s="517"/>
      <c r="EK49" s="517"/>
      <c r="EL49" s="517"/>
      <c r="EM49" s="517"/>
      <c r="EN49" s="517"/>
      <c r="EO49" s="517"/>
      <c r="EP49" s="517"/>
      <c r="EQ49" s="517"/>
      <c r="ER49" s="517"/>
      <c r="ES49" s="627" t="s">
        <v>1140</v>
      </c>
    </row>
    <row r="50">
      <c r="A50" s="517"/>
      <c r="B50" s="517"/>
      <c r="C50" s="517"/>
      <c r="D50" s="517"/>
      <c r="E50" s="517"/>
      <c r="F50" s="517"/>
      <c r="G50" s="517"/>
      <c r="H50" s="517"/>
      <c r="I50" s="517"/>
      <c r="J50" s="517"/>
      <c r="K50" s="517"/>
      <c r="L50" s="517"/>
      <c r="M50" s="517"/>
      <c r="N50" s="517"/>
      <c r="O50" s="517"/>
      <c r="P50" s="517"/>
      <c r="Q50" s="517"/>
      <c r="R50" s="517"/>
      <c r="S50" s="517"/>
      <c r="T50" s="517"/>
      <c r="U50" s="517"/>
      <c r="V50" s="517"/>
      <c r="W50" s="517"/>
      <c r="X50" s="517"/>
      <c r="Y50" s="517"/>
      <c r="Z50" s="517"/>
      <c r="AA50" s="517"/>
      <c r="AB50" s="517"/>
      <c r="AC50" s="517"/>
      <c r="AD50" s="517"/>
      <c r="AE50" s="517"/>
      <c r="AF50" s="517"/>
      <c r="AG50" s="517"/>
      <c r="AH50" s="517"/>
      <c r="AI50" s="517"/>
      <c r="AJ50" s="517"/>
      <c r="AK50" s="517"/>
      <c r="AL50" s="517"/>
      <c r="AM50" s="517"/>
      <c r="AN50" s="517"/>
      <c r="AO50" s="517"/>
      <c r="AP50" s="517"/>
      <c r="AQ50" s="517"/>
      <c r="AR50" s="517"/>
      <c r="AS50" s="517"/>
      <c r="AT50" s="517"/>
      <c r="AU50" s="517"/>
      <c r="AV50" s="517"/>
      <c r="AW50" s="517"/>
      <c r="AX50" s="517"/>
      <c r="AY50" s="517"/>
      <c r="AZ50" s="517"/>
      <c r="BA50" s="517"/>
      <c r="BB50" s="517"/>
      <c r="BC50" s="517"/>
      <c r="BD50" s="517"/>
      <c r="BE50" s="517"/>
      <c r="BF50" s="517"/>
      <c r="BG50" s="517"/>
      <c r="BH50" s="517"/>
      <c r="BI50" s="517"/>
      <c r="BJ50" s="517"/>
      <c r="BK50" s="517"/>
      <c r="BL50" s="517"/>
      <c r="BM50" s="517"/>
      <c r="BN50" s="517"/>
      <c r="BO50" s="517"/>
      <c r="BP50" s="517"/>
      <c r="BQ50" s="517"/>
      <c r="BR50" s="517"/>
      <c r="BS50" s="517"/>
      <c r="BT50" s="517"/>
      <c r="BU50" s="517"/>
      <c r="BV50" s="517"/>
      <c r="BW50" s="517"/>
      <c r="BX50" s="517"/>
      <c r="BY50" s="517"/>
      <c r="BZ50" s="517"/>
      <c r="CA50" s="517"/>
      <c r="CB50" s="517"/>
      <c r="CC50" s="517"/>
      <c r="CD50" s="517"/>
      <c r="CE50" s="517"/>
      <c r="CF50" s="517"/>
      <c r="CG50" s="517"/>
      <c r="CH50" s="517"/>
      <c r="CI50" s="517"/>
      <c r="CJ50" s="517"/>
      <c r="CK50" s="517"/>
      <c r="CL50" s="517"/>
      <c r="CM50" s="517"/>
      <c r="CN50" s="517"/>
      <c r="CO50" s="517"/>
      <c r="CP50" s="517"/>
      <c r="CQ50" s="517"/>
      <c r="CR50" s="517"/>
      <c r="CS50" s="517"/>
      <c r="CT50" s="517"/>
      <c r="CU50" s="517"/>
      <c r="CV50" s="517"/>
      <c r="CW50" s="517"/>
      <c r="CX50" s="517"/>
      <c r="CY50" s="517"/>
      <c r="CZ50" s="517"/>
      <c r="DA50" s="517"/>
      <c r="DB50" s="517"/>
      <c r="DC50" s="517"/>
      <c r="DD50" s="517"/>
      <c r="DE50" s="517"/>
      <c r="DF50" s="517"/>
      <c r="DG50" s="517"/>
      <c r="DH50" s="517"/>
      <c r="DI50" s="517"/>
      <c r="DJ50" s="517"/>
      <c r="DK50" s="517"/>
      <c r="DL50" s="517"/>
      <c r="DM50" s="517"/>
      <c r="DN50" s="517"/>
      <c r="DO50" s="517"/>
      <c r="DP50" s="517"/>
      <c r="DQ50" s="517"/>
      <c r="DR50" s="517"/>
      <c r="DS50" s="517"/>
      <c r="DT50" s="517"/>
      <c r="DU50" s="517"/>
      <c r="DV50" s="517"/>
      <c r="DW50" s="517"/>
      <c r="DX50" s="517"/>
      <c r="DY50" s="517"/>
      <c r="DZ50" s="517"/>
      <c r="EA50" s="517"/>
      <c r="EB50" s="517"/>
      <c r="EC50" s="517"/>
      <c r="ED50" s="517"/>
      <c r="EE50" s="517"/>
      <c r="EF50" s="517"/>
      <c r="EG50" s="517"/>
      <c r="EH50" s="517"/>
      <c r="EI50" s="517"/>
      <c r="EJ50" s="517"/>
      <c r="EK50" s="517"/>
      <c r="EL50" s="517"/>
      <c r="EM50" s="517"/>
      <c r="EN50" s="517"/>
      <c r="EO50" s="517"/>
      <c r="EP50" s="517"/>
      <c r="EQ50" s="517"/>
      <c r="ER50" s="517"/>
      <c r="ES50" s="627" t="s">
        <v>1140</v>
      </c>
    </row>
    <row r="51">
      <c r="A51" s="517"/>
      <c r="B51" s="517"/>
      <c r="C51" s="517"/>
      <c r="D51" s="517"/>
      <c r="E51" s="517"/>
      <c r="F51" s="517"/>
      <c r="G51" s="517"/>
      <c r="H51" s="517"/>
      <c r="I51" s="517"/>
      <c r="J51" s="517"/>
      <c r="K51" s="517"/>
      <c r="L51" s="517"/>
      <c r="M51" s="517"/>
      <c r="N51" s="517"/>
      <c r="O51" s="517"/>
      <c r="P51" s="517"/>
      <c r="Q51" s="517"/>
      <c r="R51" s="517"/>
      <c r="S51" s="517"/>
      <c r="T51" s="517"/>
      <c r="U51" s="517"/>
      <c r="V51" s="517"/>
      <c r="W51" s="517"/>
      <c r="X51" s="517"/>
      <c r="Y51" s="517"/>
      <c r="Z51" s="517"/>
      <c r="AA51" s="517"/>
      <c r="AB51" s="517"/>
      <c r="AC51" s="517"/>
      <c r="AD51" s="517"/>
      <c r="AE51" s="517"/>
      <c r="AF51" s="517"/>
      <c r="AG51" s="517"/>
      <c r="AH51" s="517"/>
      <c r="AI51" s="517"/>
      <c r="AJ51" s="517"/>
      <c r="AK51" s="517"/>
      <c r="AL51" s="517"/>
      <c r="AM51" s="517"/>
      <c r="AN51" s="517"/>
      <c r="AO51" s="517"/>
      <c r="AP51" s="517"/>
      <c r="AQ51" s="517"/>
      <c r="AR51" s="517"/>
      <c r="AS51" s="517"/>
      <c r="AT51" s="517"/>
      <c r="AU51" s="517"/>
      <c r="AV51" s="517"/>
      <c r="AW51" s="517"/>
      <c r="AX51" s="517"/>
      <c r="AY51" s="517"/>
      <c r="AZ51" s="517"/>
      <c r="BA51" s="517"/>
      <c r="BB51" s="517"/>
      <c r="BC51" s="517"/>
      <c r="BD51" s="517"/>
      <c r="BE51" s="517"/>
      <c r="BF51" s="517"/>
      <c r="BG51" s="517"/>
      <c r="BH51" s="517"/>
      <c r="BI51" s="517"/>
      <c r="BJ51" s="517"/>
      <c r="BK51" s="517"/>
      <c r="BL51" s="517"/>
      <c r="BM51" s="517"/>
      <c r="BN51" s="517"/>
      <c r="BO51" s="517"/>
      <c r="BP51" s="517"/>
      <c r="BQ51" s="517"/>
      <c r="BR51" s="517"/>
      <c r="BS51" s="517"/>
      <c r="BT51" s="517"/>
      <c r="BU51" s="517"/>
      <c r="BV51" s="517"/>
      <c r="BW51" s="517"/>
      <c r="BX51" s="517"/>
      <c r="BY51" s="517"/>
      <c r="BZ51" s="517"/>
      <c r="CA51" s="517"/>
      <c r="CB51" s="517"/>
      <c r="CC51" s="517"/>
      <c r="CD51" s="517"/>
      <c r="CE51" s="517"/>
      <c r="CF51" s="517"/>
      <c r="CG51" s="517"/>
      <c r="CH51" s="517"/>
      <c r="CI51" s="517"/>
      <c r="CJ51" s="517"/>
      <c r="CK51" s="517"/>
      <c r="CL51" s="517"/>
      <c r="CM51" s="517"/>
      <c r="CN51" s="517"/>
      <c r="CO51" s="517"/>
      <c r="CP51" s="517"/>
      <c r="CQ51" s="517"/>
      <c r="CR51" s="517"/>
      <c r="CS51" s="517"/>
      <c r="CT51" s="517"/>
      <c r="CU51" s="517"/>
      <c r="CV51" s="517"/>
      <c r="CW51" s="517"/>
      <c r="CX51" s="517"/>
      <c r="CY51" s="517"/>
      <c r="CZ51" s="517"/>
      <c r="DA51" s="517"/>
      <c r="DB51" s="517"/>
      <c r="DC51" s="517"/>
      <c r="DD51" s="517"/>
      <c r="DE51" s="517"/>
      <c r="DF51" s="517"/>
      <c r="DG51" s="517"/>
      <c r="DH51" s="517"/>
      <c r="DI51" s="517"/>
      <c r="DJ51" s="517"/>
      <c r="DK51" s="517"/>
      <c r="DL51" s="517"/>
      <c r="DM51" s="517"/>
      <c r="DN51" s="517"/>
      <c r="DO51" s="517"/>
      <c r="DP51" s="517"/>
      <c r="DQ51" s="517"/>
      <c r="DR51" s="517"/>
      <c r="DS51" s="517"/>
      <c r="DT51" s="517"/>
      <c r="DU51" s="517"/>
      <c r="DV51" s="517"/>
      <c r="DW51" s="517"/>
      <c r="DX51" s="517"/>
      <c r="DY51" s="517"/>
      <c r="DZ51" s="517"/>
      <c r="EA51" s="517"/>
      <c r="EB51" s="517"/>
      <c r="EC51" s="517"/>
      <c r="ED51" s="517"/>
      <c r="EE51" s="517"/>
      <c r="EF51" s="517"/>
      <c r="EG51" s="517"/>
      <c r="EH51" s="517"/>
      <c r="EI51" s="517"/>
      <c r="EJ51" s="517"/>
      <c r="EK51" s="517"/>
      <c r="EL51" s="517"/>
      <c r="EM51" s="517"/>
      <c r="EN51" s="517"/>
      <c r="EO51" s="517"/>
      <c r="EP51" s="517"/>
      <c r="EQ51" s="517"/>
      <c r="ER51" s="517"/>
      <c r="ES51" s="627" t="s">
        <v>1140</v>
      </c>
    </row>
    <row r="52">
      <c r="A52" s="517"/>
      <c r="B52" s="517"/>
      <c r="C52" s="517"/>
      <c r="D52" s="517"/>
      <c r="E52" s="517"/>
      <c r="F52" s="517"/>
      <c r="G52" s="517"/>
      <c r="H52" s="517"/>
      <c r="I52" s="517"/>
      <c r="J52" s="517"/>
      <c r="K52" s="517"/>
      <c r="L52" s="517"/>
      <c r="M52" s="517"/>
      <c r="N52" s="517"/>
      <c r="O52" s="517"/>
      <c r="P52" s="517"/>
      <c r="Q52" s="517"/>
      <c r="R52" s="517"/>
      <c r="S52" s="517"/>
      <c r="T52" s="517"/>
      <c r="U52" s="517"/>
      <c r="V52" s="517"/>
      <c r="W52" s="517"/>
      <c r="X52" s="517"/>
      <c r="Y52" s="517"/>
      <c r="Z52" s="517"/>
      <c r="AA52" s="517"/>
      <c r="AB52" s="517"/>
      <c r="AC52" s="517"/>
      <c r="AD52" s="517"/>
      <c r="AE52" s="517"/>
      <c r="AF52" s="517"/>
      <c r="AG52" s="517"/>
      <c r="AH52" s="517"/>
      <c r="AI52" s="517"/>
      <c r="AJ52" s="517"/>
      <c r="AK52" s="517"/>
      <c r="AL52" s="517"/>
      <c r="AM52" s="517"/>
      <c r="AN52" s="517"/>
      <c r="AO52" s="517"/>
      <c r="AP52" s="517"/>
      <c r="AQ52" s="517"/>
      <c r="AR52" s="517"/>
      <c r="AS52" s="517"/>
      <c r="AT52" s="517"/>
      <c r="AU52" s="517"/>
      <c r="AV52" s="517"/>
      <c r="AW52" s="517"/>
      <c r="AX52" s="517"/>
      <c r="AY52" s="517"/>
      <c r="AZ52" s="517"/>
      <c r="BA52" s="517"/>
      <c r="BB52" s="517"/>
      <c r="BC52" s="517"/>
      <c r="BD52" s="517"/>
      <c r="BE52" s="517"/>
      <c r="BF52" s="517"/>
      <c r="BG52" s="517"/>
      <c r="BH52" s="517"/>
      <c r="BI52" s="517"/>
      <c r="BJ52" s="517"/>
      <c r="BK52" s="517"/>
      <c r="BL52" s="517"/>
      <c r="BM52" s="517"/>
      <c r="BN52" s="517"/>
      <c r="BO52" s="517"/>
      <c r="BP52" s="517"/>
      <c r="BQ52" s="517"/>
      <c r="BR52" s="517"/>
      <c r="BS52" s="517"/>
      <c r="BT52" s="517"/>
      <c r="BU52" s="517"/>
      <c r="BV52" s="517"/>
      <c r="BW52" s="517"/>
      <c r="BX52" s="517"/>
      <c r="BY52" s="517"/>
      <c r="BZ52" s="517"/>
      <c r="CA52" s="517"/>
      <c r="CB52" s="517"/>
      <c r="CC52" s="517"/>
      <c r="CD52" s="517"/>
      <c r="CE52" s="517"/>
      <c r="CF52" s="517"/>
      <c r="CG52" s="517"/>
      <c r="CH52" s="517"/>
      <c r="CI52" s="517"/>
      <c r="CJ52" s="517"/>
      <c r="CK52" s="517"/>
      <c r="CL52" s="517"/>
      <c r="CM52" s="517"/>
      <c r="CN52" s="517"/>
      <c r="CO52" s="517"/>
      <c r="CP52" s="517"/>
      <c r="CQ52" s="517"/>
      <c r="CR52" s="517"/>
      <c r="CS52" s="517"/>
      <c r="CT52" s="517"/>
      <c r="CU52" s="517"/>
      <c r="CV52" s="517"/>
      <c r="CW52" s="517"/>
      <c r="CX52" s="517"/>
      <c r="CY52" s="517"/>
      <c r="CZ52" s="517"/>
      <c r="DA52" s="517"/>
      <c r="DB52" s="517"/>
      <c r="DC52" s="517"/>
      <c r="DD52" s="517"/>
      <c r="DE52" s="517"/>
      <c r="DF52" s="517"/>
      <c r="DG52" s="517"/>
      <c r="DH52" s="517"/>
      <c r="DI52" s="517"/>
      <c r="DJ52" s="517"/>
      <c r="DK52" s="517"/>
      <c r="DL52" s="517"/>
      <c r="DM52" s="517"/>
      <c r="DN52" s="517"/>
      <c r="DO52" s="517"/>
      <c r="DP52" s="517"/>
      <c r="DQ52" s="517"/>
      <c r="DR52" s="517"/>
      <c r="DS52" s="517"/>
      <c r="DT52" s="517"/>
      <c r="DU52" s="517"/>
      <c r="DV52" s="517"/>
      <c r="DW52" s="517"/>
      <c r="DX52" s="517"/>
      <c r="DY52" s="517"/>
      <c r="DZ52" s="517"/>
      <c r="EA52" s="517"/>
      <c r="EB52" s="517"/>
      <c r="EC52" s="517"/>
      <c r="ED52" s="517"/>
      <c r="EE52" s="517"/>
      <c r="EF52" s="517"/>
      <c r="EG52" s="517"/>
      <c r="EH52" s="517"/>
      <c r="EI52" s="517"/>
      <c r="EJ52" s="517"/>
      <c r="EK52" s="517"/>
      <c r="EL52" s="517"/>
      <c r="EM52" s="517"/>
      <c r="EN52" s="517"/>
      <c r="EO52" s="517"/>
      <c r="EP52" s="517"/>
      <c r="EQ52" s="517"/>
      <c r="ER52" s="517"/>
      <c r="ES52" s="627" t="s">
        <v>1140</v>
      </c>
    </row>
    <row r="53">
      <c r="A53" s="517"/>
      <c r="B53" s="517"/>
      <c r="C53" s="517"/>
      <c r="D53" s="517"/>
      <c r="E53" s="517"/>
      <c r="F53" s="517"/>
      <c r="G53" s="517"/>
      <c r="H53" s="517"/>
      <c r="I53" s="517"/>
      <c r="J53" s="517"/>
      <c r="K53" s="517"/>
      <c r="L53" s="517"/>
      <c r="M53" s="517"/>
      <c r="N53" s="517"/>
      <c r="O53" s="517"/>
      <c r="P53" s="517"/>
      <c r="Q53" s="517"/>
      <c r="R53" s="517"/>
      <c r="S53" s="517"/>
      <c r="T53" s="517"/>
      <c r="U53" s="517"/>
      <c r="V53" s="517"/>
      <c r="W53" s="517"/>
      <c r="X53" s="517"/>
      <c r="Y53" s="517"/>
      <c r="Z53" s="517"/>
      <c r="AA53" s="517"/>
      <c r="AB53" s="517"/>
      <c r="AC53" s="517"/>
      <c r="AD53" s="517"/>
      <c r="AE53" s="517"/>
      <c r="AF53" s="517"/>
      <c r="AG53" s="517"/>
      <c r="AH53" s="517"/>
      <c r="AI53" s="517"/>
      <c r="AJ53" s="517"/>
      <c r="AK53" s="517"/>
      <c r="AL53" s="517"/>
      <c r="AM53" s="517"/>
      <c r="AN53" s="517"/>
      <c r="AO53" s="517"/>
      <c r="AP53" s="517"/>
      <c r="AQ53" s="517"/>
      <c r="AR53" s="517"/>
      <c r="AS53" s="517"/>
      <c r="AT53" s="517"/>
      <c r="AU53" s="517"/>
      <c r="AV53" s="517"/>
      <c r="AW53" s="517"/>
      <c r="AX53" s="517"/>
      <c r="AY53" s="517"/>
      <c r="AZ53" s="517"/>
      <c r="BA53" s="517"/>
      <c r="BB53" s="517"/>
      <c r="BC53" s="517"/>
      <c r="BD53" s="517"/>
      <c r="BE53" s="517"/>
      <c r="BF53" s="517"/>
      <c r="BG53" s="517"/>
      <c r="BH53" s="517"/>
      <c r="BI53" s="517"/>
      <c r="BJ53" s="517"/>
      <c r="BK53" s="517"/>
      <c r="BL53" s="517"/>
      <c r="BM53" s="517"/>
      <c r="BN53" s="517"/>
      <c r="BO53" s="517"/>
      <c r="BP53" s="517"/>
      <c r="BQ53" s="517"/>
      <c r="BR53" s="517"/>
      <c r="BS53" s="517"/>
      <c r="BT53" s="517"/>
      <c r="BU53" s="517"/>
      <c r="BV53" s="517"/>
      <c r="BW53" s="517"/>
      <c r="BX53" s="517"/>
      <c r="BY53" s="517"/>
      <c r="BZ53" s="517"/>
      <c r="CA53" s="517"/>
      <c r="CB53" s="517"/>
      <c r="CC53" s="517"/>
      <c r="CD53" s="517"/>
      <c r="CE53" s="517"/>
      <c r="CF53" s="517"/>
      <c r="CG53" s="517"/>
      <c r="CH53" s="517"/>
      <c r="CI53" s="517"/>
      <c r="CJ53" s="517"/>
      <c r="CK53" s="517"/>
      <c r="CL53" s="517"/>
      <c r="CM53" s="517"/>
      <c r="CN53" s="517"/>
      <c r="CO53" s="517"/>
      <c r="CP53" s="517"/>
      <c r="CQ53" s="517"/>
      <c r="CR53" s="517"/>
      <c r="CS53" s="517"/>
      <c r="CT53" s="517"/>
      <c r="CU53" s="517"/>
      <c r="CV53" s="517"/>
      <c r="CW53" s="517"/>
      <c r="CX53" s="517"/>
      <c r="CY53" s="517"/>
      <c r="CZ53" s="517"/>
      <c r="DA53" s="517"/>
      <c r="DB53" s="517"/>
      <c r="DC53" s="517"/>
      <c r="DD53" s="517"/>
      <c r="DE53" s="517"/>
      <c r="DF53" s="517"/>
      <c r="DG53" s="517"/>
      <c r="DH53" s="517"/>
      <c r="DI53" s="517"/>
      <c r="DJ53" s="517"/>
      <c r="DK53" s="517"/>
      <c r="DL53" s="517"/>
      <c r="DM53" s="517"/>
      <c r="DN53" s="517"/>
      <c r="DO53" s="517"/>
      <c r="DP53" s="517"/>
      <c r="DQ53" s="517"/>
      <c r="DR53" s="517"/>
      <c r="DS53" s="517"/>
      <c r="DT53" s="517"/>
      <c r="DU53" s="517"/>
      <c r="DV53" s="517"/>
      <c r="DW53" s="517"/>
      <c r="DX53" s="517"/>
      <c r="DY53" s="517"/>
      <c r="DZ53" s="517"/>
      <c r="EA53" s="517"/>
      <c r="EB53" s="517"/>
      <c r="EC53" s="517"/>
      <c r="ED53" s="517"/>
      <c r="EE53" s="517"/>
      <c r="EF53" s="517"/>
      <c r="EG53" s="517"/>
      <c r="EH53" s="517"/>
      <c r="EI53" s="517"/>
      <c r="EJ53" s="517"/>
      <c r="EK53" s="517"/>
      <c r="EL53" s="517"/>
      <c r="EM53" s="517"/>
      <c r="EN53" s="517"/>
      <c r="EO53" s="517"/>
      <c r="EP53" s="517"/>
      <c r="EQ53" s="517"/>
      <c r="ER53" s="517"/>
      <c r="ES53" s="627" t="s">
        <v>1140</v>
      </c>
    </row>
    <row r="54">
      <c r="A54" s="517"/>
      <c r="B54" s="517"/>
      <c r="C54" s="517"/>
      <c r="D54" s="517"/>
      <c r="E54" s="517"/>
      <c r="F54" s="517"/>
      <c r="G54" s="517"/>
      <c r="H54" s="517"/>
      <c r="I54" s="517"/>
      <c r="J54" s="517"/>
      <c r="K54" s="517"/>
      <c r="L54" s="517"/>
      <c r="M54" s="517"/>
      <c r="N54" s="517"/>
      <c r="O54" s="517"/>
      <c r="P54" s="517"/>
      <c r="Q54" s="517"/>
      <c r="R54" s="517"/>
      <c r="S54" s="517"/>
      <c r="T54" s="517"/>
      <c r="U54" s="517"/>
      <c r="V54" s="517"/>
      <c r="W54" s="517"/>
      <c r="X54" s="517"/>
      <c r="Y54" s="517"/>
      <c r="Z54" s="517"/>
      <c r="AA54" s="517"/>
      <c r="AB54" s="517"/>
      <c r="AC54" s="517"/>
      <c r="AD54" s="517"/>
      <c r="AE54" s="517"/>
      <c r="AF54" s="517"/>
      <c r="AG54" s="517"/>
      <c r="AH54" s="517"/>
      <c r="AI54" s="517"/>
      <c r="AJ54" s="517"/>
      <c r="AK54" s="517"/>
      <c r="AL54" s="517"/>
      <c r="AM54" s="517"/>
      <c r="AN54" s="517"/>
      <c r="AO54" s="517"/>
      <c r="AP54" s="517"/>
      <c r="AQ54" s="517"/>
      <c r="AR54" s="517"/>
      <c r="AS54" s="517"/>
      <c r="AT54" s="517"/>
      <c r="AU54" s="517"/>
      <c r="AV54" s="517"/>
      <c r="AW54" s="517"/>
      <c r="AX54" s="517"/>
      <c r="AY54" s="517"/>
      <c r="AZ54" s="517"/>
      <c r="BA54" s="517"/>
      <c r="BB54" s="517"/>
      <c r="BC54" s="517"/>
      <c r="BD54" s="517"/>
      <c r="BE54" s="517"/>
      <c r="BF54" s="517"/>
      <c r="BG54" s="517"/>
      <c r="BH54" s="517"/>
      <c r="BI54" s="517"/>
      <c r="BJ54" s="517"/>
      <c r="BK54" s="517"/>
      <c r="BL54" s="517"/>
      <c r="BM54" s="517"/>
      <c r="BN54" s="517"/>
      <c r="BO54" s="517"/>
      <c r="BP54" s="517"/>
      <c r="BQ54" s="517"/>
      <c r="BR54" s="517"/>
      <c r="BS54" s="517"/>
      <c r="BT54" s="517"/>
      <c r="BU54" s="517"/>
      <c r="BV54" s="517"/>
      <c r="BW54" s="517"/>
      <c r="BX54" s="517"/>
      <c r="BY54" s="517"/>
      <c r="BZ54" s="517"/>
      <c r="CA54" s="517"/>
      <c r="CB54" s="517"/>
      <c r="CC54" s="517"/>
      <c r="CD54" s="517"/>
      <c r="CE54" s="517"/>
      <c r="CF54" s="517"/>
      <c r="CG54" s="517"/>
      <c r="CH54" s="517"/>
      <c r="CI54" s="517"/>
      <c r="CJ54" s="517"/>
      <c r="CK54" s="517"/>
      <c r="CL54" s="517"/>
      <c r="CM54" s="517"/>
      <c r="CN54" s="517"/>
      <c r="CO54" s="517"/>
      <c r="CP54" s="517"/>
      <c r="CQ54" s="517"/>
      <c r="CR54" s="517"/>
      <c r="CS54" s="517"/>
      <c r="CT54" s="517"/>
      <c r="CU54" s="517"/>
      <c r="CV54" s="517"/>
      <c r="CW54" s="517"/>
      <c r="CX54" s="517"/>
      <c r="CY54" s="517"/>
      <c r="CZ54" s="517"/>
      <c r="DA54" s="517"/>
      <c r="DB54" s="517"/>
      <c r="DC54" s="517"/>
      <c r="DD54" s="517"/>
      <c r="DE54" s="517"/>
      <c r="DF54" s="517"/>
      <c r="DG54" s="517"/>
      <c r="DH54" s="517"/>
      <c r="DI54" s="517"/>
      <c r="DJ54" s="517"/>
      <c r="DK54" s="517"/>
      <c r="DL54" s="517"/>
      <c r="DM54" s="517"/>
      <c r="DN54" s="517"/>
      <c r="DO54" s="517"/>
      <c r="DP54" s="517"/>
      <c r="DQ54" s="517"/>
      <c r="DR54" s="517"/>
      <c r="DS54" s="517"/>
      <c r="DT54" s="517"/>
      <c r="DU54" s="517"/>
      <c r="DV54" s="517"/>
      <c r="DW54" s="517"/>
      <c r="DX54" s="517"/>
      <c r="DY54" s="517"/>
      <c r="DZ54" s="517"/>
      <c r="EA54" s="517"/>
      <c r="EB54" s="517"/>
      <c r="EC54" s="517"/>
      <c r="ED54" s="517"/>
      <c r="EE54" s="517"/>
      <c r="EF54" s="517"/>
      <c r="EG54" s="517"/>
      <c r="EH54" s="517"/>
      <c r="EI54" s="517"/>
      <c r="EJ54" s="517"/>
      <c r="EK54" s="517"/>
      <c r="EL54" s="517"/>
      <c r="EM54" s="517"/>
      <c r="EN54" s="517"/>
      <c r="EO54" s="517"/>
      <c r="EP54" s="517"/>
      <c r="EQ54" s="517"/>
      <c r="ER54" s="517"/>
      <c r="ES54" s="627" t="s">
        <v>1140</v>
      </c>
    </row>
    <row r="55">
      <c r="A55" s="517"/>
      <c r="B55" s="517"/>
      <c r="C55" s="517"/>
      <c r="D55" s="517"/>
      <c r="E55" s="517"/>
      <c r="F55" s="517"/>
      <c r="G55" s="517"/>
      <c r="H55" s="517"/>
      <c r="I55" s="517"/>
      <c r="J55" s="517"/>
      <c r="K55" s="517"/>
      <c r="L55" s="517"/>
      <c r="M55" s="517"/>
      <c r="N55" s="517"/>
      <c r="O55" s="517"/>
      <c r="P55" s="517"/>
      <c r="Q55" s="517"/>
      <c r="R55" s="517"/>
      <c r="S55" s="517"/>
      <c r="T55" s="517"/>
      <c r="U55" s="517"/>
      <c r="V55" s="517"/>
      <c r="W55" s="517"/>
      <c r="X55" s="517"/>
      <c r="Y55" s="517"/>
      <c r="Z55" s="517"/>
      <c r="AA55" s="517"/>
      <c r="AB55" s="517"/>
      <c r="AC55" s="517"/>
      <c r="AD55" s="517"/>
      <c r="AE55" s="517"/>
      <c r="AF55" s="517"/>
      <c r="AG55" s="517"/>
      <c r="AH55" s="517"/>
      <c r="AI55" s="517"/>
      <c r="AJ55" s="517"/>
      <c r="AK55" s="517"/>
      <c r="AL55" s="517"/>
      <c r="AM55" s="517"/>
      <c r="AN55" s="517"/>
      <c r="AO55" s="517"/>
      <c r="AP55" s="517"/>
      <c r="AQ55" s="517"/>
      <c r="AR55" s="517"/>
      <c r="AS55" s="517"/>
      <c r="AT55" s="517"/>
      <c r="AU55" s="517"/>
      <c r="AV55" s="517"/>
      <c r="AW55" s="517"/>
      <c r="AX55" s="517"/>
      <c r="AY55" s="517"/>
      <c r="AZ55" s="517"/>
      <c r="BA55" s="517"/>
      <c r="BB55" s="517"/>
      <c r="BC55" s="517"/>
      <c r="BD55" s="517"/>
      <c r="BE55" s="517"/>
      <c r="BF55" s="517"/>
      <c r="BG55" s="517"/>
      <c r="BH55" s="517"/>
      <c r="BI55" s="517"/>
      <c r="BJ55" s="517"/>
      <c r="BK55" s="517"/>
      <c r="BL55" s="517"/>
      <c r="BM55" s="517"/>
      <c r="BN55" s="517"/>
      <c r="BO55" s="517"/>
      <c r="BP55" s="517"/>
      <c r="BQ55" s="517"/>
      <c r="BR55" s="517"/>
      <c r="BS55" s="517"/>
      <c r="BT55" s="517"/>
      <c r="BU55" s="517"/>
      <c r="BV55" s="517"/>
      <c r="BW55" s="517"/>
      <c r="BX55" s="517"/>
      <c r="BY55" s="517"/>
      <c r="BZ55" s="517"/>
      <c r="CA55" s="517"/>
      <c r="CB55" s="517"/>
      <c r="CC55" s="517"/>
      <c r="CD55" s="517"/>
      <c r="CE55" s="517"/>
      <c r="CF55" s="517"/>
      <c r="CG55" s="517"/>
      <c r="CH55" s="517"/>
      <c r="CI55" s="517"/>
      <c r="CJ55" s="517"/>
      <c r="CK55" s="517"/>
      <c r="CL55" s="517"/>
      <c r="CM55" s="517"/>
      <c r="CN55" s="517"/>
      <c r="CO55" s="517"/>
      <c r="CP55" s="517"/>
      <c r="CQ55" s="517"/>
      <c r="CR55" s="517"/>
      <c r="CS55" s="517"/>
      <c r="CT55" s="517"/>
      <c r="CU55" s="517"/>
      <c r="CV55" s="517"/>
      <c r="CW55" s="517"/>
      <c r="CX55" s="517"/>
      <c r="CY55" s="517"/>
      <c r="CZ55" s="517"/>
      <c r="DA55" s="517"/>
      <c r="DB55" s="517"/>
      <c r="DC55" s="517"/>
      <c r="DD55" s="517"/>
      <c r="DE55" s="517"/>
      <c r="DF55" s="517"/>
      <c r="DG55" s="517"/>
      <c r="DH55" s="517"/>
      <c r="DI55" s="517"/>
      <c r="DJ55" s="517"/>
      <c r="DK55" s="517"/>
      <c r="DL55" s="517"/>
      <c r="DM55" s="517"/>
      <c r="DN55" s="517"/>
      <c r="DO55" s="517"/>
      <c r="DP55" s="517"/>
      <c r="DQ55" s="517"/>
      <c r="DR55" s="517"/>
      <c r="DS55" s="517"/>
      <c r="DT55" s="517"/>
      <c r="DU55" s="517"/>
      <c r="DV55" s="517"/>
      <c r="DW55" s="517"/>
      <c r="DX55" s="517"/>
      <c r="DY55" s="517"/>
      <c r="DZ55" s="517"/>
      <c r="EA55" s="517"/>
      <c r="EB55" s="517"/>
      <c r="EC55" s="517"/>
      <c r="ED55" s="517"/>
      <c r="EE55" s="517"/>
      <c r="EF55" s="517"/>
      <c r="EG55" s="517"/>
      <c r="EH55" s="517"/>
      <c r="EI55" s="517"/>
      <c r="EJ55" s="517"/>
      <c r="EK55" s="517"/>
      <c r="EL55" s="517"/>
      <c r="EM55" s="517"/>
      <c r="EN55" s="517"/>
      <c r="EO55" s="517"/>
      <c r="EP55" s="517"/>
      <c r="EQ55" s="517"/>
      <c r="ER55" s="517"/>
      <c r="ES55" s="627" t="s">
        <v>1140</v>
      </c>
    </row>
    <row r="56">
      <c r="A56" s="517"/>
      <c r="B56" s="517"/>
      <c r="C56" s="517"/>
      <c r="D56" s="517"/>
      <c r="E56" s="517"/>
      <c r="F56" s="517"/>
      <c r="G56" s="517"/>
      <c r="H56" s="517"/>
      <c r="I56" s="517"/>
      <c r="J56" s="517"/>
      <c r="K56" s="517"/>
      <c r="L56" s="517"/>
      <c r="M56" s="517"/>
      <c r="N56" s="517"/>
      <c r="O56" s="517"/>
      <c r="P56" s="517"/>
      <c r="Q56" s="517"/>
      <c r="R56" s="517"/>
      <c r="S56" s="517"/>
      <c r="T56" s="517"/>
      <c r="U56" s="517"/>
      <c r="V56" s="517"/>
      <c r="W56" s="517"/>
      <c r="X56" s="517"/>
      <c r="Y56" s="517"/>
      <c r="Z56" s="517"/>
      <c r="AA56" s="517"/>
      <c r="AB56" s="517"/>
      <c r="AC56" s="517"/>
      <c r="AD56" s="517"/>
      <c r="AE56" s="517"/>
      <c r="AF56" s="517"/>
      <c r="AG56" s="517"/>
      <c r="AH56" s="517"/>
      <c r="AI56" s="517"/>
      <c r="AJ56" s="517"/>
      <c r="AK56" s="517"/>
      <c r="AL56" s="517"/>
      <c r="AM56" s="517"/>
      <c r="AN56" s="517"/>
      <c r="AO56" s="517"/>
      <c r="AP56" s="517"/>
      <c r="AQ56" s="517"/>
      <c r="AR56" s="517"/>
      <c r="AS56" s="517"/>
      <c r="AT56" s="517"/>
      <c r="AU56" s="517"/>
      <c r="AV56" s="517"/>
      <c r="AW56" s="517"/>
      <c r="AX56" s="517"/>
      <c r="AY56" s="517"/>
      <c r="AZ56" s="517"/>
      <c r="BA56" s="517"/>
      <c r="BB56" s="517"/>
      <c r="BC56" s="517"/>
      <c r="BD56" s="517"/>
      <c r="BE56" s="517"/>
      <c r="BF56" s="517"/>
      <c r="BG56" s="517"/>
      <c r="BH56" s="517"/>
      <c r="BI56" s="517"/>
      <c r="BJ56" s="517"/>
      <c r="BK56" s="517"/>
      <c r="BL56" s="517"/>
      <c r="BM56" s="517"/>
      <c r="BN56" s="517"/>
      <c r="BO56" s="517"/>
      <c r="BP56" s="517"/>
      <c r="BQ56" s="517"/>
      <c r="BR56" s="517"/>
      <c r="BS56" s="517"/>
      <c r="BT56" s="517"/>
      <c r="BU56" s="517"/>
      <c r="BV56" s="517"/>
      <c r="BW56" s="517"/>
      <c r="BX56" s="517"/>
      <c r="BY56" s="517"/>
      <c r="BZ56" s="517"/>
      <c r="CA56" s="517"/>
      <c r="CB56" s="517"/>
      <c r="CC56" s="517"/>
      <c r="CD56" s="517"/>
      <c r="CE56" s="517"/>
      <c r="CF56" s="517"/>
      <c r="CG56" s="517"/>
      <c r="CH56" s="517"/>
      <c r="CI56" s="517"/>
      <c r="CJ56" s="517"/>
      <c r="CK56" s="517"/>
      <c r="CL56" s="517"/>
      <c r="CM56" s="517"/>
      <c r="CN56" s="517"/>
      <c r="CO56" s="517"/>
      <c r="CP56" s="517"/>
      <c r="CQ56" s="517"/>
      <c r="CR56" s="517"/>
      <c r="CS56" s="517"/>
      <c r="CT56" s="517"/>
      <c r="CU56" s="517"/>
      <c r="CV56" s="517"/>
      <c r="CW56" s="517"/>
      <c r="CX56" s="517"/>
      <c r="CY56" s="517"/>
      <c r="CZ56" s="517"/>
      <c r="DA56" s="517"/>
      <c r="DB56" s="517"/>
      <c r="DC56" s="517"/>
      <c r="DD56" s="517"/>
      <c r="DE56" s="517"/>
      <c r="DF56" s="517"/>
      <c r="DG56" s="517"/>
      <c r="DH56" s="517"/>
      <c r="DI56" s="517"/>
      <c r="DJ56" s="517"/>
      <c r="DK56" s="517"/>
      <c r="DL56" s="517"/>
      <c r="DM56" s="517"/>
      <c r="DN56" s="517"/>
      <c r="DO56" s="517"/>
      <c r="DP56" s="517"/>
      <c r="DQ56" s="517"/>
      <c r="DR56" s="517"/>
      <c r="DS56" s="517"/>
      <c r="DT56" s="517"/>
      <c r="DU56" s="517"/>
      <c r="DV56" s="517"/>
      <c r="DW56" s="517"/>
      <c r="DX56" s="517"/>
      <c r="DY56" s="517"/>
      <c r="DZ56" s="517"/>
      <c r="EA56" s="517"/>
      <c r="EB56" s="517"/>
      <c r="EC56" s="517"/>
      <c r="ED56" s="517"/>
      <c r="EE56" s="517"/>
      <c r="EF56" s="517"/>
      <c r="EG56" s="517"/>
      <c r="EH56" s="517"/>
      <c r="EI56" s="517"/>
      <c r="EJ56" s="517"/>
      <c r="EK56" s="517"/>
      <c r="EL56" s="517"/>
      <c r="EM56" s="517"/>
      <c r="EN56" s="517"/>
      <c r="EO56" s="517"/>
      <c r="EP56" s="517"/>
      <c r="EQ56" s="517"/>
      <c r="ER56" s="517"/>
      <c r="ES56" s="627" t="s">
        <v>1140</v>
      </c>
    </row>
    <row r="57">
      <c r="A57" s="517"/>
      <c r="B57" s="517"/>
      <c r="C57" s="517"/>
      <c r="D57" s="517"/>
      <c r="E57" s="517"/>
      <c r="F57" s="517"/>
      <c r="G57" s="517"/>
      <c r="H57" s="517"/>
      <c r="I57" s="517"/>
      <c r="J57" s="517"/>
      <c r="K57" s="517"/>
      <c r="L57" s="517"/>
      <c r="M57" s="517"/>
      <c r="N57" s="517"/>
      <c r="O57" s="517"/>
      <c r="P57" s="517"/>
      <c r="Q57" s="517"/>
      <c r="R57" s="517"/>
      <c r="S57" s="517"/>
      <c r="T57" s="517"/>
      <c r="U57" s="517"/>
      <c r="V57" s="517"/>
      <c r="W57" s="517"/>
      <c r="X57" s="517"/>
      <c r="Y57" s="517"/>
      <c r="Z57" s="517"/>
      <c r="AA57" s="517"/>
      <c r="AB57" s="517"/>
      <c r="AC57" s="517"/>
      <c r="AD57" s="517"/>
      <c r="AE57" s="517"/>
      <c r="AF57" s="517"/>
      <c r="AG57" s="517"/>
      <c r="AH57" s="517"/>
      <c r="AI57" s="517"/>
      <c r="AJ57" s="517"/>
      <c r="AK57" s="517"/>
      <c r="AL57" s="517"/>
      <c r="AM57" s="517"/>
      <c r="AN57" s="517"/>
      <c r="AO57" s="517"/>
      <c r="AP57" s="517"/>
      <c r="AQ57" s="517"/>
      <c r="AR57" s="517"/>
      <c r="AS57" s="517"/>
      <c r="AT57" s="517"/>
      <c r="AU57" s="517"/>
      <c r="AV57" s="517"/>
      <c r="AW57" s="517"/>
      <c r="AX57" s="517"/>
      <c r="AY57" s="517"/>
      <c r="AZ57" s="517"/>
      <c r="BA57" s="517"/>
      <c r="BB57" s="517"/>
      <c r="BC57" s="517"/>
      <c r="BD57" s="517"/>
      <c r="BE57" s="517"/>
      <c r="BF57" s="517"/>
      <c r="BG57" s="517"/>
      <c r="BH57" s="517"/>
      <c r="BI57" s="517"/>
      <c r="BJ57" s="517"/>
      <c r="BK57" s="517"/>
      <c r="BL57" s="517"/>
      <c r="BM57" s="517"/>
      <c r="BN57" s="517"/>
      <c r="BO57" s="517"/>
      <c r="BP57" s="517"/>
      <c r="BQ57" s="517"/>
      <c r="BR57" s="517"/>
      <c r="BS57" s="517"/>
      <c r="BT57" s="517"/>
      <c r="BU57" s="517"/>
      <c r="BV57" s="517"/>
      <c r="BW57" s="517"/>
      <c r="BX57" s="517"/>
      <c r="BY57" s="517"/>
      <c r="BZ57" s="517"/>
      <c r="CA57" s="517"/>
      <c r="CB57" s="517"/>
      <c r="CC57" s="517"/>
      <c r="CD57" s="517"/>
      <c r="CE57" s="517"/>
      <c r="CF57" s="517"/>
      <c r="CG57" s="517"/>
      <c r="CH57" s="517"/>
      <c r="CI57" s="517"/>
      <c r="CJ57" s="517"/>
      <c r="CK57" s="517"/>
      <c r="CL57" s="517"/>
      <c r="CM57" s="517"/>
      <c r="CN57" s="517"/>
      <c r="CO57" s="517"/>
      <c r="CP57" s="517"/>
      <c r="CQ57" s="517"/>
      <c r="CR57" s="517"/>
      <c r="CS57" s="517"/>
      <c r="CT57" s="517"/>
      <c r="CU57" s="517"/>
      <c r="CV57" s="517"/>
      <c r="CW57" s="517"/>
      <c r="CX57" s="517"/>
      <c r="CY57" s="517"/>
      <c r="CZ57" s="517"/>
      <c r="DA57" s="517"/>
      <c r="DB57" s="517"/>
      <c r="DC57" s="517"/>
      <c r="DD57" s="517"/>
      <c r="DE57" s="517"/>
      <c r="DF57" s="517"/>
      <c r="DG57" s="517"/>
      <c r="DH57" s="517"/>
      <c r="DI57" s="517"/>
      <c r="DJ57" s="517"/>
      <c r="DK57" s="517"/>
      <c r="DL57" s="517"/>
      <c r="DM57" s="517"/>
      <c r="DN57" s="517"/>
      <c r="DO57" s="517"/>
      <c r="DP57" s="517"/>
      <c r="DQ57" s="517"/>
      <c r="DR57" s="517"/>
      <c r="DS57" s="517"/>
      <c r="DT57" s="517"/>
      <c r="DU57" s="517"/>
      <c r="DV57" s="517"/>
      <c r="DW57" s="517"/>
      <c r="DX57" s="517"/>
      <c r="DY57" s="517"/>
      <c r="DZ57" s="517"/>
      <c r="EA57" s="517"/>
      <c r="EB57" s="517"/>
      <c r="EC57" s="517"/>
      <c r="ED57" s="517"/>
      <c r="EE57" s="517"/>
      <c r="EF57" s="517"/>
      <c r="EG57" s="517"/>
      <c r="EH57" s="517"/>
      <c r="EI57" s="517"/>
      <c r="EJ57" s="517"/>
      <c r="EK57" s="517"/>
      <c r="EL57" s="517"/>
      <c r="EM57" s="517"/>
      <c r="EN57" s="517"/>
      <c r="EO57" s="517"/>
      <c r="EP57" s="517"/>
      <c r="EQ57" s="517"/>
      <c r="ER57" s="517"/>
      <c r="ES57" s="627" t="s">
        <v>1140</v>
      </c>
    </row>
    <row r="58">
      <c r="A58" s="517"/>
      <c r="B58" s="517"/>
      <c r="C58" s="517"/>
      <c r="D58" s="517"/>
      <c r="E58" s="517"/>
      <c r="F58" s="517"/>
      <c r="G58" s="517"/>
      <c r="H58" s="517"/>
      <c r="I58" s="517"/>
      <c r="J58" s="517"/>
      <c r="K58" s="517"/>
      <c r="L58" s="517"/>
      <c r="M58" s="517"/>
      <c r="N58" s="517"/>
      <c r="O58" s="517"/>
      <c r="P58" s="517"/>
      <c r="Q58" s="517"/>
      <c r="R58" s="517"/>
      <c r="S58" s="517"/>
      <c r="T58" s="517"/>
      <c r="U58" s="517"/>
      <c r="V58" s="517"/>
      <c r="W58" s="517"/>
      <c r="X58" s="517"/>
      <c r="Y58" s="517"/>
      <c r="Z58" s="517"/>
      <c r="AA58" s="517"/>
      <c r="AB58" s="517"/>
      <c r="AC58" s="517"/>
      <c r="AD58" s="517"/>
      <c r="AE58" s="517"/>
      <c r="AF58" s="517"/>
      <c r="AG58" s="517"/>
      <c r="AH58" s="517"/>
      <c r="AI58" s="517"/>
      <c r="AJ58" s="517"/>
      <c r="AK58" s="517"/>
      <c r="AL58" s="517"/>
      <c r="AM58" s="517"/>
      <c r="AN58" s="517"/>
      <c r="AO58" s="517"/>
      <c r="AP58" s="517"/>
      <c r="AQ58" s="517"/>
      <c r="AR58" s="517"/>
      <c r="AS58" s="517"/>
      <c r="AT58" s="517"/>
      <c r="AU58" s="517"/>
      <c r="AV58" s="517"/>
      <c r="AW58" s="517"/>
      <c r="AX58" s="517"/>
      <c r="AY58" s="517"/>
      <c r="AZ58" s="517"/>
      <c r="BA58" s="517"/>
      <c r="BB58" s="517"/>
      <c r="BC58" s="517"/>
      <c r="BD58" s="517"/>
      <c r="BE58" s="517"/>
      <c r="BF58" s="517"/>
      <c r="BG58" s="517"/>
      <c r="BH58" s="517"/>
      <c r="BI58" s="517"/>
      <c r="BJ58" s="517"/>
      <c r="BK58" s="517"/>
      <c r="BL58" s="517"/>
      <c r="BM58" s="517"/>
      <c r="BN58" s="517"/>
      <c r="BO58" s="517"/>
      <c r="BP58" s="517"/>
      <c r="BQ58" s="517"/>
      <c r="BR58" s="517"/>
      <c r="BS58" s="517"/>
      <c r="BT58" s="517"/>
      <c r="BU58" s="517"/>
      <c r="BV58" s="517"/>
      <c r="BW58" s="517"/>
      <c r="BX58" s="517"/>
      <c r="BY58" s="517"/>
      <c r="BZ58" s="517"/>
      <c r="CA58" s="517"/>
      <c r="CB58" s="517"/>
      <c r="CC58" s="517"/>
      <c r="CD58" s="517"/>
      <c r="CE58" s="517"/>
      <c r="CF58" s="517"/>
      <c r="CG58" s="517"/>
      <c r="CH58" s="517"/>
      <c r="CI58" s="517"/>
      <c r="CJ58" s="517"/>
      <c r="CK58" s="517"/>
      <c r="CL58" s="517"/>
      <c r="CM58" s="517"/>
      <c r="CN58" s="517"/>
      <c r="CO58" s="517"/>
      <c r="CP58" s="517"/>
      <c r="CQ58" s="517"/>
      <c r="CR58" s="517"/>
      <c r="CS58" s="517"/>
      <c r="CT58" s="517"/>
      <c r="CU58" s="517"/>
      <c r="CV58" s="517"/>
      <c r="CW58" s="517"/>
      <c r="CX58" s="517"/>
      <c r="CY58" s="517"/>
      <c r="CZ58" s="517"/>
      <c r="DA58" s="517"/>
      <c r="DB58" s="517"/>
      <c r="DC58" s="517"/>
      <c r="DD58" s="517"/>
      <c r="DE58" s="517"/>
      <c r="DF58" s="517"/>
      <c r="DG58" s="517"/>
      <c r="DH58" s="517"/>
      <c r="DI58" s="517"/>
      <c r="DJ58" s="517"/>
      <c r="DK58" s="517"/>
      <c r="DL58" s="517"/>
      <c r="DM58" s="517"/>
      <c r="DN58" s="517"/>
      <c r="DO58" s="517"/>
      <c r="DP58" s="517"/>
      <c r="DQ58" s="517"/>
      <c r="DR58" s="517"/>
      <c r="DS58" s="517"/>
      <c r="DT58" s="517"/>
      <c r="DU58" s="517"/>
      <c r="DV58" s="517"/>
      <c r="DW58" s="517"/>
      <c r="DX58" s="517"/>
      <c r="DY58" s="517"/>
      <c r="DZ58" s="517"/>
      <c r="EA58" s="517"/>
      <c r="EB58" s="517"/>
      <c r="EC58" s="517"/>
      <c r="ED58" s="517"/>
      <c r="EE58" s="517"/>
      <c r="EF58" s="517"/>
      <c r="EG58" s="517"/>
      <c r="EH58" s="517"/>
      <c r="EI58" s="517"/>
      <c r="EJ58" s="517"/>
      <c r="EK58" s="517"/>
      <c r="EL58" s="517"/>
      <c r="EM58" s="517"/>
      <c r="EN58" s="517"/>
      <c r="EO58" s="517"/>
      <c r="EP58" s="517"/>
      <c r="EQ58" s="517"/>
      <c r="ER58" s="517"/>
      <c r="ES58" s="627" t="s">
        <v>1140</v>
      </c>
    </row>
    <row r="59">
      <c r="A59" s="517"/>
      <c r="B59" s="517"/>
      <c r="C59" s="517"/>
      <c r="D59" s="517"/>
      <c r="E59" s="517"/>
      <c r="F59" s="517"/>
      <c r="G59" s="517"/>
      <c r="H59" s="517"/>
      <c r="I59" s="517"/>
      <c r="J59" s="517"/>
      <c r="K59" s="517"/>
      <c r="L59" s="517"/>
      <c r="M59" s="517"/>
      <c r="N59" s="517"/>
      <c r="O59" s="517"/>
      <c r="P59" s="517"/>
      <c r="Q59" s="517"/>
      <c r="R59" s="517"/>
      <c r="S59" s="517"/>
      <c r="T59" s="517"/>
      <c r="U59" s="517"/>
      <c r="V59" s="517"/>
      <c r="W59" s="517"/>
      <c r="X59" s="517"/>
      <c r="Y59" s="517"/>
      <c r="Z59" s="517"/>
      <c r="AA59" s="517"/>
      <c r="AB59" s="517"/>
      <c r="AC59" s="517"/>
      <c r="AD59" s="517"/>
      <c r="AE59" s="517"/>
      <c r="AF59" s="517"/>
      <c r="AG59" s="517"/>
      <c r="AH59" s="517"/>
      <c r="AI59" s="517"/>
      <c r="AJ59" s="517"/>
      <c r="AK59" s="517"/>
      <c r="AL59" s="517"/>
      <c r="AM59" s="517"/>
      <c r="AN59" s="517"/>
      <c r="AO59" s="517"/>
      <c r="AP59" s="517"/>
      <c r="AQ59" s="517"/>
      <c r="AR59" s="517"/>
      <c r="AS59" s="517"/>
      <c r="AT59" s="517"/>
      <c r="AU59" s="517"/>
      <c r="AV59" s="517"/>
      <c r="AW59" s="517"/>
      <c r="AX59" s="517"/>
      <c r="AY59" s="517"/>
      <c r="AZ59" s="517"/>
      <c r="BA59" s="517"/>
      <c r="BB59" s="517"/>
      <c r="BC59" s="517"/>
      <c r="BD59" s="517"/>
      <c r="BE59" s="517"/>
      <c r="BF59" s="517"/>
      <c r="BG59" s="517"/>
      <c r="BH59" s="517"/>
      <c r="BI59" s="517"/>
      <c r="BJ59" s="517"/>
      <c r="BK59" s="517"/>
      <c r="BL59" s="517"/>
      <c r="BM59" s="517"/>
      <c r="BN59" s="517"/>
      <c r="BO59" s="517"/>
      <c r="BP59" s="517"/>
      <c r="BQ59" s="517"/>
      <c r="BR59" s="517"/>
      <c r="BS59" s="517"/>
      <c r="BT59" s="517"/>
      <c r="BU59" s="517"/>
      <c r="BV59" s="517"/>
      <c r="BW59" s="517"/>
      <c r="BX59" s="517"/>
      <c r="BY59" s="517"/>
      <c r="BZ59" s="517"/>
      <c r="CA59" s="517"/>
      <c r="CB59" s="517"/>
      <c r="CC59" s="517"/>
      <c r="CD59" s="517"/>
      <c r="CE59" s="517"/>
      <c r="CF59" s="517"/>
      <c r="CG59" s="517"/>
      <c r="CH59" s="517"/>
      <c r="CI59" s="517"/>
      <c r="CJ59" s="517"/>
      <c r="CK59" s="517"/>
      <c r="CL59" s="517"/>
      <c r="CM59" s="517"/>
      <c r="CN59" s="517"/>
      <c r="CO59" s="517"/>
      <c r="CP59" s="517"/>
      <c r="CQ59" s="517"/>
      <c r="CR59" s="517"/>
      <c r="CS59" s="517"/>
      <c r="CT59" s="517"/>
      <c r="CU59" s="517"/>
      <c r="CV59" s="517"/>
      <c r="CW59" s="517"/>
      <c r="CX59" s="517"/>
      <c r="CY59" s="517"/>
      <c r="CZ59" s="517"/>
      <c r="DA59" s="517"/>
      <c r="DB59" s="517"/>
      <c r="DC59" s="517"/>
      <c r="DD59" s="517"/>
      <c r="DE59" s="517"/>
      <c r="DF59" s="517"/>
      <c r="DG59" s="517"/>
      <c r="DH59" s="517"/>
      <c r="DI59" s="517"/>
      <c r="DJ59" s="517"/>
      <c r="DK59" s="517"/>
      <c r="DL59" s="517"/>
      <c r="DM59" s="517"/>
      <c r="DN59" s="517"/>
      <c r="DO59" s="517"/>
      <c r="DP59" s="517"/>
      <c r="DQ59" s="517"/>
      <c r="DR59" s="517"/>
      <c r="DS59" s="517"/>
      <c r="DT59" s="517"/>
      <c r="DU59" s="517"/>
      <c r="DV59" s="517"/>
      <c r="DW59" s="517"/>
      <c r="DX59" s="517"/>
      <c r="DY59" s="517"/>
      <c r="DZ59" s="517"/>
      <c r="EA59" s="517"/>
      <c r="EB59" s="517"/>
      <c r="EC59" s="517"/>
      <c r="ED59" s="517"/>
      <c r="EE59" s="517"/>
      <c r="EF59" s="517"/>
      <c r="EG59" s="517"/>
      <c r="EH59" s="517"/>
      <c r="EI59" s="517"/>
      <c r="EJ59" s="517"/>
      <c r="EK59" s="517"/>
      <c r="EL59" s="517"/>
      <c r="EM59" s="517"/>
      <c r="EN59" s="517"/>
      <c r="EO59" s="517"/>
      <c r="EP59" s="517"/>
      <c r="EQ59" s="517"/>
      <c r="ER59" s="517"/>
      <c r="ES59" s="627" t="s">
        <v>1140</v>
      </c>
    </row>
    <row r="60">
      <c r="A60" s="517"/>
      <c r="B60" s="517"/>
      <c r="C60" s="517"/>
      <c r="D60" s="517"/>
      <c r="E60" s="517"/>
      <c r="F60" s="517"/>
      <c r="G60" s="517"/>
      <c r="H60" s="517"/>
      <c r="I60" s="517"/>
      <c r="J60" s="517"/>
      <c r="K60" s="517"/>
      <c r="L60" s="517"/>
      <c r="M60" s="517"/>
      <c r="N60" s="517"/>
      <c r="O60" s="517"/>
      <c r="P60" s="517"/>
      <c r="Q60" s="517"/>
      <c r="R60" s="517"/>
      <c r="S60" s="517"/>
      <c r="T60" s="517"/>
      <c r="U60" s="517"/>
      <c r="V60" s="517"/>
      <c r="W60" s="517"/>
      <c r="X60" s="517"/>
      <c r="Y60" s="517"/>
      <c r="Z60" s="517"/>
      <c r="AA60" s="517"/>
      <c r="AB60" s="517"/>
      <c r="AC60" s="517"/>
      <c r="AD60" s="517"/>
      <c r="AE60" s="517"/>
      <c r="AF60" s="517"/>
      <c r="AG60" s="517"/>
      <c r="AH60" s="517"/>
      <c r="AI60" s="517"/>
      <c r="AJ60" s="517"/>
      <c r="AK60" s="517"/>
      <c r="AL60" s="517"/>
      <c r="AM60" s="517"/>
      <c r="AN60" s="517"/>
      <c r="AO60" s="517"/>
      <c r="AP60" s="517"/>
      <c r="AQ60" s="517"/>
      <c r="AR60" s="517"/>
      <c r="AS60" s="517"/>
      <c r="AT60" s="517"/>
      <c r="AU60" s="517"/>
      <c r="AV60" s="517"/>
      <c r="AW60" s="517"/>
      <c r="AX60" s="517"/>
      <c r="AY60" s="517"/>
      <c r="AZ60" s="517"/>
      <c r="BA60" s="517"/>
      <c r="BB60" s="517"/>
      <c r="BC60" s="517"/>
      <c r="BD60" s="517"/>
      <c r="BE60" s="517"/>
      <c r="BF60" s="517"/>
      <c r="BG60" s="517"/>
      <c r="BH60" s="517"/>
      <c r="BI60" s="517"/>
      <c r="BJ60" s="517"/>
      <c r="BK60" s="517"/>
      <c r="BL60" s="517"/>
      <c r="BM60" s="517"/>
      <c r="BN60" s="517"/>
      <c r="BO60" s="517"/>
      <c r="BP60" s="517"/>
      <c r="BQ60" s="517"/>
      <c r="BR60" s="517"/>
      <c r="BS60" s="517"/>
      <c r="BT60" s="517"/>
      <c r="BU60" s="517"/>
      <c r="BV60" s="517"/>
      <c r="BW60" s="517"/>
      <c r="BX60" s="517"/>
      <c r="BY60" s="517"/>
      <c r="BZ60" s="517"/>
      <c r="CA60" s="517"/>
      <c r="CB60" s="517"/>
      <c r="CC60" s="517"/>
      <c r="CD60" s="517"/>
      <c r="CE60" s="517"/>
      <c r="CF60" s="517"/>
      <c r="CG60" s="517"/>
      <c r="CH60" s="517"/>
      <c r="CI60" s="517"/>
      <c r="CJ60" s="517"/>
      <c r="CK60" s="517"/>
      <c r="CL60" s="517"/>
      <c r="CM60" s="517"/>
      <c r="CN60" s="517"/>
      <c r="CO60" s="517"/>
      <c r="CP60" s="517"/>
      <c r="CQ60" s="517"/>
      <c r="CR60" s="517"/>
      <c r="CS60" s="517"/>
      <c r="CT60" s="517"/>
      <c r="CU60" s="517"/>
      <c r="CV60" s="517"/>
      <c r="CW60" s="517"/>
      <c r="CX60" s="517"/>
      <c r="CY60" s="517"/>
      <c r="CZ60" s="517"/>
      <c r="DA60" s="517"/>
      <c r="DB60" s="517"/>
      <c r="DC60" s="517"/>
      <c r="DD60" s="517"/>
      <c r="DE60" s="517"/>
      <c r="DF60" s="517"/>
      <c r="DG60" s="517"/>
      <c r="DH60" s="517"/>
      <c r="DI60" s="517"/>
      <c r="DJ60" s="517"/>
      <c r="DK60" s="517"/>
      <c r="DL60" s="517"/>
      <c r="DM60" s="517"/>
      <c r="DN60" s="517"/>
      <c r="DO60" s="517"/>
      <c r="DP60" s="517"/>
      <c r="DQ60" s="517"/>
      <c r="DR60" s="517"/>
      <c r="DS60" s="517"/>
      <c r="DT60" s="517"/>
      <c r="DU60" s="517"/>
      <c r="DV60" s="517"/>
      <c r="DW60" s="517"/>
      <c r="DX60" s="517"/>
      <c r="DY60" s="517"/>
      <c r="DZ60" s="517"/>
      <c r="EA60" s="517"/>
      <c r="EB60" s="517"/>
      <c r="EC60" s="517"/>
      <c r="ED60" s="517"/>
      <c r="EE60" s="517"/>
      <c r="EF60" s="517"/>
      <c r="EG60" s="517"/>
      <c r="EH60" s="517"/>
      <c r="EI60" s="517"/>
      <c r="EJ60" s="517"/>
      <c r="EK60" s="517"/>
      <c r="EL60" s="517"/>
      <c r="EM60" s="517"/>
      <c r="EN60" s="517"/>
      <c r="EO60" s="517"/>
      <c r="EP60" s="517"/>
      <c r="EQ60" s="517"/>
      <c r="ER60" s="517"/>
      <c r="ES60" s="627" t="s">
        <v>1140</v>
      </c>
    </row>
    <row r="61">
      <c r="A61" s="517"/>
      <c r="B61" s="517"/>
      <c r="C61" s="517"/>
      <c r="D61" s="517"/>
      <c r="E61" s="517"/>
      <c r="F61" s="517"/>
      <c r="G61" s="517"/>
      <c r="H61" s="517"/>
      <c r="I61" s="517"/>
      <c r="J61" s="517"/>
      <c r="K61" s="517"/>
      <c r="L61" s="517"/>
      <c r="M61" s="517"/>
      <c r="N61" s="517"/>
      <c r="O61" s="517"/>
      <c r="P61" s="517"/>
      <c r="Q61" s="517"/>
      <c r="R61" s="517"/>
      <c r="S61" s="517"/>
      <c r="T61" s="517"/>
      <c r="U61" s="517"/>
      <c r="V61" s="517"/>
      <c r="W61" s="517"/>
      <c r="X61" s="517"/>
      <c r="Y61" s="517"/>
      <c r="Z61" s="517"/>
      <c r="AA61" s="517"/>
      <c r="AB61" s="517"/>
      <c r="AC61" s="517"/>
      <c r="AD61" s="517"/>
      <c r="AE61" s="517"/>
      <c r="AF61" s="517"/>
      <c r="AG61" s="517"/>
      <c r="AH61" s="517"/>
      <c r="AI61" s="517"/>
      <c r="AJ61" s="517"/>
      <c r="AK61" s="517"/>
      <c r="AL61" s="517"/>
      <c r="AM61" s="517"/>
      <c r="AN61" s="517"/>
      <c r="AO61" s="517"/>
      <c r="AP61" s="517"/>
      <c r="AQ61" s="517"/>
      <c r="AR61" s="517"/>
      <c r="AS61" s="517"/>
      <c r="AT61" s="517"/>
      <c r="AU61" s="517"/>
      <c r="AV61" s="517"/>
      <c r="AW61" s="517"/>
      <c r="AX61" s="517"/>
      <c r="AY61" s="517"/>
      <c r="AZ61" s="517"/>
      <c r="BA61" s="517"/>
      <c r="BB61" s="517"/>
      <c r="BC61" s="517"/>
      <c r="BD61" s="517"/>
      <c r="BE61" s="517"/>
      <c r="BF61" s="517"/>
      <c r="BG61" s="517"/>
      <c r="BH61" s="517"/>
      <c r="BI61" s="517"/>
      <c r="BJ61" s="517"/>
      <c r="BK61" s="517"/>
      <c r="BL61" s="517"/>
      <c r="BM61" s="517"/>
      <c r="BN61" s="517"/>
      <c r="BO61" s="517"/>
      <c r="BP61" s="517"/>
      <c r="BQ61" s="517"/>
      <c r="BR61" s="517"/>
      <c r="BS61" s="517"/>
      <c r="BT61" s="517"/>
      <c r="BU61" s="517"/>
      <c r="BV61" s="517"/>
      <c r="BW61" s="517"/>
      <c r="BX61" s="517"/>
      <c r="BY61" s="517"/>
      <c r="BZ61" s="517"/>
      <c r="CA61" s="517"/>
      <c r="CB61" s="517"/>
      <c r="CC61" s="517"/>
      <c r="CD61" s="517"/>
      <c r="CE61" s="517"/>
      <c r="CF61" s="517"/>
      <c r="CG61" s="517"/>
      <c r="CH61" s="517"/>
      <c r="CI61" s="517"/>
      <c r="CJ61" s="517"/>
      <c r="CK61" s="517"/>
      <c r="CL61" s="517"/>
      <c r="CM61" s="517"/>
      <c r="CN61" s="517"/>
      <c r="CO61" s="517"/>
      <c r="CP61" s="517"/>
      <c r="CQ61" s="517"/>
      <c r="CR61" s="517"/>
      <c r="CS61" s="517"/>
      <c r="CT61" s="517"/>
      <c r="CU61" s="517"/>
      <c r="CV61" s="517"/>
      <c r="CW61" s="517"/>
      <c r="CX61" s="517"/>
      <c r="CY61" s="517"/>
      <c r="CZ61" s="517"/>
      <c r="DA61" s="517"/>
      <c r="DB61" s="517"/>
      <c r="DC61" s="517"/>
      <c r="DD61" s="517"/>
      <c r="DE61" s="517"/>
      <c r="DF61" s="517"/>
      <c r="DG61" s="517"/>
      <c r="DH61" s="517"/>
      <c r="DI61" s="517"/>
      <c r="DJ61" s="517"/>
      <c r="DK61" s="517"/>
      <c r="DL61" s="517"/>
      <c r="DM61" s="517"/>
      <c r="DN61" s="517"/>
      <c r="DO61" s="517"/>
      <c r="DP61" s="517"/>
      <c r="DQ61" s="517"/>
      <c r="DR61" s="517"/>
      <c r="DS61" s="517"/>
      <c r="DT61" s="517"/>
      <c r="DU61" s="517"/>
      <c r="DV61" s="517"/>
      <c r="DW61" s="517"/>
      <c r="DX61" s="517"/>
      <c r="DY61" s="517"/>
      <c r="DZ61" s="517"/>
      <c r="EA61" s="517"/>
      <c r="EB61" s="517"/>
      <c r="EC61" s="517"/>
      <c r="ED61" s="517"/>
      <c r="EE61" s="517"/>
      <c r="EF61" s="517"/>
      <c r="EG61" s="517"/>
      <c r="EH61" s="517"/>
      <c r="EI61" s="517"/>
      <c r="EJ61" s="517"/>
      <c r="EK61" s="517"/>
      <c r="EL61" s="517"/>
      <c r="EM61" s="517"/>
      <c r="EN61" s="517"/>
      <c r="EO61" s="517"/>
      <c r="EP61" s="517"/>
      <c r="EQ61" s="517"/>
      <c r="ER61" s="517"/>
      <c r="ES61" s="627" t="s">
        <v>1140</v>
      </c>
    </row>
    <row r="62">
      <c r="A62" s="517"/>
      <c r="B62" s="517"/>
      <c r="C62" s="517"/>
      <c r="D62" s="517"/>
      <c r="E62" s="517"/>
      <c r="F62" s="517"/>
      <c r="G62" s="517"/>
      <c r="H62" s="517"/>
      <c r="I62" s="517"/>
      <c r="J62" s="517"/>
      <c r="K62" s="517"/>
      <c r="L62" s="517"/>
      <c r="M62" s="517"/>
      <c r="N62" s="517"/>
      <c r="O62" s="517"/>
      <c r="P62" s="517"/>
      <c r="Q62" s="517"/>
      <c r="R62" s="517"/>
      <c r="S62" s="517"/>
      <c r="T62" s="517"/>
      <c r="U62" s="517"/>
      <c r="V62" s="517"/>
      <c r="W62" s="517"/>
      <c r="X62" s="517"/>
      <c r="Y62" s="517"/>
      <c r="Z62" s="517"/>
      <c r="AA62" s="517"/>
      <c r="AB62" s="517"/>
      <c r="AC62" s="517"/>
      <c r="AD62" s="517"/>
      <c r="AE62" s="517"/>
      <c r="AF62" s="517"/>
      <c r="AG62" s="517"/>
      <c r="AH62" s="517"/>
      <c r="AI62" s="517"/>
      <c r="AJ62" s="517"/>
      <c r="AK62" s="517"/>
      <c r="AL62" s="517"/>
      <c r="AM62" s="517"/>
      <c r="AN62" s="517"/>
      <c r="AO62" s="517"/>
      <c r="AP62" s="517"/>
      <c r="AQ62" s="517"/>
      <c r="AR62" s="517"/>
      <c r="AS62" s="517"/>
      <c r="AT62" s="517"/>
      <c r="AU62" s="517"/>
      <c r="AV62" s="517"/>
      <c r="AW62" s="517"/>
      <c r="AX62" s="517"/>
      <c r="AY62" s="517"/>
      <c r="AZ62" s="517"/>
      <c r="BA62" s="517"/>
      <c r="BB62" s="517"/>
      <c r="BC62" s="517"/>
      <c r="BD62" s="517"/>
      <c r="BE62" s="517"/>
      <c r="BF62" s="517"/>
      <c r="BG62" s="517"/>
      <c r="BH62" s="517"/>
      <c r="BI62" s="517"/>
      <c r="BJ62" s="517"/>
      <c r="BK62" s="517"/>
      <c r="BL62" s="517"/>
      <c r="BM62" s="517"/>
      <c r="BN62" s="517"/>
      <c r="BO62" s="517"/>
      <c r="BP62" s="517"/>
      <c r="BQ62" s="517"/>
      <c r="BR62" s="517"/>
      <c r="BS62" s="517"/>
      <c r="BT62" s="517"/>
      <c r="BU62" s="517"/>
      <c r="BV62" s="517"/>
      <c r="BW62" s="517"/>
      <c r="BX62" s="517"/>
      <c r="BY62" s="517"/>
      <c r="BZ62" s="517"/>
      <c r="CA62" s="517"/>
      <c r="CB62" s="517"/>
      <c r="CC62" s="517"/>
      <c r="CD62" s="517"/>
      <c r="CE62" s="517"/>
      <c r="CF62" s="517"/>
      <c r="CG62" s="517"/>
      <c r="CH62" s="517"/>
      <c r="CI62" s="517"/>
      <c r="CJ62" s="517"/>
      <c r="CK62" s="517"/>
      <c r="CL62" s="517"/>
      <c r="CM62" s="517"/>
      <c r="CN62" s="517"/>
      <c r="CO62" s="517"/>
      <c r="CP62" s="517"/>
      <c r="CQ62" s="517"/>
      <c r="CR62" s="517"/>
      <c r="CS62" s="517"/>
      <c r="CT62" s="517"/>
      <c r="CU62" s="517"/>
      <c r="CV62" s="517"/>
      <c r="CW62" s="517"/>
      <c r="CX62" s="517"/>
      <c r="CY62" s="517"/>
      <c r="CZ62" s="517"/>
      <c r="DA62" s="517"/>
      <c r="DB62" s="517"/>
      <c r="DC62" s="517"/>
      <c r="DD62" s="517"/>
      <c r="DE62" s="517"/>
      <c r="DF62" s="517"/>
      <c r="DG62" s="517"/>
      <c r="DH62" s="517"/>
      <c r="DI62" s="517"/>
      <c r="DJ62" s="517"/>
      <c r="DK62" s="517"/>
      <c r="DL62" s="517"/>
      <c r="DM62" s="517"/>
      <c r="DN62" s="517"/>
      <c r="DO62" s="517"/>
      <c r="DP62" s="517"/>
      <c r="DQ62" s="517"/>
      <c r="DR62" s="517"/>
      <c r="DS62" s="517"/>
      <c r="DT62" s="517"/>
      <c r="DU62" s="517"/>
      <c r="DV62" s="517"/>
      <c r="DW62" s="517"/>
      <c r="DX62" s="517"/>
      <c r="DY62" s="517"/>
      <c r="DZ62" s="517"/>
      <c r="EA62" s="517"/>
      <c r="EB62" s="517"/>
      <c r="EC62" s="517"/>
      <c r="ED62" s="517"/>
      <c r="EE62" s="517"/>
      <c r="EF62" s="517"/>
      <c r="EG62" s="517"/>
      <c r="EH62" s="517"/>
      <c r="EI62" s="517"/>
      <c r="EJ62" s="517"/>
      <c r="EK62" s="517"/>
      <c r="EL62" s="517"/>
      <c r="EM62" s="517"/>
      <c r="EN62" s="517"/>
      <c r="EO62" s="517"/>
      <c r="EP62" s="517"/>
      <c r="EQ62" s="517"/>
      <c r="ER62" s="517"/>
      <c r="ES62" s="627" t="s">
        <v>1140</v>
      </c>
    </row>
    <row r="63">
      <c r="A63" s="517"/>
      <c r="B63" s="517"/>
      <c r="C63" s="517"/>
      <c r="D63" s="517"/>
      <c r="E63" s="517"/>
      <c r="F63" s="517"/>
      <c r="G63" s="517"/>
      <c r="H63" s="517"/>
      <c r="I63" s="517"/>
      <c r="J63" s="517"/>
      <c r="K63" s="517"/>
      <c r="L63" s="517"/>
      <c r="M63" s="517"/>
      <c r="N63" s="517"/>
      <c r="O63" s="517"/>
      <c r="P63" s="517"/>
      <c r="Q63" s="517"/>
      <c r="R63" s="517"/>
      <c r="S63" s="517"/>
      <c r="T63" s="517"/>
      <c r="U63" s="517"/>
      <c r="V63" s="517"/>
      <c r="W63" s="517"/>
      <c r="X63" s="517"/>
      <c r="Y63" s="517"/>
      <c r="Z63" s="517"/>
      <c r="AA63" s="517"/>
      <c r="AB63" s="517"/>
      <c r="AC63" s="517"/>
      <c r="AD63" s="517"/>
      <c r="AE63" s="517"/>
      <c r="AF63" s="517"/>
      <c r="AG63" s="517"/>
      <c r="AH63" s="517"/>
      <c r="AI63" s="517"/>
      <c r="AJ63" s="517"/>
      <c r="AK63" s="517"/>
      <c r="AL63" s="517"/>
      <c r="AM63" s="517"/>
      <c r="AN63" s="517"/>
      <c r="AO63" s="517"/>
      <c r="AP63" s="517"/>
      <c r="AQ63" s="517"/>
      <c r="AR63" s="517"/>
      <c r="AS63" s="517"/>
      <c r="AT63" s="517"/>
      <c r="AU63" s="517"/>
      <c r="AV63" s="517"/>
      <c r="AW63" s="517"/>
      <c r="AX63" s="517"/>
      <c r="AY63" s="517"/>
      <c r="AZ63" s="517"/>
      <c r="BA63" s="517"/>
      <c r="BB63" s="517"/>
      <c r="BC63" s="517"/>
      <c r="BD63" s="517"/>
      <c r="BE63" s="517"/>
      <c r="BF63" s="517"/>
      <c r="BG63" s="517"/>
      <c r="BH63" s="517"/>
      <c r="BI63" s="517"/>
      <c r="BJ63" s="517"/>
      <c r="BK63" s="517"/>
      <c r="BL63" s="517"/>
      <c r="BM63" s="517"/>
      <c r="BN63" s="517"/>
      <c r="BO63" s="517"/>
      <c r="BP63" s="517"/>
      <c r="BQ63" s="517"/>
      <c r="BR63" s="517"/>
      <c r="BS63" s="517"/>
      <c r="BT63" s="517"/>
      <c r="BU63" s="517"/>
      <c r="BV63" s="517"/>
      <c r="BW63" s="517"/>
      <c r="BX63" s="517"/>
      <c r="BY63" s="517"/>
      <c r="BZ63" s="517"/>
      <c r="CA63" s="517"/>
      <c r="CB63" s="517"/>
      <c r="CC63" s="517"/>
      <c r="CD63" s="517"/>
      <c r="CE63" s="517"/>
      <c r="CF63" s="517"/>
      <c r="CG63" s="517"/>
      <c r="CH63" s="517"/>
      <c r="CI63" s="517"/>
      <c r="CJ63" s="517"/>
      <c r="CK63" s="517"/>
      <c r="CL63" s="517"/>
      <c r="CM63" s="517"/>
      <c r="CN63" s="517"/>
      <c r="CO63" s="517"/>
      <c r="CP63" s="517"/>
      <c r="CQ63" s="517"/>
      <c r="CR63" s="517"/>
      <c r="CS63" s="517"/>
      <c r="CT63" s="517"/>
      <c r="CU63" s="517"/>
      <c r="CV63" s="517"/>
      <c r="CW63" s="517"/>
      <c r="CX63" s="517"/>
      <c r="CY63" s="517"/>
      <c r="CZ63" s="517"/>
      <c r="DA63" s="517"/>
      <c r="DB63" s="517"/>
      <c r="DC63" s="517"/>
      <c r="DD63" s="517"/>
      <c r="DE63" s="517"/>
      <c r="DF63" s="517"/>
      <c r="DG63" s="517"/>
      <c r="DH63" s="517"/>
      <c r="DI63" s="517"/>
      <c r="DJ63" s="517"/>
      <c r="DK63" s="517"/>
      <c r="DL63" s="517"/>
      <c r="DM63" s="517"/>
      <c r="DN63" s="517"/>
      <c r="DO63" s="517"/>
      <c r="DP63" s="517"/>
      <c r="DQ63" s="517"/>
      <c r="DR63" s="517"/>
      <c r="DS63" s="517"/>
      <c r="DT63" s="517"/>
      <c r="DU63" s="517"/>
      <c r="DV63" s="517"/>
      <c r="DW63" s="517"/>
      <c r="DX63" s="517"/>
      <c r="DY63" s="517"/>
      <c r="DZ63" s="517"/>
      <c r="EA63" s="517"/>
      <c r="EB63" s="517"/>
      <c r="EC63" s="517"/>
      <c r="ED63" s="517"/>
      <c r="EE63" s="517"/>
      <c r="EF63" s="517"/>
      <c r="EG63" s="517"/>
      <c r="EH63" s="517"/>
      <c r="EI63" s="517"/>
      <c r="EJ63" s="517"/>
      <c r="EK63" s="517"/>
      <c r="EL63" s="517"/>
      <c r="EM63" s="517"/>
      <c r="EN63" s="517"/>
      <c r="EO63" s="517"/>
      <c r="EP63" s="517"/>
      <c r="EQ63" s="517"/>
      <c r="ER63" s="517"/>
      <c r="ES63" s="627" t="s">
        <v>1140</v>
      </c>
    </row>
    <row r="64">
      <c r="A64" s="517"/>
      <c r="B64" s="517"/>
      <c r="C64" s="517"/>
      <c r="D64" s="517"/>
      <c r="E64" s="517"/>
      <c r="F64" s="517"/>
      <c r="G64" s="517"/>
      <c r="H64" s="517"/>
      <c r="I64" s="517"/>
      <c r="J64" s="517"/>
      <c r="K64" s="517"/>
      <c r="L64" s="517"/>
      <c r="M64" s="517"/>
      <c r="N64" s="517"/>
      <c r="O64" s="517"/>
      <c r="P64" s="517"/>
      <c r="Q64" s="517"/>
      <c r="R64" s="517"/>
      <c r="S64" s="517"/>
      <c r="T64" s="517"/>
      <c r="U64" s="517"/>
      <c r="V64" s="517"/>
      <c r="W64" s="517"/>
      <c r="X64" s="517"/>
      <c r="Y64" s="517"/>
      <c r="Z64" s="517"/>
      <c r="AA64" s="517"/>
      <c r="AB64" s="517"/>
      <c r="AC64" s="517"/>
      <c r="AD64" s="517"/>
      <c r="AE64" s="517"/>
      <c r="AF64" s="517"/>
      <c r="AG64" s="517"/>
      <c r="AH64" s="517"/>
      <c r="AI64" s="517"/>
      <c r="AJ64" s="517"/>
      <c r="AK64" s="517"/>
      <c r="AL64" s="517"/>
      <c r="AM64" s="517"/>
      <c r="AN64" s="517"/>
      <c r="AO64" s="517"/>
      <c r="AP64" s="517"/>
      <c r="AQ64" s="517"/>
      <c r="AR64" s="517"/>
      <c r="AS64" s="517"/>
      <c r="AT64" s="517"/>
      <c r="AU64" s="517"/>
      <c r="AV64" s="517"/>
      <c r="AW64" s="517"/>
      <c r="AX64" s="517"/>
      <c r="AY64" s="517"/>
      <c r="AZ64" s="517"/>
      <c r="BA64" s="517"/>
      <c r="BB64" s="517"/>
      <c r="BC64" s="517"/>
      <c r="BD64" s="517"/>
      <c r="BE64" s="517"/>
      <c r="BF64" s="517"/>
      <c r="BG64" s="517"/>
      <c r="BH64" s="517"/>
      <c r="BI64" s="517"/>
      <c r="BJ64" s="517"/>
      <c r="BK64" s="517"/>
      <c r="BL64" s="517"/>
      <c r="BM64" s="517"/>
      <c r="BN64" s="517"/>
      <c r="BO64" s="517"/>
      <c r="BP64" s="517"/>
      <c r="BQ64" s="517"/>
      <c r="BR64" s="517"/>
      <c r="BS64" s="517"/>
      <c r="BT64" s="517"/>
      <c r="BU64" s="517"/>
      <c r="BV64" s="517"/>
      <c r="BW64" s="517"/>
      <c r="BX64" s="517"/>
      <c r="BY64" s="517"/>
      <c r="BZ64" s="517"/>
      <c r="CA64" s="517"/>
      <c r="CB64" s="517"/>
      <c r="CC64" s="517"/>
      <c r="CD64" s="517"/>
      <c r="CE64" s="517"/>
      <c r="CF64" s="517"/>
      <c r="CG64" s="517"/>
      <c r="CH64" s="517"/>
      <c r="CI64" s="517"/>
      <c r="CJ64" s="517"/>
      <c r="CK64" s="517"/>
      <c r="CL64" s="517"/>
      <c r="CM64" s="517"/>
      <c r="CN64" s="517"/>
      <c r="CO64" s="517"/>
      <c r="CP64" s="517"/>
      <c r="CQ64" s="517"/>
      <c r="CR64" s="517"/>
      <c r="CS64" s="517"/>
      <c r="CT64" s="517"/>
      <c r="CU64" s="517"/>
      <c r="CV64" s="517"/>
      <c r="CW64" s="517"/>
      <c r="CX64" s="517"/>
      <c r="CY64" s="517"/>
      <c r="CZ64" s="517"/>
      <c r="DA64" s="517"/>
      <c r="DB64" s="517"/>
      <c r="DC64" s="517"/>
      <c r="DD64" s="517"/>
      <c r="DE64" s="517"/>
      <c r="DF64" s="517"/>
      <c r="DG64" s="517"/>
      <c r="DH64" s="517"/>
      <c r="DI64" s="517"/>
      <c r="DJ64" s="517"/>
      <c r="DK64" s="517"/>
      <c r="DL64" s="517"/>
      <c r="DM64" s="517"/>
      <c r="DN64" s="517"/>
      <c r="DO64" s="517"/>
      <c r="DP64" s="517"/>
      <c r="DQ64" s="517"/>
      <c r="DR64" s="517"/>
      <c r="DS64" s="517"/>
      <c r="DT64" s="517"/>
      <c r="DU64" s="517"/>
      <c r="DV64" s="517"/>
      <c r="DW64" s="517"/>
      <c r="DX64" s="517"/>
      <c r="DY64" s="517"/>
      <c r="DZ64" s="517"/>
      <c r="EA64" s="517"/>
      <c r="EB64" s="517"/>
      <c r="EC64" s="517"/>
      <c r="ED64" s="517"/>
      <c r="EE64" s="517"/>
      <c r="EF64" s="517"/>
      <c r="EG64" s="517"/>
      <c r="EH64" s="517"/>
      <c r="EI64" s="517"/>
      <c r="EJ64" s="517"/>
      <c r="EK64" s="517"/>
      <c r="EL64" s="517"/>
      <c r="EM64" s="517"/>
      <c r="EN64" s="517"/>
      <c r="EO64" s="517"/>
      <c r="EP64" s="517"/>
      <c r="EQ64" s="517"/>
      <c r="ER64" s="517"/>
      <c r="ES64" s="627" t="s">
        <v>1140</v>
      </c>
    </row>
    <row r="65">
      <c r="A65" s="517"/>
      <c r="B65" s="517"/>
      <c r="C65" s="517"/>
      <c r="D65" s="517"/>
      <c r="E65" s="517"/>
      <c r="F65" s="517"/>
      <c r="G65" s="517"/>
      <c r="H65" s="517"/>
      <c r="I65" s="517"/>
      <c r="J65" s="517"/>
      <c r="K65" s="517"/>
      <c r="L65" s="517"/>
      <c r="M65" s="517"/>
      <c r="N65" s="517"/>
      <c r="O65" s="517"/>
      <c r="P65" s="517"/>
      <c r="Q65" s="517"/>
      <c r="R65" s="517"/>
      <c r="S65" s="517"/>
      <c r="T65" s="517"/>
      <c r="U65" s="517"/>
      <c r="V65" s="517"/>
      <c r="W65" s="517"/>
      <c r="X65" s="517"/>
      <c r="Y65" s="517"/>
      <c r="Z65" s="517"/>
      <c r="AA65" s="517"/>
      <c r="AB65" s="517"/>
      <c r="AC65" s="517"/>
      <c r="AD65" s="517"/>
      <c r="AE65" s="517"/>
      <c r="AF65" s="517"/>
      <c r="AG65" s="517"/>
      <c r="AH65" s="517"/>
      <c r="AI65" s="517"/>
      <c r="AJ65" s="517"/>
      <c r="AK65" s="517"/>
      <c r="AL65" s="517"/>
      <c r="AM65" s="517"/>
      <c r="AN65" s="517"/>
      <c r="AO65" s="517"/>
      <c r="AP65" s="517"/>
      <c r="AQ65" s="517"/>
      <c r="AR65" s="517"/>
      <c r="AS65" s="517"/>
      <c r="AT65" s="517"/>
      <c r="AU65" s="517"/>
      <c r="AV65" s="517"/>
      <c r="AW65" s="517"/>
      <c r="AX65" s="517"/>
      <c r="AY65" s="517"/>
      <c r="AZ65" s="517"/>
      <c r="BA65" s="517"/>
      <c r="BB65" s="517"/>
      <c r="BC65" s="517"/>
      <c r="BD65" s="517"/>
      <c r="BE65" s="517"/>
      <c r="BF65" s="517"/>
      <c r="BG65" s="517"/>
      <c r="BH65" s="517"/>
      <c r="BI65" s="517"/>
      <c r="BJ65" s="517"/>
      <c r="BK65" s="517"/>
      <c r="BL65" s="517"/>
      <c r="BM65" s="517"/>
      <c r="BN65" s="517"/>
      <c r="BO65" s="517"/>
      <c r="BP65" s="517"/>
      <c r="BQ65" s="517"/>
      <c r="BR65" s="517"/>
      <c r="BS65" s="517"/>
      <c r="BT65" s="517"/>
      <c r="BU65" s="517"/>
      <c r="BV65" s="517"/>
      <c r="BW65" s="517"/>
      <c r="BX65" s="517"/>
      <c r="BY65" s="517"/>
      <c r="BZ65" s="517"/>
      <c r="CA65" s="517"/>
      <c r="CB65" s="517"/>
      <c r="CC65" s="517"/>
      <c r="CD65" s="517"/>
      <c r="CE65" s="517"/>
      <c r="CF65" s="517"/>
      <c r="CG65" s="517"/>
      <c r="CH65" s="517"/>
      <c r="CI65" s="517"/>
      <c r="CJ65" s="517"/>
      <c r="CK65" s="517"/>
      <c r="CL65" s="517"/>
      <c r="CM65" s="517"/>
      <c r="CN65" s="517"/>
      <c r="CO65" s="517"/>
      <c r="CP65" s="517"/>
      <c r="CQ65" s="517"/>
      <c r="CR65" s="517"/>
      <c r="CS65" s="517"/>
      <c r="CT65" s="517"/>
      <c r="CU65" s="517"/>
      <c r="CV65" s="517"/>
      <c r="CW65" s="517"/>
      <c r="CX65" s="517"/>
      <c r="CY65" s="517"/>
      <c r="CZ65" s="517"/>
      <c r="DA65" s="517"/>
      <c r="DB65" s="517"/>
      <c r="DC65" s="517"/>
      <c r="DD65" s="517"/>
      <c r="DE65" s="517"/>
      <c r="DF65" s="517"/>
      <c r="DG65" s="517"/>
      <c r="DH65" s="517"/>
      <c r="DI65" s="517"/>
      <c r="DJ65" s="517"/>
      <c r="DK65" s="517"/>
      <c r="DL65" s="517"/>
      <c r="DM65" s="517"/>
      <c r="DN65" s="517"/>
      <c r="DO65" s="517"/>
      <c r="DP65" s="517"/>
      <c r="DQ65" s="517"/>
      <c r="DR65" s="517"/>
      <c r="DS65" s="517"/>
      <c r="DT65" s="517"/>
      <c r="DU65" s="517"/>
      <c r="DV65" s="517"/>
      <c r="DW65" s="517"/>
      <c r="DX65" s="517"/>
      <c r="DY65" s="517"/>
      <c r="DZ65" s="517"/>
      <c r="EA65" s="517"/>
      <c r="EB65" s="517"/>
      <c r="EC65" s="517"/>
      <c r="ED65" s="517"/>
      <c r="EE65" s="517"/>
      <c r="EF65" s="517"/>
      <c r="EG65" s="517"/>
      <c r="EH65" s="517"/>
      <c r="EI65" s="517"/>
      <c r="EJ65" s="517"/>
      <c r="EK65" s="517"/>
      <c r="EL65" s="517"/>
      <c r="EM65" s="517"/>
      <c r="EN65" s="517"/>
      <c r="EO65" s="517"/>
      <c r="EP65" s="517"/>
      <c r="EQ65" s="517"/>
      <c r="ER65" s="517"/>
      <c r="ES65" s="627" t="s">
        <v>1140</v>
      </c>
    </row>
    <row r="66">
      <c r="A66" s="517"/>
      <c r="B66" s="517"/>
      <c r="C66" s="517"/>
      <c r="D66" s="517"/>
      <c r="E66" s="517"/>
      <c r="F66" s="517"/>
      <c r="G66" s="517"/>
      <c r="H66" s="517"/>
      <c r="I66" s="517"/>
      <c r="J66" s="517"/>
      <c r="K66" s="517"/>
      <c r="L66" s="517"/>
      <c r="M66" s="517"/>
      <c r="N66" s="517"/>
      <c r="O66" s="517"/>
      <c r="P66" s="517"/>
      <c r="Q66" s="517"/>
      <c r="R66" s="517"/>
      <c r="S66" s="517"/>
      <c r="T66" s="517"/>
      <c r="U66" s="517"/>
      <c r="V66" s="517"/>
      <c r="W66" s="517"/>
      <c r="X66" s="517"/>
      <c r="Y66" s="517"/>
      <c r="Z66" s="517"/>
      <c r="AA66" s="517"/>
      <c r="AB66" s="517"/>
      <c r="AC66" s="517"/>
      <c r="AD66" s="517"/>
      <c r="AE66" s="517"/>
      <c r="AF66" s="517"/>
      <c r="AG66" s="517"/>
      <c r="AH66" s="517"/>
      <c r="AI66" s="517"/>
      <c r="AJ66" s="517"/>
      <c r="AK66" s="517"/>
      <c r="AL66" s="517"/>
      <c r="AM66" s="517"/>
      <c r="AN66" s="517"/>
      <c r="AO66" s="517"/>
      <c r="AP66" s="517"/>
      <c r="AQ66" s="517"/>
      <c r="AR66" s="517"/>
      <c r="AS66" s="517"/>
      <c r="AT66" s="517"/>
      <c r="AU66" s="517"/>
      <c r="AV66" s="517"/>
      <c r="AW66" s="517"/>
      <c r="AX66" s="517"/>
      <c r="AY66" s="517"/>
      <c r="AZ66" s="517"/>
      <c r="BA66" s="517"/>
      <c r="BB66" s="517"/>
      <c r="BC66" s="517"/>
      <c r="BD66" s="517"/>
      <c r="BE66" s="517"/>
      <c r="BF66" s="517"/>
      <c r="BG66" s="517"/>
      <c r="BH66" s="517"/>
      <c r="BI66" s="517"/>
      <c r="BJ66" s="517"/>
      <c r="BK66" s="517"/>
      <c r="BL66" s="517"/>
      <c r="BM66" s="517"/>
      <c r="BN66" s="517"/>
      <c r="BO66" s="517"/>
      <c r="BP66" s="517"/>
      <c r="BQ66" s="517"/>
      <c r="BR66" s="517"/>
      <c r="BS66" s="517"/>
      <c r="BT66" s="517"/>
      <c r="BU66" s="517"/>
      <c r="BV66" s="517"/>
      <c r="BW66" s="517"/>
      <c r="BX66" s="517"/>
      <c r="BY66" s="517"/>
      <c r="BZ66" s="517"/>
      <c r="CA66" s="517"/>
      <c r="CB66" s="517"/>
      <c r="CC66" s="517"/>
      <c r="CD66" s="517"/>
      <c r="CE66" s="517"/>
      <c r="CF66" s="517"/>
      <c r="CG66" s="517"/>
      <c r="CH66" s="517"/>
      <c r="CI66" s="517"/>
      <c r="CJ66" s="517"/>
      <c r="CK66" s="517"/>
      <c r="CL66" s="517"/>
      <c r="CM66" s="517"/>
      <c r="CN66" s="517"/>
      <c r="CO66" s="517"/>
      <c r="CP66" s="517"/>
      <c r="CQ66" s="517"/>
      <c r="CR66" s="517"/>
      <c r="CS66" s="517"/>
      <c r="CT66" s="517"/>
      <c r="CU66" s="517"/>
      <c r="CV66" s="517"/>
      <c r="CW66" s="517"/>
      <c r="CX66" s="517"/>
      <c r="CY66" s="517"/>
      <c r="CZ66" s="517"/>
      <c r="DA66" s="517"/>
      <c r="DB66" s="517"/>
      <c r="DC66" s="517"/>
      <c r="DD66" s="517"/>
      <c r="DE66" s="517"/>
      <c r="DF66" s="517"/>
      <c r="DG66" s="517"/>
      <c r="DH66" s="517"/>
      <c r="DI66" s="517"/>
      <c r="DJ66" s="517"/>
      <c r="DK66" s="517"/>
      <c r="DL66" s="517"/>
      <c r="DM66" s="517"/>
      <c r="DN66" s="517"/>
      <c r="DO66" s="517"/>
      <c r="DP66" s="517"/>
      <c r="DQ66" s="517"/>
      <c r="DR66" s="517"/>
      <c r="DS66" s="517"/>
      <c r="DT66" s="517"/>
      <c r="DU66" s="517"/>
      <c r="DV66" s="517"/>
      <c r="DW66" s="517"/>
      <c r="DX66" s="517"/>
      <c r="DY66" s="517"/>
      <c r="DZ66" s="517"/>
      <c r="EA66" s="517"/>
      <c r="EB66" s="517"/>
      <c r="EC66" s="517"/>
      <c r="ED66" s="517"/>
      <c r="EE66" s="517"/>
      <c r="EF66" s="517"/>
      <c r="EG66" s="517"/>
      <c r="EH66" s="517"/>
      <c r="EI66" s="517"/>
      <c r="EJ66" s="517"/>
      <c r="EK66" s="517"/>
      <c r="EL66" s="517"/>
      <c r="EM66" s="517"/>
      <c r="EN66" s="517"/>
      <c r="EO66" s="517"/>
      <c r="EP66" s="517"/>
      <c r="EQ66" s="517"/>
      <c r="ER66" s="517"/>
      <c r="ES66" s="627" t="s">
        <v>1140</v>
      </c>
    </row>
    <row r="67">
      <c r="A67" s="517"/>
      <c r="B67" s="517"/>
      <c r="C67" s="517"/>
      <c r="D67" s="517"/>
      <c r="E67" s="517"/>
      <c r="F67" s="517"/>
      <c r="G67" s="517"/>
      <c r="H67" s="517"/>
      <c r="I67" s="517"/>
      <c r="J67" s="517"/>
      <c r="K67" s="517"/>
      <c r="L67" s="517"/>
      <c r="M67" s="517"/>
      <c r="N67" s="517"/>
      <c r="O67" s="517"/>
      <c r="P67" s="517"/>
      <c r="Q67" s="517"/>
      <c r="R67" s="517"/>
      <c r="S67" s="517"/>
      <c r="T67" s="517"/>
      <c r="U67" s="517"/>
      <c r="V67" s="517"/>
      <c r="W67" s="517"/>
      <c r="X67" s="517"/>
      <c r="Y67" s="517"/>
      <c r="Z67" s="517"/>
      <c r="AA67" s="517"/>
      <c r="AB67" s="517"/>
      <c r="AC67" s="517"/>
      <c r="AD67" s="517"/>
      <c r="AE67" s="517"/>
      <c r="AF67" s="517"/>
      <c r="AG67" s="517"/>
      <c r="AH67" s="517"/>
      <c r="AI67" s="517"/>
      <c r="AJ67" s="517"/>
      <c r="AK67" s="517"/>
      <c r="AL67" s="517"/>
      <c r="AM67" s="517"/>
      <c r="AN67" s="517"/>
      <c r="AO67" s="517"/>
      <c r="AP67" s="517"/>
      <c r="AQ67" s="517"/>
      <c r="AR67" s="517"/>
      <c r="AS67" s="517"/>
      <c r="AT67" s="517"/>
      <c r="AU67" s="517"/>
      <c r="AV67" s="517"/>
      <c r="AW67" s="517"/>
      <c r="AX67" s="517"/>
      <c r="AY67" s="517"/>
      <c r="AZ67" s="517"/>
      <c r="BA67" s="517"/>
      <c r="BB67" s="517"/>
      <c r="BC67" s="517"/>
      <c r="BD67" s="517"/>
      <c r="BE67" s="517"/>
      <c r="BF67" s="517"/>
      <c r="BG67" s="517"/>
      <c r="BH67" s="517"/>
      <c r="BI67" s="517"/>
      <c r="BJ67" s="517"/>
      <c r="BK67" s="517"/>
      <c r="BL67" s="517"/>
      <c r="BM67" s="517"/>
      <c r="BN67" s="517"/>
      <c r="BO67" s="517"/>
      <c r="BP67" s="517"/>
      <c r="BQ67" s="517"/>
      <c r="BR67" s="517"/>
      <c r="BS67" s="517"/>
      <c r="BT67" s="517"/>
      <c r="BU67" s="517"/>
      <c r="BV67" s="517"/>
      <c r="BW67" s="517"/>
      <c r="BX67" s="517"/>
      <c r="BY67" s="517"/>
      <c r="BZ67" s="517"/>
      <c r="CA67" s="517"/>
      <c r="CB67" s="517"/>
      <c r="CC67" s="517"/>
      <c r="CD67" s="517"/>
      <c r="CE67" s="517"/>
      <c r="CF67" s="517"/>
      <c r="CG67" s="517"/>
      <c r="CH67" s="517"/>
      <c r="CI67" s="517"/>
      <c r="CJ67" s="517"/>
      <c r="CK67" s="517"/>
      <c r="CL67" s="517"/>
      <c r="CM67" s="517"/>
      <c r="CN67" s="517"/>
      <c r="CO67" s="517"/>
      <c r="CP67" s="517"/>
      <c r="CQ67" s="517"/>
      <c r="CR67" s="517"/>
      <c r="CS67" s="517"/>
      <c r="CT67" s="517"/>
      <c r="CU67" s="517"/>
      <c r="CV67" s="517"/>
      <c r="CW67" s="517"/>
      <c r="CX67" s="517"/>
      <c r="CY67" s="517"/>
      <c r="CZ67" s="517"/>
      <c r="DA67" s="517"/>
      <c r="DB67" s="517"/>
      <c r="DC67" s="517"/>
      <c r="DD67" s="517"/>
      <c r="DE67" s="517"/>
      <c r="DF67" s="517"/>
      <c r="DG67" s="517"/>
      <c r="DH67" s="517"/>
      <c r="DI67" s="517"/>
      <c r="DJ67" s="517"/>
      <c r="DK67" s="517"/>
      <c r="DL67" s="517"/>
      <c r="DM67" s="517"/>
      <c r="DN67" s="517"/>
      <c r="DO67" s="517"/>
      <c r="DP67" s="517"/>
      <c r="DQ67" s="517"/>
      <c r="DR67" s="517"/>
      <c r="DS67" s="517"/>
      <c r="DT67" s="517"/>
      <c r="DU67" s="517"/>
      <c r="DV67" s="517"/>
      <c r="DW67" s="517"/>
      <c r="DX67" s="517"/>
      <c r="DY67" s="517"/>
      <c r="DZ67" s="517"/>
      <c r="EA67" s="517"/>
      <c r="EB67" s="517"/>
      <c r="EC67" s="517"/>
      <c r="ED67" s="517"/>
      <c r="EE67" s="517"/>
      <c r="EF67" s="517"/>
      <c r="EG67" s="517"/>
      <c r="EH67" s="517"/>
      <c r="EI67" s="517"/>
      <c r="EJ67" s="517"/>
      <c r="EK67" s="517"/>
      <c r="EL67" s="517"/>
      <c r="EM67" s="517"/>
      <c r="EN67" s="517"/>
      <c r="EO67" s="517"/>
      <c r="EP67" s="517"/>
      <c r="EQ67" s="517"/>
      <c r="ER67" s="517"/>
      <c r="ES67" s="627" t="s">
        <v>1140</v>
      </c>
    </row>
    <row r="68">
      <c r="A68" s="517"/>
      <c r="B68" s="517"/>
      <c r="C68" s="517"/>
      <c r="D68" s="517"/>
      <c r="E68" s="517"/>
      <c r="F68" s="517"/>
      <c r="G68" s="517"/>
      <c r="H68" s="517"/>
      <c r="I68" s="517"/>
      <c r="J68" s="517"/>
      <c r="K68" s="517"/>
      <c r="L68" s="517"/>
      <c r="M68" s="517"/>
      <c r="N68" s="517"/>
      <c r="O68" s="517"/>
      <c r="P68" s="517"/>
      <c r="Q68" s="517"/>
      <c r="R68" s="517"/>
      <c r="S68" s="517"/>
      <c r="T68" s="517"/>
      <c r="U68" s="517"/>
      <c r="V68" s="517"/>
      <c r="W68" s="517"/>
      <c r="X68" s="517"/>
      <c r="Y68" s="517"/>
      <c r="Z68" s="517"/>
      <c r="AA68" s="517"/>
      <c r="AB68" s="517"/>
      <c r="AC68" s="517"/>
      <c r="AD68" s="517"/>
      <c r="AE68" s="517"/>
      <c r="AF68" s="517"/>
      <c r="AG68" s="517"/>
      <c r="AH68" s="517"/>
      <c r="AI68" s="517"/>
      <c r="AJ68" s="517"/>
      <c r="AK68" s="517"/>
      <c r="AL68" s="517"/>
      <c r="AM68" s="517"/>
      <c r="AN68" s="517"/>
      <c r="AO68" s="517"/>
      <c r="AP68" s="517"/>
      <c r="AQ68" s="517"/>
      <c r="AR68" s="517"/>
      <c r="AS68" s="517"/>
      <c r="AT68" s="517"/>
      <c r="AU68" s="517"/>
      <c r="AV68" s="517"/>
      <c r="AW68" s="517"/>
      <c r="AX68" s="517"/>
      <c r="AY68" s="517"/>
      <c r="AZ68" s="517"/>
      <c r="BA68" s="517"/>
      <c r="BB68" s="517"/>
      <c r="BC68" s="517"/>
      <c r="BD68" s="517"/>
      <c r="BE68" s="517"/>
      <c r="BF68" s="517"/>
      <c r="BG68" s="517"/>
      <c r="BH68" s="517"/>
      <c r="BI68" s="517"/>
      <c r="BJ68" s="517"/>
      <c r="BK68" s="517"/>
      <c r="BL68" s="517"/>
      <c r="BM68" s="517"/>
      <c r="BN68" s="517"/>
      <c r="BO68" s="517"/>
      <c r="BP68" s="517"/>
      <c r="BQ68" s="517"/>
      <c r="BR68" s="517"/>
      <c r="BS68" s="517"/>
      <c r="BT68" s="517"/>
      <c r="BU68" s="517"/>
      <c r="BV68" s="517"/>
      <c r="BW68" s="517"/>
      <c r="BX68" s="517"/>
      <c r="BY68" s="517"/>
      <c r="BZ68" s="517"/>
      <c r="CA68" s="517"/>
      <c r="CB68" s="517"/>
      <c r="CC68" s="517"/>
      <c r="CD68" s="517"/>
      <c r="CE68" s="517"/>
      <c r="CF68" s="517"/>
      <c r="CG68" s="517"/>
      <c r="CH68" s="517"/>
      <c r="CI68" s="517"/>
      <c r="CJ68" s="517"/>
      <c r="CK68" s="517"/>
      <c r="CL68" s="517"/>
      <c r="CM68" s="517"/>
      <c r="CN68" s="517"/>
      <c r="CO68" s="517"/>
      <c r="CP68" s="517"/>
      <c r="CQ68" s="517"/>
      <c r="CR68" s="517"/>
      <c r="CS68" s="517"/>
      <c r="CT68" s="517"/>
      <c r="CU68" s="517"/>
      <c r="CV68" s="517"/>
      <c r="CW68" s="517"/>
      <c r="CX68" s="517"/>
      <c r="CY68" s="517"/>
      <c r="CZ68" s="517"/>
      <c r="DA68" s="517"/>
      <c r="DB68" s="517"/>
      <c r="DC68" s="517"/>
      <c r="DD68" s="517"/>
      <c r="DE68" s="517"/>
      <c r="DF68" s="517"/>
      <c r="DG68" s="517"/>
      <c r="DH68" s="517"/>
      <c r="DI68" s="517"/>
      <c r="DJ68" s="517"/>
      <c r="DK68" s="517"/>
      <c r="DL68" s="517"/>
      <c r="DM68" s="517"/>
      <c r="DN68" s="517"/>
      <c r="DO68" s="517"/>
      <c r="DP68" s="517"/>
      <c r="DQ68" s="517"/>
      <c r="DR68" s="517"/>
      <c r="DS68" s="517"/>
      <c r="DT68" s="517"/>
      <c r="DU68" s="517"/>
      <c r="DV68" s="517"/>
      <c r="DW68" s="517"/>
      <c r="DX68" s="517"/>
      <c r="DY68" s="517"/>
      <c r="DZ68" s="517"/>
      <c r="EA68" s="517"/>
      <c r="EB68" s="517"/>
      <c r="EC68" s="517"/>
      <c r="ED68" s="517"/>
      <c r="EE68" s="517"/>
      <c r="EF68" s="517"/>
      <c r="EG68" s="517"/>
      <c r="EH68" s="517"/>
      <c r="EI68" s="517"/>
      <c r="EJ68" s="517"/>
      <c r="EK68" s="517"/>
      <c r="EL68" s="517"/>
      <c r="EM68" s="517"/>
      <c r="EN68" s="517"/>
      <c r="EO68" s="517"/>
      <c r="EP68" s="517"/>
      <c r="EQ68" s="517"/>
      <c r="ER68" s="517"/>
      <c r="ES68" s="627" t="s">
        <v>1140</v>
      </c>
    </row>
    <row r="69">
      <c r="A69" s="517"/>
      <c r="B69" s="517"/>
      <c r="C69" s="517"/>
      <c r="D69" s="517"/>
      <c r="E69" s="517"/>
      <c r="F69" s="517"/>
      <c r="G69" s="517"/>
      <c r="H69" s="517"/>
      <c r="I69" s="517"/>
      <c r="J69" s="517"/>
      <c r="K69" s="517"/>
      <c r="L69" s="517"/>
      <c r="M69" s="517"/>
      <c r="N69" s="517"/>
      <c r="O69" s="517"/>
      <c r="P69" s="517"/>
      <c r="Q69" s="517"/>
      <c r="R69" s="517"/>
      <c r="S69" s="517"/>
      <c r="T69" s="517"/>
      <c r="U69" s="517"/>
      <c r="V69" s="517"/>
      <c r="W69" s="517"/>
      <c r="X69" s="517"/>
      <c r="Y69" s="517"/>
      <c r="Z69" s="517"/>
      <c r="AA69" s="517"/>
      <c r="AB69" s="517"/>
      <c r="AC69" s="517"/>
      <c r="AD69" s="517"/>
      <c r="AE69" s="517"/>
      <c r="AF69" s="517"/>
      <c r="AG69" s="517"/>
      <c r="AH69" s="517"/>
      <c r="AI69" s="517"/>
      <c r="AJ69" s="517"/>
      <c r="AK69" s="517"/>
      <c r="AL69" s="517"/>
      <c r="AM69" s="517"/>
      <c r="AN69" s="517"/>
      <c r="AO69" s="517"/>
      <c r="AP69" s="517"/>
      <c r="AQ69" s="517"/>
      <c r="AR69" s="517"/>
      <c r="AS69" s="517"/>
      <c r="AT69" s="517"/>
      <c r="AU69" s="517"/>
      <c r="AV69" s="517"/>
      <c r="AW69" s="517"/>
      <c r="AX69" s="517"/>
      <c r="AY69" s="517"/>
      <c r="AZ69" s="517"/>
      <c r="BA69" s="517"/>
      <c r="BB69" s="517"/>
      <c r="BC69" s="517"/>
      <c r="BD69" s="517"/>
      <c r="BE69" s="517"/>
      <c r="BF69" s="517"/>
      <c r="BG69" s="517"/>
      <c r="BH69" s="517"/>
      <c r="BI69" s="517"/>
      <c r="BJ69" s="517"/>
      <c r="BK69" s="517"/>
      <c r="BL69" s="517"/>
      <c r="BM69" s="517"/>
      <c r="BN69" s="517"/>
      <c r="BO69" s="517"/>
      <c r="BP69" s="517"/>
      <c r="BQ69" s="517"/>
      <c r="BR69" s="517"/>
      <c r="BS69" s="517"/>
      <c r="BT69" s="517"/>
      <c r="BU69" s="517"/>
      <c r="BV69" s="517"/>
      <c r="BW69" s="517"/>
      <c r="BX69" s="517"/>
      <c r="BY69" s="517"/>
      <c r="BZ69" s="517"/>
      <c r="CA69" s="517"/>
      <c r="CB69" s="517"/>
      <c r="CC69" s="517"/>
      <c r="CD69" s="517"/>
      <c r="CE69" s="517"/>
      <c r="CF69" s="517"/>
      <c r="CG69" s="517"/>
      <c r="CH69" s="517"/>
      <c r="CI69" s="517"/>
      <c r="CJ69" s="517"/>
      <c r="CK69" s="517"/>
      <c r="CL69" s="517"/>
      <c r="CM69" s="517"/>
      <c r="CN69" s="517"/>
      <c r="CO69" s="517"/>
      <c r="CP69" s="517"/>
      <c r="CQ69" s="517"/>
      <c r="CR69" s="517"/>
      <c r="CS69" s="517"/>
      <c r="CT69" s="517"/>
      <c r="CU69" s="517"/>
      <c r="CV69" s="517"/>
      <c r="CW69" s="517"/>
      <c r="CX69" s="517"/>
      <c r="CY69" s="517"/>
      <c r="CZ69" s="517"/>
      <c r="DA69" s="517"/>
      <c r="DB69" s="517"/>
      <c r="DC69" s="517"/>
      <c r="DD69" s="517"/>
      <c r="DE69" s="517"/>
      <c r="DF69" s="517"/>
      <c r="DG69" s="517"/>
      <c r="DH69" s="517"/>
      <c r="DI69" s="517"/>
      <c r="DJ69" s="517"/>
      <c r="DK69" s="517"/>
      <c r="DL69" s="517"/>
      <c r="DM69" s="517"/>
      <c r="DN69" s="517"/>
      <c r="DO69" s="517"/>
      <c r="DP69" s="517"/>
      <c r="DQ69" s="517"/>
      <c r="DR69" s="517"/>
      <c r="DS69" s="517"/>
      <c r="DT69" s="517"/>
      <c r="DU69" s="517"/>
      <c r="DV69" s="517"/>
      <c r="DW69" s="517"/>
      <c r="DX69" s="517"/>
      <c r="DY69" s="517"/>
      <c r="DZ69" s="517"/>
      <c r="EA69" s="517"/>
      <c r="EB69" s="517"/>
      <c r="EC69" s="517"/>
      <c r="ED69" s="517"/>
      <c r="EE69" s="517"/>
      <c r="EF69" s="517"/>
      <c r="EG69" s="517"/>
      <c r="EH69" s="517"/>
      <c r="EI69" s="517"/>
      <c r="EJ69" s="517"/>
      <c r="EK69" s="517"/>
      <c r="EL69" s="517"/>
      <c r="EM69" s="517"/>
      <c r="EN69" s="517"/>
      <c r="EO69" s="517"/>
      <c r="EP69" s="517"/>
      <c r="EQ69" s="517"/>
      <c r="ER69" s="517"/>
      <c r="ES69" s="627" t="s">
        <v>1140</v>
      </c>
    </row>
    <row r="70">
      <c r="A70" s="517"/>
      <c r="B70" s="517"/>
      <c r="C70" s="517"/>
      <c r="D70" s="517"/>
      <c r="E70" s="517"/>
      <c r="F70" s="517"/>
      <c r="G70" s="517"/>
      <c r="H70" s="517"/>
      <c r="I70" s="517"/>
      <c r="J70" s="517"/>
      <c r="K70" s="517"/>
      <c r="L70" s="517"/>
      <c r="M70" s="517"/>
      <c r="N70" s="517"/>
      <c r="O70" s="517"/>
      <c r="P70" s="517"/>
      <c r="Q70" s="517"/>
      <c r="R70" s="517"/>
      <c r="S70" s="517"/>
      <c r="T70" s="517"/>
      <c r="U70" s="517"/>
      <c r="V70" s="517"/>
      <c r="W70" s="517"/>
      <c r="X70" s="517"/>
      <c r="Y70" s="517"/>
      <c r="Z70" s="517"/>
      <c r="AA70" s="517"/>
      <c r="AB70" s="517"/>
      <c r="AC70" s="517"/>
      <c r="AD70" s="517"/>
      <c r="AE70" s="517"/>
      <c r="AF70" s="517"/>
      <c r="AG70" s="517"/>
      <c r="AH70" s="517"/>
      <c r="AI70" s="517"/>
      <c r="AJ70" s="517"/>
      <c r="AK70" s="517"/>
      <c r="AL70" s="517"/>
      <c r="AM70" s="517"/>
      <c r="AN70" s="517"/>
      <c r="AO70" s="517"/>
      <c r="AP70" s="517"/>
      <c r="AQ70" s="517"/>
      <c r="AR70" s="517"/>
      <c r="AS70" s="517"/>
      <c r="AT70" s="517"/>
      <c r="AU70" s="517"/>
      <c r="AV70" s="517"/>
      <c r="AW70" s="517"/>
      <c r="AX70" s="517"/>
      <c r="AY70" s="517"/>
      <c r="AZ70" s="517"/>
      <c r="BA70" s="517"/>
      <c r="BB70" s="517"/>
      <c r="BC70" s="517"/>
      <c r="BD70" s="517"/>
      <c r="BE70" s="517"/>
      <c r="BF70" s="517"/>
      <c r="BG70" s="517"/>
      <c r="BH70" s="517"/>
      <c r="BI70" s="517"/>
      <c r="BJ70" s="517"/>
      <c r="BK70" s="517"/>
      <c r="BL70" s="517"/>
      <c r="BM70" s="517"/>
      <c r="BN70" s="517"/>
      <c r="BO70" s="517"/>
      <c r="BP70" s="517"/>
      <c r="BQ70" s="517"/>
      <c r="BR70" s="517"/>
      <c r="BS70" s="517"/>
      <c r="BT70" s="517"/>
      <c r="BU70" s="517"/>
      <c r="BV70" s="517"/>
      <c r="BW70" s="517"/>
      <c r="BX70" s="517"/>
      <c r="BY70" s="517"/>
      <c r="BZ70" s="517"/>
      <c r="CA70" s="517"/>
      <c r="CB70" s="517"/>
      <c r="CC70" s="517"/>
      <c r="CD70" s="517"/>
      <c r="CE70" s="517"/>
      <c r="CF70" s="517"/>
      <c r="CG70" s="517"/>
      <c r="CH70" s="517"/>
      <c r="CI70" s="517"/>
      <c r="CJ70" s="517"/>
      <c r="CK70" s="517"/>
      <c r="CL70" s="517"/>
      <c r="CM70" s="517"/>
      <c r="CN70" s="517"/>
      <c r="CO70" s="517"/>
      <c r="CP70" s="517"/>
      <c r="CQ70" s="517"/>
      <c r="CR70" s="517"/>
      <c r="CS70" s="517"/>
      <c r="CT70" s="517"/>
      <c r="CU70" s="517"/>
      <c r="CV70" s="517"/>
      <c r="CW70" s="517"/>
      <c r="CX70" s="517"/>
      <c r="CY70" s="517"/>
      <c r="CZ70" s="517"/>
      <c r="DA70" s="517"/>
      <c r="DB70" s="517"/>
      <c r="DC70" s="517"/>
      <c r="DD70" s="517"/>
      <c r="DE70" s="517"/>
      <c r="DF70" s="517"/>
      <c r="DG70" s="517"/>
      <c r="DH70" s="517"/>
      <c r="DI70" s="517"/>
      <c r="DJ70" s="517"/>
      <c r="DK70" s="517"/>
      <c r="DL70" s="517"/>
      <c r="DM70" s="517"/>
      <c r="DN70" s="517"/>
      <c r="DO70" s="517"/>
      <c r="DP70" s="517"/>
      <c r="DQ70" s="517"/>
      <c r="DR70" s="517"/>
      <c r="DS70" s="517"/>
      <c r="DT70" s="517"/>
      <c r="DU70" s="517"/>
      <c r="DV70" s="517"/>
      <c r="DW70" s="517"/>
      <c r="DX70" s="517"/>
      <c r="DY70" s="517"/>
      <c r="DZ70" s="517"/>
      <c r="EA70" s="517"/>
      <c r="EB70" s="517"/>
      <c r="EC70" s="517"/>
      <c r="ED70" s="517"/>
      <c r="EE70" s="517"/>
      <c r="EF70" s="517"/>
      <c r="EG70" s="517"/>
      <c r="EH70" s="517"/>
      <c r="EI70" s="517"/>
      <c r="EJ70" s="517"/>
      <c r="EK70" s="517"/>
      <c r="EL70" s="517"/>
      <c r="EM70" s="517"/>
      <c r="EN70" s="517"/>
      <c r="EO70" s="517"/>
      <c r="EP70" s="517"/>
      <c r="EQ70" s="517"/>
      <c r="ER70" s="517"/>
      <c r="ES70" s="627" t="s">
        <v>1140</v>
      </c>
    </row>
    <row r="71">
      <c r="A71" s="517"/>
      <c r="B71" s="517"/>
      <c r="C71" s="517"/>
      <c r="D71" s="517"/>
      <c r="E71" s="517"/>
      <c r="F71" s="517"/>
      <c r="G71" s="517"/>
      <c r="H71" s="517"/>
      <c r="I71" s="517"/>
      <c r="J71" s="517"/>
      <c r="K71" s="517"/>
      <c r="L71" s="517"/>
      <c r="M71" s="517"/>
      <c r="N71" s="517"/>
      <c r="O71" s="517"/>
      <c r="P71" s="517"/>
      <c r="Q71" s="517"/>
      <c r="R71" s="517"/>
      <c r="S71" s="517"/>
      <c r="T71" s="517"/>
      <c r="U71" s="517"/>
      <c r="V71" s="517"/>
      <c r="W71" s="517"/>
      <c r="X71" s="517"/>
      <c r="Y71" s="517"/>
      <c r="Z71" s="517"/>
      <c r="AA71" s="517"/>
      <c r="AB71" s="517"/>
      <c r="AC71" s="517"/>
      <c r="AD71" s="517"/>
      <c r="AE71" s="517"/>
      <c r="AF71" s="517"/>
      <c r="AG71" s="517"/>
      <c r="AH71" s="517"/>
      <c r="AI71" s="517"/>
      <c r="AJ71" s="517"/>
      <c r="AK71" s="517"/>
      <c r="AL71" s="517"/>
      <c r="AM71" s="517"/>
      <c r="AN71" s="517"/>
      <c r="AO71" s="517"/>
      <c r="AP71" s="517"/>
      <c r="AQ71" s="517"/>
      <c r="AR71" s="517"/>
      <c r="AS71" s="517"/>
      <c r="AT71" s="517"/>
      <c r="AU71" s="517"/>
      <c r="AV71" s="517"/>
      <c r="AW71" s="517"/>
      <c r="AX71" s="517"/>
      <c r="AY71" s="517"/>
      <c r="AZ71" s="517"/>
      <c r="BA71" s="517"/>
      <c r="BB71" s="517"/>
      <c r="BC71" s="517"/>
      <c r="BD71" s="517"/>
      <c r="BE71" s="517"/>
      <c r="BF71" s="517"/>
      <c r="BG71" s="517"/>
      <c r="BH71" s="517"/>
      <c r="BI71" s="517"/>
      <c r="BJ71" s="517"/>
      <c r="BK71" s="517"/>
      <c r="BL71" s="517"/>
      <c r="BM71" s="517"/>
      <c r="BN71" s="517"/>
      <c r="BO71" s="517"/>
      <c r="BP71" s="517"/>
      <c r="BQ71" s="517"/>
      <c r="BR71" s="517"/>
      <c r="BS71" s="517"/>
      <c r="BT71" s="517"/>
      <c r="BU71" s="517"/>
      <c r="BV71" s="517"/>
      <c r="BW71" s="517"/>
      <c r="BX71" s="517"/>
      <c r="BY71" s="517"/>
      <c r="BZ71" s="517"/>
      <c r="CA71" s="517"/>
      <c r="CB71" s="517"/>
      <c r="CC71" s="517"/>
      <c r="CD71" s="517"/>
      <c r="CE71" s="517"/>
      <c r="CF71" s="517"/>
      <c r="CG71" s="517"/>
      <c r="CH71" s="517"/>
      <c r="CI71" s="517"/>
      <c r="CJ71" s="517"/>
      <c r="CK71" s="517"/>
      <c r="CL71" s="517"/>
      <c r="CM71" s="517"/>
      <c r="CN71" s="517"/>
      <c r="CO71" s="517"/>
      <c r="CP71" s="517"/>
      <c r="CQ71" s="517"/>
      <c r="CR71" s="517"/>
      <c r="CS71" s="517"/>
      <c r="CT71" s="517"/>
      <c r="CU71" s="517"/>
      <c r="CV71" s="517"/>
      <c r="CW71" s="517"/>
      <c r="CX71" s="517"/>
      <c r="CY71" s="517"/>
      <c r="CZ71" s="517"/>
      <c r="DA71" s="517"/>
      <c r="DB71" s="517"/>
      <c r="DC71" s="517"/>
      <c r="DD71" s="517"/>
      <c r="DE71" s="517"/>
      <c r="DF71" s="517"/>
      <c r="DG71" s="517"/>
      <c r="DH71" s="517"/>
      <c r="DI71" s="517"/>
      <c r="DJ71" s="517"/>
      <c r="DK71" s="517"/>
      <c r="DL71" s="517"/>
      <c r="DM71" s="517"/>
      <c r="DN71" s="517"/>
      <c r="DO71" s="517"/>
      <c r="DP71" s="517"/>
      <c r="DQ71" s="517"/>
      <c r="DR71" s="517"/>
      <c r="DS71" s="517"/>
      <c r="DT71" s="517"/>
      <c r="DU71" s="517"/>
      <c r="DV71" s="517"/>
      <c r="DW71" s="517"/>
      <c r="DX71" s="517"/>
      <c r="DY71" s="517"/>
      <c r="DZ71" s="517"/>
      <c r="EA71" s="517"/>
      <c r="EB71" s="517"/>
      <c r="EC71" s="517"/>
      <c r="ED71" s="517"/>
      <c r="EE71" s="517"/>
      <c r="EF71" s="517"/>
      <c r="EG71" s="517"/>
      <c r="EH71" s="517"/>
      <c r="EI71" s="517"/>
      <c r="EJ71" s="517"/>
      <c r="EK71" s="517"/>
      <c r="EL71" s="517"/>
      <c r="EM71" s="517"/>
      <c r="EN71" s="517"/>
      <c r="EO71" s="517"/>
      <c r="EP71" s="517"/>
      <c r="EQ71" s="517"/>
      <c r="ER71" s="517"/>
      <c r="ES71" s="627" t="s">
        <v>1140</v>
      </c>
    </row>
    <row r="72">
      <c r="A72" s="517"/>
      <c r="B72" s="517"/>
      <c r="C72" s="517"/>
      <c r="D72" s="517"/>
      <c r="E72" s="517"/>
      <c r="F72" s="517"/>
      <c r="G72" s="517"/>
      <c r="H72" s="517"/>
      <c r="I72" s="517"/>
      <c r="J72" s="517"/>
      <c r="K72" s="517"/>
      <c r="L72" s="517"/>
      <c r="M72" s="517"/>
      <c r="N72" s="517"/>
      <c r="O72" s="517"/>
      <c r="P72" s="517"/>
      <c r="Q72" s="517"/>
      <c r="R72" s="517"/>
      <c r="S72" s="517"/>
      <c r="T72" s="517"/>
      <c r="U72" s="517"/>
      <c r="V72" s="517"/>
      <c r="W72" s="517"/>
      <c r="X72" s="517"/>
      <c r="Y72" s="517"/>
      <c r="Z72" s="517"/>
      <c r="AA72" s="517"/>
      <c r="AB72" s="517"/>
      <c r="AC72" s="517"/>
      <c r="AD72" s="517"/>
      <c r="AE72" s="517"/>
      <c r="AF72" s="517"/>
      <c r="AG72" s="517"/>
      <c r="AH72" s="517"/>
      <c r="AI72" s="517"/>
      <c r="AJ72" s="517"/>
      <c r="AK72" s="517"/>
      <c r="AL72" s="517"/>
      <c r="AM72" s="517"/>
      <c r="AN72" s="517"/>
      <c r="AO72" s="517"/>
      <c r="AP72" s="517"/>
      <c r="AQ72" s="517"/>
      <c r="AR72" s="517"/>
      <c r="AS72" s="517"/>
      <c r="AT72" s="517"/>
      <c r="AU72" s="517"/>
      <c r="AV72" s="517"/>
      <c r="AW72" s="517"/>
      <c r="AX72" s="517"/>
      <c r="AY72" s="517"/>
      <c r="AZ72" s="517"/>
      <c r="BA72" s="517"/>
      <c r="BB72" s="517"/>
      <c r="BC72" s="517"/>
      <c r="BD72" s="517"/>
      <c r="BE72" s="517"/>
      <c r="BF72" s="517"/>
      <c r="BG72" s="517"/>
      <c r="BH72" s="517"/>
      <c r="BI72" s="517"/>
      <c r="BJ72" s="517"/>
      <c r="BK72" s="517"/>
      <c r="BL72" s="517"/>
      <c r="BM72" s="517"/>
      <c r="BN72" s="517"/>
      <c r="BO72" s="517"/>
      <c r="BP72" s="517"/>
      <c r="BQ72" s="517"/>
      <c r="BR72" s="517"/>
      <c r="BS72" s="517"/>
      <c r="BT72" s="517"/>
      <c r="BU72" s="517"/>
      <c r="BV72" s="517"/>
      <c r="BW72" s="517"/>
      <c r="BX72" s="517"/>
      <c r="BY72" s="517"/>
      <c r="BZ72" s="517"/>
      <c r="CA72" s="517"/>
      <c r="CB72" s="517"/>
      <c r="CC72" s="517"/>
      <c r="CD72" s="517"/>
      <c r="CE72" s="517"/>
      <c r="CF72" s="517"/>
      <c r="CG72" s="517"/>
      <c r="CH72" s="517"/>
      <c r="CI72" s="517"/>
      <c r="CJ72" s="517"/>
      <c r="CK72" s="517"/>
      <c r="CL72" s="517"/>
      <c r="CM72" s="517"/>
      <c r="CN72" s="517"/>
      <c r="CO72" s="517"/>
      <c r="CP72" s="517"/>
      <c r="CQ72" s="517"/>
      <c r="CR72" s="517"/>
      <c r="CS72" s="517"/>
      <c r="CT72" s="517"/>
      <c r="CU72" s="517"/>
      <c r="CV72" s="517"/>
      <c r="CW72" s="517"/>
      <c r="CX72" s="517"/>
      <c r="CY72" s="517"/>
      <c r="CZ72" s="517"/>
      <c r="DA72" s="517"/>
      <c r="DB72" s="517"/>
      <c r="DC72" s="517"/>
      <c r="DD72" s="517"/>
      <c r="DE72" s="517"/>
      <c r="DF72" s="517"/>
      <c r="DG72" s="517"/>
      <c r="DH72" s="517"/>
      <c r="DI72" s="517"/>
      <c r="DJ72" s="517"/>
      <c r="DK72" s="517"/>
      <c r="DL72" s="517"/>
      <c r="DM72" s="517"/>
      <c r="DN72" s="517"/>
      <c r="DO72" s="517"/>
      <c r="DP72" s="517"/>
      <c r="DQ72" s="517"/>
      <c r="DR72" s="517"/>
      <c r="DS72" s="517"/>
      <c r="DT72" s="517"/>
      <c r="DU72" s="517"/>
      <c r="DV72" s="517"/>
      <c r="DW72" s="517"/>
      <c r="DX72" s="517"/>
      <c r="DY72" s="517"/>
      <c r="DZ72" s="517"/>
      <c r="EA72" s="517"/>
      <c r="EB72" s="517"/>
      <c r="EC72" s="517"/>
      <c r="ED72" s="517"/>
      <c r="EE72" s="517"/>
      <c r="EF72" s="517"/>
      <c r="EG72" s="517"/>
      <c r="EH72" s="517"/>
      <c r="EI72" s="517"/>
      <c r="EJ72" s="517"/>
      <c r="EK72" s="517"/>
      <c r="EL72" s="517"/>
      <c r="EM72" s="517"/>
      <c r="EN72" s="517"/>
      <c r="EO72" s="517"/>
      <c r="EP72" s="517"/>
      <c r="EQ72" s="517"/>
      <c r="ER72" s="517"/>
      <c r="ES72" s="627" t="s">
        <v>1140</v>
      </c>
    </row>
    <row r="73">
      <c r="A73" s="517"/>
      <c r="B73" s="517"/>
      <c r="C73" s="517"/>
      <c r="D73" s="517"/>
      <c r="E73" s="517"/>
      <c r="F73" s="517"/>
      <c r="G73" s="517"/>
      <c r="H73" s="517"/>
      <c r="I73" s="517"/>
      <c r="J73" s="517"/>
      <c r="K73" s="517"/>
      <c r="L73" s="517"/>
      <c r="M73" s="517"/>
      <c r="N73" s="517"/>
      <c r="O73" s="517"/>
      <c r="P73" s="517"/>
      <c r="Q73" s="517"/>
      <c r="R73" s="517"/>
      <c r="S73" s="517"/>
      <c r="T73" s="517"/>
      <c r="U73" s="517"/>
      <c r="V73" s="517"/>
      <c r="W73" s="517"/>
      <c r="X73" s="517"/>
      <c r="Y73" s="517"/>
      <c r="Z73" s="517"/>
      <c r="AA73" s="517"/>
      <c r="AB73" s="517"/>
      <c r="AC73" s="517"/>
      <c r="AD73" s="517"/>
      <c r="AE73" s="517"/>
      <c r="AF73" s="517"/>
      <c r="AG73" s="517"/>
      <c r="AH73" s="517"/>
      <c r="AI73" s="517"/>
      <c r="AJ73" s="517"/>
      <c r="AK73" s="517"/>
      <c r="AL73" s="517"/>
      <c r="AM73" s="517"/>
      <c r="AN73" s="517"/>
      <c r="AO73" s="517"/>
      <c r="AP73" s="517"/>
      <c r="AQ73" s="517"/>
      <c r="AR73" s="517"/>
      <c r="AS73" s="517"/>
      <c r="AT73" s="517"/>
      <c r="AU73" s="517"/>
      <c r="AV73" s="517"/>
      <c r="AW73" s="517"/>
      <c r="AX73" s="517"/>
      <c r="AY73" s="517"/>
      <c r="AZ73" s="517"/>
      <c r="BA73" s="517"/>
      <c r="BB73" s="517"/>
      <c r="BC73" s="517"/>
      <c r="BD73" s="517"/>
      <c r="BE73" s="517"/>
      <c r="BF73" s="517"/>
      <c r="BG73" s="517"/>
      <c r="BH73" s="517"/>
      <c r="BI73" s="517"/>
      <c r="BJ73" s="517"/>
      <c r="BK73" s="517"/>
      <c r="BL73" s="517"/>
      <c r="BM73" s="517"/>
      <c r="BN73" s="517"/>
      <c r="BO73" s="517"/>
      <c r="BP73" s="517"/>
      <c r="BQ73" s="517"/>
      <c r="BR73" s="517"/>
      <c r="BS73" s="517"/>
      <c r="BT73" s="517"/>
      <c r="BU73" s="517"/>
      <c r="BV73" s="517"/>
      <c r="BW73" s="517"/>
      <c r="BX73" s="517"/>
      <c r="BY73" s="517"/>
      <c r="BZ73" s="517"/>
      <c r="CA73" s="517"/>
      <c r="CB73" s="517"/>
      <c r="CC73" s="517"/>
      <c r="CD73" s="517"/>
      <c r="CE73" s="517"/>
      <c r="CF73" s="517"/>
      <c r="CG73" s="517"/>
      <c r="CH73" s="517"/>
      <c r="CI73" s="517"/>
      <c r="CJ73" s="517"/>
      <c r="CK73" s="517"/>
      <c r="CL73" s="517"/>
      <c r="CM73" s="517"/>
      <c r="CN73" s="517"/>
      <c r="CO73" s="517"/>
      <c r="CP73" s="517"/>
      <c r="CQ73" s="517"/>
      <c r="CR73" s="517"/>
      <c r="CS73" s="517"/>
      <c r="CT73" s="517"/>
      <c r="CU73" s="517"/>
      <c r="CV73" s="517"/>
      <c r="CW73" s="517"/>
      <c r="CX73" s="517"/>
      <c r="CY73" s="517"/>
      <c r="CZ73" s="517"/>
      <c r="DA73" s="517"/>
      <c r="DB73" s="517"/>
      <c r="DC73" s="517"/>
      <c r="DD73" s="517"/>
      <c r="DE73" s="517"/>
      <c r="DF73" s="517"/>
      <c r="DG73" s="517"/>
      <c r="DH73" s="517"/>
      <c r="DI73" s="517"/>
      <c r="DJ73" s="517"/>
      <c r="DK73" s="517"/>
      <c r="DL73" s="517"/>
      <c r="DM73" s="517"/>
      <c r="DN73" s="517"/>
      <c r="DO73" s="517"/>
      <c r="DP73" s="517"/>
      <c r="DQ73" s="517"/>
      <c r="DR73" s="517"/>
      <c r="DS73" s="517"/>
      <c r="DT73" s="517"/>
      <c r="DU73" s="517"/>
      <c r="DV73" s="517"/>
      <c r="DW73" s="517"/>
      <c r="DX73" s="517"/>
      <c r="DY73" s="517"/>
      <c r="DZ73" s="517"/>
      <c r="EA73" s="517"/>
      <c r="EB73" s="517"/>
      <c r="EC73" s="517"/>
      <c r="ED73" s="517"/>
      <c r="EE73" s="517"/>
      <c r="EF73" s="517"/>
      <c r="EG73" s="517"/>
      <c r="EH73" s="517"/>
      <c r="EI73" s="517"/>
      <c r="EJ73" s="517"/>
      <c r="EK73" s="517"/>
      <c r="EL73" s="517"/>
      <c r="EM73" s="517"/>
      <c r="EN73" s="517"/>
      <c r="EO73" s="517"/>
      <c r="EP73" s="517"/>
      <c r="EQ73" s="517"/>
      <c r="ER73" s="517"/>
      <c r="ES73" s="627" t="s">
        <v>1140</v>
      </c>
    </row>
    <row r="74">
      <c r="A74" s="517"/>
      <c r="B74" s="517"/>
      <c r="C74" s="517"/>
      <c r="D74" s="517"/>
      <c r="E74" s="517"/>
      <c r="F74" s="517"/>
      <c r="G74" s="517"/>
      <c r="H74" s="517"/>
      <c r="I74" s="517"/>
      <c r="J74" s="517"/>
      <c r="K74" s="517"/>
      <c r="L74" s="517"/>
      <c r="M74" s="517"/>
      <c r="N74" s="517"/>
      <c r="O74" s="517"/>
      <c r="P74" s="517"/>
      <c r="Q74" s="517"/>
      <c r="R74" s="517"/>
      <c r="S74" s="517"/>
      <c r="T74" s="517"/>
      <c r="U74" s="517"/>
      <c r="V74" s="517"/>
      <c r="W74" s="517"/>
      <c r="X74" s="517"/>
      <c r="Y74" s="517"/>
      <c r="Z74" s="517"/>
      <c r="AA74" s="517"/>
      <c r="AB74" s="517"/>
      <c r="AC74" s="517"/>
      <c r="AD74" s="517"/>
      <c r="AE74" s="517"/>
      <c r="AF74" s="517"/>
      <c r="AG74" s="517"/>
      <c r="AH74" s="517"/>
      <c r="AI74" s="517"/>
      <c r="AJ74" s="517"/>
      <c r="AK74" s="517"/>
      <c r="AL74" s="517"/>
      <c r="AM74" s="517"/>
      <c r="AN74" s="517"/>
      <c r="AO74" s="517"/>
      <c r="AP74" s="517"/>
      <c r="AQ74" s="517"/>
      <c r="AR74" s="517"/>
      <c r="AS74" s="517"/>
      <c r="AT74" s="517"/>
      <c r="AU74" s="517"/>
      <c r="AV74" s="517"/>
      <c r="AW74" s="517"/>
      <c r="AX74" s="517"/>
      <c r="AY74" s="517"/>
      <c r="AZ74" s="517"/>
      <c r="BA74" s="517"/>
      <c r="BB74" s="517"/>
      <c r="BC74" s="517"/>
      <c r="BD74" s="517"/>
      <c r="BE74" s="517"/>
      <c r="BF74" s="517"/>
      <c r="BG74" s="517"/>
      <c r="BH74" s="517"/>
      <c r="BI74" s="517"/>
      <c r="BJ74" s="517"/>
      <c r="BK74" s="517"/>
      <c r="BL74" s="517"/>
      <c r="BM74" s="517"/>
      <c r="BN74" s="517"/>
      <c r="BO74" s="517"/>
      <c r="BP74" s="517"/>
      <c r="BQ74" s="517"/>
      <c r="BR74" s="517"/>
      <c r="BS74" s="517"/>
      <c r="BT74" s="517"/>
      <c r="BU74" s="517"/>
      <c r="BV74" s="517"/>
      <c r="BW74" s="517"/>
      <c r="BX74" s="517"/>
      <c r="BY74" s="517"/>
      <c r="BZ74" s="517"/>
      <c r="CA74" s="517"/>
      <c r="CB74" s="517"/>
      <c r="CC74" s="517"/>
      <c r="CD74" s="517"/>
      <c r="CE74" s="517"/>
      <c r="CF74" s="517"/>
      <c r="CG74" s="517"/>
      <c r="CH74" s="517"/>
      <c r="CI74" s="517"/>
      <c r="CJ74" s="517"/>
      <c r="CK74" s="517"/>
      <c r="CL74" s="517"/>
      <c r="CM74" s="517"/>
      <c r="CN74" s="517"/>
      <c r="CO74" s="517"/>
      <c r="CP74" s="517"/>
      <c r="CQ74" s="517"/>
      <c r="CR74" s="517"/>
      <c r="CS74" s="517"/>
      <c r="CT74" s="517"/>
      <c r="CU74" s="517"/>
      <c r="CV74" s="517"/>
      <c r="CW74" s="517"/>
      <c r="CX74" s="517"/>
      <c r="CY74" s="517"/>
      <c r="CZ74" s="517"/>
      <c r="DA74" s="517"/>
      <c r="DB74" s="517"/>
      <c r="DC74" s="517"/>
      <c r="DD74" s="517"/>
      <c r="DE74" s="517"/>
      <c r="DF74" s="517"/>
      <c r="DG74" s="517"/>
      <c r="DH74" s="517"/>
      <c r="DI74" s="517"/>
      <c r="DJ74" s="517"/>
      <c r="DK74" s="517"/>
      <c r="DL74" s="517"/>
      <c r="DM74" s="517"/>
      <c r="DN74" s="517"/>
      <c r="DO74" s="517"/>
      <c r="DP74" s="517"/>
      <c r="DQ74" s="517"/>
      <c r="DR74" s="517"/>
      <c r="DS74" s="517"/>
      <c r="DT74" s="517"/>
      <c r="DU74" s="517"/>
      <c r="DV74" s="517"/>
      <c r="DW74" s="517"/>
      <c r="DX74" s="517"/>
      <c r="DY74" s="517"/>
      <c r="DZ74" s="517"/>
      <c r="EA74" s="517"/>
      <c r="EB74" s="517"/>
      <c r="EC74" s="517"/>
      <c r="ED74" s="517"/>
      <c r="EE74" s="517"/>
      <c r="EF74" s="517"/>
      <c r="EG74" s="517"/>
      <c r="EH74" s="517"/>
      <c r="EI74" s="517"/>
      <c r="EJ74" s="517"/>
      <c r="EK74" s="517"/>
      <c r="EL74" s="517"/>
      <c r="EM74" s="517"/>
      <c r="EN74" s="517"/>
      <c r="EO74" s="517"/>
      <c r="EP74" s="517"/>
      <c r="EQ74" s="517"/>
      <c r="ER74" s="517"/>
      <c r="ES74" s="627" t="s">
        <v>1140</v>
      </c>
    </row>
    <row r="75">
      <c r="A75" s="517"/>
      <c r="B75" s="517"/>
      <c r="C75" s="517"/>
      <c r="D75" s="517"/>
      <c r="E75" s="517"/>
      <c r="F75" s="517"/>
      <c r="G75" s="517"/>
      <c r="H75" s="517"/>
      <c r="I75" s="517"/>
      <c r="J75" s="517"/>
      <c r="K75" s="517"/>
      <c r="L75" s="517"/>
      <c r="M75" s="517"/>
      <c r="N75" s="517"/>
      <c r="O75" s="517"/>
      <c r="P75" s="517"/>
      <c r="Q75" s="517"/>
      <c r="R75" s="517"/>
      <c r="S75" s="517"/>
      <c r="T75" s="517"/>
      <c r="U75" s="517"/>
      <c r="V75" s="517"/>
      <c r="W75" s="517"/>
      <c r="X75" s="517"/>
      <c r="Y75" s="517"/>
      <c r="Z75" s="517"/>
      <c r="AA75" s="517"/>
      <c r="AB75" s="517"/>
      <c r="AC75" s="517"/>
      <c r="AD75" s="517"/>
      <c r="AE75" s="517"/>
      <c r="AF75" s="517"/>
      <c r="AG75" s="517"/>
      <c r="AH75" s="517"/>
      <c r="AI75" s="517"/>
      <c r="AJ75" s="517"/>
      <c r="AK75" s="517"/>
      <c r="AL75" s="517"/>
      <c r="AM75" s="517"/>
      <c r="AN75" s="517"/>
      <c r="AO75" s="517"/>
      <c r="AP75" s="517"/>
      <c r="AQ75" s="517"/>
      <c r="AR75" s="517"/>
      <c r="AS75" s="517"/>
      <c r="AT75" s="517"/>
      <c r="AU75" s="517"/>
      <c r="AV75" s="517"/>
      <c r="AW75" s="517"/>
      <c r="AX75" s="517"/>
      <c r="AY75" s="517"/>
      <c r="AZ75" s="517"/>
      <c r="BA75" s="517"/>
      <c r="BB75" s="517"/>
      <c r="BC75" s="517"/>
      <c r="BD75" s="517"/>
      <c r="BE75" s="517"/>
      <c r="BF75" s="517"/>
      <c r="BG75" s="517"/>
      <c r="BH75" s="517"/>
      <c r="BI75" s="517"/>
      <c r="BJ75" s="517"/>
      <c r="BK75" s="517"/>
      <c r="BL75" s="517"/>
      <c r="BM75" s="517"/>
      <c r="BN75" s="517"/>
      <c r="BO75" s="517"/>
      <c r="BP75" s="517"/>
      <c r="BQ75" s="517"/>
      <c r="BR75" s="517"/>
      <c r="BS75" s="517"/>
      <c r="BT75" s="517"/>
      <c r="BU75" s="517"/>
      <c r="BV75" s="517"/>
      <c r="BW75" s="517"/>
      <c r="BX75" s="517"/>
      <c r="BY75" s="517"/>
      <c r="BZ75" s="517"/>
      <c r="CA75" s="517"/>
      <c r="CB75" s="517"/>
      <c r="CC75" s="517"/>
      <c r="CD75" s="517"/>
      <c r="CE75" s="517"/>
      <c r="CF75" s="517"/>
      <c r="CG75" s="517"/>
      <c r="CH75" s="517"/>
      <c r="CI75" s="517"/>
      <c r="CJ75" s="517"/>
      <c r="CK75" s="517"/>
      <c r="CL75" s="517"/>
      <c r="CM75" s="517"/>
      <c r="CN75" s="517"/>
      <c r="CO75" s="517"/>
      <c r="CP75" s="517"/>
      <c r="CQ75" s="517"/>
      <c r="CR75" s="517"/>
      <c r="CS75" s="517"/>
      <c r="CT75" s="517"/>
      <c r="CU75" s="517"/>
      <c r="CV75" s="517"/>
      <c r="CW75" s="517"/>
      <c r="CX75" s="517"/>
      <c r="CY75" s="517"/>
      <c r="CZ75" s="517"/>
      <c r="DA75" s="517"/>
      <c r="DB75" s="517"/>
      <c r="DC75" s="517"/>
      <c r="DD75" s="517"/>
      <c r="DE75" s="517"/>
      <c r="DF75" s="517"/>
      <c r="DG75" s="517"/>
      <c r="DH75" s="517"/>
      <c r="DI75" s="517"/>
      <c r="DJ75" s="517"/>
      <c r="DK75" s="517"/>
      <c r="DL75" s="517"/>
      <c r="DM75" s="517"/>
      <c r="DN75" s="517"/>
      <c r="DO75" s="517"/>
      <c r="DP75" s="517"/>
      <c r="DQ75" s="517"/>
      <c r="DR75" s="517"/>
      <c r="DS75" s="517"/>
      <c r="DT75" s="517"/>
      <c r="DU75" s="517"/>
      <c r="DV75" s="517"/>
      <c r="DW75" s="517"/>
      <c r="DX75" s="517"/>
      <c r="DY75" s="517"/>
      <c r="DZ75" s="517"/>
      <c r="EA75" s="517"/>
      <c r="EB75" s="517"/>
      <c r="EC75" s="517"/>
      <c r="ED75" s="517"/>
      <c r="EE75" s="517"/>
      <c r="EF75" s="517"/>
      <c r="EG75" s="517"/>
      <c r="EH75" s="517"/>
      <c r="EI75" s="517"/>
      <c r="EJ75" s="517"/>
      <c r="EK75" s="517"/>
      <c r="EL75" s="517"/>
      <c r="EM75" s="517"/>
      <c r="EN75" s="517"/>
      <c r="EO75" s="517"/>
      <c r="EP75" s="517"/>
      <c r="EQ75" s="517"/>
      <c r="ER75" s="517"/>
      <c r="ES75" s="627" t="s">
        <v>1140</v>
      </c>
    </row>
    <row r="76">
      <c r="A76" s="517"/>
      <c r="B76" s="517"/>
      <c r="C76" s="517"/>
      <c r="D76" s="517"/>
      <c r="E76" s="517"/>
      <c r="F76" s="517"/>
      <c r="G76" s="517"/>
      <c r="H76" s="517"/>
      <c r="I76" s="517"/>
      <c r="J76" s="517"/>
      <c r="K76" s="517"/>
      <c r="L76" s="517"/>
      <c r="M76" s="517"/>
      <c r="N76" s="517"/>
      <c r="O76" s="517"/>
      <c r="P76" s="517"/>
      <c r="Q76" s="517"/>
      <c r="R76" s="517"/>
      <c r="S76" s="517"/>
      <c r="T76" s="517"/>
      <c r="U76" s="517"/>
      <c r="V76" s="517"/>
      <c r="W76" s="517"/>
      <c r="X76" s="517"/>
      <c r="Y76" s="517"/>
      <c r="Z76" s="517"/>
      <c r="AA76" s="517"/>
      <c r="AB76" s="517"/>
      <c r="AC76" s="517"/>
      <c r="AD76" s="517"/>
      <c r="AE76" s="517"/>
      <c r="AF76" s="517"/>
      <c r="AG76" s="517"/>
      <c r="AH76" s="517"/>
      <c r="AI76" s="517"/>
      <c r="AJ76" s="517"/>
      <c r="AK76" s="517"/>
      <c r="AL76" s="517"/>
      <c r="AM76" s="517"/>
      <c r="AN76" s="517"/>
      <c r="AO76" s="517"/>
      <c r="AP76" s="517"/>
      <c r="AQ76" s="517"/>
      <c r="AR76" s="517"/>
      <c r="AS76" s="517"/>
      <c r="AT76" s="517"/>
      <c r="AU76" s="517"/>
      <c r="AV76" s="517"/>
      <c r="AW76" s="517"/>
      <c r="AX76" s="517"/>
      <c r="AY76" s="517"/>
      <c r="AZ76" s="517"/>
      <c r="BA76" s="517"/>
      <c r="BB76" s="517"/>
      <c r="BC76" s="517"/>
      <c r="BD76" s="517"/>
      <c r="BE76" s="517"/>
      <c r="BF76" s="517"/>
      <c r="BG76" s="517"/>
      <c r="BH76" s="517"/>
      <c r="BI76" s="517"/>
      <c r="BJ76" s="517"/>
      <c r="BK76" s="517"/>
      <c r="BL76" s="517"/>
      <c r="BM76" s="517"/>
      <c r="BN76" s="517"/>
      <c r="BO76" s="517"/>
      <c r="BP76" s="517"/>
      <c r="BQ76" s="517"/>
      <c r="BR76" s="517"/>
      <c r="BS76" s="517"/>
      <c r="BT76" s="517"/>
      <c r="BU76" s="517"/>
      <c r="BV76" s="517"/>
      <c r="BW76" s="517"/>
      <c r="BX76" s="517"/>
      <c r="BY76" s="517"/>
      <c r="BZ76" s="517"/>
      <c r="CA76" s="517"/>
      <c r="CB76" s="517"/>
      <c r="CC76" s="517"/>
      <c r="CD76" s="517"/>
      <c r="CE76" s="517"/>
      <c r="CF76" s="517"/>
      <c r="CG76" s="517"/>
      <c r="CH76" s="517"/>
      <c r="CI76" s="517"/>
      <c r="CJ76" s="517"/>
      <c r="CK76" s="517"/>
      <c r="CL76" s="517"/>
      <c r="CM76" s="517"/>
      <c r="CN76" s="517"/>
      <c r="CO76" s="517"/>
      <c r="CP76" s="517"/>
      <c r="CQ76" s="517"/>
      <c r="CR76" s="517"/>
      <c r="CS76" s="517"/>
      <c r="CT76" s="517"/>
      <c r="CU76" s="517"/>
      <c r="CV76" s="517"/>
      <c r="CW76" s="517"/>
      <c r="CX76" s="517"/>
      <c r="CY76" s="517"/>
      <c r="CZ76" s="517"/>
      <c r="DA76" s="517"/>
      <c r="DB76" s="517"/>
      <c r="DC76" s="517"/>
      <c r="DD76" s="517"/>
      <c r="DE76" s="517"/>
      <c r="DF76" s="517"/>
      <c r="DG76" s="517"/>
      <c r="DH76" s="517"/>
      <c r="DI76" s="517"/>
      <c r="DJ76" s="517"/>
      <c r="DK76" s="517"/>
      <c r="DL76" s="517"/>
      <c r="DM76" s="517"/>
      <c r="DN76" s="517"/>
      <c r="DO76" s="517"/>
      <c r="DP76" s="517"/>
      <c r="DQ76" s="517"/>
      <c r="DR76" s="517"/>
      <c r="DS76" s="517"/>
      <c r="DT76" s="517"/>
      <c r="DU76" s="517"/>
      <c r="DV76" s="517"/>
      <c r="DW76" s="517"/>
      <c r="DX76" s="517"/>
      <c r="DY76" s="517"/>
      <c r="DZ76" s="517"/>
      <c r="EA76" s="517"/>
      <c r="EB76" s="517"/>
      <c r="EC76" s="517"/>
      <c r="ED76" s="517"/>
      <c r="EE76" s="517"/>
      <c r="EF76" s="517"/>
      <c r="EG76" s="517"/>
      <c r="EH76" s="517"/>
      <c r="EI76" s="517"/>
      <c r="EJ76" s="517"/>
      <c r="EK76" s="517"/>
      <c r="EL76" s="517"/>
      <c r="EM76" s="517"/>
      <c r="EN76" s="517"/>
      <c r="EO76" s="517"/>
      <c r="EP76" s="517"/>
      <c r="EQ76" s="517"/>
      <c r="ER76" s="517"/>
      <c r="ES76" s="627" t="s">
        <v>1140</v>
      </c>
    </row>
    <row r="77">
      <c r="A77" s="517"/>
      <c r="B77" s="517"/>
      <c r="C77" s="517"/>
      <c r="D77" s="517"/>
      <c r="E77" s="517"/>
      <c r="F77" s="517"/>
      <c r="G77" s="517"/>
      <c r="H77" s="517"/>
      <c r="I77" s="517"/>
      <c r="J77" s="517"/>
      <c r="K77" s="517"/>
      <c r="L77" s="517"/>
      <c r="M77" s="517"/>
      <c r="N77" s="517"/>
      <c r="O77" s="517"/>
      <c r="P77" s="517"/>
      <c r="Q77" s="517"/>
      <c r="R77" s="517"/>
      <c r="S77" s="517"/>
      <c r="T77" s="517"/>
      <c r="U77" s="517"/>
      <c r="V77" s="517"/>
      <c r="W77" s="517"/>
      <c r="X77" s="517"/>
      <c r="Y77" s="517"/>
      <c r="Z77" s="517"/>
      <c r="AA77" s="517"/>
      <c r="AB77" s="517"/>
      <c r="AC77" s="517"/>
      <c r="AD77" s="517"/>
      <c r="AE77" s="517"/>
      <c r="AF77" s="517"/>
      <c r="AG77" s="517"/>
      <c r="AH77" s="517"/>
      <c r="AI77" s="517"/>
      <c r="AJ77" s="517"/>
      <c r="AK77" s="517"/>
      <c r="AL77" s="517"/>
      <c r="AM77" s="517"/>
      <c r="AN77" s="517"/>
      <c r="AO77" s="517"/>
      <c r="AP77" s="517"/>
      <c r="AQ77" s="517"/>
      <c r="AR77" s="517"/>
      <c r="AS77" s="517"/>
      <c r="AT77" s="517"/>
      <c r="AU77" s="517"/>
      <c r="AV77" s="517"/>
      <c r="AW77" s="517"/>
      <c r="AX77" s="517"/>
      <c r="AY77" s="517"/>
      <c r="AZ77" s="517"/>
      <c r="BA77" s="517"/>
      <c r="BB77" s="517"/>
      <c r="BC77" s="517"/>
      <c r="BD77" s="517"/>
      <c r="BE77" s="517"/>
      <c r="BF77" s="517"/>
      <c r="BG77" s="517"/>
      <c r="BH77" s="517"/>
      <c r="BI77" s="517"/>
      <c r="BJ77" s="517"/>
      <c r="BK77" s="517"/>
      <c r="BL77" s="517"/>
      <c r="BM77" s="517"/>
      <c r="BN77" s="517"/>
      <c r="BO77" s="517"/>
      <c r="BP77" s="517"/>
      <c r="BQ77" s="517"/>
      <c r="BR77" s="517"/>
      <c r="BS77" s="517"/>
      <c r="BT77" s="517"/>
      <c r="BU77" s="517"/>
      <c r="BV77" s="517"/>
      <c r="BW77" s="517"/>
      <c r="BX77" s="517"/>
      <c r="BY77" s="517"/>
      <c r="BZ77" s="517"/>
      <c r="CA77" s="517"/>
      <c r="CB77" s="517"/>
      <c r="CC77" s="517"/>
      <c r="CD77" s="517"/>
      <c r="CE77" s="517"/>
      <c r="CF77" s="517"/>
      <c r="CG77" s="517"/>
      <c r="CH77" s="517"/>
      <c r="CI77" s="517"/>
      <c r="CJ77" s="517"/>
      <c r="CK77" s="517"/>
      <c r="CL77" s="517"/>
      <c r="CM77" s="517"/>
      <c r="CN77" s="517"/>
      <c r="CO77" s="517"/>
      <c r="CP77" s="517"/>
      <c r="CQ77" s="517"/>
      <c r="CR77" s="517"/>
      <c r="CS77" s="517"/>
      <c r="CT77" s="517"/>
      <c r="CU77" s="517"/>
      <c r="CV77" s="517"/>
      <c r="CW77" s="517"/>
      <c r="CX77" s="517"/>
      <c r="CY77" s="517"/>
      <c r="CZ77" s="517"/>
      <c r="DA77" s="517"/>
      <c r="DB77" s="517"/>
      <c r="DC77" s="517"/>
      <c r="DD77" s="517"/>
      <c r="DE77" s="517"/>
      <c r="DF77" s="517"/>
      <c r="DG77" s="517"/>
      <c r="DH77" s="517"/>
      <c r="DI77" s="517"/>
      <c r="DJ77" s="517"/>
      <c r="DK77" s="517"/>
      <c r="DL77" s="517"/>
      <c r="DM77" s="517"/>
      <c r="DN77" s="517"/>
      <c r="DO77" s="517"/>
      <c r="DP77" s="517"/>
      <c r="DQ77" s="517"/>
      <c r="DR77" s="517"/>
      <c r="DS77" s="517"/>
      <c r="DT77" s="517"/>
      <c r="DU77" s="517"/>
      <c r="DV77" s="517"/>
      <c r="DW77" s="517"/>
      <c r="DX77" s="517"/>
      <c r="DY77" s="517"/>
      <c r="DZ77" s="517"/>
      <c r="EA77" s="517"/>
      <c r="EB77" s="517"/>
      <c r="EC77" s="517"/>
      <c r="ED77" s="517"/>
      <c r="EE77" s="517"/>
      <c r="EF77" s="517"/>
      <c r="EG77" s="517"/>
      <c r="EH77" s="517"/>
      <c r="EI77" s="517"/>
      <c r="EJ77" s="517"/>
      <c r="EK77" s="517"/>
      <c r="EL77" s="517"/>
      <c r="EM77" s="517"/>
      <c r="EN77" s="517"/>
      <c r="EO77" s="517"/>
      <c r="EP77" s="517"/>
      <c r="EQ77" s="517"/>
      <c r="ER77" s="517"/>
      <c r="ES77" s="627" t="s">
        <v>1140</v>
      </c>
    </row>
    <row r="78">
      <c r="A78" s="517"/>
      <c r="B78" s="517"/>
      <c r="C78" s="517"/>
      <c r="D78" s="517"/>
      <c r="E78" s="517"/>
      <c r="F78" s="517"/>
      <c r="G78" s="517"/>
      <c r="H78" s="517"/>
      <c r="I78" s="517"/>
      <c r="J78" s="517"/>
      <c r="K78" s="517"/>
      <c r="L78" s="517"/>
      <c r="M78" s="517"/>
      <c r="N78" s="517"/>
      <c r="O78" s="517"/>
      <c r="P78" s="517"/>
      <c r="Q78" s="517"/>
      <c r="R78" s="517"/>
      <c r="S78" s="517"/>
      <c r="T78" s="517"/>
      <c r="U78" s="517"/>
      <c r="V78" s="517"/>
      <c r="W78" s="517"/>
      <c r="X78" s="517"/>
      <c r="Y78" s="517"/>
      <c r="Z78" s="517"/>
      <c r="AA78" s="517"/>
      <c r="AB78" s="517"/>
      <c r="AC78" s="517"/>
      <c r="AD78" s="517"/>
      <c r="AE78" s="517"/>
      <c r="AF78" s="517"/>
      <c r="AG78" s="517"/>
      <c r="AH78" s="517"/>
      <c r="AI78" s="517"/>
      <c r="AJ78" s="517"/>
      <c r="AK78" s="517"/>
      <c r="AL78" s="517"/>
      <c r="AM78" s="517"/>
      <c r="AN78" s="517"/>
      <c r="AO78" s="517"/>
      <c r="AP78" s="517"/>
      <c r="AQ78" s="517"/>
      <c r="AR78" s="517"/>
      <c r="AS78" s="517"/>
      <c r="AT78" s="517"/>
      <c r="AU78" s="517"/>
      <c r="AV78" s="517"/>
      <c r="AW78" s="517"/>
      <c r="AX78" s="517"/>
      <c r="AY78" s="517"/>
      <c r="AZ78" s="517"/>
      <c r="BA78" s="517"/>
      <c r="BB78" s="517"/>
      <c r="BC78" s="517"/>
      <c r="BD78" s="517"/>
      <c r="BE78" s="517"/>
      <c r="BF78" s="517"/>
      <c r="BG78" s="517"/>
      <c r="BH78" s="517"/>
      <c r="BI78" s="517"/>
      <c r="BJ78" s="517"/>
      <c r="BK78" s="517"/>
      <c r="BL78" s="517"/>
      <c r="BM78" s="517"/>
      <c r="BN78" s="517"/>
      <c r="BO78" s="517"/>
      <c r="BP78" s="517"/>
      <c r="BQ78" s="517"/>
      <c r="BR78" s="517"/>
      <c r="BS78" s="517"/>
      <c r="BT78" s="517"/>
      <c r="BU78" s="517"/>
      <c r="BV78" s="517"/>
      <c r="BW78" s="517"/>
      <c r="BX78" s="517"/>
      <c r="BY78" s="517"/>
      <c r="BZ78" s="517"/>
      <c r="CA78" s="517"/>
      <c r="CB78" s="517"/>
      <c r="CC78" s="517"/>
      <c r="CD78" s="517"/>
      <c r="CE78" s="517"/>
      <c r="CF78" s="517"/>
      <c r="CG78" s="517"/>
      <c r="CH78" s="517"/>
      <c r="CI78" s="517"/>
      <c r="CJ78" s="517"/>
      <c r="CK78" s="517"/>
      <c r="CL78" s="517"/>
      <c r="CM78" s="517"/>
      <c r="CN78" s="517"/>
      <c r="CO78" s="517"/>
      <c r="CP78" s="517"/>
      <c r="CQ78" s="517"/>
      <c r="CR78" s="517"/>
      <c r="CS78" s="517"/>
      <c r="CT78" s="517"/>
      <c r="CU78" s="517"/>
      <c r="CV78" s="517"/>
      <c r="CW78" s="517"/>
      <c r="CX78" s="517"/>
      <c r="CY78" s="517"/>
      <c r="CZ78" s="517"/>
      <c r="DA78" s="517"/>
      <c r="DB78" s="517"/>
      <c r="DC78" s="517"/>
      <c r="DD78" s="517"/>
      <c r="DE78" s="517"/>
      <c r="DF78" s="517"/>
      <c r="DG78" s="517"/>
      <c r="DH78" s="517"/>
      <c r="DI78" s="517"/>
      <c r="DJ78" s="517"/>
      <c r="DK78" s="517"/>
      <c r="DL78" s="517"/>
      <c r="DM78" s="517"/>
      <c r="DN78" s="517"/>
      <c r="DO78" s="517"/>
      <c r="DP78" s="517"/>
      <c r="DQ78" s="517"/>
      <c r="DR78" s="517"/>
      <c r="DS78" s="517"/>
      <c r="DT78" s="517"/>
      <c r="DU78" s="517"/>
      <c r="DV78" s="517"/>
      <c r="DW78" s="517"/>
      <c r="DX78" s="517"/>
      <c r="DY78" s="517"/>
      <c r="DZ78" s="517"/>
      <c r="EA78" s="517"/>
      <c r="EB78" s="517"/>
      <c r="EC78" s="517"/>
      <c r="ED78" s="517"/>
      <c r="EE78" s="517"/>
      <c r="EF78" s="517"/>
      <c r="EG78" s="517"/>
      <c r="EH78" s="517"/>
      <c r="EI78" s="517"/>
      <c r="EJ78" s="517"/>
      <c r="EK78" s="517"/>
      <c r="EL78" s="517"/>
      <c r="EM78" s="517"/>
      <c r="EN78" s="517"/>
      <c r="EO78" s="517"/>
      <c r="EP78" s="517"/>
      <c r="EQ78" s="517"/>
      <c r="ER78" s="517"/>
      <c r="ES78" s="627" t="s">
        <v>1140</v>
      </c>
    </row>
    <row r="79">
      <c r="A79" s="517"/>
      <c r="B79" s="517"/>
      <c r="C79" s="517"/>
      <c r="D79" s="517"/>
      <c r="E79" s="517"/>
      <c r="F79" s="517"/>
      <c r="G79" s="517"/>
      <c r="H79" s="517"/>
      <c r="I79" s="517"/>
      <c r="J79" s="517"/>
      <c r="K79" s="517"/>
      <c r="L79" s="517"/>
      <c r="M79" s="517"/>
      <c r="N79" s="517"/>
      <c r="O79" s="517"/>
      <c r="P79" s="517"/>
      <c r="Q79" s="517"/>
      <c r="R79" s="517"/>
      <c r="S79" s="517"/>
      <c r="T79" s="517"/>
      <c r="U79" s="517"/>
      <c r="V79" s="517"/>
      <c r="W79" s="517"/>
      <c r="X79" s="517"/>
      <c r="Y79" s="517"/>
      <c r="Z79" s="517"/>
      <c r="AA79" s="517"/>
      <c r="AB79" s="517"/>
      <c r="AC79" s="517"/>
      <c r="AD79" s="517"/>
      <c r="AE79" s="517"/>
      <c r="AF79" s="517"/>
      <c r="AG79" s="517"/>
      <c r="AH79" s="517"/>
      <c r="AI79" s="517"/>
      <c r="AJ79" s="517"/>
      <c r="AK79" s="517"/>
      <c r="AL79" s="517"/>
      <c r="AM79" s="517"/>
      <c r="AN79" s="517"/>
      <c r="AO79" s="517"/>
      <c r="AP79" s="517"/>
      <c r="AQ79" s="517"/>
      <c r="AR79" s="517"/>
      <c r="AS79" s="517"/>
      <c r="AT79" s="517"/>
      <c r="AU79" s="517"/>
      <c r="AV79" s="517"/>
      <c r="AW79" s="517"/>
      <c r="AX79" s="517"/>
      <c r="AY79" s="517"/>
      <c r="AZ79" s="517"/>
      <c r="BA79" s="517"/>
      <c r="BB79" s="517"/>
      <c r="BC79" s="517"/>
      <c r="BD79" s="517"/>
      <c r="BE79" s="517"/>
      <c r="BF79" s="517"/>
      <c r="BG79" s="517"/>
      <c r="BH79" s="517"/>
      <c r="BI79" s="517"/>
      <c r="BJ79" s="517"/>
      <c r="BK79" s="517"/>
      <c r="BL79" s="517"/>
      <c r="BM79" s="517"/>
      <c r="BN79" s="517"/>
      <c r="BO79" s="517"/>
      <c r="BP79" s="517"/>
      <c r="BQ79" s="517"/>
      <c r="BR79" s="517"/>
      <c r="BS79" s="517"/>
      <c r="BT79" s="517"/>
      <c r="BU79" s="517"/>
      <c r="BV79" s="517"/>
      <c r="BW79" s="517"/>
      <c r="BX79" s="517"/>
      <c r="BY79" s="517"/>
      <c r="BZ79" s="517"/>
      <c r="CA79" s="517"/>
      <c r="CB79" s="517"/>
      <c r="CC79" s="517"/>
      <c r="CD79" s="517"/>
      <c r="CE79" s="517"/>
      <c r="CF79" s="517"/>
      <c r="CG79" s="517"/>
      <c r="CH79" s="517"/>
      <c r="CI79" s="517"/>
      <c r="CJ79" s="517"/>
      <c r="CK79" s="517"/>
      <c r="CL79" s="517"/>
      <c r="CM79" s="517"/>
      <c r="CN79" s="517"/>
      <c r="CO79" s="517"/>
      <c r="CP79" s="517"/>
      <c r="CQ79" s="517"/>
      <c r="CR79" s="517"/>
      <c r="CS79" s="517"/>
      <c r="CT79" s="517"/>
      <c r="CU79" s="517"/>
      <c r="CV79" s="517"/>
      <c r="CW79" s="517"/>
      <c r="CX79" s="517"/>
      <c r="CY79" s="517"/>
      <c r="CZ79" s="517"/>
      <c r="DA79" s="517"/>
      <c r="DB79" s="517"/>
      <c r="DC79" s="517"/>
      <c r="DD79" s="517"/>
      <c r="DE79" s="517"/>
      <c r="DF79" s="517"/>
      <c r="DG79" s="517"/>
      <c r="DH79" s="517"/>
      <c r="DI79" s="517"/>
      <c r="DJ79" s="517"/>
      <c r="DK79" s="517"/>
      <c r="DL79" s="517"/>
      <c r="DM79" s="517"/>
      <c r="DN79" s="517"/>
      <c r="DO79" s="517"/>
      <c r="DP79" s="517"/>
      <c r="DQ79" s="517"/>
      <c r="DR79" s="517"/>
      <c r="DS79" s="517"/>
      <c r="DT79" s="517"/>
      <c r="DU79" s="517"/>
      <c r="DV79" s="517"/>
      <c r="DW79" s="517"/>
      <c r="DX79" s="517"/>
      <c r="DY79" s="517"/>
      <c r="DZ79" s="517"/>
      <c r="EA79" s="517"/>
      <c r="EB79" s="517"/>
      <c r="EC79" s="517"/>
      <c r="ED79" s="517"/>
      <c r="EE79" s="517"/>
      <c r="EF79" s="517"/>
      <c r="EG79" s="517"/>
      <c r="EH79" s="517"/>
      <c r="EI79" s="517"/>
      <c r="EJ79" s="517"/>
      <c r="EK79" s="517"/>
      <c r="EL79" s="517"/>
      <c r="EM79" s="517"/>
      <c r="EN79" s="517"/>
      <c r="EO79" s="517"/>
      <c r="EP79" s="517"/>
      <c r="EQ79" s="517"/>
      <c r="ER79" s="517"/>
      <c r="ES79" s="627" t="s">
        <v>1140</v>
      </c>
    </row>
    <row r="80">
      <c r="A80" s="517"/>
      <c r="B80" s="517"/>
      <c r="C80" s="517"/>
      <c r="D80" s="517"/>
      <c r="E80" s="517"/>
      <c r="F80" s="517"/>
      <c r="G80" s="517"/>
      <c r="H80" s="517"/>
      <c r="I80" s="517"/>
      <c r="J80" s="517"/>
      <c r="K80" s="517"/>
      <c r="L80" s="517"/>
      <c r="M80" s="517"/>
      <c r="N80" s="517"/>
      <c r="O80" s="517"/>
      <c r="P80" s="517"/>
      <c r="Q80" s="517"/>
      <c r="R80" s="517"/>
      <c r="S80" s="517"/>
      <c r="T80" s="517"/>
      <c r="U80" s="517"/>
      <c r="V80" s="517"/>
      <c r="W80" s="517"/>
      <c r="X80" s="517"/>
      <c r="Y80" s="517"/>
      <c r="Z80" s="517"/>
      <c r="AA80" s="517"/>
      <c r="AB80" s="517"/>
      <c r="AC80" s="517"/>
      <c r="AD80" s="517"/>
      <c r="AE80" s="517"/>
      <c r="AF80" s="517"/>
      <c r="AG80" s="517"/>
      <c r="AH80" s="517"/>
      <c r="AI80" s="517"/>
      <c r="AJ80" s="517"/>
      <c r="AK80" s="517"/>
      <c r="AL80" s="517"/>
      <c r="AM80" s="517"/>
      <c r="AN80" s="517"/>
      <c r="AO80" s="517"/>
      <c r="AP80" s="517"/>
      <c r="AQ80" s="517"/>
      <c r="AR80" s="517"/>
      <c r="AS80" s="517"/>
      <c r="AT80" s="517"/>
      <c r="AU80" s="517"/>
      <c r="AV80" s="517"/>
      <c r="AW80" s="517"/>
      <c r="AX80" s="517"/>
      <c r="AY80" s="517"/>
      <c r="AZ80" s="517"/>
      <c r="BA80" s="517"/>
      <c r="BB80" s="517"/>
      <c r="BC80" s="517"/>
      <c r="BD80" s="517"/>
      <c r="BE80" s="517"/>
      <c r="BF80" s="517"/>
      <c r="BG80" s="517"/>
      <c r="BH80" s="517"/>
      <c r="BI80" s="517"/>
      <c r="BJ80" s="517"/>
      <c r="BK80" s="517"/>
      <c r="BL80" s="517"/>
      <c r="BM80" s="517"/>
      <c r="BN80" s="517"/>
      <c r="BO80" s="517"/>
      <c r="BP80" s="517"/>
      <c r="BQ80" s="517"/>
      <c r="BR80" s="517"/>
      <c r="BS80" s="517"/>
      <c r="BT80" s="517"/>
      <c r="BU80" s="517"/>
      <c r="BV80" s="517"/>
      <c r="BW80" s="517"/>
      <c r="BX80" s="517"/>
      <c r="BY80" s="517"/>
      <c r="BZ80" s="517"/>
      <c r="CA80" s="517"/>
      <c r="CB80" s="517"/>
      <c r="CC80" s="517"/>
      <c r="CD80" s="517"/>
      <c r="CE80" s="517"/>
      <c r="CF80" s="517"/>
      <c r="CG80" s="517"/>
      <c r="CH80" s="517"/>
      <c r="CI80" s="517"/>
      <c r="CJ80" s="517"/>
      <c r="CK80" s="517"/>
      <c r="CL80" s="517"/>
      <c r="CM80" s="517"/>
      <c r="CN80" s="517"/>
      <c r="CO80" s="517"/>
      <c r="CP80" s="517"/>
      <c r="CQ80" s="517"/>
      <c r="CR80" s="517"/>
      <c r="CS80" s="517"/>
      <c r="CT80" s="517"/>
      <c r="CU80" s="517"/>
      <c r="CV80" s="517"/>
      <c r="CW80" s="517"/>
      <c r="CX80" s="517"/>
      <c r="CY80" s="517"/>
      <c r="CZ80" s="517"/>
      <c r="DA80" s="517"/>
      <c r="DB80" s="517"/>
      <c r="DC80" s="517"/>
      <c r="DD80" s="517"/>
      <c r="DE80" s="517"/>
      <c r="DF80" s="517"/>
      <c r="DG80" s="517"/>
      <c r="DH80" s="517"/>
      <c r="DI80" s="517"/>
      <c r="DJ80" s="517"/>
      <c r="DK80" s="517"/>
      <c r="DL80" s="517"/>
      <c r="DM80" s="517"/>
      <c r="DN80" s="517"/>
      <c r="DO80" s="517"/>
      <c r="DP80" s="517"/>
      <c r="DQ80" s="517"/>
      <c r="DR80" s="517"/>
      <c r="DS80" s="517"/>
      <c r="DT80" s="517"/>
      <c r="DU80" s="517"/>
      <c r="DV80" s="517"/>
      <c r="DW80" s="517"/>
      <c r="DX80" s="517"/>
      <c r="DY80" s="517"/>
      <c r="DZ80" s="517"/>
      <c r="EA80" s="517"/>
      <c r="EB80" s="517"/>
      <c r="EC80" s="517"/>
      <c r="ED80" s="517"/>
      <c r="EE80" s="517"/>
      <c r="EF80" s="517"/>
      <c r="EG80" s="517"/>
      <c r="EH80" s="517"/>
      <c r="EI80" s="517"/>
      <c r="EJ80" s="517"/>
      <c r="EK80" s="517"/>
      <c r="EL80" s="517"/>
      <c r="EM80" s="517"/>
      <c r="EN80" s="517"/>
      <c r="EO80" s="517"/>
      <c r="EP80" s="517"/>
      <c r="EQ80" s="517"/>
      <c r="ER80" s="517"/>
      <c r="ES80" s="627" t="s">
        <v>1140</v>
      </c>
    </row>
    <row r="81">
      <c r="A81" s="517"/>
      <c r="B81" s="517"/>
      <c r="C81" s="517"/>
      <c r="D81" s="517"/>
      <c r="E81" s="517"/>
      <c r="F81" s="517"/>
      <c r="G81" s="517"/>
      <c r="H81" s="517"/>
      <c r="I81" s="517"/>
      <c r="J81" s="517"/>
      <c r="K81" s="517"/>
      <c r="L81" s="517"/>
      <c r="M81" s="517"/>
      <c r="N81" s="517"/>
      <c r="O81" s="517"/>
      <c r="P81" s="517"/>
      <c r="Q81" s="517"/>
      <c r="R81" s="517"/>
      <c r="S81" s="517"/>
      <c r="T81" s="517"/>
      <c r="U81" s="517"/>
      <c r="V81" s="517"/>
      <c r="W81" s="517"/>
      <c r="X81" s="517"/>
      <c r="Y81" s="517"/>
      <c r="Z81" s="517"/>
      <c r="AA81" s="517"/>
      <c r="AB81" s="517"/>
      <c r="AC81" s="517"/>
      <c r="AD81" s="517"/>
      <c r="AE81" s="517"/>
      <c r="AF81" s="517"/>
      <c r="AG81" s="517"/>
      <c r="AH81" s="517"/>
      <c r="AI81" s="517"/>
      <c r="AJ81" s="517"/>
      <c r="AK81" s="517"/>
      <c r="AL81" s="517"/>
      <c r="AM81" s="517"/>
      <c r="AN81" s="517"/>
      <c r="AO81" s="517"/>
      <c r="AP81" s="517"/>
      <c r="AQ81" s="517"/>
      <c r="AR81" s="517"/>
      <c r="AS81" s="517"/>
      <c r="AT81" s="517"/>
      <c r="AU81" s="517"/>
      <c r="AV81" s="517"/>
      <c r="AW81" s="517"/>
      <c r="AX81" s="517"/>
      <c r="AY81" s="517"/>
      <c r="AZ81" s="517"/>
      <c r="BA81" s="517"/>
      <c r="BB81" s="517"/>
      <c r="BC81" s="517"/>
      <c r="BD81" s="517"/>
      <c r="BE81" s="517"/>
      <c r="BF81" s="517"/>
      <c r="BG81" s="517"/>
      <c r="BH81" s="517"/>
      <c r="BI81" s="517"/>
      <c r="BJ81" s="517"/>
      <c r="BK81" s="517"/>
      <c r="BL81" s="517"/>
      <c r="BM81" s="517"/>
      <c r="BN81" s="517"/>
      <c r="BO81" s="517"/>
      <c r="BP81" s="517"/>
      <c r="BQ81" s="517"/>
      <c r="BR81" s="517"/>
      <c r="BS81" s="517"/>
      <c r="BT81" s="517"/>
      <c r="BU81" s="517"/>
      <c r="BV81" s="517"/>
      <c r="BW81" s="517"/>
      <c r="BX81" s="517"/>
      <c r="BY81" s="517"/>
      <c r="BZ81" s="517"/>
      <c r="CA81" s="517"/>
      <c r="CB81" s="517"/>
      <c r="CC81" s="517"/>
      <c r="CD81" s="517"/>
      <c r="CE81" s="517"/>
      <c r="CF81" s="517"/>
      <c r="CG81" s="517"/>
      <c r="CH81" s="517"/>
      <c r="CI81" s="517"/>
      <c r="CJ81" s="517"/>
      <c r="CK81" s="517"/>
      <c r="CL81" s="517"/>
      <c r="CM81" s="517"/>
      <c r="CN81" s="517"/>
      <c r="CO81" s="517"/>
      <c r="CP81" s="517"/>
      <c r="CQ81" s="517"/>
      <c r="CR81" s="517"/>
      <c r="CS81" s="517"/>
      <c r="CT81" s="517"/>
      <c r="CU81" s="517"/>
      <c r="CV81" s="517"/>
      <c r="CW81" s="517"/>
      <c r="CX81" s="517"/>
      <c r="CY81" s="517"/>
      <c r="CZ81" s="517"/>
      <c r="DA81" s="517"/>
      <c r="DB81" s="517"/>
      <c r="DC81" s="517"/>
      <c r="DD81" s="517"/>
      <c r="DE81" s="517"/>
      <c r="DF81" s="517"/>
      <c r="DG81" s="517"/>
      <c r="DH81" s="517"/>
      <c r="DI81" s="517"/>
      <c r="DJ81" s="517"/>
      <c r="DK81" s="517"/>
      <c r="DL81" s="517"/>
      <c r="DM81" s="517"/>
      <c r="DN81" s="517"/>
      <c r="DO81" s="517"/>
      <c r="DP81" s="517"/>
      <c r="DQ81" s="517"/>
      <c r="DR81" s="517"/>
      <c r="DS81" s="517"/>
      <c r="DT81" s="517"/>
      <c r="DU81" s="517"/>
      <c r="DV81" s="517"/>
      <c r="DW81" s="517"/>
      <c r="DX81" s="517"/>
      <c r="DY81" s="517"/>
      <c r="DZ81" s="517"/>
      <c r="EA81" s="517"/>
      <c r="EB81" s="517"/>
      <c r="EC81" s="517"/>
      <c r="ED81" s="517"/>
      <c r="EE81" s="517"/>
      <c r="EF81" s="517"/>
      <c r="EG81" s="517"/>
      <c r="EH81" s="517"/>
      <c r="EI81" s="517"/>
      <c r="EJ81" s="517"/>
      <c r="EK81" s="517"/>
      <c r="EL81" s="517"/>
      <c r="EM81" s="517"/>
      <c r="EN81" s="517"/>
      <c r="EO81" s="517"/>
      <c r="EP81" s="517"/>
      <c r="EQ81" s="517"/>
      <c r="ER81" s="517"/>
      <c r="ES81" s="627" t="s">
        <v>1140</v>
      </c>
    </row>
    <row r="82">
      <c r="A82" s="517"/>
      <c r="B82" s="517"/>
      <c r="C82" s="517"/>
      <c r="D82" s="517"/>
      <c r="E82" s="517"/>
      <c r="F82" s="517"/>
      <c r="G82" s="517"/>
      <c r="H82" s="517"/>
      <c r="I82" s="517"/>
      <c r="J82" s="517"/>
      <c r="K82" s="517"/>
      <c r="L82" s="517"/>
      <c r="M82" s="517"/>
      <c r="N82" s="517"/>
      <c r="O82" s="517"/>
      <c r="P82" s="517"/>
      <c r="Q82" s="517"/>
      <c r="R82" s="517"/>
      <c r="S82" s="517"/>
      <c r="T82" s="517"/>
      <c r="U82" s="517"/>
      <c r="V82" s="517"/>
      <c r="W82" s="517"/>
      <c r="X82" s="517"/>
      <c r="Y82" s="517"/>
      <c r="Z82" s="517"/>
      <c r="AA82" s="517"/>
      <c r="AB82" s="517"/>
      <c r="AC82" s="517"/>
      <c r="AD82" s="517"/>
      <c r="AE82" s="517"/>
      <c r="AF82" s="517"/>
      <c r="AG82" s="517"/>
      <c r="AH82" s="517"/>
      <c r="AI82" s="517"/>
      <c r="AJ82" s="517"/>
      <c r="AK82" s="517"/>
      <c r="AL82" s="517"/>
      <c r="AM82" s="517"/>
      <c r="AN82" s="517"/>
      <c r="AO82" s="517"/>
      <c r="AP82" s="517"/>
      <c r="AQ82" s="517"/>
      <c r="AR82" s="517"/>
      <c r="AS82" s="517"/>
      <c r="AT82" s="517"/>
      <c r="AU82" s="517"/>
      <c r="AV82" s="517"/>
      <c r="AW82" s="517"/>
      <c r="AX82" s="517"/>
      <c r="AY82" s="517"/>
      <c r="AZ82" s="517"/>
      <c r="BA82" s="517"/>
      <c r="BB82" s="517"/>
      <c r="BC82" s="517"/>
      <c r="BD82" s="517"/>
      <c r="BE82" s="517"/>
      <c r="BF82" s="517"/>
      <c r="BG82" s="517"/>
      <c r="BH82" s="517"/>
      <c r="BI82" s="517"/>
      <c r="BJ82" s="517"/>
      <c r="BK82" s="517"/>
      <c r="BL82" s="517"/>
      <c r="BM82" s="517"/>
      <c r="BN82" s="517"/>
      <c r="BO82" s="517"/>
      <c r="BP82" s="517"/>
      <c r="BQ82" s="517"/>
      <c r="BR82" s="517"/>
      <c r="BS82" s="517"/>
      <c r="BT82" s="517"/>
      <c r="BU82" s="517"/>
      <c r="BV82" s="517"/>
      <c r="BW82" s="517"/>
      <c r="BX82" s="517"/>
      <c r="BY82" s="517"/>
      <c r="BZ82" s="517"/>
      <c r="CA82" s="517"/>
      <c r="CB82" s="517"/>
      <c r="CC82" s="517"/>
      <c r="CD82" s="517"/>
      <c r="CE82" s="517"/>
      <c r="CF82" s="517"/>
      <c r="CG82" s="517"/>
      <c r="CH82" s="517"/>
      <c r="CI82" s="517"/>
      <c r="CJ82" s="517"/>
      <c r="CK82" s="517"/>
      <c r="CL82" s="517"/>
      <c r="CM82" s="517"/>
      <c r="CN82" s="517"/>
      <c r="CO82" s="517"/>
      <c r="CP82" s="517"/>
      <c r="CQ82" s="517"/>
      <c r="CR82" s="517"/>
      <c r="CS82" s="517"/>
      <c r="CT82" s="517"/>
      <c r="CU82" s="517"/>
      <c r="CV82" s="517"/>
      <c r="CW82" s="517"/>
      <c r="CX82" s="517"/>
      <c r="CY82" s="517"/>
      <c r="CZ82" s="517"/>
      <c r="DA82" s="517"/>
      <c r="DB82" s="517"/>
      <c r="DC82" s="517"/>
      <c r="DD82" s="517"/>
      <c r="DE82" s="517"/>
      <c r="DF82" s="517"/>
      <c r="DG82" s="517"/>
      <c r="DH82" s="517"/>
      <c r="DI82" s="517"/>
      <c r="DJ82" s="517"/>
      <c r="DK82" s="517"/>
      <c r="DL82" s="517"/>
      <c r="DM82" s="517"/>
      <c r="DN82" s="517"/>
      <c r="DO82" s="517"/>
      <c r="DP82" s="517"/>
      <c r="DQ82" s="517"/>
      <c r="DR82" s="517"/>
      <c r="DS82" s="517"/>
      <c r="DT82" s="517"/>
      <c r="DU82" s="517"/>
      <c r="DV82" s="517"/>
      <c r="DW82" s="517"/>
      <c r="DX82" s="517"/>
      <c r="DY82" s="517"/>
      <c r="DZ82" s="517"/>
      <c r="EA82" s="517"/>
      <c r="EB82" s="517"/>
      <c r="EC82" s="517"/>
      <c r="ED82" s="517"/>
      <c r="EE82" s="517"/>
      <c r="EF82" s="517"/>
      <c r="EG82" s="517"/>
      <c r="EH82" s="517"/>
      <c r="EI82" s="517"/>
      <c r="EJ82" s="517"/>
      <c r="EK82" s="517"/>
      <c r="EL82" s="517"/>
      <c r="EM82" s="517"/>
      <c r="EN82" s="517"/>
      <c r="EO82" s="517"/>
      <c r="EP82" s="517"/>
      <c r="EQ82" s="517"/>
      <c r="ER82" s="517"/>
      <c r="ES82" s="627" t="s">
        <v>1140</v>
      </c>
    </row>
    <row r="83">
      <c r="A83" s="517"/>
      <c r="B83" s="517"/>
      <c r="C83" s="517"/>
      <c r="D83" s="517"/>
      <c r="E83" s="517"/>
      <c r="F83" s="517"/>
      <c r="G83" s="517"/>
      <c r="H83" s="517"/>
      <c r="I83" s="517"/>
      <c r="J83" s="517"/>
      <c r="K83" s="517"/>
      <c r="L83" s="517"/>
      <c r="M83" s="517"/>
      <c r="N83" s="517"/>
      <c r="O83" s="517"/>
      <c r="P83" s="517"/>
      <c r="Q83" s="517"/>
      <c r="R83" s="517"/>
      <c r="S83" s="517"/>
      <c r="T83" s="517"/>
      <c r="U83" s="517"/>
      <c r="V83" s="517"/>
      <c r="W83" s="517"/>
      <c r="X83" s="517"/>
      <c r="Y83" s="517"/>
      <c r="Z83" s="517"/>
      <c r="AA83" s="517"/>
      <c r="AB83" s="517"/>
      <c r="AC83" s="517"/>
      <c r="AD83" s="517"/>
      <c r="AE83" s="517"/>
      <c r="AF83" s="517"/>
      <c r="AG83" s="517"/>
      <c r="AH83" s="517"/>
      <c r="AI83" s="517"/>
      <c r="AJ83" s="517"/>
      <c r="AK83" s="517"/>
      <c r="AL83" s="517"/>
      <c r="AM83" s="517"/>
      <c r="AN83" s="517"/>
      <c r="AO83" s="517"/>
      <c r="AP83" s="517"/>
      <c r="AQ83" s="517"/>
      <c r="AR83" s="517"/>
      <c r="AS83" s="517"/>
      <c r="AT83" s="517"/>
      <c r="AU83" s="517"/>
      <c r="AV83" s="517"/>
      <c r="AW83" s="517"/>
      <c r="AX83" s="517"/>
      <c r="AY83" s="517"/>
      <c r="AZ83" s="517"/>
      <c r="BA83" s="517"/>
      <c r="BB83" s="517"/>
      <c r="BC83" s="517"/>
      <c r="BD83" s="517"/>
      <c r="BE83" s="517"/>
      <c r="BF83" s="517"/>
      <c r="BG83" s="517"/>
      <c r="BH83" s="517"/>
      <c r="BI83" s="517"/>
      <c r="BJ83" s="517"/>
      <c r="BK83" s="517"/>
      <c r="BL83" s="517"/>
      <c r="BM83" s="517"/>
      <c r="BN83" s="517"/>
      <c r="BO83" s="517"/>
      <c r="BP83" s="517"/>
      <c r="BQ83" s="517"/>
      <c r="BR83" s="517"/>
      <c r="BS83" s="517"/>
      <c r="BT83" s="517"/>
      <c r="BU83" s="517"/>
      <c r="BV83" s="517"/>
      <c r="BW83" s="517"/>
      <c r="BX83" s="517"/>
      <c r="BY83" s="517"/>
      <c r="BZ83" s="517"/>
      <c r="CA83" s="517"/>
      <c r="CB83" s="517"/>
      <c r="CC83" s="517"/>
      <c r="CD83" s="517"/>
      <c r="CE83" s="517"/>
      <c r="CF83" s="517"/>
      <c r="CG83" s="517"/>
      <c r="CH83" s="517"/>
      <c r="CI83" s="517"/>
      <c r="CJ83" s="517"/>
      <c r="CK83" s="517"/>
      <c r="CL83" s="517"/>
      <c r="CM83" s="517"/>
      <c r="CN83" s="517"/>
      <c r="CO83" s="517"/>
      <c r="CP83" s="517"/>
      <c r="CQ83" s="517"/>
      <c r="CR83" s="517"/>
      <c r="CS83" s="517"/>
      <c r="CT83" s="517"/>
      <c r="CU83" s="517"/>
      <c r="CV83" s="517"/>
      <c r="CW83" s="517"/>
      <c r="CX83" s="517"/>
      <c r="CY83" s="517"/>
      <c r="CZ83" s="517"/>
      <c r="DA83" s="517"/>
      <c r="DB83" s="517"/>
      <c r="DC83" s="517"/>
      <c r="DD83" s="517"/>
      <c r="DE83" s="517"/>
      <c r="DF83" s="517"/>
      <c r="DG83" s="517"/>
      <c r="DH83" s="517"/>
      <c r="DI83" s="517"/>
      <c r="DJ83" s="517"/>
      <c r="DK83" s="517"/>
      <c r="DL83" s="517"/>
      <c r="DM83" s="517"/>
      <c r="DN83" s="517"/>
      <c r="DO83" s="517"/>
      <c r="DP83" s="517"/>
      <c r="DQ83" s="517"/>
      <c r="DR83" s="517"/>
      <c r="DS83" s="517"/>
      <c r="DT83" s="517"/>
      <c r="DU83" s="517"/>
      <c r="DV83" s="517"/>
      <c r="DW83" s="517"/>
      <c r="DX83" s="517"/>
      <c r="DY83" s="517"/>
      <c r="DZ83" s="517"/>
      <c r="EA83" s="517"/>
      <c r="EB83" s="517"/>
      <c r="EC83" s="517"/>
      <c r="ED83" s="517"/>
      <c r="EE83" s="517"/>
      <c r="EF83" s="517"/>
      <c r="EG83" s="517"/>
      <c r="EH83" s="517"/>
      <c r="EI83" s="517"/>
      <c r="EJ83" s="517"/>
      <c r="EK83" s="517"/>
      <c r="EL83" s="517"/>
      <c r="EM83" s="517"/>
      <c r="EN83" s="517"/>
      <c r="EO83" s="517"/>
      <c r="EP83" s="517"/>
      <c r="EQ83" s="517"/>
      <c r="ER83" s="517"/>
      <c r="ES83" s="627" t="s">
        <v>1140</v>
      </c>
    </row>
    <row r="84">
      <c r="A84" s="517"/>
      <c r="B84" s="517"/>
      <c r="C84" s="517"/>
      <c r="D84" s="517"/>
      <c r="E84" s="517"/>
      <c r="F84" s="517"/>
      <c r="G84" s="517"/>
      <c r="H84" s="517"/>
      <c r="I84" s="517"/>
      <c r="J84" s="517"/>
      <c r="K84" s="517"/>
      <c r="L84" s="517"/>
      <c r="M84" s="517"/>
      <c r="N84" s="517"/>
      <c r="O84" s="517"/>
      <c r="P84" s="517"/>
      <c r="Q84" s="517"/>
      <c r="R84" s="517"/>
      <c r="S84" s="517"/>
      <c r="T84" s="517"/>
      <c r="U84" s="517"/>
      <c r="V84" s="517"/>
      <c r="W84" s="517"/>
      <c r="X84" s="517"/>
      <c r="Y84" s="517"/>
      <c r="Z84" s="517"/>
      <c r="AA84" s="517"/>
      <c r="AB84" s="517"/>
      <c r="AC84" s="517"/>
      <c r="AD84" s="517"/>
      <c r="AE84" s="517"/>
      <c r="AF84" s="517"/>
      <c r="AG84" s="517"/>
      <c r="AH84" s="517"/>
      <c r="AI84" s="517"/>
      <c r="AJ84" s="517"/>
      <c r="AK84" s="517"/>
      <c r="AL84" s="517"/>
      <c r="AM84" s="517"/>
      <c r="AN84" s="517"/>
      <c r="AO84" s="517"/>
      <c r="AP84" s="517"/>
      <c r="AQ84" s="517"/>
      <c r="AR84" s="517"/>
      <c r="AS84" s="517"/>
      <c r="AT84" s="517"/>
      <c r="AU84" s="517"/>
      <c r="AV84" s="517"/>
      <c r="AW84" s="517"/>
      <c r="AX84" s="517"/>
      <c r="AY84" s="517"/>
      <c r="AZ84" s="517"/>
      <c r="BA84" s="517"/>
      <c r="BB84" s="517"/>
      <c r="BC84" s="517"/>
      <c r="BD84" s="517"/>
      <c r="BE84" s="517"/>
      <c r="BF84" s="517"/>
      <c r="BG84" s="517"/>
      <c r="BH84" s="517"/>
      <c r="BI84" s="517"/>
      <c r="BJ84" s="517"/>
      <c r="BK84" s="517"/>
      <c r="BL84" s="517"/>
      <c r="BM84" s="517"/>
      <c r="BN84" s="517"/>
      <c r="BO84" s="517"/>
      <c r="BP84" s="517"/>
      <c r="BQ84" s="517"/>
      <c r="BR84" s="517"/>
      <c r="BS84" s="517"/>
      <c r="BT84" s="517"/>
      <c r="BU84" s="517"/>
      <c r="BV84" s="517"/>
      <c r="BW84" s="517"/>
      <c r="BX84" s="517"/>
      <c r="BY84" s="517"/>
      <c r="BZ84" s="517"/>
      <c r="CA84" s="517"/>
      <c r="CB84" s="517"/>
      <c r="CC84" s="517"/>
      <c r="CD84" s="517"/>
      <c r="CE84" s="517"/>
      <c r="CF84" s="517"/>
      <c r="CG84" s="517"/>
      <c r="CH84" s="517"/>
      <c r="CI84" s="517"/>
      <c r="CJ84" s="517"/>
      <c r="CK84" s="517"/>
      <c r="CL84" s="517"/>
      <c r="CM84" s="517"/>
      <c r="CN84" s="517"/>
      <c r="CO84" s="517"/>
      <c r="CP84" s="517"/>
      <c r="CQ84" s="517"/>
      <c r="CR84" s="517"/>
      <c r="CS84" s="517"/>
      <c r="CT84" s="517"/>
      <c r="CU84" s="517"/>
      <c r="CV84" s="517"/>
      <c r="CW84" s="517"/>
      <c r="CX84" s="517"/>
      <c r="CY84" s="517"/>
      <c r="CZ84" s="517"/>
      <c r="DA84" s="517"/>
      <c r="DB84" s="517"/>
      <c r="DC84" s="517"/>
      <c r="DD84" s="517"/>
      <c r="DE84" s="517"/>
      <c r="DF84" s="517"/>
      <c r="DG84" s="517"/>
      <c r="DH84" s="517"/>
      <c r="DI84" s="517"/>
      <c r="DJ84" s="517"/>
      <c r="DK84" s="517"/>
      <c r="DL84" s="517"/>
      <c r="DM84" s="517"/>
      <c r="DN84" s="517"/>
      <c r="DO84" s="517"/>
      <c r="DP84" s="517"/>
      <c r="DQ84" s="517"/>
      <c r="DR84" s="517"/>
      <c r="DS84" s="517"/>
      <c r="DT84" s="517"/>
      <c r="DU84" s="517"/>
      <c r="DV84" s="517"/>
      <c r="DW84" s="517"/>
      <c r="DX84" s="517"/>
      <c r="DY84" s="517"/>
      <c r="DZ84" s="517"/>
      <c r="EA84" s="517"/>
      <c r="EB84" s="517"/>
      <c r="EC84" s="517"/>
      <c r="ED84" s="517"/>
      <c r="EE84" s="517"/>
      <c r="EF84" s="517"/>
      <c r="EG84" s="517"/>
      <c r="EH84" s="517"/>
      <c r="EI84" s="517"/>
      <c r="EJ84" s="517"/>
      <c r="EK84" s="517"/>
      <c r="EL84" s="517"/>
      <c r="EM84" s="517"/>
      <c r="EN84" s="517"/>
      <c r="EO84" s="517"/>
      <c r="EP84" s="517"/>
      <c r="EQ84" s="517"/>
      <c r="ER84" s="517"/>
      <c r="ES84" s="627" t="s">
        <v>1140</v>
      </c>
    </row>
    <row r="85">
      <c r="A85" s="517"/>
      <c r="B85" s="517"/>
      <c r="C85" s="517"/>
      <c r="D85" s="517"/>
      <c r="E85" s="517"/>
      <c r="F85" s="517"/>
      <c r="G85" s="517"/>
      <c r="H85" s="517"/>
      <c r="I85" s="517"/>
      <c r="J85" s="517"/>
      <c r="K85" s="517"/>
      <c r="L85" s="517"/>
      <c r="M85" s="517"/>
      <c r="N85" s="517"/>
      <c r="O85" s="517"/>
      <c r="P85" s="517"/>
      <c r="Q85" s="517"/>
      <c r="R85" s="517"/>
      <c r="S85" s="517"/>
      <c r="T85" s="517"/>
      <c r="U85" s="517"/>
      <c r="V85" s="517"/>
      <c r="W85" s="517"/>
      <c r="X85" s="517"/>
      <c r="Y85" s="517"/>
      <c r="Z85" s="517"/>
      <c r="AA85" s="517"/>
      <c r="AB85" s="517"/>
      <c r="AC85" s="517"/>
      <c r="AD85" s="517"/>
      <c r="AE85" s="517"/>
      <c r="AF85" s="517"/>
      <c r="AG85" s="517"/>
      <c r="AH85" s="517"/>
      <c r="AI85" s="517"/>
      <c r="AJ85" s="517"/>
      <c r="AK85" s="517"/>
      <c r="AL85" s="517"/>
      <c r="AM85" s="517"/>
      <c r="AN85" s="517"/>
      <c r="AO85" s="517"/>
      <c r="AP85" s="517"/>
      <c r="AQ85" s="517"/>
      <c r="AR85" s="517"/>
      <c r="AS85" s="517"/>
      <c r="AT85" s="517"/>
      <c r="AU85" s="517"/>
      <c r="AV85" s="517"/>
      <c r="AW85" s="517"/>
      <c r="AX85" s="517"/>
      <c r="AY85" s="517"/>
      <c r="AZ85" s="517"/>
      <c r="BA85" s="517"/>
      <c r="BB85" s="517"/>
      <c r="BC85" s="517"/>
      <c r="BD85" s="517"/>
      <c r="BE85" s="517"/>
      <c r="BF85" s="517"/>
      <c r="BG85" s="517"/>
      <c r="BH85" s="517"/>
      <c r="BI85" s="517"/>
      <c r="BJ85" s="517"/>
      <c r="BK85" s="517"/>
      <c r="BL85" s="517"/>
      <c r="BM85" s="517"/>
      <c r="BN85" s="517"/>
      <c r="BO85" s="517"/>
      <c r="BP85" s="517"/>
      <c r="BQ85" s="517"/>
      <c r="BR85" s="517"/>
      <c r="BS85" s="517"/>
      <c r="BT85" s="517"/>
      <c r="BU85" s="517"/>
      <c r="BV85" s="517"/>
      <c r="BW85" s="517"/>
      <c r="BX85" s="517"/>
      <c r="BY85" s="517"/>
      <c r="BZ85" s="517"/>
      <c r="CA85" s="517"/>
      <c r="CB85" s="517"/>
      <c r="CC85" s="517"/>
      <c r="CD85" s="517"/>
      <c r="CE85" s="517"/>
      <c r="CF85" s="517"/>
      <c r="CG85" s="517"/>
      <c r="CH85" s="517"/>
      <c r="CI85" s="517"/>
      <c r="CJ85" s="517"/>
      <c r="CK85" s="517"/>
      <c r="CL85" s="517"/>
      <c r="CM85" s="517"/>
      <c r="CN85" s="517"/>
      <c r="CO85" s="517"/>
      <c r="CP85" s="517"/>
      <c r="CQ85" s="517"/>
      <c r="CR85" s="517"/>
      <c r="CS85" s="517"/>
      <c r="CT85" s="517"/>
      <c r="CU85" s="517"/>
      <c r="CV85" s="517"/>
      <c r="CW85" s="517"/>
      <c r="CX85" s="517"/>
      <c r="CY85" s="517"/>
      <c r="CZ85" s="517"/>
      <c r="DA85" s="517"/>
      <c r="DB85" s="517"/>
      <c r="DC85" s="517"/>
      <c r="DD85" s="517"/>
      <c r="DE85" s="517"/>
      <c r="DF85" s="517"/>
      <c r="DG85" s="517"/>
      <c r="DH85" s="517"/>
      <c r="DI85" s="517"/>
      <c r="DJ85" s="517"/>
      <c r="DK85" s="517"/>
      <c r="DL85" s="517"/>
      <c r="DM85" s="517"/>
      <c r="DN85" s="517"/>
      <c r="DO85" s="517"/>
      <c r="DP85" s="517"/>
      <c r="DQ85" s="517"/>
      <c r="DR85" s="517"/>
      <c r="DS85" s="517"/>
      <c r="DT85" s="517"/>
      <c r="DU85" s="517"/>
      <c r="DV85" s="517"/>
      <c r="DW85" s="517"/>
      <c r="DX85" s="517"/>
      <c r="DY85" s="517"/>
      <c r="DZ85" s="517"/>
      <c r="EA85" s="517"/>
      <c r="EB85" s="517"/>
      <c r="EC85" s="517"/>
      <c r="ED85" s="517"/>
      <c r="EE85" s="517"/>
      <c r="EF85" s="517"/>
      <c r="EG85" s="517"/>
      <c r="EH85" s="517"/>
      <c r="EI85" s="517"/>
      <c r="EJ85" s="517"/>
      <c r="EK85" s="517"/>
      <c r="EL85" s="517"/>
      <c r="EM85" s="517"/>
      <c r="EN85" s="517"/>
      <c r="EO85" s="517"/>
      <c r="EP85" s="517"/>
      <c r="EQ85" s="517"/>
      <c r="ER85" s="517"/>
      <c r="ES85" s="627" t="s">
        <v>1140</v>
      </c>
    </row>
    <row r="86">
      <c r="A86" s="517"/>
      <c r="B86" s="517"/>
      <c r="C86" s="517"/>
      <c r="D86" s="517"/>
      <c r="E86" s="517"/>
      <c r="F86" s="517"/>
      <c r="G86" s="517"/>
      <c r="H86" s="517"/>
      <c r="I86" s="517"/>
      <c r="J86" s="517"/>
      <c r="K86" s="517"/>
      <c r="L86" s="517"/>
      <c r="M86" s="517"/>
      <c r="N86" s="517"/>
      <c r="O86" s="517"/>
      <c r="P86" s="517"/>
      <c r="Q86" s="517"/>
      <c r="R86" s="517"/>
      <c r="S86" s="517"/>
      <c r="T86" s="517"/>
      <c r="U86" s="517"/>
      <c r="V86" s="517"/>
      <c r="W86" s="517"/>
      <c r="X86" s="517"/>
      <c r="Y86" s="517"/>
      <c r="Z86" s="517"/>
      <c r="AA86" s="517"/>
      <c r="AB86" s="517"/>
      <c r="AC86" s="517"/>
      <c r="AD86" s="517"/>
      <c r="AE86" s="517"/>
      <c r="AF86" s="517"/>
      <c r="AG86" s="517"/>
      <c r="AH86" s="517"/>
      <c r="AI86" s="517"/>
      <c r="AJ86" s="517"/>
      <c r="AK86" s="517"/>
      <c r="AL86" s="517"/>
      <c r="AM86" s="517"/>
      <c r="AN86" s="517"/>
      <c r="AO86" s="517"/>
      <c r="AP86" s="517"/>
      <c r="AQ86" s="517"/>
      <c r="AR86" s="517"/>
      <c r="AS86" s="517"/>
      <c r="AT86" s="517"/>
      <c r="AU86" s="517"/>
      <c r="AV86" s="517"/>
      <c r="AW86" s="517"/>
      <c r="AX86" s="517"/>
      <c r="AY86" s="517"/>
      <c r="AZ86" s="517"/>
      <c r="BA86" s="517"/>
      <c r="BB86" s="517"/>
      <c r="BC86" s="517"/>
      <c r="BD86" s="517"/>
      <c r="BE86" s="517"/>
      <c r="BF86" s="517"/>
      <c r="BG86" s="517"/>
      <c r="BH86" s="517"/>
      <c r="BI86" s="517"/>
      <c r="BJ86" s="517"/>
      <c r="BK86" s="517"/>
      <c r="BL86" s="517"/>
      <c r="BM86" s="517"/>
      <c r="BN86" s="517"/>
      <c r="BO86" s="517"/>
      <c r="BP86" s="517"/>
      <c r="BQ86" s="517"/>
      <c r="BR86" s="517"/>
      <c r="BS86" s="517"/>
      <c r="BT86" s="517"/>
      <c r="BU86" s="517"/>
      <c r="BV86" s="517"/>
      <c r="BW86" s="517"/>
      <c r="BX86" s="517"/>
      <c r="BY86" s="517"/>
      <c r="BZ86" s="517"/>
      <c r="CA86" s="517"/>
      <c r="CB86" s="517"/>
      <c r="CC86" s="517"/>
      <c r="CD86" s="517"/>
      <c r="CE86" s="517"/>
      <c r="CF86" s="517"/>
      <c r="CG86" s="517"/>
      <c r="CH86" s="517"/>
      <c r="CI86" s="517"/>
      <c r="CJ86" s="517"/>
      <c r="CK86" s="517"/>
      <c r="CL86" s="517"/>
      <c r="CM86" s="517"/>
      <c r="CN86" s="517"/>
      <c r="CO86" s="517"/>
      <c r="CP86" s="517"/>
      <c r="CQ86" s="517"/>
      <c r="CR86" s="517"/>
      <c r="CS86" s="517"/>
      <c r="CT86" s="517"/>
      <c r="CU86" s="517"/>
      <c r="CV86" s="517"/>
      <c r="CW86" s="517"/>
      <c r="CX86" s="517"/>
      <c r="CY86" s="517"/>
      <c r="CZ86" s="517"/>
      <c r="DA86" s="517"/>
      <c r="DB86" s="517"/>
      <c r="DC86" s="517"/>
      <c r="DD86" s="517"/>
      <c r="DE86" s="517"/>
      <c r="DF86" s="517"/>
      <c r="DG86" s="517"/>
      <c r="DH86" s="517"/>
      <c r="DI86" s="517"/>
      <c r="DJ86" s="517"/>
      <c r="DK86" s="517"/>
      <c r="DL86" s="517"/>
      <c r="DM86" s="517"/>
      <c r="DN86" s="517"/>
      <c r="DO86" s="517"/>
      <c r="DP86" s="517"/>
      <c r="DQ86" s="517"/>
      <c r="DR86" s="517"/>
      <c r="DS86" s="517"/>
      <c r="DT86" s="517"/>
      <c r="DU86" s="517"/>
      <c r="DV86" s="517"/>
      <c r="DW86" s="517"/>
      <c r="DX86" s="517"/>
      <c r="DY86" s="517"/>
      <c r="DZ86" s="517"/>
      <c r="EA86" s="517"/>
      <c r="EB86" s="517"/>
      <c r="EC86" s="517"/>
      <c r="ED86" s="517"/>
      <c r="EE86" s="517"/>
      <c r="EF86" s="517"/>
      <c r="EG86" s="517"/>
      <c r="EH86" s="517"/>
      <c r="EI86" s="517"/>
      <c r="EJ86" s="517"/>
      <c r="EK86" s="517"/>
      <c r="EL86" s="517"/>
      <c r="EM86" s="517"/>
      <c r="EN86" s="517"/>
      <c r="EO86" s="517"/>
      <c r="EP86" s="517"/>
      <c r="EQ86" s="517"/>
      <c r="ER86" s="517"/>
      <c r="ES86" s="627" t="s">
        <v>1140</v>
      </c>
    </row>
    <row r="87">
      <c r="A87" s="517"/>
      <c r="B87" s="517"/>
      <c r="C87" s="517"/>
      <c r="D87" s="517"/>
      <c r="E87" s="517"/>
      <c r="F87" s="517"/>
      <c r="G87" s="517"/>
      <c r="H87" s="517"/>
      <c r="I87" s="517"/>
      <c r="J87" s="517"/>
      <c r="K87" s="517"/>
      <c r="L87" s="517"/>
      <c r="M87" s="517"/>
      <c r="N87" s="517"/>
      <c r="O87" s="517"/>
      <c r="P87" s="517"/>
      <c r="Q87" s="517"/>
      <c r="R87" s="517"/>
      <c r="S87" s="517"/>
      <c r="T87" s="517"/>
      <c r="U87" s="517"/>
      <c r="V87" s="517"/>
      <c r="W87" s="517"/>
      <c r="X87" s="517"/>
      <c r="Y87" s="517"/>
      <c r="Z87" s="517"/>
      <c r="AA87" s="517"/>
      <c r="AB87" s="517"/>
      <c r="AC87" s="517"/>
      <c r="AD87" s="517"/>
      <c r="AE87" s="517"/>
      <c r="AF87" s="517"/>
      <c r="AG87" s="517"/>
      <c r="AH87" s="517"/>
      <c r="AI87" s="517"/>
      <c r="AJ87" s="517"/>
      <c r="AK87" s="517"/>
      <c r="AL87" s="517"/>
      <c r="AM87" s="517"/>
      <c r="AN87" s="517"/>
      <c r="AO87" s="517"/>
      <c r="AP87" s="517"/>
      <c r="AQ87" s="517"/>
      <c r="AR87" s="517"/>
      <c r="AS87" s="517"/>
      <c r="AT87" s="517"/>
      <c r="AU87" s="517"/>
      <c r="AV87" s="517"/>
      <c r="AW87" s="517"/>
      <c r="AX87" s="517"/>
      <c r="AY87" s="517"/>
      <c r="AZ87" s="517"/>
      <c r="BA87" s="517"/>
      <c r="BB87" s="517"/>
      <c r="BC87" s="517"/>
      <c r="BD87" s="517"/>
      <c r="BE87" s="517"/>
      <c r="BF87" s="517"/>
      <c r="BG87" s="517"/>
      <c r="BH87" s="517"/>
      <c r="BI87" s="517"/>
      <c r="BJ87" s="517"/>
      <c r="BK87" s="517"/>
      <c r="BL87" s="517"/>
      <c r="BM87" s="517"/>
      <c r="BN87" s="517"/>
      <c r="BO87" s="517"/>
      <c r="BP87" s="517"/>
      <c r="BQ87" s="517"/>
      <c r="BR87" s="517"/>
      <c r="BS87" s="517"/>
      <c r="BT87" s="517"/>
      <c r="BU87" s="517"/>
      <c r="BV87" s="517"/>
      <c r="BW87" s="517"/>
      <c r="BX87" s="517"/>
      <c r="BY87" s="517"/>
      <c r="BZ87" s="517"/>
      <c r="CA87" s="517"/>
      <c r="CB87" s="517"/>
      <c r="CC87" s="517"/>
      <c r="CD87" s="517"/>
      <c r="CE87" s="517"/>
      <c r="CF87" s="517"/>
      <c r="CG87" s="517"/>
      <c r="CH87" s="517"/>
      <c r="CI87" s="517"/>
      <c r="CJ87" s="517"/>
      <c r="CK87" s="517"/>
      <c r="CL87" s="517"/>
      <c r="CM87" s="517"/>
      <c r="CN87" s="517"/>
      <c r="CO87" s="517"/>
      <c r="CP87" s="517"/>
      <c r="CQ87" s="517"/>
      <c r="CR87" s="517"/>
      <c r="CS87" s="517"/>
      <c r="CT87" s="517"/>
      <c r="CU87" s="517"/>
      <c r="CV87" s="517"/>
      <c r="CW87" s="517"/>
      <c r="CX87" s="517"/>
      <c r="CY87" s="517"/>
      <c r="CZ87" s="517"/>
      <c r="DA87" s="517"/>
      <c r="DB87" s="517"/>
      <c r="DC87" s="517"/>
      <c r="DD87" s="517"/>
      <c r="DE87" s="517"/>
      <c r="DF87" s="517"/>
      <c r="DG87" s="517"/>
      <c r="DH87" s="517"/>
      <c r="DI87" s="517"/>
      <c r="DJ87" s="517"/>
      <c r="DK87" s="517"/>
      <c r="DL87" s="517"/>
      <c r="DM87" s="517"/>
      <c r="DN87" s="517"/>
      <c r="DO87" s="517"/>
      <c r="DP87" s="517"/>
      <c r="DQ87" s="517"/>
      <c r="DR87" s="517"/>
      <c r="DS87" s="517"/>
      <c r="DT87" s="517"/>
      <c r="DU87" s="517"/>
      <c r="DV87" s="517"/>
      <c r="DW87" s="517"/>
      <c r="DX87" s="517"/>
      <c r="DY87" s="517"/>
      <c r="DZ87" s="517"/>
      <c r="EA87" s="517"/>
      <c r="EB87" s="517"/>
      <c r="EC87" s="517"/>
      <c r="ED87" s="517"/>
      <c r="EE87" s="517"/>
      <c r="EF87" s="517"/>
      <c r="EG87" s="517"/>
      <c r="EH87" s="517"/>
      <c r="EI87" s="517"/>
      <c r="EJ87" s="517"/>
      <c r="EK87" s="517"/>
      <c r="EL87" s="517"/>
      <c r="EM87" s="517"/>
      <c r="EN87" s="517"/>
      <c r="EO87" s="517"/>
      <c r="EP87" s="517"/>
      <c r="EQ87" s="517"/>
      <c r="ER87" s="517"/>
      <c r="ES87" s="627" t="s">
        <v>1140</v>
      </c>
    </row>
    <row r="88">
      <c r="A88" s="517"/>
      <c r="B88" s="517"/>
      <c r="C88" s="517"/>
      <c r="D88" s="517"/>
      <c r="E88" s="517"/>
      <c r="F88" s="517"/>
      <c r="G88" s="517"/>
      <c r="H88" s="517"/>
      <c r="I88" s="517"/>
      <c r="J88" s="517"/>
      <c r="K88" s="517"/>
      <c r="L88" s="517"/>
      <c r="M88" s="517"/>
      <c r="N88" s="517"/>
      <c r="O88" s="517"/>
      <c r="P88" s="517"/>
      <c r="Q88" s="517"/>
      <c r="R88" s="517"/>
      <c r="S88" s="517"/>
      <c r="T88" s="517"/>
      <c r="U88" s="517"/>
      <c r="V88" s="517"/>
      <c r="W88" s="517"/>
      <c r="X88" s="517"/>
      <c r="Y88" s="517"/>
      <c r="Z88" s="517"/>
      <c r="AA88" s="517"/>
      <c r="AB88" s="517"/>
      <c r="AC88" s="517"/>
      <c r="AD88" s="517"/>
      <c r="AE88" s="517"/>
      <c r="AF88" s="517"/>
      <c r="AG88" s="517"/>
      <c r="AH88" s="517"/>
      <c r="AI88" s="517"/>
      <c r="AJ88" s="517"/>
      <c r="AK88" s="517"/>
      <c r="AL88" s="517"/>
      <c r="AM88" s="517"/>
      <c r="AN88" s="517"/>
      <c r="AO88" s="517"/>
      <c r="AP88" s="517"/>
      <c r="AQ88" s="517"/>
      <c r="AR88" s="517"/>
      <c r="AS88" s="517"/>
      <c r="AT88" s="517"/>
      <c r="AU88" s="517"/>
      <c r="AV88" s="517"/>
      <c r="AW88" s="517"/>
      <c r="AX88" s="517"/>
      <c r="AY88" s="517"/>
      <c r="AZ88" s="517"/>
      <c r="BA88" s="517"/>
      <c r="BB88" s="517"/>
      <c r="BC88" s="517"/>
      <c r="BD88" s="517"/>
      <c r="BE88" s="517"/>
      <c r="BF88" s="517"/>
      <c r="BG88" s="517"/>
      <c r="BH88" s="517"/>
      <c r="BI88" s="517"/>
      <c r="BJ88" s="517"/>
      <c r="BK88" s="517"/>
      <c r="BL88" s="517"/>
      <c r="BM88" s="517"/>
      <c r="BN88" s="517"/>
      <c r="BO88" s="517"/>
      <c r="BP88" s="517"/>
      <c r="BQ88" s="517"/>
      <c r="BR88" s="517"/>
      <c r="BS88" s="517"/>
      <c r="BT88" s="517"/>
      <c r="BU88" s="517"/>
      <c r="BV88" s="517"/>
      <c r="BW88" s="517"/>
      <c r="BX88" s="517"/>
      <c r="BY88" s="517"/>
      <c r="BZ88" s="517"/>
      <c r="CA88" s="517"/>
      <c r="CB88" s="517"/>
      <c r="CC88" s="517"/>
      <c r="CD88" s="517"/>
      <c r="CE88" s="517"/>
      <c r="CF88" s="517"/>
      <c r="CG88" s="517"/>
      <c r="CH88" s="517"/>
      <c r="CI88" s="517"/>
      <c r="CJ88" s="517"/>
      <c r="CK88" s="517"/>
      <c r="CL88" s="517"/>
      <c r="CM88" s="517"/>
      <c r="CN88" s="517"/>
      <c r="CO88" s="517"/>
      <c r="CP88" s="517"/>
      <c r="CQ88" s="517"/>
      <c r="CR88" s="517"/>
      <c r="CS88" s="517"/>
      <c r="CT88" s="517"/>
      <c r="CU88" s="517"/>
      <c r="CV88" s="517"/>
      <c r="CW88" s="517"/>
      <c r="CX88" s="517"/>
      <c r="CY88" s="517"/>
      <c r="CZ88" s="517"/>
      <c r="DA88" s="517"/>
      <c r="DB88" s="517"/>
      <c r="DC88" s="517"/>
      <c r="DD88" s="517"/>
      <c r="DE88" s="517"/>
      <c r="DF88" s="517"/>
      <c r="DG88" s="517"/>
      <c r="DH88" s="517"/>
      <c r="DI88" s="517"/>
      <c r="DJ88" s="517"/>
      <c r="DK88" s="517"/>
      <c r="DL88" s="517"/>
      <c r="DM88" s="517"/>
      <c r="DN88" s="517"/>
      <c r="DO88" s="517"/>
      <c r="DP88" s="517"/>
      <c r="DQ88" s="517"/>
      <c r="DR88" s="517"/>
      <c r="DS88" s="517"/>
      <c r="DT88" s="517"/>
      <c r="DU88" s="517"/>
      <c r="DV88" s="517"/>
      <c r="DW88" s="517"/>
      <c r="DX88" s="517"/>
      <c r="DY88" s="517"/>
      <c r="DZ88" s="517"/>
      <c r="EA88" s="517"/>
      <c r="EB88" s="517"/>
      <c r="EC88" s="517"/>
      <c r="ED88" s="517"/>
      <c r="EE88" s="517"/>
      <c r="EF88" s="517"/>
      <c r="EG88" s="517"/>
      <c r="EH88" s="517"/>
      <c r="EI88" s="517"/>
      <c r="EJ88" s="517"/>
      <c r="EK88" s="517"/>
      <c r="EL88" s="517"/>
      <c r="EM88" s="517"/>
      <c r="EN88" s="517"/>
      <c r="EO88" s="517"/>
      <c r="EP88" s="517"/>
      <c r="EQ88" s="517"/>
      <c r="ER88" s="517"/>
      <c r="ES88" s="627" t="s">
        <v>1140</v>
      </c>
    </row>
    <row r="89">
      <c r="A89" s="517"/>
      <c r="B89" s="517"/>
      <c r="C89" s="517"/>
      <c r="D89" s="517"/>
      <c r="E89" s="517"/>
      <c r="F89" s="517"/>
      <c r="G89" s="517"/>
      <c r="H89" s="517"/>
      <c r="I89" s="517"/>
      <c r="J89" s="517"/>
      <c r="K89" s="517"/>
      <c r="L89" s="517"/>
      <c r="M89" s="517"/>
      <c r="N89" s="517"/>
      <c r="O89" s="517"/>
      <c r="P89" s="517"/>
      <c r="Q89" s="517"/>
      <c r="R89" s="517"/>
      <c r="S89" s="517"/>
      <c r="T89" s="517"/>
      <c r="U89" s="517"/>
      <c r="V89" s="517"/>
      <c r="W89" s="517"/>
      <c r="X89" s="517"/>
      <c r="Y89" s="517"/>
      <c r="Z89" s="517"/>
      <c r="AA89" s="517"/>
      <c r="AB89" s="517"/>
      <c r="AC89" s="517"/>
      <c r="AD89" s="517"/>
      <c r="AE89" s="517"/>
      <c r="AF89" s="517"/>
      <c r="AG89" s="517"/>
      <c r="AH89" s="517"/>
      <c r="AI89" s="517"/>
      <c r="AJ89" s="517"/>
      <c r="AK89" s="517"/>
      <c r="AL89" s="517"/>
      <c r="AM89" s="517"/>
      <c r="AN89" s="517"/>
      <c r="AO89" s="517"/>
      <c r="AP89" s="517"/>
      <c r="AQ89" s="517"/>
      <c r="AR89" s="517"/>
      <c r="AS89" s="517"/>
      <c r="AT89" s="517"/>
      <c r="AU89" s="517"/>
      <c r="AV89" s="517"/>
      <c r="AW89" s="517"/>
      <c r="AX89" s="517"/>
      <c r="AY89" s="517"/>
      <c r="AZ89" s="517"/>
      <c r="BA89" s="517"/>
      <c r="BB89" s="517"/>
      <c r="BC89" s="517"/>
      <c r="BD89" s="517"/>
      <c r="BE89" s="517"/>
      <c r="BF89" s="517"/>
      <c r="BG89" s="517"/>
      <c r="BH89" s="517"/>
      <c r="BI89" s="517"/>
      <c r="BJ89" s="517"/>
      <c r="BK89" s="517"/>
      <c r="BL89" s="517"/>
      <c r="BM89" s="517"/>
      <c r="BN89" s="517"/>
      <c r="BO89" s="517"/>
      <c r="BP89" s="517"/>
      <c r="BQ89" s="517"/>
      <c r="BR89" s="517"/>
      <c r="BS89" s="517"/>
      <c r="BT89" s="517"/>
      <c r="BU89" s="517"/>
      <c r="BV89" s="517"/>
      <c r="BW89" s="517"/>
      <c r="BX89" s="517"/>
      <c r="BY89" s="517"/>
      <c r="BZ89" s="517"/>
      <c r="CA89" s="517"/>
      <c r="CB89" s="517"/>
      <c r="CC89" s="517"/>
      <c r="CD89" s="517"/>
      <c r="CE89" s="517"/>
      <c r="CF89" s="517"/>
      <c r="CG89" s="517"/>
      <c r="CH89" s="517"/>
      <c r="CI89" s="517"/>
      <c r="CJ89" s="517"/>
      <c r="CK89" s="517"/>
      <c r="CL89" s="517"/>
      <c r="CM89" s="517"/>
      <c r="CN89" s="517"/>
      <c r="CO89" s="517"/>
      <c r="CP89" s="517"/>
      <c r="CQ89" s="517"/>
      <c r="CR89" s="517"/>
      <c r="CS89" s="517"/>
      <c r="CT89" s="517"/>
      <c r="CU89" s="517"/>
      <c r="CV89" s="517"/>
      <c r="CW89" s="517"/>
      <c r="CX89" s="517"/>
      <c r="CY89" s="517"/>
      <c r="CZ89" s="517"/>
      <c r="DA89" s="517"/>
      <c r="DB89" s="517"/>
      <c r="DC89" s="517"/>
      <c r="DD89" s="517"/>
      <c r="DE89" s="517"/>
      <c r="DF89" s="517"/>
      <c r="DG89" s="517"/>
      <c r="DH89" s="517"/>
      <c r="DI89" s="517"/>
      <c r="DJ89" s="517"/>
      <c r="DK89" s="517"/>
      <c r="DL89" s="517"/>
      <c r="DM89" s="517"/>
      <c r="DN89" s="517"/>
      <c r="DO89" s="517"/>
      <c r="DP89" s="517"/>
      <c r="DQ89" s="517"/>
      <c r="DR89" s="517"/>
      <c r="DS89" s="517"/>
      <c r="DT89" s="517"/>
      <c r="DU89" s="517"/>
      <c r="DV89" s="517"/>
      <c r="DW89" s="517"/>
      <c r="DX89" s="517"/>
      <c r="DY89" s="517"/>
      <c r="DZ89" s="517"/>
      <c r="EA89" s="517"/>
      <c r="EB89" s="517"/>
      <c r="EC89" s="517"/>
      <c r="ED89" s="517"/>
      <c r="EE89" s="517"/>
      <c r="EF89" s="517"/>
      <c r="EG89" s="517"/>
      <c r="EH89" s="517"/>
      <c r="EI89" s="517"/>
      <c r="EJ89" s="517"/>
      <c r="EK89" s="517"/>
      <c r="EL89" s="517"/>
      <c r="EM89" s="517"/>
      <c r="EN89" s="517"/>
      <c r="EO89" s="517"/>
      <c r="EP89" s="517"/>
      <c r="EQ89" s="517"/>
      <c r="ER89" s="517"/>
      <c r="ES89" s="627" t="s">
        <v>1140</v>
      </c>
    </row>
    <row r="90">
      <c r="A90" s="517"/>
      <c r="B90" s="517"/>
      <c r="C90" s="517"/>
      <c r="D90" s="517"/>
      <c r="E90" s="517"/>
      <c r="F90" s="517"/>
      <c r="G90" s="517"/>
      <c r="H90" s="517"/>
      <c r="I90" s="517"/>
      <c r="J90" s="517"/>
      <c r="K90" s="517"/>
      <c r="L90" s="517"/>
      <c r="M90" s="517"/>
      <c r="N90" s="517"/>
      <c r="O90" s="517"/>
      <c r="P90" s="517"/>
      <c r="Q90" s="517"/>
      <c r="R90" s="517"/>
      <c r="S90" s="517"/>
      <c r="T90" s="517"/>
      <c r="U90" s="517"/>
      <c r="V90" s="517"/>
      <c r="W90" s="517"/>
      <c r="X90" s="517"/>
      <c r="Y90" s="517"/>
      <c r="Z90" s="517"/>
      <c r="AA90" s="517"/>
      <c r="AB90" s="517"/>
      <c r="AC90" s="517"/>
      <c r="AD90" s="517"/>
      <c r="AE90" s="517"/>
      <c r="AF90" s="517"/>
      <c r="AG90" s="517"/>
      <c r="AH90" s="517"/>
      <c r="AI90" s="517"/>
      <c r="AJ90" s="517"/>
      <c r="AK90" s="517"/>
      <c r="AL90" s="517"/>
      <c r="AM90" s="517"/>
      <c r="AN90" s="517"/>
      <c r="AO90" s="517"/>
      <c r="AP90" s="517"/>
      <c r="AQ90" s="517"/>
      <c r="AR90" s="517"/>
      <c r="AS90" s="517"/>
      <c r="AT90" s="517"/>
      <c r="AU90" s="517"/>
      <c r="AV90" s="517"/>
      <c r="AW90" s="517"/>
      <c r="AX90" s="517"/>
      <c r="AY90" s="517"/>
      <c r="AZ90" s="517"/>
      <c r="BA90" s="517"/>
      <c r="BB90" s="517"/>
      <c r="BC90" s="517"/>
      <c r="BD90" s="517"/>
      <c r="BE90" s="517"/>
      <c r="BF90" s="517"/>
      <c r="BG90" s="517"/>
      <c r="BH90" s="517"/>
      <c r="BI90" s="517"/>
      <c r="BJ90" s="517"/>
      <c r="BK90" s="517"/>
      <c r="BL90" s="517"/>
      <c r="BM90" s="517"/>
      <c r="BN90" s="517"/>
      <c r="BO90" s="517"/>
      <c r="BP90" s="517"/>
      <c r="BQ90" s="517"/>
      <c r="BR90" s="517"/>
      <c r="BS90" s="517"/>
      <c r="BT90" s="517"/>
      <c r="BU90" s="517"/>
      <c r="BV90" s="517"/>
      <c r="BW90" s="517"/>
      <c r="BX90" s="517"/>
      <c r="BY90" s="517"/>
      <c r="BZ90" s="517"/>
      <c r="CA90" s="517"/>
      <c r="CB90" s="517"/>
      <c r="CC90" s="517"/>
      <c r="CD90" s="517"/>
      <c r="CE90" s="517"/>
      <c r="CF90" s="517"/>
      <c r="CG90" s="517"/>
      <c r="CH90" s="517"/>
      <c r="CI90" s="517"/>
      <c r="CJ90" s="517"/>
      <c r="CK90" s="517"/>
      <c r="CL90" s="517"/>
      <c r="CM90" s="517"/>
      <c r="CN90" s="517"/>
      <c r="CO90" s="517"/>
      <c r="CP90" s="517"/>
      <c r="CQ90" s="517"/>
      <c r="CR90" s="517"/>
      <c r="CS90" s="517"/>
      <c r="CT90" s="517"/>
      <c r="CU90" s="517"/>
      <c r="CV90" s="517"/>
      <c r="CW90" s="517"/>
      <c r="CX90" s="517"/>
      <c r="CY90" s="517"/>
      <c r="CZ90" s="517"/>
      <c r="DA90" s="517"/>
      <c r="DB90" s="517"/>
      <c r="DC90" s="517"/>
      <c r="DD90" s="517"/>
      <c r="DE90" s="517"/>
      <c r="DF90" s="517"/>
      <c r="DG90" s="517"/>
      <c r="DH90" s="517"/>
      <c r="DI90" s="517"/>
      <c r="DJ90" s="517"/>
      <c r="DK90" s="517"/>
      <c r="DL90" s="517"/>
      <c r="DM90" s="517"/>
      <c r="DN90" s="517"/>
      <c r="DO90" s="517"/>
      <c r="DP90" s="517"/>
      <c r="DQ90" s="517"/>
      <c r="DR90" s="517"/>
      <c r="DS90" s="517"/>
      <c r="DT90" s="517"/>
      <c r="DU90" s="517"/>
      <c r="DV90" s="517"/>
      <c r="DW90" s="517"/>
      <c r="DX90" s="517"/>
      <c r="DY90" s="517"/>
      <c r="DZ90" s="517"/>
      <c r="EA90" s="517"/>
      <c r="EB90" s="517"/>
      <c r="EC90" s="517"/>
      <c r="ED90" s="517"/>
      <c r="EE90" s="517"/>
      <c r="EF90" s="517"/>
      <c r="EG90" s="517"/>
      <c r="EH90" s="517"/>
      <c r="EI90" s="517"/>
      <c r="EJ90" s="517"/>
      <c r="EK90" s="517"/>
      <c r="EL90" s="517"/>
      <c r="EM90" s="517"/>
      <c r="EN90" s="517"/>
      <c r="EO90" s="517"/>
      <c r="EP90" s="517"/>
      <c r="EQ90" s="517"/>
      <c r="ER90" s="517"/>
      <c r="ES90" s="627" t="s">
        <v>1140</v>
      </c>
    </row>
    <row r="91">
      <c r="A91" s="517"/>
      <c r="B91" s="517"/>
      <c r="C91" s="517"/>
      <c r="D91" s="517"/>
      <c r="E91" s="517"/>
      <c r="F91" s="517"/>
      <c r="G91" s="517"/>
      <c r="H91" s="517"/>
      <c r="I91" s="517"/>
      <c r="J91" s="517"/>
      <c r="K91" s="517"/>
      <c r="L91" s="517"/>
      <c r="M91" s="517"/>
      <c r="N91" s="517"/>
      <c r="O91" s="517"/>
      <c r="P91" s="517"/>
      <c r="Q91" s="517"/>
      <c r="R91" s="517"/>
      <c r="S91" s="517"/>
      <c r="T91" s="517"/>
      <c r="U91" s="517"/>
      <c r="V91" s="517"/>
      <c r="W91" s="517"/>
      <c r="X91" s="517"/>
      <c r="Y91" s="517"/>
      <c r="Z91" s="517"/>
      <c r="AA91" s="517"/>
      <c r="AB91" s="517"/>
      <c r="AC91" s="517"/>
      <c r="AD91" s="517"/>
      <c r="AE91" s="517"/>
      <c r="AF91" s="517"/>
      <c r="AG91" s="517"/>
      <c r="AH91" s="517"/>
      <c r="AI91" s="517"/>
      <c r="AJ91" s="517"/>
      <c r="AK91" s="517"/>
      <c r="AL91" s="517"/>
      <c r="AM91" s="517"/>
      <c r="AN91" s="517"/>
      <c r="AO91" s="517"/>
      <c r="AP91" s="517"/>
      <c r="AQ91" s="517"/>
      <c r="AR91" s="517"/>
      <c r="AS91" s="517"/>
      <c r="AT91" s="517"/>
      <c r="AU91" s="517"/>
      <c r="AV91" s="517"/>
      <c r="AW91" s="517"/>
      <c r="AX91" s="517"/>
      <c r="AY91" s="517"/>
      <c r="AZ91" s="517"/>
      <c r="BA91" s="517"/>
      <c r="BB91" s="517"/>
      <c r="BC91" s="517"/>
      <c r="BD91" s="517"/>
      <c r="BE91" s="517"/>
      <c r="BF91" s="517"/>
      <c r="BG91" s="517"/>
      <c r="BH91" s="517"/>
      <c r="BI91" s="517"/>
      <c r="BJ91" s="517"/>
      <c r="BK91" s="517"/>
      <c r="BL91" s="517"/>
      <c r="BM91" s="517"/>
      <c r="BN91" s="517"/>
      <c r="BO91" s="517"/>
      <c r="BP91" s="517"/>
      <c r="BQ91" s="517"/>
      <c r="BR91" s="517"/>
      <c r="BS91" s="517"/>
      <c r="BT91" s="517"/>
      <c r="BU91" s="517"/>
      <c r="BV91" s="517"/>
      <c r="BW91" s="517"/>
      <c r="BX91" s="517"/>
      <c r="BY91" s="517"/>
      <c r="BZ91" s="517"/>
      <c r="CA91" s="517"/>
      <c r="CB91" s="517"/>
      <c r="CC91" s="517"/>
      <c r="CD91" s="517"/>
      <c r="CE91" s="517"/>
      <c r="CF91" s="517"/>
      <c r="CG91" s="517"/>
      <c r="CH91" s="517"/>
      <c r="CI91" s="517"/>
      <c r="CJ91" s="517"/>
      <c r="CK91" s="517"/>
      <c r="CL91" s="517"/>
      <c r="CM91" s="517"/>
      <c r="CN91" s="517"/>
      <c r="CO91" s="517"/>
      <c r="CP91" s="517"/>
      <c r="CQ91" s="517"/>
      <c r="CR91" s="517"/>
      <c r="CS91" s="517"/>
      <c r="CT91" s="517"/>
      <c r="CU91" s="517"/>
      <c r="CV91" s="517"/>
      <c r="CW91" s="517"/>
      <c r="CX91" s="517"/>
      <c r="CY91" s="517"/>
      <c r="CZ91" s="517"/>
      <c r="DA91" s="517"/>
      <c r="DB91" s="517"/>
      <c r="DC91" s="517"/>
      <c r="DD91" s="517"/>
      <c r="DE91" s="517"/>
      <c r="DF91" s="517"/>
      <c r="DG91" s="517"/>
      <c r="DH91" s="517"/>
      <c r="DI91" s="517"/>
      <c r="DJ91" s="517"/>
      <c r="DK91" s="517"/>
      <c r="DL91" s="517"/>
      <c r="DM91" s="517"/>
      <c r="DN91" s="517"/>
      <c r="DO91" s="517"/>
      <c r="DP91" s="517"/>
      <c r="DQ91" s="517"/>
      <c r="DR91" s="517"/>
      <c r="DS91" s="517"/>
      <c r="DT91" s="517"/>
      <c r="DU91" s="517"/>
      <c r="DV91" s="517"/>
      <c r="DW91" s="517"/>
      <c r="DX91" s="517"/>
      <c r="DY91" s="517"/>
      <c r="DZ91" s="517"/>
      <c r="EA91" s="517"/>
      <c r="EB91" s="517"/>
      <c r="EC91" s="517"/>
      <c r="ED91" s="517"/>
      <c r="EE91" s="517"/>
      <c r="EF91" s="517"/>
      <c r="EG91" s="517"/>
      <c r="EH91" s="517"/>
      <c r="EI91" s="517"/>
      <c r="EJ91" s="517"/>
      <c r="EK91" s="517"/>
      <c r="EL91" s="517"/>
      <c r="EM91" s="517"/>
      <c r="EN91" s="517"/>
      <c r="EO91" s="517"/>
      <c r="EP91" s="517"/>
      <c r="EQ91" s="517"/>
      <c r="ER91" s="517"/>
      <c r="ES91" s="627" t="s">
        <v>1140</v>
      </c>
    </row>
    <row r="92">
      <c r="A92" s="517"/>
      <c r="B92" s="517"/>
      <c r="C92" s="517"/>
      <c r="D92" s="517"/>
      <c r="E92" s="517"/>
      <c r="F92" s="517"/>
      <c r="G92" s="517"/>
      <c r="H92" s="517"/>
      <c r="I92" s="517"/>
      <c r="J92" s="517"/>
      <c r="K92" s="517"/>
      <c r="L92" s="517"/>
      <c r="M92" s="517"/>
      <c r="N92" s="517"/>
      <c r="O92" s="517"/>
      <c r="P92" s="517"/>
      <c r="Q92" s="517"/>
      <c r="R92" s="517"/>
      <c r="S92" s="517"/>
      <c r="T92" s="517"/>
      <c r="U92" s="517"/>
      <c r="V92" s="517"/>
      <c r="W92" s="517"/>
      <c r="X92" s="517"/>
      <c r="Y92" s="517"/>
      <c r="Z92" s="517"/>
      <c r="AA92" s="517"/>
      <c r="AB92" s="517"/>
      <c r="AC92" s="517"/>
      <c r="AD92" s="517"/>
      <c r="AE92" s="517"/>
      <c r="AF92" s="517"/>
      <c r="AG92" s="517"/>
      <c r="AH92" s="517"/>
      <c r="AI92" s="517"/>
      <c r="AJ92" s="517"/>
      <c r="AK92" s="517"/>
      <c r="AL92" s="517"/>
      <c r="AM92" s="517"/>
      <c r="AN92" s="517"/>
      <c r="AO92" s="517"/>
      <c r="AP92" s="517"/>
      <c r="AQ92" s="517"/>
      <c r="AR92" s="517"/>
      <c r="AS92" s="517"/>
      <c r="AT92" s="517"/>
      <c r="AU92" s="517"/>
      <c r="AV92" s="517"/>
      <c r="AW92" s="517"/>
      <c r="AX92" s="517"/>
      <c r="AY92" s="517"/>
      <c r="AZ92" s="517"/>
      <c r="BA92" s="517"/>
      <c r="BB92" s="517"/>
      <c r="BC92" s="517"/>
      <c r="BD92" s="517"/>
      <c r="BE92" s="517"/>
      <c r="BF92" s="517"/>
      <c r="BG92" s="517"/>
      <c r="BH92" s="517"/>
      <c r="BI92" s="517"/>
      <c r="BJ92" s="517"/>
      <c r="BK92" s="517"/>
      <c r="BL92" s="517"/>
      <c r="BM92" s="517"/>
      <c r="BN92" s="517"/>
      <c r="BO92" s="517"/>
      <c r="BP92" s="517"/>
      <c r="BQ92" s="517"/>
      <c r="BR92" s="517"/>
      <c r="BS92" s="517"/>
      <c r="BT92" s="517"/>
      <c r="BU92" s="517"/>
      <c r="BV92" s="517"/>
      <c r="BW92" s="517"/>
      <c r="BX92" s="517"/>
      <c r="BY92" s="517"/>
      <c r="BZ92" s="517"/>
      <c r="CA92" s="517"/>
      <c r="CB92" s="517"/>
      <c r="CC92" s="517"/>
      <c r="CD92" s="517"/>
      <c r="CE92" s="517"/>
      <c r="CF92" s="517"/>
      <c r="CG92" s="517"/>
      <c r="CH92" s="517"/>
      <c r="CI92" s="517"/>
      <c r="CJ92" s="517"/>
      <c r="CK92" s="517"/>
      <c r="CL92" s="517"/>
      <c r="CM92" s="517"/>
      <c r="CN92" s="517"/>
      <c r="CO92" s="517"/>
      <c r="CP92" s="517"/>
      <c r="CQ92" s="517"/>
      <c r="CR92" s="517"/>
      <c r="CS92" s="517"/>
      <c r="CT92" s="517"/>
      <c r="CU92" s="517"/>
      <c r="CV92" s="517"/>
      <c r="CW92" s="517"/>
      <c r="CX92" s="517"/>
      <c r="CY92" s="517"/>
      <c r="CZ92" s="517"/>
      <c r="DA92" s="517"/>
      <c r="DB92" s="517"/>
      <c r="DC92" s="517"/>
      <c r="DD92" s="517"/>
      <c r="DE92" s="517"/>
      <c r="DF92" s="517"/>
      <c r="DG92" s="517"/>
      <c r="DH92" s="517"/>
      <c r="DI92" s="517"/>
      <c r="DJ92" s="517"/>
      <c r="DK92" s="517"/>
      <c r="DL92" s="517"/>
      <c r="DM92" s="517"/>
      <c r="DN92" s="517"/>
      <c r="DO92" s="517"/>
      <c r="DP92" s="517"/>
      <c r="DQ92" s="517"/>
      <c r="DR92" s="517"/>
      <c r="DS92" s="517"/>
      <c r="DT92" s="517"/>
      <c r="DU92" s="517"/>
      <c r="DV92" s="517"/>
      <c r="DW92" s="517"/>
      <c r="DX92" s="517"/>
      <c r="DY92" s="517"/>
      <c r="DZ92" s="517"/>
      <c r="EA92" s="517"/>
      <c r="EB92" s="517"/>
      <c r="EC92" s="517"/>
      <c r="ED92" s="517"/>
      <c r="EE92" s="517"/>
      <c r="EF92" s="517"/>
      <c r="EG92" s="517"/>
      <c r="EH92" s="517"/>
      <c r="EI92" s="517"/>
      <c r="EJ92" s="517"/>
      <c r="EK92" s="517"/>
      <c r="EL92" s="517"/>
      <c r="EM92" s="517"/>
      <c r="EN92" s="517"/>
      <c r="EO92" s="517"/>
      <c r="EP92" s="517"/>
      <c r="EQ92" s="517"/>
      <c r="ER92" s="517"/>
      <c r="ES92" s="627" t="s">
        <v>1140</v>
      </c>
    </row>
    <row r="93">
      <c r="A93" s="517"/>
      <c r="B93" s="517"/>
      <c r="C93" s="517"/>
      <c r="D93" s="517"/>
      <c r="E93" s="517"/>
      <c r="F93" s="517"/>
      <c r="G93" s="517"/>
      <c r="H93" s="517"/>
      <c r="I93" s="517"/>
      <c r="J93" s="517"/>
      <c r="K93" s="517"/>
      <c r="L93" s="517"/>
      <c r="M93" s="517"/>
      <c r="N93" s="517"/>
      <c r="O93" s="517"/>
      <c r="P93" s="517"/>
      <c r="Q93" s="517"/>
      <c r="R93" s="517"/>
      <c r="S93" s="517"/>
      <c r="T93" s="517"/>
      <c r="U93" s="517"/>
      <c r="V93" s="517"/>
      <c r="W93" s="517"/>
      <c r="X93" s="517"/>
      <c r="Y93" s="517"/>
      <c r="Z93" s="517"/>
      <c r="AA93" s="517"/>
      <c r="AB93" s="517"/>
      <c r="AC93" s="517"/>
      <c r="AD93" s="517"/>
      <c r="AE93" s="517"/>
      <c r="AF93" s="517"/>
      <c r="AG93" s="517"/>
      <c r="AH93" s="517"/>
      <c r="AI93" s="517"/>
      <c r="AJ93" s="517"/>
      <c r="AK93" s="517"/>
      <c r="AL93" s="517"/>
      <c r="AM93" s="517"/>
      <c r="AN93" s="517"/>
      <c r="AO93" s="517"/>
      <c r="AP93" s="517"/>
      <c r="AQ93" s="517"/>
      <c r="AR93" s="517"/>
      <c r="AS93" s="517"/>
      <c r="AT93" s="517"/>
      <c r="AU93" s="517"/>
      <c r="AV93" s="517"/>
      <c r="AW93" s="517"/>
      <c r="AX93" s="517"/>
      <c r="AY93" s="517"/>
      <c r="AZ93" s="517"/>
      <c r="BA93" s="517"/>
      <c r="BB93" s="517"/>
      <c r="BC93" s="517"/>
      <c r="BD93" s="517"/>
      <c r="BE93" s="517"/>
      <c r="BF93" s="517"/>
      <c r="BG93" s="517"/>
      <c r="BH93" s="517"/>
      <c r="BI93" s="517"/>
      <c r="BJ93" s="517"/>
      <c r="BK93" s="517"/>
      <c r="BL93" s="517"/>
      <c r="BM93" s="517"/>
      <c r="BN93" s="517"/>
      <c r="BO93" s="517"/>
      <c r="BP93" s="517"/>
      <c r="BQ93" s="517"/>
      <c r="BR93" s="517"/>
      <c r="BS93" s="517"/>
      <c r="BT93" s="517"/>
      <c r="BU93" s="517"/>
      <c r="BV93" s="517"/>
      <c r="BW93" s="517"/>
      <c r="BX93" s="517"/>
      <c r="BY93" s="517"/>
      <c r="BZ93" s="517"/>
      <c r="CA93" s="517"/>
      <c r="CB93" s="517"/>
      <c r="CC93" s="517"/>
      <c r="CD93" s="517"/>
      <c r="CE93" s="517"/>
      <c r="CF93" s="517"/>
      <c r="CG93" s="517"/>
      <c r="CH93" s="517"/>
      <c r="CI93" s="517"/>
      <c r="CJ93" s="517"/>
      <c r="CK93" s="517"/>
      <c r="CL93" s="517"/>
      <c r="CM93" s="517"/>
      <c r="CN93" s="517"/>
      <c r="CO93" s="517"/>
      <c r="CP93" s="517"/>
      <c r="CQ93" s="517"/>
      <c r="CR93" s="517"/>
      <c r="CS93" s="517"/>
      <c r="CT93" s="517"/>
      <c r="CU93" s="517"/>
      <c r="CV93" s="517"/>
      <c r="CW93" s="517"/>
      <c r="CX93" s="517"/>
      <c r="CY93" s="517"/>
      <c r="CZ93" s="517"/>
      <c r="DA93" s="517"/>
      <c r="DB93" s="517"/>
      <c r="DC93" s="517"/>
      <c r="DD93" s="517"/>
      <c r="DE93" s="517"/>
      <c r="DF93" s="517"/>
      <c r="DG93" s="517"/>
      <c r="DH93" s="517"/>
      <c r="DI93" s="517"/>
      <c r="DJ93" s="517"/>
      <c r="DK93" s="517"/>
      <c r="DL93" s="517"/>
      <c r="DM93" s="517"/>
      <c r="DN93" s="517"/>
      <c r="DO93" s="517"/>
      <c r="DP93" s="517"/>
      <c r="DQ93" s="517"/>
      <c r="DR93" s="517"/>
      <c r="DS93" s="517"/>
      <c r="DT93" s="517"/>
      <c r="DU93" s="517"/>
      <c r="DV93" s="517"/>
      <c r="DW93" s="517"/>
      <c r="DX93" s="517"/>
      <c r="DY93" s="517"/>
      <c r="DZ93" s="517"/>
      <c r="EA93" s="517"/>
      <c r="EB93" s="517"/>
      <c r="EC93" s="517"/>
      <c r="ED93" s="517"/>
      <c r="EE93" s="517"/>
      <c r="EF93" s="517"/>
      <c r="EG93" s="517"/>
      <c r="EH93" s="517"/>
      <c r="EI93" s="517"/>
      <c r="EJ93" s="517"/>
      <c r="EK93" s="517"/>
      <c r="EL93" s="517"/>
      <c r="EM93" s="517"/>
      <c r="EN93" s="517"/>
      <c r="EO93" s="517"/>
      <c r="EP93" s="517"/>
      <c r="EQ93" s="517"/>
      <c r="ER93" s="517"/>
      <c r="ES93" s="627" t="s">
        <v>1140</v>
      </c>
    </row>
    <row r="94">
      <c r="A94" s="517"/>
      <c r="B94" s="517"/>
      <c r="C94" s="517"/>
      <c r="D94" s="517"/>
      <c r="E94" s="517"/>
      <c r="F94" s="517"/>
      <c r="G94" s="517"/>
      <c r="H94" s="517"/>
      <c r="I94" s="517"/>
      <c r="J94" s="517"/>
      <c r="K94" s="517"/>
      <c r="L94" s="517"/>
      <c r="M94" s="517"/>
      <c r="N94" s="517"/>
      <c r="O94" s="517"/>
      <c r="P94" s="517"/>
      <c r="Q94" s="517"/>
      <c r="R94" s="517"/>
      <c r="S94" s="517"/>
      <c r="T94" s="517"/>
      <c r="U94" s="517"/>
      <c r="V94" s="517"/>
      <c r="W94" s="517"/>
      <c r="X94" s="517"/>
      <c r="Y94" s="517"/>
      <c r="Z94" s="517"/>
      <c r="AA94" s="517"/>
      <c r="AB94" s="517"/>
      <c r="AC94" s="517"/>
      <c r="AD94" s="517"/>
      <c r="AE94" s="517"/>
      <c r="AF94" s="517"/>
      <c r="AG94" s="517"/>
      <c r="AH94" s="517"/>
      <c r="AI94" s="517"/>
      <c r="AJ94" s="517"/>
      <c r="AK94" s="517"/>
      <c r="AL94" s="517"/>
      <c r="AM94" s="517"/>
      <c r="AN94" s="517"/>
      <c r="AO94" s="517"/>
      <c r="AP94" s="517"/>
      <c r="AQ94" s="517"/>
      <c r="AR94" s="517"/>
      <c r="AS94" s="517"/>
      <c r="AT94" s="517"/>
      <c r="AU94" s="517"/>
      <c r="AV94" s="517"/>
      <c r="AW94" s="517"/>
      <c r="AX94" s="517"/>
      <c r="AY94" s="517"/>
      <c r="AZ94" s="517"/>
      <c r="BA94" s="517"/>
      <c r="BB94" s="517"/>
      <c r="BC94" s="517"/>
      <c r="BD94" s="517"/>
      <c r="BE94" s="517"/>
      <c r="BF94" s="517"/>
      <c r="BG94" s="517"/>
      <c r="BH94" s="517"/>
      <c r="BI94" s="517"/>
      <c r="BJ94" s="517"/>
      <c r="BK94" s="517"/>
      <c r="BL94" s="517"/>
      <c r="BM94" s="517"/>
      <c r="BN94" s="517"/>
      <c r="BO94" s="517"/>
      <c r="BP94" s="517"/>
      <c r="BQ94" s="517"/>
      <c r="BR94" s="517"/>
      <c r="BS94" s="517"/>
      <c r="BT94" s="517"/>
      <c r="BU94" s="517"/>
      <c r="BV94" s="517"/>
      <c r="BW94" s="517"/>
      <c r="BX94" s="517"/>
      <c r="BY94" s="517"/>
      <c r="BZ94" s="517"/>
      <c r="CA94" s="517"/>
      <c r="CB94" s="517"/>
      <c r="CC94" s="517"/>
      <c r="CD94" s="517"/>
      <c r="CE94" s="517"/>
      <c r="CF94" s="517"/>
      <c r="CG94" s="517"/>
      <c r="CH94" s="517"/>
      <c r="CI94" s="517"/>
      <c r="CJ94" s="517"/>
      <c r="CK94" s="517"/>
      <c r="CL94" s="517"/>
      <c r="CM94" s="517"/>
      <c r="CN94" s="517"/>
      <c r="CO94" s="517"/>
      <c r="CP94" s="517"/>
      <c r="CQ94" s="517"/>
      <c r="CR94" s="517"/>
      <c r="CS94" s="517"/>
      <c r="CT94" s="517"/>
      <c r="CU94" s="517"/>
      <c r="CV94" s="517"/>
      <c r="CW94" s="517"/>
      <c r="CX94" s="517"/>
      <c r="CY94" s="517"/>
      <c r="CZ94" s="517"/>
      <c r="DA94" s="517"/>
      <c r="DB94" s="517"/>
      <c r="DC94" s="517"/>
      <c r="DD94" s="517"/>
      <c r="DE94" s="517"/>
      <c r="DF94" s="517"/>
      <c r="DG94" s="517"/>
      <c r="DH94" s="517"/>
      <c r="DI94" s="517"/>
      <c r="DJ94" s="517"/>
      <c r="DK94" s="517"/>
      <c r="DL94" s="517"/>
      <c r="DM94" s="517"/>
      <c r="DN94" s="517"/>
      <c r="DO94" s="517"/>
      <c r="DP94" s="517"/>
      <c r="DQ94" s="517"/>
      <c r="DR94" s="517"/>
      <c r="DS94" s="517"/>
      <c r="DT94" s="517"/>
      <c r="DU94" s="517"/>
      <c r="DV94" s="517"/>
      <c r="DW94" s="517"/>
      <c r="DX94" s="517"/>
      <c r="DY94" s="517"/>
      <c r="DZ94" s="517"/>
      <c r="EA94" s="517"/>
      <c r="EB94" s="517"/>
      <c r="EC94" s="517"/>
      <c r="ED94" s="517"/>
      <c r="EE94" s="517"/>
      <c r="EF94" s="517"/>
      <c r="EG94" s="517"/>
      <c r="EH94" s="517"/>
      <c r="EI94" s="517"/>
      <c r="EJ94" s="517"/>
      <c r="EK94" s="517"/>
      <c r="EL94" s="517"/>
      <c r="EM94" s="517"/>
      <c r="EN94" s="517"/>
      <c r="EO94" s="517"/>
      <c r="EP94" s="517"/>
      <c r="EQ94" s="517"/>
      <c r="ER94" s="517"/>
      <c r="ES94" s="627" t="s">
        <v>1140</v>
      </c>
    </row>
    <row r="95">
      <c r="A95" s="517"/>
      <c r="B95" s="517"/>
      <c r="C95" s="517"/>
      <c r="D95" s="517"/>
      <c r="E95" s="517"/>
      <c r="F95" s="517"/>
      <c r="G95" s="517"/>
      <c r="H95" s="517"/>
      <c r="I95" s="517"/>
      <c r="J95" s="517"/>
      <c r="K95" s="517"/>
      <c r="L95" s="517"/>
      <c r="M95" s="517"/>
      <c r="N95" s="517"/>
      <c r="O95" s="517"/>
      <c r="P95" s="517"/>
      <c r="Q95" s="517"/>
      <c r="R95" s="517"/>
      <c r="S95" s="517"/>
      <c r="T95" s="517"/>
      <c r="U95" s="517"/>
      <c r="V95" s="517"/>
      <c r="W95" s="517"/>
      <c r="X95" s="517"/>
      <c r="Y95" s="517"/>
      <c r="Z95" s="517"/>
      <c r="AA95" s="517"/>
      <c r="AB95" s="517"/>
      <c r="AC95" s="517"/>
      <c r="AD95" s="517"/>
      <c r="AE95" s="517"/>
      <c r="AF95" s="517"/>
      <c r="AG95" s="517"/>
      <c r="AH95" s="517"/>
      <c r="AI95" s="517"/>
      <c r="AJ95" s="517"/>
      <c r="AK95" s="517"/>
      <c r="AL95" s="517"/>
      <c r="AM95" s="517"/>
      <c r="AN95" s="517"/>
      <c r="AO95" s="517"/>
      <c r="AP95" s="517"/>
      <c r="AQ95" s="517"/>
      <c r="AR95" s="517"/>
      <c r="AS95" s="517"/>
      <c r="AT95" s="517"/>
      <c r="AU95" s="517"/>
      <c r="AV95" s="517"/>
      <c r="AW95" s="517"/>
      <c r="AX95" s="517"/>
      <c r="AY95" s="517"/>
      <c r="AZ95" s="517"/>
      <c r="BA95" s="517"/>
      <c r="BB95" s="517"/>
      <c r="BC95" s="517"/>
      <c r="BD95" s="517"/>
      <c r="BE95" s="517"/>
      <c r="BF95" s="517"/>
      <c r="BG95" s="517"/>
      <c r="BH95" s="517"/>
      <c r="BI95" s="517"/>
      <c r="BJ95" s="517"/>
      <c r="BK95" s="517"/>
      <c r="BL95" s="517"/>
      <c r="BM95" s="517"/>
      <c r="BN95" s="517"/>
      <c r="BO95" s="517"/>
      <c r="BP95" s="517"/>
      <c r="BQ95" s="517"/>
      <c r="BR95" s="517"/>
      <c r="BS95" s="517"/>
      <c r="BT95" s="517"/>
      <c r="BU95" s="517"/>
      <c r="BV95" s="517"/>
      <c r="BW95" s="517"/>
      <c r="BX95" s="517"/>
      <c r="BY95" s="517"/>
      <c r="BZ95" s="517"/>
      <c r="CA95" s="517"/>
      <c r="CB95" s="517"/>
      <c r="CC95" s="517"/>
      <c r="CD95" s="517"/>
      <c r="CE95" s="517"/>
      <c r="CF95" s="517"/>
      <c r="CG95" s="517"/>
      <c r="CH95" s="517"/>
      <c r="CI95" s="517"/>
      <c r="CJ95" s="517"/>
      <c r="CK95" s="517"/>
      <c r="CL95" s="517"/>
      <c r="CM95" s="517"/>
      <c r="CN95" s="517"/>
      <c r="CO95" s="517"/>
      <c r="CP95" s="517"/>
      <c r="CQ95" s="517"/>
      <c r="CR95" s="517"/>
      <c r="CS95" s="517"/>
      <c r="CT95" s="517"/>
      <c r="CU95" s="517"/>
      <c r="CV95" s="517"/>
      <c r="CW95" s="517"/>
      <c r="CX95" s="517"/>
      <c r="CY95" s="517"/>
      <c r="CZ95" s="517"/>
      <c r="DA95" s="517"/>
      <c r="DB95" s="517"/>
      <c r="DC95" s="517"/>
      <c r="DD95" s="517"/>
      <c r="DE95" s="517"/>
      <c r="DF95" s="517"/>
      <c r="DG95" s="517"/>
      <c r="DH95" s="517"/>
      <c r="DI95" s="517"/>
      <c r="DJ95" s="517"/>
      <c r="DK95" s="517"/>
      <c r="DL95" s="517"/>
      <c r="DM95" s="517"/>
      <c r="DN95" s="517"/>
      <c r="DO95" s="517"/>
      <c r="DP95" s="517"/>
      <c r="DQ95" s="517"/>
      <c r="DR95" s="517"/>
      <c r="DS95" s="517"/>
      <c r="DT95" s="517"/>
      <c r="DU95" s="517"/>
      <c r="DV95" s="517"/>
      <c r="DW95" s="517"/>
      <c r="DX95" s="517"/>
      <c r="DY95" s="517"/>
      <c r="DZ95" s="517"/>
      <c r="EA95" s="517"/>
      <c r="EB95" s="517"/>
      <c r="EC95" s="517"/>
      <c r="ED95" s="517"/>
      <c r="EE95" s="517"/>
      <c r="EF95" s="517"/>
      <c r="EG95" s="517"/>
      <c r="EH95" s="517"/>
      <c r="EI95" s="517"/>
      <c r="EJ95" s="517"/>
      <c r="EK95" s="517"/>
      <c r="EL95" s="517"/>
      <c r="EM95" s="517"/>
      <c r="EN95" s="517"/>
      <c r="EO95" s="517"/>
      <c r="EP95" s="517"/>
      <c r="EQ95" s="517"/>
      <c r="ER95" s="517"/>
      <c r="ES95" s="627" t="s">
        <v>1140</v>
      </c>
    </row>
    <row r="96">
      <c r="A96" s="517"/>
      <c r="B96" s="517"/>
      <c r="C96" s="517"/>
      <c r="D96" s="517"/>
      <c r="E96" s="517"/>
      <c r="F96" s="517"/>
      <c r="G96" s="517"/>
      <c r="H96" s="517"/>
      <c r="I96" s="517"/>
      <c r="J96" s="517"/>
      <c r="K96" s="517"/>
      <c r="L96" s="517"/>
      <c r="M96" s="517"/>
      <c r="N96" s="517"/>
      <c r="O96" s="517"/>
      <c r="P96" s="517"/>
      <c r="Q96" s="517"/>
      <c r="R96" s="517"/>
      <c r="S96" s="517"/>
      <c r="T96" s="517"/>
      <c r="U96" s="517"/>
      <c r="V96" s="517"/>
      <c r="W96" s="517"/>
      <c r="X96" s="517"/>
      <c r="Y96" s="517"/>
      <c r="Z96" s="517"/>
      <c r="AA96" s="517"/>
      <c r="AB96" s="517"/>
      <c r="AC96" s="517"/>
      <c r="AD96" s="517"/>
      <c r="AE96" s="517"/>
      <c r="AF96" s="517"/>
      <c r="AG96" s="517"/>
      <c r="AH96" s="517"/>
      <c r="AI96" s="517"/>
      <c r="AJ96" s="517"/>
      <c r="AK96" s="517"/>
      <c r="AL96" s="517"/>
      <c r="AM96" s="517"/>
      <c r="AN96" s="517"/>
      <c r="AO96" s="517"/>
      <c r="AP96" s="517"/>
      <c r="AQ96" s="517"/>
      <c r="AR96" s="517"/>
      <c r="AS96" s="517"/>
      <c r="AT96" s="517"/>
      <c r="AU96" s="517"/>
      <c r="AV96" s="517"/>
      <c r="AW96" s="517"/>
      <c r="AX96" s="517"/>
      <c r="AY96" s="517"/>
      <c r="AZ96" s="517"/>
      <c r="BA96" s="517"/>
      <c r="BB96" s="517"/>
      <c r="BC96" s="517"/>
      <c r="BD96" s="517"/>
      <c r="BE96" s="517"/>
      <c r="BF96" s="517"/>
      <c r="BG96" s="517"/>
      <c r="BH96" s="517"/>
      <c r="BI96" s="517"/>
      <c r="BJ96" s="517"/>
      <c r="BK96" s="517"/>
      <c r="BL96" s="517"/>
      <c r="BM96" s="517"/>
      <c r="BN96" s="517"/>
      <c r="BO96" s="517"/>
      <c r="BP96" s="517"/>
      <c r="BQ96" s="517"/>
      <c r="BR96" s="517"/>
      <c r="BS96" s="517"/>
      <c r="BT96" s="517"/>
      <c r="BU96" s="517"/>
      <c r="BV96" s="517"/>
      <c r="BW96" s="517"/>
      <c r="BX96" s="517"/>
      <c r="BY96" s="517"/>
      <c r="BZ96" s="517"/>
      <c r="CA96" s="517"/>
      <c r="CB96" s="517"/>
      <c r="CC96" s="517"/>
      <c r="CD96" s="517"/>
      <c r="CE96" s="517"/>
      <c r="CF96" s="517"/>
      <c r="CG96" s="517"/>
      <c r="CH96" s="517"/>
      <c r="CI96" s="517"/>
      <c r="CJ96" s="517"/>
      <c r="CK96" s="517"/>
      <c r="CL96" s="517"/>
      <c r="CM96" s="517"/>
      <c r="CN96" s="517"/>
      <c r="CO96" s="517"/>
      <c r="CP96" s="517"/>
      <c r="CQ96" s="517"/>
      <c r="CR96" s="517"/>
      <c r="CS96" s="517"/>
      <c r="CT96" s="517"/>
      <c r="CU96" s="517"/>
      <c r="CV96" s="517"/>
      <c r="CW96" s="517"/>
      <c r="CX96" s="517"/>
      <c r="CY96" s="517"/>
      <c r="CZ96" s="517"/>
      <c r="DA96" s="517"/>
      <c r="DB96" s="517"/>
      <c r="DC96" s="517"/>
      <c r="DD96" s="517"/>
      <c r="DE96" s="517"/>
      <c r="DF96" s="517"/>
      <c r="DG96" s="517"/>
      <c r="DH96" s="517"/>
      <c r="DI96" s="517"/>
      <c r="DJ96" s="517"/>
      <c r="DK96" s="517"/>
      <c r="DL96" s="517"/>
      <c r="DM96" s="517"/>
      <c r="DN96" s="517"/>
      <c r="DO96" s="517"/>
      <c r="DP96" s="517"/>
      <c r="DQ96" s="517"/>
      <c r="DR96" s="517"/>
      <c r="DS96" s="517"/>
      <c r="DT96" s="517"/>
      <c r="DU96" s="517"/>
      <c r="DV96" s="517"/>
      <c r="DW96" s="517"/>
      <c r="DX96" s="517"/>
      <c r="DY96" s="517"/>
      <c r="DZ96" s="517"/>
      <c r="EA96" s="517"/>
      <c r="EB96" s="517"/>
      <c r="EC96" s="517"/>
      <c r="ED96" s="517"/>
      <c r="EE96" s="517"/>
      <c r="EF96" s="517"/>
      <c r="EG96" s="517"/>
      <c r="EH96" s="517"/>
      <c r="EI96" s="517"/>
      <c r="EJ96" s="517"/>
      <c r="EK96" s="517"/>
      <c r="EL96" s="517"/>
      <c r="EM96" s="517"/>
      <c r="EN96" s="517"/>
      <c r="EO96" s="517"/>
      <c r="EP96" s="517"/>
      <c r="EQ96" s="517"/>
      <c r="ER96" s="517"/>
      <c r="ES96" s="627" t="s">
        <v>1140</v>
      </c>
    </row>
    <row r="97">
      <c r="A97" s="517"/>
      <c r="B97" s="517"/>
      <c r="C97" s="517"/>
      <c r="D97" s="517"/>
      <c r="E97" s="517"/>
      <c r="F97" s="517"/>
      <c r="G97" s="517"/>
      <c r="H97" s="517"/>
      <c r="I97" s="517"/>
      <c r="J97" s="517"/>
      <c r="K97" s="517"/>
      <c r="L97" s="517"/>
      <c r="M97" s="517"/>
      <c r="N97" s="517"/>
      <c r="O97" s="517"/>
      <c r="P97" s="517"/>
      <c r="Q97" s="517"/>
      <c r="R97" s="517"/>
      <c r="S97" s="517"/>
      <c r="T97" s="517"/>
      <c r="U97" s="517"/>
      <c r="V97" s="517"/>
      <c r="W97" s="517"/>
      <c r="X97" s="517"/>
      <c r="Y97" s="517"/>
      <c r="Z97" s="517"/>
      <c r="AA97" s="517"/>
      <c r="AB97" s="517"/>
      <c r="AC97" s="517"/>
      <c r="AD97" s="517"/>
      <c r="AE97" s="517"/>
      <c r="AF97" s="517"/>
      <c r="AG97" s="517"/>
      <c r="AH97" s="517"/>
      <c r="AI97" s="517"/>
      <c r="AJ97" s="517"/>
      <c r="AK97" s="517"/>
      <c r="AL97" s="517"/>
      <c r="AM97" s="517"/>
      <c r="AN97" s="517"/>
      <c r="AO97" s="517"/>
      <c r="AP97" s="517"/>
      <c r="AQ97" s="517"/>
      <c r="AR97" s="517"/>
      <c r="AS97" s="517"/>
      <c r="AT97" s="517"/>
      <c r="AU97" s="517"/>
      <c r="AV97" s="517"/>
      <c r="AW97" s="517"/>
      <c r="AX97" s="517"/>
      <c r="AY97" s="517"/>
      <c r="AZ97" s="517"/>
      <c r="BA97" s="517"/>
      <c r="BB97" s="517"/>
      <c r="BC97" s="517"/>
      <c r="BD97" s="517"/>
      <c r="BE97" s="517"/>
      <c r="BF97" s="517"/>
      <c r="BG97" s="517"/>
      <c r="BH97" s="517"/>
      <c r="BI97" s="517"/>
      <c r="BJ97" s="517"/>
      <c r="BK97" s="517"/>
      <c r="BL97" s="517"/>
      <c r="BM97" s="517"/>
      <c r="BN97" s="517"/>
      <c r="BO97" s="517"/>
      <c r="BP97" s="517"/>
      <c r="BQ97" s="517"/>
      <c r="BR97" s="517"/>
      <c r="BS97" s="517"/>
      <c r="BT97" s="517"/>
      <c r="BU97" s="517"/>
      <c r="BV97" s="517"/>
      <c r="BW97" s="517"/>
      <c r="BX97" s="517"/>
      <c r="BY97" s="517"/>
      <c r="BZ97" s="517"/>
      <c r="CA97" s="517"/>
      <c r="CB97" s="517"/>
      <c r="CC97" s="517"/>
      <c r="CD97" s="517"/>
      <c r="CE97" s="517"/>
      <c r="CF97" s="517"/>
      <c r="CG97" s="517"/>
      <c r="CH97" s="517"/>
      <c r="CI97" s="517"/>
      <c r="CJ97" s="517"/>
      <c r="CK97" s="517"/>
      <c r="CL97" s="517"/>
      <c r="CM97" s="517"/>
      <c r="CN97" s="517"/>
      <c r="CO97" s="517"/>
      <c r="CP97" s="517"/>
      <c r="CQ97" s="517"/>
      <c r="CR97" s="517"/>
      <c r="CS97" s="517"/>
      <c r="CT97" s="517"/>
      <c r="CU97" s="517"/>
      <c r="CV97" s="517"/>
      <c r="CW97" s="517"/>
      <c r="CX97" s="517"/>
      <c r="CY97" s="517"/>
      <c r="CZ97" s="517"/>
      <c r="DA97" s="517"/>
      <c r="DB97" s="517"/>
      <c r="DC97" s="517"/>
      <c r="DD97" s="517"/>
      <c r="DE97" s="517"/>
      <c r="DF97" s="517"/>
      <c r="DG97" s="517"/>
      <c r="DH97" s="517"/>
      <c r="DI97" s="517"/>
      <c r="DJ97" s="517"/>
      <c r="DK97" s="517"/>
      <c r="DL97" s="517"/>
      <c r="DM97" s="517"/>
      <c r="DN97" s="517"/>
      <c r="DO97" s="517"/>
      <c r="DP97" s="517"/>
      <c r="DQ97" s="517"/>
      <c r="DR97" s="517"/>
      <c r="DS97" s="517"/>
      <c r="DT97" s="517"/>
      <c r="DU97" s="517"/>
      <c r="DV97" s="517"/>
      <c r="DW97" s="517"/>
      <c r="DX97" s="517"/>
      <c r="DY97" s="517"/>
      <c r="DZ97" s="517"/>
      <c r="EA97" s="517"/>
      <c r="EB97" s="517"/>
      <c r="EC97" s="517"/>
      <c r="ED97" s="517"/>
      <c r="EE97" s="517"/>
      <c r="EF97" s="517"/>
      <c r="EG97" s="517"/>
      <c r="EH97" s="517"/>
      <c r="EI97" s="517"/>
      <c r="EJ97" s="517"/>
      <c r="EK97" s="517"/>
      <c r="EL97" s="517"/>
      <c r="EM97" s="517"/>
      <c r="EN97" s="517"/>
      <c r="EO97" s="517"/>
      <c r="EP97" s="517"/>
      <c r="EQ97" s="517"/>
      <c r="ER97" s="517"/>
      <c r="ES97" s="627" t="s">
        <v>1140</v>
      </c>
    </row>
    <row r="98">
      <c r="A98" s="517"/>
      <c r="B98" s="517"/>
      <c r="C98" s="517"/>
      <c r="D98" s="517"/>
      <c r="E98" s="517"/>
      <c r="F98" s="517"/>
      <c r="G98" s="517"/>
      <c r="H98" s="517"/>
      <c r="I98" s="517"/>
      <c r="J98" s="517"/>
      <c r="K98" s="517"/>
      <c r="L98" s="517"/>
      <c r="M98" s="517"/>
      <c r="N98" s="517"/>
      <c r="O98" s="517"/>
      <c r="P98" s="517"/>
      <c r="Q98" s="517"/>
      <c r="R98" s="517"/>
      <c r="S98" s="517"/>
      <c r="T98" s="517"/>
      <c r="U98" s="517"/>
      <c r="V98" s="517"/>
      <c r="W98" s="517"/>
      <c r="X98" s="517"/>
      <c r="Y98" s="517"/>
      <c r="Z98" s="517"/>
      <c r="AA98" s="517"/>
      <c r="AB98" s="517"/>
      <c r="AC98" s="517"/>
      <c r="AD98" s="517"/>
      <c r="AE98" s="517"/>
      <c r="AF98" s="517"/>
      <c r="AG98" s="517"/>
      <c r="AH98" s="517"/>
      <c r="AI98" s="517"/>
      <c r="AJ98" s="517"/>
      <c r="AK98" s="517"/>
      <c r="AL98" s="517"/>
      <c r="AM98" s="517"/>
      <c r="AN98" s="517"/>
      <c r="AO98" s="517"/>
      <c r="AP98" s="517"/>
      <c r="AQ98" s="517"/>
      <c r="AR98" s="517"/>
      <c r="AS98" s="517"/>
      <c r="AT98" s="517"/>
      <c r="AU98" s="517"/>
      <c r="AV98" s="517"/>
      <c r="AW98" s="517"/>
      <c r="AX98" s="517"/>
      <c r="AY98" s="517"/>
      <c r="AZ98" s="517"/>
      <c r="BA98" s="517"/>
      <c r="BB98" s="517"/>
      <c r="BC98" s="517"/>
      <c r="BD98" s="517"/>
      <c r="BE98" s="517"/>
      <c r="BF98" s="517"/>
      <c r="BG98" s="517"/>
      <c r="BH98" s="517"/>
      <c r="BI98" s="517"/>
      <c r="BJ98" s="517"/>
      <c r="BK98" s="517"/>
      <c r="BL98" s="517"/>
      <c r="BM98" s="517"/>
      <c r="BN98" s="517"/>
      <c r="BO98" s="517"/>
      <c r="BP98" s="517"/>
      <c r="BQ98" s="517"/>
      <c r="BR98" s="517"/>
      <c r="BS98" s="517"/>
      <c r="BT98" s="517"/>
      <c r="BU98" s="517"/>
      <c r="BV98" s="517"/>
      <c r="BW98" s="517"/>
      <c r="BX98" s="517"/>
      <c r="BY98" s="517"/>
      <c r="BZ98" s="517"/>
      <c r="CA98" s="517"/>
      <c r="CB98" s="517"/>
      <c r="CC98" s="517"/>
      <c r="CD98" s="517"/>
      <c r="CE98" s="517"/>
      <c r="CF98" s="517"/>
      <c r="CG98" s="517"/>
      <c r="CH98" s="517"/>
      <c r="CI98" s="517"/>
      <c r="CJ98" s="517"/>
      <c r="CK98" s="517"/>
      <c r="CL98" s="517"/>
      <c r="CM98" s="517"/>
      <c r="CN98" s="517"/>
      <c r="CO98" s="517"/>
      <c r="CP98" s="517"/>
      <c r="CQ98" s="517"/>
      <c r="CR98" s="517"/>
      <c r="CS98" s="517"/>
      <c r="CT98" s="517"/>
      <c r="CU98" s="517"/>
      <c r="CV98" s="517"/>
      <c r="CW98" s="517"/>
      <c r="CX98" s="517"/>
      <c r="CY98" s="517"/>
      <c r="CZ98" s="517"/>
      <c r="DA98" s="517"/>
      <c r="DB98" s="517"/>
      <c r="DC98" s="517"/>
      <c r="DD98" s="517"/>
      <c r="DE98" s="517"/>
      <c r="DF98" s="517"/>
      <c r="DG98" s="517"/>
      <c r="DH98" s="517"/>
      <c r="DI98" s="517"/>
      <c r="DJ98" s="517"/>
      <c r="DK98" s="517"/>
      <c r="DL98" s="517"/>
      <c r="DM98" s="517"/>
      <c r="DN98" s="517"/>
      <c r="DO98" s="517"/>
      <c r="DP98" s="517"/>
      <c r="DQ98" s="517"/>
      <c r="DR98" s="517"/>
      <c r="DS98" s="517"/>
      <c r="DT98" s="517"/>
      <c r="DU98" s="517"/>
      <c r="DV98" s="517"/>
      <c r="DW98" s="517"/>
      <c r="DX98" s="517"/>
      <c r="DY98" s="517"/>
      <c r="DZ98" s="517"/>
      <c r="EA98" s="517"/>
      <c r="EB98" s="517"/>
      <c r="EC98" s="517"/>
      <c r="ED98" s="517"/>
      <c r="EE98" s="517"/>
      <c r="EF98" s="517"/>
      <c r="EG98" s="517"/>
      <c r="EH98" s="517"/>
      <c r="EI98" s="517"/>
      <c r="EJ98" s="517"/>
      <c r="EK98" s="517"/>
      <c r="EL98" s="517"/>
      <c r="EM98" s="517"/>
      <c r="EN98" s="517"/>
      <c r="EO98" s="517"/>
      <c r="EP98" s="517"/>
      <c r="EQ98" s="517"/>
      <c r="ER98" s="517"/>
      <c r="ES98" s="627" t="s">
        <v>1140</v>
      </c>
    </row>
    <row r="99">
      <c r="A99" s="517"/>
      <c r="B99" s="517"/>
      <c r="C99" s="517"/>
      <c r="D99" s="517"/>
      <c r="E99" s="517"/>
      <c r="F99" s="517"/>
      <c r="G99" s="517"/>
      <c r="H99" s="517"/>
      <c r="I99" s="517"/>
      <c r="J99" s="517"/>
      <c r="K99" s="517"/>
      <c r="L99" s="517"/>
      <c r="M99" s="517"/>
      <c r="N99" s="517"/>
      <c r="O99" s="517"/>
      <c r="P99" s="517"/>
      <c r="Q99" s="517"/>
      <c r="R99" s="517"/>
      <c r="S99" s="517"/>
      <c r="T99" s="517"/>
      <c r="U99" s="517"/>
      <c r="V99" s="517"/>
      <c r="W99" s="517"/>
      <c r="X99" s="517"/>
      <c r="Y99" s="517"/>
      <c r="Z99" s="517"/>
      <c r="AA99" s="517"/>
      <c r="AB99" s="517"/>
      <c r="AC99" s="517"/>
      <c r="AD99" s="517"/>
      <c r="AE99" s="517"/>
      <c r="AF99" s="517"/>
      <c r="AG99" s="517"/>
      <c r="AH99" s="517"/>
      <c r="AI99" s="517"/>
      <c r="AJ99" s="517"/>
      <c r="AK99" s="517"/>
      <c r="AL99" s="517"/>
      <c r="AM99" s="517"/>
      <c r="AN99" s="517"/>
      <c r="AO99" s="517"/>
      <c r="AP99" s="517"/>
      <c r="AQ99" s="517"/>
      <c r="AR99" s="517"/>
      <c r="AS99" s="517"/>
      <c r="AT99" s="517"/>
      <c r="AU99" s="517"/>
      <c r="AV99" s="517"/>
      <c r="AW99" s="517"/>
      <c r="AX99" s="517"/>
      <c r="AY99" s="517"/>
      <c r="AZ99" s="517"/>
      <c r="BA99" s="517"/>
      <c r="BB99" s="517"/>
      <c r="BC99" s="517"/>
      <c r="BD99" s="517"/>
      <c r="BE99" s="517"/>
      <c r="BF99" s="517"/>
      <c r="BG99" s="517"/>
      <c r="BH99" s="517"/>
      <c r="BI99" s="517"/>
      <c r="BJ99" s="517"/>
      <c r="BK99" s="517"/>
      <c r="BL99" s="517"/>
      <c r="BM99" s="517"/>
      <c r="BN99" s="517"/>
      <c r="BO99" s="517"/>
      <c r="BP99" s="517"/>
      <c r="BQ99" s="517"/>
      <c r="BR99" s="517"/>
      <c r="BS99" s="517"/>
      <c r="BT99" s="517"/>
      <c r="BU99" s="517"/>
      <c r="BV99" s="517"/>
      <c r="BW99" s="517"/>
      <c r="BX99" s="517"/>
      <c r="BY99" s="517"/>
      <c r="BZ99" s="517"/>
      <c r="CA99" s="517"/>
      <c r="CB99" s="517"/>
      <c r="CC99" s="517"/>
      <c r="CD99" s="517"/>
      <c r="CE99" s="517"/>
      <c r="CF99" s="517"/>
      <c r="CG99" s="517"/>
      <c r="CH99" s="517"/>
      <c r="CI99" s="517"/>
      <c r="CJ99" s="517"/>
      <c r="CK99" s="517"/>
      <c r="CL99" s="517"/>
      <c r="CM99" s="517"/>
      <c r="CN99" s="517"/>
      <c r="CO99" s="517"/>
      <c r="CP99" s="517"/>
      <c r="CQ99" s="517"/>
      <c r="CR99" s="517"/>
      <c r="CS99" s="517"/>
      <c r="CT99" s="517"/>
      <c r="CU99" s="517"/>
      <c r="CV99" s="517"/>
      <c r="CW99" s="517"/>
      <c r="CX99" s="517"/>
      <c r="CY99" s="517"/>
      <c r="CZ99" s="517"/>
      <c r="DA99" s="517"/>
      <c r="DB99" s="517"/>
      <c r="DC99" s="517"/>
      <c r="DD99" s="517"/>
      <c r="DE99" s="517"/>
      <c r="DF99" s="517"/>
      <c r="DG99" s="517"/>
      <c r="DH99" s="517"/>
      <c r="DI99" s="517"/>
      <c r="DJ99" s="517"/>
      <c r="DK99" s="517"/>
      <c r="DL99" s="517"/>
      <c r="DM99" s="517"/>
      <c r="DN99" s="517"/>
      <c r="DO99" s="517"/>
      <c r="DP99" s="517"/>
      <c r="DQ99" s="517"/>
      <c r="DR99" s="517"/>
      <c r="DS99" s="517"/>
      <c r="DT99" s="517"/>
      <c r="DU99" s="517"/>
      <c r="DV99" s="517"/>
      <c r="DW99" s="517"/>
      <c r="DX99" s="517"/>
      <c r="DY99" s="517"/>
      <c r="DZ99" s="517"/>
      <c r="EA99" s="517"/>
      <c r="EB99" s="517"/>
      <c r="EC99" s="517"/>
      <c r="ED99" s="517"/>
      <c r="EE99" s="517"/>
      <c r="EF99" s="517"/>
      <c r="EG99" s="517"/>
      <c r="EH99" s="517"/>
      <c r="EI99" s="517"/>
      <c r="EJ99" s="517"/>
      <c r="EK99" s="517"/>
      <c r="EL99" s="517"/>
      <c r="EM99" s="517"/>
      <c r="EN99" s="517"/>
      <c r="EO99" s="517"/>
      <c r="EP99" s="517"/>
      <c r="EQ99" s="517"/>
      <c r="ER99" s="517"/>
      <c r="ES99" s="627" t="s">
        <v>1140</v>
      </c>
    </row>
    <row r="100">
      <c r="A100" s="517"/>
      <c r="B100" s="517"/>
      <c r="C100" s="517"/>
      <c r="D100" s="517"/>
      <c r="E100" s="517"/>
      <c r="F100" s="517"/>
      <c r="G100" s="517"/>
      <c r="H100" s="517"/>
      <c r="I100" s="517"/>
      <c r="J100" s="517"/>
      <c r="K100" s="517"/>
      <c r="L100" s="517"/>
      <c r="M100" s="517"/>
      <c r="N100" s="517"/>
      <c r="O100" s="517"/>
      <c r="P100" s="517"/>
      <c r="Q100" s="517"/>
      <c r="R100" s="517"/>
      <c r="S100" s="517"/>
      <c r="T100" s="517"/>
      <c r="U100" s="517"/>
      <c r="V100" s="517"/>
      <c r="W100" s="517"/>
      <c r="X100" s="517"/>
      <c r="Y100" s="517"/>
      <c r="Z100" s="517"/>
      <c r="AA100" s="517"/>
      <c r="AB100" s="517"/>
      <c r="AC100" s="517"/>
      <c r="AD100" s="517"/>
      <c r="AE100" s="517"/>
      <c r="AF100" s="517"/>
      <c r="AG100" s="517"/>
      <c r="AH100" s="517"/>
      <c r="AI100" s="517"/>
      <c r="AJ100" s="517"/>
      <c r="AK100" s="517"/>
      <c r="AL100" s="517"/>
      <c r="AM100" s="517"/>
      <c r="AN100" s="517"/>
      <c r="AO100" s="517"/>
      <c r="AP100" s="517"/>
      <c r="AQ100" s="517"/>
      <c r="AR100" s="517"/>
      <c r="AS100" s="517"/>
      <c r="AT100" s="517"/>
      <c r="AU100" s="517"/>
      <c r="AV100" s="517"/>
      <c r="AW100" s="517"/>
      <c r="AX100" s="517"/>
      <c r="AY100" s="517"/>
      <c r="AZ100" s="517"/>
      <c r="BA100" s="517"/>
      <c r="BB100" s="517"/>
      <c r="BC100" s="517"/>
      <c r="BD100" s="517"/>
      <c r="BE100" s="517"/>
      <c r="BF100" s="517"/>
      <c r="BG100" s="517"/>
      <c r="BH100" s="517"/>
      <c r="BI100" s="517"/>
      <c r="BJ100" s="517"/>
      <c r="BK100" s="517"/>
      <c r="BL100" s="517"/>
      <c r="BM100" s="517"/>
      <c r="BN100" s="517"/>
      <c r="BO100" s="517"/>
      <c r="BP100" s="517"/>
      <c r="BQ100" s="517"/>
      <c r="BR100" s="517"/>
      <c r="BS100" s="517"/>
      <c r="BT100" s="517"/>
      <c r="BU100" s="517"/>
      <c r="BV100" s="517"/>
      <c r="BW100" s="517"/>
      <c r="BX100" s="517"/>
      <c r="BY100" s="517"/>
      <c r="BZ100" s="517"/>
      <c r="CA100" s="517"/>
      <c r="CB100" s="517"/>
      <c r="CC100" s="517"/>
      <c r="CD100" s="517"/>
      <c r="CE100" s="517"/>
      <c r="CF100" s="517"/>
      <c r="CG100" s="517"/>
      <c r="CH100" s="517"/>
      <c r="CI100" s="517"/>
      <c r="CJ100" s="517"/>
      <c r="CK100" s="517"/>
      <c r="CL100" s="517"/>
      <c r="CM100" s="517"/>
      <c r="CN100" s="517"/>
      <c r="CO100" s="517"/>
      <c r="CP100" s="517"/>
      <c r="CQ100" s="517"/>
      <c r="CR100" s="517"/>
      <c r="CS100" s="517"/>
      <c r="CT100" s="517"/>
      <c r="CU100" s="517"/>
      <c r="CV100" s="517"/>
      <c r="CW100" s="517"/>
      <c r="CX100" s="517"/>
      <c r="CY100" s="517"/>
      <c r="CZ100" s="517"/>
      <c r="DA100" s="517"/>
      <c r="DB100" s="517"/>
      <c r="DC100" s="517"/>
      <c r="DD100" s="517"/>
      <c r="DE100" s="517"/>
      <c r="DF100" s="517"/>
      <c r="DG100" s="517"/>
      <c r="DH100" s="517"/>
      <c r="DI100" s="517"/>
      <c r="DJ100" s="517"/>
      <c r="DK100" s="517"/>
      <c r="DL100" s="517"/>
      <c r="DM100" s="517"/>
      <c r="DN100" s="517"/>
      <c r="DO100" s="517"/>
      <c r="DP100" s="517"/>
      <c r="DQ100" s="517"/>
      <c r="DR100" s="517"/>
      <c r="DS100" s="517"/>
      <c r="DT100" s="517"/>
      <c r="DU100" s="517"/>
      <c r="DV100" s="517"/>
      <c r="DW100" s="517"/>
      <c r="DX100" s="517"/>
      <c r="DY100" s="517"/>
      <c r="DZ100" s="517"/>
      <c r="EA100" s="517"/>
      <c r="EB100" s="517"/>
      <c r="EC100" s="517"/>
      <c r="ED100" s="517"/>
      <c r="EE100" s="517"/>
      <c r="EF100" s="517"/>
      <c r="EG100" s="517"/>
      <c r="EH100" s="517"/>
      <c r="EI100" s="517"/>
      <c r="EJ100" s="517"/>
      <c r="EK100" s="517"/>
      <c r="EL100" s="517"/>
      <c r="EM100" s="517"/>
      <c r="EN100" s="517"/>
      <c r="EO100" s="517"/>
      <c r="EP100" s="517"/>
      <c r="EQ100" s="517"/>
      <c r="ER100" s="517"/>
      <c r="ES100" s="627" t="s">
        <v>1140</v>
      </c>
    </row>
    <row r="101">
      <c r="A101" s="517"/>
      <c r="B101" s="517"/>
      <c r="C101" s="517"/>
      <c r="D101" s="517"/>
      <c r="E101" s="517"/>
      <c r="F101" s="517"/>
      <c r="G101" s="517"/>
      <c r="H101" s="517"/>
      <c r="I101" s="517"/>
      <c r="J101" s="517"/>
      <c r="K101" s="517"/>
      <c r="L101" s="517"/>
      <c r="M101" s="517"/>
      <c r="N101" s="517"/>
      <c r="O101" s="517"/>
      <c r="P101" s="517"/>
      <c r="Q101" s="517"/>
      <c r="R101" s="517"/>
      <c r="S101" s="517"/>
      <c r="T101" s="517"/>
      <c r="U101" s="517"/>
      <c r="V101" s="517"/>
      <c r="W101" s="517"/>
      <c r="X101" s="517"/>
      <c r="Y101" s="517"/>
      <c r="Z101" s="517"/>
      <c r="AA101" s="517"/>
      <c r="AB101" s="517"/>
      <c r="AC101" s="517"/>
      <c r="AD101" s="517"/>
      <c r="AE101" s="517"/>
      <c r="AF101" s="517"/>
      <c r="AG101" s="517"/>
      <c r="AH101" s="517"/>
      <c r="AI101" s="517"/>
      <c r="AJ101" s="517"/>
      <c r="AK101" s="517"/>
      <c r="AL101" s="517"/>
      <c r="AM101" s="517"/>
      <c r="AN101" s="517"/>
      <c r="AO101" s="517"/>
      <c r="AP101" s="517"/>
      <c r="AQ101" s="517"/>
      <c r="AR101" s="517"/>
      <c r="AS101" s="517"/>
      <c r="AT101" s="517"/>
      <c r="AU101" s="517"/>
      <c r="AV101" s="517"/>
      <c r="AW101" s="517"/>
      <c r="AX101" s="517"/>
      <c r="AY101" s="517"/>
      <c r="AZ101" s="517"/>
      <c r="BA101" s="517"/>
      <c r="BB101" s="517"/>
      <c r="BC101" s="517"/>
      <c r="BD101" s="517"/>
      <c r="BE101" s="517"/>
      <c r="BF101" s="517"/>
      <c r="BG101" s="517"/>
      <c r="BH101" s="517"/>
      <c r="BI101" s="517"/>
      <c r="BJ101" s="517"/>
      <c r="BK101" s="517"/>
      <c r="BL101" s="517"/>
      <c r="BM101" s="517"/>
      <c r="BN101" s="517"/>
      <c r="BO101" s="517"/>
      <c r="BP101" s="517"/>
      <c r="BQ101" s="517"/>
      <c r="BR101" s="517"/>
      <c r="BS101" s="517"/>
      <c r="BT101" s="517"/>
      <c r="BU101" s="517"/>
      <c r="BV101" s="517"/>
      <c r="BW101" s="517"/>
      <c r="BX101" s="517"/>
      <c r="BY101" s="517"/>
      <c r="BZ101" s="517"/>
      <c r="CA101" s="517"/>
      <c r="CB101" s="517"/>
      <c r="CC101" s="517"/>
      <c r="CD101" s="517"/>
      <c r="CE101" s="517"/>
      <c r="CF101" s="517"/>
      <c r="CG101" s="517"/>
      <c r="CH101" s="517"/>
      <c r="CI101" s="517"/>
      <c r="CJ101" s="517"/>
      <c r="CK101" s="517"/>
      <c r="CL101" s="517"/>
      <c r="CM101" s="517"/>
      <c r="CN101" s="517"/>
      <c r="CO101" s="517"/>
      <c r="CP101" s="517"/>
      <c r="CQ101" s="517"/>
      <c r="CR101" s="517"/>
      <c r="CS101" s="517"/>
      <c r="CT101" s="517"/>
      <c r="CU101" s="517"/>
      <c r="CV101" s="517"/>
      <c r="CW101" s="517"/>
      <c r="CX101" s="517"/>
      <c r="CY101" s="517"/>
      <c r="CZ101" s="517"/>
      <c r="DA101" s="517"/>
      <c r="DB101" s="517"/>
      <c r="DC101" s="517"/>
      <c r="DD101" s="517"/>
      <c r="DE101" s="517"/>
      <c r="DF101" s="517"/>
      <c r="DG101" s="517"/>
      <c r="DH101" s="517"/>
      <c r="DI101" s="517"/>
      <c r="DJ101" s="517"/>
      <c r="DK101" s="517"/>
      <c r="DL101" s="517"/>
      <c r="DM101" s="517"/>
      <c r="DN101" s="517"/>
      <c r="DO101" s="517"/>
      <c r="DP101" s="517"/>
      <c r="DQ101" s="517"/>
      <c r="DR101" s="517"/>
      <c r="DS101" s="517"/>
      <c r="DT101" s="517"/>
      <c r="DU101" s="517"/>
      <c r="DV101" s="517"/>
      <c r="DW101" s="517"/>
      <c r="DX101" s="517"/>
      <c r="DY101" s="517"/>
      <c r="DZ101" s="517"/>
      <c r="EA101" s="517"/>
      <c r="EB101" s="517"/>
      <c r="EC101" s="517"/>
      <c r="ED101" s="517"/>
      <c r="EE101" s="517"/>
      <c r="EF101" s="517"/>
      <c r="EG101" s="517"/>
      <c r="EH101" s="517"/>
      <c r="EI101" s="517"/>
      <c r="EJ101" s="517"/>
      <c r="EK101" s="517"/>
      <c r="EL101" s="517"/>
      <c r="EM101" s="517"/>
      <c r="EN101" s="517"/>
      <c r="EO101" s="517"/>
      <c r="EP101" s="517"/>
      <c r="EQ101" s="517"/>
      <c r="ER101" s="517"/>
      <c r="ES101" s="627" t="s">
        <v>1140</v>
      </c>
    </row>
    <row r="102">
      <c r="A102" s="517"/>
      <c r="B102" s="517"/>
      <c r="C102" s="517"/>
      <c r="D102" s="517"/>
      <c r="E102" s="517"/>
      <c r="F102" s="517"/>
      <c r="G102" s="517"/>
      <c r="H102" s="517"/>
      <c r="I102" s="517"/>
      <c r="J102" s="517"/>
      <c r="K102" s="517"/>
      <c r="L102" s="517"/>
      <c r="M102" s="517"/>
      <c r="N102" s="517"/>
      <c r="O102" s="517"/>
      <c r="P102" s="517"/>
      <c r="Q102" s="517"/>
      <c r="R102" s="517"/>
      <c r="S102" s="517"/>
      <c r="T102" s="517"/>
      <c r="U102" s="517"/>
      <c r="V102" s="517"/>
      <c r="W102" s="517"/>
      <c r="X102" s="517"/>
      <c r="Y102" s="517"/>
      <c r="Z102" s="517"/>
      <c r="AA102" s="517"/>
      <c r="AB102" s="517"/>
      <c r="AC102" s="517"/>
      <c r="AD102" s="517"/>
      <c r="AE102" s="517"/>
      <c r="AF102" s="517"/>
      <c r="AG102" s="517"/>
      <c r="AH102" s="517"/>
      <c r="AI102" s="517"/>
      <c r="AJ102" s="517"/>
      <c r="AK102" s="517"/>
      <c r="AL102" s="517"/>
      <c r="AM102" s="517"/>
      <c r="AN102" s="517"/>
      <c r="AO102" s="517"/>
      <c r="AP102" s="517"/>
      <c r="AQ102" s="517"/>
      <c r="AR102" s="517"/>
      <c r="AS102" s="517"/>
      <c r="AT102" s="517"/>
      <c r="AU102" s="517"/>
      <c r="AV102" s="517"/>
      <c r="AW102" s="517"/>
      <c r="AX102" s="517"/>
      <c r="AY102" s="517"/>
      <c r="AZ102" s="517"/>
      <c r="BA102" s="517"/>
      <c r="BB102" s="517"/>
      <c r="BC102" s="517"/>
      <c r="BD102" s="517"/>
      <c r="BE102" s="517"/>
      <c r="BF102" s="517"/>
      <c r="BG102" s="517"/>
      <c r="BH102" s="517"/>
      <c r="BI102" s="517"/>
      <c r="BJ102" s="517"/>
      <c r="BK102" s="517"/>
      <c r="BL102" s="517"/>
      <c r="BM102" s="517"/>
      <c r="BN102" s="517"/>
      <c r="BO102" s="517"/>
      <c r="BP102" s="517"/>
      <c r="BQ102" s="517"/>
      <c r="BR102" s="517"/>
      <c r="BS102" s="517"/>
      <c r="BT102" s="517"/>
      <c r="BU102" s="517"/>
      <c r="BV102" s="517"/>
      <c r="BW102" s="517"/>
      <c r="BX102" s="517"/>
      <c r="BY102" s="517"/>
      <c r="BZ102" s="517"/>
      <c r="CA102" s="517"/>
      <c r="CB102" s="517"/>
      <c r="CC102" s="517"/>
      <c r="CD102" s="517"/>
      <c r="CE102" s="517"/>
      <c r="CF102" s="517"/>
      <c r="CG102" s="517"/>
      <c r="CH102" s="517"/>
      <c r="CI102" s="517"/>
      <c r="CJ102" s="517"/>
      <c r="CK102" s="517"/>
      <c r="CL102" s="517"/>
      <c r="CM102" s="517"/>
      <c r="CN102" s="517"/>
      <c r="CO102" s="517"/>
      <c r="CP102" s="517"/>
      <c r="CQ102" s="517"/>
      <c r="CR102" s="517"/>
      <c r="CS102" s="517"/>
      <c r="CT102" s="517"/>
      <c r="CU102" s="517"/>
      <c r="CV102" s="517"/>
      <c r="CW102" s="517"/>
      <c r="CX102" s="517"/>
      <c r="CY102" s="517"/>
      <c r="CZ102" s="517"/>
      <c r="DA102" s="517"/>
      <c r="DB102" s="517"/>
      <c r="DC102" s="517"/>
      <c r="DD102" s="517"/>
      <c r="DE102" s="517"/>
      <c r="DF102" s="517"/>
      <c r="DG102" s="517"/>
      <c r="DH102" s="517"/>
      <c r="DI102" s="517"/>
      <c r="DJ102" s="517"/>
      <c r="DK102" s="517"/>
      <c r="DL102" s="517"/>
      <c r="DM102" s="517"/>
      <c r="DN102" s="517"/>
      <c r="DO102" s="517"/>
      <c r="DP102" s="517"/>
      <c r="DQ102" s="517"/>
      <c r="DR102" s="517"/>
      <c r="DS102" s="517"/>
      <c r="DT102" s="517"/>
      <c r="DU102" s="517"/>
      <c r="DV102" s="517"/>
      <c r="DW102" s="517"/>
      <c r="DX102" s="517"/>
      <c r="DY102" s="517"/>
      <c r="DZ102" s="517"/>
      <c r="EA102" s="517"/>
      <c r="EB102" s="517"/>
      <c r="EC102" s="517"/>
      <c r="ED102" s="517"/>
      <c r="EE102" s="517"/>
      <c r="EF102" s="517"/>
      <c r="EG102" s="517"/>
      <c r="EH102" s="517"/>
      <c r="EI102" s="517"/>
      <c r="EJ102" s="517"/>
      <c r="EK102" s="517"/>
      <c r="EL102" s="517"/>
      <c r="EM102" s="517"/>
      <c r="EN102" s="517"/>
      <c r="EO102" s="517"/>
      <c r="EP102" s="517"/>
      <c r="EQ102" s="517"/>
      <c r="ER102" s="517"/>
      <c r="ES102" s="627" t="s">
        <v>1140</v>
      </c>
    </row>
    <row r="103">
      <c r="A103" s="517"/>
      <c r="B103" s="517"/>
      <c r="C103" s="517"/>
      <c r="D103" s="517"/>
      <c r="E103" s="517"/>
      <c r="F103" s="517"/>
      <c r="G103" s="517"/>
      <c r="H103" s="517"/>
      <c r="I103" s="517"/>
      <c r="J103" s="517"/>
      <c r="K103" s="517"/>
      <c r="L103" s="517"/>
      <c r="M103" s="517"/>
      <c r="N103" s="517"/>
      <c r="O103" s="517"/>
      <c r="P103" s="517"/>
      <c r="Q103" s="517"/>
      <c r="R103" s="517"/>
      <c r="S103" s="517"/>
      <c r="T103" s="517"/>
      <c r="U103" s="517"/>
      <c r="V103" s="517"/>
      <c r="W103" s="517"/>
      <c r="X103" s="517"/>
      <c r="Y103" s="517"/>
      <c r="Z103" s="517"/>
      <c r="AA103" s="517"/>
      <c r="AB103" s="517"/>
      <c r="AC103" s="517"/>
      <c r="AD103" s="517"/>
      <c r="AE103" s="517"/>
      <c r="AF103" s="517"/>
      <c r="AG103" s="517"/>
      <c r="AH103" s="517"/>
      <c r="AI103" s="517"/>
      <c r="AJ103" s="517"/>
      <c r="AK103" s="517"/>
      <c r="AL103" s="517"/>
      <c r="AM103" s="517"/>
      <c r="AN103" s="517"/>
      <c r="AO103" s="517"/>
      <c r="AP103" s="517"/>
      <c r="AQ103" s="517"/>
      <c r="AR103" s="517"/>
      <c r="AS103" s="517"/>
      <c r="AT103" s="517"/>
      <c r="AU103" s="517"/>
      <c r="AV103" s="517"/>
      <c r="AW103" s="517"/>
      <c r="AX103" s="517"/>
      <c r="AY103" s="517"/>
      <c r="AZ103" s="517"/>
      <c r="BA103" s="517"/>
      <c r="BB103" s="517"/>
      <c r="BC103" s="517"/>
      <c r="BD103" s="517"/>
      <c r="BE103" s="517"/>
      <c r="BF103" s="517"/>
      <c r="BG103" s="517"/>
      <c r="BH103" s="517"/>
      <c r="BI103" s="517"/>
      <c r="BJ103" s="517"/>
      <c r="BK103" s="517"/>
      <c r="BL103" s="517"/>
      <c r="BM103" s="517"/>
      <c r="BN103" s="517"/>
      <c r="BO103" s="517"/>
      <c r="BP103" s="517"/>
      <c r="BQ103" s="517"/>
      <c r="BR103" s="517"/>
      <c r="BS103" s="517"/>
      <c r="BT103" s="517"/>
      <c r="BU103" s="517"/>
      <c r="BV103" s="517"/>
      <c r="BW103" s="517"/>
      <c r="BX103" s="517"/>
      <c r="BY103" s="517"/>
      <c r="BZ103" s="517"/>
      <c r="CA103" s="517"/>
      <c r="CB103" s="517"/>
      <c r="CC103" s="517"/>
      <c r="CD103" s="517"/>
      <c r="CE103" s="517"/>
      <c r="CF103" s="517"/>
      <c r="CG103" s="517"/>
      <c r="CH103" s="517"/>
      <c r="CI103" s="517"/>
      <c r="CJ103" s="517"/>
      <c r="CK103" s="517"/>
      <c r="CL103" s="517"/>
      <c r="CM103" s="517"/>
      <c r="CN103" s="517"/>
      <c r="CO103" s="517"/>
      <c r="CP103" s="517"/>
      <c r="CQ103" s="517"/>
      <c r="CR103" s="517"/>
      <c r="CS103" s="517"/>
      <c r="CT103" s="517"/>
      <c r="CU103" s="517"/>
      <c r="CV103" s="517"/>
      <c r="CW103" s="517"/>
      <c r="CX103" s="517"/>
      <c r="CY103" s="517"/>
      <c r="CZ103" s="517"/>
      <c r="DA103" s="517"/>
      <c r="DB103" s="517"/>
      <c r="DC103" s="517"/>
      <c r="DD103" s="517"/>
      <c r="DE103" s="517"/>
      <c r="DF103" s="517"/>
      <c r="DG103" s="517"/>
      <c r="DH103" s="517"/>
      <c r="DI103" s="517"/>
      <c r="DJ103" s="517"/>
      <c r="DK103" s="517"/>
      <c r="DL103" s="517"/>
      <c r="DM103" s="517"/>
      <c r="DN103" s="517"/>
      <c r="DO103" s="517"/>
      <c r="DP103" s="517"/>
      <c r="DQ103" s="517"/>
      <c r="DR103" s="517"/>
      <c r="DS103" s="517"/>
      <c r="DT103" s="517"/>
      <c r="DU103" s="517"/>
      <c r="DV103" s="517"/>
      <c r="DW103" s="517"/>
      <c r="DX103" s="517"/>
      <c r="DY103" s="517"/>
      <c r="DZ103" s="517"/>
      <c r="EA103" s="517"/>
      <c r="EB103" s="517"/>
      <c r="EC103" s="517"/>
      <c r="ED103" s="517"/>
      <c r="EE103" s="517"/>
      <c r="EF103" s="517"/>
      <c r="EG103" s="517"/>
      <c r="EH103" s="517"/>
      <c r="EI103" s="517"/>
      <c r="EJ103" s="517"/>
      <c r="EK103" s="517"/>
      <c r="EL103" s="517"/>
      <c r="EM103" s="517"/>
      <c r="EN103" s="517"/>
      <c r="EO103" s="517"/>
      <c r="EP103" s="517"/>
      <c r="EQ103" s="517"/>
      <c r="ER103" s="517"/>
      <c r="ES103" s="627" t="s">
        <v>1140</v>
      </c>
    </row>
    <row r="104">
      <c r="A104" s="517"/>
      <c r="B104" s="517"/>
      <c r="C104" s="517"/>
      <c r="D104" s="517"/>
      <c r="E104" s="517"/>
      <c r="F104" s="517"/>
      <c r="G104" s="517"/>
      <c r="H104" s="517"/>
      <c r="I104" s="517"/>
      <c r="J104" s="517"/>
      <c r="K104" s="517"/>
      <c r="L104" s="517"/>
      <c r="M104" s="517"/>
      <c r="N104" s="517"/>
      <c r="O104" s="517"/>
      <c r="P104" s="517"/>
      <c r="Q104" s="517"/>
      <c r="R104" s="517"/>
      <c r="S104" s="517"/>
      <c r="T104" s="517"/>
      <c r="U104" s="517"/>
      <c r="V104" s="517"/>
      <c r="W104" s="517"/>
      <c r="X104" s="517"/>
      <c r="Y104" s="517"/>
      <c r="Z104" s="517"/>
      <c r="AA104" s="517"/>
      <c r="AB104" s="517"/>
      <c r="AC104" s="517"/>
      <c r="AD104" s="517"/>
      <c r="AE104" s="517"/>
      <c r="AF104" s="517"/>
      <c r="AG104" s="517"/>
      <c r="AH104" s="517"/>
      <c r="AI104" s="517"/>
      <c r="AJ104" s="517"/>
      <c r="AK104" s="517"/>
      <c r="AL104" s="517"/>
      <c r="AM104" s="517"/>
      <c r="AN104" s="517"/>
      <c r="AO104" s="517"/>
      <c r="AP104" s="517"/>
      <c r="AQ104" s="517"/>
      <c r="AR104" s="517"/>
      <c r="AS104" s="517"/>
      <c r="AT104" s="517"/>
      <c r="AU104" s="517"/>
      <c r="AV104" s="517"/>
      <c r="AW104" s="517"/>
      <c r="AX104" s="517"/>
      <c r="AY104" s="517"/>
      <c r="AZ104" s="517"/>
      <c r="BA104" s="517"/>
      <c r="BB104" s="517"/>
      <c r="BC104" s="517"/>
      <c r="BD104" s="517"/>
      <c r="BE104" s="517"/>
      <c r="BF104" s="517"/>
      <c r="BG104" s="517"/>
      <c r="BH104" s="517"/>
      <c r="BI104" s="517"/>
      <c r="BJ104" s="517"/>
      <c r="BK104" s="517"/>
      <c r="BL104" s="517"/>
      <c r="BM104" s="517"/>
      <c r="BN104" s="517"/>
      <c r="BO104" s="517"/>
      <c r="BP104" s="517"/>
      <c r="BQ104" s="517"/>
      <c r="BR104" s="517"/>
      <c r="BS104" s="517"/>
      <c r="BT104" s="517"/>
      <c r="BU104" s="517"/>
      <c r="BV104" s="517"/>
      <c r="BW104" s="517"/>
      <c r="BX104" s="517"/>
      <c r="BY104" s="517"/>
      <c r="BZ104" s="517"/>
      <c r="CA104" s="517"/>
      <c r="CB104" s="517"/>
      <c r="CC104" s="517"/>
      <c r="CD104" s="517"/>
      <c r="CE104" s="517"/>
      <c r="CF104" s="517"/>
      <c r="CG104" s="517"/>
      <c r="CH104" s="517"/>
      <c r="CI104" s="517"/>
      <c r="CJ104" s="517"/>
      <c r="CK104" s="517"/>
      <c r="CL104" s="517"/>
      <c r="CM104" s="517"/>
      <c r="CN104" s="517"/>
      <c r="CO104" s="517"/>
      <c r="CP104" s="517"/>
      <c r="CQ104" s="517"/>
      <c r="CR104" s="517"/>
      <c r="CS104" s="517"/>
      <c r="CT104" s="517"/>
      <c r="CU104" s="517"/>
      <c r="CV104" s="517"/>
      <c r="CW104" s="517"/>
      <c r="CX104" s="517"/>
      <c r="CY104" s="517"/>
      <c r="CZ104" s="517"/>
      <c r="DA104" s="517"/>
      <c r="DB104" s="517"/>
      <c r="DC104" s="517"/>
      <c r="DD104" s="517"/>
      <c r="DE104" s="517"/>
      <c r="DF104" s="517"/>
      <c r="DG104" s="517"/>
      <c r="DH104" s="517"/>
      <c r="DI104" s="517"/>
      <c r="DJ104" s="517"/>
      <c r="DK104" s="517"/>
      <c r="DL104" s="517"/>
      <c r="DM104" s="517"/>
      <c r="DN104" s="517"/>
      <c r="DO104" s="517"/>
      <c r="DP104" s="517"/>
      <c r="DQ104" s="517"/>
      <c r="DR104" s="517"/>
      <c r="DS104" s="517"/>
      <c r="DT104" s="517"/>
      <c r="DU104" s="517"/>
      <c r="DV104" s="517"/>
      <c r="DW104" s="517"/>
      <c r="DX104" s="517"/>
      <c r="DY104" s="517"/>
      <c r="DZ104" s="517"/>
      <c r="EA104" s="517"/>
      <c r="EB104" s="517"/>
      <c r="EC104" s="517"/>
      <c r="ED104" s="517"/>
      <c r="EE104" s="517"/>
      <c r="EF104" s="517"/>
      <c r="EG104" s="517"/>
      <c r="EH104" s="517"/>
      <c r="EI104" s="517"/>
      <c r="EJ104" s="517"/>
      <c r="EK104" s="517"/>
      <c r="EL104" s="517"/>
      <c r="EM104" s="517"/>
      <c r="EN104" s="517"/>
      <c r="EO104" s="517"/>
      <c r="EP104" s="517"/>
      <c r="EQ104" s="517"/>
      <c r="ER104" s="517"/>
      <c r="ES104" s="627" t="s">
        <v>1140</v>
      </c>
    </row>
    <row r="105">
      <c r="A105" s="517"/>
      <c r="B105" s="517"/>
      <c r="C105" s="517"/>
      <c r="D105" s="517"/>
      <c r="E105" s="517"/>
      <c r="F105" s="517"/>
      <c r="G105" s="517"/>
      <c r="H105" s="517"/>
      <c r="I105" s="517"/>
      <c r="J105" s="517"/>
      <c r="K105" s="517"/>
      <c r="L105" s="517"/>
      <c r="M105" s="517"/>
      <c r="N105" s="517"/>
      <c r="O105" s="517"/>
      <c r="P105" s="517"/>
      <c r="Q105" s="517"/>
      <c r="R105" s="517"/>
      <c r="S105" s="517"/>
      <c r="T105" s="517"/>
      <c r="U105" s="517"/>
      <c r="V105" s="517"/>
      <c r="W105" s="517"/>
      <c r="X105" s="517"/>
      <c r="Y105" s="517"/>
      <c r="Z105" s="517"/>
      <c r="AA105" s="517"/>
      <c r="AB105" s="517"/>
      <c r="AC105" s="517"/>
      <c r="AD105" s="517"/>
      <c r="AE105" s="517"/>
      <c r="AF105" s="517"/>
      <c r="AG105" s="517"/>
      <c r="AH105" s="517"/>
      <c r="AI105" s="517"/>
      <c r="AJ105" s="517"/>
      <c r="AK105" s="517"/>
      <c r="AL105" s="517"/>
      <c r="AM105" s="517"/>
      <c r="AN105" s="517"/>
      <c r="AO105" s="517"/>
      <c r="AP105" s="517"/>
      <c r="AQ105" s="517"/>
      <c r="AR105" s="517"/>
      <c r="AS105" s="517"/>
      <c r="AT105" s="517"/>
      <c r="AU105" s="517"/>
      <c r="AV105" s="517"/>
      <c r="AW105" s="517"/>
      <c r="AX105" s="517"/>
      <c r="AY105" s="517"/>
      <c r="AZ105" s="517"/>
      <c r="BA105" s="517"/>
      <c r="BB105" s="517"/>
      <c r="BC105" s="517"/>
      <c r="BD105" s="517"/>
      <c r="BE105" s="517"/>
      <c r="BF105" s="517"/>
      <c r="BG105" s="517"/>
      <c r="BH105" s="517"/>
      <c r="BI105" s="517"/>
      <c r="BJ105" s="517"/>
      <c r="BK105" s="517"/>
      <c r="BL105" s="517"/>
      <c r="BM105" s="517"/>
      <c r="BN105" s="517"/>
      <c r="BO105" s="517"/>
      <c r="BP105" s="517"/>
      <c r="BQ105" s="517"/>
      <c r="BR105" s="517"/>
      <c r="BS105" s="517"/>
      <c r="BT105" s="517"/>
      <c r="BU105" s="517"/>
      <c r="BV105" s="517"/>
      <c r="BW105" s="517"/>
      <c r="BX105" s="517"/>
      <c r="BY105" s="517"/>
      <c r="BZ105" s="517"/>
      <c r="CA105" s="517"/>
      <c r="CB105" s="517"/>
      <c r="CC105" s="517"/>
      <c r="CD105" s="517"/>
      <c r="CE105" s="517"/>
      <c r="CF105" s="517"/>
      <c r="CG105" s="517"/>
      <c r="CH105" s="517"/>
      <c r="CI105" s="517"/>
      <c r="CJ105" s="517"/>
      <c r="CK105" s="517"/>
      <c r="CL105" s="517"/>
      <c r="CM105" s="517"/>
      <c r="CN105" s="517"/>
      <c r="CO105" s="517"/>
      <c r="CP105" s="517"/>
      <c r="CQ105" s="517"/>
      <c r="CR105" s="517"/>
      <c r="CS105" s="517"/>
      <c r="CT105" s="517"/>
      <c r="CU105" s="517"/>
      <c r="CV105" s="517"/>
      <c r="CW105" s="517"/>
      <c r="CX105" s="517"/>
      <c r="CY105" s="517"/>
      <c r="CZ105" s="517"/>
      <c r="DA105" s="517"/>
      <c r="DB105" s="517"/>
      <c r="DC105" s="517"/>
      <c r="DD105" s="517"/>
      <c r="DE105" s="517"/>
      <c r="DF105" s="517"/>
      <c r="DG105" s="517"/>
      <c r="DH105" s="517"/>
      <c r="DI105" s="517"/>
      <c r="DJ105" s="517"/>
      <c r="DK105" s="517"/>
      <c r="DL105" s="517"/>
      <c r="DM105" s="517"/>
      <c r="DN105" s="517"/>
      <c r="DO105" s="517"/>
      <c r="DP105" s="517"/>
      <c r="DQ105" s="517"/>
      <c r="DR105" s="517"/>
      <c r="DS105" s="517"/>
      <c r="DT105" s="517"/>
      <c r="DU105" s="517"/>
      <c r="DV105" s="517"/>
      <c r="DW105" s="517"/>
      <c r="DX105" s="517"/>
      <c r="DY105" s="517"/>
      <c r="DZ105" s="517"/>
      <c r="EA105" s="517"/>
      <c r="EB105" s="517"/>
      <c r="EC105" s="517"/>
      <c r="ED105" s="517"/>
      <c r="EE105" s="517"/>
      <c r="EF105" s="517"/>
      <c r="EG105" s="517"/>
      <c r="EH105" s="517"/>
      <c r="EI105" s="517"/>
      <c r="EJ105" s="517"/>
      <c r="EK105" s="517"/>
      <c r="EL105" s="517"/>
      <c r="EM105" s="517"/>
      <c r="EN105" s="517"/>
      <c r="EO105" s="517"/>
      <c r="EP105" s="517"/>
      <c r="EQ105" s="517"/>
      <c r="ER105" s="517"/>
      <c r="ES105" s="627" t="s">
        <v>1140</v>
      </c>
    </row>
    <row r="106">
      <c r="A106" s="517"/>
      <c r="B106" s="517"/>
      <c r="C106" s="517"/>
      <c r="D106" s="517"/>
      <c r="E106" s="517"/>
      <c r="F106" s="517"/>
      <c r="G106" s="517"/>
      <c r="H106" s="517"/>
      <c r="I106" s="517"/>
      <c r="J106" s="517"/>
      <c r="K106" s="517"/>
      <c r="L106" s="517"/>
      <c r="M106" s="517"/>
      <c r="N106" s="517"/>
      <c r="O106" s="517"/>
      <c r="P106" s="517"/>
      <c r="Q106" s="517"/>
      <c r="R106" s="517"/>
      <c r="S106" s="517"/>
      <c r="T106" s="517"/>
      <c r="U106" s="517"/>
      <c r="V106" s="517"/>
      <c r="W106" s="517"/>
      <c r="X106" s="517"/>
      <c r="Y106" s="517"/>
      <c r="Z106" s="517"/>
      <c r="AA106" s="517"/>
      <c r="AB106" s="517"/>
      <c r="AC106" s="517"/>
      <c r="AD106" s="517"/>
      <c r="AE106" s="517"/>
      <c r="AF106" s="517"/>
      <c r="AG106" s="517"/>
      <c r="AH106" s="517"/>
      <c r="AI106" s="517"/>
      <c r="AJ106" s="517"/>
      <c r="AK106" s="517"/>
      <c r="AL106" s="517"/>
      <c r="AM106" s="517"/>
      <c r="AN106" s="517"/>
      <c r="AO106" s="517"/>
      <c r="AP106" s="517"/>
      <c r="AQ106" s="517"/>
      <c r="AR106" s="517"/>
      <c r="AS106" s="517"/>
      <c r="AT106" s="517"/>
      <c r="AU106" s="517"/>
      <c r="AV106" s="517"/>
      <c r="AW106" s="517"/>
      <c r="AX106" s="517"/>
      <c r="AY106" s="517"/>
      <c r="AZ106" s="517"/>
      <c r="BA106" s="517"/>
      <c r="BB106" s="517"/>
      <c r="BC106" s="517"/>
      <c r="BD106" s="517"/>
      <c r="BE106" s="517"/>
      <c r="BF106" s="517"/>
      <c r="BG106" s="517"/>
      <c r="BH106" s="517"/>
      <c r="BI106" s="517"/>
      <c r="BJ106" s="517"/>
      <c r="BK106" s="517"/>
      <c r="BL106" s="517"/>
      <c r="BM106" s="517"/>
      <c r="BN106" s="517"/>
      <c r="BO106" s="517"/>
      <c r="BP106" s="517"/>
      <c r="BQ106" s="517"/>
      <c r="BR106" s="517"/>
      <c r="BS106" s="517"/>
      <c r="BT106" s="517"/>
      <c r="BU106" s="517"/>
      <c r="BV106" s="517"/>
      <c r="BW106" s="517"/>
      <c r="BX106" s="517"/>
      <c r="BY106" s="517"/>
      <c r="BZ106" s="517"/>
      <c r="CA106" s="517"/>
      <c r="CB106" s="517"/>
      <c r="CC106" s="517"/>
      <c r="CD106" s="517"/>
      <c r="CE106" s="517"/>
      <c r="CF106" s="517"/>
      <c r="CG106" s="517"/>
      <c r="CH106" s="517"/>
      <c r="CI106" s="517"/>
      <c r="CJ106" s="517"/>
      <c r="CK106" s="517"/>
      <c r="CL106" s="517"/>
      <c r="CM106" s="517"/>
      <c r="CN106" s="517"/>
      <c r="CO106" s="517"/>
      <c r="CP106" s="517"/>
      <c r="CQ106" s="517"/>
      <c r="CR106" s="517"/>
      <c r="CS106" s="517"/>
      <c r="CT106" s="517"/>
      <c r="CU106" s="517"/>
      <c r="CV106" s="517"/>
      <c r="CW106" s="517"/>
      <c r="CX106" s="517"/>
      <c r="CY106" s="517"/>
      <c r="CZ106" s="517"/>
      <c r="DA106" s="517"/>
      <c r="DB106" s="517"/>
      <c r="DC106" s="517"/>
      <c r="DD106" s="517"/>
      <c r="DE106" s="517"/>
      <c r="DF106" s="517"/>
      <c r="DG106" s="517"/>
      <c r="DH106" s="517"/>
      <c r="DI106" s="517"/>
      <c r="DJ106" s="517"/>
      <c r="DK106" s="517"/>
      <c r="DL106" s="517"/>
      <c r="DM106" s="517"/>
      <c r="DN106" s="517"/>
      <c r="DO106" s="517"/>
      <c r="DP106" s="517"/>
      <c r="DQ106" s="517"/>
      <c r="DR106" s="517"/>
      <c r="DS106" s="517"/>
      <c r="DT106" s="517"/>
      <c r="DU106" s="517"/>
      <c r="DV106" s="517"/>
      <c r="DW106" s="517"/>
      <c r="DX106" s="517"/>
      <c r="DY106" s="517"/>
      <c r="DZ106" s="517"/>
      <c r="EA106" s="517"/>
      <c r="EB106" s="517"/>
      <c r="EC106" s="517"/>
      <c r="ED106" s="517"/>
      <c r="EE106" s="517"/>
      <c r="EF106" s="517"/>
      <c r="EG106" s="517"/>
      <c r="EH106" s="517"/>
      <c r="EI106" s="517"/>
      <c r="EJ106" s="517"/>
      <c r="EK106" s="517"/>
      <c r="EL106" s="517"/>
      <c r="EM106" s="517"/>
      <c r="EN106" s="517"/>
      <c r="EO106" s="517"/>
      <c r="EP106" s="517"/>
      <c r="EQ106" s="517"/>
      <c r="ER106" s="517"/>
      <c r="ES106" s="627" t="s">
        <v>1140</v>
      </c>
    </row>
    <row r="107">
      <c r="A107" s="517"/>
      <c r="B107" s="517"/>
      <c r="C107" s="517"/>
      <c r="D107" s="517"/>
      <c r="E107" s="517"/>
      <c r="F107" s="517"/>
      <c r="G107" s="517"/>
      <c r="H107" s="517"/>
      <c r="I107" s="517"/>
      <c r="J107" s="517"/>
      <c r="K107" s="517"/>
      <c r="L107" s="517"/>
      <c r="M107" s="517"/>
      <c r="N107" s="517"/>
      <c r="O107" s="517"/>
      <c r="P107" s="517"/>
      <c r="Q107" s="517"/>
      <c r="R107" s="517"/>
      <c r="S107" s="517"/>
      <c r="T107" s="517"/>
      <c r="U107" s="517"/>
      <c r="V107" s="517"/>
      <c r="W107" s="517"/>
      <c r="X107" s="517"/>
      <c r="Y107" s="517"/>
      <c r="Z107" s="517"/>
      <c r="AA107" s="517"/>
      <c r="AB107" s="517"/>
      <c r="AC107" s="517"/>
      <c r="AD107" s="517"/>
      <c r="AE107" s="517"/>
      <c r="AF107" s="517"/>
      <c r="AG107" s="517"/>
      <c r="AH107" s="517"/>
      <c r="AI107" s="517"/>
      <c r="AJ107" s="517"/>
      <c r="AK107" s="517"/>
      <c r="AL107" s="517"/>
      <c r="AM107" s="517"/>
      <c r="AN107" s="517"/>
      <c r="AO107" s="517"/>
      <c r="AP107" s="517"/>
      <c r="AQ107" s="517"/>
      <c r="AR107" s="517"/>
      <c r="AS107" s="517"/>
      <c r="AT107" s="517"/>
      <c r="AU107" s="517"/>
      <c r="AV107" s="517"/>
      <c r="AW107" s="517"/>
      <c r="AX107" s="517"/>
      <c r="AY107" s="517"/>
      <c r="AZ107" s="517"/>
      <c r="BA107" s="517"/>
      <c r="BB107" s="517"/>
      <c r="BC107" s="517"/>
      <c r="BD107" s="517"/>
      <c r="BE107" s="517"/>
      <c r="BF107" s="517"/>
      <c r="BG107" s="517"/>
      <c r="BH107" s="517"/>
      <c r="BI107" s="517"/>
      <c r="BJ107" s="517"/>
      <c r="BK107" s="517"/>
      <c r="BL107" s="517"/>
      <c r="BM107" s="517"/>
      <c r="BN107" s="517"/>
      <c r="BO107" s="517"/>
      <c r="BP107" s="517"/>
      <c r="BQ107" s="517"/>
      <c r="BR107" s="517"/>
      <c r="BS107" s="517"/>
      <c r="BT107" s="517"/>
      <c r="BU107" s="517"/>
      <c r="BV107" s="517"/>
      <c r="BW107" s="517"/>
      <c r="BX107" s="517"/>
      <c r="BY107" s="517"/>
      <c r="BZ107" s="517"/>
      <c r="CA107" s="517"/>
      <c r="CB107" s="517"/>
      <c r="CC107" s="517"/>
      <c r="CD107" s="517"/>
      <c r="CE107" s="517"/>
      <c r="CF107" s="517"/>
      <c r="CG107" s="517"/>
      <c r="CH107" s="517"/>
      <c r="CI107" s="517"/>
      <c r="CJ107" s="517"/>
      <c r="CK107" s="517"/>
      <c r="CL107" s="517"/>
      <c r="CM107" s="517"/>
      <c r="CN107" s="517"/>
      <c r="CO107" s="517"/>
      <c r="CP107" s="517"/>
      <c r="CQ107" s="517"/>
      <c r="CR107" s="517"/>
      <c r="CS107" s="517"/>
      <c r="CT107" s="517"/>
      <c r="CU107" s="517"/>
      <c r="CV107" s="517"/>
      <c r="CW107" s="517"/>
      <c r="CX107" s="517"/>
      <c r="CY107" s="517"/>
      <c r="CZ107" s="517"/>
      <c r="DA107" s="517"/>
      <c r="DB107" s="517"/>
      <c r="DC107" s="517"/>
      <c r="DD107" s="517"/>
      <c r="DE107" s="517"/>
      <c r="DF107" s="517"/>
      <c r="DG107" s="517"/>
      <c r="DH107" s="517"/>
      <c r="DI107" s="517"/>
      <c r="DJ107" s="517"/>
      <c r="DK107" s="517"/>
      <c r="DL107" s="517"/>
      <c r="DM107" s="517"/>
      <c r="DN107" s="517"/>
      <c r="DO107" s="517"/>
      <c r="DP107" s="517"/>
      <c r="DQ107" s="517"/>
      <c r="DR107" s="517"/>
      <c r="DS107" s="517"/>
      <c r="DT107" s="517"/>
      <c r="DU107" s="517"/>
      <c r="DV107" s="517"/>
      <c r="DW107" s="517"/>
      <c r="DX107" s="517"/>
      <c r="DY107" s="517"/>
      <c r="DZ107" s="517"/>
      <c r="EA107" s="517"/>
      <c r="EB107" s="517"/>
      <c r="EC107" s="517"/>
      <c r="ED107" s="517"/>
      <c r="EE107" s="517"/>
      <c r="EF107" s="517"/>
      <c r="EG107" s="517"/>
      <c r="EH107" s="517"/>
      <c r="EI107" s="517"/>
      <c r="EJ107" s="517"/>
      <c r="EK107" s="517"/>
      <c r="EL107" s="517"/>
      <c r="EM107" s="517"/>
      <c r="EN107" s="517"/>
      <c r="EO107" s="517"/>
      <c r="EP107" s="517"/>
      <c r="EQ107" s="517"/>
      <c r="ER107" s="517"/>
      <c r="ES107" s="627" t="s">
        <v>1140</v>
      </c>
    </row>
    <row r="108">
      <c r="A108" s="517"/>
      <c r="B108" s="517"/>
      <c r="C108" s="517"/>
      <c r="D108" s="517"/>
      <c r="E108" s="517"/>
      <c r="F108" s="517"/>
      <c r="G108" s="517"/>
      <c r="H108" s="517"/>
      <c r="I108" s="517"/>
      <c r="J108" s="517"/>
      <c r="K108" s="517"/>
      <c r="L108" s="517"/>
      <c r="M108" s="517"/>
      <c r="N108" s="517"/>
      <c r="O108" s="517"/>
      <c r="P108" s="517"/>
      <c r="Q108" s="517"/>
      <c r="R108" s="517"/>
      <c r="S108" s="517"/>
      <c r="T108" s="517"/>
      <c r="U108" s="517"/>
      <c r="V108" s="517"/>
      <c r="W108" s="517"/>
      <c r="X108" s="517"/>
      <c r="Y108" s="517"/>
      <c r="Z108" s="517"/>
      <c r="AA108" s="517"/>
      <c r="AB108" s="517"/>
      <c r="AC108" s="517"/>
      <c r="AD108" s="517"/>
      <c r="AE108" s="517"/>
      <c r="AF108" s="517"/>
      <c r="AG108" s="517"/>
      <c r="AH108" s="517"/>
      <c r="AI108" s="517"/>
      <c r="AJ108" s="517"/>
      <c r="AK108" s="517"/>
      <c r="AL108" s="517"/>
      <c r="AM108" s="517"/>
      <c r="AN108" s="517"/>
      <c r="AO108" s="517"/>
      <c r="AP108" s="517"/>
      <c r="AQ108" s="517"/>
      <c r="AR108" s="517"/>
      <c r="AS108" s="517"/>
      <c r="AT108" s="517"/>
      <c r="AU108" s="517"/>
      <c r="AV108" s="517"/>
      <c r="AW108" s="517"/>
      <c r="AX108" s="517"/>
      <c r="AY108" s="517"/>
      <c r="AZ108" s="517"/>
      <c r="BA108" s="517"/>
      <c r="BB108" s="517"/>
      <c r="BC108" s="517"/>
      <c r="BD108" s="517"/>
      <c r="BE108" s="517"/>
      <c r="BF108" s="517"/>
      <c r="BG108" s="517"/>
      <c r="BH108" s="517"/>
      <c r="BI108" s="517"/>
      <c r="BJ108" s="517"/>
      <c r="BK108" s="517"/>
      <c r="BL108" s="517"/>
      <c r="BM108" s="517"/>
      <c r="BN108" s="517"/>
      <c r="BO108" s="517"/>
      <c r="BP108" s="517"/>
      <c r="BQ108" s="517"/>
      <c r="BR108" s="517"/>
      <c r="BS108" s="517"/>
      <c r="BT108" s="517"/>
      <c r="BU108" s="517"/>
      <c r="BV108" s="517"/>
      <c r="BW108" s="517"/>
      <c r="BX108" s="517"/>
      <c r="BY108" s="517"/>
      <c r="BZ108" s="517"/>
      <c r="CA108" s="517"/>
      <c r="CB108" s="517"/>
      <c r="CC108" s="517"/>
      <c r="CD108" s="517"/>
      <c r="CE108" s="517"/>
      <c r="CF108" s="517"/>
      <c r="CG108" s="517"/>
      <c r="CH108" s="517"/>
      <c r="CI108" s="517"/>
      <c r="CJ108" s="517"/>
      <c r="CK108" s="517"/>
      <c r="CL108" s="517"/>
      <c r="CM108" s="517"/>
      <c r="CN108" s="517"/>
      <c r="CO108" s="517"/>
      <c r="CP108" s="517"/>
      <c r="CQ108" s="517"/>
      <c r="CR108" s="517"/>
      <c r="CS108" s="517"/>
      <c r="CT108" s="517"/>
      <c r="CU108" s="517"/>
      <c r="CV108" s="517"/>
      <c r="CW108" s="517"/>
      <c r="CX108" s="517"/>
      <c r="CY108" s="517"/>
      <c r="CZ108" s="517"/>
      <c r="DA108" s="517"/>
      <c r="DB108" s="517"/>
      <c r="DC108" s="517"/>
      <c r="DD108" s="517"/>
      <c r="DE108" s="517"/>
      <c r="DF108" s="517"/>
      <c r="DG108" s="517"/>
      <c r="DH108" s="517"/>
      <c r="DI108" s="517"/>
      <c r="DJ108" s="517"/>
      <c r="DK108" s="517"/>
      <c r="DL108" s="517"/>
      <c r="DM108" s="517"/>
      <c r="DN108" s="517"/>
      <c r="DO108" s="517"/>
      <c r="DP108" s="517"/>
      <c r="DQ108" s="517"/>
      <c r="DR108" s="517"/>
      <c r="DS108" s="517"/>
      <c r="DT108" s="517"/>
      <c r="DU108" s="517"/>
      <c r="DV108" s="517"/>
      <c r="DW108" s="517"/>
      <c r="DX108" s="517"/>
      <c r="DY108" s="517"/>
      <c r="DZ108" s="517"/>
      <c r="EA108" s="517"/>
      <c r="EB108" s="517"/>
      <c r="EC108" s="517"/>
      <c r="ED108" s="517"/>
      <c r="EE108" s="517"/>
      <c r="EF108" s="517"/>
      <c r="EG108" s="517"/>
      <c r="EH108" s="517"/>
      <c r="EI108" s="517"/>
      <c r="EJ108" s="517"/>
      <c r="EK108" s="517"/>
      <c r="EL108" s="517"/>
      <c r="EM108" s="517"/>
      <c r="EN108" s="517"/>
      <c r="EO108" s="517"/>
      <c r="EP108" s="517"/>
      <c r="EQ108" s="517"/>
      <c r="ER108" s="517"/>
      <c r="ES108" s="627" t="s">
        <v>1140</v>
      </c>
    </row>
    <row r="109">
      <c r="A109" s="517"/>
      <c r="B109" s="517"/>
      <c r="C109" s="517"/>
      <c r="D109" s="517"/>
      <c r="E109" s="517"/>
      <c r="F109" s="517"/>
      <c r="G109" s="517"/>
      <c r="H109" s="517"/>
      <c r="I109" s="517"/>
      <c r="J109" s="517"/>
      <c r="K109" s="517"/>
      <c r="L109" s="517"/>
      <c r="M109" s="517"/>
      <c r="N109" s="517"/>
      <c r="O109" s="517"/>
      <c r="P109" s="517"/>
      <c r="Q109" s="517"/>
      <c r="R109" s="517"/>
      <c r="S109" s="517"/>
      <c r="T109" s="517"/>
      <c r="U109" s="517"/>
      <c r="V109" s="517"/>
      <c r="W109" s="517"/>
      <c r="X109" s="517"/>
      <c r="Y109" s="517"/>
      <c r="Z109" s="517"/>
      <c r="AA109" s="517"/>
      <c r="AB109" s="517"/>
      <c r="AC109" s="517"/>
      <c r="AD109" s="517"/>
      <c r="AE109" s="517"/>
      <c r="AF109" s="517"/>
      <c r="AG109" s="517"/>
      <c r="AH109" s="517"/>
      <c r="AI109" s="517"/>
      <c r="AJ109" s="517"/>
      <c r="AK109" s="517"/>
      <c r="AL109" s="517"/>
      <c r="AM109" s="517"/>
      <c r="AN109" s="517"/>
      <c r="AO109" s="517"/>
      <c r="AP109" s="517"/>
      <c r="AQ109" s="517"/>
      <c r="AR109" s="517"/>
      <c r="AS109" s="517"/>
      <c r="AT109" s="517"/>
      <c r="AU109" s="517"/>
      <c r="AV109" s="517"/>
      <c r="AW109" s="517"/>
      <c r="AX109" s="517"/>
      <c r="AY109" s="517"/>
      <c r="AZ109" s="517"/>
      <c r="BA109" s="517"/>
      <c r="BB109" s="517"/>
      <c r="BC109" s="517"/>
      <c r="BD109" s="517"/>
      <c r="BE109" s="517"/>
      <c r="BF109" s="517"/>
      <c r="BG109" s="517"/>
      <c r="BH109" s="517"/>
      <c r="BI109" s="517"/>
      <c r="BJ109" s="517"/>
      <c r="BK109" s="517"/>
      <c r="BL109" s="517"/>
      <c r="BM109" s="517"/>
      <c r="BN109" s="517"/>
      <c r="BO109" s="517"/>
      <c r="BP109" s="517"/>
      <c r="BQ109" s="517"/>
      <c r="BR109" s="517"/>
      <c r="BS109" s="517"/>
      <c r="BT109" s="517"/>
      <c r="BU109" s="517"/>
      <c r="BV109" s="517"/>
      <c r="BW109" s="517"/>
      <c r="BX109" s="517"/>
      <c r="BY109" s="517"/>
      <c r="BZ109" s="517"/>
      <c r="CA109" s="517"/>
      <c r="CB109" s="517"/>
      <c r="CC109" s="517"/>
      <c r="CD109" s="517"/>
      <c r="CE109" s="517"/>
      <c r="CF109" s="517"/>
      <c r="CG109" s="517"/>
      <c r="CH109" s="517"/>
      <c r="CI109" s="517"/>
      <c r="CJ109" s="517"/>
      <c r="CK109" s="517"/>
      <c r="CL109" s="517"/>
      <c r="CM109" s="517"/>
      <c r="CN109" s="517"/>
      <c r="CO109" s="517"/>
      <c r="CP109" s="517"/>
      <c r="CQ109" s="517"/>
      <c r="CR109" s="517"/>
      <c r="CS109" s="517"/>
      <c r="CT109" s="517"/>
      <c r="CU109" s="517"/>
      <c r="CV109" s="517"/>
      <c r="CW109" s="517"/>
      <c r="CX109" s="517"/>
      <c r="CY109" s="517"/>
      <c r="CZ109" s="517"/>
      <c r="DA109" s="517"/>
      <c r="DB109" s="517"/>
      <c r="DC109" s="517"/>
      <c r="DD109" s="517"/>
      <c r="DE109" s="517"/>
      <c r="DF109" s="517"/>
      <c r="DG109" s="517"/>
      <c r="DH109" s="517"/>
      <c r="DI109" s="517"/>
      <c r="DJ109" s="517"/>
      <c r="DK109" s="517"/>
      <c r="DL109" s="517"/>
      <c r="DM109" s="517"/>
      <c r="DN109" s="517"/>
      <c r="DO109" s="517"/>
      <c r="DP109" s="517"/>
      <c r="DQ109" s="517"/>
      <c r="DR109" s="517"/>
      <c r="DS109" s="517"/>
      <c r="DT109" s="517"/>
      <c r="DU109" s="517"/>
      <c r="DV109" s="517"/>
      <c r="DW109" s="517"/>
      <c r="DX109" s="517"/>
      <c r="DY109" s="517"/>
      <c r="DZ109" s="517"/>
      <c r="EA109" s="517"/>
      <c r="EB109" s="517"/>
      <c r="EC109" s="517"/>
      <c r="ED109" s="517"/>
      <c r="EE109" s="517"/>
      <c r="EF109" s="517"/>
      <c r="EG109" s="517"/>
      <c r="EH109" s="517"/>
      <c r="EI109" s="517"/>
      <c r="EJ109" s="517"/>
      <c r="EK109" s="517"/>
      <c r="EL109" s="517"/>
      <c r="EM109" s="517"/>
      <c r="EN109" s="517"/>
      <c r="EO109" s="517"/>
      <c r="EP109" s="517"/>
      <c r="EQ109" s="517"/>
      <c r="ER109" s="517"/>
      <c r="ES109" s="627" t="s">
        <v>1140</v>
      </c>
    </row>
    <row r="110">
      <c r="A110" s="517"/>
      <c r="B110" s="517"/>
      <c r="C110" s="517"/>
      <c r="D110" s="517"/>
      <c r="E110" s="517"/>
      <c r="F110" s="517"/>
      <c r="G110" s="517"/>
      <c r="H110" s="517"/>
      <c r="I110" s="517"/>
      <c r="J110" s="517"/>
      <c r="K110" s="517"/>
      <c r="L110" s="517"/>
      <c r="M110" s="517"/>
      <c r="N110" s="517"/>
      <c r="O110" s="517"/>
      <c r="P110" s="517"/>
      <c r="Q110" s="517"/>
      <c r="R110" s="517"/>
      <c r="S110" s="517"/>
      <c r="T110" s="517"/>
      <c r="U110" s="517"/>
      <c r="V110" s="517"/>
      <c r="W110" s="517"/>
      <c r="X110" s="517"/>
      <c r="Y110" s="517"/>
      <c r="Z110" s="517"/>
      <c r="AA110" s="517"/>
      <c r="AB110" s="517"/>
      <c r="AC110" s="517"/>
      <c r="AD110" s="517"/>
      <c r="AE110" s="517"/>
      <c r="AF110" s="517"/>
      <c r="AG110" s="517"/>
      <c r="AH110" s="517"/>
      <c r="AI110" s="517"/>
      <c r="AJ110" s="517"/>
      <c r="AK110" s="517"/>
      <c r="AL110" s="517"/>
      <c r="AM110" s="517"/>
      <c r="AN110" s="517"/>
      <c r="AO110" s="517"/>
      <c r="AP110" s="517"/>
      <c r="AQ110" s="517"/>
      <c r="AR110" s="517"/>
      <c r="AS110" s="517"/>
      <c r="AT110" s="517"/>
      <c r="AU110" s="517"/>
      <c r="AV110" s="517"/>
      <c r="AW110" s="517"/>
      <c r="AX110" s="517"/>
      <c r="AY110" s="517"/>
      <c r="AZ110" s="517"/>
      <c r="BA110" s="517"/>
      <c r="BB110" s="517"/>
      <c r="BC110" s="517"/>
      <c r="BD110" s="517"/>
      <c r="BE110" s="517"/>
      <c r="BF110" s="517"/>
      <c r="BG110" s="517"/>
      <c r="BH110" s="517"/>
      <c r="BI110" s="517"/>
      <c r="BJ110" s="517"/>
      <c r="BK110" s="517"/>
      <c r="BL110" s="517"/>
      <c r="BM110" s="517"/>
      <c r="BN110" s="517"/>
      <c r="BO110" s="517"/>
      <c r="BP110" s="517"/>
      <c r="BQ110" s="517"/>
      <c r="BR110" s="517"/>
      <c r="BS110" s="517"/>
      <c r="BT110" s="517"/>
      <c r="BU110" s="517"/>
      <c r="BV110" s="517"/>
      <c r="BW110" s="517"/>
      <c r="BX110" s="517"/>
      <c r="BY110" s="517"/>
      <c r="BZ110" s="517"/>
      <c r="CA110" s="517"/>
      <c r="CB110" s="517"/>
      <c r="CC110" s="517"/>
      <c r="CD110" s="517"/>
      <c r="CE110" s="517"/>
      <c r="CF110" s="517"/>
      <c r="CG110" s="517"/>
      <c r="CH110" s="517"/>
      <c r="CI110" s="517"/>
      <c r="CJ110" s="517"/>
      <c r="CK110" s="517"/>
      <c r="CL110" s="517"/>
      <c r="CM110" s="517"/>
      <c r="CN110" s="517"/>
      <c r="CO110" s="517"/>
      <c r="CP110" s="517"/>
      <c r="CQ110" s="517"/>
      <c r="CR110" s="517"/>
      <c r="CS110" s="517"/>
      <c r="CT110" s="517"/>
      <c r="CU110" s="517"/>
      <c r="CV110" s="517"/>
      <c r="CW110" s="517"/>
      <c r="CX110" s="517"/>
      <c r="CY110" s="517"/>
      <c r="CZ110" s="517"/>
      <c r="DA110" s="517"/>
      <c r="DB110" s="517"/>
      <c r="DC110" s="517"/>
      <c r="DD110" s="517"/>
      <c r="DE110" s="517"/>
      <c r="DF110" s="517"/>
      <c r="DG110" s="517"/>
      <c r="DH110" s="517"/>
      <c r="DI110" s="517"/>
      <c r="DJ110" s="517"/>
      <c r="DK110" s="517"/>
      <c r="DL110" s="517"/>
      <c r="DM110" s="517"/>
      <c r="DN110" s="517"/>
      <c r="DO110" s="517"/>
      <c r="DP110" s="517"/>
      <c r="DQ110" s="517"/>
      <c r="DR110" s="517"/>
      <c r="DS110" s="517"/>
      <c r="DT110" s="517"/>
      <c r="DU110" s="517"/>
      <c r="DV110" s="517"/>
      <c r="DW110" s="517"/>
      <c r="DX110" s="517"/>
      <c r="DY110" s="517"/>
      <c r="DZ110" s="517"/>
      <c r="EA110" s="517"/>
      <c r="EB110" s="517"/>
      <c r="EC110" s="517"/>
      <c r="ED110" s="517"/>
      <c r="EE110" s="517"/>
      <c r="EF110" s="517"/>
      <c r="EG110" s="517"/>
      <c r="EH110" s="517"/>
      <c r="EI110" s="517"/>
      <c r="EJ110" s="517"/>
      <c r="EK110" s="517"/>
      <c r="EL110" s="517"/>
      <c r="EM110" s="517"/>
      <c r="EN110" s="517"/>
      <c r="EO110" s="517"/>
      <c r="EP110" s="517"/>
      <c r="EQ110" s="517"/>
      <c r="ER110" s="517"/>
      <c r="ES110" s="627" t="s">
        <v>1140</v>
      </c>
    </row>
    <row r="111">
      <c r="A111" s="517"/>
      <c r="B111" s="517"/>
      <c r="C111" s="517"/>
      <c r="D111" s="517"/>
      <c r="E111" s="517"/>
      <c r="F111" s="517"/>
      <c r="G111" s="517"/>
      <c r="H111" s="517"/>
      <c r="I111" s="517"/>
      <c r="J111" s="517"/>
      <c r="K111" s="517"/>
      <c r="L111" s="517"/>
      <c r="M111" s="517"/>
      <c r="N111" s="517"/>
      <c r="O111" s="517"/>
      <c r="P111" s="517"/>
      <c r="Q111" s="517"/>
      <c r="R111" s="517"/>
      <c r="S111" s="517"/>
      <c r="T111" s="517"/>
      <c r="U111" s="517"/>
      <c r="V111" s="517"/>
      <c r="W111" s="517"/>
      <c r="X111" s="517"/>
      <c r="Y111" s="517"/>
      <c r="Z111" s="517"/>
      <c r="AA111" s="517"/>
      <c r="AB111" s="517"/>
      <c r="AC111" s="517"/>
      <c r="AD111" s="517"/>
      <c r="AE111" s="517"/>
      <c r="AF111" s="517"/>
      <c r="AG111" s="517"/>
      <c r="AH111" s="517"/>
      <c r="AI111" s="517"/>
      <c r="AJ111" s="517"/>
      <c r="AK111" s="517"/>
      <c r="AL111" s="517"/>
      <c r="AM111" s="517"/>
      <c r="AN111" s="517"/>
      <c r="AO111" s="517"/>
      <c r="AP111" s="517"/>
      <c r="AQ111" s="517"/>
      <c r="AR111" s="517"/>
      <c r="AS111" s="517"/>
      <c r="AT111" s="517"/>
      <c r="AU111" s="517"/>
      <c r="AV111" s="517"/>
      <c r="AW111" s="517"/>
      <c r="AX111" s="517"/>
      <c r="AY111" s="517"/>
      <c r="AZ111" s="517"/>
      <c r="BA111" s="517"/>
      <c r="BB111" s="517"/>
      <c r="BC111" s="517"/>
      <c r="BD111" s="517"/>
      <c r="BE111" s="517"/>
      <c r="BF111" s="517"/>
      <c r="BG111" s="517"/>
      <c r="BH111" s="517"/>
      <c r="BI111" s="517"/>
      <c r="BJ111" s="517"/>
      <c r="BK111" s="517"/>
      <c r="BL111" s="517"/>
      <c r="BM111" s="517"/>
      <c r="BN111" s="517"/>
      <c r="BO111" s="517"/>
      <c r="BP111" s="517"/>
      <c r="BQ111" s="517"/>
      <c r="BR111" s="517"/>
      <c r="BS111" s="517"/>
      <c r="BT111" s="517"/>
      <c r="BU111" s="517"/>
      <c r="BV111" s="517"/>
      <c r="BW111" s="517"/>
      <c r="BX111" s="517"/>
      <c r="BY111" s="517"/>
      <c r="BZ111" s="517"/>
      <c r="CA111" s="517"/>
      <c r="CB111" s="517"/>
      <c r="CC111" s="517"/>
      <c r="CD111" s="517"/>
      <c r="CE111" s="517"/>
      <c r="CF111" s="517"/>
      <c r="CG111" s="517"/>
      <c r="CH111" s="517"/>
      <c r="CI111" s="517"/>
      <c r="CJ111" s="517"/>
      <c r="CK111" s="517"/>
      <c r="CL111" s="517"/>
      <c r="CM111" s="517"/>
      <c r="CN111" s="517"/>
      <c r="CO111" s="517"/>
      <c r="CP111" s="517"/>
      <c r="CQ111" s="517"/>
      <c r="CR111" s="517"/>
      <c r="CS111" s="517"/>
      <c r="CT111" s="517"/>
      <c r="CU111" s="517"/>
      <c r="CV111" s="517"/>
      <c r="CW111" s="517"/>
      <c r="CX111" s="517"/>
      <c r="CY111" s="517"/>
      <c r="CZ111" s="517"/>
      <c r="DA111" s="517"/>
      <c r="DB111" s="517"/>
      <c r="DC111" s="517"/>
      <c r="DD111" s="517"/>
      <c r="DE111" s="517"/>
      <c r="DF111" s="517"/>
      <c r="DG111" s="517"/>
      <c r="DH111" s="517"/>
      <c r="DI111" s="517"/>
      <c r="DJ111" s="517"/>
      <c r="DK111" s="517"/>
      <c r="DL111" s="517"/>
      <c r="DM111" s="517"/>
      <c r="DN111" s="517"/>
      <c r="DO111" s="517"/>
      <c r="DP111" s="517"/>
      <c r="DQ111" s="517"/>
      <c r="DR111" s="517"/>
      <c r="DS111" s="517"/>
      <c r="DT111" s="517"/>
      <c r="DU111" s="517"/>
      <c r="DV111" s="517"/>
      <c r="DW111" s="517"/>
      <c r="DX111" s="517"/>
      <c r="DY111" s="517"/>
      <c r="DZ111" s="517"/>
      <c r="EA111" s="517"/>
      <c r="EB111" s="517"/>
      <c r="EC111" s="517"/>
      <c r="ED111" s="517"/>
      <c r="EE111" s="517"/>
      <c r="EF111" s="517"/>
      <c r="EG111" s="517"/>
      <c r="EH111" s="517"/>
      <c r="EI111" s="517"/>
      <c r="EJ111" s="517"/>
      <c r="EK111" s="517"/>
      <c r="EL111" s="517"/>
      <c r="EM111" s="517"/>
      <c r="EN111" s="517"/>
      <c r="EO111" s="517"/>
      <c r="EP111" s="517"/>
      <c r="EQ111" s="517"/>
      <c r="ER111" s="517"/>
      <c r="ES111" s="627" t="s">
        <v>1140</v>
      </c>
    </row>
    <row r="112">
      <c r="A112" s="517"/>
      <c r="B112" s="517"/>
      <c r="C112" s="517"/>
      <c r="D112" s="517"/>
      <c r="E112" s="517"/>
      <c r="F112" s="517"/>
      <c r="G112" s="517"/>
      <c r="H112" s="517"/>
      <c r="I112" s="517"/>
      <c r="J112" s="517"/>
      <c r="K112" s="517"/>
      <c r="L112" s="517"/>
      <c r="M112" s="517"/>
      <c r="N112" s="517"/>
      <c r="O112" s="517"/>
      <c r="P112" s="517"/>
      <c r="Q112" s="517"/>
      <c r="R112" s="517"/>
      <c r="S112" s="517"/>
      <c r="T112" s="517"/>
      <c r="U112" s="517"/>
      <c r="V112" s="517"/>
      <c r="W112" s="517"/>
      <c r="X112" s="517"/>
      <c r="Y112" s="517"/>
      <c r="Z112" s="517"/>
      <c r="AA112" s="517"/>
      <c r="AB112" s="517"/>
      <c r="AC112" s="517"/>
      <c r="AD112" s="517"/>
      <c r="AE112" s="517"/>
      <c r="AF112" s="517"/>
      <c r="AG112" s="517"/>
      <c r="AH112" s="517"/>
      <c r="AI112" s="517"/>
      <c r="AJ112" s="517"/>
      <c r="AK112" s="517"/>
      <c r="AL112" s="517"/>
      <c r="AM112" s="517"/>
      <c r="AN112" s="517"/>
      <c r="AO112" s="517"/>
      <c r="AP112" s="517"/>
      <c r="AQ112" s="517"/>
      <c r="AR112" s="517"/>
      <c r="AS112" s="517"/>
      <c r="AT112" s="517"/>
      <c r="AU112" s="517"/>
      <c r="AV112" s="517"/>
      <c r="AW112" s="517"/>
      <c r="AX112" s="517"/>
      <c r="AY112" s="517"/>
      <c r="AZ112" s="517"/>
      <c r="BA112" s="517"/>
      <c r="BB112" s="517"/>
      <c r="BC112" s="517"/>
      <c r="BD112" s="517"/>
      <c r="BE112" s="517"/>
      <c r="BF112" s="517"/>
      <c r="BG112" s="517"/>
      <c r="BH112" s="517"/>
      <c r="BI112" s="517"/>
      <c r="BJ112" s="517"/>
      <c r="BK112" s="517"/>
      <c r="BL112" s="517"/>
      <c r="BM112" s="517"/>
      <c r="BN112" s="517"/>
      <c r="BO112" s="517"/>
      <c r="BP112" s="517"/>
      <c r="BQ112" s="517"/>
      <c r="BR112" s="517"/>
      <c r="BS112" s="517"/>
      <c r="BT112" s="517"/>
      <c r="BU112" s="517"/>
      <c r="BV112" s="517"/>
      <c r="BW112" s="517"/>
      <c r="BX112" s="517"/>
      <c r="BY112" s="517"/>
      <c r="BZ112" s="517"/>
      <c r="CA112" s="517"/>
      <c r="CB112" s="517"/>
      <c r="CC112" s="517"/>
      <c r="CD112" s="517"/>
      <c r="CE112" s="517"/>
      <c r="CF112" s="517"/>
      <c r="CG112" s="517"/>
      <c r="CH112" s="517"/>
      <c r="CI112" s="517"/>
      <c r="CJ112" s="517"/>
      <c r="CK112" s="517"/>
      <c r="CL112" s="517"/>
      <c r="CM112" s="517"/>
      <c r="CN112" s="517"/>
      <c r="CO112" s="517"/>
      <c r="CP112" s="517"/>
      <c r="CQ112" s="517"/>
      <c r="CR112" s="517"/>
      <c r="CS112" s="517"/>
      <c r="CT112" s="517"/>
      <c r="CU112" s="517"/>
      <c r="CV112" s="517"/>
      <c r="CW112" s="517"/>
      <c r="CX112" s="517"/>
      <c r="CY112" s="517"/>
      <c r="CZ112" s="517"/>
      <c r="DA112" s="517"/>
      <c r="DB112" s="517"/>
      <c r="DC112" s="517"/>
      <c r="DD112" s="517"/>
      <c r="DE112" s="517"/>
      <c r="DF112" s="517"/>
      <c r="DG112" s="517"/>
      <c r="DH112" s="517"/>
      <c r="DI112" s="517"/>
      <c r="DJ112" s="517"/>
      <c r="DK112" s="517"/>
      <c r="DL112" s="517"/>
      <c r="DM112" s="517"/>
      <c r="DN112" s="517"/>
      <c r="DO112" s="517"/>
      <c r="DP112" s="517"/>
      <c r="DQ112" s="517"/>
      <c r="DR112" s="517"/>
      <c r="DS112" s="517"/>
      <c r="DT112" s="517"/>
      <c r="DU112" s="517"/>
      <c r="DV112" s="517"/>
      <c r="DW112" s="517"/>
      <c r="DX112" s="517"/>
      <c r="DY112" s="517"/>
      <c r="DZ112" s="517"/>
      <c r="EA112" s="517"/>
      <c r="EB112" s="517"/>
      <c r="EC112" s="517"/>
      <c r="ED112" s="517"/>
      <c r="EE112" s="517"/>
      <c r="EF112" s="517"/>
      <c r="EG112" s="517"/>
      <c r="EH112" s="517"/>
      <c r="EI112" s="517"/>
      <c r="EJ112" s="517"/>
      <c r="EK112" s="517"/>
      <c r="EL112" s="517"/>
      <c r="EM112" s="517"/>
      <c r="EN112" s="517"/>
      <c r="EO112" s="517"/>
      <c r="EP112" s="517"/>
      <c r="EQ112" s="517"/>
      <c r="ER112" s="517"/>
      <c r="ES112" s="627" t="s">
        <v>1140</v>
      </c>
    </row>
    <row r="113">
      <c r="A113" s="517"/>
      <c r="B113" s="517"/>
      <c r="C113" s="517"/>
      <c r="D113" s="517"/>
      <c r="E113" s="517"/>
      <c r="F113" s="517"/>
      <c r="G113" s="517"/>
      <c r="H113" s="517"/>
      <c r="I113" s="517"/>
      <c r="J113" s="517"/>
      <c r="K113" s="517"/>
      <c r="L113" s="517"/>
      <c r="M113" s="517"/>
      <c r="N113" s="517"/>
      <c r="O113" s="517"/>
      <c r="P113" s="517"/>
      <c r="Q113" s="517"/>
      <c r="R113" s="517"/>
      <c r="S113" s="517"/>
      <c r="T113" s="517"/>
      <c r="U113" s="517"/>
      <c r="V113" s="517"/>
      <c r="W113" s="517"/>
      <c r="X113" s="517"/>
      <c r="Y113" s="517"/>
      <c r="Z113" s="517"/>
      <c r="AA113" s="517"/>
      <c r="AB113" s="517"/>
      <c r="AC113" s="517"/>
      <c r="AD113" s="517"/>
      <c r="AE113" s="517"/>
      <c r="AF113" s="517"/>
      <c r="AG113" s="517"/>
      <c r="AH113" s="517"/>
      <c r="AI113" s="517"/>
      <c r="AJ113" s="517"/>
      <c r="AK113" s="517"/>
      <c r="AL113" s="517"/>
      <c r="AM113" s="517"/>
      <c r="AN113" s="517"/>
      <c r="AO113" s="517"/>
      <c r="AP113" s="517"/>
      <c r="AQ113" s="517"/>
      <c r="AR113" s="517"/>
      <c r="AS113" s="517"/>
      <c r="AT113" s="517"/>
      <c r="AU113" s="517"/>
      <c r="AV113" s="517"/>
      <c r="AW113" s="517"/>
      <c r="AX113" s="517"/>
      <c r="AY113" s="517"/>
      <c r="AZ113" s="517"/>
      <c r="BA113" s="517"/>
      <c r="BB113" s="517"/>
      <c r="BC113" s="517"/>
      <c r="BD113" s="517"/>
      <c r="BE113" s="517"/>
      <c r="BF113" s="517"/>
      <c r="BG113" s="517"/>
      <c r="BH113" s="517"/>
      <c r="BI113" s="517"/>
      <c r="BJ113" s="517"/>
      <c r="BK113" s="517"/>
      <c r="BL113" s="517"/>
      <c r="BM113" s="517"/>
      <c r="BN113" s="517"/>
      <c r="BO113" s="517"/>
      <c r="BP113" s="517"/>
      <c r="BQ113" s="517"/>
      <c r="BR113" s="517"/>
      <c r="BS113" s="517"/>
      <c r="BT113" s="517"/>
      <c r="BU113" s="517"/>
      <c r="BV113" s="517"/>
      <c r="BW113" s="517"/>
      <c r="BX113" s="517"/>
      <c r="BY113" s="517"/>
      <c r="BZ113" s="517"/>
      <c r="CA113" s="517"/>
      <c r="CB113" s="517"/>
      <c r="CC113" s="517"/>
      <c r="CD113" s="517"/>
      <c r="CE113" s="517"/>
      <c r="CF113" s="517"/>
      <c r="CG113" s="517"/>
      <c r="CH113" s="517"/>
      <c r="CI113" s="517"/>
      <c r="CJ113" s="517"/>
      <c r="CK113" s="517"/>
      <c r="CL113" s="517"/>
      <c r="CM113" s="517"/>
      <c r="CN113" s="517"/>
      <c r="CO113" s="517"/>
      <c r="CP113" s="517"/>
      <c r="CQ113" s="517"/>
      <c r="CR113" s="517"/>
      <c r="CS113" s="517"/>
      <c r="CT113" s="517"/>
      <c r="CU113" s="517"/>
      <c r="CV113" s="517"/>
      <c r="CW113" s="517"/>
      <c r="CX113" s="517"/>
      <c r="CY113" s="517"/>
      <c r="CZ113" s="517"/>
      <c r="DA113" s="517"/>
      <c r="DB113" s="517"/>
      <c r="DC113" s="517"/>
      <c r="DD113" s="517"/>
      <c r="DE113" s="517"/>
      <c r="DF113" s="517"/>
      <c r="DG113" s="517"/>
      <c r="DH113" s="517"/>
      <c r="DI113" s="517"/>
      <c r="DJ113" s="517"/>
      <c r="DK113" s="517"/>
      <c r="DL113" s="517"/>
      <c r="DM113" s="517"/>
      <c r="DN113" s="517"/>
      <c r="DO113" s="517"/>
      <c r="DP113" s="517"/>
      <c r="DQ113" s="517"/>
      <c r="DR113" s="517"/>
      <c r="DS113" s="517"/>
      <c r="DT113" s="517"/>
      <c r="DU113" s="517"/>
      <c r="DV113" s="517"/>
      <c r="DW113" s="517"/>
      <c r="DX113" s="517"/>
      <c r="DY113" s="517"/>
      <c r="DZ113" s="517"/>
      <c r="EA113" s="517"/>
      <c r="EB113" s="517"/>
      <c r="EC113" s="517"/>
      <c r="ED113" s="517"/>
      <c r="EE113" s="517"/>
      <c r="EF113" s="517"/>
      <c r="EG113" s="517"/>
      <c r="EH113" s="517"/>
      <c r="EI113" s="517"/>
      <c r="EJ113" s="517"/>
      <c r="EK113" s="517"/>
      <c r="EL113" s="517"/>
      <c r="EM113" s="517"/>
      <c r="EN113" s="517"/>
      <c r="EO113" s="517"/>
      <c r="EP113" s="517"/>
      <c r="EQ113" s="517"/>
      <c r="ER113" s="517"/>
      <c r="ES113" s="627" t="s">
        <v>1140</v>
      </c>
    </row>
    <row r="114">
      <c r="A114" s="517"/>
      <c r="B114" s="517"/>
      <c r="C114" s="517"/>
      <c r="D114" s="517"/>
      <c r="E114" s="517"/>
      <c r="F114" s="517"/>
      <c r="G114" s="517"/>
      <c r="H114" s="517"/>
      <c r="I114" s="517"/>
      <c r="J114" s="517"/>
      <c r="K114" s="517"/>
      <c r="L114" s="517"/>
      <c r="M114" s="517"/>
      <c r="N114" s="517"/>
      <c r="O114" s="517"/>
      <c r="P114" s="517"/>
      <c r="Q114" s="517"/>
      <c r="R114" s="517"/>
      <c r="S114" s="517"/>
      <c r="T114" s="517"/>
      <c r="U114" s="517"/>
      <c r="V114" s="517"/>
      <c r="W114" s="517"/>
      <c r="X114" s="517"/>
      <c r="Y114" s="517"/>
      <c r="Z114" s="517"/>
      <c r="AA114" s="517"/>
      <c r="AB114" s="517"/>
      <c r="AC114" s="517"/>
      <c r="AD114" s="517"/>
      <c r="AE114" s="517"/>
      <c r="AF114" s="517"/>
      <c r="AG114" s="517"/>
      <c r="AH114" s="517"/>
      <c r="AI114" s="517"/>
      <c r="AJ114" s="517"/>
      <c r="AK114" s="517"/>
      <c r="AL114" s="517"/>
      <c r="AM114" s="517"/>
      <c r="AN114" s="517"/>
      <c r="AO114" s="517"/>
      <c r="AP114" s="517"/>
      <c r="AQ114" s="517"/>
      <c r="AR114" s="517"/>
      <c r="AS114" s="517"/>
      <c r="AT114" s="517"/>
      <c r="AU114" s="517"/>
      <c r="AV114" s="517"/>
      <c r="AW114" s="517"/>
      <c r="AX114" s="517"/>
      <c r="AY114" s="517"/>
      <c r="AZ114" s="517"/>
      <c r="BA114" s="517"/>
      <c r="BB114" s="517"/>
      <c r="BC114" s="517"/>
      <c r="BD114" s="517"/>
      <c r="BE114" s="517"/>
      <c r="BF114" s="517"/>
      <c r="BG114" s="517"/>
      <c r="BH114" s="517"/>
      <c r="BI114" s="517"/>
      <c r="BJ114" s="517"/>
      <c r="BK114" s="517"/>
      <c r="BL114" s="517"/>
      <c r="BM114" s="517"/>
      <c r="BN114" s="517"/>
      <c r="BO114" s="517"/>
      <c r="BP114" s="517"/>
      <c r="BQ114" s="517"/>
      <c r="BR114" s="517"/>
      <c r="BS114" s="517"/>
      <c r="BT114" s="517"/>
      <c r="BU114" s="517"/>
      <c r="BV114" s="517"/>
      <c r="BW114" s="517"/>
      <c r="BX114" s="517"/>
      <c r="BY114" s="517"/>
      <c r="BZ114" s="517"/>
      <c r="CA114" s="517"/>
      <c r="CB114" s="517"/>
      <c r="CC114" s="517"/>
      <c r="CD114" s="517"/>
      <c r="CE114" s="517"/>
      <c r="CF114" s="517"/>
      <c r="CG114" s="517"/>
      <c r="CH114" s="517"/>
      <c r="CI114" s="517"/>
      <c r="CJ114" s="517"/>
      <c r="CK114" s="517"/>
      <c r="CL114" s="517"/>
      <c r="CM114" s="517"/>
      <c r="CN114" s="517"/>
      <c r="CO114" s="517"/>
      <c r="CP114" s="517"/>
      <c r="CQ114" s="517"/>
      <c r="CR114" s="517"/>
      <c r="CS114" s="517"/>
      <c r="CT114" s="517"/>
      <c r="CU114" s="517"/>
      <c r="CV114" s="517"/>
      <c r="CW114" s="517"/>
      <c r="CX114" s="517"/>
      <c r="CY114" s="517"/>
      <c r="CZ114" s="517"/>
      <c r="DA114" s="517"/>
      <c r="DB114" s="517"/>
      <c r="DC114" s="517"/>
      <c r="DD114" s="517"/>
      <c r="DE114" s="517"/>
      <c r="DF114" s="517"/>
      <c r="DG114" s="517"/>
      <c r="DH114" s="517"/>
      <c r="DI114" s="517"/>
      <c r="DJ114" s="517"/>
      <c r="DK114" s="517"/>
      <c r="DL114" s="517"/>
      <c r="DM114" s="517"/>
      <c r="DN114" s="517"/>
      <c r="DO114" s="517"/>
      <c r="DP114" s="517"/>
      <c r="DQ114" s="517"/>
      <c r="DR114" s="517"/>
      <c r="DS114" s="517"/>
      <c r="DT114" s="517"/>
      <c r="DU114" s="517"/>
      <c r="DV114" s="517"/>
      <c r="DW114" s="517"/>
      <c r="DX114" s="517"/>
      <c r="DY114" s="517"/>
      <c r="DZ114" s="517"/>
      <c r="EA114" s="517"/>
      <c r="EB114" s="517"/>
      <c r="EC114" s="517"/>
      <c r="ED114" s="517"/>
      <c r="EE114" s="517"/>
      <c r="EF114" s="517"/>
      <c r="EG114" s="517"/>
      <c r="EH114" s="517"/>
      <c r="EI114" s="517"/>
      <c r="EJ114" s="517"/>
      <c r="EK114" s="517"/>
      <c r="EL114" s="517"/>
      <c r="EM114" s="517"/>
      <c r="EN114" s="517"/>
      <c r="EO114" s="517"/>
      <c r="EP114" s="517"/>
      <c r="EQ114" s="517"/>
      <c r="ER114" s="517"/>
      <c r="ES114" s="627" t="s">
        <v>1140</v>
      </c>
    </row>
    <row r="115">
      <c r="A115" s="517"/>
      <c r="B115" s="517"/>
      <c r="C115" s="517"/>
      <c r="D115" s="517"/>
      <c r="E115" s="517"/>
      <c r="F115" s="517"/>
      <c r="G115" s="517"/>
      <c r="H115" s="517"/>
      <c r="I115" s="517"/>
      <c r="J115" s="517"/>
      <c r="K115" s="517"/>
      <c r="L115" s="517"/>
      <c r="M115" s="517"/>
      <c r="N115" s="517"/>
      <c r="O115" s="517"/>
      <c r="P115" s="517"/>
      <c r="Q115" s="517"/>
      <c r="R115" s="517"/>
      <c r="S115" s="517"/>
      <c r="T115" s="517"/>
      <c r="U115" s="517"/>
      <c r="V115" s="517"/>
      <c r="W115" s="517"/>
      <c r="X115" s="517"/>
      <c r="Y115" s="517"/>
      <c r="Z115" s="517"/>
      <c r="AA115" s="517"/>
      <c r="AB115" s="517"/>
      <c r="AC115" s="517"/>
      <c r="AD115" s="517"/>
      <c r="AE115" s="517"/>
      <c r="AF115" s="517"/>
      <c r="AG115" s="517"/>
      <c r="AH115" s="517"/>
      <c r="AI115" s="517"/>
      <c r="AJ115" s="517"/>
      <c r="AK115" s="517"/>
      <c r="AL115" s="517"/>
      <c r="AM115" s="517"/>
      <c r="AN115" s="517"/>
      <c r="AO115" s="517"/>
      <c r="AP115" s="517"/>
      <c r="AQ115" s="517"/>
      <c r="AR115" s="517"/>
      <c r="AS115" s="517"/>
      <c r="AT115" s="517"/>
      <c r="AU115" s="517"/>
      <c r="AV115" s="517"/>
      <c r="AW115" s="517"/>
      <c r="AX115" s="517"/>
      <c r="AY115" s="517"/>
      <c r="AZ115" s="517"/>
      <c r="BA115" s="517"/>
      <c r="BB115" s="517"/>
      <c r="BC115" s="517"/>
      <c r="BD115" s="517"/>
      <c r="BE115" s="517"/>
      <c r="BF115" s="517"/>
      <c r="BG115" s="517"/>
      <c r="BH115" s="517"/>
      <c r="BI115" s="517"/>
      <c r="BJ115" s="517"/>
      <c r="BK115" s="517"/>
      <c r="BL115" s="517"/>
      <c r="BM115" s="517"/>
      <c r="BN115" s="517"/>
      <c r="BO115" s="517"/>
      <c r="BP115" s="517"/>
      <c r="BQ115" s="517"/>
      <c r="BR115" s="517"/>
      <c r="BS115" s="517"/>
      <c r="BT115" s="517"/>
      <c r="BU115" s="517"/>
      <c r="BV115" s="517"/>
      <c r="BW115" s="517"/>
      <c r="BX115" s="517"/>
      <c r="BY115" s="517"/>
      <c r="BZ115" s="517"/>
      <c r="CA115" s="517"/>
      <c r="CB115" s="517"/>
      <c r="CC115" s="517"/>
      <c r="CD115" s="517"/>
      <c r="CE115" s="517"/>
      <c r="CF115" s="517"/>
      <c r="CG115" s="517"/>
      <c r="CH115" s="517"/>
      <c r="CI115" s="517"/>
      <c r="CJ115" s="517"/>
      <c r="CK115" s="517"/>
      <c r="CL115" s="517"/>
      <c r="CM115" s="517"/>
      <c r="CN115" s="517"/>
      <c r="CO115" s="517"/>
      <c r="CP115" s="517"/>
      <c r="CQ115" s="517"/>
      <c r="CR115" s="517"/>
      <c r="CS115" s="517"/>
      <c r="CT115" s="517"/>
      <c r="CU115" s="517"/>
      <c r="CV115" s="517"/>
      <c r="CW115" s="517"/>
      <c r="CX115" s="517"/>
      <c r="CY115" s="517"/>
      <c r="CZ115" s="517"/>
      <c r="DA115" s="517"/>
      <c r="DB115" s="517"/>
      <c r="DC115" s="517"/>
      <c r="DD115" s="517"/>
      <c r="DE115" s="517"/>
      <c r="DF115" s="517"/>
      <c r="DG115" s="517"/>
      <c r="DH115" s="517"/>
      <c r="DI115" s="517"/>
      <c r="DJ115" s="517"/>
      <c r="DK115" s="517"/>
      <c r="DL115" s="517"/>
      <c r="DM115" s="517"/>
      <c r="DN115" s="517"/>
      <c r="DO115" s="517"/>
      <c r="DP115" s="517"/>
      <c r="DQ115" s="517"/>
      <c r="DR115" s="517"/>
      <c r="DS115" s="517"/>
      <c r="DT115" s="517"/>
      <c r="DU115" s="517"/>
      <c r="DV115" s="517"/>
      <c r="DW115" s="517"/>
      <c r="DX115" s="517"/>
      <c r="DY115" s="517"/>
      <c r="DZ115" s="517"/>
      <c r="EA115" s="517"/>
      <c r="EB115" s="517"/>
      <c r="EC115" s="517"/>
      <c r="ED115" s="517"/>
      <c r="EE115" s="517"/>
      <c r="EF115" s="517"/>
      <c r="EG115" s="517"/>
      <c r="EH115" s="517"/>
      <c r="EI115" s="517"/>
      <c r="EJ115" s="517"/>
      <c r="EK115" s="517"/>
      <c r="EL115" s="517"/>
      <c r="EM115" s="517"/>
      <c r="EN115" s="517"/>
      <c r="EO115" s="517"/>
      <c r="EP115" s="517"/>
      <c r="EQ115" s="517"/>
      <c r="ER115" s="517"/>
      <c r="ES115" s="627" t="s">
        <v>1140</v>
      </c>
    </row>
    <row r="116">
      <c r="A116" s="517"/>
      <c r="B116" s="517"/>
      <c r="C116" s="517"/>
      <c r="D116" s="517"/>
      <c r="E116" s="517"/>
      <c r="F116" s="517"/>
      <c r="G116" s="517"/>
      <c r="H116" s="517"/>
      <c r="I116" s="517"/>
      <c r="J116" s="517"/>
      <c r="K116" s="517"/>
      <c r="L116" s="517"/>
      <c r="M116" s="517"/>
      <c r="N116" s="517"/>
      <c r="O116" s="517"/>
      <c r="P116" s="517"/>
      <c r="Q116" s="517"/>
      <c r="R116" s="517"/>
      <c r="S116" s="517"/>
      <c r="T116" s="517"/>
      <c r="U116" s="517"/>
      <c r="V116" s="517"/>
      <c r="W116" s="517"/>
      <c r="X116" s="517"/>
      <c r="Y116" s="517"/>
      <c r="Z116" s="517"/>
      <c r="AA116" s="517"/>
      <c r="AB116" s="517"/>
      <c r="AC116" s="517"/>
      <c r="AD116" s="517"/>
      <c r="AE116" s="517"/>
      <c r="AF116" s="517"/>
      <c r="AG116" s="517"/>
      <c r="AH116" s="517"/>
      <c r="AI116" s="517"/>
      <c r="AJ116" s="517"/>
      <c r="AK116" s="517"/>
      <c r="AL116" s="517"/>
      <c r="AM116" s="517"/>
      <c r="AN116" s="517"/>
      <c r="AO116" s="517"/>
      <c r="AP116" s="517"/>
      <c r="AQ116" s="517"/>
      <c r="AR116" s="517"/>
      <c r="AS116" s="517"/>
      <c r="AT116" s="517"/>
      <c r="AU116" s="517"/>
      <c r="AV116" s="517"/>
      <c r="AW116" s="517"/>
      <c r="AX116" s="517"/>
      <c r="AY116" s="517"/>
      <c r="AZ116" s="517"/>
      <c r="BA116" s="517"/>
      <c r="BB116" s="517"/>
      <c r="BC116" s="517"/>
      <c r="BD116" s="517"/>
      <c r="BE116" s="517"/>
      <c r="BF116" s="517"/>
      <c r="BG116" s="517"/>
      <c r="BH116" s="517"/>
      <c r="BI116" s="517"/>
      <c r="BJ116" s="517"/>
      <c r="BK116" s="517"/>
      <c r="BL116" s="517"/>
      <c r="BM116" s="517"/>
      <c r="BN116" s="517"/>
      <c r="BO116" s="517"/>
      <c r="BP116" s="517"/>
      <c r="BQ116" s="517"/>
      <c r="BR116" s="517"/>
      <c r="BS116" s="517"/>
      <c r="BT116" s="517"/>
      <c r="BU116" s="517"/>
      <c r="BV116" s="517"/>
      <c r="BW116" s="517"/>
      <c r="BX116" s="517"/>
      <c r="BY116" s="517"/>
      <c r="BZ116" s="517"/>
      <c r="CA116" s="517"/>
      <c r="CB116" s="517"/>
      <c r="CC116" s="517"/>
      <c r="CD116" s="517"/>
      <c r="CE116" s="517"/>
      <c r="CF116" s="517"/>
      <c r="CG116" s="517"/>
      <c r="CH116" s="517"/>
      <c r="CI116" s="517"/>
      <c r="CJ116" s="517"/>
      <c r="CK116" s="517"/>
      <c r="CL116" s="517"/>
      <c r="CM116" s="517"/>
      <c r="CN116" s="517"/>
      <c r="CO116" s="517"/>
      <c r="CP116" s="517"/>
      <c r="CQ116" s="517"/>
      <c r="CR116" s="517"/>
      <c r="CS116" s="517"/>
      <c r="CT116" s="517"/>
      <c r="CU116" s="517"/>
      <c r="CV116" s="517"/>
      <c r="CW116" s="517"/>
      <c r="CX116" s="517"/>
      <c r="CY116" s="517"/>
      <c r="CZ116" s="517"/>
      <c r="DA116" s="517"/>
      <c r="DB116" s="517"/>
      <c r="DC116" s="517"/>
      <c r="DD116" s="517"/>
      <c r="DE116" s="517"/>
      <c r="DF116" s="517"/>
      <c r="DG116" s="517"/>
      <c r="DH116" s="517"/>
      <c r="DI116" s="517"/>
      <c r="DJ116" s="517"/>
      <c r="DK116" s="517"/>
      <c r="DL116" s="517"/>
      <c r="DM116" s="517"/>
      <c r="DN116" s="517"/>
      <c r="DO116" s="517"/>
      <c r="DP116" s="517"/>
      <c r="DQ116" s="517"/>
      <c r="DR116" s="517"/>
      <c r="DS116" s="517"/>
      <c r="DT116" s="517"/>
      <c r="DU116" s="517"/>
      <c r="DV116" s="517"/>
      <c r="DW116" s="517"/>
      <c r="DX116" s="517"/>
      <c r="DY116" s="517"/>
      <c r="DZ116" s="517"/>
      <c r="EA116" s="517"/>
      <c r="EB116" s="517"/>
      <c r="EC116" s="517"/>
      <c r="ED116" s="517"/>
      <c r="EE116" s="517"/>
      <c r="EF116" s="517"/>
      <c r="EG116" s="517"/>
      <c r="EH116" s="517"/>
      <c r="EI116" s="517"/>
      <c r="EJ116" s="517"/>
      <c r="EK116" s="517"/>
      <c r="EL116" s="517"/>
      <c r="EM116" s="517"/>
      <c r="EN116" s="517"/>
      <c r="EO116" s="517"/>
      <c r="EP116" s="517"/>
      <c r="EQ116" s="517"/>
      <c r="ER116" s="517"/>
      <c r="ES116" s="627" t="s">
        <v>1140</v>
      </c>
    </row>
    <row r="117">
      <c r="A117" s="517"/>
      <c r="B117" s="517"/>
      <c r="C117" s="517"/>
      <c r="D117" s="517"/>
      <c r="E117" s="517"/>
      <c r="F117" s="517"/>
      <c r="G117" s="517"/>
      <c r="H117" s="517"/>
      <c r="I117" s="517"/>
      <c r="J117" s="517"/>
      <c r="K117" s="517"/>
      <c r="L117" s="517"/>
      <c r="M117" s="517"/>
      <c r="N117" s="517"/>
      <c r="O117" s="517"/>
      <c r="P117" s="517"/>
      <c r="Q117" s="517"/>
      <c r="R117" s="517"/>
      <c r="S117" s="517"/>
      <c r="T117" s="517"/>
      <c r="U117" s="517"/>
      <c r="V117" s="517"/>
      <c r="W117" s="517"/>
      <c r="X117" s="517"/>
      <c r="Y117" s="517"/>
      <c r="Z117" s="517"/>
      <c r="AA117" s="517"/>
      <c r="AB117" s="517"/>
      <c r="AC117" s="517"/>
      <c r="AD117" s="517"/>
      <c r="AE117" s="517"/>
      <c r="AF117" s="517"/>
      <c r="AG117" s="517"/>
      <c r="AH117" s="517"/>
      <c r="AI117" s="517"/>
      <c r="AJ117" s="517"/>
      <c r="AK117" s="517"/>
      <c r="AL117" s="517"/>
      <c r="AM117" s="517"/>
      <c r="AN117" s="517"/>
      <c r="AO117" s="517"/>
      <c r="AP117" s="517"/>
      <c r="AQ117" s="517"/>
      <c r="AR117" s="517"/>
      <c r="AS117" s="517"/>
      <c r="AT117" s="517"/>
      <c r="AU117" s="517"/>
      <c r="AV117" s="517"/>
      <c r="AW117" s="517"/>
      <c r="AX117" s="517"/>
      <c r="AY117" s="517"/>
      <c r="AZ117" s="517"/>
      <c r="BA117" s="517"/>
      <c r="BB117" s="517"/>
      <c r="BC117" s="517"/>
      <c r="BD117" s="517"/>
      <c r="BE117" s="517"/>
      <c r="BF117" s="517"/>
      <c r="BG117" s="517"/>
      <c r="BH117" s="517"/>
      <c r="BI117" s="517"/>
      <c r="BJ117" s="517"/>
      <c r="BK117" s="517"/>
      <c r="BL117" s="517"/>
      <c r="BM117" s="517"/>
      <c r="BN117" s="517"/>
      <c r="BO117" s="517"/>
      <c r="BP117" s="517"/>
      <c r="BQ117" s="517"/>
      <c r="BR117" s="517"/>
      <c r="BS117" s="517"/>
      <c r="BT117" s="517"/>
      <c r="BU117" s="517"/>
      <c r="BV117" s="517"/>
      <c r="BW117" s="517"/>
      <c r="BX117" s="517"/>
      <c r="BY117" s="517"/>
      <c r="BZ117" s="517"/>
      <c r="CA117" s="517"/>
      <c r="CB117" s="517"/>
      <c r="CC117" s="517"/>
      <c r="CD117" s="517"/>
      <c r="CE117" s="517"/>
      <c r="CF117" s="517"/>
      <c r="CG117" s="517"/>
      <c r="CH117" s="517"/>
      <c r="CI117" s="517"/>
      <c r="CJ117" s="517"/>
      <c r="CK117" s="517"/>
      <c r="CL117" s="517"/>
      <c r="CM117" s="517"/>
      <c r="CN117" s="517"/>
      <c r="CO117" s="517"/>
      <c r="CP117" s="517"/>
      <c r="CQ117" s="517"/>
      <c r="CR117" s="517"/>
      <c r="CS117" s="517"/>
      <c r="CT117" s="517"/>
      <c r="CU117" s="517"/>
      <c r="CV117" s="517"/>
      <c r="CW117" s="517"/>
      <c r="CX117" s="517"/>
      <c r="CY117" s="517"/>
      <c r="CZ117" s="517"/>
      <c r="DA117" s="517"/>
      <c r="DB117" s="517"/>
      <c r="DC117" s="517"/>
      <c r="DD117" s="517"/>
      <c r="DE117" s="517"/>
      <c r="DF117" s="517"/>
      <c r="DG117" s="517"/>
      <c r="DH117" s="517"/>
      <c r="DI117" s="517"/>
      <c r="DJ117" s="517"/>
      <c r="DK117" s="517"/>
      <c r="DL117" s="517"/>
      <c r="DM117" s="517"/>
      <c r="DN117" s="517"/>
      <c r="DO117" s="517"/>
      <c r="DP117" s="517"/>
      <c r="DQ117" s="517"/>
      <c r="DR117" s="517"/>
      <c r="DS117" s="517"/>
      <c r="DT117" s="517"/>
      <c r="DU117" s="517"/>
      <c r="DV117" s="517"/>
      <c r="DW117" s="517"/>
      <c r="DX117" s="517"/>
      <c r="DY117" s="517"/>
      <c r="DZ117" s="517"/>
      <c r="EA117" s="517"/>
      <c r="EB117" s="517"/>
      <c r="EC117" s="517"/>
      <c r="ED117" s="517"/>
      <c r="EE117" s="517"/>
      <c r="EF117" s="517"/>
      <c r="EG117" s="517"/>
      <c r="EH117" s="517"/>
      <c r="EI117" s="517"/>
      <c r="EJ117" s="517"/>
      <c r="EK117" s="517"/>
      <c r="EL117" s="517"/>
      <c r="EM117" s="517"/>
      <c r="EN117" s="517"/>
      <c r="EO117" s="517"/>
      <c r="EP117" s="517"/>
      <c r="EQ117" s="517"/>
      <c r="ER117" s="517"/>
      <c r="ES117" s="627" t="s">
        <v>1140</v>
      </c>
    </row>
    <row r="118">
      <c r="A118" s="517"/>
      <c r="B118" s="517"/>
      <c r="C118" s="517"/>
      <c r="D118" s="517"/>
      <c r="E118" s="517"/>
      <c r="F118" s="517"/>
      <c r="G118" s="517"/>
      <c r="H118" s="517"/>
      <c r="I118" s="517"/>
      <c r="J118" s="517"/>
      <c r="K118" s="517"/>
      <c r="L118" s="517"/>
      <c r="M118" s="517"/>
      <c r="N118" s="517"/>
      <c r="O118" s="517"/>
      <c r="P118" s="517"/>
      <c r="Q118" s="517"/>
      <c r="R118" s="517"/>
      <c r="S118" s="517"/>
      <c r="T118" s="517"/>
      <c r="U118" s="517"/>
      <c r="V118" s="517"/>
      <c r="W118" s="517"/>
      <c r="X118" s="517"/>
      <c r="Y118" s="517"/>
      <c r="Z118" s="517"/>
      <c r="AA118" s="517"/>
      <c r="AB118" s="517"/>
      <c r="AC118" s="517"/>
      <c r="AD118" s="517"/>
      <c r="AE118" s="517"/>
      <c r="AF118" s="517"/>
      <c r="AG118" s="517"/>
      <c r="AH118" s="517"/>
      <c r="AI118" s="517"/>
      <c r="AJ118" s="517"/>
      <c r="AK118" s="517"/>
      <c r="AL118" s="517"/>
      <c r="AM118" s="517"/>
      <c r="AN118" s="517"/>
      <c r="AO118" s="517"/>
      <c r="AP118" s="517"/>
      <c r="AQ118" s="517"/>
      <c r="AR118" s="517"/>
      <c r="AS118" s="517"/>
      <c r="AT118" s="517"/>
      <c r="AU118" s="517"/>
      <c r="AV118" s="517"/>
      <c r="AW118" s="517"/>
      <c r="AX118" s="517"/>
      <c r="AY118" s="517"/>
      <c r="AZ118" s="517"/>
      <c r="BA118" s="517"/>
      <c r="BB118" s="517"/>
      <c r="BC118" s="517"/>
      <c r="BD118" s="517"/>
      <c r="BE118" s="517"/>
      <c r="BF118" s="517"/>
      <c r="BG118" s="517"/>
      <c r="BH118" s="517"/>
      <c r="BI118" s="517"/>
      <c r="BJ118" s="517"/>
      <c r="BK118" s="517"/>
      <c r="BL118" s="517"/>
      <c r="BM118" s="517"/>
      <c r="BN118" s="517"/>
      <c r="BO118" s="517"/>
      <c r="BP118" s="517"/>
      <c r="BQ118" s="517"/>
      <c r="BR118" s="517"/>
      <c r="BS118" s="517"/>
      <c r="BT118" s="517"/>
      <c r="BU118" s="517"/>
      <c r="BV118" s="517"/>
      <c r="BW118" s="517"/>
      <c r="BX118" s="517"/>
      <c r="BY118" s="517"/>
      <c r="BZ118" s="517"/>
      <c r="CA118" s="517"/>
      <c r="CB118" s="517"/>
      <c r="CC118" s="517"/>
      <c r="CD118" s="517"/>
      <c r="CE118" s="517"/>
      <c r="CF118" s="517"/>
      <c r="CG118" s="517"/>
      <c r="CH118" s="517"/>
      <c r="CI118" s="517"/>
      <c r="CJ118" s="517"/>
      <c r="CK118" s="517"/>
      <c r="CL118" s="517"/>
      <c r="CM118" s="517"/>
      <c r="CN118" s="517"/>
      <c r="CO118" s="517"/>
      <c r="CP118" s="517"/>
      <c r="CQ118" s="517"/>
      <c r="CR118" s="517"/>
      <c r="CS118" s="517"/>
      <c r="CT118" s="517"/>
      <c r="CU118" s="517"/>
      <c r="CV118" s="517"/>
      <c r="CW118" s="517"/>
      <c r="CX118" s="517"/>
      <c r="CY118" s="517"/>
      <c r="CZ118" s="517"/>
      <c r="DA118" s="517"/>
      <c r="DB118" s="517"/>
      <c r="DC118" s="517"/>
      <c r="DD118" s="517"/>
      <c r="DE118" s="517"/>
      <c r="DF118" s="517"/>
      <c r="DG118" s="517"/>
      <c r="DH118" s="517"/>
      <c r="DI118" s="517"/>
      <c r="DJ118" s="517"/>
      <c r="DK118" s="517"/>
      <c r="DL118" s="517"/>
      <c r="DM118" s="517"/>
      <c r="DN118" s="517"/>
      <c r="DO118" s="517"/>
      <c r="DP118" s="517"/>
      <c r="DQ118" s="517"/>
      <c r="DR118" s="517"/>
      <c r="DS118" s="517"/>
      <c r="DT118" s="517"/>
      <c r="DU118" s="517"/>
      <c r="DV118" s="517"/>
      <c r="DW118" s="517"/>
      <c r="DX118" s="517"/>
      <c r="DY118" s="517"/>
      <c r="DZ118" s="517"/>
      <c r="EA118" s="517"/>
      <c r="EB118" s="517"/>
      <c r="EC118" s="517"/>
      <c r="ED118" s="517"/>
      <c r="EE118" s="517"/>
      <c r="EF118" s="517"/>
      <c r="EG118" s="517"/>
      <c r="EH118" s="517"/>
      <c r="EI118" s="517"/>
      <c r="EJ118" s="517"/>
      <c r="EK118" s="517"/>
      <c r="EL118" s="517"/>
      <c r="EM118" s="517"/>
      <c r="EN118" s="517"/>
      <c r="EO118" s="517"/>
      <c r="EP118" s="517"/>
      <c r="EQ118" s="517"/>
      <c r="ER118" s="517"/>
      <c r="ES118" s="627" t="s">
        <v>1140</v>
      </c>
    </row>
    <row r="119">
      <c r="A119" s="517"/>
      <c r="B119" s="517"/>
      <c r="C119" s="517"/>
      <c r="D119" s="517"/>
      <c r="E119" s="517"/>
      <c r="F119" s="517"/>
      <c r="G119" s="517"/>
      <c r="H119" s="517"/>
      <c r="I119" s="517"/>
      <c r="J119" s="517"/>
      <c r="K119" s="517"/>
      <c r="L119" s="517"/>
      <c r="M119" s="517"/>
      <c r="N119" s="517"/>
      <c r="O119" s="517"/>
      <c r="P119" s="517"/>
      <c r="Q119" s="517"/>
      <c r="R119" s="517"/>
      <c r="S119" s="517"/>
      <c r="T119" s="517"/>
      <c r="U119" s="517"/>
      <c r="V119" s="517"/>
      <c r="W119" s="517"/>
      <c r="X119" s="517"/>
      <c r="Y119" s="517"/>
      <c r="Z119" s="517"/>
      <c r="AA119" s="517"/>
      <c r="AB119" s="517"/>
      <c r="AC119" s="517"/>
      <c r="AD119" s="517"/>
      <c r="AE119" s="517"/>
      <c r="AF119" s="517"/>
      <c r="AG119" s="517"/>
      <c r="AH119" s="517"/>
      <c r="AI119" s="517"/>
      <c r="AJ119" s="517"/>
      <c r="AK119" s="517"/>
      <c r="AL119" s="517"/>
      <c r="AM119" s="517"/>
      <c r="AN119" s="517"/>
      <c r="AO119" s="517"/>
      <c r="AP119" s="517"/>
      <c r="AQ119" s="517"/>
      <c r="AR119" s="517"/>
      <c r="AS119" s="517"/>
      <c r="AT119" s="517"/>
      <c r="AU119" s="517"/>
      <c r="AV119" s="517"/>
      <c r="AW119" s="517"/>
      <c r="AX119" s="517"/>
      <c r="AY119" s="517"/>
      <c r="AZ119" s="517"/>
      <c r="BA119" s="517"/>
      <c r="BB119" s="517"/>
      <c r="BC119" s="517"/>
      <c r="BD119" s="517"/>
      <c r="BE119" s="517"/>
      <c r="BF119" s="517"/>
      <c r="BG119" s="517"/>
      <c r="BH119" s="517"/>
      <c r="BI119" s="517"/>
      <c r="BJ119" s="517"/>
      <c r="BK119" s="517"/>
      <c r="BL119" s="517"/>
      <c r="BM119" s="517"/>
      <c r="BN119" s="517"/>
      <c r="BO119" s="517"/>
      <c r="BP119" s="517"/>
      <c r="BQ119" s="517"/>
      <c r="BR119" s="517"/>
      <c r="BS119" s="517"/>
      <c r="BT119" s="517"/>
      <c r="BU119" s="517"/>
      <c r="BV119" s="517"/>
      <c r="BW119" s="517"/>
      <c r="BX119" s="517"/>
      <c r="BY119" s="517"/>
      <c r="BZ119" s="517"/>
      <c r="CA119" s="517"/>
      <c r="CB119" s="517"/>
      <c r="CC119" s="517"/>
      <c r="CD119" s="517"/>
      <c r="CE119" s="517"/>
      <c r="CF119" s="517"/>
      <c r="CG119" s="517"/>
      <c r="CH119" s="517"/>
      <c r="CI119" s="517"/>
      <c r="CJ119" s="517"/>
      <c r="CK119" s="517"/>
      <c r="CL119" s="517"/>
      <c r="CM119" s="517"/>
      <c r="CN119" s="517"/>
      <c r="CO119" s="517"/>
      <c r="CP119" s="517"/>
      <c r="CQ119" s="517"/>
      <c r="CR119" s="517"/>
      <c r="CS119" s="517"/>
      <c r="CT119" s="517"/>
      <c r="CU119" s="517"/>
      <c r="CV119" s="517"/>
      <c r="CW119" s="517"/>
      <c r="CX119" s="517"/>
      <c r="CY119" s="517"/>
      <c r="CZ119" s="517"/>
      <c r="DA119" s="517"/>
      <c r="DB119" s="517"/>
      <c r="DC119" s="517"/>
      <c r="DD119" s="517"/>
      <c r="DE119" s="517"/>
      <c r="DF119" s="517"/>
      <c r="DG119" s="517"/>
      <c r="DH119" s="517"/>
      <c r="DI119" s="517"/>
      <c r="DJ119" s="517"/>
      <c r="DK119" s="517"/>
      <c r="DL119" s="517"/>
      <c r="DM119" s="517"/>
      <c r="DN119" s="517"/>
      <c r="DO119" s="517"/>
      <c r="DP119" s="517"/>
      <c r="DQ119" s="517"/>
      <c r="DR119" s="517"/>
      <c r="DS119" s="517"/>
      <c r="DT119" s="517"/>
      <c r="DU119" s="517"/>
      <c r="DV119" s="517"/>
      <c r="DW119" s="517"/>
      <c r="DX119" s="517"/>
      <c r="DY119" s="517"/>
      <c r="DZ119" s="517"/>
      <c r="EA119" s="517"/>
      <c r="EB119" s="517"/>
      <c r="EC119" s="517"/>
      <c r="ED119" s="517"/>
      <c r="EE119" s="517"/>
      <c r="EF119" s="517"/>
      <c r="EG119" s="517"/>
      <c r="EH119" s="517"/>
      <c r="EI119" s="517"/>
      <c r="EJ119" s="517"/>
      <c r="EK119" s="517"/>
      <c r="EL119" s="517"/>
      <c r="EM119" s="517"/>
      <c r="EN119" s="517"/>
      <c r="EO119" s="517"/>
      <c r="EP119" s="517"/>
      <c r="EQ119" s="517"/>
      <c r="ER119" s="517"/>
      <c r="ES119" s="627" t="s">
        <v>1140</v>
      </c>
    </row>
    <row r="120">
      <c r="A120" s="517"/>
      <c r="B120" s="517"/>
      <c r="C120" s="517"/>
      <c r="D120" s="517"/>
      <c r="E120" s="517"/>
      <c r="F120" s="517"/>
      <c r="G120" s="517"/>
      <c r="H120" s="517"/>
      <c r="I120" s="517"/>
      <c r="J120" s="517"/>
      <c r="K120" s="517"/>
      <c r="L120" s="517"/>
      <c r="M120" s="517"/>
      <c r="N120" s="517"/>
      <c r="O120" s="517"/>
      <c r="P120" s="517"/>
      <c r="Q120" s="517"/>
      <c r="R120" s="517"/>
      <c r="S120" s="517"/>
      <c r="T120" s="517"/>
      <c r="U120" s="517"/>
      <c r="V120" s="517"/>
      <c r="W120" s="517"/>
      <c r="X120" s="517"/>
      <c r="Y120" s="517"/>
      <c r="Z120" s="517"/>
      <c r="AA120" s="517"/>
      <c r="AB120" s="517"/>
      <c r="AC120" s="517"/>
      <c r="AD120" s="517"/>
      <c r="AE120" s="517"/>
      <c r="AF120" s="517"/>
      <c r="AG120" s="517"/>
      <c r="AH120" s="517"/>
      <c r="AI120" s="517"/>
      <c r="AJ120" s="517"/>
      <c r="AK120" s="517"/>
      <c r="AL120" s="517"/>
      <c r="AM120" s="517"/>
      <c r="AN120" s="517"/>
      <c r="AO120" s="517"/>
      <c r="AP120" s="517"/>
      <c r="AQ120" s="517"/>
      <c r="AR120" s="517"/>
      <c r="AS120" s="517"/>
      <c r="AT120" s="517"/>
      <c r="AU120" s="517"/>
      <c r="AV120" s="517"/>
      <c r="AW120" s="517"/>
      <c r="AX120" s="517"/>
      <c r="AY120" s="517"/>
      <c r="AZ120" s="517"/>
      <c r="BA120" s="517"/>
      <c r="BB120" s="517"/>
      <c r="BC120" s="517"/>
      <c r="BD120" s="517"/>
      <c r="BE120" s="517"/>
      <c r="BF120" s="517"/>
      <c r="BG120" s="517"/>
      <c r="BH120" s="517"/>
      <c r="BI120" s="517"/>
      <c r="BJ120" s="517"/>
      <c r="BK120" s="517"/>
      <c r="BL120" s="517"/>
      <c r="BM120" s="517"/>
      <c r="BN120" s="517"/>
      <c r="BO120" s="517"/>
      <c r="BP120" s="517"/>
      <c r="BQ120" s="517"/>
      <c r="BR120" s="517"/>
      <c r="BS120" s="517"/>
      <c r="BT120" s="517"/>
      <c r="BU120" s="517"/>
      <c r="BV120" s="517"/>
      <c r="BW120" s="517"/>
      <c r="BX120" s="517"/>
      <c r="BY120" s="517"/>
      <c r="BZ120" s="517"/>
      <c r="CA120" s="517"/>
      <c r="CB120" s="517"/>
      <c r="CC120" s="517"/>
      <c r="CD120" s="517"/>
      <c r="CE120" s="517"/>
      <c r="CF120" s="517"/>
      <c r="CG120" s="517"/>
      <c r="CH120" s="517"/>
      <c r="CI120" s="517"/>
      <c r="CJ120" s="517"/>
      <c r="CK120" s="517"/>
      <c r="CL120" s="517"/>
      <c r="CM120" s="517"/>
      <c r="CN120" s="517"/>
      <c r="CO120" s="517"/>
      <c r="CP120" s="517"/>
      <c r="CQ120" s="517"/>
      <c r="CR120" s="517"/>
      <c r="CS120" s="517"/>
      <c r="CT120" s="517"/>
      <c r="CU120" s="517"/>
      <c r="CV120" s="517"/>
      <c r="CW120" s="517"/>
      <c r="CX120" s="517"/>
      <c r="CY120" s="517"/>
      <c r="CZ120" s="517"/>
      <c r="DA120" s="517"/>
      <c r="DB120" s="517"/>
      <c r="DC120" s="517"/>
      <c r="DD120" s="517"/>
      <c r="DE120" s="517"/>
      <c r="DF120" s="517"/>
      <c r="DG120" s="517"/>
      <c r="DH120" s="517"/>
      <c r="DI120" s="517"/>
      <c r="DJ120" s="517"/>
      <c r="DK120" s="517"/>
      <c r="DL120" s="517"/>
      <c r="DM120" s="517"/>
      <c r="DN120" s="517"/>
      <c r="DO120" s="517"/>
      <c r="DP120" s="517"/>
      <c r="DQ120" s="517"/>
      <c r="DR120" s="517"/>
      <c r="DS120" s="517"/>
      <c r="DT120" s="517"/>
      <c r="DU120" s="517"/>
      <c r="DV120" s="517"/>
      <c r="DW120" s="517"/>
      <c r="DX120" s="517"/>
      <c r="DY120" s="517"/>
      <c r="DZ120" s="517"/>
      <c r="EA120" s="517"/>
      <c r="EB120" s="517"/>
      <c r="EC120" s="517"/>
      <c r="ED120" s="517"/>
      <c r="EE120" s="517"/>
      <c r="EF120" s="517"/>
      <c r="EG120" s="517"/>
      <c r="EH120" s="517"/>
      <c r="EI120" s="517"/>
      <c r="EJ120" s="517"/>
      <c r="EK120" s="517"/>
      <c r="EL120" s="517"/>
      <c r="EM120" s="517"/>
      <c r="EN120" s="517"/>
      <c r="EO120" s="517"/>
      <c r="EP120" s="517"/>
      <c r="EQ120" s="517"/>
      <c r="ER120" s="517"/>
      <c r="ES120" s="627" t="s">
        <v>1140</v>
      </c>
    </row>
    <row r="121">
      <c r="A121" s="517"/>
      <c r="B121" s="517"/>
      <c r="C121" s="517"/>
      <c r="D121" s="517"/>
      <c r="E121" s="517"/>
      <c r="F121" s="517"/>
      <c r="G121" s="517"/>
      <c r="H121" s="517"/>
      <c r="I121" s="517"/>
      <c r="J121" s="517"/>
      <c r="K121" s="517"/>
      <c r="L121" s="517"/>
      <c r="M121" s="517"/>
      <c r="N121" s="517"/>
      <c r="O121" s="517"/>
      <c r="P121" s="517"/>
      <c r="Q121" s="517"/>
      <c r="R121" s="517"/>
      <c r="S121" s="517"/>
      <c r="T121" s="517"/>
      <c r="U121" s="517"/>
      <c r="V121" s="517"/>
      <c r="W121" s="517"/>
      <c r="X121" s="517"/>
      <c r="Y121" s="517"/>
      <c r="Z121" s="517"/>
      <c r="AA121" s="517"/>
      <c r="AB121" s="517"/>
      <c r="AC121" s="517"/>
      <c r="AD121" s="517"/>
      <c r="AE121" s="517"/>
      <c r="AF121" s="517"/>
      <c r="AG121" s="517"/>
      <c r="AH121" s="517"/>
      <c r="AI121" s="517"/>
      <c r="AJ121" s="517"/>
      <c r="AK121" s="517"/>
      <c r="AL121" s="517"/>
      <c r="AM121" s="517"/>
      <c r="AN121" s="517"/>
      <c r="AO121" s="517"/>
      <c r="AP121" s="517"/>
      <c r="AQ121" s="517"/>
      <c r="AR121" s="517"/>
      <c r="AS121" s="517"/>
      <c r="AT121" s="517"/>
      <c r="AU121" s="517"/>
      <c r="AV121" s="517"/>
      <c r="AW121" s="517"/>
      <c r="AX121" s="517"/>
      <c r="AY121" s="517"/>
      <c r="AZ121" s="517"/>
      <c r="BA121" s="517"/>
      <c r="BB121" s="517"/>
      <c r="BC121" s="517"/>
      <c r="BD121" s="517"/>
      <c r="BE121" s="517"/>
      <c r="BF121" s="517"/>
      <c r="BG121" s="517"/>
      <c r="BH121" s="517"/>
      <c r="BI121" s="517"/>
      <c r="BJ121" s="517"/>
      <c r="BK121" s="517"/>
      <c r="BL121" s="517"/>
      <c r="BM121" s="517"/>
      <c r="BN121" s="517"/>
      <c r="BO121" s="517"/>
      <c r="BP121" s="517"/>
      <c r="BQ121" s="517"/>
      <c r="BR121" s="517"/>
      <c r="BS121" s="517"/>
      <c r="BT121" s="517"/>
      <c r="BU121" s="517"/>
      <c r="BV121" s="517"/>
      <c r="BW121" s="517"/>
      <c r="BX121" s="517"/>
      <c r="BY121" s="517"/>
      <c r="BZ121" s="517"/>
      <c r="CA121" s="517"/>
      <c r="CB121" s="517"/>
      <c r="CC121" s="517"/>
      <c r="CD121" s="517"/>
      <c r="CE121" s="517"/>
      <c r="CF121" s="517"/>
      <c r="CG121" s="517"/>
      <c r="CH121" s="517"/>
      <c r="CI121" s="517"/>
      <c r="CJ121" s="517"/>
      <c r="CK121" s="517"/>
      <c r="CL121" s="517"/>
      <c r="CM121" s="517"/>
      <c r="CN121" s="517"/>
      <c r="CO121" s="517"/>
      <c r="CP121" s="517"/>
      <c r="CQ121" s="517"/>
      <c r="CR121" s="517"/>
      <c r="CS121" s="517"/>
      <c r="CT121" s="517"/>
      <c r="CU121" s="517"/>
      <c r="CV121" s="517"/>
      <c r="CW121" s="517"/>
      <c r="CX121" s="517"/>
      <c r="CY121" s="517"/>
      <c r="CZ121" s="517"/>
      <c r="DA121" s="517"/>
      <c r="DB121" s="517"/>
      <c r="DC121" s="517"/>
      <c r="DD121" s="517"/>
      <c r="DE121" s="517"/>
      <c r="DF121" s="517"/>
      <c r="DG121" s="517"/>
      <c r="DH121" s="517"/>
      <c r="DI121" s="517"/>
      <c r="DJ121" s="517"/>
      <c r="DK121" s="517"/>
      <c r="DL121" s="517"/>
      <c r="DM121" s="517"/>
      <c r="DN121" s="517"/>
      <c r="DO121" s="517"/>
      <c r="DP121" s="517"/>
      <c r="DQ121" s="517"/>
      <c r="DR121" s="517"/>
      <c r="DS121" s="517"/>
      <c r="DT121" s="517"/>
      <c r="DU121" s="517"/>
      <c r="DV121" s="517"/>
      <c r="DW121" s="517"/>
      <c r="DX121" s="517"/>
      <c r="DY121" s="517"/>
      <c r="DZ121" s="517"/>
      <c r="EA121" s="517"/>
      <c r="EB121" s="517"/>
      <c r="EC121" s="517"/>
      <c r="ED121" s="517"/>
      <c r="EE121" s="517"/>
      <c r="EF121" s="517"/>
      <c r="EG121" s="517"/>
      <c r="EH121" s="517"/>
      <c r="EI121" s="517"/>
      <c r="EJ121" s="517"/>
      <c r="EK121" s="517"/>
      <c r="EL121" s="517"/>
      <c r="EM121" s="517"/>
      <c r="EN121" s="517"/>
      <c r="EO121" s="517"/>
      <c r="EP121" s="517"/>
      <c r="EQ121" s="517"/>
      <c r="ER121" s="517"/>
      <c r="ES121" s="627" t="s">
        <v>1140</v>
      </c>
    </row>
    <row r="122">
      <c r="A122" s="517"/>
      <c r="B122" s="517"/>
      <c r="C122" s="517"/>
      <c r="D122" s="517"/>
      <c r="E122" s="517"/>
      <c r="F122" s="517"/>
      <c r="G122" s="517"/>
      <c r="H122" s="517"/>
      <c r="I122" s="517"/>
      <c r="J122" s="517"/>
      <c r="K122" s="517"/>
      <c r="L122" s="517"/>
      <c r="M122" s="517"/>
      <c r="N122" s="517"/>
      <c r="O122" s="517"/>
      <c r="P122" s="517"/>
      <c r="Q122" s="517"/>
      <c r="R122" s="517"/>
      <c r="S122" s="517"/>
      <c r="T122" s="517"/>
      <c r="U122" s="517"/>
      <c r="V122" s="517"/>
      <c r="W122" s="517"/>
      <c r="X122" s="517"/>
      <c r="Y122" s="517"/>
      <c r="Z122" s="517"/>
      <c r="AA122" s="517"/>
      <c r="AB122" s="517"/>
      <c r="AC122" s="517"/>
      <c r="AD122" s="517"/>
      <c r="AE122" s="517"/>
      <c r="AF122" s="517"/>
      <c r="AG122" s="517"/>
      <c r="AH122" s="517"/>
      <c r="AI122" s="517"/>
      <c r="AJ122" s="517"/>
      <c r="AK122" s="517"/>
      <c r="AL122" s="517"/>
      <c r="AM122" s="517"/>
      <c r="AN122" s="517"/>
      <c r="AO122" s="517"/>
      <c r="AP122" s="517"/>
      <c r="AQ122" s="517"/>
      <c r="AR122" s="517"/>
      <c r="AS122" s="517"/>
      <c r="AT122" s="517"/>
      <c r="AU122" s="517"/>
      <c r="AV122" s="517"/>
      <c r="AW122" s="517"/>
      <c r="AX122" s="517"/>
      <c r="AY122" s="517"/>
      <c r="AZ122" s="517"/>
      <c r="BA122" s="517"/>
      <c r="BB122" s="517"/>
      <c r="BC122" s="517"/>
      <c r="BD122" s="517"/>
      <c r="BE122" s="517"/>
      <c r="BF122" s="517"/>
      <c r="BG122" s="517"/>
      <c r="BH122" s="517"/>
      <c r="BI122" s="517"/>
      <c r="BJ122" s="517"/>
      <c r="BK122" s="517"/>
      <c r="BL122" s="517"/>
      <c r="BM122" s="517"/>
      <c r="BN122" s="517"/>
      <c r="BO122" s="517"/>
      <c r="BP122" s="517"/>
      <c r="BQ122" s="517"/>
      <c r="BR122" s="517"/>
      <c r="BS122" s="517"/>
      <c r="BT122" s="517"/>
      <c r="BU122" s="517"/>
      <c r="BV122" s="517"/>
      <c r="BW122" s="517"/>
      <c r="BX122" s="517"/>
      <c r="BY122" s="517"/>
      <c r="BZ122" s="517"/>
      <c r="CA122" s="517"/>
      <c r="CB122" s="517"/>
      <c r="CC122" s="517"/>
      <c r="CD122" s="517"/>
      <c r="CE122" s="517"/>
      <c r="CF122" s="517"/>
      <c r="CG122" s="517"/>
      <c r="CH122" s="517"/>
      <c r="CI122" s="517"/>
      <c r="CJ122" s="517"/>
      <c r="CK122" s="517"/>
      <c r="CL122" s="517"/>
      <c r="CM122" s="517"/>
      <c r="CN122" s="517"/>
      <c r="CO122" s="517"/>
      <c r="CP122" s="517"/>
      <c r="CQ122" s="517"/>
      <c r="CR122" s="517"/>
      <c r="CS122" s="517"/>
      <c r="CT122" s="517"/>
      <c r="CU122" s="517"/>
      <c r="CV122" s="517"/>
      <c r="CW122" s="517"/>
      <c r="CX122" s="517"/>
      <c r="CY122" s="517"/>
      <c r="CZ122" s="517"/>
      <c r="DA122" s="517"/>
      <c r="DB122" s="517"/>
      <c r="DC122" s="517"/>
      <c r="DD122" s="517"/>
      <c r="DE122" s="517"/>
      <c r="DF122" s="517"/>
      <c r="DG122" s="517"/>
      <c r="DH122" s="517"/>
      <c r="DI122" s="517"/>
      <c r="DJ122" s="517"/>
      <c r="DK122" s="517"/>
      <c r="DL122" s="517"/>
      <c r="DM122" s="517"/>
      <c r="DN122" s="517"/>
      <c r="DO122" s="517"/>
      <c r="DP122" s="517"/>
      <c r="DQ122" s="517"/>
      <c r="DR122" s="517"/>
      <c r="DS122" s="517"/>
      <c r="DT122" s="517"/>
      <c r="DU122" s="517"/>
      <c r="DV122" s="517"/>
      <c r="DW122" s="517"/>
      <c r="DX122" s="517"/>
      <c r="DY122" s="517"/>
      <c r="DZ122" s="517"/>
      <c r="EA122" s="517"/>
      <c r="EB122" s="517"/>
      <c r="EC122" s="517"/>
      <c r="ED122" s="517"/>
      <c r="EE122" s="517"/>
      <c r="EF122" s="517"/>
      <c r="EG122" s="517"/>
      <c r="EH122" s="517"/>
      <c r="EI122" s="517"/>
      <c r="EJ122" s="517"/>
      <c r="EK122" s="517"/>
      <c r="EL122" s="517"/>
      <c r="EM122" s="517"/>
      <c r="EN122" s="517"/>
      <c r="EO122" s="517"/>
      <c r="EP122" s="517"/>
      <c r="EQ122" s="517"/>
      <c r="ER122" s="517"/>
      <c r="ES122" s="627" t="s">
        <v>1140</v>
      </c>
    </row>
    <row r="123">
      <c r="A123" s="517"/>
      <c r="B123" s="517"/>
      <c r="C123" s="517"/>
      <c r="D123" s="517"/>
      <c r="E123" s="517"/>
      <c r="F123" s="517"/>
      <c r="G123" s="517"/>
      <c r="H123" s="517"/>
      <c r="I123" s="517"/>
      <c r="J123" s="517"/>
      <c r="K123" s="517"/>
      <c r="L123" s="517"/>
      <c r="M123" s="517"/>
      <c r="N123" s="517"/>
      <c r="O123" s="517"/>
      <c r="P123" s="517"/>
      <c r="Q123" s="517"/>
      <c r="R123" s="517"/>
      <c r="S123" s="517"/>
      <c r="T123" s="517"/>
      <c r="U123" s="517"/>
      <c r="V123" s="517"/>
      <c r="W123" s="517"/>
      <c r="X123" s="517"/>
      <c r="Y123" s="517"/>
      <c r="Z123" s="517"/>
      <c r="AA123" s="517"/>
      <c r="AB123" s="517"/>
      <c r="AC123" s="517"/>
      <c r="AD123" s="517"/>
      <c r="AE123" s="517"/>
      <c r="AF123" s="517"/>
      <c r="AG123" s="517"/>
      <c r="AH123" s="517"/>
      <c r="AI123" s="517"/>
      <c r="AJ123" s="517"/>
      <c r="AK123" s="517"/>
      <c r="AL123" s="517"/>
      <c r="AM123" s="517"/>
      <c r="AN123" s="517"/>
      <c r="AO123" s="517"/>
      <c r="AP123" s="517"/>
      <c r="AQ123" s="517"/>
      <c r="AR123" s="517"/>
      <c r="AS123" s="517"/>
      <c r="AT123" s="517"/>
      <c r="AU123" s="517"/>
      <c r="AV123" s="517"/>
      <c r="AW123" s="517"/>
      <c r="AX123" s="517"/>
      <c r="AY123" s="517"/>
      <c r="AZ123" s="517"/>
      <c r="BA123" s="517"/>
      <c r="BB123" s="517"/>
      <c r="BC123" s="517"/>
      <c r="BD123" s="517"/>
      <c r="BE123" s="517"/>
      <c r="BF123" s="517"/>
      <c r="BG123" s="517"/>
      <c r="BH123" s="517"/>
      <c r="BI123" s="517"/>
      <c r="BJ123" s="517"/>
      <c r="BK123" s="517"/>
      <c r="BL123" s="517"/>
      <c r="BM123" s="517"/>
      <c r="BN123" s="517"/>
      <c r="BO123" s="517"/>
      <c r="BP123" s="517"/>
      <c r="BQ123" s="517"/>
      <c r="BR123" s="517"/>
      <c r="BS123" s="517"/>
      <c r="BT123" s="517"/>
      <c r="BU123" s="517"/>
      <c r="BV123" s="517"/>
      <c r="BW123" s="517"/>
      <c r="BX123" s="517"/>
      <c r="BY123" s="517"/>
      <c r="BZ123" s="517"/>
      <c r="CA123" s="517"/>
      <c r="CB123" s="517"/>
      <c r="CC123" s="517"/>
      <c r="CD123" s="517"/>
      <c r="CE123" s="517"/>
      <c r="CF123" s="517"/>
      <c r="CG123" s="517"/>
      <c r="CH123" s="517"/>
      <c r="CI123" s="517"/>
      <c r="CJ123" s="517"/>
      <c r="CK123" s="517"/>
      <c r="CL123" s="517"/>
      <c r="CM123" s="517"/>
      <c r="CN123" s="517"/>
      <c r="CO123" s="517"/>
      <c r="CP123" s="517"/>
      <c r="CQ123" s="517"/>
      <c r="CR123" s="517"/>
      <c r="CS123" s="517"/>
      <c r="CT123" s="517"/>
      <c r="CU123" s="517"/>
      <c r="CV123" s="517"/>
      <c r="CW123" s="517"/>
      <c r="CX123" s="517"/>
      <c r="CY123" s="517"/>
      <c r="CZ123" s="517"/>
      <c r="DA123" s="517"/>
      <c r="DB123" s="517"/>
      <c r="DC123" s="517"/>
      <c r="DD123" s="517"/>
      <c r="DE123" s="517"/>
      <c r="DF123" s="517"/>
      <c r="DG123" s="517"/>
      <c r="DH123" s="517"/>
      <c r="DI123" s="517"/>
      <c r="DJ123" s="517"/>
      <c r="DK123" s="517"/>
      <c r="DL123" s="517"/>
      <c r="DM123" s="517"/>
      <c r="DN123" s="517"/>
      <c r="DO123" s="517"/>
      <c r="DP123" s="517"/>
      <c r="DQ123" s="517"/>
      <c r="DR123" s="517"/>
      <c r="DS123" s="517"/>
      <c r="DT123" s="517"/>
      <c r="DU123" s="517"/>
      <c r="DV123" s="517"/>
      <c r="DW123" s="517"/>
      <c r="DX123" s="517"/>
      <c r="DY123" s="517"/>
      <c r="DZ123" s="517"/>
      <c r="EA123" s="517"/>
      <c r="EB123" s="517"/>
      <c r="EC123" s="517"/>
      <c r="ED123" s="517"/>
      <c r="EE123" s="517"/>
      <c r="EF123" s="517"/>
      <c r="EG123" s="517"/>
      <c r="EH123" s="517"/>
      <c r="EI123" s="517"/>
      <c r="EJ123" s="517"/>
      <c r="EK123" s="517"/>
      <c r="EL123" s="517"/>
      <c r="EM123" s="517"/>
      <c r="EN123" s="517"/>
      <c r="EO123" s="517"/>
      <c r="EP123" s="517"/>
      <c r="EQ123" s="517"/>
      <c r="ER123" s="517"/>
      <c r="ES123" s="627" t="s">
        <v>1140</v>
      </c>
    </row>
    <row r="124">
      <c r="A124" s="517"/>
      <c r="B124" s="517"/>
      <c r="C124" s="517"/>
      <c r="D124" s="517"/>
      <c r="E124" s="517"/>
      <c r="F124" s="517"/>
      <c r="G124" s="517"/>
      <c r="H124" s="517"/>
      <c r="I124" s="517"/>
      <c r="J124" s="517"/>
      <c r="K124" s="517"/>
      <c r="L124" s="517"/>
      <c r="M124" s="517"/>
      <c r="N124" s="517"/>
      <c r="O124" s="517"/>
      <c r="P124" s="517"/>
      <c r="Q124" s="517"/>
      <c r="R124" s="517"/>
      <c r="S124" s="517"/>
      <c r="T124" s="517"/>
      <c r="U124" s="517"/>
      <c r="V124" s="517"/>
      <c r="W124" s="517"/>
      <c r="X124" s="517"/>
      <c r="Y124" s="517"/>
      <c r="Z124" s="517"/>
      <c r="AA124" s="517"/>
      <c r="AB124" s="517"/>
      <c r="AC124" s="517"/>
      <c r="AD124" s="517"/>
      <c r="AE124" s="517"/>
      <c r="AF124" s="517"/>
      <c r="AG124" s="517"/>
      <c r="AH124" s="517"/>
      <c r="AI124" s="517"/>
      <c r="AJ124" s="517"/>
      <c r="AK124" s="517"/>
      <c r="AL124" s="517"/>
      <c r="AM124" s="517"/>
      <c r="AN124" s="517"/>
      <c r="AO124" s="517"/>
      <c r="AP124" s="517"/>
      <c r="AQ124" s="517"/>
      <c r="AR124" s="517"/>
      <c r="AS124" s="517"/>
      <c r="AT124" s="517"/>
      <c r="AU124" s="517"/>
      <c r="AV124" s="517"/>
      <c r="AW124" s="517"/>
      <c r="AX124" s="517"/>
      <c r="AY124" s="517"/>
      <c r="AZ124" s="517"/>
      <c r="BA124" s="517"/>
      <c r="BB124" s="517"/>
      <c r="BC124" s="517"/>
      <c r="BD124" s="517"/>
      <c r="BE124" s="517"/>
      <c r="BF124" s="517"/>
      <c r="BG124" s="517"/>
      <c r="BH124" s="517"/>
      <c r="BI124" s="517"/>
      <c r="BJ124" s="517"/>
      <c r="BK124" s="517"/>
      <c r="BL124" s="517"/>
      <c r="BM124" s="517"/>
      <c r="BN124" s="517"/>
      <c r="BO124" s="517"/>
      <c r="BP124" s="517"/>
      <c r="BQ124" s="517"/>
      <c r="BR124" s="517"/>
      <c r="BS124" s="517"/>
      <c r="BT124" s="517"/>
      <c r="BU124" s="517"/>
      <c r="BV124" s="517"/>
      <c r="BW124" s="517"/>
      <c r="BX124" s="517"/>
      <c r="BY124" s="517"/>
      <c r="BZ124" s="517"/>
      <c r="CA124" s="517"/>
      <c r="CB124" s="517"/>
      <c r="CC124" s="517"/>
      <c r="CD124" s="517"/>
      <c r="CE124" s="517"/>
      <c r="CF124" s="517"/>
      <c r="CG124" s="517"/>
      <c r="CH124" s="517"/>
      <c r="CI124" s="517"/>
      <c r="CJ124" s="517"/>
      <c r="CK124" s="517"/>
      <c r="CL124" s="517"/>
      <c r="CM124" s="517"/>
      <c r="CN124" s="517"/>
      <c r="CO124" s="517"/>
      <c r="CP124" s="517"/>
      <c r="CQ124" s="517"/>
      <c r="CR124" s="517"/>
      <c r="CS124" s="517"/>
      <c r="CT124" s="517"/>
      <c r="CU124" s="517"/>
      <c r="CV124" s="517"/>
      <c r="CW124" s="517"/>
      <c r="CX124" s="517"/>
      <c r="CY124" s="517"/>
      <c r="CZ124" s="517"/>
      <c r="DA124" s="517"/>
      <c r="DB124" s="517"/>
      <c r="DC124" s="517"/>
      <c r="DD124" s="517"/>
      <c r="DE124" s="517"/>
      <c r="DF124" s="517"/>
      <c r="DG124" s="517"/>
      <c r="DH124" s="517"/>
      <c r="DI124" s="517"/>
      <c r="DJ124" s="517"/>
      <c r="DK124" s="517"/>
      <c r="DL124" s="517"/>
      <c r="DM124" s="517"/>
      <c r="DN124" s="517"/>
      <c r="DO124" s="517"/>
      <c r="DP124" s="517"/>
      <c r="DQ124" s="517"/>
      <c r="DR124" s="517"/>
      <c r="DS124" s="517"/>
      <c r="DT124" s="517"/>
      <c r="DU124" s="517"/>
      <c r="DV124" s="517"/>
      <c r="DW124" s="517"/>
      <c r="DX124" s="517"/>
      <c r="DY124" s="517"/>
      <c r="DZ124" s="517"/>
      <c r="EA124" s="517"/>
      <c r="EB124" s="517"/>
      <c r="EC124" s="517"/>
      <c r="ED124" s="517"/>
      <c r="EE124" s="517"/>
      <c r="EF124" s="517"/>
      <c r="EG124" s="517"/>
      <c r="EH124" s="517"/>
      <c r="EI124" s="517"/>
      <c r="EJ124" s="517"/>
      <c r="EK124" s="517"/>
      <c r="EL124" s="517"/>
      <c r="EM124" s="517"/>
      <c r="EN124" s="517"/>
      <c r="EO124" s="517"/>
      <c r="EP124" s="517"/>
      <c r="EQ124" s="517"/>
      <c r="ER124" s="517"/>
      <c r="ES124" s="627" t="s">
        <v>1140</v>
      </c>
    </row>
    <row r="125">
      <c r="A125" s="517"/>
      <c r="B125" s="517"/>
      <c r="C125" s="517"/>
      <c r="D125" s="517"/>
      <c r="E125" s="517"/>
      <c r="F125" s="517"/>
      <c r="G125" s="517"/>
      <c r="H125" s="517"/>
      <c r="I125" s="517"/>
      <c r="J125" s="517"/>
      <c r="K125" s="517"/>
      <c r="L125" s="517"/>
      <c r="M125" s="517"/>
      <c r="N125" s="517"/>
      <c r="O125" s="517"/>
      <c r="P125" s="517"/>
      <c r="Q125" s="517"/>
      <c r="R125" s="517"/>
      <c r="S125" s="517"/>
      <c r="T125" s="517"/>
      <c r="U125" s="517"/>
      <c r="V125" s="517"/>
      <c r="W125" s="517"/>
      <c r="X125" s="517"/>
      <c r="Y125" s="517"/>
      <c r="Z125" s="517"/>
      <c r="AA125" s="517"/>
      <c r="AB125" s="517"/>
      <c r="AC125" s="517"/>
      <c r="AD125" s="517"/>
      <c r="AE125" s="517"/>
      <c r="AF125" s="517"/>
      <c r="AG125" s="517"/>
      <c r="AH125" s="517"/>
      <c r="AI125" s="517"/>
      <c r="AJ125" s="517"/>
      <c r="AK125" s="517"/>
      <c r="AL125" s="517"/>
      <c r="AM125" s="517"/>
      <c r="AN125" s="517"/>
      <c r="AO125" s="517"/>
      <c r="AP125" s="517"/>
      <c r="AQ125" s="517"/>
      <c r="AR125" s="517"/>
      <c r="AS125" s="517"/>
      <c r="AT125" s="517"/>
      <c r="AU125" s="517"/>
      <c r="AV125" s="517"/>
      <c r="AW125" s="517"/>
      <c r="AX125" s="517"/>
      <c r="AY125" s="517"/>
      <c r="AZ125" s="517"/>
      <c r="BA125" s="517"/>
      <c r="BB125" s="517"/>
      <c r="BC125" s="517"/>
      <c r="BD125" s="517"/>
      <c r="BE125" s="517"/>
      <c r="BF125" s="517"/>
      <c r="BG125" s="517"/>
      <c r="BH125" s="517"/>
      <c r="BI125" s="517"/>
      <c r="BJ125" s="517"/>
      <c r="BK125" s="517"/>
      <c r="BL125" s="517"/>
      <c r="BM125" s="517"/>
      <c r="BN125" s="517"/>
      <c r="BO125" s="517"/>
      <c r="BP125" s="517"/>
      <c r="BQ125" s="517"/>
      <c r="BR125" s="517"/>
      <c r="BS125" s="517"/>
      <c r="BT125" s="517"/>
      <c r="BU125" s="517"/>
      <c r="BV125" s="517"/>
      <c r="BW125" s="517"/>
      <c r="BX125" s="517"/>
      <c r="BY125" s="517"/>
      <c r="BZ125" s="517"/>
      <c r="CA125" s="517"/>
      <c r="CB125" s="517"/>
      <c r="CC125" s="517"/>
      <c r="CD125" s="517"/>
      <c r="CE125" s="517"/>
      <c r="CF125" s="517"/>
      <c r="CG125" s="517"/>
      <c r="CH125" s="517"/>
      <c r="CI125" s="517"/>
      <c r="CJ125" s="517"/>
      <c r="CK125" s="517"/>
      <c r="CL125" s="517"/>
      <c r="CM125" s="517"/>
      <c r="CN125" s="517"/>
      <c r="CO125" s="517"/>
      <c r="CP125" s="517"/>
      <c r="CQ125" s="517"/>
      <c r="CR125" s="517"/>
      <c r="CS125" s="517"/>
      <c r="CT125" s="517"/>
      <c r="CU125" s="517"/>
      <c r="CV125" s="517"/>
      <c r="CW125" s="517"/>
      <c r="CX125" s="517"/>
      <c r="CY125" s="517"/>
      <c r="CZ125" s="517"/>
      <c r="DA125" s="517"/>
      <c r="DB125" s="517"/>
      <c r="DC125" s="517"/>
      <c r="DD125" s="517"/>
      <c r="DE125" s="517"/>
      <c r="DF125" s="517"/>
      <c r="DG125" s="517"/>
      <c r="DH125" s="517"/>
      <c r="DI125" s="517"/>
      <c r="DJ125" s="517"/>
      <c r="DK125" s="517"/>
      <c r="DL125" s="517"/>
      <c r="DM125" s="517"/>
      <c r="DN125" s="517"/>
      <c r="DO125" s="517"/>
      <c r="DP125" s="517"/>
      <c r="DQ125" s="517"/>
      <c r="DR125" s="517"/>
      <c r="DS125" s="517"/>
      <c r="DT125" s="517"/>
      <c r="DU125" s="517"/>
      <c r="DV125" s="517"/>
      <c r="DW125" s="517"/>
      <c r="DX125" s="517"/>
      <c r="DY125" s="517"/>
      <c r="DZ125" s="517"/>
      <c r="EA125" s="517"/>
      <c r="EB125" s="517"/>
      <c r="EC125" s="517"/>
      <c r="ED125" s="517"/>
      <c r="EE125" s="517"/>
      <c r="EF125" s="517"/>
      <c r="EG125" s="517"/>
      <c r="EH125" s="517"/>
      <c r="EI125" s="517"/>
      <c r="EJ125" s="517"/>
      <c r="EK125" s="517"/>
      <c r="EL125" s="517"/>
      <c r="EM125" s="517"/>
      <c r="EN125" s="517"/>
      <c r="EO125" s="517"/>
      <c r="EP125" s="517"/>
      <c r="EQ125" s="517"/>
      <c r="ER125" s="517"/>
      <c r="ES125" s="627" t="s">
        <v>1140</v>
      </c>
    </row>
    <row r="126">
      <c r="A126" s="517"/>
      <c r="B126" s="517"/>
      <c r="C126" s="517"/>
      <c r="D126" s="517"/>
      <c r="E126" s="517"/>
      <c r="F126" s="517"/>
      <c r="G126" s="517"/>
      <c r="H126" s="517"/>
      <c r="I126" s="517"/>
      <c r="J126" s="517"/>
      <c r="K126" s="517"/>
      <c r="L126" s="517"/>
      <c r="M126" s="517"/>
      <c r="N126" s="517"/>
      <c r="O126" s="517"/>
      <c r="P126" s="517"/>
      <c r="Q126" s="517"/>
      <c r="R126" s="517"/>
      <c r="S126" s="517"/>
      <c r="T126" s="517"/>
      <c r="U126" s="517"/>
      <c r="V126" s="517"/>
      <c r="W126" s="517"/>
      <c r="X126" s="517"/>
      <c r="Y126" s="517"/>
      <c r="Z126" s="517"/>
      <c r="AA126" s="517"/>
      <c r="AB126" s="517"/>
      <c r="AC126" s="517"/>
      <c r="AD126" s="517"/>
      <c r="AE126" s="517"/>
      <c r="AF126" s="517"/>
      <c r="AG126" s="517"/>
      <c r="AH126" s="517"/>
      <c r="AI126" s="517"/>
      <c r="AJ126" s="517"/>
      <c r="AK126" s="517"/>
      <c r="AL126" s="517"/>
      <c r="AM126" s="517"/>
      <c r="AN126" s="517"/>
      <c r="AO126" s="517"/>
      <c r="AP126" s="517"/>
      <c r="AQ126" s="517"/>
      <c r="AR126" s="517"/>
      <c r="AS126" s="517"/>
      <c r="AT126" s="517"/>
      <c r="AU126" s="517"/>
      <c r="AV126" s="517"/>
      <c r="AW126" s="517"/>
      <c r="AX126" s="517"/>
      <c r="AY126" s="517"/>
      <c r="AZ126" s="517"/>
      <c r="BA126" s="517"/>
      <c r="BB126" s="517"/>
      <c r="BC126" s="517"/>
      <c r="BD126" s="517"/>
      <c r="BE126" s="517"/>
      <c r="BF126" s="517"/>
      <c r="BG126" s="517"/>
      <c r="BH126" s="517"/>
      <c r="BI126" s="517"/>
      <c r="BJ126" s="517"/>
      <c r="BK126" s="517"/>
      <c r="BL126" s="517"/>
      <c r="BM126" s="517"/>
      <c r="BN126" s="517"/>
      <c r="BO126" s="517"/>
      <c r="BP126" s="517"/>
      <c r="BQ126" s="517"/>
      <c r="BR126" s="517"/>
      <c r="BS126" s="517"/>
      <c r="BT126" s="517"/>
      <c r="BU126" s="517"/>
      <c r="BV126" s="517"/>
      <c r="BW126" s="517"/>
      <c r="BX126" s="517"/>
      <c r="BY126" s="517"/>
      <c r="BZ126" s="517"/>
      <c r="CA126" s="517"/>
      <c r="CB126" s="517"/>
      <c r="CC126" s="517"/>
      <c r="CD126" s="517"/>
      <c r="CE126" s="517"/>
      <c r="CF126" s="517"/>
      <c r="CG126" s="517"/>
      <c r="CH126" s="517"/>
      <c r="CI126" s="517"/>
      <c r="CJ126" s="517"/>
      <c r="CK126" s="517"/>
      <c r="CL126" s="517"/>
      <c r="CM126" s="517"/>
      <c r="CN126" s="517"/>
      <c r="CO126" s="517"/>
      <c r="CP126" s="517"/>
      <c r="CQ126" s="517"/>
      <c r="CR126" s="517"/>
      <c r="CS126" s="517"/>
      <c r="CT126" s="517"/>
      <c r="CU126" s="517"/>
      <c r="CV126" s="517"/>
      <c r="CW126" s="517"/>
      <c r="CX126" s="517"/>
      <c r="CY126" s="517"/>
      <c r="CZ126" s="517"/>
      <c r="DA126" s="517"/>
      <c r="DB126" s="517"/>
      <c r="DC126" s="517"/>
      <c r="DD126" s="517"/>
      <c r="DE126" s="517"/>
      <c r="DF126" s="517"/>
      <c r="DG126" s="517"/>
      <c r="DH126" s="517"/>
      <c r="DI126" s="517"/>
      <c r="DJ126" s="517"/>
      <c r="DK126" s="517"/>
      <c r="DL126" s="517"/>
      <c r="DM126" s="517"/>
      <c r="DN126" s="517"/>
      <c r="DO126" s="517"/>
      <c r="DP126" s="517"/>
      <c r="DQ126" s="517"/>
      <c r="DR126" s="517"/>
      <c r="DS126" s="517"/>
      <c r="DT126" s="517"/>
      <c r="DU126" s="517"/>
      <c r="DV126" s="517"/>
      <c r="DW126" s="517"/>
      <c r="DX126" s="517"/>
      <c r="DY126" s="517"/>
      <c r="DZ126" s="517"/>
      <c r="EA126" s="517"/>
      <c r="EB126" s="517"/>
      <c r="EC126" s="517"/>
      <c r="ED126" s="517"/>
      <c r="EE126" s="517"/>
      <c r="EF126" s="517"/>
      <c r="EG126" s="517"/>
      <c r="EH126" s="517"/>
      <c r="EI126" s="517"/>
      <c r="EJ126" s="517"/>
      <c r="EK126" s="517"/>
      <c r="EL126" s="517"/>
      <c r="EM126" s="517"/>
      <c r="EN126" s="517"/>
      <c r="EO126" s="517"/>
      <c r="EP126" s="517"/>
      <c r="EQ126" s="517"/>
      <c r="ER126" s="517"/>
      <c r="ES126" s="627" t="s">
        <v>1140</v>
      </c>
    </row>
    <row r="127">
      <c r="A127" s="517"/>
      <c r="B127" s="517"/>
      <c r="C127" s="517"/>
      <c r="D127" s="517"/>
      <c r="E127" s="517"/>
      <c r="F127" s="517"/>
      <c r="G127" s="517"/>
      <c r="H127" s="517"/>
      <c r="I127" s="517"/>
      <c r="J127" s="517"/>
      <c r="K127" s="517"/>
      <c r="L127" s="517"/>
      <c r="M127" s="517"/>
      <c r="N127" s="517"/>
      <c r="O127" s="517"/>
      <c r="P127" s="517"/>
      <c r="Q127" s="517"/>
      <c r="R127" s="517"/>
      <c r="S127" s="517"/>
      <c r="T127" s="517"/>
      <c r="U127" s="517"/>
      <c r="V127" s="517"/>
      <c r="W127" s="517"/>
      <c r="X127" s="517"/>
      <c r="Y127" s="517"/>
      <c r="Z127" s="517"/>
      <c r="AA127" s="517"/>
      <c r="AB127" s="517"/>
      <c r="AC127" s="517"/>
      <c r="AD127" s="517"/>
      <c r="AE127" s="517"/>
      <c r="AF127" s="517"/>
      <c r="AG127" s="517"/>
      <c r="AH127" s="517"/>
      <c r="AI127" s="517"/>
      <c r="AJ127" s="517"/>
      <c r="AK127" s="517"/>
      <c r="AL127" s="517"/>
      <c r="AM127" s="517"/>
      <c r="AN127" s="517"/>
      <c r="AO127" s="517"/>
      <c r="AP127" s="517"/>
      <c r="AQ127" s="517"/>
      <c r="AR127" s="517"/>
      <c r="AS127" s="517"/>
      <c r="AT127" s="517"/>
      <c r="AU127" s="517"/>
      <c r="AV127" s="517"/>
      <c r="AW127" s="517"/>
      <c r="AX127" s="517"/>
      <c r="AY127" s="517"/>
      <c r="AZ127" s="517"/>
      <c r="BA127" s="517"/>
      <c r="BB127" s="517"/>
      <c r="BC127" s="517"/>
      <c r="BD127" s="517"/>
      <c r="BE127" s="517"/>
      <c r="BF127" s="517"/>
      <c r="BG127" s="517"/>
      <c r="BH127" s="517"/>
      <c r="BI127" s="517"/>
      <c r="BJ127" s="517"/>
      <c r="BK127" s="517"/>
      <c r="BL127" s="517"/>
      <c r="BM127" s="517"/>
      <c r="BN127" s="517"/>
      <c r="BO127" s="517"/>
      <c r="BP127" s="517"/>
      <c r="BQ127" s="517"/>
      <c r="BR127" s="517"/>
      <c r="BS127" s="517"/>
      <c r="BT127" s="517"/>
      <c r="BU127" s="517"/>
      <c r="BV127" s="517"/>
      <c r="BW127" s="517"/>
      <c r="BX127" s="517"/>
      <c r="BY127" s="517"/>
      <c r="BZ127" s="517"/>
      <c r="CA127" s="517"/>
      <c r="CB127" s="517"/>
      <c r="CC127" s="517"/>
      <c r="CD127" s="517"/>
      <c r="CE127" s="517"/>
      <c r="CF127" s="517"/>
      <c r="CG127" s="517"/>
      <c r="CH127" s="517"/>
      <c r="CI127" s="517"/>
      <c r="CJ127" s="517"/>
      <c r="CK127" s="517"/>
      <c r="CL127" s="517"/>
      <c r="CM127" s="517"/>
      <c r="CN127" s="517"/>
      <c r="CO127" s="517"/>
      <c r="CP127" s="517"/>
      <c r="CQ127" s="517"/>
      <c r="CR127" s="517"/>
      <c r="CS127" s="517"/>
      <c r="CT127" s="517"/>
      <c r="CU127" s="517"/>
      <c r="CV127" s="517"/>
      <c r="CW127" s="517"/>
      <c r="CX127" s="517"/>
      <c r="CY127" s="517"/>
      <c r="CZ127" s="517"/>
      <c r="DA127" s="517"/>
      <c r="DB127" s="517"/>
      <c r="DC127" s="517"/>
      <c r="DD127" s="517"/>
      <c r="DE127" s="517"/>
      <c r="DF127" s="517"/>
      <c r="DG127" s="517"/>
      <c r="DH127" s="517"/>
      <c r="DI127" s="517"/>
      <c r="DJ127" s="517"/>
      <c r="DK127" s="517"/>
      <c r="DL127" s="517"/>
      <c r="DM127" s="517"/>
      <c r="DN127" s="517"/>
      <c r="DO127" s="517"/>
      <c r="DP127" s="517"/>
      <c r="DQ127" s="517"/>
      <c r="DR127" s="517"/>
      <c r="DS127" s="517"/>
      <c r="DT127" s="517"/>
      <c r="DU127" s="517"/>
      <c r="DV127" s="517"/>
      <c r="DW127" s="517"/>
      <c r="DX127" s="517"/>
      <c r="DY127" s="517"/>
      <c r="DZ127" s="517"/>
      <c r="EA127" s="517"/>
      <c r="EB127" s="517"/>
      <c r="EC127" s="517"/>
      <c r="ED127" s="517"/>
      <c r="EE127" s="517"/>
      <c r="EF127" s="517"/>
      <c r="EG127" s="517"/>
      <c r="EH127" s="517"/>
      <c r="EI127" s="517"/>
      <c r="EJ127" s="517"/>
      <c r="EK127" s="517"/>
      <c r="EL127" s="517"/>
      <c r="EM127" s="517"/>
      <c r="EN127" s="517"/>
      <c r="EO127" s="517"/>
      <c r="EP127" s="517"/>
      <c r="EQ127" s="517"/>
      <c r="ER127" s="517"/>
      <c r="ES127" s="627" t="s">
        <v>1140</v>
      </c>
    </row>
    <row r="128">
      <c r="A128" s="517"/>
      <c r="B128" s="517"/>
      <c r="C128" s="517"/>
      <c r="D128" s="517"/>
      <c r="E128" s="517"/>
      <c r="F128" s="517"/>
      <c r="G128" s="517"/>
      <c r="H128" s="517"/>
      <c r="I128" s="517"/>
      <c r="J128" s="517"/>
      <c r="K128" s="517"/>
      <c r="L128" s="517"/>
      <c r="M128" s="517"/>
      <c r="N128" s="517"/>
      <c r="O128" s="517"/>
      <c r="P128" s="517"/>
      <c r="Q128" s="517"/>
      <c r="R128" s="517"/>
      <c r="S128" s="517"/>
      <c r="T128" s="517"/>
      <c r="U128" s="517"/>
      <c r="V128" s="517"/>
      <c r="W128" s="517"/>
      <c r="X128" s="517"/>
      <c r="Y128" s="517"/>
      <c r="Z128" s="517"/>
      <c r="AA128" s="517"/>
      <c r="AB128" s="517"/>
      <c r="AC128" s="517"/>
      <c r="AD128" s="517"/>
      <c r="AE128" s="517"/>
      <c r="AF128" s="517"/>
      <c r="AG128" s="517"/>
      <c r="AH128" s="517"/>
      <c r="AI128" s="517"/>
      <c r="AJ128" s="517"/>
      <c r="AK128" s="517"/>
      <c r="AL128" s="517"/>
      <c r="AM128" s="517"/>
      <c r="AN128" s="517"/>
      <c r="AO128" s="517"/>
      <c r="AP128" s="517"/>
      <c r="AQ128" s="517"/>
      <c r="AR128" s="517"/>
      <c r="AS128" s="517"/>
      <c r="AT128" s="517"/>
      <c r="AU128" s="517"/>
      <c r="AV128" s="517"/>
      <c r="AW128" s="517"/>
      <c r="AX128" s="517"/>
      <c r="AY128" s="517"/>
      <c r="AZ128" s="517"/>
      <c r="BA128" s="517"/>
      <c r="BB128" s="517"/>
      <c r="BC128" s="517"/>
      <c r="BD128" s="517"/>
      <c r="BE128" s="517"/>
      <c r="BF128" s="517"/>
      <c r="BG128" s="517"/>
      <c r="BH128" s="517"/>
      <c r="BI128" s="517"/>
      <c r="BJ128" s="517"/>
      <c r="BK128" s="517"/>
      <c r="BL128" s="517"/>
      <c r="BM128" s="517"/>
      <c r="BN128" s="517"/>
      <c r="BO128" s="517"/>
      <c r="BP128" s="517"/>
      <c r="BQ128" s="517"/>
      <c r="BR128" s="517"/>
      <c r="BS128" s="517"/>
      <c r="BT128" s="517"/>
      <c r="BU128" s="517"/>
      <c r="BV128" s="517"/>
      <c r="BW128" s="517"/>
      <c r="BX128" s="517"/>
      <c r="BY128" s="517"/>
      <c r="BZ128" s="517"/>
      <c r="CA128" s="517"/>
      <c r="CB128" s="517"/>
      <c r="CC128" s="517"/>
      <c r="CD128" s="517"/>
      <c r="CE128" s="517"/>
      <c r="CF128" s="517"/>
      <c r="CG128" s="517"/>
      <c r="CH128" s="517"/>
      <c r="CI128" s="517"/>
      <c r="CJ128" s="517"/>
      <c r="CK128" s="517"/>
      <c r="CL128" s="517"/>
      <c r="CM128" s="517"/>
      <c r="CN128" s="517"/>
      <c r="CO128" s="517"/>
      <c r="CP128" s="517"/>
      <c r="CQ128" s="517"/>
      <c r="CR128" s="517"/>
      <c r="CS128" s="517"/>
      <c r="CT128" s="517"/>
      <c r="CU128" s="517"/>
      <c r="CV128" s="517"/>
      <c r="CW128" s="517"/>
      <c r="CX128" s="517"/>
      <c r="CY128" s="517"/>
      <c r="CZ128" s="517"/>
      <c r="DA128" s="517"/>
      <c r="DB128" s="517"/>
      <c r="DC128" s="517"/>
      <c r="DD128" s="517"/>
      <c r="DE128" s="517"/>
      <c r="DF128" s="517"/>
      <c r="DG128" s="517"/>
      <c r="DH128" s="517"/>
      <c r="DI128" s="517"/>
      <c r="DJ128" s="517"/>
      <c r="DK128" s="517"/>
      <c r="DL128" s="517"/>
      <c r="DM128" s="517"/>
      <c r="DN128" s="517"/>
      <c r="DO128" s="517"/>
      <c r="DP128" s="517"/>
      <c r="DQ128" s="517"/>
      <c r="DR128" s="517"/>
      <c r="DS128" s="517"/>
      <c r="DT128" s="517"/>
      <c r="DU128" s="517"/>
      <c r="DV128" s="517"/>
      <c r="DW128" s="517"/>
      <c r="DX128" s="517"/>
      <c r="DY128" s="517"/>
      <c r="DZ128" s="517"/>
      <c r="EA128" s="517"/>
      <c r="EB128" s="517"/>
      <c r="EC128" s="517"/>
      <c r="ED128" s="517"/>
      <c r="EE128" s="517"/>
      <c r="EF128" s="517"/>
      <c r="EG128" s="517"/>
      <c r="EH128" s="517"/>
      <c r="EI128" s="517"/>
      <c r="EJ128" s="517"/>
      <c r="EK128" s="517"/>
      <c r="EL128" s="517"/>
      <c r="EM128" s="517"/>
      <c r="EN128" s="517"/>
      <c r="EO128" s="517"/>
      <c r="EP128" s="517"/>
      <c r="EQ128" s="517"/>
      <c r="ER128" s="517"/>
      <c r="ES128" s="627" t="s">
        <v>1140</v>
      </c>
    </row>
    <row r="129">
      <c r="A129" s="517"/>
      <c r="B129" s="517"/>
      <c r="C129" s="517"/>
      <c r="D129" s="517"/>
      <c r="E129" s="517"/>
      <c r="F129" s="517"/>
      <c r="G129" s="517"/>
      <c r="H129" s="517"/>
      <c r="I129" s="517"/>
      <c r="J129" s="517"/>
      <c r="K129" s="517"/>
      <c r="L129" s="517"/>
      <c r="M129" s="517"/>
      <c r="N129" s="517"/>
      <c r="O129" s="517"/>
      <c r="P129" s="517"/>
      <c r="Q129" s="517"/>
      <c r="R129" s="517"/>
      <c r="S129" s="517"/>
      <c r="T129" s="517"/>
      <c r="U129" s="517"/>
      <c r="V129" s="517"/>
      <c r="W129" s="517"/>
      <c r="X129" s="517"/>
      <c r="Y129" s="517"/>
      <c r="Z129" s="517"/>
      <c r="AA129" s="517"/>
      <c r="AB129" s="517"/>
      <c r="AC129" s="517"/>
      <c r="AD129" s="517"/>
      <c r="AE129" s="517"/>
      <c r="AF129" s="517"/>
      <c r="AG129" s="517"/>
      <c r="AH129" s="517"/>
      <c r="AI129" s="517"/>
      <c r="AJ129" s="517"/>
      <c r="AK129" s="517"/>
      <c r="AL129" s="517"/>
      <c r="AM129" s="517"/>
      <c r="AN129" s="517"/>
      <c r="AO129" s="517"/>
      <c r="AP129" s="517"/>
      <c r="AQ129" s="517"/>
      <c r="AR129" s="517"/>
      <c r="AS129" s="517"/>
      <c r="AT129" s="517"/>
      <c r="AU129" s="517"/>
      <c r="AV129" s="517"/>
      <c r="AW129" s="517"/>
      <c r="AX129" s="517"/>
      <c r="AY129" s="517"/>
      <c r="AZ129" s="517"/>
      <c r="BA129" s="517"/>
      <c r="BB129" s="517"/>
      <c r="BC129" s="517"/>
      <c r="BD129" s="517"/>
      <c r="BE129" s="517"/>
      <c r="BF129" s="517"/>
      <c r="BG129" s="517"/>
      <c r="BH129" s="517"/>
      <c r="BI129" s="517"/>
      <c r="BJ129" s="517"/>
      <c r="BK129" s="517"/>
      <c r="BL129" s="517"/>
      <c r="BM129" s="517"/>
      <c r="BN129" s="517"/>
      <c r="BO129" s="517"/>
      <c r="BP129" s="517"/>
      <c r="BQ129" s="517"/>
      <c r="BR129" s="517"/>
      <c r="BS129" s="517"/>
      <c r="BT129" s="517"/>
      <c r="BU129" s="517"/>
      <c r="BV129" s="517"/>
      <c r="BW129" s="517"/>
      <c r="BX129" s="517"/>
      <c r="BY129" s="517"/>
      <c r="BZ129" s="517"/>
      <c r="CA129" s="517"/>
      <c r="CB129" s="517"/>
      <c r="CC129" s="517"/>
      <c r="CD129" s="517"/>
      <c r="CE129" s="517"/>
      <c r="CF129" s="517"/>
      <c r="CG129" s="517"/>
      <c r="CH129" s="517"/>
      <c r="CI129" s="517"/>
      <c r="CJ129" s="517"/>
      <c r="CK129" s="517"/>
      <c r="CL129" s="517"/>
      <c r="CM129" s="517"/>
      <c r="CN129" s="517"/>
      <c r="CO129" s="517"/>
      <c r="CP129" s="517"/>
      <c r="CQ129" s="517"/>
      <c r="CR129" s="517"/>
      <c r="CS129" s="517"/>
      <c r="CT129" s="517"/>
      <c r="CU129" s="517"/>
      <c r="CV129" s="517"/>
      <c r="CW129" s="517"/>
      <c r="CX129" s="517"/>
      <c r="CY129" s="517"/>
      <c r="CZ129" s="517"/>
      <c r="DA129" s="517"/>
      <c r="DB129" s="517"/>
      <c r="DC129" s="517"/>
      <c r="DD129" s="517"/>
      <c r="DE129" s="517"/>
      <c r="DF129" s="517"/>
      <c r="DG129" s="517"/>
      <c r="DH129" s="517"/>
      <c r="DI129" s="517"/>
      <c r="DJ129" s="517"/>
      <c r="DK129" s="517"/>
      <c r="DL129" s="517"/>
      <c r="DM129" s="517"/>
      <c r="DN129" s="517"/>
      <c r="DO129" s="517"/>
      <c r="DP129" s="517"/>
      <c r="DQ129" s="517"/>
      <c r="DR129" s="517"/>
      <c r="DS129" s="517"/>
      <c r="DT129" s="517"/>
      <c r="DU129" s="517"/>
      <c r="DV129" s="517"/>
      <c r="DW129" s="517"/>
      <c r="DX129" s="517"/>
      <c r="DY129" s="517"/>
      <c r="DZ129" s="517"/>
      <c r="EA129" s="517"/>
      <c r="EB129" s="517"/>
      <c r="EC129" s="517"/>
      <c r="ED129" s="517"/>
      <c r="EE129" s="517"/>
      <c r="EF129" s="517"/>
      <c r="EG129" s="517"/>
      <c r="EH129" s="517"/>
      <c r="EI129" s="517"/>
      <c r="EJ129" s="517"/>
      <c r="EK129" s="517"/>
      <c r="EL129" s="517"/>
      <c r="EM129" s="517"/>
      <c r="EN129" s="517"/>
      <c r="EO129" s="517"/>
      <c r="EP129" s="517"/>
      <c r="EQ129" s="517"/>
      <c r="ER129" s="517"/>
      <c r="ES129" s="627" t="s">
        <v>1140</v>
      </c>
    </row>
    <row r="130">
      <c r="A130" s="517"/>
      <c r="B130" s="517"/>
      <c r="C130" s="517"/>
      <c r="D130" s="517"/>
      <c r="E130" s="517"/>
      <c r="F130" s="517"/>
      <c r="G130" s="517"/>
      <c r="H130" s="517"/>
      <c r="I130" s="517"/>
      <c r="J130" s="517"/>
      <c r="K130" s="517"/>
      <c r="L130" s="517"/>
      <c r="M130" s="517"/>
      <c r="N130" s="517"/>
      <c r="O130" s="517"/>
      <c r="P130" s="517"/>
      <c r="Q130" s="517"/>
      <c r="R130" s="517"/>
      <c r="S130" s="517"/>
      <c r="T130" s="517"/>
      <c r="U130" s="517"/>
      <c r="V130" s="517"/>
      <c r="W130" s="517"/>
      <c r="X130" s="517"/>
      <c r="Y130" s="517"/>
      <c r="Z130" s="517"/>
      <c r="AA130" s="517"/>
      <c r="AB130" s="517"/>
      <c r="AC130" s="517"/>
      <c r="AD130" s="517"/>
      <c r="AE130" s="517"/>
      <c r="AF130" s="517"/>
      <c r="AG130" s="517"/>
      <c r="AH130" s="517"/>
      <c r="AI130" s="517"/>
      <c r="AJ130" s="517"/>
      <c r="AK130" s="517"/>
      <c r="AL130" s="517"/>
      <c r="AM130" s="517"/>
      <c r="AN130" s="517"/>
      <c r="AO130" s="517"/>
      <c r="AP130" s="517"/>
      <c r="AQ130" s="517"/>
      <c r="AR130" s="517"/>
      <c r="AS130" s="517"/>
      <c r="AT130" s="517"/>
      <c r="AU130" s="517"/>
      <c r="AV130" s="517"/>
      <c r="AW130" s="517"/>
      <c r="AX130" s="517"/>
      <c r="AY130" s="517"/>
      <c r="AZ130" s="517"/>
      <c r="BA130" s="517"/>
      <c r="BB130" s="517"/>
      <c r="BC130" s="517"/>
      <c r="BD130" s="517"/>
      <c r="BE130" s="517"/>
      <c r="BF130" s="517"/>
      <c r="BG130" s="517"/>
      <c r="BH130" s="517"/>
      <c r="BI130" s="517"/>
      <c r="BJ130" s="517"/>
      <c r="BK130" s="517"/>
      <c r="BL130" s="517"/>
      <c r="BM130" s="517"/>
      <c r="BN130" s="517"/>
      <c r="BO130" s="517"/>
      <c r="BP130" s="517"/>
      <c r="BQ130" s="517"/>
      <c r="BR130" s="517"/>
      <c r="BS130" s="517"/>
      <c r="BT130" s="517"/>
      <c r="BU130" s="517"/>
      <c r="BV130" s="517"/>
      <c r="BW130" s="517"/>
      <c r="BX130" s="517"/>
      <c r="BY130" s="517"/>
      <c r="BZ130" s="517"/>
      <c r="CA130" s="517"/>
      <c r="CB130" s="517"/>
      <c r="CC130" s="517"/>
      <c r="CD130" s="517"/>
      <c r="CE130" s="517"/>
      <c r="CF130" s="517"/>
      <c r="CG130" s="517"/>
      <c r="CH130" s="517"/>
      <c r="CI130" s="517"/>
      <c r="CJ130" s="517"/>
      <c r="CK130" s="517"/>
      <c r="CL130" s="517"/>
      <c r="CM130" s="517"/>
      <c r="CN130" s="517"/>
      <c r="CO130" s="517"/>
      <c r="CP130" s="517"/>
      <c r="CQ130" s="517"/>
      <c r="CR130" s="517"/>
      <c r="CS130" s="517"/>
      <c r="CT130" s="517"/>
      <c r="CU130" s="517"/>
      <c r="CV130" s="517"/>
      <c r="CW130" s="517"/>
      <c r="CX130" s="517"/>
      <c r="CY130" s="517"/>
      <c r="CZ130" s="517"/>
      <c r="DA130" s="517"/>
      <c r="DB130" s="517"/>
      <c r="DC130" s="517"/>
      <c r="DD130" s="517"/>
      <c r="DE130" s="517"/>
      <c r="DF130" s="517"/>
      <c r="DG130" s="517"/>
      <c r="DH130" s="517"/>
      <c r="DI130" s="517"/>
      <c r="DJ130" s="517"/>
      <c r="DK130" s="517"/>
      <c r="DL130" s="517"/>
      <c r="DM130" s="517"/>
      <c r="DN130" s="517"/>
      <c r="DO130" s="517"/>
      <c r="DP130" s="517"/>
      <c r="DQ130" s="517"/>
      <c r="DR130" s="517"/>
      <c r="DS130" s="517"/>
      <c r="DT130" s="517"/>
      <c r="DU130" s="517"/>
      <c r="DV130" s="517"/>
      <c r="DW130" s="517"/>
      <c r="DX130" s="517"/>
      <c r="DY130" s="517"/>
      <c r="DZ130" s="517"/>
      <c r="EA130" s="517"/>
      <c r="EB130" s="517"/>
      <c r="EC130" s="517"/>
      <c r="ED130" s="517"/>
      <c r="EE130" s="517"/>
      <c r="EF130" s="517"/>
      <c r="EG130" s="517"/>
      <c r="EH130" s="517"/>
      <c r="EI130" s="517"/>
      <c r="EJ130" s="517"/>
      <c r="EK130" s="517"/>
      <c r="EL130" s="517"/>
      <c r="EM130" s="517"/>
      <c r="EN130" s="517"/>
      <c r="EO130" s="517"/>
      <c r="EP130" s="517"/>
      <c r="EQ130" s="517"/>
      <c r="ER130" s="517"/>
      <c r="ES130" s="627" t="s">
        <v>1140</v>
      </c>
    </row>
    <row r="131">
      <c r="A131" s="517"/>
      <c r="B131" s="517"/>
      <c r="C131" s="517"/>
      <c r="D131" s="517"/>
      <c r="E131" s="517"/>
      <c r="F131" s="517"/>
      <c r="G131" s="517"/>
      <c r="H131" s="517"/>
      <c r="I131" s="517"/>
      <c r="J131" s="517"/>
      <c r="K131" s="517"/>
      <c r="L131" s="517"/>
      <c r="M131" s="517"/>
      <c r="N131" s="517"/>
      <c r="O131" s="517"/>
      <c r="P131" s="517"/>
      <c r="Q131" s="517"/>
      <c r="R131" s="517"/>
      <c r="S131" s="517"/>
      <c r="T131" s="517"/>
      <c r="U131" s="517"/>
      <c r="V131" s="517"/>
      <c r="W131" s="517"/>
      <c r="X131" s="517"/>
      <c r="Y131" s="517"/>
      <c r="Z131" s="517"/>
      <c r="AA131" s="517"/>
      <c r="AB131" s="517"/>
      <c r="AC131" s="517"/>
      <c r="AD131" s="517"/>
      <c r="AE131" s="517"/>
      <c r="AF131" s="517"/>
      <c r="AG131" s="517"/>
      <c r="AH131" s="517"/>
      <c r="AI131" s="517"/>
      <c r="AJ131" s="517"/>
      <c r="AK131" s="517"/>
      <c r="AL131" s="517"/>
      <c r="AM131" s="517"/>
      <c r="AN131" s="517"/>
      <c r="AO131" s="517"/>
      <c r="AP131" s="517"/>
      <c r="AQ131" s="517"/>
      <c r="AR131" s="517"/>
      <c r="AS131" s="517"/>
      <c r="AT131" s="517"/>
      <c r="AU131" s="517"/>
      <c r="AV131" s="517"/>
      <c r="AW131" s="517"/>
      <c r="AX131" s="517"/>
      <c r="AY131" s="517"/>
      <c r="AZ131" s="517"/>
      <c r="BA131" s="517"/>
      <c r="BB131" s="517"/>
      <c r="BC131" s="517"/>
      <c r="BD131" s="517"/>
      <c r="BE131" s="517"/>
      <c r="BF131" s="517"/>
      <c r="BG131" s="517"/>
      <c r="BH131" s="517"/>
      <c r="BI131" s="517"/>
      <c r="BJ131" s="517"/>
      <c r="BK131" s="517"/>
      <c r="BL131" s="517"/>
      <c r="BM131" s="517"/>
      <c r="BN131" s="517"/>
      <c r="BO131" s="517"/>
      <c r="BP131" s="517"/>
      <c r="BQ131" s="517"/>
      <c r="BR131" s="517"/>
      <c r="BS131" s="517"/>
      <c r="BT131" s="517"/>
      <c r="BU131" s="517"/>
      <c r="BV131" s="517"/>
      <c r="BW131" s="517"/>
      <c r="BX131" s="517"/>
      <c r="BY131" s="517"/>
      <c r="BZ131" s="517"/>
      <c r="CA131" s="517"/>
      <c r="CB131" s="517"/>
      <c r="CC131" s="517"/>
      <c r="CD131" s="517"/>
      <c r="CE131" s="517"/>
      <c r="CF131" s="517"/>
      <c r="CG131" s="517"/>
      <c r="CH131" s="517"/>
      <c r="CI131" s="517"/>
      <c r="CJ131" s="517"/>
      <c r="CK131" s="517"/>
      <c r="CL131" s="517"/>
      <c r="CM131" s="517"/>
      <c r="CN131" s="517"/>
      <c r="CO131" s="517"/>
      <c r="CP131" s="517"/>
      <c r="CQ131" s="517"/>
      <c r="CR131" s="517"/>
      <c r="CS131" s="517"/>
      <c r="CT131" s="517"/>
      <c r="CU131" s="517"/>
      <c r="CV131" s="517"/>
      <c r="CW131" s="517"/>
      <c r="CX131" s="517"/>
      <c r="CY131" s="517"/>
      <c r="CZ131" s="517"/>
      <c r="DA131" s="517"/>
      <c r="DB131" s="517"/>
      <c r="DC131" s="517"/>
      <c r="DD131" s="517"/>
      <c r="DE131" s="517"/>
      <c r="DF131" s="517"/>
      <c r="DG131" s="517"/>
      <c r="DH131" s="517"/>
      <c r="DI131" s="517"/>
      <c r="DJ131" s="517"/>
      <c r="DK131" s="517"/>
      <c r="DL131" s="517"/>
      <c r="DM131" s="517"/>
      <c r="DN131" s="517"/>
      <c r="DO131" s="517"/>
      <c r="DP131" s="517"/>
      <c r="DQ131" s="517"/>
      <c r="DR131" s="517"/>
      <c r="DS131" s="517"/>
      <c r="DT131" s="517"/>
      <c r="DU131" s="517"/>
      <c r="DV131" s="517"/>
      <c r="DW131" s="517"/>
      <c r="DX131" s="517"/>
      <c r="DY131" s="517"/>
      <c r="DZ131" s="517"/>
      <c r="EA131" s="517"/>
      <c r="EB131" s="517"/>
      <c r="EC131" s="517"/>
      <c r="ED131" s="517"/>
      <c r="EE131" s="517"/>
      <c r="EF131" s="517"/>
      <c r="EG131" s="517"/>
      <c r="EH131" s="517"/>
      <c r="EI131" s="517"/>
      <c r="EJ131" s="517"/>
      <c r="EK131" s="517"/>
      <c r="EL131" s="517"/>
      <c r="EM131" s="517"/>
      <c r="EN131" s="517"/>
      <c r="EO131" s="517"/>
      <c r="EP131" s="517"/>
      <c r="EQ131" s="517"/>
      <c r="ER131" s="517"/>
      <c r="ES131" s="627" t="s">
        <v>1140</v>
      </c>
    </row>
    <row r="132">
      <c r="A132" s="517"/>
      <c r="B132" s="517"/>
      <c r="C132" s="517"/>
      <c r="D132" s="517"/>
      <c r="E132" s="517"/>
      <c r="F132" s="517"/>
      <c r="G132" s="517"/>
      <c r="H132" s="517"/>
      <c r="I132" s="517"/>
      <c r="J132" s="517"/>
      <c r="K132" s="517"/>
      <c r="L132" s="517"/>
      <c r="M132" s="517"/>
      <c r="N132" s="517"/>
      <c r="O132" s="517"/>
      <c r="P132" s="517"/>
      <c r="Q132" s="517"/>
      <c r="R132" s="517"/>
      <c r="S132" s="517"/>
      <c r="T132" s="517"/>
      <c r="U132" s="517"/>
      <c r="V132" s="517"/>
      <c r="W132" s="517"/>
      <c r="X132" s="517"/>
      <c r="Y132" s="517"/>
      <c r="Z132" s="517"/>
      <c r="AA132" s="517"/>
      <c r="AB132" s="517"/>
      <c r="AC132" s="517"/>
      <c r="AD132" s="517"/>
      <c r="AE132" s="517"/>
      <c r="AF132" s="517"/>
      <c r="AG132" s="517"/>
      <c r="AH132" s="517"/>
      <c r="AI132" s="517"/>
      <c r="AJ132" s="517"/>
      <c r="AK132" s="517"/>
      <c r="AL132" s="517"/>
      <c r="AM132" s="517"/>
      <c r="AN132" s="517"/>
      <c r="AO132" s="517"/>
      <c r="AP132" s="517"/>
      <c r="AQ132" s="517"/>
      <c r="AR132" s="517"/>
      <c r="AS132" s="517"/>
      <c r="AT132" s="517"/>
      <c r="AU132" s="517"/>
      <c r="AV132" s="517"/>
      <c r="AW132" s="517"/>
      <c r="AX132" s="517"/>
      <c r="AY132" s="517"/>
      <c r="AZ132" s="517"/>
      <c r="BA132" s="517"/>
      <c r="BB132" s="517"/>
      <c r="BC132" s="517"/>
      <c r="BD132" s="517"/>
      <c r="BE132" s="517"/>
      <c r="BF132" s="517"/>
      <c r="BG132" s="517"/>
      <c r="BH132" s="517"/>
      <c r="BI132" s="517"/>
      <c r="BJ132" s="517"/>
      <c r="BK132" s="517"/>
      <c r="BL132" s="517"/>
      <c r="BM132" s="517"/>
      <c r="BN132" s="517"/>
      <c r="BO132" s="517"/>
      <c r="BP132" s="517"/>
      <c r="BQ132" s="517"/>
      <c r="BR132" s="517"/>
      <c r="BS132" s="517"/>
      <c r="BT132" s="517"/>
      <c r="BU132" s="517"/>
      <c r="BV132" s="517"/>
      <c r="BW132" s="517"/>
      <c r="BX132" s="517"/>
      <c r="BY132" s="517"/>
      <c r="BZ132" s="517"/>
      <c r="CA132" s="517"/>
      <c r="CB132" s="517"/>
      <c r="CC132" s="517"/>
      <c r="CD132" s="517"/>
      <c r="CE132" s="517"/>
      <c r="CF132" s="517"/>
      <c r="CG132" s="517"/>
      <c r="CH132" s="517"/>
      <c r="CI132" s="517"/>
      <c r="CJ132" s="517"/>
      <c r="CK132" s="517"/>
      <c r="CL132" s="517"/>
      <c r="CM132" s="517"/>
      <c r="CN132" s="517"/>
      <c r="CO132" s="517"/>
      <c r="CP132" s="517"/>
      <c r="CQ132" s="517"/>
      <c r="CR132" s="517"/>
      <c r="CS132" s="517"/>
      <c r="CT132" s="517"/>
      <c r="CU132" s="517"/>
      <c r="CV132" s="517"/>
      <c r="CW132" s="517"/>
      <c r="CX132" s="517"/>
      <c r="CY132" s="517"/>
      <c r="CZ132" s="517"/>
      <c r="DA132" s="517"/>
      <c r="DB132" s="517"/>
      <c r="DC132" s="517"/>
      <c r="DD132" s="517"/>
      <c r="DE132" s="517"/>
      <c r="DF132" s="517"/>
      <c r="DG132" s="517"/>
      <c r="DH132" s="517"/>
      <c r="DI132" s="517"/>
      <c r="DJ132" s="517"/>
      <c r="DK132" s="517"/>
      <c r="DL132" s="517"/>
      <c r="DM132" s="517"/>
      <c r="DN132" s="517"/>
      <c r="DO132" s="517"/>
      <c r="DP132" s="517"/>
      <c r="DQ132" s="517"/>
      <c r="DR132" s="517"/>
      <c r="DS132" s="517"/>
      <c r="DT132" s="517"/>
      <c r="DU132" s="517"/>
      <c r="DV132" s="517"/>
      <c r="DW132" s="517"/>
      <c r="DX132" s="517"/>
      <c r="DY132" s="517"/>
      <c r="DZ132" s="517"/>
      <c r="EA132" s="517"/>
      <c r="EB132" s="517"/>
      <c r="EC132" s="517"/>
      <c r="ED132" s="517"/>
      <c r="EE132" s="517"/>
      <c r="EF132" s="517"/>
      <c r="EG132" s="517"/>
      <c r="EH132" s="517"/>
      <c r="EI132" s="517"/>
      <c r="EJ132" s="517"/>
      <c r="EK132" s="517"/>
      <c r="EL132" s="517"/>
      <c r="EM132" s="517"/>
      <c r="EN132" s="517"/>
      <c r="EO132" s="517"/>
      <c r="EP132" s="517"/>
      <c r="EQ132" s="517"/>
      <c r="ER132" s="517"/>
      <c r="ES132" s="627" t="s">
        <v>1140</v>
      </c>
    </row>
    <row r="133">
      <c r="A133" s="517"/>
      <c r="B133" s="517"/>
      <c r="C133" s="517"/>
      <c r="D133" s="517"/>
      <c r="E133" s="517"/>
      <c r="F133" s="517"/>
      <c r="G133" s="517"/>
      <c r="H133" s="517"/>
      <c r="I133" s="517"/>
      <c r="J133" s="517"/>
      <c r="K133" s="517"/>
      <c r="L133" s="517"/>
      <c r="M133" s="517"/>
      <c r="N133" s="517"/>
      <c r="O133" s="517"/>
      <c r="P133" s="517"/>
      <c r="Q133" s="517"/>
      <c r="R133" s="517"/>
      <c r="S133" s="517"/>
      <c r="T133" s="517"/>
      <c r="U133" s="517"/>
      <c r="V133" s="517"/>
      <c r="W133" s="517"/>
      <c r="X133" s="517"/>
      <c r="Y133" s="517"/>
      <c r="Z133" s="517"/>
      <c r="AA133" s="517"/>
      <c r="AB133" s="517"/>
      <c r="AC133" s="517"/>
      <c r="AD133" s="517"/>
      <c r="AE133" s="517"/>
      <c r="AF133" s="517"/>
      <c r="AG133" s="517"/>
      <c r="AH133" s="517"/>
      <c r="AI133" s="517"/>
      <c r="AJ133" s="517"/>
      <c r="AK133" s="517"/>
      <c r="AL133" s="517"/>
      <c r="AM133" s="517"/>
      <c r="AN133" s="517"/>
      <c r="AO133" s="517"/>
      <c r="AP133" s="517"/>
      <c r="AQ133" s="517"/>
      <c r="AR133" s="517"/>
      <c r="AS133" s="517"/>
      <c r="AT133" s="517"/>
      <c r="AU133" s="517"/>
      <c r="AV133" s="517"/>
      <c r="AW133" s="517"/>
      <c r="AX133" s="517"/>
      <c r="AY133" s="517"/>
      <c r="AZ133" s="517"/>
      <c r="BA133" s="517"/>
      <c r="BB133" s="517"/>
      <c r="BC133" s="517"/>
      <c r="BD133" s="517"/>
      <c r="BE133" s="517"/>
      <c r="BF133" s="517"/>
      <c r="BG133" s="517"/>
      <c r="BH133" s="517"/>
      <c r="BI133" s="517"/>
      <c r="BJ133" s="517"/>
      <c r="BK133" s="517"/>
      <c r="BL133" s="517"/>
      <c r="BM133" s="517"/>
      <c r="BN133" s="517"/>
      <c r="BO133" s="517"/>
      <c r="BP133" s="517"/>
      <c r="BQ133" s="517"/>
      <c r="BR133" s="517"/>
      <c r="BS133" s="517"/>
      <c r="BT133" s="517"/>
      <c r="BU133" s="517"/>
      <c r="BV133" s="517"/>
      <c r="BW133" s="517"/>
      <c r="BX133" s="517"/>
      <c r="BY133" s="517"/>
      <c r="BZ133" s="517"/>
      <c r="CA133" s="517"/>
      <c r="CB133" s="517"/>
      <c r="CC133" s="517"/>
      <c r="CD133" s="517"/>
      <c r="CE133" s="517"/>
      <c r="CF133" s="517"/>
      <c r="CG133" s="517"/>
      <c r="CH133" s="517"/>
      <c r="CI133" s="517"/>
      <c r="CJ133" s="517"/>
      <c r="CK133" s="517"/>
      <c r="CL133" s="517"/>
      <c r="CM133" s="517"/>
      <c r="CN133" s="517"/>
      <c r="CO133" s="517"/>
      <c r="CP133" s="517"/>
      <c r="CQ133" s="517"/>
      <c r="CR133" s="517"/>
      <c r="CS133" s="517"/>
      <c r="CT133" s="517"/>
      <c r="CU133" s="517"/>
      <c r="CV133" s="517"/>
      <c r="CW133" s="517"/>
      <c r="CX133" s="517"/>
      <c r="CY133" s="517"/>
      <c r="CZ133" s="517"/>
      <c r="DA133" s="517"/>
      <c r="DB133" s="517"/>
      <c r="DC133" s="517"/>
      <c r="DD133" s="517"/>
      <c r="DE133" s="517"/>
      <c r="DF133" s="517"/>
      <c r="DG133" s="517"/>
      <c r="DH133" s="517"/>
      <c r="DI133" s="517"/>
      <c r="DJ133" s="517"/>
      <c r="DK133" s="517"/>
      <c r="DL133" s="517"/>
      <c r="DM133" s="517"/>
      <c r="DN133" s="517"/>
      <c r="DO133" s="517"/>
      <c r="DP133" s="517"/>
      <c r="DQ133" s="517"/>
      <c r="DR133" s="517"/>
      <c r="DS133" s="517"/>
      <c r="DT133" s="517"/>
      <c r="DU133" s="517"/>
      <c r="DV133" s="517"/>
      <c r="DW133" s="517"/>
      <c r="DX133" s="517"/>
      <c r="DY133" s="517"/>
      <c r="DZ133" s="517"/>
      <c r="EA133" s="517"/>
      <c r="EB133" s="517"/>
      <c r="EC133" s="517"/>
      <c r="ED133" s="517"/>
      <c r="EE133" s="517"/>
      <c r="EF133" s="517"/>
      <c r="EG133" s="517"/>
      <c r="EH133" s="517"/>
      <c r="EI133" s="517"/>
      <c r="EJ133" s="517"/>
      <c r="EK133" s="517"/>
      <c r="EL133" s="517"/>
      <c r="EM133" s="517"/>
      <c r="EN133" s="517"/>
      <c r="EO133" s="517"/>
      <c r="EP133" s="517"/>
      <c r="EQ133" s="517"/>
      <c r="ER133" s="517"/>
      <c r="ES133" s="627" t="s">
        <v>1140</v>
      </c>
    </row>
    <row r="134">
      <c r="A134" s="517"/>
      <c r="B134" s="517"/>
      <c r="C134" s="517"/>
      <c r="D134" s="517"/>
      <c r="E134" s="517"/>
      <c r="F134" s="517"/>
      <c r="G134" s="517"/>
      <c r="H134" s="517"/>
      <c r="I134" s="517"/>
      <c r="J134" s="517"/>
      <c r="K134" s="517"/>
      <c r="L134" s="517"/>
      <c r="M134" s="517"/>
      <c r="N134" s="517"/>
      <c r="O134" s="517"/>
      <c r="P134" s="517"/>
      <c r="Q134" s="517"/>
      <c r="R134" s="517"/>
      <c r="S134" s="517"/>
      <c r="T134" s="517"/>
      <c r="U134" s="517"/>
      <c r="V134" s="517"/>
      <c r="W134" s="517"/>
      <c r="X134" s="517"/>
      <c r="Y134" s="517"/>
      <c r="Z134" s="517"/>
      <c r="AA134" s="517"/>
      <c r="AB134" s="517"/>
      <c r="AC134" s="517"/>
      <c r="AD134" s="517"/>
      <c r="AE134" s="517"/>
      <c r="AF134" s="517"/>
      <c r="AG134" s="517"/>
      <c r="AH134" s="517"/>
      <c r="AI134" s="517"/>
      <c r="AJ134" s="517"/>
      <c r="AK134" s="517"/>
      <c r="AL134" s="517"/>
      <c r="AM134" s="517"/>
      <c r="AN134" s="517"/>
      <c r="AO134" s="517"/>
      <c r="AP134" s="517"/>
      <c r="AQ134" s="517"/>
      <c r="AR134" s="517"/>
      <c r="AS134" s="517"/>
      <c r="AT134" s="517"/>
      <c r="AU134" s="517"/>
      <c r="AV134" s="517"/>
      <c r="AW134" s="517"/>
      <c r="AX134" s="517"/>
      <c r="AY134" s="517"/>
      <c r="AZ134" s="517"/>
      <c r="BA134" s="517"/>
      <c r="BB134" s="517"/>
      <c r="BC134" s="517"/>
      <c r="BD134" s="517"/>
      <c r="BE134" s="517"/>
      <c r="BF134" s="517"/>
      <c r="BG134" s="517"/>
      <c r="BH134" s="517"/>
      <c r="BI134" s="517"/>
      <c r="BJ134" s="517"/>
      <c r="BK134" s="517"/>
      <c r="BL134" s="517"/>
      <c r="BM134" s="517"/>
      <c r="BN134" s="517"/>
      <c r="BO134" s="517"/>
      <c r="BP134" s="517"/>
      <c r="BQ134" s="517"/>
      <c r="BR134" s="517"/>
      <c r="BS134" s="517"/>
      <c r="BT134" s="517"/>
      <c r="BU134" s="517"/>
      <c r="BV134" s="517"/>
      <c r="BW134" s="517"/>
      <c r="BX134" s="517"/>
      <c r="BY134" s="517"/>
      <c r="BZ134" s="517"/>
      <c r="CA134" s="517"/>
      <c r="CB134" s="517"/>
      <c r="CC134" s="517"/>
      <c r="CD134" s="517"/>
      <c r="CE134" s="517"/>
      <c r="CF134" s="517"/>
      <c r="CG134" s="517"/>
      <c r="CH134" s="517"/>
      <c r="CI134" s="517"/>
      <c r="CJ134" s="517"/>
      <c r="CK134" s="517"/>
      <c r="CL134" s="517"/>
      <c r="CM134" s="517"/>
      <c r="CN134" s="517"/>
      <c r="CO134" s="517"/>
      <c r="CP134" s="517"/>
      <c r="CQ134" s="517"/>
      <c r="CR134" s="517"/>
      <c r="CS134" s="517"/>
      <c r="CT134" s="517"/>
      <c r="CU134" s="517"/>
      <c r="CV134" s="517"/>
      <c r="CW134" s="517"/>
      <c r="CX134" s="517"/>
      <c r="CY134" s="517"/>
      <c r="CZ134" s="517"/>
      <c r="DA134" s="517"/>
      <c r="DB134" s="517"/>
      <c r="DC134" s="517"/>
      <c r="DD134" s="517"/>
      <c r="DE134" s="517"/>
      <c r="DF134" s="517"/>
      <c r="DG134" s="517"/>
      <c r="DH134" s="517"/>
      <c r="DI134" s="517"/>
      <c r="DJ134" s="517"/>
      <c r="DK134" s="517"/>
      <c r="DL134" s="517"/>
      <c r="DM134" s="517"/>
      <c r="DN134" s="517"/>
      <c r="DO134" s="517"/>
      <c r="DP134" s="517"/>
      <c r="DQ134" s="517"/>
      <c r="DR134" s="517"/>
      <c r="DS134" s="517"/>
      <c r="DT134" s="517"/>
      <c r="DU134" s="517"/>
      <c r="DV134" s="517"/>
      <c r="DW134" s="517"/>
      <c r="DX134" s="517"/>
      <c r="DY134" s="517"/>
      <c r="DZ134" s="517"/>
      <c r="EA134" s="517"/>
      <c r="EB134" s="517"/>
      <c r="EC134" s="517"/>
      <c r="ED134" s="517"/>
      <c r="EE134" s="517"/>
      <c r="EF134" s="517"/>
      <c r="EG134" s="517"/>
      <c r="EH134" s="517"/>
      <c r="EI134" s="517"/>
      <c r="EJ134" s="517"/>
      <c r="EK134" s="517"/>
      <c r="EL134" s="517"/>
      <c r="EM134" s="517"/>
      <c r="EN134" s="517"/>
      <c r="EO134" s="517"/>
      <c r="EP134" s="517"/>
      <c r="EQ134" s="517"/>
      <c r="ER134" s="517"/>
      <c r="ES134" s="627" t="s">
        <v>1140</v>
      </c>
    </row>
    <row r="135">
      <c r="A135" s="517"/>
      <c r="B135" s="517"/>
      <c r="C135" s="517"/>
      <c r="D135" s="517"/>
      <c r="E135" s="517"/>
      <c r="F135" s="517"/>
      <c r="G135" s="517"/>
      <c r="H135" s="517"/>
      <c r="I135" s="517"/>
      <c r="J135" s="517"/>
      <c r="K135" s="517"/>
      <c r="L135" s="517"/>
      <c r="M135" s="517"/>
      <c r="N135" s="517"/>
      <c r="O135" s="517"/>
      <c r="P135" s="517"/>
      <c r="Q135" s="517"/>
      <c r="R135" s="517"/>
      <c r="S135" s="517"/>
      <c r="T135" s="517"/>
      <c r="U135" s="517"/>
      <c r="V135" s="517"/>
      <c r="W135" s="517"/>
      <c r="X135" s="517"/>
      <c r="Y135" s="517"/>
      <c r="Z135" s="517"/>
      <c r="AA135" s="517"/>
      <c r="AB135" s="517"/>
      <c r="AC135" s="517"/>
      <c r="AD135" s="517"/>
      <c r="AE135" s="517"/>
      <c r="AF135" s="517"/>
      <c r="AG135" s="517"/>
      <c r="AH135" s="517"/>
      <c r="AI135" s="517"/>
      <c r="AJ135" s="517"/>
      <c r="AK135" s="517"/>
      <c r="AL135" s="517"/>
      <c r="AM135" s="517"/>
      <c r="AN135" s="517"/>
      <c r="AO135" s="517"/>
      <c r="AP135" s="517"/>
      <c r="AQ135" s="517"/>
      <c r="AR135" s="517"/>
      <c r="AS135" s="517"/>
      <c r="AT135" s="517"/>
      <c r="AU135" s="517"/>
      <c r="AV135" s="517"/>
      <c r="AW135" s="517"/>
      <c r="AX135" s="517"/>
      <c r="AY135" s="517"/>
      <c r="AZ135" s="517"/>
      <c r="BA135" s="517"/>
      <c r="BB135" s="517"/>
      <c r="BC135" s="517"/>
      <c r="BD135" s="517"/>
      <c r="BE135" s="517"/>
      <c r="BF135" s="517"/>
      <c r="BG135" s="517"/>
      <c r="BH135" s="517"/>
      <c r="BI135" s="517"/>
      <c r="BJ135" s="517"/>
      <c r="BK135" s="517"/>
      <c r="BL135" s="517"/>
      <c r="BM135" s="517"/>
      <c r="BN135" s="517"/>
      <c r="BO135" s="517"/>
      <c r="BP135" s="517"/>
      <c r="BQ135" s="517"/>
      <c r="BR135" s="517"/>
      <c r="BS135" s="517"/>
      <c r="BT135" s="517"/>
      <c r="BU135" s="517"/>
      <c r="BV135" s="517"/>
      <c r="BW135" s="517"/>
      <c r="BX135" s="517"/>
      <c r="BY135" s="517"/>
      <c r="BZ135" s="517"/>
      <c r="CA135" s="517"/>
      <c r="CB135" s="517"/>
      <c r="CC135" s="517"/>
      <c r="CD135" s="517"/>
      <c r="CE135" s="517"/>
      <c r="CF135" s="517"/>
      <c r="CG135" s="517"/>
      <c r="CH135" s="517"/>
      <c r="CI135" s="517"/>
      <c r="CJ135" s="517"/>
      <c r="CK135" s="517"/>
      <c r="CL135" s="517"/>
      <c r="CM135" s="517"/>
      <c r="CN135" s="517"/>
      <c r="CO135" s="517"/>
      <c r="CP135" s="517"/>
      <c r="CQ135" s="517"/>
      <c r="CR135" s="517"/>
      <c r="CS135" s="517"/>
      <c r="CT135" s="517"/>
      <c r="CU135" s="517"/>
      <c r="CV135" s="517"/>
      <c r="CW135" s="517"/>
      <c r="CX135" s="517"/>
      <c r="CY135" s="517"/>
      <c r="CZ135" s="517"/>
      <c r="DA135" s="517"/>
      <c r="DB135" s="517"/>
      <c r="DC135" s="517"/>
      <c r="DD135" s="517"/>
      <c r="DE135" s="517"/>
      <c r="DF135" s="517"/>
      <c r="DG135" s="517"/>
      <c r="DH135" s="517"/>
      <c r="DI135" s="517"/>
      <c r="DJ135" s="517"/>
      <c r="DK135" s="517"/>
      <c r="DL135" s="517"/>
      <c r="DM135" s="517"/>
      <c r="DN135" s="517"/>
      <c r="DO135" s="517"/>
      <c r="DP135" s="517"/>
      <c r="DQ135" s="517"/>
      <c r="DR135" s="517"/>
      <c r="DS135" s="517"/>
      <c r="DT135" s="517"/>
      <c r="DU135" s="517"/>
      <c r="DV135" s="517"/>
      <c r="DW135" s="517"/>
      <c r="DX135" s="517"/>
      <c r="DY135" s="517"/>
      <c r="DZ135" s="517"/>
      <c r="EA135" s="517"/>
      <c r="EB135" s="517"/>
      <c r="EC135" s="517"/>
      <c r="ED135" s="517"/>
      <c r="EE135" s="517"/>
      <c r="EF135" s="517"/>
      <c r="EG135" s="517"/>
      <c r="EH135" s="517"/>
      <c r="EI135" s="517"/>
      <c r="EJ135" s="517"/>
      <c r="EK135" s="517"/>
      <c r="EL135" s="517"/>
      <c r="EM135" s="517"/>
      <c r="EN135" s="517"/>
      <c r="EO135" s="517"/>
      <c r="EP135" s="517"/>
      <c r="EQ135" s="517"/>
      <c r="ER135" s="517"/>
      <c r="ES135" s="627" t="s">
        <v>1140</v>
      </c>
    </row>
    <row r="136">
      <c r="A136" s="517"/>
      <c r="B136" s="517"/>
      <c r="C136" s="517"/>
      <c r="D136" s="517"/>
      <c r="E136" s="517"/>
      <c r="F136" s="517"/>
      <c r="G136" s="517"/>
      <c r="H136" s="517"/>
      <c r="I136" s="517"/>
      <c r="J136" s="517"/>
      <c r="K136" s="517"/>
      <c r="L136" s="517"/>
      <c r="M136" s="517"/>
      <c r="N136" s="517"/>
      <c r="O136" s="517"/>
      <c r="P136" s="517"/>
      <c r="Q136" s="517"/>
      <c r="R136" s="517"/>
      <c r="S136" s="517"/>
      <c r="T136" s="517"/>
      <c r="U136" s="517"/>
      <c r="V136" s="517"/>
      <c r="W136" s="517"/>
      <c r="X136" s="517"/>
      <c r="Y136" s="517"/>
      <c r="Z136" s="517"/>
      <c r="AA136" s="517"/>
      <c r="AB136" s="517"/>
      <c r="AC136" s="517"/>
      <c r="AD136" s="517"/>
      <c r="AE136" s="517"/>
      <c r="AF136" s="517"/>
      <c r="AG136" s="517"/>
      <c r="AH136" s="517"/>
      <c r="AI136" s="517"/>
      <c r="AJ136" s="517"/>
      <c r="AK136" s="517"/>
      <c r="AL136" s="517"/>
      <c r="AM136" s="517"/>
      <c r="AN136" s="517"/>
      <c r="AO136" s="517"/>
      <c r="AP136" s="517"/>
      <c r="AQ136" s="517"/>
      <c r="AR136" s="517"/>
      <c r="AS136" s="517"/>
      <c r="AT136" s="517"/>
      <c r="AU136" s="517"/>
      <c r="AV136" s="517"/>
      <c r="AW136" s="517"/>
      <c r="AX136" s="517"/>
      <c r="AY136" s="517"/>
      <c r="AZ136" s="517"/>
      <c r="BA136" s="517"/>
      <c r="BB136" s="517"/>
      <c r="BC136" s="517"/>
      <c r="BD136" s="517"/>
      <c r="BE136" s="517"/>
      <c r="BF136" s="517"/>
      <c r="BG136" s="517"/>
      <c r="BH136" s="517"/>
      <c r="BI136" s="517"/>
      <c r="BJ136" s="517"/>
      <c r="BK136" s="517"/>
      <c r="BL136" s="517"/>
      <c r="BM136" s="517"/>
      <c r="BN136" s="517"/>
      <c r="BO136" s="517"/>
      <c r="BP136" s="517"/>
      <c r="BQ136" s="517"/>
      <c r="BR136" s="517"/>
      <c r="BS136" s="517"/>
      <c r="BT136" s="517"/>
      <c r="BU136" s="517"/>
      <c r="BV136" s="517"/>
      <c r="BW136" s="517"/>
      <c r="BX136" s="517"/>
      <c r="BY136" s="517"/>
      <c r="BZ136" s="517"/>
      <c r="CA136" s="517"/>
      <c r="CB136" s="517"/>
      <c r="CC136" s="517"/>
      <c r="CD136" s="517"/>
      <c r="CE136" s="517"/>
      <c r="CF136" s="517"/>
      <c r="CG136" s="517"/>
      <c r="CH136" s="517"/>
      <c r="CI136" s="517"/>
      <c r="CJ136" s="517"/>
      <c r="CK136" s="517"/>
      <c r="CL136" s="517"/>
      <c r="CM136" s="517"/>
      <c r="CN136" s="517"/>
      <c r="CO136" s="517"/>
      <c r="CP136" s="517"/>
      <c r="CQ136" s="517"/>
      <c r="CR136" s="517"/>
      <c r="CS136" s="517"/>
      <c r="CT136" s="517"/>
      <c r="CU136" s="517"/>
      <c r="CV136" s="517"/>
      <c r="CW136" s="517"/>
      <c r="CX136" s="517"/>
      <c r="CY136" s="517"/>
      <c r="CZ136" s="517"/>
      <c r="DA136" s="517"/>
      <c r="DB136" s="517"/>
      <c r="DC136" s="517"/>
      <c r="DD136" s="517"/>
      <c r="DE136" s="517"/>
      <c r="DF136" s="517"/>
      <c r="DG136" s="517"/>
      <c r="DH136" s="517"/>
      <c r="DI136" s="517"/>
      <c r="DJ136" s="517"/>
      <c r="DK136" s="517"/>
      <c r="DL136" s="517"/>
      <c r="DM136" s="517"/>
      <c r="DN136" s="517"/>
      <c r="DO136" s="517"/>
      <c r="DP136" s="517"/>
      <c r="DQ136" s="517"/>
      <c r="DR136" s="517"/>
      <c r="DS136" s="517"/>
      <c r="DT136" s="517"/>
      <c r="DU136" s="517"/>
      <c r="DV136" s="517"/>
      <c r="DW136" s="517"/>
      <c r="DX136" s="517"/>
      <c r="DY136" s="517"/>
      <c r="DZ136" s="517"/>
      <c r="EA136" s="517"/>
      <c r="EB136" s="517"/>
      <c r="EC136" s="517"/>
      <c r="ED136" s="517"/>
      <c r="EE136" s="517"/>
      <c r="EF136" s="517"/>
      <c r="EG136" s="517"/>
      <c r="EH136" s="517"/>
      <c r="EI136" s="517"/>
      <c r="EJ136" s="517"/>
      <c r="EK136" s="517"/>
      <c r="EL136" s="517"/>
      <c r="EM136" s="517"/>
      <c r="EN136" s="517"/>
      <c r="EO136" s="517"/>
      <c r="EP136" s="517"/>
      <c r="EQ136" s="517"/>
      <c r="ER136" s="517"/>
      <c r="ES136" s="627" t="s">
        <v>1140</v>
      </c>
    </row>
    <row r="137">
      <c r="A137" s="517"/>
      <c r="B137" s="517"/>
      <c r="C137" s="517"/>
      <c r="D137" s="517"/>
      <c r="E137" s="517"/>
      <c r="F137" s="517"/>
      <c r="G137" s="517"/>
      <c r="H137" s="517"/>
      <c r="I137" s="517"/>
      <c r="J137" s="517"/>
      <c r="K137" s="517"/>
      <c r="L137" s="517"/>
      <c r="M137" s="517"/>
      <c r="N137" s="517"/>
      <c r="O137" s="517"/>
      <c r="P137" s="517"/>
      <c r="Q137" s="517"/>
      <c r="R137" s="517"/>
      <c r="S137" s="517"/>
      <c r="T137" s="517"/>
      <c r="U137" s="517"/>
      <c r="V137" s="517"/>
      <c r="W137" s="517"/>
      <c r="X137" s="517"/>
      <c r="Y137" s="517"/>
      <c r="Z137" s="517"/>
      <c r="AA137" s="517"/>
      <c r="AB137" s="517"/>
      <c r="AC137" s="517"/>
      <c r="AD137" s="517"/>
      <c r="AE137" s="517"/>
      <c r="AF137" s="517"/>
      <c r="AG137" s="517"/>
      <c r="AH137" s="517"/>
      <c r="AI137" s="517"/>
      <c r="AJ137" s="517"/>
      <c r="AK137" s="517"/>
      <c r="AL137" s="517"/>
      <c r="AM137" s="517"/>
      <c r="AN137" s="517"/>
      <c r="AO137" s="517"/>
      <c r="AP137" s="517"/>
      <c r="AQ137" s="517"/>
      <c r="AR137" s="517"/>
      <c r="AS137" s="517"/>
      <c r="AT137" s="517"/>
      <c r="AU137" s="517"/>
      <c r="AV137" s="517"/>
      <c r="AW137" s="517"/>
      <c r="AX137" s="517"/>
      <c r="AY137" s="517"/>
      <c r="AZ137" s="517"/>
      <c r="BA137" s="517"/>
      <c r="BB137" s="517"/>
      <c r="BC137" s="517"/>
      <c r="BD137" s="517"/>
      <c r="BE137" s="517"/>
      <c r="BF137" s="517"/>
      <c r="BG137" s="517"/>
      <c r="BH137" s="517"/>
      <c r="BI137" s="517"/>
      <c r="BJ137" s="517"/>
      <c r="BK137" s="517"/>
      <c r="BL137" s="517"/>
      <c r="BM137" s="517"/>
      <c r="BN137" s="517"/>
      <c r="BO137" s="517"/>
      <c r="BP137" s="517"/>
      <c r="BQ137" s="517"/>
      <c r="BR137" s="517"/>
      <c r="BS137" s="517"/>
      <c r="BT137" s="517"/>
      <c r="BU137" s="517"/>
      <c r="BV137" s="517"/>
      <c r="BW137" s="517"/>
      <c r="BX137" s="517"/>
      <c r="BY137" s="517"/>
      <c r="BZ137" s="517"/>
      <c r="CA137" s="517"/>
      <c r="CB137" s="517"/>
      <c r="CC137" s="517"/>
      <c r="CD137" s="517"/>
      <c r="CE137" s="517"/>
      <c r="CF137" s="517"/>
      <c r="CG137" s="517"/>
      <c r="CH137" s="517"/>
      <c r="CI137" s="517"/>
      <c r="CJ137" s="517"/>
      <c r="CK137" s="517"/>
      <c r="CL137" s="517"/>
      <c r="CM137" s="517"/>
      <c r="CN137" s="517"/>
      <c r="CO137" s="517"/>
      <c r="CP137" s="517"/>
      <c r="CQ137" s="517"/>
      <c r="CR137" s="517"/>
      <c r="CS137" s="517"/>
      <c r="CT137" s="517"/>
      <c r="CU137" s="517"/>
      <c r="CV137" s="517"/>
      <c r="CW137" s="517"/>
      <c r="CX137" s="517"/>
      <c r="CY137" s="517"/>
      <c r="CZ137" s="517"/>
      <c r="DA137" s="517"/>
      <c r="DB137" s="517"/>
      <c r="DC137" s="517"/>
      <c r="DD137" s="517"/>
      <c r="DE137" s="517"/>
      <c r="DF137" s="517"/>
      <c r="DG137" s="517"/>
      <c r="DH137" s="517"/>
      <c r="DI137" s="517"/>
      <c r="DJ137" s="517"/>
      <c r="DK137" s="517"/>
      <c r="DL137" s="517"/>
      <c r="DM137" s="517"/>
      <c r="DN137" s="517"/>
      <c r="DO137" s="517"/>
      <c r="DP137" s="517"/>
      <c r="DQ137" s="517"/>
      <c r="DR137" s="517"/>
      <c r="DS137" s="517"/>
      <c r="DT137" s="517"/>
      <c r="DU137" s="517"/>
      <c r="DV137" s="517"/>
      <c r="DW137" s="517"/>
      <c r="DX137" s="517"/>
      <c r="DY137" s="517"/>
      <c r="DZ137" s="517"/>
      <c r="EA137" s="517"/>
      <c r="EB137" s="517"/>
      <c r="EC137" s="517"/>
      <c r="ED137" s="517"/>
      <c r="EE137" s="517"/>
      <c r="EF137" s="517"/>
      <c r="EG137" s="517"/>
      <c r="EH137" s="517"/>
      <c r="EI137" s="517"/>
      <c r="EJ137" s="517"/>
      <c r="EK137" s="517"/>
      <c r="EL137" s="517"/>
      <c r="EM137" s="517"/>
      <c r="EN137" s="517"/>
      <c r="EO137" s="517"/>
      <c r="EP137" s="517"/>
      <c r="EQ137" s="517"/>
      <c r="ER137" s="517"/>
      <c r="ES137" s="627" t="s">
        <v>1140</v>
      </c>
    </row>
    <row r="138">
      <c r="A138" s="517"/>
      <c r="B138" s="517"/>
      <c r="C138" s="517"/>
      <c r="D138" s="517"/>
      <c r="E138" s="517"/>
      <c r="F138" s="517"/>
      <c r="G138" s="517"/>
      <c r="H138" s="517"/>
      <c r="I138" s="517"/>
      <c r="J138" s="517"/>
      <c r="K138" s="517"/>
      <c r="L138" s="517"/>
      <c r="M138" s="517"/>
      <c r="N138" s="517"/>
      <c r="O138" s="517"/>
      <c r="P138" s="517"/>
      <c r="Q138" s="517"/>
      <c r="R138" s="517"/>
      <c r="S138" s="517"/>
      <c r="T138" s="517"/>
      <c r="U138" s="517"/>
      <c r="V138" s="517"/>
      <c r="W138" s="517"/>
      <c r="X138" s="517"/>
      <c r="Y138" s="517"/>
      <c r="Z138" s="517"/>
      <c r="AA138" s="517"/>
      <c r="AB138" s="517"/>
      <c r="AC138" s="517"/>
      <c r="AD138" s="517"/>
      <c r="AE138" s="517"/>
      <c r="AF138" s="517"/>
      <c r="AG138" s="517"/>
      <c r="AH138" s="517"/>
      <c r="AI138" s="517"/>
      <c r="AJ138" s="517"/>
      <c r="AK138" s="517"/>
      <c r="AL138" s="517"/>
      <c r="AM138" s="517"/>
      <c r="AN138" s="517"/>
      <c r="AO138" s="517"/>
      <c r="AP138" s="517"/>
      <c r="AQ138" s="517"/>
      <c r="AR138" s="517"/>
      <c r="AS138" s="517"/>
      <c r="AT138" s="517"/>
      <c r="AU138" s="517"/>
      <c r="AV138" s="517"/>
      <c r="AW138" s="517"/>
      <c r="AX138" s="517"/>
      <c r="AY138" s="517"/>
      <c r="AZ138" s="517"/>
      <c r="BA138" s="517"/>
      <c r="BB138" s="517"/>
      <c r="BC138" s="517"/>
      <c r="BD138" s="517"/>
      <c r="BE138" s="517"/>
      <c r="BF138" s="517"/>
      <c r="BG138" s="517"/>
      <c r="BH138" s="517"/>
      <c r="BI138" s="517"/>
      <c r="BJ138" s="517"/>
      <c r="BK138" s="517"/>
      <c r="BL138" s="517"/>
      <c r="BM138" s="517"/>
      <c r="BN138" s="517"/>
      <c r="BO138" s="517"/>
      <c r="BP138" s="517"/>
      <c r="BQ138" s="517"/>
      <c r="BR138" s="517"/>
      <c r="BS138" s="517"/>
      <c r="BT138" s="517"/>
      <c r="BU138" s="517"/>
      <c r="BV138" s="517"/>
      <c r="BW138" s="517"/>
      <c r="BX138" s="517"/>
      <c r="BY138" s="517"/>
      <c r="BZ138" s="517"/>
      <c r="CA138" s="517"/>
      <c r="CB138" s="517"/>
      <c r="CC138" s="517"/>
      <c r="CD138" s="517"/>
      <c r="CE138" s="517"/>
      <c r="CF138" s="517"/>
      <c r="CG138" s="517"/>
      <c r="CH138" s="517"/>
      <c r="CI138" s="517"/>
      <c r="CJ138" s="517"/>
      <c r="CK138" s="517"/>
      <c r="CL138" s="517"/>
      <c r="CM138" s="517"/>
      <c r="CN138" s="517"/>
      <c r="CO138" s="517"/>
      <c r="CP138" s="517"/>
      <c r="CQ138" s="517"/>
      <c r="CR138" s="517"/>
      <c r="CS138" s="517"/>
      <c r="CT138" s="517"/>
      <c r="CU138" s="517"/>
      <c r="CV138" s="517"/>
      <c r="CW138" s="517"/>
      <c r="CX138" s="517"/>
      <c r="CY138" s="517"/>
      <c r="CZ138" s="517"/>
      <c r="DA138" s="517"/>
      <c r="DB138" s="517"/>
      <c r="DC138" s="517"/>
      <c r="DD138" s="517"/>
      <c r="DE138" s="517"/>
      <c r="DF138" s="517"/>
      <c r="DG138" s="517"/>
      <c r="DH138" s="517"/>
      <c r="DI138" s="517"/>
      <c r="DJ138" s="517"/>
      <c r="DK138" s="517"/>
      <c r="DL138" s="517"/>
      <c r="DM138" s="517"/>
      <c r="DN138" s="517"/>
      <c r="DO138" s="517"/>
      <c r="DP138" s="517"/>
      <c r="DQ138" s="517"/>
      <c r="DR138" s="517"/>
      <c r="DS138" s="517"/>
      <c r="DT138" s="517"/>
      <c r="DU138" s="517"/>
      <c r="DV138" s="517"/>
      <c r="DW138" s="517"/>
      <c r="DX138" s="517"/>
      <c r="DY138" s="517"/>
      <c r="DZ138" s="517"/>
      <c r="EA138" s="517"/>
      <c r="EB138" s="517"/>
      <c r="EC138" s="517"/>
      <c r="ED138" s="517"/>
      <c r="EE138" s="517"/>
      <c r="EF138" s="517"/>
      <c r="EG138" s="517"/>
      <c r="EH138" s="517"/>
      <c r="EI138" s="517"/>
      <c r="EJ138" s="517"/>
      <c r="EK138" s="517"/>
      <c r="EL138" s="517"/>
      <c r="EM138" s="517"/>
      <c r="EN138" s="517"/>
      <c r="EO138" s="517"/>
      <c r="EP138" s="517"/>
      <c r="EQ138" s="517"/>
      <c r="ER138" s="517"/>
      <c r="ES138" s="627" t="s">
        <v>1140</v>
      </c>
    </row>
    <row r="139">
      <c r="A139" s="517"/>
      <c r="B139" s="517"/>
      <c r="C139" s="517"/>
      <c r="D139" s="517"/>
      <c r="E139" s="517"/>
      <c r="F139" s="517"/>
      <c r="G139" s="517"/>
      <c r="H139" s="517"/>
      <c r="I139" s="517"/>
      <c r="J139" s="517"/>
      <c r="K139" s="517"/>
      <c r="L139" s="517"/>
      <c r="M139" s="517"/>
      <c r="N139" s="517"/>
      <c r="O139" s="517"/>
      <c r="P139" s="517"/>
      <c r="Q139" s="517"/>
      <c r="R139" s="517"/>
      <c r="S139" s="517"/>
      <c r="T139" s="517"/>
      <c r="U139" s="517"/>
      <c r="V139" s="517"/>
      <c r="W139" s="517"/>
      <c r="X139" s="517"/>
      <c r="Y139" s="517"/>
      <c r="Z139" s="517"/>
      <c r="AA139" s="517"/>
      <c r="AB139" s="517"/>
      <c r="AC139" s="517"/>
      <c r="AD139" s="517"/>
      <c r="AE139" s="517"/>
      <c r="AF139" s="517"/>
      <c r="AG139" s="517"/>
      <c r="AH139" s="517"/>
      <c r="AI139" s="517"/>
      <c r="AJ139" s="517"/>
      <c r="AK139" s="517"/>
      <c r="AL139" s="517"/>
      <c r="AM139" s="517"/>
      <c r="AN139" s="517"/>
      <c r="AO139" s="517"/>
      <c r="AP139" s="517"/>
      <c r="AQ139" s="517"/>
      <c r="AR139" s="517"/>
      <c r="AS139" s="517"/>
      <c r="AT139" s="517"/>
      <c r="AU139" s="517"/>
      <c r="AV139" s="517"/>
      <c r="AW139" s="517"/>
      <c r="AX139" s="517"/>
      <c r="AY139" s="517"/>
      <c r="AZ139" s="517"/>
      <c r="BA139" s="517"/>
      <c r="BB139" s="517"/>
      <c r="BC139" s="517"/>
      <c r="BD139" s="517"/>
      <c r="BE139" s="517"/>
      <c r="BF139" s="517"/>
      <c r="BG139" s="517"/>
      <c r="BH139" s="517"/>
      <c r="BI139" s="517"/>
      <c r="BJ139" s="517"/>
      <c r="BK139" s="517"/>
      <c r="BL139" s="517"/>
      <c r="BM139" s="517"/>
      <c r="BN139" s="517"/>
      <c r="BO139" s="517"/>
      <c r="BP139" s="517"/>
      <c r="BQ139" s="517"/>
      <c r="BR139" s="517"/>
      <c r="BS139" s="517"/>
      <c r="BT139" s="517"/>
      <c r="BU139" s="517"/>
      <c r="BV139" s="517"/>
      <c r="BW139" s="517"/>
      <c r="BX139" s="517"/>
      <c r="BY139" s="517"/>
      <c r="BZ139" s="517"/>
      <c r="CA139" s="517"/>
      <c r="CB139" s="517"/>
      <c r="CC139" s="517"/>
      <c r="CD139" s="517"/>
      <c r="CE139" s="517"/>
      <c r="CF139" s="517"/>
      <c r="CG139" s="517"/>
      <c r="CH139" s="517"/>
      <c r="CI139" s="517"/>
      <c r="CJ139" s="517"/>
      <c r="CK139" s="517"/>
      <c r="CL139" s="517"/>
      <c r="CM139" s="517"/>
      <c r="CN139" s="517"/>
      <c r="CO139" s="517"/>
      <c r="CP139" s="517"/>
      <c r="CQ139" s="517"/>
      <c r="CR139" s="517"/>
      <c r="CS139" s="517"/>
      <c r="CT139" s="517"/>
      <c r="CU139" s="517"/>
      <c r="CV139" s="517"/>
      <c r="CW139" s="517"/>
      <c r="CX139" s="517"/>
      <c r="CY139" s="517"/>
      <c r="CZ139" s="517"/>
      <c r="DA139" s="517"/>
      <c r="DB139" s="517"/>
      <c r="DC139" s="517"/>
      <c r="DD139" s="517"/>
      <c r="DE139" s="517"/>
      <c r="DF139" s="517"/>
      <c r="DG139" s="517"/>
      <c r="DH139" s="517"/>
      <c r="DI139" s="517"/>
      <c r="DJ139" s="517"/>
      <c r="DK139" s="517"/>
      <c r="DL139" s="517"/>
      <c r="DM139" s="517"/>
      <c r="DN139" s="517"/>
      <c r="DO139" s="517"/>
      <c r="DP139" s="517"/>
      <c r="DQ139" s="517"/>
      <c r="DR139" s="517"/>
      <c r="DS139" s="517"/>
      <c r="DT139" s="517"/>
      <c r="DU139" s="517"/>
      <c r="DV139" s="517"/>
      <c r="DW139" s="517"/>
      <c r="DX139" s="517"/>
      <c r="DY139" s="517"/>
      <c r="DZ139" s="517"/>
      <c r="EA139" s="517"/>
      <c r="EB139" s="517"/>
      <c r="EC139" s="517"/>
      <c r="ED139" s="517"/>
      <c r="EE139" s="517"/>
      <c r="EF139" s="517"/>
      <c r="EG139" s="517"/>
      <c r="EH139" s="517"/>
      <c r="EI139" s="517"/>
      <c r="EJ139" s="517"/>
      <c r="EK139" s="517"/>
      <c r="EL139" s="517"/>
      <c r="EM139" s="517"/>
      <c r="EN139" s="517"/>
      <c r="EO139" s="517"/>
      <c r="EP139" s="517"/>
      <c r="EQ139" s="517"/>
      <c r="ER139" s="517"/>
      <c r="ES139" s="627" t="s">
        <v>1140</v>
      </c>
    </row>
    <row r="140">
      <c r="A140" s="517"/>
      <c r="B140" s="517"/>
      <c r="C140" s="517"/>
      <c r="D140" s="517"/>
      <c r="E140" s="517"/>
      <c r="F140" s="517"/>
      <c r="G140" s="517"/>
      <c r="H140" s="517"/>
      <c r="I140" s="517"/>
      <c r="J140" s="517"/>
      <c r="K140" s="517"/>
      <c r="L140" s="517"/>
      <c r="M140" s="517"/>
      <c r="N140" s="517"/>
      <c r="O140" s="517"/>
      <c r="P140" s="517"/>
      <c r="Q140" s="517"/>
      <c r="R140" s="517"/>
      <c r="S140" s="517"/>
      <c r="T140" s="517"/>
      <c r="U140" s="517"/>
      <c r="V140" s="517"/>
      <c r="W140" s="517"/>
      <c r="X140" s="517"/>
      <c r="Y140" s="517"/>
      <c r="Z140" s="517"/>
      <c r="AA140" s="517"/>
      <c r="AB140" s="517"/>
      <c r="AC140" s="517"/>
      <c r="AD140" s="517"/>
      <c r="AE140" s="517"/>
      <c r="AF140" s="517"/>
      <c r="AG140" s="517"/>
      <c r="AH140" s="517"/>
      <c r="AI140" s="517"/>
      <c r="AJ140" s="517"/>
      <c r="AK140" s="517"/>
      <c r="AL140" s="517"/>
      <c r="AM140" s="517"/>
      <c r="AN140" s="517"/>
      <c r="AO140" s="517"/>
      <c r="AP140" s="517"/>
      <c r="AQ140" s="517"/>
      <c r="AR140" s="517"/>
      <c r="AS140" s="517"/>
      <c r="AT140" s="517"/>
      <c r="AU140" s="517"/>
      <c r="AV140" s="517"/>
      <c r="AW140" s="517"/>
      <c r="AX140" s="517"/>
      <c r="AY140" s="517"/>
      <c r="AZ140" s="517"/>
      <c r="BA140" s="517"/>
      <c r="BB140" s="517"/>
      <c r="BC140" s="517"/>
      <c r="BD140" s="517"/>
      <c r="BE140" s="517"/>
      <c r="BF140" s="517"/>
      <c r="BG140" s="517"/>
      <c r="BH140" s="517"/>
      <c r="BI140" s="517"/>
      <c r="BJ140" s="517"/>
      <c r="BK140" s="517"/>
      <c r="BL140" s="517"/>
      <c r="BM140" s="517"/>
      <c r="BN140" s="517"/>
      <c r="BO140" s="517"/>
      <c r="BP140" s="517"/>
      <c r="BQ140" s="517"/>
      <c r="BR140" s="517"/>
      <c r="BS140" s="517"/>
      <c r="BT140" s="517"/>
      <c r="BU140" s="517"/>
      <c r="BV140" s="517"/>
      <c r="BW140" s="517"/>
      <c r="BX140" s="517"/>
      <c r="BY140" s="517"/>
      <c r="BZ140" s="517"/>
      <c r="CA140" s="517"/>
      <c r="CB140" s="517"/>
      <c r="CC140" s="517"/>
      <c r="CD140" s="517"/>
      <c r="CE140" s="517"/>
      <c r="CF140" s="517"/>
      <c r="CG140" s="517"/>
      <c r="CH140" s="517"/>
      <c r="CI140" s="517"/>
      <c r="CJ140" s="517"/>
      <c r="CK140" s="517"/>
      <c r="CL140" s="517"/>
      <c r="CM140" s="517"/>
      <c r="CN140" s="517"/>
      <c r="CO140" s="517"/>
      <c r="CP140" s="517"/>
      <c r="CQ140" s="517"/>
      <c r="CR140" s="517"/>
      <c r="CS140" s="517"/>
      <c r="CT140" s="517"/>
      <c r="CU140" s="517"/>
      <c r="CV140" s="517"/>
      <c r="CW140" s="517"/>
      <c r="CX140" s="517"/>
      <c r="CY140" s="517"/>
      <c r="CZ140" s="517"/>
      <c r="DA140" s="517"/>
      <c r="DB140" s="517"/>
      <c r="DC140" s="517"/>
      <c r="DD140" s="517"/>
      <c r="DE140" s="517"/>
      <c r="DF140" s="517"/>
      <c r="DG140" s="517"/>
      <c r="DH140" s="517"/>
      <c r="DI140" s="517"/>
      <c r="DJ140" s="517"/>
      <c r="DK140" s="517"/>
      <c r="DL140" s="517"/>
      <c r="DM140" s="517"/>
      <c r="DN140" s="517"/>
      <c r="DO140" s="517"/>
      <c r="DP140" s="517"/>
      <c r="DQ140" s="517"/>
      <c r="DR140" s="517"/>
      <c r="DS140" s="517"/>
      <c r="DT140" s="517"/>
      <c r="DU140" s="517"/>
      <c r="DV140" s="517"/>
      <c r="DW140" s="517"/>
      <c r="DX140" s="517"/>
      <c r="DY140" s="517"/>
      <c r="DZ140" s="517"/>
      <c r="EA140" s="517"/>
      <c r="EB140" s="517"/>
      <c r="EC140" s="517"/>
      <c r="ED140" s="517"/>
      <c r="EE140" s="517"/>
      <c r="EF140" s="517"/>
      <c r="EG140" s="517"/>
      <c r="EH140" s="517"/>
      <c r="EI140" s="517"/>
      <c r="EJ140" s="517"/>
      <c r="EK140" s="517"/>
      <c r="EL140" s="517"/>
      <c r="EM140" s="517"/>
      <c r="EN140" s="517"/>
      <c r="EO140" s="517"/>
      <c r="EP140" s="517"/>
      <c r="EQ140" s="517"/>
      <c r="ER140" s="517"/>
      <c r="ES140" s="627" t="s">
        <v>1140</v>
      </c>
    </row>
    <row r="141">
      <c r="A141" s="517"/>
      <c r="B141" s="517"/>
      <c r="C141" s="517"/>
      <c r="D141" s="517"/>
      <c r="E141" s="517"/>
      <c r="F141" s="517"/>
      <c r="G141" s="517"/>
      <c r="H141" s="517"/>
      <c r="I141" s="517"/>
      <c r="J141" s="517"/>
      <c r="K141" s="517"/>
      <c r="L141" s="517"/>
      <c r="M141" s="517"/>
      <c r="N141" s="517"/>
      <c r="O141" s="517"/>
      <c r="P141" s="517"/>
      <c r="Q141" s="517"/>
      <c r="R141" s="517"/>
      <c r="S141" s="517"/>
      <c r="T141" s="517"/>
      <c r="U141" s="517"/>
      <c r="V141" s="517"/>
      <c r="W141" s="517"/>
      <c r="X141" s="517"/>
      <c r="Y141" s="517"/>
      <c r="Z141" s="517"/>
      <c r="AA141" s="517"/>
      <c r="AB141" s="517"/>
      <c r="AC141" s="517"/>
      <c r="AD141" s="517"/>
      <c r="AE141" s="517"/>
      <c r="AF141" s="517"/>
      <c r="AG141" s="517"/>
      <c r="AH141" s="517"/>
      <c r="AI141" s="517"/>
      <c r="AJ141" s="517"/>
      <c r="AK141" s="517"/>
      <c r="AL141" s="517"/>
      <c r="AM141" s="517"/>
      <c r="AN141" s="517"/>
      <c r="AO141" s="517"/>
      <c r="AP141" s="517"/>
      <c r="AQ141" s="517"/>
      <c r="AR141" s="517"/>
      <c r="AS141" s="517"/>
      <c r="AT141" s="517"/>
      <c r="AU141" s="517"/>
      <c r="AV141" s="517"/>
      <c r="AW141" s="517"/>
      <c r="AX141" s="517"/>
      <c r="AY141" s="517"/>
      <c r="AZ141" s="517"/>
      <c r="BA141" s="517"/>
      <c r="BB141" s="517"/>
      <c r="BC141" s="517"/>
      <c r="BD141" s="517"/>
      <c r="BE141" s="517"/>
      <c r="BF141" s="517"/>
      <c r="BG141" s="517"/>
      <c r="BH141" s="517"/>
      <c r="BI141" s="517"/>
      <c r="BJ141" s="517"/>
      <c r="BK141" s="517"/>
      <c r="BL141" s="517"/>
      <c r="BM141" s="517"/>
      <c r="BN141" s="517"/>
      <c r="BO141" s="517"/>
      <c r="BP141" s="517"/>
      <c r="BQ141" s="517"/>
      <c r="BR141" s="517"/>
      <c r="BS141" s="517"/>
      <c r="BT141" s="517"/>
      <c r="BU141" s="517"/>
      <c r="BV141" s="517"/>
      <c r="BW141" s="517"/>
      <c r="BX141" s="517"/>
      <c r="BY141" s="517"/>
      <c r="BZ141" s="517"/>
      <c r="CA141" s="517"/>
      <c r="CB141" s="517"/>
      <c r="CC141" s="517"/>
      <c r="CD141" s="517"/>
      <c r="CE141" s="517"/>
      <c r="CF141" s="517"/>
      <c r="CG141" s="517"/>
      <c r="CH141" s="517"/>
      <c r="CI141" s="517"/>
      <c r="CJ141" s="517"/>
      <c r="CK141" s="517"/>
      <c r="CL141" s="517"/>
      <c r="CM141" s="517"/>
      <c r="CN141" s="517"/>
      <c r="CO141" s="517"/>
      <c r="CP141" s="517"/>
      <c r="CQ141" s="517"/>
      <c r="CR141" s="517"/>
      <c r="CS141" s="517"/>
      <c r="CT141" s="517"/>
      <c r="CU141" s="517"/>
      <c r="CV141" s="517"/>
      <c r="CW141" s="517"/>
      <c r="CX141" s="517"/>
      <c r="CY141" s="517"/>
      <c r="CZ141" s="517"/>
      <c r="DA141" s="517"/>
      <c r="DB141" s="517"/>
      <c r="DC141" s="517"/>
      <c r="DD141" s="517"/>
      <c r="DE141" s="517"/>
      <c r="DF141" s="517"/>
      <c r="DG141" s="517"/>
      <c r="DH141" s="517"/>
      <c r="DI141" s="517"/>
      <c r="DJ141" s="517"/>
      <c r="DK141" s="517"/>
      <c r="DL141" s="517"/>
      <c r="DM141" s="517"/>
      <c r="DN141" s="517"/>
      <c r="DO141" s="517"/>
      <c r="DP141" s="517"/>
      <c r="DQ141" s="517"/>
      <c r="DR141" s="517"/>
      <c r="DS141" s="517"/>
      <c r="DT141" s="517"/>
      <c r="DU141" s="517"/>
      <c r="DV141" s="517"/>
      <c r="DW141" s="517"/>
      <c r="DX141" s="517"/>
      <c r="DY141" s="517"/>
      <c r="DZ141" s="517"/>
      <c r="EA141" s="517"/>
      <c r="EB141" s="517"/>
      <c r="EC141" s="517"/>
      <c r="ED141" s="517"/>
      <c r="EE141" s="517"/>
      <c r="EF141" s="517"/>
      <c r="EG141" s="517"/>
      <c r="EH141" s="517"/>
      <c r="EI141" s="517"/>
      <c r="EJ141" s="517"/>
      <c r="EK141" s="517"/>
      <c r="EL141" s="517"/>
      <c r="EM141" s="517"/>
      <c r="EN141" s="517"/>
      <c r="EO141" s="517"/>
      <c r="EP141" s="517"/>
      <c r="EQ141" s="517"/>
      <c r="ER141" s="517"/>
      <c r="ES141" s="627" t="s">
        <v>1140</v>
      </c>
    </row>
    <row r="142">
      <c r="A142" s="517"/>
      <c r="B142" s="517"/>
      <c r="C142" s="517"/>
      <c r="D142" s="517"/>
      <c r="E142" s="517"/>
      <c r="F142" s="517"/>
      <c r="G142" s="517"/>
      <c r="H142" s="517"/>
      <c r="I142" s="517"/>
      <c r="J142" s="517"/>
      <c r="K142" s="517"/>
      <c r="L142" s="517"/>
      <c r="M142" s="517"/>
      <c r="N142" s="517"/>
      <c r="O142" s="517"/>
      <c r="P142" s="517"/>
      <c r="Q142" s="517"/>
      <c r="R142" s="517"/>
      <c r="S142" s="517"/>
      <c r="T142" s="517"/>
      <c r="U142" s="517"/>
      <c r="V142" s="517"/>
      <c r="W142" s="517"/>
      <c r="X142" s="517"/>
      <c r="Y142" s="517"/>
      <c r="Z142" s="517"/>
      <c r="AA142" s="517"/>
      <c r="AB142" s="517"/>
      <c r="AC142" s="517"/>
      <c r="AD142" s="517"/>
      <c r="AE142" s="517"/>
      <c r="AF142" s="517"/>
      <c r="AG142" s="517"/>
      <c r="AH142" s="517"/>
      <c r="AI142" s="517"/>
      <c r="AJ142" s="517"/>
      <c r="AK142" s="517"/>
      <c r="AL142" s="517"/>
      <c r="AM142" s="517"/>
      <c r="AN142" s="517"/>
      <c r="AO142" s="517"/>
      <c r="AP142" s="517"/>
      <c r="AQ142" s="517"/>
      <c r="AR142" s="517"/>
      <c r="AS142" s="517"/>
      <c r="AT142" s="517"/>
      <c r="AU142" s="517"/>
      <c r="AV142" s="517"/>
      <c r="AW142" s="517"/>
      <c r="AX142" s="517"/>
      <c r="AY142" s="517"/>
      <c r="AZ142" s="517"/>
      <c r="BA142" s="517"/>
      <c r="BB142" s="517"/>
      <c r="BC142" s="517"/>
      <c r="BD142" s="517"/>
      <c r="BE142" s="517"/>
      <c r="BF142" s="517"/>
      <c r="BG142" s="517"/>
      <c r="BH142" s="517"/>
      <c r="BI142" s="517"/>
      <c r="BJ142" s="517"/>
      <c r="BK142" s="517"/>
      <c r="BL142" s="517"/>
      <c r="BM142" s="517"/>
      <c r="BN142" s="517"/>
      <c r="BO142" s="517"/>
      <c r="BP142" s="517"/>
      <c r="BQ142" s="517"/>
      <c r="BR142" s="517"/>
      <c r="BS142" s="517"/>
      <c r="BT142" s="517"/>
      <c r="BU142" s="517"/>
      <c r="BV142" s="517"/>
      <c r="BW142" s="517"/>
      <c r="BX142" s="517"/>
      <c r="BY142" s="517"/>
      <c r="BZ142" s="517"/>
      <c r="CA142" s="517"/>
      <c r="CB142" s="517"/>
      <c r="CC142" s="517"/>
      <c r="CD142" s="517"/>
      <c r="CE142" s="517"/>
      <c r="CF142" s="517"/>
      <c r="CG142" s="517"/>
      <c r="CH142" s="517"/>
      <c r="CI142" s="517"/>
      <c r="CJ142" s="517"/>
      <c r="CK142" s="517"/>
      <c r="CL142" s="517"/>
      <c r="CM142" s="517"/>
      <c r="CN142" s="517"/>
      <c r="CO142" s="517"/>
      <c r="CP142" s="517"/>
      <c r="CQ142" s="517"/>
      <c r="CR142" s="517"/>
      <c r="CS142" s="517"/>
      <c r="CT142" s="517"/>
      <c r="CU142" s="517"/>
      <c r="CV142" s="517"/>
      <c r="CW142" s="517"/>
      <c r="CX142" s="517"/>
      <c r="CY142" s="517"/>
      <c r="CZ142" s="517"/>
      <c r="DA142" s="517"/>
      <c r="DB142" s="517"/>
      <c r="DC142" s="517"/>
      <c r="DD142" s="517"/>
      <c r="DE142" s="517"/>
      <c r="DF142" s="517"/>
      <c r="DG142" s="517"/>
      <c r="DH142" s="517"/>
      <c r="DI142" s="517"/>
      <c r="DJ142" s="517"/>
      <c r="DK142" s="517"/>
      <c r="DL142" s="517"/>
      <c r="DM142" s="517"/>
      <c r="DN142" s="517"/>
      <c r="DO142" s="517"/>
      <c r="DP142" s="517"/>
      <c r="DQ142" s="517"/>
      <c r="DR142" s="517"/>
      <c r="DS142" s="517"/>
      <c r="DT142" s="517"/>
      <c r="DU142" s="517"/>
      <c r="DV142" s="517"/>
      <c r="DW142" s="517"/>
      <c r="DX142" s="517"/>
      <c r="DY142" s="517"/>
      <c r="DZ142" s="517"/>
      <c r="EA142" s="517"/>
      <c r="EB142" s="517"/>
      <c r="EC142" s="517"/>
      <c r="ED142" s="517"/>
      <c r="EE142" s="517"/>
      <c r="EF142" s="517"/>
      <c r="EG142" s="517"/>
      <c r="EH142" s="517"/>
      <c r="EI142" s="517"/>
      <c r="EJ142" s="517"/>
      <c r="EK142" s="517"/>
      <c r="EL142" s="517"/>
      <c r="EM142" s="517"/>
      <c r="EN142" s="517"/>
      <c r="EO142" s="517"/>
      <c r="EP142" s="517"/>
      <c r="EQ142" s="517"/>
      <c r="ER142" s="517"/>
      <c r="ES142" s="627" t="s">
        <v>1140</v>
      </c>
    </row>
    <row r="143">
      <c r="A143" s="517"/>
      <c r="B143" s="517"/>
      <c r="C143" s="517"/>
      <c r="D143" s="517"/>
      <c r="E143" s="517"/>
      <c r="F143" s="517"/>
      <c r="G143" s="517"/>
      <c r="H143" s="517"/>
      <c r="I143" s="517"/>
      <c r="J143" s="517"/>
      <c r="K143" s="517"/>
      <c r="L143" s="517"/>
      <c r="M143" s="517"/>
      <c r="N143" s="517"/>
      <c r="O143" s="517"/>
      <c r="P143" s="517"/>
      <c r="Q143" s="517"/>
      <c r="R143" s="517"/>
      <c r="S143" s="517"/>
      <c r="T143" s="517"/>
      <c r="U143" s="517"/>
      <c r="V143" s="517"/>
      <c r="W143" s="517"/>
      <c r="X143" s="517"/>
      <c r="Y143" s="517"/>
      <c r="Z143" s="517"/>
      <c r="AA143" s="517"/>
      <c r="AB143" s="517"/>
      <c r="AC143" s="517"/>
      <c r="AD143" s="517"/>
      <c r="AE143" s="517"/>
      <c r="AF143" s="517"/>
      <c r="AG143" s="517"/>
      <c r="AH143" s="517"/>
      <c r="AI143" s="517"/>
      <c r="AJ143" s="517"/>
      <c r="AK143" s="517"/>
      <c r="AL143" s="517"/>
      <c r="AM143" s="517"/>
      <c r="AN143" s="517"/>
      <c r="AO143" s="517"/>
      <c r="AP143" s="517"/>
      <c r="AQ143" s="517"/>
      <c r="AR143" s="517"/>
      <c r="AS143" s="517"/>
      <c r="AT143" s="517"/>
      <c r="AU143" s="517"/>
      <c r="AV143" s="517"/>
      <c r="AW143" s="517"/>
      <c r="AX143" s="517"/>
      <c r="AY143" s="517"/>
      <c r="AZ143" s="517"/>
      <c r="BA143" s="517"/>
      <c r="BB143" s="517"/>
      <c r="BC143" s="517"/>
      <c r="BD143" s="517"/>
      <c r="BE143" s="517"/>
      <c r="BF143" s="517"/>
      <c r="BG143" s="517"/>
      <c r="BH143" s="517"/>
      <c r="BI143" s="517"/>
      <c r="BJ143" s="517"/>
      <c r="BK143" s="517"/>
      <c r="BL143" s="517"/>
      <c r="BM143" s="517"/>
      <c r="BN143" s="517"/>
      <c r="BO143" s="517"/>
      <c r="BP143" s="517"/>
      <c r="BQ143" s="517"/>
      <c r="BR143" s="517"/>
      <c r="BS143" s="517"/>
      <c r="BT143" s="517"/>
      <c r="BU143" s="517"/>
      <c r="BV143" s="517"/>
      <c r="BW143" s="517"/>
      <c r="BX143" s="517"/>
      <c r="BY143" s="517"/>
      <c r="BZ143" s="517"/>
      <c r="CA143" s="517"/>
      <c r="CB143" s="517"/>
      <c r="CC143" s="517"/>
      <c r="CD143" s="517"/>
      <c r="CE143" s="517"/>
      <c r="CF143" s="517"/>
      <c r="CG143" s="517"/>
      <c r="CH143" s="517"/>
      <c r="CI143" s="517"/>
      <c r="CJ143" s="517"/>
      <c r="CK143" s="517"/>
      <c r="CL143" s="517"/>
      <c r="CM143" s="517"/>
      <c r="CN143" s="517"/>
      <c r="CO143" s="517"/>
      <c r="CP143" s="517"/>
      <c r="CQ143" s="517"/>
      <c r="CR143" s="517"/>
      <c r="CS143" s="517"/>
      <c r="CT143" s="517"/>
      <c r="CU143" s="517"/>
      <c r="CV143" s="517"/>
      <c r="CW143" s="517"/>
      <c r="CX143" s="517"/>
      <c r="CY143" s="517"/>
      <c r="CZ143" s="517"/>
      <c r="DA143" s="517"/>
      <c r="DB143" s="517"/>
      <c r="DC143" s="517"/>
      <c r="DD143" s="517"/>
      <c r="DE143" s="517"/>
      <c r="DF143" s="517"/>
      <c r="DG143" s="517"/>
      <c r="DH143" s="517"/>
      <c r="DI143" s="517"/>
      <c r="DJ143" s="517"/>
      <c r="DK143" s="517"/>
      <c r="DL143" s="517"/>
      <c r="DM143" s="517"/>
      <c r="DN143" s="517"/>
      <c r="DO143" s="517"/>
      <c r="DP143" s="517"/>
      <c r="DQ143" s="517"/>
      <c r="DR143" s="517"/>
      <c r="DS143" s="517"/>
      <c r="DT143" s="517"/>
      <c r="DU143" s="517"/>
      <c r="DV143" s="517"/>
      <c r="DW143" s="517"/>
      <c r="DX143" s="517"/>
      <c r="DY143" s="517"/>
      <c r="DZ143" s="517"/>
      <c r="EA143" s="517"/>
      <c r="EB143" s="517"/>
      <c r="EC143" s="517"/>
      <c r="ED143" s="517"/>
      <c r="EE143" s="517"/>
      <c r="EF143" s="517"/>
      <c r="EG143" s="517"/>
      <c r="EH143" s="517"/>
      <c r="EI143" s="517"/>
      <c r="EJ143" s="517"/>
      <c r="EK143" s="517"/>
      <c r="EL143" s="517"/>
      <c r="EM143" s="517"/>
      <c r="EN143" s="517"/>
      <c r="EO143" s="517"/>
      <c r="EP143" s="517"/>
      <c r="EQ143" s="517"/>
      <c r="ER143" s="517"/>
      <c r="ES143" s="627" t="s">
        <v>1140</v>
      </c>
    </row>
    <row r="144">
      <c r="A144" s="517"/>
      <c r="B144" s="517"/>
      <c r="C144" s="517"/>
      <c r="D144" s="517"/>
      <c r="E144" s="517"/>
      <c r="F144" s="517"/>
      <c r="G144" s="517"/>
      <c r="H144" s="517"/>
      <c r="I144" s="517"/>
      <c r="J144" s="517"/>
      <c r="K144" s="517"/>
      <c r="L144" s="517"/>
      <c r="M144" s="517"/>
      <c r="N144" s="517"/>
      <c r="O144" s="517"/>
      <c r="P144" s="517"/>
      <c r="Q144" s="517"/>
      <c r="R144" s="517"/>
      <c r="S144" s="517"/>
      <c r="T144" s="517"/>
      <c r="U144" s="517"/>
      <c r="V144" s="517"/>
      <c r="W144" s="517"/>
      <c r="X144" s="517"/>
      <c r="Y144" s="517"/>
      <c r="Z144" s="517"/>
      <c r="AA144" s="517"/>
      <c r="AB144" s="517"/>
      <c r="AC144" s="517"/>
      <c r="AD144" s="517"/>
      <c r="AE144" s="517"/>
      <c r="AF144" s="517"/>
      <c r="AG144" s="517"/>
      <c r="AH144" s="517"/>
      <c r="AI144" s="517"/>
      <c r="AJ144" s="517"/>
      <c r="AK144" s="517"/>
      <c r="AL144" s="517"/>
      <c r="AM144" s="517"/>
      <c r="AN144" s="517"/>
      <c r="AO144" s="517"/>
      <c r="AP144" s="517"/>
      <c r="AQ144" s="517"/>
      <c r="AR144" s="517"/>
      <c r="AS144" s="517"/>
      <c r="AT144" s="517"/>
      <c r="AU144" s="517"/>
      <c r="AV144" s="517"/>
      <c r="AW144" s="517"/>
      <c r="AX144" s="517"/>
      <c r="AY144" s="517"/>
      <c r="AZ144" s="517"/>
      <c r="BA144" s="517"/>
      <c r="BB144" s="517"/>
      <c r="BC144" s="517"/>
      <c r="BD144" s="517"/>
      <c r="BE144" s="517"/>
      <c r="BF144" s="517"/>
      <c r="BG144" s="517"/>
      <c r="BH144" s="517"/>
      <c r="BI144" s="517"/>
      <c r="BJ144" s="517"/>
      <c r="BK144" s="517"/>
      <c r="BL144" s="517"/>
      <c r="BM144" s="517"/>
      <c r="BN144" s="517"/>
      <c r="BO144" s="517"/>
      <c r="BP144" s="517"/>
      <c r="BQ144" s="517"/>
      <c r="BR144" s="517"/>
      <c r="BS144" s="517"/>
      <c r="BT144" s="517"/>
      <c r="BU144" s="517"/>
      <c r="BV144" s="517"/>
      <c r="BW144" s="517"/>
      <c r="BX144" s="517"/>
      <c r="BY144" s="517"/>
      <c r="BZ144" s="517"/>
      <c r="CA144" s="517"/>
      <c r="CB144" s="517"/>
      <c r="CC144" s="517"/>
      <c r="CD144" s="517"/>
      <c r="CE144" s="517"/>
      <c r="CF144" s="517"/>
      <c r="CG144" s="517"/>
      <c r="CH144" s="517"/>
      <c r="CI144" s="517"/>
      <c r="CJ144" s="517"/>
      <c r="CK144" s="517"/>
      <c r="CL144" s="517"/>
      <c r="CM144" s="517"/>
      <c r="CN144" s="517"/>
      <c r="CO144" s="517"/>
      <c r="CP144" s="517"/>
      <c r="CQ144" s="517"/>
      <c r="CR144" s="517"/>
      <c r="CS144" s="517"/>
      <c r="CT144" s="517"/>
      <c r="CU144" s="517"/>
      <c r="CV144" s="517"/>
      <c r="CW144" s="517"/>
      <c r="CX144" s="517"/>
      <c r="CY144" s="517"/>
      <c r="CZ144" s="517"/>
      <c r="DA144" s="517"/>
      <c r="DB144" s="517"/>
      <c r="DC144" s="517"/>
      <c r="DD144" s="517"/>
      <c r="DE144" s="517"/>
      <c r="DF144" s="517"/>
      <c r="DG144" s="517"/>
      <c r="DH144" s="517"/>
      <c r="DI144" s="517"/>
      <c r="DJ144" s="517"/>
      <c r="DK144" s="517"/>
      <c r="DL144" s="517"/>
      <c r="DM144" s="517"/>
      <c r="DN144" s="517"/>
      <c r="DO144" s="517"/>
      <c r="DP144" s="517"/>
      <c r="DQ144" s="517"/>
      <c r="DR144" s="517"/>
      <c r="DS144" s="517"/>
      <c r="DT144" s="517"/>
      <c r="DU144" s="517"/>
      <c r="DV144" s="517"/>
      <c r="DW144" s="517"/>
      <c r="DX144" s="517"/>
      <c r="DY144" s="517"/>
      <c r="DZ144" s="517"/>
      <c r="EA144" s="517"/>
      <c r="EB144" s="517"/>
      <c r="EC144" s="517"/>
      <c r="ED144" s="517"/>
      <c r="EE144" s="517"/>
      <c r="EF144" s="517"/>
      <c r="EG144" s="517"/>
      <c r="EH144" s="517"/>
      <c r="EI144" s="517"/>
      <c r="EJ144" s="517"/>
      <c r="EK144" s="517"/>
      <c r="EL144" s="517"/>
      <c r="EM144" s="517"/>
      <c r="EN144" s="517"/>
      <c r="EO144" s="517"/>
      <c r="EP144" s="517"/>
      <c r="EQ144" s="517"/>
      <c r="ER144" s="517"/>
      <c r="ES144" s="627" t="s">
        <v>1140</v>
      </c>
    </row>
    <row r="145">
      <c r="A145" s="517"/>
      <c r="B145" s="517"/>
      <c r="C145" s="517"/>
      <c r="D145" s="517"/>
      <c r="E145" s="517"/>
      <c r="F145" s="517"/>
      <c r="G145" s="517"/>
      <c r="H145" s="517"/>
      <c r="I145" s="517"/>
      <c r="J145" s="517"/>
      <c r="K145" s="517"/>
      <c r="L145" s="517"/>
      <c r="M145" s="517"/>
      <c r="N145" s="517"/>
      <c r="O145" s="517"/>
      <c r="P145" s="517"/>
      <c r="Q145" s="517"/>
      <c r="R145" s="517"/>
      <c r="S145" s="517"/>
      <c r="T145" s="517"/>
      <c r="U145" s="517"/>
      <c r="V145" s="517"/>
      <c r="W145" s="517"/>
      <c r="X145" s="517"/>
      <c r="Y145" s="517"/>
      <c r="Z145" s="517"/>
      <c r="AA145" s="517"/>
      <c r="AB145" s="517"/>
      <c r="AC145" s="517"/>
      <c r="AD145" s="517"/>
      <c r="AE145" s="517"/>
      <c r="AF145" s="517"/>
      <c r="AG145" s="517"/>
      <c r="AH145" s="517"/>
      <c r="AI145" s="517"/>
      <c r="AJ145" s="517"/>
      <c r="AK145" s="517"/>
      <c r="AL145" s="517"/>
      <c r="AM145" s="517"/>
      <c r="AN145" s="517"/>
      <c r="AO145" s="517"/>
      <c r="AP145" s="517"/>
      <c r="AQ145" s="517"/>
      <c r="AR145" s="517"/>
      <c r="AS145" s="517"/>
      <c r="AT145" s="517"/>
      <c r="AU145" s="517"/>
      <c r="AV145" s="517"/>
      <c r="AW145" s="517"/>
      <c r="AX145" s="517"/>
      <c r="AY145" s="517"/>
      <c r="AZ145" s="517"/>
      <c r="BA145" s="517"/>
      <c r="BB145" s="517"/>
      <c r="BC145" s="517"/>
      <c r="BD145" s="517"/>
      <c r="BE145" s="517"/>
      <c r="BF145" s="517"/>
      <c r="BG145" s="517"/>
      <c r="BH145" s="517"/>
      <c r="BI145" s="517"/>
      <c r="BJ145" s="517"/>
      <c r="BK145" s="517"/>
      <c r="BL145" s="517"/>
      <c r="BM145" s="517"/>
      <c r="BN145" s="517"/>
      <c r="BO145" s="517"/>
      <c r="BP145" s="517"/>
      <c r="BQ145" s="517"/>
      <c r="BR145" s="517"/>
      <c r="BS145" s="517"/>
      <c r="BT145" s="517"/>
      <c r="BU145" s="517"/>
      <c r="BV145" s="517"/>
      <c r="BW145" s="517"/>
      <c r="BX145" s="517"/>
      <c r="BY145" s="517"/>
      <c r="BZ145" s="517"/>
      <c r="CA145" s="517"/>
      <c r="CB145" s="517"/>
      <c r="CC145" s="517"/>
      <c r="CD145" s="517"/>
      <c r="CE145" s="517"/>
      <c r="CF145" s="517"/>
      <c r="CG145" s="517"/>
      <c r="CH145" s="517"/>
      <c r="CI145" s="517"/>
      <c r="CJ145" s="517"/>
      <c r="CK145" s="517"/>
      <c r="CL145" s="517"/>
      <c r="CM145" s="517"/>
      <c r="CN145" s="517"/>
      <c r="CO145" s="517"/>
      <c r="CP145" s="517"/>
      <c r="CQ145" s="517"/>
      <c r="CR145" s="517"/>
      <c r="CS145" s="517"/>
      <c r="CT145" s="517"/>
      <c r="CU145" s="517"/>
      <c r="CV145" s="517"/>
      <c r="CW145" s="517"/>
      <c r="CX145" s="517"/>
      <c r="CY145" s="517"/>
      <c r="CZ145" s="517"/>
      <c r="DA145" s="517"/>
      <c r="DB145" s="517"/>
      <c r="DC145" s="517"/>
      <c r="DD145" s="517"/>
      <c r="DE145" s="517"/>
      <c r="DF145" s="517"/>
      <c r="DG145" s="517"/>
      <c r="DH145" s="517"/>
      <c r="DI145" s="517"/>
      <c r="DJ145" s="517"/>
      <c r="DK145" s="517"/>
      <c r="DL145" s="517"/>
      <c r="DM145" s="517"/>
      <c r="DN145" s="517"/>
      <c r="DO145" s="517"/>
      <c r="DP145" s="517"/>
      <c r="DQ145" s="517"/>
      <c r="DR145" s="517"/>
      <c r="DS145" s="517"/>
      <c r="DT145" s="517"/>
      <c r="DU145" s="517"/>
      <c r="DV145" s="517"/>
      <c r="DW145" s="517"/>
      <c r="DX145" s="517"/>
      <c r="DY145" s="517"/>
      <c r="DZ145" s="517"/>
      <c r="EA145" s="517"/>
      <c r="EB145" s="517"/>
      <c r="EC145" s="517"/>
      <c r="ED145" s="517"/>
      <c r="EE145" s="517"/>
      <c r="EF145" s="517"/>
      <c r="EG145" s="517"/>
      <c r="EH145" s="517"/>
      <c r="EI145" s="517"/>
      <c r="EJ145" s="517"/>
      <c r="EK145" s="517"/>
      <c r="EL145" s="517"/>
      <c r="EM145" s="517"/>
      <c r="EN145" s="517"/>
      <c r="EO145" s="517"/>
      <c r="EP145" s="517"/>
      <c r="EQ145" s="517"/>
      <c r="ER145" s="517"/>
      <c r="ES145" s="627" t="s">
        <v>1140</v>
      </c>
    </row>
    <row r="146">
      <c r="A146" s="517"/>
      <c r="B146" s="517"/>
      <c r="C146" s="517"/>
      <c r="D146" s="517"/>
      <c r="E146" s="517"/>
      <c r="F146" s="517"/>
      <c r="G146" s="517"/>
      <c r="H146" s="517"/>
      <c r="I146" s="517"/>
      <c r="J146" s="517"/>
      <c r="K146" s="517"/>
      <c r="L146" s="517"/>
      <c r="M146" s="517"/>
      <c r="N146" s="517"/>
      <c r="O146" s="517"/>
      <c r="P146" s="517"/>
      <c r="Q146" s="517"/>
      <c r="R146" s="517"/>
      <c r="S146" s="517"/>
      <c r="T146" s="517"/>
      <c r="U146" s="517"/>
      <c r="V146" s="517"/>
      <c r="W146" s="517"/>
      <c r="X146" s="517"/>
      <c r="Y146" s="517"/>
      <c r="Z146" s="517"/>
      <c r="AA146" s="517"/>
      <c r="AB146" s="517"/>
      <c r="AC146" s="517"/>
      <c r="AD146" s="517"/>
      <c r="AE146" s="517"/>
      <c r="AF146" s="517"/>
      <c r="AG146" s="517"/>
      <c r="AH146" s="517"/>
      <c r="AI146" s="517"/>
      <c r="AJ146" s="517"/>
      <c r="AK146" s="517"/>
      <c r="AL146" s="517"/>
      <c r="AM146" s="517"/>
      <c r="AN146" s="517"/>
      <c r="AO146" s="517"/>
      <c r="AP146" s="517"/>
      <c r="AQ146" s="517"/>
      <c r="AR146" s="517"/>
      <c r="AS146" s="517"/>
      <c r="AT146" s="517"/>
      <c r="AU146" s="517"/>
      <c r="AV146" s="517"/>
      <c r="AW146" s="517"/>
      <c r="AX146" s="517"/>
      <c r="AY146" s="517"/>
      <c r="AZ146" s="517"/>
      <c r="BA146" s="517"/>
      <c r="BB146" s="517"/>
      <c r="BC146" s="517"/>
      <c r="BD146" s="517"/>
      <c r="BE146" s="517"/>
      <c r="BF146" s="517"/>
      <c r="BG146" s="517"/>
      <c r="BH146" s="517"/>
      <c r="BI146" s="517"/>
      <c r="BJ146" s="517"/>
      <c r="BK146" s="517"/>
      <c r="BL146" s="517"/>
      <c r="BM146" s="517"/>
      <c r="BN146" s="517"/>
      <c r="BO146" s="517"/>
      <c r="BP146" s="517"/>
      <c r="BQ146" s="517"/>
      <c r="BR146" s="517"/>
      <c r="BS146" s="517"/>
      <c r="BT146" s="517"/>
      <c r="BU146" s="517"/>
      <c r="BV146" s="517"/>
      <c r="BW146" s="517"/>
      <c r="BX146" s="517"/>
      <c r="BY146" s="517"/>
      <c r="BZ146" s="517"/>
      <c r="CA146" s="517"/>
      <c r="CB146" s="517"/>
      <c r="CC146" s="517"/>
      <c r="CD146" s="517"/>
      <c r="CE146" s="517"/>
      <c r="CF146" s="517"/>
      <c r="CG146" s="517"/>
      <c r="CH146" s="517"/>
      <c r="CI146" s="517"/>
      <c r="CJ146" s="517"/>
      <c r="CK146" s="517"/>
      <c r="CL146" s="517"/>
      <c r="CM146" s="517"/>
      <c r="CN146" s="517"/>
      <c r="CO146" s="517"/>
      <c r="CP146" s="517"/>
      <c r="CQ146" s="517"/>
      <c r="CR146" s="517"/>
      <c r="CS146" s="517"/>
      <c r="CT146" s="517"/>
      <c r="CU146" s="517"/>
      <c r="CV146" s="517"/>
      <c r="CW146" s="517"/>
      <c r="CX146" s="517"/>
      <c r="CY146" s="517"/>
      <c r="CZ146" s="517"/>
      <c r="DA146" s="517"/>
      <c r="DB146" s="517"/>
      <c r="DC146" s="517"/>
      <c r="DD146" s="517"/>
      <c r="DE146" s="517"/>
      <c r="DF146" s="517"/>
      <c r="DG146" s="517"/>
      <c r="DH146" s="517"/>
      <c r="DI146" s="517"/>
      <c r="DJ146" s="517"/>
      <c r="DK146" s="517"/>
      <c r="DL146" s="517"/>
      <c r="DM146" s="517"/>
      <c r="DN146" s="517"/>
      <c r="DO146" s="517"/>
      <c r="DP146" s="517"/>
      <c r="DQ146" s="517"/>
      <c r="DR146" s="517"/>
      <c r="DS146" s="517"/>
      <c r="DT146" s="517"/>
      <c r="DU146" s="517"/>
      <c r="DV146" s="517"/>
      <c r="DW146" s="517"/>
      <c r="DX146" s="517"/>
      <c r="DY146" s="517"/>
      <c r="DZ146" s="517"/>
      <c r="EA146" s="517"/>
      <c r="EB146" s="517"/>
      <c r="EC146" s="517"/>
      <c r="ED146" s="517"/>
      <c r="EE146" s="517"/>
      <c r="EF146" s="517"/>
      <c r="EG146" s="517"/>
      <c r="EH146" s="517"/>
      <c r="EI146" s="517"/>
      <c r="EJ146" s="517"/>
      <c r="EK146" s="517"/>
      <c r="EL146" s="517"/>
      <c r="EM146" s="517"/>
      <c r="EN146" s="517"/>
      <c r="EO146" s="517"/>
      <c r="EP146" s="517"/>
      <c r="EQ146" s="517"/>
      <c r="ER146" s="517"/>
      <c r="ES146" s="627" t="s">
        <v>1140</v>
      </c>
    </row>
    <row r="147">
      <c r="A147" s="517"/>
      <c r="B147" s="517"/>
      <c r="C147" s="517"/>
      <c r="D147" s="517"/>
      <c r="E147" s="517"/>
      <c r="F147" s="517"/>
      <c r="G147" s="517"/>
      <c r="H147" s="517"/>
      <c r="I147" s="517"/>
      <c r="J147" s="517"/>
      <c r="K147" s="517"/>
      <c r="L147" s="517"/>
      <c r="M147" s="517"/>
      <c r="N147" s="517"/>
      <c r="O147" s="517"/>
      <c r="P147" s="517"/>
      <c r="Q147" s="517"/>
      <c r="R147" s="517"/>
      <c r="S147" s="517"/>
      <c r="T147" s="517"/>
      <c r="U147" s="517"/>
      <c r="V147" s="517"/>
      <c r="W147" s="517"/>
      <c r="X147" s="517"/>
      <c r="Y147" s="517"/>
      <c r="Z147" s="517"/>
      <c r="AA147" s="517"/>
      <c r="AB147" s="517"/>
      <c r="AC147" s="517"/>
      <c r="AD147" s="517"/>
      <c r="AE147" s="517"/>
      <c r="AF147" s="517"/>
      <c r="AG147" s="517"/>
      <c r="AH147" s="517"/>
      <c r="AI147" s="517"/>
      <c r="AJ147" s="517"/>
      <c r="AK147" s="517"/>
      <c r="AL147" s="517"/>
      <c r="AM147" s="517"/>
      <c r="AN147" s="517"/>
      <c r="AO147" s="517"/>
      <c r="AP147" s="517"/>
      <c r="AQ147" s="517"/>
      <c r="AR147" s="517"/>
      <c r="AS147" s="517"/>
      <c r="AT147" s="517"/>
      <c r="AU147" s="517"/>
      <c r="AV147" s="517"/>
      <c r="AW147" s="517"/>
      <c r="AX147" s="517"/>
      <c r="AY147" s="517"/>
      <c r="AZ147" s="517"/>
      <c r="BA147" s="517"/>
      <c r="BB147" s="517"/>
      <c r="BC147" s="517"/>
      <c r="BD147" s="517"/>
      <c r="BE147" s="517"/>
      <c r="BF147" s="517"/>
      <c r="BG147" s="517"/>
      <c r="BH147" s="517"/>
      <c r="BI147" s="517"/>
      <c r="BJ147" s="517"/>
      <c r="BK147" s="517"/>
      <c r="BL147" s="517"/>
      <c r="BM147" s="517"/>
      <c r="BN147" s="517"/>
      <c r="BO147" s="517"/>
      <c r="BP147" s="517"/>
      <c r="BQ147" s="517"/>
      <c r="BR147" s="517"/>
      <c r="BS147" s="517"/>
      <c r="BT147" s="517"/>
      <c r="BU147" s="517"/>
      <c r="BV147" s="517"/>
      <c r="BW147" s="517"/>
      <c r="BX147" s="517"/>
      <c r="BY147" s="517"/>
      <c r="BZ147" s="517"/>
      <c r="CA147" s="517"/>
      <c r="CB147" s="517"/>
      <c r="CC147" s="517"/>
      <c r="CD147" s="517"/>
      <c r="CE147" s="517"/>
      <c r="CF147" s="517"/>
      <c r="CG147" s="517"/>
      <c r="CH147" s="517"/>
      <c r="CI147" s="517"/>
      <c r="CJ147" s="517"/>
      <c r="CK147" s="517"/>
      <c r="CL147" s="517"/>
      <c r="CM147" s="517"/>
      <c r="CN147" s="517"/>
      <c r="CO147" s="517"/>
      <c r="CP147" s="517"/>
      <c r="CQ147" s="517"/>
      <c r="CR147" s="517"/>
      <c r="CS147" s="517"/>
      <c r="CT147" s="517"/>
      <c r="CU147" s="517"/>
      <c r="CV147" s="517"/>
      <c r="CW147" s="517"/>
      <c r="CX147" s="517"/>
      <c r="CY147" s="517"/>
      <c r="CZ147" s="517"/>
      <c r="DA147" s="517"/>
      <c r="DB147" s="517"/>
      <c r="DC147" s="517"/>
      <c r="DD147" s="517"/>
      <c r="DE147" s="517"/>
      <c r="DF147" s="517"/>
      <c r="DG147" s="517"/>
      <c r="DH147" s="517"/>
      <c r="DI147" s="517"/>
      <c r="DJ147" s="517"/>
      <c r="DK147" s="517"/>
      <c r="DL147" s="517"/>
      <c r="DM147" s="517"/>
      <c r="DN147" s="517"/>
      <c r="DO147" s="517"/>
      <c r="DP147" s="517"/>
      <c r="DQ147" s="517"/>
      <c r="DR147" s="517"/>
      <c r="DS147" s="517"/>
      <c r="DT147" s="517"/>
      <c r="DU147" s="517"/>
      <c r="DV147" s="517"/>
      <c r="DW147" s="517"/>
      <c r="DX147" s="517"/>
      <c r="DY147" s="517"/>
      <c r="DZ147" s="517"/>
      <c r="EA147" s="517"/>
      <c r="EB147" s="517"/>
      <c r="EC147" s="517"/>
      <c r="ED147" s="517"/>
      <c r="EE147" s="517"/>
      <c r="EF147" s="517"/>
      <c r="EG147" s="517"/>
      <c r="EH147" s="517"/>
      <c r="EI147" s="517"/>
      <c r="EJ147" s="517"/>
      <c r="EK147" s="517"/>
      <c r="EL147" s="517"/>
      <c r="EM147" s="517"/>
      <c r="EN147" s="517"/>
      <c r="EO147" s="517"/>
      <c r="EP147" s="517"/>
      <c r="EQ147" s="517"/>
      <c r="ER147" s="517"/>
      <c r="ES147" s="627" t="s">
        <v>1140</v>
      </c>
    </row>
    <row r="148">
      <c r="A148" s="517"/>
      <c r="B148" s="517"/>
      <c r="C148" s="517"/>
      <c r="D148" s="517"/>
      <c r="E148" s="517"/>
      <c r="F148" s="517"/>
      <c r="G148" s="517"/>
      <c r="H148" s="517"/>
      <c r="I148" s="517"/>
      <c r="J148" s="517"/>
      <c r="K148" s="517"/>
      <c r="L148" s="517"/>
      <c r="M148" s="517"/>
      <c r="N148" s="517"/>
      <c r="O148" s="517"/>
      <c r="P148" s="517"/>
      <c r="Q148" s="517"/>
      <c r="R148" s="517"/>
      <c r="S148" s="517"/>
      <c r="T148" s="517"/>
      <c r="U148" s="517"/>
      <c r="V148" s="517"/>
      <c r="W148" s="517"/>
      <c r="X148" s="517"/>
      <c r="Y148" s="517"/>
      <c r="Z148" s="517"/>
      <c r="AA148" s="517"/>
      <c r="AB148" s="517"/>
      <c r="AC148" s="517"/>
      <c r="AD148" s="517"/>
      <c r="AE148" s="517"/>
      <c r="AF148" s="517"/>
      <c r="AG148" s="517"/>
      <c r="AH148" s="517"/>
      <c r="AI148" s="517"/>
      <c r="AJ148" s="517"/>
      <c r="AK148" s="517"/>
      <c r="AL148" s="517"/>
      <c r="AM148" s="517"/>
      <c r="AN148" s="517"/>
      <c r="AO148" s="517"/>
      <c r="AP148" s="517"/>
      <c r="AQ148" s="517"/>
      <c r="AR148" s="517"/>
      <c r="AS148" s="517"/>
      <c r="AT148" s="517"/>
      <c r="AU148" s="517"/>
      <c r="AV148" s="517"/>
      <c r="AW148" s="517"/>
      <c r="AX148" s="517"/>
      <c r="AY148" s="517"/>
      <c r="AZ148" s="517"/>
      <c r="BA148" s="517"/>
      <c r="BB148" s="517"/>
      <c r="BC148" s="517"/>
      <c r="BD148" s="517"/>
      <c r="BE148" s="517"/>
      <c r="BF148" s="517"/>
      <c r="BG148" s="517"/>
      <c r="BH148" s="517"/>
      <c r="BI148" s="517"/>
      <c r="BJ148" s="517"/>
      <c r="BK148" s="517"/>
      <c r="BL148" s="517"/>
      <c r="BM148" s="517"/>
      <c r="BN148" s="517"/>
      <c r="BO148" s="517"/>
      <c r="BP148" s="517"/>
      <c r="BQ148" s="517"/>
      <c r="BR148" s="517"/>
      <c r="BS148" s="517"/>
      <c r="BT148" s="517"/>
      <c r="BU148" s="517"/>
      <c r="BV148" s="517"/>
      <c r="BW148" s="517"/>
      <c r="BX148" s="517"/>
      <c r="BY148" s="517"/>
      <c r="BZ148" s="517"/>
      <c r="CA148" s="517"/>
      <c r="CB148" s="517"/>
      <c r="CC148" s="517"/>
      <c r="CD148" s="517"/>
      <c r="CE148" s="517"/>
      <c r="CF148" s="517"/>
      <c r="CG148" s="517"/>
      <c r="CH148" s="517"/>
      <c r="CI148" s="517"/>
      <c r="CJ148" s="517"/>
      <c r="CK148" s="517"/>
      <c r="CL148" s="517"/>
      <c r="CM148" s="517"/>
      <c r="CN148" s="517"/>
      <c r="CO148" s="517"/>
      <c r="CP148" s="517"/>
      <c r="CQ148" s="517"/>
      <c r="CR148" s="517"/>
      <c r="CS148" s="517"/>
      <c r="CT148" s="517"/>
      <c r="CU148" s="517"/>
      <c r="CV148" s="517"/>
      <c r="CW148" s="517"/>
      <c r="CX148" s="517"/>
      <c r="CY148" s="517"/>
      <c r="CZ148" s="517"/>
      <c r="DA148" s="517"/>
      <c r="DB148" s="517"/>
      <c r="DC148" s="517"/>
      <c r="DD148" s="517"/>
      <c r="DE148" s="517"/>
      <c r="DF148" s="517"/>
      <c r="DG148" s="517"/>
      <c r="DH148" s="517"/>
      <c r="DI148" s="517"/>
      <c r="DJ148" s="517"/>
      <c r="DK148" s="517"/>
      <c r="DL148" s="517"/>
      <c r="DM148" s="517"/>
      <c r="DN148" s="517"/>
      <c r="DO148" s="517"/>
      <c r="DP148" s="517"/>
      <c r="DQ148" s="517"/>
      <c r="DR148" s="517"/>
      <c r="DS148" s="517"/>
      <c r="DT148" s="517"/>
      <c r="DU148" s="517"/>
      <c r="DV148" s="517"/>
      <c r="DW148" s="517"/>
      <c r="DX148" s="517"/>
      <c r="DY148" s="517"/>
      <c r="DZ148" s="517"/>
      <c r="EA148" s="517"/>
      <c r="EB148" s="517"/>
      <c r="EC148" s="517"/>
      <c r="ED148" s="517"/>
      <c r="EE148" s="517"/>
      <c r="EF148" s="517"/>
      <c r="EG148" s="517"/>
      <c r="EH148" s="517"/>
      <c r="EI148" s="517"/>
      <c r="EJ148" s="517"/>
      <c r="EK148" s="517"/>
      <c r="EL148" s="517"/>
      <c r="EM148" s="517"/>
      <c r="EN148" s="517"/>
      <c r="EO148" s="517"/>
      <c r="EP148" s="517"/>
      <c r="EQ148" s="517"/>
      <c r="ER148" s="517"/>
      <c r="ES148" s="627" t="s">
        <v>1140</v>
      </c>
    </row>
    <row r="149">
      <c r="A149" s="517"/>
      <c r="B149" s="517"/>
      <c r="C149" s="517"/>
      <c r="D149" s="517"/>
      <c r="E149" s="517"/>
      <c r="F149" s="517"/>
      <c r="G149" s="517"/>
      <c r="H149" s="517"/>
      <c r="I149" s="517"/>
      <c r="J149" s="517"/>
      <c r="K149" s="517"/>
      <c r="L149" s="517"/>
      <c r="M149" s="517"/>
      <c r="N149" s="517"/>
      <c r="O149" s="517"/>
      <c r="P149" s="517"/>
      <c r="Q149" s="517"/>
      <c r="R149" s="517"/>
      <c r="S149" s="517"/>
      <c r="T149" s="517"/>
      <c r="U149" s="517"/>
      <c r="V149" s="517"/>
      <c r="W149" s="517"/>
      <c r="X149" s="517"/>
      <c r="Y149" s="517"/>
      <c r="Z149" s="517"/>
      <c r="AA149" s="517"/>
      <c r="AB149" s="517"/>
      <c r="AC149" s="517"/>
      <c r="AD149" s="517"/>
      <c r="AE149" s="517"/>
      <c r="AF149" s="517"/>
      <c r="AG149" s="517"/>
      <c r="AH149" s="517"/>
      <c r="AI149" s="517"/>
      <c r="AJ149" s="517"/>
      <c r="AK149" s="517"/>
      <c r="AL149" s="517"/>
      <c r="AM149" s="517"/>
      <c r="AN149" s="517"/>
      <c r="AO149" s="517"/>
      <c r="AP149" s="517"/>
      <c r="AQ149" s="517"/>
      <c r="AR149" s="517"/>
      <c r="AS149" s="517"/>
      <c r="AT149" s="517"/>
      <c r="AU149" s="517"/>
      <c r="AV149" s="517"/>
      <c r="AW149" s="517"/>
      <c r="AX149" s="517"/>
      <c r="AY149" s="517"/>
      <c r="AZ149" s="517"/>
      <c r="BA149" s="517"/>
      <c r="BB149" s="517"/>
      <c r="BC149" s="517"/>
      <c r="BD149" s="517"/>
      <c r="BE149" s="517"/>
      <c r="BF149" s="517"/>
      <c r="BG149" s="517"/>
      <c r="BH149" s="517"/>
      <c r="BI149" s="517"/>
      <c r="BJ149" s="517"/>
      <c r="BK149" s="517"/>
      <c r="BL149" s="517"/>
      <c r="BM149" s="517"/>
      <c r="BN149" s="517"/>
      <c r="BO149" s="517"/>
      <c r="BP149" s="517"/>
      <c r="BQ149" s="517"/>
      <c r="BR149" s="517"/>
      <c r="BS149" s="517"/>
      <c r="BT149" s="517"/>
      <c r="BU149" s="517"/>
      <c r="BV149" s="517"/>
      <c r="BW149" s="517"/>
      <c r="BX149" s="517"/>
      <c r="BY149" s="517"/>
      <c r="BZ149" s="517"/>
      <c r="CA149" s="517"/>
      <c r="CB149" s="517"/>
      <c r="CC149" s="517"/>
      <c r="CD149" s="517"/>
      <c r="CE149" s="517"/>
      <c r="CF149" s="517"/>
      <c r="CG149" s="517"/>
      <c r="CH149" s="517"/>
      <c r="CI149" s="517"/>
      <c r="CJ149" s="517"/>
      <c r="CK149" s="517"/>
      <c r="CL149" s="517"/>
      <c r="CM149" s="517"/>
      <c r="CN149" s="517"/>
      <c r="CO149" s="517"/>
      <c r="CP149" s="517"/>
      <c r="CQ149" s="517"/>
      <c r="CR149" s="517"/>
      <c r="CS149" s="517"/>
      <c r="CT149" s="517"/>
      <c r="CU149" s="517"/>
      <c r="CV149" s="517"/>
      <c r="CW149" s="517"/>
      <c r="CX149" s="517"/>
      <c r="CY149" s="517"/>
      <c r="CZ149" s="517"/>
      <c r="DA149" s="517"/>
      <c r="DB149" s="517"/>
      <c r="DC149" s="517"/>
      <c r="DD149" s="517"/>
      <c r="DE149" s="517"/>
      <c r="DF149" s="517"/>
      <c r="DG149" s="517"/>
      <c r="DH149" s="517"/>
      <c r="DI149" s="517"/>
      <c r="DJ149" s="517"/>
      <c r="DK149" s="517"/>
      <c r="DL149" s="517"/>
      <c r="DM149" s="517"/>
      <c r="DN149" s="517"/>
      <c r="DO149" s="517"/>
      <c r="DP149" s="517"/>
      <c r="DQ149" s="517"/>
      <c r="DR149" s="517"/>
      <c r="DS149" s="517"/>
      <c r="DT149" s="517"/>
      <c r="DU149" s="517"/>
      <c r="DV149" s="517"/>
      <c r="DW149" s="517"/>
      <c r="DX149" s="517"/>
      <c r="DY149" s="517"/>
      <c r="DZ149" s="517"/>
      <c r="EA149" s="517"/>
      <c r="EB149" s="517"/>
      <c r="EC149" s="517"/>
      <c r="ED149" s="517"/>
      <c r="EE149" s="517"/>
      <c r="EF149" s="517"/>
      <c r="EG149" s="517"/>
      <c r="EH149" s="517"/>
      <c r="EI149" s="517"/>
      <c r="EJ149" s="517"/>
      <c r="EK149" s="517"/>
      <c r="EL149" s="517"/>
      <c r="EM149" s="517"/>
      <c r="EN149" s="517"/>
      <c r="EO149" s="517"/>
      <c r="EP149" s="517"/>
      <c r="EQ149" s="517"/>
      <c r="ER149" s="517"/>
      <c r="ES149" s="627" t="s">
        <v>1140</v>
      </c>
    </row>
    <row r="150">
      <c r="A150" s="517"/>
      <c r="B150" s="517"/>
      <c r="C150" s="517"/>
      <c r="D150" s="517"/>
      <c r="E150" s="517"/>
      <c r="F150" s="517"/>
      <c r="G150" s="517"/>
      <c r="H150" s="517"/>
      <c r="I150" s="517"/>
      <c r="J150" s="517"/>
      <c r="K150" s="517"/>
      <c r="L150" s="517"/>
      <c r="M150" s="517"/>
      <c r="N150" s="517"/>
      <c r="O150" s="517"/>
      <c r="P150" s="517"/>
      <c r="Q150" s="517"/>
      <c r="R150" s="517"/>
      <c r="S150" s="517"/>
      <c r="T150" s="517"/>
      <c r="U150" s="517"/>
      <c r="V150" s="517"/>
      <c r="W150" s="517"/>
      <c r="X150" s="517"/>
      <c r="Y150" s="517"/>
      <c r="Z150" s="517"/>
      <c r="AA150" s="517"/>
      <c r="AB150" s="517"/>
      <c r="AC150" s="517"/>
      <c r="AD150" s="517"/>
      <c r="AE150" s="517"/>
      <c r="AF150" s="517"/>
      <c r="AG150" s="517"/>
      <c r="AH150" s="517"/>
      <c r="AI150" s="517"/>
      <c r="AJ150" s="517"/>
      <c r="AK150" s="517"/>
      <c r="AL150" s="517"/>
      <c r="AM150" s="517"/>
      <c r="AN150" s="517"/>
      <c r="AO150" s="517"/>
      <c r="AP150" s="517"/>
      <c r="AQ150" s="517"/>
      <c r="AR150" s="517"/>
      <c r="AS150" s="517"/>
      <c r="AT150" s="517"/>
      <c r="AU150" s="517"/>
      <c r="AV150" s="517"/>
      <c r="AW150" s="517"/>
      <c r="AX150" s="517"/>
      <c r="AY150" s="517"/>
      <c r="AZ150" s="517"/>
      <c r="BA150" s="517"/>
      <c r="BB150" s="517"/>
      <c r="BC150" s="517"/>
      <c r="BD150" s="517"/>
      <c r="BE150" s="517"/>
      <c r="BF150" s="517"/>
      <c r="BG150" s="517"/>
      <c r="BH150" s="517"/>
      <c r="BI150" s="517"/>
      <c r="BJ150" s="517"/>
      <c r="BK150" s="517"/>
      <c r="BL150" s="517"/>
      <c r="BM150" s="517"/>
      <c r="BN150" s="517"/>
      <c r="BO150" s="517"/>
      <c r="BP150" s="517"/>
      <c r="BQ150" s="517"/>
      <c r="BR150" s="517"/>
      <c r="BS150" s="517"/>
      <c r="BT150" s="517"/>
      <c r="BU150" s="517"/>
      <c r="BV150" s="517"/>
      <c r="BW150" s="517"/>
      <c r="BX150" s="517"/>
      <c r="BY150" s="517"/>
      <c r="BZ150" s="517"/>
      <c r="CA150" s="517"/>
      <c r="CB150" s="517"/>
      <c r="CC150" s="517"/>
      <c r="CD150" s="517"/>
      <c r="CE150" s="517"/>
      <c r="CF150" s="517"/>
      <c r="CG150" s="517"/>
      <c r="CH150" s="517"/>
      <c r="CI150" s="517"/>
      <c r="CJ150" s="517"/>
      <c r="CK150" s="517"/>
      <c r="CL150" s="517"/>
      <c r="CM150" s="517"/>
      <c r="CN150" s="517"/>
      <c r="CO150" s="517"/>
      <c r="CP150" s="517"/>
      <c r="CQ150" s="517"/>
      <c r="CR150" s="517"/>
      <c r="CS150" s="517"/>
      <c r="CT150" s="517"/>
      <c r="CU150" s="517"/>
      <c r="CV150" s="517"/>
      <c r="CW150" s="517"/>
      <c r="CX150" s="517"/>
      <c r="CY150" s="517"/>
      <c r="CZ150" s="517"/>
      <c r="DA150" s="517"/>
      <c r="DB150" s="517"/>
      <c r="DC150" s="517"/>
      <c r="DD150" s="517"/>
      <c r="DE150" s="517"/>
      <c r="DF150" s="517"/>
      <c r="DG150" s="517"/>
      <c r="DH150" s="517"/>
      <c r="DI150" s="517"/>
      <c r="DJ150" s="517"/>
      <c r="DK150" s="517"/>
      <c r="DL150" s="517"/>
      <c r="DM150" s="517"/>
      <c r="DN150" s="517"/>
      <c r="DO150" s="517"/>
      <c r="DP150" s="517"/>
      <c r="DQ150" s="517"/>
      <c r="DR150" s="517"/>
      <c r="DS150" s="517"/>
      <c r="DT150" s="517"/>
      <c r="DU150" s="517"/>
      <c r="DV150" s="517"/>
      <c r="DW150" s="517"/>
      <c r="DX150" s="517"/>
      <c r="DY150" s="517"/>
      <c r="DZ150" s="517"/>
      <c r="EA150" s="517"/>
      <c r="EB150" s="517"/>
      <c r="EC150" s="517"/>
      <c r="ED150" s="517"/>
      <c r="EE150" s="517"/>
      <c r="EF150" s="517"/>
      <c r="EG150" s="517"/>
      <c r="EH150" s="517"/>
      <c r="EI150" s="517"/>
      <c r="EJ150" s="517"/>
      <c r="EK150" s="517"/>
      <c r="EL150" s="517"/>
      <c r="EM150" s="517"/>
      <c r="EN150" s="517"/>
      <c r="EO150" s="517"/>
      <c r="EP150" s="517"/>
      <c r="EQ150" s="517"/>
      <c r="ER150" s="517"/>
      <c r="ES150" s="627" t="s">
        <v>1140</v>
      </c>
    </row>
    <row r="151">
      <c r="A151" s="517"/>
      <c r="B151" s="517"/>
      <c r="C151" s="517"/>
      <c r="D151" s="517"/>
      <c r="E151" s="517"/>
      <c r="F151" s="517"/>
      <c r="G151" s="517"/>
      <c r="H151" s="517"/>
      <c r="I151" s="517"/>
      <c r="J151" s="517"/>
      <c r="K151" s="517"/>
      <c r="L151" s="517"/>
      <c r="M151" s="517"/>
      <c r="N151" s="517"/>
      <c r="O151" s="517"/>
      <c r="P151" s="517"/>
      <c r="Q151" s="517"/>
      <c r="R151" s="517"/>
      <c r="S151" s="517"/>
      <c r="T151" s="517"/>
      <c r="U151" s="517"/>
      <c r="V151" s="517"/>
      <c r="W151" s="517"/>
      <c r="X151" s="517"/>
      <c r="Y151" s="517"/>
      <c r="Z151" s="517"/>
      <c r="AA151" s="517"/>
      <c r="AB151" s="517"/>
      <c r="AC151" s="517"/>
      <c r="AD151" s="517"/>
      <c r="AE151" s="517"/>
      <c r="AF151" s="517"/>
      <c r="AG151" s="517"/>
      <c r="AH151" s="517"/>
      <c r="AI151" s="517"/>
      <c r="AJ151" s="517"/>
      <c r="AK151" s="517"/>
      <c r="AL151" s="517"/>
      <c r="AM151" s="517"/>
      <c r="AN151" s="517"/>
      <c r="AO151" s="517"/>
      <c r="AP151" s="517"/>
      <c r="AQ151" s="517"/>
      <c r="AR151" s="517"/>
      <c r="AS151" s="517"/>
      <c r="AT151" s="517"/>
      <c r="AU151" s="517"/>
      <c r="AV151" s="517"/>
      <c r="AW151" s="517"/>
      <c r="AX151" s="517"/>
      <c r="AY151" s="517"/>
      <c r="AZ151" s="517"/>
      <c r="BA151" s="517"/>
      <c r="BB151" s="517"/>
      <c r="BC151" s="517"/>
      <c r="BD151" s="517"/>
      <c r="BE151" s="517"/>
      <c r="BF151" s="517"/>
      <c r="BG151" s="517"/>
      <c r="BH151" s="517"/>
      <c r="BI151" s="517"/>
      <c r="BJ151" s="517"/>
      <c r="BK151" s="517"/>
      <c r="BL151" s="517"/>
      <c r="BM151" s="517"/>
      <c r="BN151" s="517"/>
      <c r="BO151" s="517"/>
      <c r="BP151" s="517"/>
      <c r="BQ151" s="517"/>
      <c r="BR151" s="517"/>
      <c r="BS151" s="517"/>
      <c r="BT151" s="517"/>
      <c r="BU151" s="517"/>
      <c r="BV151" s="517"/>
      <c r="BW151" s="517"/>
      <c r="BX151" s="517"/>
      <c r="BY151" s="517"/>
      <c r="BZ151" s="517"/>
      <c r="CA151" s="517"/>
      <c r="CB151" s="517"/>
      <c r="CC151" s="517"/>
      <c r="CD151" s="517"/>
      <c r="CE151" s="517"/>
      <c r="CF151" s="517"/>
      <c r="CG151" s="517"/>
      <c r="CH151" s="517"/>
      <c r="CI151" s="517"/>
      <c r="CJ151" s="517"/>
      <c r="CK151" s="517"/>
      <c r="CL151" s="517"/>
      <c r="CM151" s="517"/>
      <c r="CN151" s="517"/>
      <c r="CO151" s="517"/>
      <c r="CP151" s="517"/>
      <c r="CQ151" s="517"/>
      <c r="CR151" s="517"/>
      <c r="CS151" s="517"/>
      <c r="CT151" s="517"/>
      <c r="CU151" s="517"/>
      <c r="CV151" s="517"/>
      <c r="CW151" s="517"/>
      <c r="CX151" s="517"/>
      <c r="CY151" s="517"/>
      <c r="CZ151" s="517"/>
      <c r="DA151" s="517"/>
      <c r="DB151" s="517"/>
      <c r="DC151" s="517"/>
      <c r="DD151" s="517"/>
      <c r="DE151" s="517"/>
      <c r="DF151" s="517"/>
      <c r="DG151" s="517"/>
      <c r="DH151" s="517"/>
      <c r="DI151" s="517"/>
      <c r="DJ151" s="517"/>
      <c r="DK151" s="517"/>
      <c r="DL151" s="517"/>
      <c r="DM151" s="517"/>
      <c r="DN151" s="517"/>
      <c r="DO151" s="517"/>
      <c r="DP151" s="517"/>
      <c r="DQ151" s="517"/>
      <c r="DR151" s="517"/>
      <c r="DS151" s="517"/>
      <c r="DT151" s="517"/>
      <c r="DU151" s="517"/>
      <c r="DV151" s="517"/>
      <c r="DW151" s="517"/>
      <c r="DX151" s="517"/>
      <c r="DY151" s="517"/>
      <c r="DZ151" s="517"/>
      <c r="EA151" s="517"/>
      <c r="EB151" s="517"/>
      <c r="EC151" s="517"/>
      <c r="ED151" s="517"/>
      <c r="EE151" s="517"/>
      <c r="EF151" s="517"/>
      <c r="EG151" s="517"/>
      <c r="EH151" s="517"/>
      <c r="EI151" s="517"/>
      <c r="EJ151" s="517"/>
      <c r="EK151" s="517"/>
      <c r="EL151" s="517"/>
      <c r="EM151" s="517"/>
      <c r="EN151" s="517"/>
      <c r="EO151" s="517"/>
      <c r="EP151" s="517"/>
      <c r="EQ151" s="517"/>
      <c r="ER151" s="517"/>
      <c r="ES151" s="627" t="s">
        <v>1140</v>
      </c>
    </row>
    <row r="152">
      <c r="A152" s="517"/>
      <c r="B152" s="517"/>
      <c r="C152" s="517"/>
      <c r="D152" s="517"/>
      <c r="E152" s="517"/>
      <c r="F152" s="517"/>
      <c r="G152" s="517"/>
      <c r="H152" s="517"/>
      <c r="I152" s="517"/>
      <c r="J152" s="517"/>
      <c r="K152" s="517"/>
      <c r="L152" s="517"/>
      <c r="M152" s="517"/>
      <c r="N152" s="517"/>
      <c r="O152" s="517"/>
      <c r="P152" s="517"/>
      <c r="Q152" s="517"/>
      <c r="R152" s="517"/>
      <c r="S152" s="517"/>
      <c r="T152" s="517"/>
      <c r="U152" s="517"/>
      <c r="V152" s="517"/>
      <c r="W152" s="517"/>
      <c r="X152" s="517"/>
      <c r="Y152" s="517"/>
      <c r="Z152" s="517"/>
      <c r="AA152" s="517"/>
      <c r="AB152" s="517"/>
      <c r="AC152" s="517"/>
      <c r="AD152" s="517"/>
      <c r="AE152" s="517"/>
      <c r="AF152" s="517"/>
      <c r="AG152" s="517"/>
      <c r="AH152" s="517"/>
      <c r="AI152" s="517"/>
      <c r="AJ152" s="517"/>
      <c r="AK152" s="517"/>
      <c r="AL152" s="517"/>
      <c r="AM152" s="517"/>
      <c r="AN152" s="517"/>
      <c r="AO152" s="517"/>
      <c r="AP152" s="517"/>
      <c r="AQ152" s="517"/>
      <c r="AR152" s="517"/>
      <c r="AS152" s="517"/>
      <c r="AT152" s="517"/>
      <c r="AU152" s="517"/>
      <c r="AV152" s="517"/>
      <c r="AW152" s="517"/>
      <c r="AX152" s="517"/>
      <c r="AY152" s="517"/>
      <c r="AZ152" s="517"/>
      <c r="BA152" s="517"/>
      <c r="BB152" s="517"/>
      <c r="BC152" s="517"/>
      <c r="BD152" s="517"/>
      <c r="BE152" s="517"/>
      <c r="BF152" s="517"/>
      <c r="BG152" s="517"/>
      <c r="BH152" s="517"/>
      <c r="BI152" s="517"/>
      <c r="BJ152" s="517"/>
      <c r="BK152" s="517"/>
      <c r="BL152" s="517"/>
      <c r="BM152" s="517"/>
      <c r="BN152" s="517"/>
      <c r="BO152" s="517"/>
      <c r="BP152" s="517"/>
      <c r="BQ152" s="517"/>
      <c r="BR152" s="517"/>
      <c r="BS152" s="517"/>
      <c r="BT152" s="517"/>
      <c r="BU152" s="517"/>
      <c r="BV152" s="517"/>
      <c r="BW152" s="517"/>
      <c r="BX152" s="517"/>
      <c r="BY152" s="517"/>
      <c r="BZ152" s="517"/>
      <c r="CA152" s="517"/>
      <c r="CB152" s="517"/>
      <c r="CC152" s="517"/>
      <c r="CD152" s="517"/>
      <c r="CE152" s="517"/>
      <c r="CF152" s="517"/>
      <c r="CG152" s="517"/>
      <c r="CH152" s="517"/>
      <c r="CI152" s="517"/>
      <c r="CJ152" s="517"/>
      <c r="CK152" s="517"/>
      <c r="CL152" s="517"/>
      <c r="CM152" s="517"/>
      <c r="CN152" s="517"/>
      <c r="CO152" s="517"/>
      <c r="CP152" s="517"/>
      <c r="CQ152" s="517"/>
      <c r="CR152" s="517"/>
      <c r="CS152" s="517"/>
      <c r="CT152" s="517"/>
      <c r="CU152" s="517"/>
      <c r="CV152" s="517"/>
      <c r="CW152" s="517"/>
      <c r="CX152" s="517"/>
      <c r="CY152" s="517"/>
      <c r="CZ152" s="517"/>
      <c r="DA152" s="517"/>
      <c r="DB152" s="517"/>
      <c r="DC152" s="517"/>
      <c r="DD152" s="517"/>
      <c r="DE152" s="517"/>
      <c r="DF152" s="517"/>
      <c r="DG152" s="517"/>
      <c r="DH152" s="517"/>
      <c r="DI152" s="517"/>
      <c r="DJ152" s="517"/>
      <c r="DK152" s="517"/>
      <c r="DL152" s="517"/>
      <c r="DM152" s="517"/>
      <c r="DN152" s="517"/>
      <c r="DO152" s="517"/>
      <c r="DP152" s="517"/>
      <c r="DQ152" s="517"/>
      <c r="DR152" s="517"/>
      <c r="DS152" s="517"/>
      <c r="DT152" s="517"/>
      <c r="DU152" s="517"/>
      <c r="DV152" s="517"/>
      <c r="DW152" s="517"/>
      <c r="DX152" s="517"/>
      <c r="DY152" s="517"/>
      <c r="DZ152" s="517"/>
      <c r="EA152" s="517"/>
      <c r="EB152" s="517"/>
      <c r="EC152" s="517"/>
      <c r="ED152" s="517"/>
      <c r="EE152" s="517"/>
      <c r="EF152" s="517"/>
      <c r="EG152" s="517"/>
      <c r="EH152" s="517"/>
      <c r="EI152" s="517"/>
      <c r="EJ152" s="517"/>
      <c r="EK152" s="517"/>
      <c r="EL152" s="517"/>
      <c r="EM152" s="517"/>
      <c r="EN152" s="517"/>
      <c r="EO152" s="517"/>
      <c r="EP152" s="517"/>
      <c r="EQ152" s="517"/>
      <c r="ER152" s="517"/>
      <c r="ES152" s="627" t="s">
        <v>1140</v>
      </c>
    </row>
    <row r="153">
      <c r="A153" s="517"/>
      <c r="B153" s="517"/>
      <c r="C153" s="517"/>
      <c r="D153" s="517"/>
      <c r="E153" s="517"/>
      <c r="F153" s="517"/>
      <c r="G153" s="517"/>
      <c r="H153" s="517"/>
      <c r="I153" s="517"/>
      <c r="J153" s="517"/>
      <c r="K153" s="517"/>
      <c r="L153" s="517"/>
      <c r="M153" s="517"/>
      <c r="N153" s="517"/>
      <c r="O153" s="517"/>
      <c r="P153" s="517"/>
      <c r="Q153" s="517"/>
      <c r="R153" s="517"/>
      <c r="S153" s="517"/>
      <c r="T153" s="517"/>
      <c r="U153" s="517"/>
      <c r="V153" s="517"/>
      <c r="W153" s="517"/>
      <c r="X153" s="517"/>
      <c r="Y153" s="517"/>
      <c r="Z153" s="517"/>
      <c r="AA153" s="517"/>
      <c r="AB153" s="517"/>
      <c r="AC153" s="517"/>
      <c r="AD153" s="517"/>
      <c r="AE153" s="517"/>
      <c r="AF153" s="517"/>
      <c r="AG153" s="517"/>
      <c r="AH153" s="517"/>
      <c r="AI153" s="517"/>
      <c r="AJ153" s="517"/>
      <c r="AK153" s="517"/>
      <c r="AL153" s="517"/>
      <c r="AM153" s="517"/>
      <c r="AN153" s="517"/>
      <c r="AO153" s="517"/>
      <c r="AP153" s="517"/>
      <c r="AQ153" s="517"/>
      <c r="AR153" s="517"/>
      <c r="AS153" s="517"/>
      <c r="AT153" s="517"/>
      <c r="AU153" s="517"/>
      <c r="AV153" s="517"/>
      <c r="AW153" s="517"/>
      <c r="AX153" s="517"/>
      <c r="AY153" s="517"/>
      <c r="AZ153" s="517"/>
      <c r="BA153" s="517"/>
      <c r="BB153" s="517"/>
      <c r="BC153" s="517"/>
      <c r="BD153" s="517"/>
      <c r="BE153" s="517"/>
      <c r="BF153" s="517"/>
      <c r="BG153" s="517"/>
      <c r="BH153" s="517"/>
      <c r="BI153" s="517"/>
      <c r="BJ153" s="517"/>
      <c r="BK153" s="517"/>
      <c r="BL153" s="517"/>
      <c r="BM153" s="517"/>
      <c r="BN153" s="517"/>
      <c r="BO153" s="517"/>
      <c r="BP153" s="517"/>
      <c r="BQ153" s="517"/>
      <c r="BR153" s="517"/>
      <c r="BS153" s="517"/>
      <c r="BT153" s="517"/>
      <c r="BU153" s="517"/>
      <c r="BV153" s="517"/>
      <c r="BW153" s="517"/>
      <c r="BX153" s="517"/>
      <c r="BY153" s="517"/>
      <c r="BZ153" s="517"/>
      <c r="CA153" s="517"/>
      <c r="CB153" s="517"/>
      <c r="CC153" s="517"/>
      <c r="CD153" s="517"/>
      <c r="CE153" s="517"/>
      <c r="CF153" s="517"/>
      <c r="CG153" s="517"/>
      <c r="CH153" s="517"/>
      <c r="CI153" s="517"/>
      <c r="CJ153" s="517"/>
      <c r="CK153" s="517"/>
      <c r="CL153" s="517"/>
      <c r="CM153" s="517"/>
      <c r="CN153" s="517"/>
      <c r="CO153" s="517"/>
      <c r="CP153" s="517"/>
      <c r="CQ153" s="517"/>
      <c r="CR153" s="517"/>
      <c r="CS153" s="517"/>
      <c r="CT153" s="517"/>
      <c r="CU153" s="517"/>
      <c r="CV153" s="517"/>
      <c r="CW153" s="517"/>
      <c r="CX153" s="517"/>
      <c r="CY153" s="517"/>
      <c r="CZ153" s="517"/>
      <c r="DA153" s="517"/>
      <c r="DB153" s="517"/>
      <c r="DC153" s="517"/>
      <c r="DD153" s="517"/>
      <c r="DE153" s="517"/>
      <c r="DF153" s="517"/>
      <c r="DG153" s="517"/>
      <c r="DH153" s="517"/>
      <c r="DI153" s="517"/>
      <c r="DJ153" s="517"/>
      <c r="DK153" s="517"/>
      <c r="DL153" s="517"/>
      <c r="DM153" s="517"/>
      <c r="DN153" s="517"/>
      <c r="DO153" s="517"/>
      <c r="DP153" s="517"/>
      <c r="DQ153" s="517"/>
      <c r="DR153" s="517"/>
      <c r="DS153" s="517"/>
      <c r="DT153" s="517"/>
      <c r="DU153" s="517"/>
      <c r="DV153" s="517"/>
      <c r="DW153" s="517"/>
      <c r="DX153" s="517"/>
      <c r="DY153" s="517"/>
      <c r="DZ153" s="517"/>
      <c r="EA153" s="517"/>
      <c r="EB153" s="517"/>
      <c r="EC153" s="517"/>
      <c r="ED153" s="517"/>
      <c r="EE153" s="517"/>
      <c r="EF153" s="517"/>
      <c r="EG153" s="517"/>
      <c r="EH153" s="517"/>
      <c r="EI153" s="517"/>
      <c r="EJ153" s="517"/>
      <c r="EK153" s="517"/>
      <c r="EL153" s="517"/>
      <c r="EM153" s="517"/>
      <c r="EN153" s="517"/>
      <c r="EO153" s="517"/>
      <c r="EP153" s="517"/>
      <c r="EQ153" s="517"/>
      <c r="ER153" s="517"/>
      <c r="ES153" s="627" t="s">
        <v>1140</v>
      </c>
    </row>
    <row r="154">
      <c r="A154" s="517"/>
      <c r="B154" s="517"/>
      <c r="C154" s="517"/>
      <c r="D154" s="517"/>
      <c r="E154" s="517"/>
      <c r="F154" s="517"/>
      <c r="G154" s="517"/>
      <c r="H154" s="517"/>
      <c r="I154" s="517"/>
      <c r="J154" s="517"/>
      <c r="K154" s="517"/>
      <c r="L154" s="517"/>
      <c r="M154" s="517"/>
      <c r="N154" s="517"/>
      <c r="O154" s="517"/>
      <c r="P154" s="517"/>
      <c r="Q154" s="517"/>
      <c r="R154" s="517"/>
      <c r="S154" s="517"/>
      <c r="T154" s="517"/>
      <c r="U154" s="517"/>
      <c r="V154" s="517"/>
      <c r="W154" s="517"/>
      <c r="X154" s="517"/>
      <c r="Y154" s="517"/>
      <c r="Z154" s="517"/>
      <c r="AA154" s="517"/>
      <c r="AB154" s="517"/>
      <c r="AC154" s="517"/>
      <c r="AD154" s="517"/>
      <c r="AE154" s="517"/>
      <c r="AF154" s="517"/>
      <c r="AG154" s="517"/>
      <c r="AH154" s="517"/>
      <c r="AI154" s="517"/>
      <c r="AJ154" s="517"/>
      <c r="AK154" s="517"/>
      <c r="AL154" s="517"/>
      <c r="AM154" s="517"/>
      <c r="AN154" s="517"/>
      <c r="AO154" s="517"/>
      <c r="AP154" s="517"/>
      <c r="AQ154" s="517"/>
      <c r="AR154" s="517"/>
      <c r="AS154" s="517"/>
      <c r="AT154" s="517"/>
      <c r="AU154" s="517"/>
      <c r="AV154" s="517"/>
      <c r="AW154" s="517"/>
      <c r="AX154" s="517"/>
      <c r="AY154" s="517"/>
      <c r="AZ154" s="517"/>
      <c r="BA154" s="517"/>
      <c r="BB154" s="517"/>
      <c r="BC154" s="517"/>
      <c r="BD154" s="517"/>
      <c r="BE154" s="517"/>
      <c r="BF154" s="517"/>
      <c r="BG154" s="517"/>
      <c r="BH154" s="517"/>
      <c r="BI154" s="517"/>
      <c r="BJ154" s="517"/>
      <c r="BK154" s="517"/>
      <c r="BL154" s="517"/>
      <c r="BM154" s="517"/>
      <c r="BN154" s="517"/>
      <c r="BO154" s="517"/>
      <c r="BP154" s="517"/>
      <c r="BQ154" s="517"/>
      <c r="BR154" s="517"/>
      <c r="BS154" s="517"/>
      <c r="BT154" s="517"/>
      <c r="BU154" s="517"/>
      <c r="BV154" s="517"/>
      <c r="BW154" s="517"/>
      <c r="BX154" s="517"/>
      <c r="BY154" s="517"/>
      <c r="BZ154" s="517"/>
      <c r="CA154" s="517"/>
      <c r="CB154" s="517"/>
      <c r="CC154" s="517"/>
      <c r="CD154" s="517"/>
      <c r="CE154" s="517"/>
      <c r="CF154" s="517"/>
      <c r="CG154" s="517"/>
      <c r="CH154" s="517"/>
      <c r="CI154" s="517"/>
      <c r="CJ154" s="517"/>
      <c r="CK154" s="517"/>
      <c r="CL154" s="517"/>
      <c r="CM154" s="517"/>
      <c r="CN154" s="517"/>
      <c r="CO154" s="517"/>
      <c r="CP154" s="517"/>
      <c r="CQ154" s="517"/>
      <c r="CR154" s="517"/>
      <c r="CS154" s="517"/>
      <c r="CT154" s="517"/>
      <c r="CU154" s="517"/>
      <c r="CV154" s="517"/>
      <c r="CW154" s="517"/>
      <c r="CX154" s="517"/>
      <c r="CY154" s="517"/>
      <c r="CZ154" s="517"/>
      <c r="DA154" s="517"/>
      <c r="DB154" s="517"/>
      <c r="DC154" s="517"/>
      <c r="DD154" s="517"/>
      <c r="DE154" s="517"/>
      <c r="DF154" s="517"/>
      <c r="DG154" s="517"/>
      <c r="DH154" s="517"/>
      <c r="DI154" s="517"/>
      <c r="DJ154" s="517"/>
      <c r="DK154" s="517"/>
      <c r="DL154" s="517"/>
      <c r="DM154" s="517"/>
      <c r="DN154" s="517"/>
      <c r="DO154" s="517"/>
      <c r="DP154" s="517"/>
      <c r="DQ154" s="517"/>
      <c r="DR154" s="517"/>
      <c r="DS154" s="517"/>
      <c r="DT154" s="517"/>
      <c r="DU154" s="517"/>
      <c r="DV154" s="517"/>
      <c r="DW154" s="517"/>
      <c r="DX154" s="517"/>
      <c r="DY154" s="517"/>
      <c r="DZ154" s="517"/>
      <c r="EA154" s="517"/>
      <c r="EB154" s="517"/>
      <c r="EC154" s="517"/>
      <c r="ED154" s="517"/>
      <c r="EE154" s="517"/>
      <c r="EF154" s="517"/>
      <c r="EG154" s="517"/>
      <c r="EH154" s="517"/>
      <c r="EI154" s="517"/>
      <c r="EJ154" s="517"/>
      <c r="EK154" s="517"/>
      <c r="EL154" s="517"/>
      <c r="EM154" s="517"/>
      <c r="EN154" s="517"/>
      <c r="EO154" s="517"/>
      <c r="EP154" s="517"/>
      <c r="EQ154" s="517"/>
      <c r="ER154" s="517"/>
      <c r="ES154" s="627" t="s">
        <v>1140</v>
      </c>
    </row>
    <row r="155">
      <c r="A155" s="517"/>
      <c r="B155" s="517"/>
      <c r="C155" s="517"/>
      <c r="D155" s="517"/>
      <c r="E155" s="517"/>
      <c r="F155" s="517"/>
      <c r="G155" s="517"/>
      <c r="H155" s="517"/>
      <c r="I155" s="517"/>
      <c r="J155" s="517"/>
      <c r="K155" s="517"/>
      <c r="L155" s="517"/>
      <c r="M155" s="517"/>
      <c r="N155" s="517"/>
      <c r="O155" s="517"/>
      <c r="P155" s="517"/>
      <c r="Q155" s="517"/>
      <c r="R155" s="517"/>
      <c r="S155" s="517"/>
      <c r="T155" s="517"/>
      <c r="U155" s="517"/>
      <c r="V155" s="517"/>
      <c r="W155" s="517"/>
      <c r="X155" s="517"/>
      <c r="Y155" s="517"/>
      <c r="Z155" s="517"/>
      <c r="AA155" s="517"/>
      <c r="AB155" s="517"/>
      <c r="AC155" s="517"/>
      <c r="AD155" s="517"/>
      <c r="AE155" s="517"/>
      <c r="AF155" s="517"/>
      <c r="AG155" s="517"/>
      <c r="AH155" s="517"/>
      <c r="AI155" s="517"/>
      <c r="AJ155" s="517"/>
      <c r="AK155" s="517"/>
      <c r="AL155" s="517"/>
      <c r="AM155" s="517"/>
      <c r="AN155" s="517"/>
      <c r="AO155" s="517"/>
      <c r="AP155" s="517"/>
      <c r="AQ155" s="517"/>
      <c r="AR155" s="517"/>
      <c r="AS155" s="517"/>
      <c r="AT155" s="517"/>
      <c r="AU155" s="517"/>
      <c r="AV155" s="517"/>
      <c r="AW155" s="517"/>
      <c r="AX155" s="517"/>
      <c r="AY155" s="517"/>
      <c r="AZ155" s="517"/>
      <c r="BA155" s="517"/>
      <c r="BB155" s="517"/>
      <c r="BC155" s="517"/>
      <c r="BD155" s="517"/>
      <c r="BE155" s="517"/>
      <c r="BF155" s="517"/>
      <c r="BG155" s="517"/>
      <c r="BH155" s="517"/>
      <c r="BI155" s="517"/>
      <c r="BJ155" s="517"/>
      <c r="BK155" s="517"/>
      <c r="BL155" s="517"/>
      <c r="BM155" s="517"/>
      <c r="BN155" s="517"/>
      <c r="BO155" s="517"/>
      <c r="BP155" s="517"/>
      <c r="BQ155" s="517"/>
      <c r="BR155" s="517"/>
      <c r="BS155" s="517"/>
      <c r="BT155" s="517"/>
      <c r="BU155" s="517"/>
      <c r="BV155" s="517"/>
      <c r="BW155" s="517"/>
      <c r="BX155" s="517"/>
      <c r="BY155" s="517"/>
      <c r="BZ155" s="517"/>
      <c r="CA155" s="517"/>
      <c r="CB155" s="517"/>
      <c r="CC155" s="517"/>
      <c r="CD155" s="517"/>
      <c r="CE155" s="517"/>
      <c r="CF155" s="517"/>
      <c r="CG155" s="517"/>
      <c r="CH155" s="517"/>
      <c r="CI155" s="517"/>
      <c r="CJ155" s="517"/>
      <c r="CK155" s="517"/>
      <c r="CL155" s="517"/>
      <c r="CM155" s="517"/>
      <c r="CN155" s="517"/>
      <c r="CO155" s="517"/>
      <c r="CP155" s="517"/>
      <c r="CQ155" s="517"/>
      <c r="CR155" s="517"/>
      <c r="CS155" s="517"/>
      <c r="CT155" s="517"/>
      <c r="CU155" s="517"/>
      <c r="CV155" s="517"/>
      <c r="CW155" s="517"/>
      <c r="CX155" s="517"/>
      <c r="CY155" s="517"/>
      <c r="CZ155" s="517"/>
      <c r="DA155" s="517"/>
      <c r="DB155" s="517"/>
      <c r="DC155" s="517"/>
      <c r="DD155" s="517"/>
      <c r="DE155" s="517"/>
      <c r="DF155" s="517"/>
      <c r="DG155" s="517"/>
      <c r="DH155" s="517"/>
      <c r="DI155" s="517"/>
      <c r="DJ155" s="517"/>
      <c r="DK155" s="517"/>
      <c r="DL155" s="517"/>
      <c r="DM155" s="517"/>
      <c r="DN155" s="517"/>
      <c r="DO155" s="517"/>
      <c r="DP155" s="517"/>
      <c r="DQ155" s="517"/>
      <c r="DR155" s="517"/>
      <c r="DS155" s="517"/>
      <c r="DT155" s="517"/>
      <c r="DU155" s="517"/>
      <c r="DV155" s="517"/>
      <c r="DW155" s="517"/>
      <c r="DX155" s="517"/>
      <c r="DY155" s="517"/>
      <c r="DZ155" s="517"/>
      <c r="EA155" s="517"/>
      <c r="EB155" s="517"/>
      <c r="EC155" s="517"/>
      <c r="ED155" s="517"/>
      <c r="EE155" s="517"/>
      <c r="EF155" s="517"/>
      <c r="EG155" s="517"/>
      <c r="EH155" s="517"/>
      <c r="EI155" s="517"/>
      <c r="EJ155" s="517"/>
      <c r="EK155" s="517"/>
      <c r="EL155" s="517"/>
      <c r="EM155" s="517"/>
      <c r="EN155" s="517"/>
      <c r="EO155" s="517"/>
      <c r="EP155" s="517"/>
      <c r="EQ155" s="517"/>
      <c r="ER155" s="517"/>
      <c r="ES155" s="627" t="s">
        <v>1140</v>
      </c>
    </row>
    <row r="156">
      <c r="A156" s="517"/>
      <c r="B156" s="517"/>
      <c r="C156" s="517"/>
      <c r="D156" s="517"/>
      <c r="E156" s="517"/>
      <c r="F156" s="517"/>
      <c r="G156" s="517"/>
      <c r="H156" s="517"/>
      <c r="I156" s="517"/>
      <c r="J156" s="517"/>
      <c r="K156" s="517"/>
      <c r="L156" s="517"/>
      <c r="M156" s="517"/>
      <c r="N156" s="517"/>
      <c r="O156" s="517"/>
      <c r="P156" s="517"/>
      <c r="Q156" s="517"/>
      <c r="R156" s="517"/>
      <c r="S156" s="517"/>
      <c r="T156" s="517"/>
      <c r="U156" s="517"/>
      <c r="V156" s="517"/>
      <c r="W156" s="517"/>
      <c r="X156" s="517"/>
      <c r="Y156" s="517"/>
      <c r="Z156" s="517"/>
      <c r="AA156" s="517"/>
      <c r="AB156" s="517"/>
      <c r="AC156" s="517"/>
      <c r="AD156" s="517"/>
      <c r="AE156" s="517"/>
      <c r="AF156" s="517"/>
      <c r="AG156" s="517"/>
      <c r="AH156" s="517"/>
      <c r="AI156" s="517"/>
      <c r="AJ156" s="517"/>
      <c r="AK156" s="517"/>
      <c r="AL156" s="517"/>
      <c r="AM156" s="517"/>
      <c r="AN156" s="517"/>
      <c r="AO156" s="517"/>
      <c r="AP156" s="517"/>
      <c r="AQ156" s="517"/>
      <c r="AR156" s="517"/>
      <c r="AS156" s="517"/>
      <c r="AT156" s="517"/>
      <c r="AU156" s="517"/>
      <c r="AV156" s="517"/>
      <c r="AW156" s="517"/>
      <c r="AX156" s="517"/>
      <c r="AY156" s="517"/>
      <c r="AZ156" s="517"/>
      <c r="BA156" s="517"/>
      <c r="BB156" s="517"/>
      <c r="BC156" s="517"/>
      <c r="BD156" s="517"/>
      <c r="BE156" s="517"/>
      <c r="BF156" s="517"/>
      <c r="BG156" s="517"/>
      <c r="BH156" s="517"/>
      <c r="BI156" s="517"/>
      <c r="BJ156" s="517"/>
      <c r="BK156" s="517"/>
      <c r="BL156" s="517"/>
      <c r="BM156" s="517"/>
      <c r="BN156" s="517"/>
      <c r="BO156" s="517"/>
      <c r="BP156" s="517"/>
      <c r="BQ156" s="517"/>
      <c r="BR156" s="517"/>
      <c r="BS156" s="517"/>
      <c r="BT156" s="517"/>
      <c r="BU156" s="517"/>
      <c r="BV156" s="517"/>
      <c r="BW156" s="517"/>
      <c r="BX156" s="517"/>
      <c r="BY156" s="517"/>
      <c r="BZ156" s="517"/>
      <c r="CA156" s="517"/>
      <c r="CB156" s="517"/>
      <c r="CC156" s="517"/>
      <c r="CD156" s="517"/>
      <c r="CE156" s="517"/>
      <c r="CF156" s="517"/>
      <c r="CG156" s="517"/>
      <c r="CH156" s="517"/>
      <c r="CI156" s="517"/>
      <c r="CJ156" s="517"/>
      <c r="CK156" s="517"/>
      <c r="CL156" s="517"/>
      <c r="CM156" s="517"/>
      <c r="CN156" s="517"/>
      <c r="CO156" s="517"/>
      <c r="CP156" s="517"/>
      <c r="CQ156" s="517"/>
      <c r="CR156" s="517"/>
      <c r="CS156" s="517"/>
      <c r="CT156" s="517"/>
      <c r="CU156" s="517"/>
      <c r="CV156" s="517"/>
      <c r="CW156" s="517"/>
      <c r="CX156" s="517"/>
      <c r="CY156" s="517"/>
      <c r="CZ156" s="517"/>
      <c r="DA156" s="517"/>
      <c r="DB156" s="517"/>
      <c r="DC156" s="517"/>
      <c r="DD156" s="517"/>
      <c r="DE156" s="517"/>
      <c r="DF156" s="517"/>
      <c r="DG156" s="517"/>
      <c r="DH156" s="517"/>
      <c r="DI156" s="517"/>
      <c r="DJ156" s="517"/>
      <c r="DK156" s="517"/>
      <c r="DL156" s="517"/>
      <c r="DM156" s="517"/>
      <c r="DN156" s="517"/>
      <c r="DO156" s="517"/>
      <c r="DP156" s="517"/>
      <c r="DQ156" s="517"/>
      <c r="DR156" s="517"/>
      <c r="DS156" s="517"/>
      <c r="DT156" s="517"/>
      <c r="DU156" s="517"/>
      <c r="DV156" s="517"/>
      <c r="DW156" s="517"/>
      <c r="DX156" s="517"/>
      <c r="DY156" s="517"/>
      <c r="DZ156" s="517"/>
      <c r="EA156" s="517"/>
      <c r="EB156" s="517"/>
      <c r="EC156" s="517"/>
      <c r="ED156" s="517"/>
      <c r="EE156" s="517"/>
      <c r="EF156" s="517"/>
      <c r="EG156" s="517"/>
      <c r="EH156" s="517"/>
      <c r="EI156" s="517"/>
      <c r="EJ156" s="517"/>
      <c r="EK156" s="517"/>
      <c r="EL156" s="517"/>
      <c r="EM156" s="517"/>
      <c r="EN156" s="517"/>
      <c r="EO156" s="517"/>
      <c r="EP156" s="517"/>
      <c r="EQ156" s="517"/>
      <c r="ER156" s="517"/>
      <c r="ES156" s="627" t="s">
        <v>1140</v>
      </c>
    </row>
    <row r="157">
      <c r="A157" s="517"/>
      <c r="B157" s="517"/>
      <c r="C157" s="517"/>
      <c r="D157" s="517"/>
      <c r="E157" s="517"/>
      <c r="F157" s="517"/>
      <c r="G157" s="517"/>
      <c r="H157" s="517"/>
      <c r="I157" s="517"/>
      <c r="J157" s="517"/>
      <c r="K157" s="517"/>
      <c r="L157" s="517"/>
      <c r="M157" s="517"/>
      <c r="N157" s="517"/>
      <c r="O157" s="517"/>
      <c r="P157" s="517"/>
      <c r="Q157" s="517"/>
      <c r="R157" s="517"/>
      <c r="S157" s="517"/>
      <c r="T157" s="517"/>
      <c r="U157" s="517"/>
      <c r="V157" s="517"/>
      <c r="W157" s="517"/>
      <c r="X157" s="517"/>
      <c r="Y157" s="517"/>
      <c r="Z157" s="517"/>
      <c r="AA157" s="517"/>
      <c r="AB157" s="517"/>
      <c r="AC157" s="517"/>
      <c r="AD157" s="517"/>
      <c r="AE157" s="517"/>
      <c r="AF157" s="517"/>
      <c r="AG157" s="517"/>
      <c r="AH157" s="517"/>
      <c r="AI157" s="517"/>
      <c r="AJ157" s="517"/>
      <c r="AK157" s="517"/>
      <c r="AL157" s="517"/>
      <c r="AM157" s="517"/>
      <c r="AN157" s="517"/>
      <c r="AO157" s="517"/>
      <c r="AP157" s="517"/>
      <c r="AQ157" s="517"/>
      <c r="AR157" s="517"/>
      <c r="AS157" s="517"/>
      <c r="AT157" s="517"/>
      <c r="AU157" s="517"/>
      <c r="AV157" s="517"/>
      <c r="AW157" s="517"/>
      <c r="AX157" s="517"/>
      <c r="AY157" s="517"/>
      <c r="AZ157" s="517"/>
      <c r="BA157" s="517"/>
      <c r="BB157" s="517"/>
      <c r="BC157" s="517"/>
      <c r="BD157" s="517"/>
      <c r="BE157" s="517"/>
      <c r="BF157" s="517"/>
      <c r="BG157" s="517"/>
      <c r="BH157" s="517"/>
      <c r="BI157" s="517"/>
      <c r="BJ157" s="517"/>
      <c r="BK157" s="517"/>
      <c r="BL157" s="517"/>
      <c r="BM157" s="517"/>
      <c r="BN157" s="517"/>
      <c r="BO157" s="517"/>
      <c r="BP157" s="517"/>
      <c r="BQ157" s="517"/>
      <c r="BR157" s="517"/>
      <c r="BS157" s="517"/>
      <c r="BT157" s="517"/>
      <c r="BU157" s="517"/>
      <c r="BV157" s="517"/>
      <c r="BW157" s="517"/>
      <c r="BX157" s="517"/>
      <c r="BY157" s="517"/>
      <c r="BZ157" s="517"/>
      <c r="CA157" s="517"/>
      <c r="CB157" s="517"/>
      <c r="CC157" s="517"/>
      <c r="CD157" s="517"/>
      <c r="CE157" s="517"/>
      <c r="CF157" s="517"/>
      <c r="CG157" s="517"/>
      <c r="CH157" s="517"/>
      <c r="CI157" s="517"/>
      <c r="CJ157" s="517"/>
      <c r="CK157" s="517"/>
      <c r="CL157" s="517"/>
      <c r="CM157" s="517"/>
      <c r="CN157" s="517"/>
      <c r="CO157" s="517"/>
      <c r="CP157" s="517"/>
      <c r="CQ157" s="517"/>
      <c r="CR157" s="517"/>
      <c r="CS157" s="517"/>
      <c r="CT157" s="517"/>
      <c r="CU157" s="517"/>
      <c r="CV157" s="517"/>
      <c r="CW157" s="517"/>
      <c r="CX157" s="517"/>
      <c r="CY157" s="517"/>
      <c r="CZ157" s="517"/>
      <c r="DA157" s="517"/>
      <c r="DB157" s="517"/>
      <c r="DC157" s="517"/>
      <c r="DD157" s="517"/>
      <c r="DE157" s="517"/>
      <c r="DF157" s="517"/>
      <c r="DG157" s="517"/>
      <c r="DH157" s="517"/>
      <c r="DI157" s="517"/>
      <c r="DJ157" s="517"/>
      <c r="DK157" s="517"/>
      <c r="DL157" s="517"/>
      <c r="DM157" s="517"/>
      <c r="DN157" s="517"/>
      <c r="DO157" s="517"/>
      <c r="DP157" s="517"/>
      <c r="DQ157" s="517"/>
      <c r="DR157" s="517"/>
      <c r="DS157" s="517"/>
      <c r="DT157" s="517"/>
      <c r="DU157" s="517"/>
      <c r="DV157" s="517"/>
      <c r="DW157" s="517"/>
      <c r="DX157" s="517"/>
      <c r="DY157" s="517"/>
      <c r="DZ157" s="517"/>
      <c r="EA157" s="517"/>
      <c r="EB157" s="517"/>
      <c r="EC157" s="517"/>
      <c r="ED157" s="517"/>
      <c r="EE157" s="517"/>
      <c r="EF157" s="517"/>
      <c r="EG157" s="517"/>
      <c r="EH157" s="517"/>
      <c r="EI157" s="517"/>
      <c r="EJ157" s="517"/>
      <c r="EK157" s="517"/>
      <c r="EL157" s="517"/>
      <c r="EM157" s="517"/>
      <c r="EN157" s="517"/>
      <c r="EO157" s="517"/>
      <c r="EP157" s="517"/>
      <c r="EQ157" s="517"/>
      <c r="ER157" s="517"/>
      <c r="ES157" s="627" t="s">
        <v>1140</v>
      </c>
    </row>
    <row r="158">
      <c r="A158" s="517"/>
      <c r="B158" s="517"/>
      <c r="C158" s="517"/>
      <c r="D158" s="517"/>
      <c r="E158" s="517"/>
      <c r="F158" s="517"/>
      <c r="G158" s="517"/>
      <c r="H158" s="517"/>
      <c r="I158" s="517"/>
      <c r="J158" s="517"/>
      <c r="K158" s="517"/>
      <c r="L158" s="517"/>
      <c r="M158" s="517"/>
      <c r="N158" s="517"/>
      <c r="O158" s="517"/>
      <c r="P158" s="517"/>
      <c r="Q158" s="517"/>
      <c r="R158" s="517"/>
      <c r="S158" s="517"/>
      <c r="T158" s="517"/>
      <c r="U158" s="517"/>
      <c r="V158" s="517"/>
      <c r="W158" s="517"/>
      <c r="X158" s="517"/>
      <c r="Y158" s="517"/>
      <c r="Z158" s="517"/>
      <c r="AA158" s="517"/>
      <c r="AB158" s="517"/>
      <c r="AC158" s="517"/>
      <c r="AD158" s="517"/>
      <c r="AE158" s="517"/>
      <c r="AF158" s="517"/>
      <c r="AG158" s="517"/>
      <c r="AH158" s="517"/>
      <c r="AI158" s="517"/>
      <c r="AJ158" s="517"/>
      <c r="AK158" s="517"/>
      <c r="AL158" s="517"/>
      <c r="AM158" s="517"/>
      <c r="AN158" s="517"/>
      <c r="AO158" s="517"/>
      <c r="AP158" s="517"/>
      <c r="AQ158" s="517"/>
      <c r="AR158" s="517"/>
      <c r="AS158" s="517"/>
      <c r="AT158" s="517"/>
      <c r="AU158" s="517"/>
      <c r="AV158" s="517"/>
      <c r="AW158" s="517"/>
      <c r="AX158" s="517"/>
      <c r="AY158" s="517"/>
      <c r="AZ158" s="517"/>
      <c r="BA158" s="517"/>
      <c r="BB158" s="517"/>
      <c r="BC158" s="517"/>
      <c r="BD158" s="517"/>
      <c r="BE158" s="517"/>
      <c r="BF158" s="517"/>
      <c r="BG158" s="517"/>
      <c r="BH158" s="517"/>
      <c r="BI158" s="517"/>
      <c r="BJ158" s="517"/>
      <c r="BK158" s="517"/>
      <c r="BL158" s="517"/>
      <c r="BM158" s="517"/>
      <c r="BN158" s="517"/>
      <c r="BO158" s="517"/>
      <c r="BP158" s="517"/>
      <c r="BQ158" s="517"/>
      <c r="BR158" s="517"/>
      <c r="BS158" s="517"/>
      <c r="BT158" s="517"/>
      <c r="BU158" s="517"/>
      <c r="BV158" s="517"/>
      <c r="BW158" s="517"/>
      <c r="BX158" s="517"/>
      <c r="BY158" s="517"/>
      <c r="BZ158" s="517"/>
      <c r="CA158" s="517"/>
      <c r="CB158" s="517"/>
      <c r="CC158" s="517"/>
      <c r="CD158" s="517"/>
      <c r="CE158" s="517"/>
      <c r="CF158" s="517"/>
      <c r="CG158" s="517"/>
      <c r="CH158" s="517"/>
      <c r="CI158" s="517"/>
      <c r="CJ158" s="517"/>
      <c r="CK158" s="517"/>
      <c r="CL158" s="517"/>
      <c r="CM158" s="517"/>
      <c r="CN158" s="517"/>
      <c r="CO158" s="517"/>
      <c r="CP158" s="517"/>
      <c r="CQ158" s="517"/>
      <c r="CR158" s="517"/>
      <c r="CS158" s="517"/>
      <c r="CT158" s="517"/>
      <c r="CU158" s="517"/>
      <c r="CV158" s="517"/>
      <c r="CW158" s="517"/>
      <c r="CX158" s="517"/>
      <c r="CY158" s="517"/>
      <c r="CZ158" s="517"/>
      <c r="DA158" s="517"/>
      <c r="DB158" s="517"/>
      <c r="DC158" s="517"/>
      <c r="DD158" s="517"/>
      <c r="DE158" s="517"/>
      <c r="DF158" s="517"/>
      <c r="DG158" s="517"/>
      <c r="DH158" s="517"/>
      <c r="DI158" s="517"/>
      <c r="DJ158" s="517"/>
      <c r="DK158" s="517"/>
      <c r="DL158" s="517"/>
      <c r="DM158" s="517"/>
      <c r="DN158" s="517"/>
      <c r="DO158" s="517"/>
      <c r="DP158" s="517"/>
      <c r="DQ158" s="517"/>
      <c r="DR158" s="517"/>
      <c r="DS158" s="517"/>
      <c r="DT158" s="517"/>
      <c r="DU158" s="517"/>
      <c r="DV158" s="517"/>
      <c r="DW158" s="517"/>
      <c r="DX158" s="517"/>
      <c r="DY158" s="517"/>
      <c r="DZ158" s="517"/>
      <c r="EA158" s="517"/>
      <c r="EB158" s="517"/>
      <c r="EC158" s="517"/>
      <c r="ED158" s="517"/>
      <c r="EE158" s="517"/>
      <c r="EF158" s="517"/>
      <c r="EG158" s="517"/>
      <c r="EH158" s="517"/>
      <c r="EI158" s="517"/>
      <c r="EJ158" s="517"/>
      <c r="EK158" s="517"/>
      <c r="EL158" s="517"/>
      <c r="EM158" s="517"/>
      <c r="EN158" s="517"/>
      <c r="EO158" s="517"/>
      <c r="EP158" s="517"/>
      <c r="EQ158" s="517"/>
      <c r="ER158" s="517"/>
      <c r="ES158" s="627" t="s">
        <v>1140</v>
      </c>
    </row>
    <row r="159">
      <c r="A159" s="517"/>
      <c r="B159" s="517"/>
      <c r="C159" s="517"/>
      <c r="D159" s="517"/>
      <c r="E159" s="517"/>
      <c r="F159" s="517"/>
      <c r="G159" s="517"/>
      <c r="H159" s="517"/>
      <c r="I159" s="517"/>
      <c r="J159" s="517"/>
      <c r="K159" s="517"/>
      <c r="L159" s="517"/>
      <c r="M159" s="517"/>
      <c r="N159" s="517"/>
      <c r="O159" s="517"/>
      <c r="P159" s="517"/>
      <c r="Q159" s="517"/>
      <c r="R159" s="517"/>
      <c r="S159" s="517"/>
      <c r="T159" s="517"/>
      <c r="U159" s="517"/>
      <c r="V159" s="517"/>
      <c r="W159" s="517"/>
      <c r="X159" s="517"/>
      <c r="Y159" s="517"/>
      <c r="Z159" s="517"/>
      <c r="AA159" s="517"/>
      <c r="AB159" s="517"/>
      <c r="AC159" s="517"/>
      <c r="AD159" s="517"/>
      <c r="AE159" s="517"/>
      <c r="AF159" s="517"/>
      <c r="AG159" s="517"/>
      <c r="AH159" s="517"/>
      <c r="AI159" s="517"/>
      <c r="AJ159" s="517"/>
      <c r="AK159" s="517"/>
      <c r="AL159" s="517"/>
      <c r="AM159" s="517"/>
      <c r="AN159" s="517"/>
      <c r="AO159" s="517"/>
      <c r="AP159" s="517"/>
      <c r="AQ159" s="517"/>
      <c r="AR159" s="517"/>
      <c r="AS159" s="517"/>
      <c r="AT159" s="517"/>
      <c r="AU159" s="517"/>
      <c r="AV159" s="517"/>
      <c r="AW159" s="517"/>
      <c r="AX159" s="517"/>
      <c r="AY159" s="517"/>
      <c r="AZ159" s="517"/>
      <c r="BA159" s="517"/>
      <c r="BB159" s="517"/>
      <c r="BC159" s="517"/>
      <c r="BD159" s="517"/>
      <c r="BE159" s="517"/>
      <c r="BF159" s="517"/>
      <c r="BG159" s="517"/>
      <c r="BH159" s="517"/>
      <c r="BI159" s="517"/>
      <c r="BJ159" s="517"/>
      <c r="BK159" s="517"/>
      <c r="BL159" s="517"/>
      <c r="BM159" s="517"/>
      <c r="BN159" s="517"/>
      <c r="BO159" s="517"/>
      <c r="BP159" s="517"/>
      <c r="BQ159" s="517"/>
      <c r="BR159" s="517"/>
      <c r="BS159" s="517"/>
      <c r="BT159" s="517"/>
      <c r="BU159" s="517"/>
      <c r="BV159" s="517"/>
      <c r="BW159" s="517"/>
      <c r="BX159" s="517"/>
      <c r="BY159" s="517"/>
      <c r="BZ159" s="517"/>
      <c r="CA159" s="517"/>
      <c r="CB159" s="517"/>
      <c r="CC159" s="517"/>
      <c r="CD159" s="517"/>
      <c r="CE159" s="517"/>
      <c r="CF159" s="517"/>
      <c r="CG159" s="517"/>
      <c r="CH159" s="517"/>
      <c r="CI159" s="517"/>
      <c r="CJ159" s="517"/>
      <c r="CK159" s="517"/>
      <c r="CL159" s="517"/>
      <c r="CM159" s="517"/>
      <c r="CN159" s="517"/>
      <c r="CO159" s="517"/>
      <c r="CP159" s="517"/>
      <c r="CQ159" s="517"/>
      <c r="CR159" s="517"/>
      <c r="CS159" s="517"/>
      <c r="CT159" s="517"/>
      <c r="CU159" s="517"/>
      <c r="CV159" s="517"/>
      <c r="CW159" s="517"/>
      <c r="CX159" s="517"/>
      <c r="CY159" s="517"/>
      <c r="CZ159" s="517"/>
      <c r="DA159" s="517"/>
      <c r="DB159" s="517"/>
      <c r="DC159" s="517"/>
      <c r="DD159" s="517"/>
      <c r="DE159" s="517"/>
      <c r="DF159" s="517"/>
      <c r="DG159" s="517"/>
      <c r="DH159" s="517"/>
      <c r="DI159" s="517"/>
      <c r="DJ159" s="517"/>
      <c r="DK159" s="517"/>
      <c r="DL159" s="517"/>
      <c r="DM159" s="517"/>
      <c r="DN159" s="517"/>
      <c r="DO159" s="517"/>
      <c r="DP159" s="517"/>
      <c r="DQ159" s="517"/>
      <c r="DR159" s="517"/>
      <c r="DS159" s="517"/>
      <c r="DT159" s="517"/>
      <c r="DU159" s="517"/>
      <c r="DV159" s="517"/>
      <c r="DW159" s="517"/>
      <c r="DX159" s="517"/>
      <c r="DY159" s="517"/>
      <c r="DZ159" s="517"/>
      <c r="EA159" s="517"/>
      <c r="EB159" s="517"/>
      <c r="EC159" s="517"/>
      <c r="ED159" s="517"/>
      <c r="EE159" s="517"/>
      <c r="EF159" s="517"/>
      <c r="EG159" s="517"/>
      <c r="EH159" s="517"/>
      <c r="EI159" s="517"/>
      <c r="EJ159" s="517"/>
      <c r="EK159" s="517"/>
      <c r="EL159" s="517"/>
      <c r="EM159" s="517"/>
      <c r="EN159" s="517"/>
      <c r="EO159" s="517"/>
      <c r="EP159" s="517"/>
      <c r="EQ159" s="517"/>
      <c r="ER159" s="517"/>
      <c r="ES159" s="627" t="s">
        <v>1140</v>
      </c>
    </row>
    <row r="160">
      <c r="A160" s="517"/>
      <c r="B160" s="517"/>
      <c r="C160" s="517"/>
      <c r="D160" s="517"/>
      <c r="E160" s="517"/>
      <c r="F160" s="517"/>
      <c r="G160" s="517"/>
      <c r="H160" s="517"/>
      <c r="I160" s="517"/>
      <c r="J160" s="517"/>
      <c r="K160" s="517"/>
      <c r="L160" s="517"/>
      <c r="M160" s="517"/>
      <c r="N160" s="517"/>
      <c r="O160" s="517"/>
      <c r="P160" s="517"/>
      <c r="Q160" s="517"/>
      <c r="R160" s="517"/>
      <c r="S160" s="517"/>
      <c r="T160" s="517"/>
      <c r="U160" s="517"/>
      <c r="V160" s="517"/>
      <c r="W160" s="517"/>
      <c r="X160" s="517"/>
      <c r="Y160" s="517"/>
      <c r="Z160" s="517"/>
      <c r="AA160" s="517"/>
      <c r="AB160" s="517"/>
      <c r="AC160" s="517"/>
      <c r="AD160" s="517"/>
      <c r="AE160" s="517"/>
      <c r="AF160" s="517"/>
      <c r="AG160" s="517"/>
      <c r="AH160" s="517"/>
      <c r="AI160" s="517"/>
      <c r="AJ160" s="517"/>
      <c r="AK160" s="517"/>
      <c r="AL160" s="517"/>
      <c r="AM160" s="517"/>
      <c r="AN160" s="517"/>
      <c r="AO160" s="517"/>
      <c r="AP160" s="517"/>
      <c r="AQ160" s="517"/>
      <c r="AR160" s="517"/>
      <c r="AS160" s="517"/>
      <c r="AT160" s="517"/>
      <c r="AU160" s="517"/>
      <c r="AV160" s="517"/>
      <c r="AW160" s="517"/>
      <c r="AX160" s="517"/>
      <c r="AY160" s="517"/>
      <c r="AZ160" s="517"/>
      <c r="BA160" s="517"/>
      <c r="BB160" s="517"/>
      <c r="BC160" s="517"/>
      <c r="BD160" s="517"/>
      <c r="BE160" s="517"/>
      <c r="BF160" s="517"/>
      <c r="BG160" s="517"/>
      <c r="BH160" s="517"/>
      <c r="BI160" s="517"/>
      <c r="BJ160" s="517"/>
      <c r="BK160" s="517"/>
      <c r="BL160" s="517"/>
      <c r="BM160" s="517"/>
      <c r="BN160" s="517"/>
      <c r="BO160" s="517"/>
      <c r="BP160" s="517"/>
      <c r="BQ160" s="517"/>
      <c r="BR160" s="517"/>
      <c r="BS160" s="517"/>
      <c r="BT160" s="517"/>
      <c r="BU160" s="517"/>
      <c r="BV160" s="517"/>
      <c r="BW160" s="517"/>
      <c r="BX160" s="517"/>
      <c r="BY160" s="517"/>
      <c r="BZ160" s="517"/>
      <c r="CA160" s="517"/>
      <c r="CB160" s="517"/>
      <c r="CC160" s="517"/>
      <c r="CD160" s="517"/>
      <c r="CE160" s="517"/>
      <c r="CF160" s="517"/>
      <c r="CG160" s="517"/>
      <c r="CH160" s="517"/>
      <c r="CI160" s="517"/>
      <c r="CJ160" s="517"/>
      <c r="CK160" s="517"/>
      <c r="CL160" s="517"/>
      <c r="CM160" s="517"/>
      <c r="CN160" s="517"/>
      <c r="CO160" s="517"/>
      <c r="CP160" s="517"/>
      <c r="CQ160" s="517"/>
      <c r="CR160" s="517"/>
      <c r="CS160" s="517"/>
      <c r="CT160" s="517"/>
      <c r="CU160" s="517"/>
      <c r="CV160" s="517"/>
      <c r="CW160" s="517"/>
      <c r="CX160" s="517"/>
      <c r="CY160" s="517"/>
      <c r="CZ160" s="517"/>
      <c r="DA160" s="517"/>
      <c r="DB160" s="517"/>
      <c r="DC160" s="517"/>
      <c r="DD160" s="517"/>
      <c r="DE160" s="517"/>
      <c r="DF160" s="517"/>
      <c r="DG160" s="517"/>
      <c r="DH160" s="517"/>
      <c r="DI160" s="517"/>
      <c r="DJ160" s="517"/>
      <c r="DK160" s="517"/>
      <c r="DL160" s="517"/>
      <c r="DM160" s="517"/>
      <c r="DN160" s="517"/>
      <c r="DO160" s="517"/>
      <c r="DP160" s="517"/>
      <c r="DQ160" s="517"/>
      <c r="DR160" s="517"/>
      <c r="DS160" s="517"/>
      <c r="DT160" s="517"/>
      <c r="DU160" s="517"/>
      <c r="DV160" s="517"/>
      <c r="DW160" s="517"/>
      <c r="DX160" s="517"/>
      <c r="DY160" s="517"/>
      <c r="DZ160" s="517"/>
      <c r="EA160" s="517"/>
      <c r="EB160" s="517"/>
      <c r="EC160" s="517"/>
      <c r="ED160" s="517"/>
      <c r="EE160" s="517"/>
      <c r="EF160" s="517"/>
      <c r="EG160" s="517"/>
      <c r="EH160" s="517"/>
      <c r="EI160" s="517"/>
      <c r="EJ160" s="517"/>
      <c r="EK160" s="517"/>
      <c r="EL160" s="517"/>
      <c r="EM160" s="517"/>
      <c r="EN160" s="517"/>
      <c r="EO160" s="517"/>
      <c r="EP160" s="517"/>
      <c r="EQ160" s="517"/>
      <c r="ER160" s="517"/>
      <c r="ES160" s="627" t="s">
        <v>1140</v>
      </c>
    </row>
    <row r="161">
      <c r="A161" s="517"/>
      <c r="B161" s="517"/>
      <c r="C161" s="517"/>
      <c r="D161" s="517"/>
      <c r="E161" s="517"/>
      <c r="F161" s="517"/>
      <c r="G161" s="517"/>
      <c r="H161" s="517"/>
      <c r="I161" s="517"/>
      <c r="J161" s="517"/>
      <c r="K161" s="517"/>
      <c r="L161" s="517"/>
      <c r="M161" s="517"/>
      <c r="N161" s="517"/>
      <c r="O161" s="517"/>
      <c r="P161" s="517"/>
      <c r="Q161" s="517"/>
      <c r="R161" s="517"/>
      <c r="S161" s="517"/>
      <c r="T161" s="517"/>
      <c r="U161" s="517"/>
      <c r="V161" s="517"/>
      <c r="W161" s="517"/>
      <c r="X161" s="517"/>
      <c r="Y161" s="517"/>
      <c r="Z161" s="517"/>
      <c r="AA161" s="517"/>
      <c r="AB161" s="517"/>
      <c r="AC161" s="517"/>
      <c r="AD161" s="517"/>
      <c r="AE161" s="517"/>
      <c r="AF161" s="517"/>
      <c r="AG161" s="517"/>
      <c r="AH161" s="517"/>
      <c r="AI161" s="517"/>
      <c r="AJ161" s="517"/>
      <c r="AK161" s="517"/>
      <c r="AL161" s="517"/>
      <c r="AM161" s="517"/>
      <c r="AN161" s="517"/>
      <c r="AO161" s="517"/>
      <c r="AP161" s="517"/>
      <c r="AQ161" s="517"/>
      <c r="AR161" s="517"/>
      <c r="AS161" s="517"/>
      <c r="AT161" s="517"/>
      <c r="AU161" s="517"/>
      <c r="AV161" s="517"/>
      <c r="AW161" s="517"/>
      <c r="AX161" s="517"/>
      <c r="AY161" s="517"/>
      <c r="AZ161" s="517"/>
      <c r="BA161" s="517"/>
      <c r="BB161" s="517"/>
      <c r="BC161" s="517"/>
      <c r="BD161" s="517"/>
      <c r="BE161" s="517"/>
      <c r="BF161" s="517"/>
      <c r="BG161" s="517"/>
      <c r="BH161" s="517"/>
      <c r="BI161" s="517"/>
      <c r="BJ161" s="517"/>
      <c r="BK161" s="517"/>
      <c r="BL161" s="517"/>
      <c r="BM161" s="517"/>
      <c r="BN161" s="517"/>
      <c r="BO161" s="517"/>
      <c r="BP161" s="517"/>
      <c r="BQ161" s="517"/>
      <c r="BR161" s="517"/>
      <c r="BS161" s="517"/>
      <c r="BT161" s="517"/>
      <c r="BU161" s="517"/>
      <c r="BV161" s="517"/>
      <c r="BW161" s="517"/>
      <c r="BX161" s="517"/>
      <c r="BY161" s="517"/>
      <c r="BZ161" s="517"/>
      <c r="CA161" s="517"/>
      <c r="CB161" s="517"/>
      <c r="CC161" s="517"/>
      <c r="CD161" s="517"/>
      <c r="CE161" s="517"/>
      <c r="CF161" s="517"/>
      <c r="CG161" s="517"/>
      <c r="CH161" s="517"/>
      <c r="CI161" s="517"/>
      <c r="CJ161" s="517"/>
      <c r="CK161" s="517"/>
      <c r="CL161" s="517"/>
      <c r="CM161" s="517"/>
      <c r="CN161" s="517"/>
      <c r="CO161" s="517"/>
      <c r="CP161" s="517"/>
      <c r="CQ161" s="517"/>
      <c r="CR161" s="517"/>
      <c r="CS161" s="517"/>
      <c r="CT161" s="517"/>
      <c r="CU161" s="517"/>
      <c r="CV161" s="517"/>
      <c r="CW161" s="517"/>
      <c r="CX161" s="517"/>
      <c r="CY161" s="517"/>
      <c r="CZ161" s="517"/>
      <c r="DA161" s="517"/>
      <c r="DB161" s="517"/>
      <c r="DC161" s="517"/>
      <c r="DD161" s="517"/>
      <c r="DE161" s="517"/>
      <c r="DF161" s="517"/>
      <c r="DG161" s="517"/>
      <c r="DH161" s="517"/>
      <c r="DI161" s="517"/>
      <c r="DJ161" s="517"/>
      <c r="DK161" s="517"/>
      <c r="DL161" s="517"/>
      <c r="DM161" s="517"/>
      <c r="DN161" s="517"/>
      <c r="DO161" s="517"/>
      <c r="DP161" s="517"/>
      <c r="DQ161" s="517"/>
      <c r="DR161" s="517"/>
      <c r="DS161" s="517"/>
      <c r="DT161" s="517"/>
      <c r="DU161" s="517"/>
      <c r="DV161" s="517"/>
      <c r="DW161" s="517"/>
      <c r="DX161" s="517"/>
      <c r="DY161" s="517"/>
      <c r="DZ161" s="517"/>
      <c r="EA161" s="517"/>
      <c r="EB161" s="517"/>
      <c r="EC161" s="517"/>
      <c r="ED161" s="517"/>
      <c r="EE161" s="517"/>
      <c r="EF161" s="517"/>
      <c r="EG161" s="517"/>
      <c r="EH161" s="517"/>
      <c r="EI161" s="517"/>
      <c r="EJ161" s="517"/>
      <c r="EK161" s="517"/>
      <c r="EL161" s="517"/>
      <c r="EM161" s="517"/>
      <c r="EN161" s="517"/>
      <c r="EO161" s="517"/>
      <c r="EP161" s="517"/>
      <c r="EQ161" s="517"/>
      <c r="ER161" s="517"/>
      <c r="ES161" s="627" t="s">
        <v>1140</v>
      </c>
    </row>
    <row r="162">
      <c r="A162" s="517"/>
      <c r="B162" s="517"/>
      <c r="C162" s="517"/>
      <c r="D162" s="517"/>
      <c r="E162" s="517"/>
      <c r="F162" s="517"/>
      <c r="G162" s="517"/>
      <c r="H162" s="517"/>
      <c r="I162" s="517"/>
      <c r="J162" s="517"/>
      <c r="K162" s="517"/>
      <c r="L162" s="517"/>
      <c r="M162" s="517"/>
      <c r="N162" s="517"/>
      <c r="O162" s="517"/>
      <c r="P162" s="517"/>
      <c r="Q162" s="517"/>
      <c r="R162" s="517"/>
      <c r="S162" s="517"/>
      <c r="T162" s="517"/>
      <c r="U162" s="517"/>
      <c r="V162" s="517"/>
      <c r="W162" s="517"/>
      <c r="X162" s="517"/>
      <c r="Y162" s="517"/>
      <c r="Z162" s="517"/>
      <c r="AA162" s="517"/>
      <c r="AB162" s="517"/>
      <c r="AC162" s="517"/>
      <c r="AD162" s="517"/>
      <c r="AE162" s="517"/>
      <c r="AF162" s="517"/>
      <c r="AG162" s="517"/>
      <c r="AH162" s="517"/>
      <c r="AI162" s="517"/>
      <c r="AJ162" s="517"/>
      <c r="AK162" s="517"/>
      <c r="AL162" s="517"/>
      <c r="AM162" s="517"/>
      <c r="AN162" s="517"/>
      <c r="AO162" s="517"/>
      <c r="AP162" s="517"/>
      <c r="AQ162" s="517"/>
      <c r="AR162" s="517"/>
      <c r="AS162" s="517"/>
      <c r="AT162" s="517"/>
      <c r="AU162" s="517"/>
      <c r="AV162" s="517"/>
      <c r="AW162" s="517"/>
      <c r="AX162" s="517"/>
      <c r="AY162" s="517"/>
      <c r="AZ162" s="517"/>
      <c r="BA162" s="517"/>
      <c r="BB162" s="517"/>
      <c r="BC162" s="517"/>
      <c r="BD162" s="517"/>
      <c r="BE162" s="517"/>
      <c r="BF162" s="517"/>
      <c r="BG162" s="517"/>
      <c r="BH162" s="517"/>
      <c r="BI162" s="517"/>
      <c r="BJ162" s="517"/>
      <c r="BK162" s="517"/>
      <c r="BL162" s="517"/>
      <c r="BM162" s="517"/>
      <c r="BN162" s="517"/>
      <c r="BO162" s="517"/>
      <c r="BP162" s="517"/>
      <c r="BQ162" s="517"/>
      <c r="BR162" s="517"/>
      <c r="BS162" s="517"/>
      <c r="BT162" s="517"/>
      <c r="BU162" s="517"/>
      <c r="BV162" s="517"/>
      <c r="BW162" s="517"/>
      <c r="BX162" s="517"/>
      <c r="BY162" s="517"/>
      <c r="BZ162" s="517"/>
      <c r="CA162" s="517"/>
      <c r="CB162" s="517"/>
      <c r="CC162" s="517"/>
      <c r="CD162" s="517"/>
      <c r="CE162" s="517"/>
      <c r="CF162" s="517"/>
      <c r="CG162" s="517"/>
      <c r="CH162" s="517"/>
      <c r="CI162" s="517"/>
      <c r="CJ162" s="517"/>
      <c r="CK162" s="517"/>
      <c r="CL162" s="517"/>
      <c r="CM162" s="517"/>
      <c r="CN162" s="517"/>
      <c r="CO162" s="517"/>
      <c r="CP162" s="517"/>
      <c r="CQ162" s="517"/>
      <c r="CR162" s="517"/>
      <c r="CS162" s="517"/>
      <c r="CT162" s="517"/>
      <c r="CU162" s="517"/>
      <c r="CV162" s="517"/>
      <c r="CW162" s="517"/>
      <c r="CX162" s="517"/>
      <c r="CY162" s="517"/>
      <c r="CZ162" s="517"/>
      <c r="DA162" s="517"/>
      <c r="DB162" s="517"/>
      <c r="DC162" s="517"/>
      <c r="DD162" s="517"/>
      <c r="DE162" s="517"/>
      <c r="DF162" s="517"/>
      <c r="DG162" s="517"/>
      <c r="DH162" s="517"/>
      <c r="DI162" s="517"/>
      <c r="DJ162" s="517"/>
      <c r="DK162" s="517"/>
      <c r="DL162" s="517"/>
      <c r="DM162" s="517"/>
      <c r="DN162" s="517"/>
      <c r="DO162" s="517"/>
      <c r="DP162" s="517"/>
      <c r="DQ162" s="517"/>
      <c r="DR162" s="517"/>
      <c r="DS162" s="517"/>
      <c r="DT162" s="517"/>
      <c r="DU162" s="517"/>
      <c r="DV162" s="517"/>
      <c r="DW162" s="517"/>
      <c r="DX162" s="517"/>
      <c r="DY162" s="517"/>
      <c r="DZ162" s="517"/>
      <c r="EA162" s="517"/>
      <c r="EB162" s="517"/>
      <c r="EC162" s="517"/>
      <c r="ED162" s="517"/>
      <c r="EE162" s="517"/>
      <c r="EF162" s="517"/>
      <c r="EG162" s="517"/>
      <c r="EH162" s="517"/>
      <c r="EI162" s="517"/>
      <c r="EJ162" s="517"/>
      <c r="EK162" s="517"/>
      <c r="EL162" s="517"/>
      <c r="EM162" s="517"/>
      <c r="EN162" s="517"/>
      <c r="EO162" s="517"/>
      <c r="EP162" s="517"/>
      <c r="EQ162" s="517"/>
      <c r="ER162" s="517"/>
      <c r="ES162" s="627" t="s">
        <v>1140</v>
      </c>
    </row>
    <row r="163">
      <c r="A163" s="517"/>
      <c r="B163" s="517"/>
      <c r="C163" s="517"/>
      <c r="D163" s="517"/>
      <c r="E163" s="517"/>
      <c r="F163" s="517"/>
      <c r="G163" s="517"/>
      <c r="H163" s="517"/>
      <c r="I163" s="517"/>
      <c r="J163" s="517"/>
      <c r="K163" s="517"/>
      <c r="L163" s="517"/>
      <c r="M163" s="517"/>
      <c r="N163" s="517"/>
      <c r="O163" s="517"/>
      <c r="P163" s="517"/>
      <c r="Q163" s="517"/>
      <c r="R163" s="517"/>
      <c r="S163" s="517"/>
      <c r="T163" s="517"/>
      <c r="U163" s="517"/>
      <c r="V163" s="517"/>
      <c r="W163" s="517"/>
      <c r="X163" s="517"/>
      <c r="Y163" s="517"/>
      <c r="Z163" s="517"/>
      <c r="AA163" s="517"/>
      <c r="AB163" s="517"/>
      <c r="AC163" s="517"/>
      <c r="AD163" s="517"/>
      <c r="AE163" s="517"/>
      <c r="AF163" s="517"/>
      <c r="AG163" s="517"/>
      <c r="AH163" s="517"/>
      <c r="AI163" s="517"/>
      <c r="AJ163" s="517"/>
      <c r="AK163" s="517"/>
      <c r="AL163" s="517"/>
      <c r="AM163" s="517"/>
      <c r="AN163" s="517"/>
      <c r="AO163" s="517"/>
      <c r="AP163" s="517"/>
      <c r="AQ163" s="517"/>
      <c r="AR163" s="517"/>
      <c r="AS163" s="517"/>
      <c r="AT163" s="517"/>
      <c r="AU163" s="517"/>
      <c r="AV163" s="517"/>
      <c r="AW163" s="517"/>
      <c r="AX163" s="517"/>
      <c r="AY163" s="517"/>
      <c r="AZ163" s="517"/>
      <c r="BA163" s="517"/>
      <c r="BB163" s="517"/>
      <c r="BC163" s="517"/>
      <c r="BD163" s="517"/>
      <c r="BE163" s="517"/>
      <c r="BF163" s="517"/>
      <c r="BG163" s="517"/>
      <c r="BH163" s="517"/>
      <c r="BI163" s="517"/>
      <c r="BJ163" s="517"/>
      <c r="BK163" s="517"/>
      <c r="BL163" s="517"/>
      <c r="BM163" s="517"/>
      <c r="BN163" s="517"/>
      <c r="BO163" s="517"/>
      <c r="BP163" s="517"/>
      <c r="BQ163" s="517"/>
      <c r="BR163" s="517"/>
      <c r="BS163" s="517"/>
      <c r="BT163" s="517"/>
      <c r="BU163" s="517"/>
      <c r="BV163" s="517"/>
      <c r="BW163" s="517"/>
      <c r="BX163" s="517"/>
      <c r="BY163" s="517"/>
      <c r="BZ163" s="517"/>
      <c r="CA163" s="517"/>
      <c r="CB163" s="517"/>
      <c r="CC163" s="517"/>
      <c r="CD163" s="517"/>
      <c r="CE163" s="517"/>
      <c r="CF163" s="517"/>
      <c r="CG163" s="517"/>
      <c r="CH163" s="517"/>
      <c r="CI163" s="517"/>
      <c r="CJ163" s="517"/>
      <c r="CK163" s="517"/>
      <c r="CL163" s="517"/>
      <c r="CM163" s="517"/>
      <c r="CN163" s="517"/>
      <c r="CO163" s="517"/>
      <c r="CP163" s="517"/>
      <c r="CQ163" s="517"/>
      <c r="CR163" s="517"/>
      <c r="CS163" s="517"/>
      <c r="CT163" s="517"/>
      <c r="CU163" s="517"/>
      <c r="CV163" s="517"/>
      <c r="CW163" s="517"/>
      <c r="CX163" s="517"/>
      <c r="CY163" s="517"/>
      <c r="CZ163" s="517"/>
      <c r="DA163" s="517"/>
      <c r="DB163" s="517"/>
      <c r="DC163" s="517"/>
      <c r="DD163" s="517"/>
      <c r="DE163" s="517"/>
      <c r="DF163" s="517"/>
      <c r="DG163" s="517"/>
      <c r="DH163" s="517"/>
      <c r="DI163" s="517"/>
      <c r="DJ163" s="517"/>
      <c r="DK163" s="517"/>
      <c r="DL163" s="517"/>
      <c r="DM163" s="517"/>
      <c r="DN163" s="517"/>
      <c r="DO163" s="517"/>
      <c r="DP163" s="517"/>
      <c r="DQ163" s="517"/>
      <c r="DR163" s="517"/>
      <c r="DS163" s="517"/>
      <c r="DT163" s="517"/>
      <c r="DU163" s="517"/>
      <c r="DV163" s="517"/>
      <c r="DW163" s="517"/>
      <c r="DX163" s="517"/>
      <c r="DY163" s="517"/>
      <c r="DZ163" s="517"/>
      <c r="EA163" s="517"/>
      <c r="EB163" s="517"/>
      <c r="EC163" s="517"/>
      <c r="ED163" s="517"/>
      <c r="EE163" s="517"/>
      <c r="EF163" s="517"/>
      <c r="EG163" s="517"/>
      <c r="EH163" s="517"/>
      <c r="EI163" s="517"/>
      <c r="EJ163" s="517"/>
      <c r="EK163" s="517"/>
      <c r="EL163" s="517"/>
      <c r="EM163" s="517"/>
      <c r="EN163" s="517"/>
      <c r="EO163" s="517"/>
      <c r="EP163" s="517"/>
      <c r="EQ163" s="517"/>
      <c r="ER163" s="517"/>
      <c r="ES163" s="627" t="s">
        <v>1140</v>
      </c>
    </row>
    <row r="164">
      <c r="A164" s="517"/>
      <c r="B164" s="517"/>
      <c r="C164" s="517"/>
      <c r="D164" s="517"/>
      <c r="E164" s="517"/>
      <c r="F164" s="517"/>
      <c r="G164" s="517"/>
      <c r="H164" s="517"/>
      <c r="I164" s="517"/>
      <c r="J164" s="517"/>
      <c r="K164" s="517"/>
      <c r="L164" s="517"/>
      <c r="M164" s="517"/>
      <c r="N164" s="517"/>
      <c r="O164" s="517"/>
      <c r="P164" s="517"/>
      <c r="Q164" s="517"/>
      <c r="R164" s="517"/>
      <c r="S164" s="517"/>
      <c r="T164" s="517"/>
      <c r="U164" s="517"/>
      <c r="V164" s="517"/>
      <c r="W164" s="517"/>
      <c r="X164" s="517"/>
      <c r="Y164" s="517"/>
      <c r="Z164" s="517"/>
      <c r="AA164" s="517"/>
      <c r="AB164" s="517"/>
      <c r="AC164" s="517"/>
      <c r="AD164" s="517"/>
      <c r="AE164" s="517"/>
      <c r="AF164" s="517"/>
      <c r="AG164" s="517"/>
      <c r="AH164" s="517"/>
      <c r="AI164" s="517"/>
      <c r="AJ164" s="517"/>
      <c r="AK164" s="517"/>
      <c r="AL164" s="517"/>
      <c r="AM164" s="517"/>
      <c r="AN164" s="517"/>
      <c r="AO164" s="517"/>
      <c r="AP164" s="517"/>
      <c r="AQ164" s="517"/>
      <c r="AR164" s="517"/>
      <c r="AS164" s="517"/>
      <c r="AT164" s="517"/>
      <c r="AU164" s="517"/>
      <c r="AV164" s="517"/>
      <c r="AW164" s="517"/>
      <c r="AX164" s="517"/>
      <c r="AY164" s="517"/>
      <c r="AZ164" s="517"/>
      <c r="BA164" s="517"/>
      <c r="BB164" s="517"/>
      <c r="BC164" s="517"/>
      <c r="BD164" s="517"/>
      <c r="BE164" s="517"/>
      <c r="BF164" s="517"/>
      <c r="BG164" s="517"/>
      <c r="BH164" s="517"/>
      <c r="BI164" s="517"/>
      <c r="BJ164" s="517"/>
      <c r="BK164" s="517"/>
      <c r="BL164" s="517"/>
      <c r="BM164" s="517"/>
      <c r="BN164" s="517"/>
      <c r="BO164" s="517"/>
      <c r="BP164" s="517"/>
      <c r="BQ164" s="517"/>
      <c r="BR164" s="517"/>
      <c r="BS164" s="517"/>
      <c r="BT164" s="517"/>
      <c r="BU164" s="517"/>
      <c r="BV164" s="517"/>
      <c r="BW164" s="517"/>
      <c r="BX164" s="517"/>
      <c r="BY164" s="517"/>
      <c r="BZ164" s="517"/>
      <c r="CA164" s="517"/>
      <c r="CB164" s="517"/>
      <c r="CC164" s="517"/>
      <c r="CD164" s="517"/>
      <c r="CE164" s="517"/>
      <c r="CF164" s="517"/>
      <c r="CG164" s="517"/>
      <c r="CH164" s="517"/>
      <c r="CI164" s="517"/>
      <c r="CJ164" s="517"/>
      <c r="CK164" s="517"/>
      <c r="CL164" s="517"/>
      <c r="CM164" s="517"/>
      <c r="CN164" s="517"/>
      <c r="CO164" s="517"/>
      <c r="CP164" s="517"/>
      <c r="CQ164" s="517"/>
      <c r="CR164" s="517"/>
      <c r="CS164" s="517"/>
      <c r="CT164" s="517"/>
      <c r="CU164" s="517"/>
      <c r="CV164" s="517"/>
      <c r="CW164" s="517"/>
      <c r="CX164" s="517"/>
      <c r="CY164" s="517"/>
      <c r="CZ164" s="517"/>
      <c r="DA164" s="517"/>
      <c r="DB164" s="517"/>
      <c r="DC164" s="517"/>
      <c r="DD164" s="517"/>
      <c r="DE164" s="517"/>
      <c r="DF164" s="517"/>
      <c r="DG164" s="517"/>
      <c r="DH164" s="517"/>
      <c r="DI164" s="517"/>
      <c r="DJ164" s="517"/>
      <c r="DK164" s="517"/>
      <c r="DL164" s="517"/>
      <c r="DM164" s="517"/>
      <c r="DN164" s="517"/>
      <c r="DO164" s="517"/>
      <c r="DP164" s="517"/>
      <c r="DQ164" s="517"/>
      <c r="DR164" s="517"/>
      <c r="DS164" s="517"/>
      <c r="DT164" s="517"/>
      <c r="DU164" s="517"/>
      <c r="DV164" s="517"/>
      <c r="DW164" s="517"/>
      <c r="DX164" s="517"/>
      <c r="DY164" s="517"/>
      <c r="DZ164" s="517"/>
      <c r="EA164" s="517"/>
      <c r="EB164" s="517"/>
      <c r="EC164" s="517"/>
      <c r="ED164" s="517"/>
      <c r="EE164" s="517"/>
      <c r="EF164" s="517"/>
      <c r="EG164" s="517"/>
      <c r="EH164" s="517"/>
      <c r="EI164" s="517"/>
      <c r="EJ164" s="517"/>
      <c r="EK164" s="517"/>
      <c r="EL164" s="517"/>
      <c r="EM164" s="517"/>
      <c r="EN164" s="517"/>
      <c r="EO164" s="517"/>
      <c r="EP164" s="517"/>
      <c r="EQ164" s="517"/>
      <c r="ER164" s="517"/>
      <c r="ES164" s="627" t="s">
        <v>1140</v>
      </c>
    </row>
    <row r="165">
      <c r="A165" s="517"/>
      <c r="B165" s="517"/>
      <c r="C165" s="517"/>
      <c r="D165" s="517"/>
      <c r="E165" s="517"/>
      <c r="F165" s="517"/>
      <c r="G165" s="517"/>
      <c r="H165" s="517"/>
      <c r="I165" s="517"/>
      <c r="J165" s="517"/>
      <c r="K165" s="517"/>
      <c r="L165" s="517"/>
      <c r="M165" s="517"/>
      <c r="N165" s="517"/>
      <c r="O165" s="517"/>
      <c r="P165" s="517"/>
      <c r="Q165" s="517"/>
      <c r="R165" s="517"/>
      <c r="S165" s="517"/>
      <c r="T165" s="517"/>
      <c r="U165" s="517"/>
      <c r="V165" s="517"/>
      <c r="W165" s="517"/>
      <c r="X165" s="517"/>
      <c r="Y165" s="517"/>
      <c r="Z165" s="517"/>
      <c r="AA165" s="517"/>
      <c r="AB165" s="517"/>
      <c r="AC165" s="517"/>
      <c r="AD165" s="517"/>
      <c r="AE165" s="517"/>
      <c r="AF165" s="517"/>
      <c r="AG165" s="517"/>
      <c r="AH165" s="517"/>
      <c r="AI165" s="517"/>
      <c r="AJ165" s="517"/>
      <c r="AK165" s="517"/>
      <c r="AL165" s="517"/>
      <c r="AM165" s="517"/>
      <c r="AN165" s="517"/>
      <c r="AO165" s="517"/>
      <c r="AP165" s="517"/>
      <c r="AQ165" s="517"/>
      <c r="AR165" s="517"/>
      <c r="AS165" s="517"/>
      <c r="AT165" s="517"/>
      <c r="AU165" s="517"/>
      <c r="AV165" s="517"/>
      <c r="AW165" s="517"/>
      <c r="AX165" s="517"/>
      <c r="AY165" s="517"/>
      <c r="AZ165" s="517"/>
      <c r="BA165" s="517"/>
      <c r="BB165" s="517"/>
      <c r="BC165" s="517"/>
      <c r="BD165" s="517"/>
      <c r="BE165" s="517"/>
      <c r="BF165" s="517"/>
      <c r="BG165" s="517"/>
      <c r="BH165" s="517"/>
      <c r="BI165" s="517"/>
      <c r="BJ165" s="517"/>
      <c r="BK165" s="517"/>
      <c r="BL165" s="517"/>
      <c r="BM165" s="517"/>
      <c r="BN165" s="517"/>
      <c r="BO165" s="517"/>
      <c r="BP165" s="517"/>
      <c r="BQ165" s="517"/>
      <c r="BR165" s="517"/>
      <c r="BS165" s="517"/>
      <c r="BT165" s="517"/>
      <c r="BU165" s="517"/>
      <c r="BV165" s="517"/>
      <c r="BW165" s="517"/>
      <c r="BX165" s="517"/>
      <c r="BY165" s="517"/>
      <c r="BZ165" s="517"/>
      <c r="CA165" s="517"/>
      <c r="CB165" s="517"/>
      <c r="CC165" s="517"/>
      <c r="CD165" s="517"/>
      <c r="CE165" s="517"/>
      <c r="CF165" s="517"/>
      <c r="CG165" s="517"/>
      <c r="CH165" s="517"/>
      <c r="CI165" s="517"/>
      <c r="CJ165" s="517"/>
      <c r="CK165" s="517"/>
      <c r="CL165" s="517"/>
      <c r="CM165" s="517"/>
      <c r="CN165" s="517"/>
      <c r="CO165" s="517"/>
      <c r="CP165" s="517"/>
      <c r="CQ165" s="517"/>
      <c r="CR165" s="517"/>
      <c r="CS165" s="517"/>
      <c r="CT165" s="517"/>
      <c r="CU165" s="517"/>
      <c r="CV165" s="517"/>
      <c r="CW165" s="517"/>
      <c r="CX165" s="517"/>
      <c r="CY165" s="517"/>
      <c r="CZ165" s="517"/>
      <c r="DA165" s="517"/>
      <c r="DB165" s="517"/>
      <c r="DC165" s="517"/>
      <c r="DD165" s="517"/>
      <c r="DE165" s="517"/>
      <c r="DF165" s="517"/>
      <c r="DG165" s="517"/>
      <c r="DH165" s="517"/>
      <c r="DI165" s="517"/>
      <c r="DJ165" s="517"/>
      <c r="DK165" s="517"/>
      <c r="DL165" s="517"/>
      <c r="DM165" s="517"/>
      <c r="DN165" s="517"/>
      <c r="DO165" s="517"/>
      <c r="DP165" s="517"/>
      <c r="DQ165" s="517"/>
      <c r="DR165" s="517"/>
      <c r="DS165" s="517"/>
      <c r="DT165" s="517"/>
      <c r="DU165" s="517"/>
      <c r="DV165" s="517"/>
      <c r="DW165" s="517"/>
      <c r="DX165" s="517"/>
      <c r="DY165" s="517"/>
      <c r="DZ165" s="517"/>
      <c r="EA165" s="517"/>
      <c r="EB165" s="517"/>
      <c r="EC165" s="517"/>
      <c r="ED165" s="517"/>
      <c r="EE165" s="517"/>
      <c r="EF165" s="517"/>
      <c r="EG165" s="517"/>
      <c r="EH165" s="517"/>
      <c r="EI165" s="517"/>
      <c r="EJ165" s="517"/>
      <c r="EK165" s="517"/>
      <c r="EL165" s="517"/>
      <c r="EM165" s="517"/>
      <c r="EN165" s="517"/>
      <c r="EO165" s="517"/>
      <c r="EP165" s="517"/>
      <c r="EQ165" s="517"/>
      <c r="ER165" s="517"/>
      <c r="ES165" s="627" t="s">
        <v>1140</v>
      </c>
    </row>
    <row r="166">
      <c r="A166" s="517"/>
      <c r="B166" s="517"/>
      <c r="C166" s="517"/>
      <c r="D166" s="517"/>
      <c r="E166" s="517"/>
      <c r="F166" s="517"/>
      <c r="G166" s="517"/>
      <c r="H166" s="517"/>
      <c r="I166" s="517"/>
      <c r="J166" s="517"/>
      <c r="K166" s="517"/>
      <c r="L166" s="517"/>
      <c r="M166" s="517"/>
      <c r="N166" s="517"/>
      <c r="O166" s="517"/>
      <c r="P166" s="517"/>
      <c r="Q166" s="517"/>
      <c r="R166" s="517"/>
      <c r="S166" s="517"/>
      <c r="T166" s="517"/>
      <c r="U166" s="517"/>
      <c r="V166" s="517"/>
      <c r="W166" s="517"/>
      <c r="X166" s="517"/>
      <c r="Y166" s="517"/>
      <c r="Z166" s="517"/>
      <c r="AA166" s="517"/>
      <c r="AB166" s="517"/>
      <c r="AC166" s="517"/>
      <c r="AD166" s="517"/>
      <c r="AE166" s="517"/>
      <c r="AF166" s="517"/>
      <c r="AG166" s="517"/>
      <c r="AH166" s="517"/>
      <c r="AI166" s="517"/>
      <c r="AJ166" s="517"/>
      <c r="AK166" s="517"/>
      <c r="AL166" s="517"/>
      <c r="AM166" s="517"/>
      <c r="AN166" s="517"/>
      <c r="AO166" s="517"/>
      <c r="AP166" s="517"/>
      <c r="AQ166" s="517"/>
      <c r="AR166" s="517"/>
      <c r="AS166" s="517"/>
      <c r="AT166" s="517"/>
      <c r="AU166" s="517"/>
      <c r="AV166" s="517"/>
      <c r="AW166" s="517"/>
      <c r="AX166" s="517"/>
      <c r="AY166" s="517"/>
      <c r="AZ166" s="517"/>
      <c r="BA166" s="517"/>
      <c r="BB166" s="517"/>
      <c r="BC166" s="517"/>
      <c r="BD166" s="517"/>
      <c r="BE166" s="517"/>
      <c r="BF166" s="517"/>
      <c r="BG166" s="517"/>
      <c r="BH166" s="517"/>
      <c r="BI166" s="517"/>
      <c r="BJ166" s="517"/>
      <c r="BK166" s="517"/>
      <c r="BL166" s="517"/>
      <c r="BM166" s="517"/>
      <c r="BN166" s="517"/>
      <c r="BO166" s="517"/>
      <c r="BP166" s="517"/>
      <c r="BQ166" s="517"/>
      <c r="BR166" s="517"/>
      <c r="BS166" s="517"/>
      <c r="BT166" s="517"/>
      <c r="BU166" s="517"/>
      <c r="BV166" s="517"/>
      <c r="BW166" s="517"/>
      <c r="BX166" s="517"/>
      <c r="BY166" s="517"/>
      <c r="BZ166" s="517"/>
      <c r="CA166" s="517"/>
      <c r="CB166" s="517"/>
      <c r="CC166" s="517"/>
      <c r="CD166" s="517"/>
      <c r="CE166" s="517"/>
      <c r="CF166" s="517"/>
      <c r="CG166" s="517"/>
      <c r="CH166" s="517"/>
      <c r="CI166" s="517"/>
      <c r="CJ166" s="517"/>
      <c r="CK166" s="517"/>
      <c r="CL166" s="517"/>
      <c r="CM166" s="517"/>
      <c r="CN166" s="517"/>
      <c r="CO166" s="517"/>
      <c r="CP166" s="517"/>
      <c r="CQ166" s="517"/>
      <c r="CR166" s="517"/>
      <c r="CS166" s="517"/>
      <c r="CT166" s="517"/>
      <c r="CU166" s="517"/>
      <c r="CV166" s="517"/>
      <c r="CW166" s="517"/>
      <c r="CX166" s="517"/>
      <c r="CY166" s="517"/>
      <c r="CZ166" s="517"/>
      <c r="DA166" s="517"/>
      <c r="DB166" s="517"/>
      <c r="DC166" s="517"/>
      <c r="DD166" s="517"/>
      <c r="DE166" s="517"/>
      <c r="DF166" s="517"/>
      <c r="DG166" s="517"/>
      <c r="DH166" s="517"/>
      <c r="DI166" s="517"/>
      <c r="DJ166" s="517"/>
      <c r="DK166" s="517"/>
      <c r="DL166" s="517"/>
      <c r="DM166" s="517"/>
      <c r="DN166" s="517"/>
      <c r="DO166" s="517"/>
      <c r="DP166" s="517"/>
      <c r="DQ166" s="517"/>
      <c r="DR166" s="517"/>
      <c r="DS166" s="517"/>
      <c r="DT166" s="517"/>
      <c r="DU166" s="517"/>
      <c r="DV166" s="517"/>
      <c r="DW166" s="517"/>
      <c r="DX166" s="517"/>
      <c r="DY166" s="517"/>
      <c r="DZ166" s="517"/>
      <c r="EA166" s="517"/>
      <c r="EB166" s="517"/>
      <c r="EC166" s="517"/>
      <c r="ED166" s="517"/>
      <c r="EE166" s="517"/>
      <c r="EF166" s="517"/>
      <c r="EG166" s="517"/>
      <c r="EH166" s="517"/>
      <c r="EI166" s="517"/>
      <c r="EJ166" s="517"/>
      <c r="EK166" s="517"/>
      <c r="EL166" s="517"/>
      <c r="EM166" s="517"/>
      <c r="EN166" s="517"/>
      <c r="EO166" s="517"/>
      <c r="EP166" s="517"/>
      <c r="EQ166" s="517"/>
      <c r="ER166" s="517"/>
      <c r="ES166" s="627" t="s">
        <v>1140</v>
      </c>
    </row>
    <row r="167">
      <c r="A167" s="517"/>
      <c r="B167" s="517"/>
      <c r="C167" s="517"/>
      <c r="D167" s="517"/>
      <c r="E167" s="517"/>
      <c r="F167" s="517"/>
      <c r="G167" s="517"/>
      <c r="H167" s="517"/>
      <c r="I167" s="517"/>
      <c r="J167" s="517"/>
      <c r="K167" s="517"/>
      <c r="L167" s="517"/>
      <c r="M167" s="517"/>
      <c r="N167" s="517"/>
      <c r="O167" s="517"/>
      <c r="P167" s="517"/>
      <c r="Q167" s="517"/>
      <c r="R167" s="517"/>
      <c r="S167" s="517"/>
      <c r="T167" s="517"/>
      <c r="U167" s="517"/>
      <c r="V167" s="517"/>
      <c r="W167" s="517"/>
      <c r="X167" s="517"/>
      <c r="Y167" s="517"/>
      <c r="Z167" s="517"/>
      <c r="AA167" s="517"/>
      <c r="AB167" s="517"/>
      <c r="AC167" s="517"/>
      <c r="AD167" s="517"/>
      <c r="AE167" s="517"/>
      <c r="AF167" s="517"/>
      <c r="AG167" s="517"/>
      <c r="AH167" s="517"/>
      <c r="AI167" s="517"/>
      <c r="AJ167" s="517"/>
      <c r="AK167" s="517"/>
      <c r="AL167" s="517"/>
      <c r="AM167" s="517"/>
      <c r="AN167" s="517"/>
      <c r="AO167" s="517"/>
      <c r="AP167" s="517"/>
      <c r="AQ167" s="517"/>
      <c r="AR167" s="517"/>
      <c r="AS167" s="517"/>
      <c r="AT167" s="517"/>
      <c r="AU167" s="517"/>
      <c r="AV167" s="517"/>
      <c r="AW167" s="517"/>
      <c r="AX167" s="517"/>
      <c r="AY167" s="517"/>
      <c r="AZ167" s="517"/>
      <c r="BA167" s="517"/>
      <c r="BB167" s="517"/>
      <c r="BC167" s="517"/>
      <c r="BD167" s="517"/>
      <c r="BE167" s="517"/>
      <c r="BF167" s="517"/>
      <c r="BG167" s="517"/>
      <c r="BH167" s="517"/>
      <c r="BI167" s="517"/>
      <c r="BJ167" s="517"/>
      <c r="BK167" s="517"/>
      <c r="BL167" s="517"/>
      <c r="BM167" s="517"/>
      <c r="BN167" s="517"/>
      <c r="BO167" s="517"/>
      <c r="BP167" s="517"/>
      <c r="BQ167" s="517"/>
      <c r="BR167" s="517"/>
      <c r="BS167" s="517"/>
      <c r="BT167" s="517"/>
      <c r="BU167" s="517"/>
      <c r="BV167" s="517"/>
      <c r="BW167" s="517"/>
      <c r="BX167" s="517"/>
      <c r="BY167" s="517"/>
      <c r="BZ167" s="517"/>
      <c r="CA167" s="517"/>
      <c r="CB167" s="517"/>
      <c r="CC167" s="517"/>
      <c r="CD167" s="517"/>
      <c r="CE167" s="517"/>
      <c r="CF167" s="517"/>
      <c r="CG167" s="517"/>
      <c r="CH167" s="517"/>
      <c r="CI167" s="517"/>
      <c r="CJ167" s="517"/>
      <c r="CK167" s="517"/>
      <c r="CL167" s="517"/>
      <c r="CM167" s="517"/>
      <c r="CN167" s="517"/>
      <c r="CO167" s="517"/>
      <c r="CP167" s="517"/>
      <c r="CQ167" s="517"/>
      <c r="CR167" s="517"/>
      <c r="CS167" s="517"/>
      <c r="CT167" s="517"/>
      <c r="CU167" s="517"/>
      <c r="CV167" s="517"/>
      <c r="CW167" s="517"/>
      <c r="CX167" s="517"/>
      <c r="CY167" s="517"/>
      <c r="CZ167" s="517"/>
      <c r="DA167" s="517"/>
      <c r="DB167" s="517"/>
      <c r="DC167" s="517"/>
      <c r="DD167" s="517"/>
      <c r="DE167" s="517"/>
      <c r="DF167" s="517"/>
      <c r="DG167" s="517"/>
      <c r="DH167" s="517"/>
      <c r="DI167" s="517"/>
      <c r="DJ167" s="517"/>
      <c r="DK167" s="517"/>
      <c r="DL167" s="517"/>
      <c r="DM167" s="517"/>
      <c r="DN167" s="517"/>
      <c r="DO167" s="517"/>
      <c r="DP167" s="517"/>
      <c r="DQ167" s="517"/>
      <c r="DR167" s="517"/>
      <c r="DS167" s="517"/>
      <c r="DT167" s="517"/>
      <c r="DU167" s="517"/>
      <c r="DV167" s="517"/>
      <c r="DW167" s="517"/>
      <c r="DX167" s="517"/>
      <c r="DY167" s="517"/>
      <c r="DZ167" s="517"/>
      <c r="EA167" s="517"/>
      <c r="EB167" s="517"/>
      <c r="EC167" s="517"/>
      <c r="ED167" s="517"/>
      <c r="EE167" s="517"/>
      <c r="EF167" s="517"/>
      <c r="EG167" s="517"/>
      <c r="EH167" s="517"/>
      <c r="EI167" s="517"/>
      <c r="EJ167" s="517"/>
      <c r="EK167" s="517"/>
      <c r="EL167" s="517"/>
      <c r="EM167" s="517"/>
      <c r="EN167" s="517"/>
      <c r="EO167" s="517"/>
      <c r="EP167" s="517"/>
      <c r="EQ167" s="517"/>
      <c r="ER167" s="517"/>
      <c r="ES167" s="627" t="s">
        <v>1140</v>
      </c>
    </row>
    <row r="168">
      <c r="A168" s="517"/>
      <c r="B168" s="517"/>
      <c r="C168" s="517"/>
      <c r="D168" s="517"/>
      <c r="E168" s="517"/>
      <c r="F168" s="517"/>
      <c r="G168" s="517"/>
      <c r="H168" s="517"/>
      <c r="I168" s="517"/>
      <c r="J168" s="517"/>
      <c r="K168" s="517"/>
      <c r="L168" s="517"/>
      <c r="M168" s="517"/>
      <c r="N168" s="517"/>
      <c r="O168" s="517"/>
      <c r="P168" s="517"/>
      <c r="Q168" s="517"/>
      <c r="R168" s="517"/>
      <c r="S168" s="517"/>
      <c r="T168" s="517"/>
      <c r="U168" s="517"/>
      <c r="V168" s="517"/>
      <c r="W168" s="517"/>
      <c r="X168" s="517"/>
      <c r="Y168" s="517"/>
      <c r="Z168" s="517"/>
      <c r="AA168" s="517"/>
      <c r="AB168" s="517"/>
      <c r="AC168" s="517"/>
      <c r="AD168" s="517"/>
      <c r="AE168" s="517"/>
      <c r="AF168" s="517"/>
      <c r="AG168" s="517"/>
      <c r="AH168" s="517"/>
      <c r="AI168" s="517"/>
      <c r="AJ168" s="517"/>
      <c r="AK168" s="517"/>
      <c r="AL168" s="517"/>
      <c r="AM168" s="517"/>
      <c r="AN168" s="517"/>
      <c r="AO168" s="517"/>
      <c r="AP168" s="517"/>
      <c r="AQ168" s="517"/>
      <c r="AR168" s="517"/>
      <c r="AS168" s="517"/>
      <c r="AT168" s="517"/>
      <c r="AU168" s="517"/>
      <c r="AV168" s="517"/>
      <c r="AW168" s="517"/>
      <c r="AX168" s="517"/>
      <c r="AY168" s="517"/>
      <c r="AZ168" s="517"/>
      <c r="BA168" s="517"/>
      <c r="BB168" s="517"/>
      <c r="BC168" s="517"/>
      <c r="BD168" s="517"/>
      <c r="BE168" s="517"/>
      <c r="BF168" s="517"/>
      <c r="BG168" s="517"/>
      <c r="BH168" s="517"/>
      <c r="BI168" s="517"/>
      <c r="BJ168" s="517"/>
      <c r="BK168" s="517"/>
      <c r="BL168" s="517"/>
      <c r="BM168" s="517"/>
      <c r="BN168" s="517"/>
      <c r="BO168" s="517"/>
      <c r="BP168" s="517"/>
      <c r="BQ168" s="517"/>
      <c r="BR168" s="517"/>
      <c r="BS168" s="517"/>
      <c r="BT168" s="517"/>
      <c r="BU168" s="517"/>
      <c r="BV168" s="517"/>
      <c r="BW168" s="517"/>
      <c r="BX168" s="517"/>
      <c r="BY168" s="517"/>
      <c r="BZ168" s="517"/>
      <c r="CA168" s="517"/>
      <c r="CB168" s="517"/>
      <c r="CC168" s="517"/>
      <c r="CD168" s="517"/>
      <c r="CE168" s="517"/>
      <c r="CF168" s="517"/>
      <c r="CG168" s="517"/>
      <c r="CH168" s="517"/>
      <c r="CI168" s="517"/>
      <c r="CJ168" s="517"/>
      <c r="CK168" s="517"/>
      <c r="CL168" s="517"/>
      <c r="CM168" s="517"/>
      <c r="CN168" s="517"/>
      <c r="CO168" s="517"/>
      <c r="CP168" s="517"/>
      <c r="CQ168" s="517"/>
      <c r="CR168" s="517"/>
      <c r="CS168" s="517"/>
      <c r="CT168" s="517"/>
      <c r="CU168" s="517"/>
      <c r="CV168" s="517"/>
      <c r="CW168" s="517"/>
      <c r="CX168" s="517"/>
      <c r="CY168" s="517"/>
      <c r="CZ168" s="517"/>
      <c r="DA168" s="517"/>
      <c r="DB168" s="517"/>
      <c r="DC168" s="517"/>
      <c r="DD168" s="517"/>
      <c r="DE168" s="517"/>
      <c r="DF168" s="517"/>
      <c r="DG168" s="517"/>
      <c r="DH168" s="517"/>
      <c r="DI168" s="517"/>
      <c r="DJ168" s="517"/>
      <c r="DK168" s="517"/>
      <c r="DL168" s="517"/>
      <c r="DM168" s="517"/>
      <c r="DN168" s="517"/>
      <c r="DO168" s="517"/>
      <c r="DP168" s="517"/>
      <c r="DQ168" s="517"/>
      <c r="DR168" s="517"/>
      <c r="DS168" s="517"/>
      <c r="DT168" s="517"/>
      <c r="DU168" s="517"/>
      <c r="DV168" s="517"/>
      <c r="DW168" s="517"/>
      <c r="DX168" s="517"/>
      <c r="DY168" s="517"/>
      <c r="DZ168" s="517"/>
      <c r="EA168" s="517"/>
      <c r="EB168" s="517"/>
      <c r="EC168" s="517"/>
      <c r="ED168" s="517"/>
      <c r="EE168" s="517"/>
      <c r="EF168" s="517"/>
      <c r="EG168" s="517"/>
      <c r="EH168" s="517"/>
      <c r="EI168" s="517"/>
      <c r="EJ168" s="517"/>
      <c r="EK168" s="517"/>
      <c r="EL168" s="517"/>
      <c r="EM168" s="517"/>
      <c r="EN168" s="517"/>
      <c r="EO168" s="517"/>
      <c r="EP168" s="517"/>
      <c r="EQ168" s="517"/>
      <c r="ER168" s="517"/>
      <c r="ES168" s="627" t="s">
        <v>1140</v>
      </c>
    </row>
    <row r="169">
      <c r="A169" s="517"/>
      <c r="B169" s="517"/>
      <c r="C169" s="517"/>
      <c r="D169" s="517"/>
      <c r="E169" s="517"/>
      <c r="F169" s="517"/>
      <c r="G169" s="517"/>
      <c r="H169" s="517"/>
      <c r="I169" s="517"/>
      <c r="J169" s="517"/>
      <c r="K169" s="517"/>
      <c r="L169" s="517"/>
      <c r="M169" s="517"/>
      <c r="N169" s="517"/>
      <c r="O169" s="517"/>
      <c r="P169" s="517"/>
      <c r="Q169" s="517"/>
      <c r="R169" s="517"/>
      <c r="S169" s="517"/>
      <c r="T169" s="517"/>
      <c r="U169" s="517"/>
      <c r="V169" s="517"/>
      <c r="W169" s="517"/>
      <c r="X169" s="517"/>
      <c r="Y169" s="517"/>
      <c r="Z169" s="517"/>
      <c r="AA169" s="517"/>
      <c r="AB169" s="517"/>
      <c r="AC169" s="517"/>
      <c r="AD169" s="517"/>
      <c r="AE169" s="517"/>
      <c r="AF169" s="517"/>
      <c r="AG169" s="517"/>
      <c r="AH169" s="517"/>
      <c r="AI169" s="517"/>
      <c r="AJ169" s="517"/>
      <c r="AK169" s="517"/>
      <c r="AL169" s="517"/>
      <c r="AM169" s="517"/>
      <c r="AN169" s="517"/>
      <c r="AO169" s="517"/>
      <c r="AP169" s="517"/>
      <c r="AQ169" s="517"/>
      <c r="AR169" s="517"/>
      <c r="AS169" s="517"/>
      <c r="AT169" s="517"/>
      <c r="AU169" s="517"/>
      <c r="AV169" s="517"/>
      <c r="AW169" s="517"/>
      <c r="AX169" s="517"/>
      <c r="AY169" s="517"/>
      <c r="AZ169" s="517"/>
      <c r="BA169" s="517"/>
      <c r="BB169" s="517"/>
      <c r="BC169" s="517"/>
      <c r="BD169" s="517"/>
      <c r="BE169" s="517"/>
      <c r="BF169" s="517"/>
      <c r="BG169" s="517"/>
      <c r="BH169" s="517"/>
      <c r="BI169" s="517"/>
      <c r="BJ169" s="517"/>
      <c r="BK169" s="517"/>
      <c r="BL169" s="517"/>
      <c r="BM169" s="517"/>
      <c r="BN169" s="517"/>
      <c r="BO169" s="517"/>
      <c r="BP169" s="517"/>
      <c r="BQ169" s="517"/>
      <c r="BR169" s="517"/>
      <c r="BS169" s="517"/>
      <c r="BT169" s="517"/>
      <c r="BU169" s="517"/>
      <c r="BV169" s="517"/>
      <c r="BW169" s="517"/>
      <c r="BX169" s="517"/>
      <c r="BY169" s="517"/>
      <c r="BZ169" s="517"/>
      <c r="CA169" s="517"/>
      <c r="CB169" s="517"/>
      <c r="CC169" s="517"/>
      <c r="CD169" s="517"/>
      <c r="CE169" s="517"/>
      <c r="CF169" s="517"/>
      <c r="CG169" s="517"/>
      <c r="CH169" s="517"/>
      <c r="CI169" s="517"/>
      <c r="CJ169" s="517"/>
      <c r="CK169" s="517"/>
      <c r="CL169" s="517"/>
      <c r="CM169" s="517"/>
      <c r="CN169" s="517"/>
      <c r="CO169" s="517"/>
      <c r="CP169" s="517"/>
      <c r="CQ169" s="517"/>
      <c r="CR169" s="517"/>
      <c r="CS169" s="517"/>
      <c r="CT169" s="517"/>
      <c r="CU169" s="517"/>
      <c r="CV169" s="517"/>
      <c r="CW169" s="517"/>
      <c r="CX169" s="517"/>
      <c r="CY169" s="517"/>
      <c r="CZ169" s="517"/>
      <c r="DA169" s="517"/>
      <c r="DB169" s="517"/>
      <c r="DC169" s="517"/>
      <c r="DD169" s="517"/>
      <c r="DE169" s="517"/>
      <c r="DF169" s="517"/>
      <c r="DG169" s="517"/>
      <c r="DH169" s="517"/>
      <c r="DI169" s="517"/>
      <c r="DJ169" s="517"/>
      <c r="DK169" s="517"/>
      <c r="DL169" s="517"/>
      <c r="DM169" s="517"/>
      <c r="DN169" s="517"/>
      <c r="DO169" s="517"/>
      <c r="DP169" s="517"/>
      <c r="DQ169" s="517"/>
      <c r="DR169" s="517"/>
      <c r="DS169" s="517"/>
      <c r="DT169" s="517"/>
      <c r="DU169" s="517"/>
      <c r="DV169" s="517"/>
      <c r="DW169" s="517"/>
      <c r="DX169" s="517"/>
      <c r="DY169" s="517"/>
      <c r="DZ169" s="517"/>
      <c r="EA169" s="517"/>
      <c r="EB169" s="517"/>
      <c r="EC169" s="517"/>
      <c r="ED169" s="517"/>
      <c r="EE169" s="517"/>
      <c r="EF169" s="517"/>
      <c r="EG169" s="517"/>
      <c r="EH169" s="517"/>
      <c r="EI169" s="517"/>
      <c r="EJ169" s="517"/>
      <c r="EK169" s="517"/>
      <c r="EL169" s="517"/>
      <c r="EM169" s="517"/>
      <c r="EN169" s="517"/>
      <c r="EO169" s="517"/>
      <c r="EP169" s="517"/>
      <c r="EQ169" s="517"/>
      <c r="ER169" s="517"/>
      <c r="ES169" s="627" t="s">
        <v>1140</v>
      </c>
    </row>
    <row r="170">
      <c r="A170" s="517"/>
      <c r="B170" s="517"/>
      <c r="C170" s="517"/>
      <c r="D170" s="517"/>
      <c r="E170" s="517"/>
      <c r="F170" s="517"/>
      <c r="G170" s="517"/>
      <c r="H170" s="517"/>
      <c r="I170" s="517"/>
      <c r="J170" s="517"/>
      <c r="K170" s="517"/>
      <c r="L170" s="517"/>
      <c r="M170" s="517"/>
      <c r="N170" s="517"/>
      <c r="O170" s="517"/>
      <c r="P170" s="517"/>
      <c r="Q170" s="517"/>
      <c r="R170" s="517"/>
      <c r="S170" s="517"/>
      <c r="T170" s="517"/>
      <c r="U170" s="517"/>
      <c r="V170" s="517"/>
      <c r="W170" s="517"/>
      <c r="X170" s="517"/>
      <c r="Y170" s="517"/>
      <c r="Z170" s="517"/>
      <c r="AA170" s="517"/>
      <c r="AB170" s="517"/>
      <c r="AC170" s="517"/>
      <c r="AD170" s="517"/>
      <c r="AE170" s="517"/>
      <c r="AF170" s="517"/>
      <c r="AG170" s="517"/>
      <c r="AH170" s="517"/>
      <c r="AI170" s="517"/>
      <c r="AJ170" s="517"/>
      <c r="AK170" s="517"/>
      <c r="AL170" s="517"/>
      <c r="AM170" s="517"/>
      <c r="AN170" s="517"/>
      <c r="AO170" s="517"/>
      <c r="AP170" s="517"/>
      <c r="AQ170" s="517"/>
      <c r="AR170" s="517"/>
      <c r="AS170" s="517"/>
      <c r="AT170" s="517"/>
      <c r="AU170" s="517"/>
      <c r="AV170" s="517"/>
      <c r="AW170" s="517"/>
      <c r="AX170" s="517"/>
      <c r="AY170" s="517"/>
      <c r="AZ170" s="517"/>
      <c r="BA170" s="517"/>
      <c r="BB170" s="517"/>
      <c r="BC170" s="517"/>
      <c r="BD170" s="517"/>
      <c r="BE170" s="517"/>
      <c r="BF170" s="517"/>
      <c r="BG170" s="517"/>
      <c r="BH170" s="517"/>
      <c r="BI170" s="517"/>
      <c r="BJ170" s="517"/>
      <c r="BK170" s="517"/>
      <c r="BL170" s="517"/>
      <c r="BM170" s="517"/>
      <c r="BN170" s="517"/>
      <c r="BO170" s="517"/>
      <c r="BP170" s="517"/>
      <c r="BQ170" s="517"/>
      <c r="BR170" s="517"/>
      <c r="BS170" s="517"/>
      <c r="BT170" s="517"/>
      <c r="BU170" s="517"/>
      <c r="BV170" s="517"/>
      <c r="BW170" s="517"/>
      <c r="BX170" s="517"/>
      <c r="BY170" s="517"/>
      <c r="BZ170" s="517"/>
      <c r="CA170" s="517"/>
      <c r="CB170" s="517"/>
      <c r="CC170" s="517"/>
      <c r="CD170" s="517"/>
      <c r="CE170" s="517"/>
      <c r="CF170" s="517"/>
      <c r="CG170" s="517"/>
      <c r="CH170" s="517"/>
      <c r="CI170" s="517"/>
      <c r="CJ170" s="517"/>
      <c r="CK170" s="517"/>
      <c r="CL170" s="517"/>
      <c r="CM170" s="517"/>
      <c r="CN170" s="517"/>
      <c r="CO170" s="517"/>
      <c r="CP170" s="517"/>
      <c r="CQ170" s="517"/>
      <c r="CR170" s="517"/>
      <c r="CS170" s="517"/>
      <c r="CT170" s="517"/>
      <c r="CU170" s="517"/>
      <c r="CV170" s="517"/>
      <c r="CW170" s="517"/>
      <c r="CX170" s="517"/>
      <c r="CY170" s="517"/>
      <c r="CZ170" s="517"/>
      <c r="DA170" s="517"/>
      <c r="DB170" s="517"/>
      <c r="DC170" s="517"/>
      <c r="DD170" s="517"/>
      <c r="DE170" s="517"/>
      <c r="DF170" s="517"/>
      <c r="DG170" s="517"/>
      <c r="DH170" s="517"/>
      <c r="DI170" s="517"/>
      <c r="DJ170" s="517"/>
      <c r="DK170" s="517"/>
      <c r="DL170" s="517"/>
      <c r="DM170" s="517"/>
      <c r="DN170" s="517"/>
      <c r="DO170" s="517"/>
      <c r="DP170" s="517"/>
      <c r="DQ170" s="517"/>
      <c r="DR170" s="517"/>
      <c r="DS170" s="517"/>
      <c r="DT170" s="517"/>
      <c r="DU170" s="517"/>
      <c r="DV170" s="517"/>
      <c r="DW170" s="517"/>
      <c r="DX170" s="517"/>
      <c r="DY170" s="517"/>
      <c r="DZ170" s="517"/>
      <c r="EA170" s="517"/>
      <c r="EB170" s="517"/>
      <c r="EC170" s="517"/>
      <c r="ED170" s="517"/>
      <c r="EE170" s="517"/>
      <c r="EF170" s="517"/>
      <c r="EG170" s="517"/>
      <c r="EH170" s="517"/>
      <c r="EI170" s="517"/>
      <c r="EJ170" s="517"/>
      <c r="EK170" s="517"/>
      <c r="EL170" s="517"/>
      <c r="EM170" s="517"/>
      <c r="EN170" s="517"/>
      <c r="EO170" s="517"/>
      <c r="EP170" s="517"/>
      <c r="EQ170" s="517"/>
      <c r="ER170" s="517"/>
      <c r="ES170" s="627" t="s">
        <v>1140</v>
      </c>
    </row>
    <row r="171">
      <c r="A171" s="517"/>
      <c r="B171" s="517"/>
      <c r="C171" s="517"/>
      <c r="D171" s="517"/>
      <c r="E171" s="517"/>
      <c r="F171" s="517"/>
      <c r="G171" s="517"/>
      <c r="H171" s="517"/>
      <c r="I171" s="517"/>
      <c r="J171" s="517"/>
      <c r="K171" s="517"/>
      <c r="L171" s="517"/>
      <c r="M171" s="517"/>
      <c r="N171" s="517"/>
      <c r="O171" s="517"/>
      <c r="P171" s="517"/>
      <c r="Q171" s="517"/>
      <c r="R171" s="517"/>
      <c r="S171" s="517"/>
      <c r="T171" s="517"/>
      <c r="U171" s="517"/>
      <c r="V171" s="517"/>
      <c r="W171" s="517"/>
      <c r="X171" s="517"/>
      <c r="Y171" s="517"/>
      <c r="Z171" s="517"/>
      <c r="AA171" s="517"/>
      <c r="AB171" s="517"/>
      <c r="AC171" s="517"/>
      <c r="AD171" s="517"/>
      <c r="AE171" s="517"/>
      <c r="AF171" s="517"/>
      <c r="AG171" s="517"/>
      <c r="AH171" s="517"/>
      <c r="AI171" s="517"/>
      <c r="AJ171" s="517"/>
      <c r="AK171" s="517"/>
      <c r="AL171" s="517"/>
      <c r="AM171" s="517"/>
      <c r="AN171" s="517"/>
      <c r="AO171" s="517"/>
      <c r="AP171" s="517"/>
      <c r="AQ171" s="517"/>
      <c r="AR171" s="517"/>
      <c r="AS171" s="517"/>
      <c r="AT171" s="517"/>
      <c r="AU171" s="517"/>
      <c r="AV171" s="517"/>
      <c r="AW171" s="517"/>
      <c r="AX171" s="517"/>
      <c r="AY171" s="517"/>
      <c r="AZ171" s="517"/>
      <c r="BA171" s="517"/>
      <c r="BB171" s="517"/>
      <c r="BC171" s="517"/>
      <c r="BD171" s="517"/>
      <c r="BE171" s="517"/>
      <c r="BF171" s="517"/>
      <c r="BG171" s="517"/>
      <c r="BH171" s="517"/>
      <c r="BI171" s="517"/>
      <c r="BJ171" s="517"/>
      <c r="BK171" s="517"/>
      <c r="BL171" s="517"/>
      <c r="BM171" s="517"/>
      <c r="BN171" s="517"/>
      <c r="BO171" s="517"/>
      <c r="BP171" s="517"/>
      <c r="BQ171" s="517"/>
      <c r="BR171" s="517"/>
      <c r="BS171" s="517"/>
      <c r="BT171" s="517"/>
      <c r="BU171" s="517"/>
      <c r="BV171" s="517"/>
      <c r="BW171" s="517"/>
      <c r="BX171" s="517"/>
      <c r="BY171" s="517"/>
      <c r="BZ171" s="517"/>
      <c r="CA171" s="517"/>
      <c r="CB171" s="517"/>
      <c r="CC171" s="517"/>
      <c r="CD171" s="517"/>
      <c r="CE171" s="517"/>
      <c r="CF171" s="517"/>
      <c r="CG171" s="517"/>
      <c r="CH171" s="517"/>
      <c r="CI171" s="517"/>
      <c r="CJ171" s="517"/>
      <c r="CK171" s="517"/>
      <c r="CL171" s="517"/>
      <c r="CM171" s="517"/>
      <c r="CN171" s="517"/>
      <c r="CO171" s="517"/>
      <c r="CP171" s="517"/>
      <c r="CQ171" s="517"/>
      <c r="CR171" s="517"/>
      <c r="CS171" s="517"/>
      <c r="CT171" s="517"/>
      <c r="CU171" s="517"/>
      <c r="CV171" s="517"/>
      <c r="CW171" s="517"/>
      <c r="CX171" s="517"/>
      <c r="CY171" s="517"/>
      <c r="CZ171" s="517"/>
      <c r="DA171" s="517"/>
      <c r="DB171" s="517"/>
      <c r="DC171" s="517"/>
      <c r="DD171" s="517"/>
      <c r="DE171" s="517"/>
      <c r="DF171" s="517"/>
      <c r="DG171" s="517"/>
      <c r="DH171" s="517"/>
      <c r="DI171" s="517"/>
      <c r="DJ171" s="517"/>
      <c r="DK171" s="517"/>
      <c r="DL171" s="517"/>
      <c r="DM171" s="517"/>
      <c r="DN171" s="517"/>
      <c r="DO171" s="517"/>
      <c r="DP171" s="517"/>
      <c r="DQ171" s="517"/>
      <c r="DR171" s="517"/>
      <c r="DS171" s="517"/>
      <c r="DT171" s="517"/>
      <c r="DU171" s="517"/>
      <c r="DV171" s="517"/>
      <c r="DW171" s="517"/>
      <c r="DX171" s="517"/>
      <c r="DY171" s="517"/>
      <c r="DZ171" s="517"/>
      <c r="EA171" s="517"/>
      <c r="EB171" s="517"/>
      <c r="EC171" s="517"/>
      <c r="ED171" s="517"/>
      <c r="EE171" s="517"/>
      <c r="EF171" s="517"/>
      <c r="EG171" s="517"/>
      <c r="EH171" s="517"/>
      <c r="EI171" s="517"/>
      <c r="EJ171" s="517"/>
      <c r="EK171" s="517"/>
      <c r="EL171" s="517"/>
      <c r="EM171" s="517"/>
      <c r="EN171" s="517"/>
      <c r="EO171" s="517"/>
      <c r="EP171" s="517"/>
      <c r="EQ171" s="517"/>
      <c r="ER171" s="517"/>
      <c r="ES171" s="627" t="s">
        <v>1140</v>
      </c>
    </row>
    <row r="172">
      <c r="A172" s="517"/>
      <c r="B172" s="517"/>
      <c r="C172" s="517"/>
      <c r="D172" s="517"/>
      <c r="E172" s="517"/>
      <c r="F172" s="517"/>
      <c r="G172" s="517"/>
      <c r="H172" s="517"/>
      <c r="I172" s="517"/>
      <c r="J172" s="517"/>
      <c r="K172" s="517"/>
      <c r="L172" s="517"/>
      <c r="M172" s="517"/>
      <c r="N172" s="517"/>
      <c r="O172" s="517"/>
      <c r="P172" s="517"/>
      <c r="Q172" s="517"/>
      <c r="R172" s="517"/>
      <c r="S172" s="517"/>
      <c r="T172" s="517"/>
      <c r="U172" s="517"/>
      <c r="V172" s="517"/>
      <c r="W172" s="517"/>
      <c r="X172" s="517"/>
      <c r="Y172" s="517"/>
      <c r="Z172" s="517"/>
      <c r="AA172" s="517"/>
      <c r="AB172" s="517"/>
      <c r="AC172" s="517"/>
      <c r="AD172" s="517"/>
      <c r="AE172" s="517"/>
      <c r="AF172" s="517"/>
      <c r="AG172" s="517"/>
      <c r="AH172" s="517"/>
      <c r="AI172" s="517"/>
      <c r="AJ172" s="517"/>
      <c r="AK172" s="517"/>
      <c r="AL172" s="517"/>
      <c r="AM172" s="517"/>
      <c r="AN172" s="517"/>
      <c r="AO172" s="517"/>
      <c r="AP172" s="517"/>
      <c r="AQ172" s="517"/>
      <c r="AR172" s="517"/>
      <c r="AS172" s="517"/>
      <c r="AT172" s="517"/>
      <c r="AU172" s="517"/>
      <c r="AV172" s="517"/>
      <c r="AW172" s="517"/>
      <c r="AX172" s="517"/>
      <c r="AY172" s="517"/>
      <c r="AZ172" s="517"/>
      <c r="BA172" s="517"/>
      <c r="BB172" s="517"/>
      <c r="BC172" s="517"/>
      <c r="BD172" s="517"/>
      <c r="BE172" s="517"/>
      <c r="BF172" s="517"/>
      <c r="BG172" s="517"/>
      <c r="BH172" s="517"/>
      <c r="BI172" s="517"/>
      <c r="BJ172" s="517"/>
      <c r="BK172" s="517"/>
      <c r="BL172" s="517"/>
      <c r="BM172" s="517"/>
      <c r="BN172" s="517"/>
      <c r="BO172" s="517"/>
      <c r="BP172" s="517"/>
      <c r="BQ172" s="517"/>
      <c r="BR172" s="517"/>
      <c r="BS172" s="517"/>
      <c r="BT172" s="517"/>
      <c r="BU172" s="517"/>
      <c r="BV172" s="517"/>
      <c r="BW172" s="517"/>
      <c r="BX172" s="517"/>
      <c r="BY172" s="517"/>
      <c r="BZ172" s="517"/>
      <c r="CA172" s="517"/>
      <c r="CB172" s="517"/>
      <c r="CC172" s="517"/>
      <c r="CD172" s="517"/>
      <c r="CE172" s="517"/>
      <c r="CF172" s="517"/>
      <c r="CG172" s="517"/>
      <c r="CH172" s="517"/>
      <c r="CI172" s="517"/>
      <c r="CJ172" s="517"/>
      <c r="CK172" s="517"/>
      <c r="CL172" s="517"/>
      <c r="CM172" s="517"/>
      <c r="CN172" s="517"/>
      <c r="CO172" s="517"/>
      <c r="CP172" s="517"/>
      <c r="CQ172" s="517"/>
      <c r="CR172" s="517"/>
      <c r="CS172" s="517"/>
      <c r="CT172" s="517"/>
      <c r="CU172" s="517"/>
      <c r="CV172" s="517"/>
      <c r="CW172" s="517"/>
      <c r="CX172" s="517"/>
      <c r="CY172" s="517"/>
      <c r="CZ172" s="517"/>
      <c r="DA172" s="517"/>
      <c r="DB172" s="517"/>
      <c r="DC172" s="517"/>
      <c r="DD172" s="517"/>
      <c r="DE172" s="517"/>
      <c r="DF172" s="517"/>
      <c r="DG172" s="517"/>
      <c r="DH172" s="517"/>
      <c r="DI172" s="517"/>
      <c r="DJ172" s="517"/>
      <c r="DK172" s="517"/>
      <c r="DL172" s="517"/>
      <c r="DM172" s="517"/>
      <c r="DN172" s="517"/>
      <c r="DO172" s="517"/>
      <c r="DP172" s="517"/>
      <c r="DQ172" s="517"/>
      <c r="DR172" s="517"/>
      <c r="DS172" s="517"/>
      <c r="DT172" s="517"/>
      <c r="DU172" s="517"/>
      <c r="DV172" s="517"/>
      <c r="DW172" s="517"/>
      <c r="DX172" s="517"/>
      <c r="DY172" s="517"/>
      <c r="DZ172" s="517"/>
      <c r="EA172" s="517"/>
      <c r="EB172" s="517"/>
      <c r="EC172" s="517"/>
      <c r="ED172" s="517"/>
      <c r="EE172" s="517"/>
      <c r="EF172" s="517"/>
      <c r="EG172" s="517"/>
      <c r="EH172" s="517"/>
      <c r="EI172" s="517"/>
      <c r="EJ172" s="517"/>
      <c r="EK172" s="517"/>
      <c r="EL172" s="517"/>
      <c r="EM172" s="517"/>
      <c r="EN172" s="517"/>
      <c r="EO172" s="517"/>
      <c r="EP172" s="517"/>
      <c r="EQ172" s="517"/>
      <c r="ER172" s="517"/>
      <c r="ES172" s="627" t="s">
        <v>1140</v>
      </c>
    </row>
    <row r="173">
      <c r="A173" s="517"/>
      <c r="B173" s="517"/>
      <c r="C173" s="517"/>
      <c r="D173" s="517"/>
      <c r="E173" s="517"/>
      <c r="F173" s="517"/>
      <c r="G173" s="517"/>
      <c r="H173" s="517"/>
      <c r="I173" s="517"/>
      <c r="J173" s="517"/>
      <c r="K173" s="517"/>
      <c r="L173" s="517"/>
      <c r="M173" s="517"/>
      <c r="N173" s="517"/>
      <c r="O173" s="517"/>
      <c r="P173" s="517"/>
      <c r="Q173" s="517"/>
      <c r="R173" s="517"/>
      <c r="S173" s="517"/>
      <c r="T173" s="517"/>
      <c r="U173" s="517"/>
      <c r="V173" s="517"/>
      <c r="W173" s="517"/>
      <c r="X173" s="517"/>
      <c r="Y173" s="517"/>
      <c r="Z173" s="517"/>
      <c r="AA173" s="517"/>
      <c r="AB173" s="517"/>
      <c r="AC173" s="517"/>
      <c r="AD173" s="517"/>
      <c r="AE173" s="517"/>
      <c r="AF173" s="517"/>
      <c r="AG173" s="517"/>
      <c r="AH173" s="517"/>
      <c r="AI173" s="517"/>
      <c r="AJ173" s="517"/>
      <c r="AK173" s="517"/>
      <c r="AL173" s="517"/>
      <c r="AM173" s="517"/>
      <c r="AN173" s="517"/>
      <c r="AO173" s="517"/>
      <c r="AP173" s="517"/>
      <c r="AQ173" s="517"/>
      <c r="AR173" s="517"/>
      <c r="AS173" s="517"/>
      <c r="AT173" s="517"/>
      <c r="AU173" s="517"/>
      <c r="AV173" s="517"/>
      <c r="AW173" s="517"/>
      <c r="AX173" s="517"/>
      <c r="AY173" s="517"/>
      <c r="AZ173" s="517"/>
      <c r="BA173" s="517"/>
      <c r="BB173" s="517"/>
      <c r="BC173" s="517"/>
      <c r="BD173" s="517"/>
      <c r="BE173" s="517"/>
      <c r="BF173" s="517"/>
      <c r="BG173" s="517"/>
      <c r="BH173" s="517"/>
      <c r="BI173" s="517"/>
      <c r="BJ173" s="517"/>
      <c r="BK173" s="517"/>
      <c r="BL173" s="517"/>
      <c r="BM173" s="517"/>
      <c r="BN173" s="517"/>
      <c r="BO173" s="517"/>
      <c r="BP173" s="517"/>
      <c r="BQ173" s="517"/>
      <c r="BR173" s="517"/>
      <c r="BS173" s="517"/>
      <c r="BT173" s="517"/>
      <c r="BU173" s="517"/>
      <c r="BV173" s="517"/>
      <c r="BW173" s="517"/>
      <c r="BX173" s="517"/>
      <c r="BY173" s="517"/>
      <c r="BZ173" s="517"/>
      <c r="CA173" s="517"/>
      <c r="CB173" s="517"/>
      <c r="CC173" s="517"/>
      <c r="CD173" s="517"/>
      <c r="CE173" s="517"/>
      <c r="CF173" s="517"/>
      <c r="CG173" s="517"/>
      <c r="CH173" s="517"/>
      <c r="CI173" s="517"/>
      <c r="CJ173" s="517"/>
      <c r="CK173" s="517"/>
      <c r="CL173" s="517"/>
      <c r="CM173" s="517"/>
      <c r="CN173" s="517"/>
      <c r="CO173" s="517"/>
      <c r="CP173" s="517"/>
      <c r="CQ173" s="517"/>
      <c r="CR173" s="517"/>
      <c r="CS173" s="517"/>
      <c r="CT173" s="517"/>
      <c r="CU173" s="517"/>
      <c r="CV173" s="517"/>
      <c r="CW173" s="517"/>
      <c r="CX173" s="517"/>
      <c r="CY173" s="517"/>
      <c r="CZ173" s="517"/>
      <c r="DA173" s="517"/>
      <c r="DB173" s="517"/>
      <c r="DC173" s="517"/>
      <c r="DD173" s="517"/>
      <c r="DE173" s="517"/>
      <c r="DF173" s="517"/>
      <c r="DG173" s="517"/>
      <c r="DH173" s="517"/>
      <c r="DI173" s="517"/>
      <c r="DJ173" s="517"/>
      <c r="DK173" s="517"/>
      <c r="DL173" s="517"/>
      <c r="DM173" s="517"/>
      <c r="DN173" s="517"/>
      <c r="DO173" s="517"/>
      <c r="DP173" s="517"/>
      <c r="DQ173" s="517"/>
      <c r="DR173" s="517"/>
      <c r="DS173" s="517"/>
      <c r="DT173" s="517"/>
      <c r="DU173" s="517"/>
      <c r="DV173" s="517"/>
      <c r="DW173" s="517"/>
      <c r="DX173" s="517"/>
      <c r="DY173" s="517"/>
      <c r="DZ173" s="517"/>
      <c r="EA173" s="517"/>
      <c r="EB173" s="517"/>
      <c r="EC173" s="517"/>
      <c r="ED173" s="517"/>
      <c r="EE173" s="517"/>
      <c r="EF173" s="517"/>
      <c r="EG173" s="517"/>
      <c r="EH173" s="517"/>
      <c r="EI173" s="517"/>
      <c r="EJ173" s="517"/>
      <c r="EK173" s="517"/>
      <c r="EL173" s="517"/>
      <c r="EM173" s="517"/>
      <c r="EN173" s="517"/>
      <c r="EO173" s="517"/>
      <c r="EP173" s="517"/>
      <c r="EQ173" s="517"/>
      <c r="ER173" s="517"/>
      <c r="ES173" s="627" t="s">
        <v>1140</v>
      </c>
    </row>
    <row r="174">
      <c r="A174" s="517"/>
      <c r="B174" s="517"/>
      <c r="C174" s="517"/>
      <c r="D174" s="517"/>
      <c r="E174" s="517"/>
      <c r="F174" s="517"/>
      <c r="G174" s="517"/>
      <c r="H174" s="517"/>
      <c r="I174" s="517"/>
      <c r="J174" s="517"/>
      <c r="K174" s="517"/>
      <c r="L174" s="517"/>
      <c r="M174" s="517"/>
      <c r="N174" s="517"/>
      <c r="O174" s="517"/>
      <c r="P174" s="517"/>
      <c r="Q174" s="517"/>
      <c r="R174" s="517"/>
      <c r="S174" s="517"/>
      <c r="T174" s="517"/>
      <c r="U174" s="517"/>
      <c r="V174" s="517"/>
      <c r="W174" s="517"/>
      <c r="X174" s="517"/>
      <c r="Y174" s="517"/>
      <c r="Z174" s="517"/>
      <c r="AA174" s="517"/>
      <c r="AB174" s="517"/>
      <c r="AC174" s="517"/>
      <c r="AD174" s="517"/>
      <c r="AE174" s="517"/>
      <c r="AF174" s="517"/>
      <c r="AG174" s="517"/>
      <c r="AH174" s="517"/>
      <c r="AI174" s="517"/>
      <c r="AJ174" s="517"/>
      <c r="AK174" s="517"/>
      <c r="AL174" s="517"/>
      <c r="AM174" s="517"/>
      <c r="AN174" s="517"/>
      <c r="AO174" s="517"/>
      <c r="AP174" s="517"/>
      <c r="AQ174" s="517"/>
      <c r="AR174" s="517"/>
      <c r="AS174" s="517"/>
      <c r="AT174" s="517"/>
      <c r="AU174" s="517"/>
      <c r="AV174" s="517"/>
      <c r="AW174" s="517"/>
      <c r="AX174" s="517"/>
      <c r="AY174" s="517"/>
      <c r="AZ174" s="517"/>
      <c r="BA174" s="517"/>
      <c r="BB174" s="517"/>
      <c r="BC174" s="517"/>
      <c r="BD174" s="517"/>
      <c r="BE174" s="517"/>
      <c r="BF174" s="517"/>
      <c r="BG174" s="517"/>
      <c r="BH174" s="517"/>
      <c r="BI174" s="517"/>
      <c r="BJ174" s="517"/>
      <c r="BK174" s="517"/>
      <c r="BL174" s="517"/>
      <c r="BM174" s="517"/>
      <c r="BN174" s="517"/>
      <c r="BO174" s="517"/>
      <c r="BP174" s="517"/>
      <c r="BQ174" s="517"/>
      <c r="BR174" s="517"/>
      <c r="BS174" s="517"/>
      <c r="BT174" s="517"/>
      <c r="BU174" s="517"/>
      <c r="BV174" s="517"/>
      <c r="BW174" s="517"/>
      <c r="BX174" s="517"/>
      <c r="BY174" s="517"/>
      <c r="BZ174" s="517"/>
      <c r="CA174" s="517"/>
      <c r="CB174" s="517"/>
      <c r="CC174" s="517"/>
      <c r="CD174" s="517"/>
      <c r="CE174" s="517"/>
      <c r="CF174" s="517"/>
      <c r="CG174" s="517"/>
      <c r="CH174" s="517"/>
      <c r="CI174" s="517"/>
      <c r="CJ174" s="517"/>
      <c r="CK174" s="517"/>
      <c r="CL174" s="517"/>
      <c r="CM174" s="517"/>
      <c r="CN174" s="517"/>
      <c r="CO174" s="517"/>
      <c r="CP174" s="517"/>
      <c r="CQ174" s="517"/>
      <c r="CR174" s="517"/>
      <c r="CS174" s="517"/>
      <c r="CT174" s="517"/>
      <c r="CU174" s="517"/>
      <c r="CV174" s="517"/>
      <c r="CW174" s="517"/>
      <c r="CX174" s="517"/>
      <c r="CY174" s="517"/>
      <c r="CZ174" s="517"/>
      <c r="DA174" s="517"/>
      <c r="DB174" s="517"/>
      <c r="DC174" s="517"/>
      <c r="DD174" s="517"/>
      <c r="DE174" s="517"/>
      <c r="DF174" s="517"/>
      <c r="DG174" s="517"/>
      <c r="DH174" s="517"/>
      <c r="DI174" s="517"/>
      <c r="DJ174" s="517"/>
      <c r="DK174" s="517"/>
      <c r="DL174" s="517"/>
      <c r="DM174" s="517"/>
      <c r="DN174" s="517"/>
      <c r="DO174" s="517"/>
      <c r="DP174" s="517"/>
      <c r="DQ174" s="517"/>
      <c r="DR174" s="517"/>
      <c r="DS174" s="517"/>
      <c r="DT174" s="517"/>
      <c r="DU174" s="517"/>
      <c r="DV174" s="517"/>
      <c r="DW174" s="517"/>
      <c r="DX174" s="517"/>
      <c r="DY174" s="517"/>
      <c r="DZ174" s="517"/>
      <c r="EA174" s="517"/>
      <c r="EB174" s="517"/>
      <c r="EC174" s="517"/>
      <c r="ED174" s="517"/>
      <c r="EE174" s="517"/>
      <c r="EF174" s="517"/>
      <c r="EG174" s="517"/>
      <c r="EH174" s="517"/>
      <c r="EI174" s="517"/>
      <c r="EJ174" s="517"/>
      <c r="EK174" s="517"/>
      <c r="EL174" s="517"/>
      <c r="EM174" s="517"/>
      <c r="EN174" s="517"/>
      <c r="EO174" s="517"/>
      <c r="EP174" s="517"/>
      <c r="EQ174" s="517"/>
      <c r="ER174" s="517"/>
      <c r="ES174" s="627" t="s">
        <v>1140</v>
      </c>
    </row>
    <row r="175">
      <c r="A175" s="517"/>
      <c r="B175" s="517"/>
      <c r="C175" s="517"/>
      <c r="D175" s="517"/>
      <c r="E175" s="517"/>
      <c r="F175" s="517"/>
      <c r="G175" s="517"/>
      <c r="H175" s="517"/>
      <c r="I175" s="517"/>
      <c r="J175" s="517"/>
      <c r="K175" s="517"/>
      <c r="L175" s="517"/>
      <c r="M175" s="517"/>
      <c r="N175" s="517"/>
      <c r="O175" s="517"/>
      <c r="P175" s="517"/>
      <c r="Q175" s="517"/>
      <c r="R175" s="517"/>
      <c r="S175" s="517"/>
      <c r="T175" s="517"/>
      <c r="U175" s="517"/>
      <c r="V175" s="517"/>
      <c r="W175" s="517"/>
      <c r="X175" s="517"/>
      <c r="Y175" s="517"/>
      <c r="Z175" s="517"/>
      <c r="AA175" s="517"/>
      <c r="AB175" s="517"/>
      <c r="AC175" s="517"/>
      <c r="AD175" s="517"/>
      <c r="AE175" s="517"/>
      <c r="AF175" s="517"/>
      <c r="AG175" s="517"/>
      <c r="AH175" s="517"/>
      <c r="AI175" s="517"/>
      <c r="AJ175" s="517"/>
      <c r="AK175" s="517"/>
      <c r="AL175" s="517"/>
      <c r="AM175" s="517"/>
      <c r="AN175" s="517"/>
      <c r="AO175" s="517"/>
      <c r="AP175" s="517"/>
      <c r="AQ175" s="517"/>
      <c r="AR175" s="517"/>
      <c r="AS175" s="517"/>
      <c r="AT175" s="517"/>
      <c r="AU175" s="517"/>
      <c r="AV175" s="517"/>
      <c r="AW175" s="517"/>
      <c r="AX175" s="517"/>
      <c r="AY175" s="517"/>
      <c r="AZ175" s="517"/>
      <c r="BA175" s="517"/>
      <c r="BB175" s="517"/>
      <c r="BC175" s="517"/>
      <c r="BD175" s="517"/>
      <c r="BE175" s="517"/>
      <c r="BF175" s="517"/>
      <c r="BG175" s="517"/>
      <c r="BH175" s="517"/>
      <c r="BI175" s="517"/>
      <c r="BJ175" s="517"/>
      <c r="BK175" s="517"/>
      <c r="BL175" s="517"/>
      <c r="BM175" s="517"/>
      <c r="BN175" s="517"/>
      <c r="BO175" s="517"/>
      <c r="BP175" s="517"/>
      <c r="BQ175" s="517"/>
      <c r="BR175" s="517"/>
      <c r="BS175" s="517"/>
      <c r="BT175" s="517"/>
      <c r="BU175" s="517"/>
      <c r="BV175" s="517"/>
      <c r="BW175" s="517"/>
      <c r="BX175" s="517"/>
      <c r="BY175" s="517"/>
      <c r="BZ175" s="517"/>
      <c r="CA175" s="517"/>
      <c r="CB175" s="517"/>
      <c r="CC175" s="517"/>
      <c r="CD175" s="517"/>
      <c r="CE175" s="517"/>
      <c r="CF175" s="517"/>
      <c r="CG175" s="517"/>
      <c r="CH175" s="517"/>
      <c r="CI175" s="517"/>
      <c r="CJ175" s="517"/>
      <c r="CK175" s="517"/>
      <c r="CL175" s="517"/>
      <c r="CM175" s="517"/>
      <c r="CN175" s="517"/>
      <c r="CO175" s="517"/>
      <c r="CP175" s="517"/>
      <c r="CQ175" s="517"/>
      <c r="CR175" s="517"/>
      <c r="CS175" s="517"/>
      <c r="CT175" s="517"/>
      <c r="CU175" s="517"/>
      <c r="CV175" s="517"/>
      <c r="CW175" s="517"/>
      <c r="CX175" s="517"/>
      <c r="CY175" s="517"/>
      <c r="CZ175" s="517"/>
      <c r="DA175" s="517"/>
      <c r="DB175" s="517"/>
      <c r="DC175" s="517"/>
      <c r="DD175" s="517"/>
      <c r="DE175" s="517"/>
      <c r="DF175" s="517"/>
      <c r="DG175" s="517"/>
      <c r="DH175" s="517"/>
      <c r="DI175" s="517"/>
      <c r="DJ175" s="517"/>
      <c r="DK175" s="517"/>
      <c r="DL175" s="517"/>
      <c r="DM175" s="517"/>
      <c r="DN175" s="517"/>
      <c r="DO175" s="517"/>
      <c r="DP175" s="517"/>
      <c r="DQ175" s="517"/>
      <c r="DR175" s="517"/>
      <c r="DS175" s="517"/>
      <c r="DT175" s="517"/>
      <c r="DU175" s="517"/>
      <c r="DV175" s="517"/>
      <c r="DW175" s="517"/>
      <c r="DX175" s="517"/>
      <c r="DY175" s="517"/>
      <c r="DZ175" s="517"/>
      <c r="EA175" s="517"/>
      <c r="EB175" s="517"/>
      <c r="EC175" s="517"/>
      <c r="ED175" s="517"/>
      <c r="EE175" s="517"/>
      <c r="EF175" s="517"/>
      <c r="EG175" s="517"/>
      <c r="EH175" s="517"/>
      <c r="EI175" s="517"/>
      <c r="EJ175" s="517"/>
      <c r="EK175" s="517"/>
      <c r="EL175" s="517"/>
      <c r="EM175" s="517"/>
      <c r="EN175" s="517"/>
      <c r="EO175" s="517"/>
      <c r="EP175" s="517"/>
      <c r="EQ175" s="517"/>
      <c r="ER175" s="517"/>
      <c r="ES175" s="627" t="s">
        <v>1140</v>
      </c>
    </row>
    <row r="176">
      <c r="A176" s="517"/>
      <c r="B176" s="517"/>
      <c r="C176" s="517"/>
      <c r="D176" s="517"/>
      <c r="E176" s="517"/>
      <c r="F176" s="517"/>
      <c r="G176" s="517"/>
      <c r="H176" s="517"/>
      <c r="I176" s="517"/>
      <c r="J176" s="517"/>
      <c r="K176" s="517"/>
      <c r="L176" s="517"/>
      <c r="M176" s="517"/>
      <c r="N176" s="517"/>
      <c r="O176" s="517"/>
      <c r="P176" s="517"/>
      <c r="Q176" s="517"/>
      <c r="R176" s="517"/>
      <c r="S176" s="517"/>
      <c r="T176" s="517"/>
      <c r="U176" s="517"/>
      <c r="V176" s="517"/>
      <c r="W176" s="517"/>
      <c r="X176" s="517"/>
      <c r="Y176" s="517"/>
      <c r="Z176" s="517"/>
      <c r="AA176" s="517"/>
      <c r="AB176" s="517"/>
      <c r="AC176" s="517"/>
      <c r="AD176" s="517"/>
      <c r="AE176" s="517"/>
      <c r="AF176" s="517"/>
      <c r="AG176" s="517"/>
      <c r="AH176" s="517"/>
      <c r="AI176" s="517"/>
      <c r="AJ176" s="517"/>
      <c r="AK176" s="517"/>
      <c r="AL176" s="517"/>
      <c r="AM176" s="517"/>
      <c r="AN176" s="517"/>
      <c r="AO176" s="517"/>
      <c r="AP176" s="517"/>
      <c r="AQ176" s="517"/>
      <c r="AR176" s="517"/>
      <c r="AS176" s="517"/>
      <c r="AT176" s="517"/>
      <c r="AU176" s="517"/>
      <c r="AV176" s="517"/>
      <c r="AW176" s="517"/>
      <c r="AX176" s="517"/>
      <c r="AY176" s="517"/>
      <c r="AZ176" s="517"/>
      <c r="BA176" s="517"/>
      <c r="BB176" s="517"/>
      <c r="BC176" s="517"/>
      <c r="BD176" s="517"/>
      <c r="BE176" s="517"/>
      <c r="BF176" s="517"/>
      <c r="BG176" s="517"/>
      <c r="BH176" s="517"/>
      <c r="BI176" s="517"/>
      <c r="BJ176" s="517"/>
      <c r="BK176" s="517"/>
      <c r="BL176" s="517"/>
      <c r="BM176" s="517"/>
      <c r="BN176" s="517"/>
      <c r="BO176" s="517"/>
      <c r="BP176" s="517"/>
      <c r="BQ176" s="517"/>
      <c r="BR176" s="517"/>
      <c r="BS176" s="517"/>
      <c r="BT176" s="517"/>
      <c r="BU176" s="517"/>
      <c r="BV176" s="517"/>
      <c r="BW176" s="517"/>
      <c r="BX176" s="517"/>
      <c r="BY176" s="517"/>
      <c r="BZ176" s="517"/>
      <c r="CA176" s="517"/>
      <c r="CB176" s="517"/>
      <c r="CC176" s="517"/>
      <c r="CD176" s="517"/>
      <c r="CE176" s="517"/>
      <c r="CF176" s="517"/>
      <c r="CG176" s="517"/>
      <c r="CH176" s="517"/>
      <c r="CI176" s="517"/>
      <c r="CJ176" s="517"/>
      <c r="CK176" s="517"/>
      <c r="CL176" s="517"/>
      <c r="CM176" s="517"/>
      <c r="CN176" s="517"/>
      <c r="CO176" s="517"/>
      <c r="CP176" s="517"/>
      <c r="CQ176" s="517"/>
      <c r="CR176" s="517"/>
      <c r="CS176" s="517"/>
      <c r="CT176" s="517"/>
      <c r="CU176" s="517"/>
      <c r="CV176" s="517"/>
      <c r="CW176" s="517"/>
      <c r="CX176" s="517"/>
      <c r="CY176" s="517"/>
      <c r="CZ176" s="517"/>
      <c r="DA176" s="517"/>
      <c r="DB176" s="517"/>
      <c r="DC176" s="517"/>
      <c r="DD176" s="517"/>
      <c r="DE176" s="517"/>
      <c r="DF176" s="517"/>
      <c r="DG176" s="517"/>
      <c r="DH176" s="517"/>
      <c r="DI176" s="517"/>
      <c r="DJ176" s="517"/>
      <c r="DK176" s="517"/>
      <c r="DL176" s="517"/>
      <c r="DM176" s="517"/>
      <c r="DN176" s="517"/>
      <c r="DO176" s="517"/>
      <c r="DP176" s="517"/>
      <c r="DQ176" s="517"/>
      <c r="DR176" s="517"/>
      <c r="DS176" s="517"/>
      <c r="DT176" s="517"/>
      <c r="DU176" s="517"/>
      <c r="DV176" s="517"/>
      <c r="DW176" s="517"/>
      <c r="DX176" s="517"/>
      <c r="DY176" s="517"/>
      <c r="DZ176" s="517"/>
      <c r="EA176" s="517"/>
      <c r="EB176" s="517"/>
      <c r="EC176" s="517"/>
      <c r="ED176" s="517"/>
      <c r="EE176" s="517"/>
      <c r="EF176" s="517"/>
      <c r="EG176" s="517"/>
      <c r="EH176" s="517"/>
      <c r="EI176" s="517"/>
      <c r="EJ176" s="517"/>
      <c r="EK176" s="517"/>
      <c r="EL176" s="517"/>
      <c r="EM176" s="517"/>
      <c r="EN176" s="517"/>
      <c r="EO176" s="517"/>
      <c r="EP176" s="517"/>
      <c r="EQ176" s="517"/>
      <c r="ER176" s="517"/>
      <c r="ES176" s="627" t="s">
        <v>1140</v>
      </c>
    </row>
    <row r="177">
      <c r="A177" s="517"/>
      <c r="B177" s="517"/>
      <c r="C177" s="517"/>
      <c r="D177" s="517"/>
      <c r="E177" s="517"/>
      <c r="F177" s="517"/>
      <c r="G177" s="517"/>
      <c r="H177" s="517"/>
      <c r="I177" s="517"/>
      <c r="J177" s="517"/>
      <c r="K177" s="517"/>
      <c r="L177" s="517"/>
      <c r="M177" s="517"/>
      <c r="N177" s="517"/>
      <c r="O177" s="517"/>
      <c r="P177" s="517"/>
      <c r="Q177" s="517"/>
      <c r="R177" s="517"/>
      <c r="S177" s="517"/>
      <c r="T177" s="517"/>
      <c r="U177" s="517"/>
      <c r="V177" s="517"/>
      <c r="W177" s="517"/>
      <c r="X177" s="517"/>
      <c r="Y177" s="517"/>
      <c r="Z177" s="517"/>
      <c r="AA177" s="517"/>
      <c r="AB177" s="517"/>
      <c r="AC177" s="517"/>
      <c r="AD177" s="517"/>
      <c r="AE177" s="517"/>
      <c r="AF177" s="517"/>
      <c r="AG177" s="517"/>
      <c r="AH177" s="517"/>
      <c r="AI177" s="517"/>
      <c r="AJ177" s="517"/>
      <c r="AK177" s="517"/>
      <c r="AL177" s="517"/>
      <c r="AM177" s="517"/>
      <c r="AN177" s="517"/>
      <c r="AO177" s="517"/>
      <c r="AP177" s="517"/>
      <c r="AQ177" s="517"/>
      <c r="AR177" s="517"/>
      <c r="AS177" s="517"/>
      <c r="AT177" s="517"/>
      <c r="AU177" s="517"/>
      <c r="AV177" s="517"/>
      <c r="AW177" s="517"/>
      <c r="AX177" s="517"/>
      <c r="AY177" s="517"/>
      <c r="AZ177" s="517"/>
      <c r="BA177" s="517"/>
      <c r="BB177" s="517"/>
      <c r="BC177" s="517"/>
      <c r="BD177" s="517"/>
      <c r="BE177" s="517"/>
      <c r="BF177" s="517"/>
      <c r="BG177" s="517"/>
      <c r="BH177" s="517"/>
      <c r="BI177" s="517"/>
      <c r="BJ177" s="517"/>
      <c r="BK177" s="517"/>
      <c r="BL177" s="517"/>
      <c r="BM177" s="517"/>
      <c r="BN177" s="517"/>
      <c r="BO177" s="517"/>
      <c r="BP177" s="517"/>
      <c r="BQ177" s="517"/>
      <c r="BR177" s="517"/>
      <c r="BS177" s="517"/>
      <c r="BT177" s="517"/>
      <c r="BU177" s="517"/>
      <c r="BV177" s="517"/>
      <c r="BW177" s="517"/>
      <c r="BX177" s="517"/>
      <c r="BY177" s="517"/>
      <c r="BZ177" s="517"/>
      <c r="CA177" s="517"/>
      <c r="CB177" s="517"/>
      <c r="CC177" s="517"/>
      <c r="CD177" s="517"/>
      <c r="CE177" s="517"/>
      <c r="CF177" s="517"/>
      <c r="CG177" s="517"/>
      <c r="CH177" s="517"/>
      <c r="CI177" s="517"/>
      <c r="CJ177" s="517"/>
      <c r="CK177" s="517"/>
      <c r="CL177" s="517"/>
      <c r="CM177" s="517"/>
      <c r="CN177" s="517"/>
      <c r="CO177" s="517"/>
      <c r="CP177" s="517"/>
      <c r="CQ177" s="517"/>
      <c r="CR177" s="517"/>
      <c r="CS177" s="517"/>
      <c r="CT177" s="517"/>
      <c r="CU177" s="517"/>
      <c r="CV177" s="517"/>
      <c r="CW177" s="517"/>
      <c r="CX177" s="517"/>
      <c r="CY177" s="517"/>
      <c r="CZ177" s="517"/>
      <c r="DA177" s="517"/>
      <c r="DB177" s="517"/>
      <c r="DC177" s="517"/>
      <c r="DD177" s="517"/>
      <c r="DE177" s="517"/>
      <c r="DF177" s="517"/>
      <c r="DG177" s="517"/>
      <c r="DH177" s="517"/>
      <c r="DI177" s="517"/>
      <c r="DJ177" s="517"/>
      <c r="DK177" s="517"/>
      <c r="DL177" s="517"/>
      <c r="DM177" s="517"/>
      <c r="DN177" s="517"/>
      <c r="DO177" s="517"/>
      <c r="DP177" s="517"/>
      <c r="DQ177" s="517"/>
      <c r="DR177" s="517"/>
      <c r="DS177" s="517"/>
      <c r="DT177" s="517"/>
      <c r="DU177" s="517"/>
      <c r="DV177" s="517"/>
      <c r="DW177" s="517"/>
      <c r="DX177" s="517"/>
      <c r="DY177" s="517"/>
      <c r="DZ177" s="517"/>
      <c r="EA177" s="517"/>
      <c r="EB177" s="517"/>
      <c r="EC177" s="517"/>
      <c r="ED177" s="517"/>
      <c r="EE177" s="517"/>
      <c r="EF177" s="517"/>
      <c r="EG177" s="517"/>
      <c r="EH177" s="517"/>
      <c r="EI177" s="517"/>
      <c r="EJ177" s="517"/>
      <c r="EK177" s="517"/>
      <c r="EL177" s="517"/>
      <c r="EM177" s="517"/>
      <c r="EN177" s="517"/>
      <c r="EO177" s="517"/>
      <c r="EP177" s="517"/>
      <c r="EQ177" s="517"/>
      <c r="ER177" s="517"/>
      <c r="ES177" s="627" t="s">
        <v>1140</v>
      </c>
    </row>
    <row r="178">
      <c r="A178" s="517"/>
      <c r="B178" s="517"/>
      <c r="C178" s="517"/>
      <c r="D178" s="517"/>
      <c r="E178" s="517"/>
      <c r="F178" s="517"/>
      <c r="G178" s="517"/>
      <c r="H178" s="517"/>
      <c r="I178" s="517"/>
      <c r="J178" s="517"/>
      <c r="K178" s="517"/>
      <c r="L178" s="517"/>
      <c r="M178" s="517"/>
      <c r="N178" s="517"/>
      <c r="O178" s="517"/>
      <c r="P178" s="517"/>
      <c r="Q178" s="517"/>
      <c r="R178" s="517"/>
      <c r="S178" s="517"/>
      <c r="T178" s="517"/>
      <c r="U178" s="517"/>
      <c r="V178" s="517"/>
      <c r="W178" s="517"/>
      <c r="X178" s="517"/>
      <c r="Y178" s="517"/>
      <c r="Z178" s="517"/>
      <c r="AA178" s="517"/>
      <c r="AB178" s="517"/>
      <c r="AC178" s="517"/>
      <c r="AD178" s="517"/>
      <c r="AE178" s="517"/>
      <c r="AF178" s="517"/>
      <c r="AG178" s="517"/>
      <c r="AH178" s="517"/>
      <c r="AI178" s="517"/>
      <c r="AJ178" s="517"/>
      <c r="AK178" s="517"/>
      <c r="AL178" s="517"/>
      <c r="AM178" s="517"/>
      <c r="AN178" s="517"/>
      <c r="AO178" s="517"/>
      <c r="AP178" s="517"/>
      <c r="AQ178" s="517"/>
      <c r="AR178" s="517"/>
      <c r="AS178" s="517"/>
      <c r="AT178" s="517"/>
      <c r="AU178" s="517"/>
      <c r="AV178" s="517"/>
      <c r="AW178" s="517"/>
      <c r="AX178" s="517"/>
      <c r="AY178" s="517"/>
      <c r="AZ178" s="517"/>
      <c r="BA178" s="517"/>
      <c r="BB178" s="517"/>
      <c r="BC178" s="517"/>
      <c r="BD178" s="517"/>
      <c r="BE178" s="517"/>
      <c r="BF178" s="517"/>
      <c r="BG178" s="517"/>
      <c r="BH178" s="517"/>
      <c r="BI178" s="517"/>
      <c r="BJ178" s="517"/>
      <c r="BK178" s="517"/>
      <c r="BL178" s="517"/>
      <c r="BM178" s="517"/>
      <c r="BN178" s="517"/>
      <c r="BO178" s="517"/>
      <c r="BP178" s="517"/>
      <c r="BQ178" s="517"/>
      <c r="BR178" s="517"/>
      <c r="BS178" s="517"/>
      <c r="BT178" s="517"/>
      <c r="BU178" s="517"/>
      <c r="BV178" s="517"/>
      <c r="BW178" s="517"/>
      <c r="BX178" s="517"/>
      <c r="BY178" s="517"/>
      <c r="BZ178" s="517"/>
      <c r="CA178" s="517"/>
      <c r="CB178" s="517"/>
      <c r="CC178" s="517"/>
      <c r="CD178" s="517"/>
      <c r="CE178" s="517"/>
      <c r="CF178" s="517"/>
      <c r="CG178" s="517"/>
      <c r="CH178" s="517"/>
      <c r="CI178" s="517"/>
      <c r="CJ178" s="517"/>
      <c r="CK178" s="517"/>
      <c r="CL178" s="517"/>
      <c r="CM178" s="517"/>
      <c r="CN178" s="517"/>
      <c r="CO178" s="517"/>
      <c r="CP178" s="517"/>
      <c r="CQ178" s="517"/>
      <c r="CR178" s="517"/>
      <c r="CS178" s="517"/>
      <c r="CT178" s="517"/>
      <c r="CU178" s="517"/>
      <c r="CV178" s="517"/>
      <c r="CW178" s="517"/>
      <c r="CX178" s="517"/>
      <c r="CY178" s="517"/>
      <c r="CZ178" s="517"/>
      <c r="DA178" s="517"/>
      <c r="DB178" s="517"/>
      <c r="DC178" s="517"/>
      <c r="DD178" s="517"/>
      <c r="DE178" s="517"/>
      <c r="DF178" s="517"/>
      <c r="DG178" s="517"/>
      <c r="DH178" s="517"/>
      <c r="DI178" s="517"/>
      <c r="DJ178" s="517"/>
      <c r="DK178" s="517"/>
      <c r="DL178" s="517"/>
      <c r="DM178" s="517"/>
      <c r="DN178" s="517"/>
      <c r="DO178" s="517"/>
      <c r="DP178" s="517"/>
      <c r="DQ178" s="517"/>
      <c r="DR178" s="517"/>
      <c r="DS178" s="517"/>
      <c r="DT178" s="517"/>
      <c r="DU178" s="517"/>
      <c r="DV178" s="517"/>
      <c r="DW178" s="517"/>
      <c r="DX178" s="517"/>
      <c r="DY178" s="517"/>
      <c r="DZ178" s="517"/>
      <c r="EA178" s="517"/>
      <c r="EB178" s="517"/>
      <c r="EC178" s="517"/>
      <c r="ED178" s="517"/>
      <c r="EE178" s="517"/>
      <c r="EF178" s="517"/>
      <c r="EG178" s="517"/>
      <c r="EH178" s="517"/>
      <c r="EI178" s="517"/>
      <c r="EJ178" s="517"/>
      <c r="EK178" s="517"/>
      <c r="EL178" s="517"/>
      <c r="EM178" s="517"/>
      <c r="EN178" s="517"/>
      <c r="EO178" s="517"/>
      <c r="EP178" s="517"/>
      <c r="EQ178" s="517"/>
      <c r="ER178" s="517"/>
      <c r="ES178" s="627" t="s">
        <v>1140</v>
      </c>
    </row>
    <row r="179">
      <c r="A179" s="517"/>
      <c r="B179" s="517"/>
      <c r="C179" s="517"/>
      <c r="D179" s="517"/>
      <c r="E179" s="517"/>
      <c r="F179" s="517"/>
      <c r="G179" s="517"/>
      <c r="H179" s="517"/>
      <c r="I179" s="517"/>
      <c r="J179" s="517"/>
      <c r="K179" s="517"/>
      <c r="L179" s="517"/>
      <c r="M179" s="517"/>
      <c r="N179" s="517"/>
      <c r="O179" s="517"/>
      <c r="P179" s="517"/>
      <c r="Q179" s="517"/>
      <c r="R179" s="517"/>
      <c r="S179" s="517"/>
      <c r="T179" s="517"/>
      <c r="U179" s="517"/>
      <c r="V179" s="517"/>
      <c r="W179" s="517"/>
      <c r="X179" s="517"/>
      <c r="Y179" s="517"/>
      <c r="Z179" s="517"/>
      <c r="AA179" s="517"/>
      <c r="AB179" s="517"/>
      <c r="AC179" s="517"/>
      <c r="AD179" s="517"/>
      <c r="AE179" s="517"/>
      <c r="AF179" s="517"/>
      <c r="AG179" s="517"/>
      <c r="AH179" s="517"/>
      <c r="AI179" s="517"/>
      <c r="AJ179" s="517"/>
      <c r="AK179" s="517"/>
      <c r="AL179" s="517"/>
      <c r="AM179" s="517"/>
      <c r="AN179" s="517"/>
      <c r="AO179" s="517"/>
      <c r="AP179" s="517"/>
      <c r="AQ179" s="517"/>
      <c r="AR179" s="517"/>
      <c r="AS179" s="517"/>
      <c r="AT179" s="517"/>
      <c r="AU179" s="517"/>
      <c r="AV179" s="517"/>
      <c r="AW179" s="517"/>
      <c r="AX179" s="517"/>
      <c r="AY179" s="517"/>
      <c r="AZ179" s="517"/>
      <c r="BA179" s="517"/>
      <c r="BB179" s="517"/>
      <c r="BC179" s="517"/>
      <c r="BD179" s="517"/>
      <c r="BE179" s="517"/>
      <c r="BF179" s="517"/>
      <c r="BG179" s="517"/>
      <c r="BH179" s="517"/>
      <c r="BI179" s="517"/>
      <c r="BJ179" s="517"/>
      <c r="BK179" s="517"/>
      <c r="BL179" s="517"/>
      <c r="BM179" s="517"/>
      <c r="BN179" s="517"/>
      <c r="BO179" s="517"/>
      <c r="BP179" s="517"/>
      <c r="BQ179" s="517"/>
      <c r="BR179" s="517"/>
      <c r="BS179" s="517"/>
      <c r="BT179" s="517"/>
      <c r="BU179" s="517"/>
      <c r="BV179" s="517"/>
      <c r="BW179" s="517"/>
      <c r="BX179" s="517"/>
      <c r="BY179" s="517"/>
      <c r="BZ179" s="517"/>
      <c r="CA179" s="517"/>
      <c r="CB179" s="517"/>
      <c r="CC179" s="517"/>
      <c r="CD179" s="517"/>
      <c r="CE179" s="517"/>
      <c r="CF179" s="517"/>
      <c r="CG179" s="517"/>
      <c r="CH179" s="517"/>
      <c r="CI179" s="517"/>
      <c r="CJ179" s="517"/>
      <c r="CK179" s="517"/>
      <c r="CL179" s="517"/>
      <c r="CM179" s="517"/>
      <c r="CN179" s="517"/>
      <c r="CO179" s="517"/>
      <c r="CP179" s="517"/>
      <c r="CQ179" s="517"/>
      <c r="CR179" s="517"/>
      <c r="CS179" s="517"/>
      <c r="CT179" s="517"/>
      <c r="CU179" s="517"/>
      <c r="CV179" s="517"/>
      <c r="CW179" s="517"/>
      <c r="CX179" s="517"/>
      <c r="CY179" s="517"/>
      <c r="CZ179" s="517"/>
      <c r="DA179" s="517"/>
      <c r="DB179" s="517"/>
      <c r="DC179" s="517"/>
      <c r="DD179" s="517"/>
      <c r="DE179" s="517"/>
      <c r="DF179" s="517"/>
      <c r="DG179" s="517"/>
      <c r="DH179" s="517"/>
      <c r="DI179" s="517"/>
      <c r="DJ179" s="517"/>
      <c r="DK179" s="517"/>
      <c r="DL179" s="517"/>
      <c r="DM179" s="517"/>
      <c r="DN179" s="517"/>
      <c r="DO179" s="517"/>
      <c r="DP179" s="517"/>
      <c r="DQ179" s="517"/>
      <c r="DR179" s="517"/>
      <c r="DS179" s="517"/>
      <c r="DT179" s="517"/>
      <c r="DU179" s="517"/>
      <c r="DV179" s="517"/>
      <c r="DW179" s="517"/>
      <c r="DX179" s="517"/>
      <c r="DY179" s="517"/>
      <c r="DZ179" s="517"/>
      <c r="EA179" s="517"/>
      <c r="EB179" s="517"/>
      <c r="EC179" s="517"/>
      <c r="ED179" s="517"/>
      <c r="EE179" s="517"/>
      <c r="EF179" s="517"/>
      <c r="EG179" s="517"/>
      <c r="EH179" s="517"/>
      <c r="EI179" s="517"/>
      <c r="EJ179" s="517"/>
      <c r="EK179" s="517"/>
      <c r="EL179" s="517"/>
      <c r="EM179" s="517"/>
      <c r="EN179" s="517"/>
      <c r="EO179" s="517"/>
      <c r="EP179" s="517"/>
      <c r="EQ179" s="517"/>
      <c r="ER179" s="517"/>
      <c r="ES179" s="627" t="s">
        <v>1140</v>
      </c>
    </row>
    <row r="180">
      <c r="A180" s="517"/>
      <c r="B180" s="517"/>
      <c r="C180" s="517"/>
      <c r="D180" s="517"/>
      <c r="E180" s="517"/>
      <c r="F180" s="517"/>
      <c r="G180" s="517"/>
      <c r="H180" s="517"/>
      <c r="I180" s="517"/>
      <c r="J180" s="517"/>
      <c r="K180" s="517"/>
      <c r="L180" s="517"/>
      <c r="M180" s="517"/>
      <c r="N180" s="517"/>
      <c r="O180" s="517"/>
      <c r="P180" s="517"/>
      <c r="Q180" s="517"/>
      <c r="R180" s="517"/>
      <c r="S180" s="517"/>
      <c r="T180" s="517"/>
      <c r="U180" s="517"/>
      <c r="V180" s="517"/>
      <c r="W180" s="517"/>
      <c r="X180" s="517"/>
      <c r="Y180" s="517"/>
      <c r="Z180" s="517"/>
      <c r="AA180" s="517"/>
      <c r="AB180" s="517"/>
      <c r="AC180" s="517"/>
      <c r="AD180" s="517"/>
      <c r="AE180" s="517"/>
      <c r="AF180" s="517"/>
      <c r="AG180" s="517"/>
      <c r="AH180" s="517"/>
      <c r="AI180" s="517"/>
      <c r="AJ180" s="517"/>
      <c r="AK180" s="517"/>
      <c r="AL180" s="517"/>
      <c r="AM180" s="517"/>
      <c r="AN180" s="517"/>
      <c r="AO180" s="517"/>
      <c r="AP180" s="517"/>
      <c r="AQ180" s="517"/>
      <c r="AR180" s="517"/>
      <c r="AS180" s="517"/>
      <c r="AT180" s="517"/>
      <c r="AU180" s="517"/>
      <c r="AV180" s="517"/>
      <c r="AW180" s="517"/>
      <c r="AX180" s="517"/>
      <c r="AY180" s="517"/>
      <c r="AZ180" s="517"/>
      <c r="BA180" s="517"/>
      <c r="BB180" s="517"/>
      <c r="BC180" s="517"/>
      <c r="BD180" s="517"/>
      <c r="BE180" s="517"/>
      <c r="BF180" s="517"/>
      <c r="BG180" s="517"/>
      <c r="BH180" s="517"/>
      <c r="BI180" s="517"/>
      <c r="BJ180" s="517"/>
      <c r="BK180" s="517"/>
      <c r="BL180" s="517"/>
      <c r="BM180" s="517"/>
      <c r="BN180" s="517"/>
      <c r="BO180" s="517"/>
      <c r="BP180" s="517"/>
      <c r="BQ180" s="517"/>
      <c r="BR180" s="517"/>
      <c r="BS180" s="517"/>
      <c r="BT180" s="517"/>
      <c r="BU180" s="517"/>
      <c r="BV180" s="517"/>
      <c r="BW180" s="517"/>
      <c r="BX180" s="517"/>
      <c r="BY180" s="517"/>
      <c r="BZ180" s="517"/>
      <c r="CA180" s="517"/>
      <c r="CB180" s="517"/>
      <c r="CC180" s="517"/>
      <c r="CD180" s="517"/>
      <c r="CE180" s="517"/>
      <c r="CF180" s="517"/>
      <c r="CG180" s="517"/>
      <c r="CH180" s="517"/>
      <c r="CI180" s="517"/>
      <c r="CJ180" s="517"/>
      <c r="CK180" s="517"/>
      <c r="CL180" s="517"/>
      <c r="CM180" s="517"/>
      <c r="CN180" s="517"/>
      <c r="CO180" s="517"/>
      <c r="CP180" s="517"/>
      <c r="CQ180" s="517"/>
      <c r="CR180" s="517"/>
      <c r="CS180" s="517"/>
      <c r="CT180" s="517"/>
      <c r="CU180" s="517"/>
      <c r="CV180" s="517"/>
      <c r="CW180" s="517"/>
      <c r="CX180" s="517"/>
      <c r="CY180" s="517"/>
      <c r="CZ180" s="517"/>
      <c r="DA180" s="517"/>
      <c r="DB180" s="517"/>
      <c r="DC180" s="517"/>
      <c r="DD180" s="517"/>
      <c r="DE180" s="517"/>
      <c r="DF180" s="517"/>
      <c r="DG180" s="517"/>
      <c r="DH180" s="517"/>
      <c r="DI180" s="517"/>
      <c r="DJ180" s="517"/>
      <c r="DK180" s="517"/>
      <c r="DL180" s="517"/>
      <c r="DM180" s="517"/>
      <c r="DN180" s="517"/>
      <c r="DO180" s="517"/>
      <c r="DP180" s="517"/>
      <c r="DQ180" s="517"/>
      <c r="DR180" s="517"/>
      <c r="DS180" s="517"/>
      <c r="DT180" s="517"/>
      <c r="DU180" s="517"/>
      <c r="DV180" s="517"/>
      <c r="DW180" s="517"/>
      <c r="DX180" s="517"/>
      <c r="DY180" s="517"/>
      <c r="DZ180" s="517"/>
      <c r="EA180" s="517"/>
      <c r="EB180" s="517"/>
      <c r="EC180" s="517"/>
      <c r="ED180" s="517"/>
      <c r="EE180" s="517"/>
      <c r="EF180" s="517"/>
      <c r="EG180" s="517"/>
      <c r="EH180" s="517"/>
      <c r="EI180" s="517"/>
      <c r="EJ180" s="517"/>
      <c r="EK180" s="517"/>
      <c r="EL180" s="517"/>
      <c r="EM180" s="517"/>
      <c r="EN180" s="517"/>
      <c r="EO180" s="517"/>
      <c r="EP180" s="517"/>
      <c r="EQ180" s="517"/>
      <c r="ER180" s="517"/>
      <c r="ES180" s="627" t="s">
        <v>1140</v>
      </c>
    </row>
    <row r="181">
      <c r="A181" s="517"/>
      <c r="B181" s="517"/>
      <c r="C181" s="517"/>
      <c r="D181" s="517"/>
      <c r="E181" s="517"/>
      <c r="F181" s="517"/>
      <c r="G181" s="517"/>
      <c r="H181" s="517"/>
      <c r="I181" s="517"/>
      <c r="J181" s="517"/>
      <c r="K181" s="517"/>
      <c r="L181" s="517"/>
      <c r="M181" s="517"/>
      <c r="N181" s="517"/>
      <c r="O181" s="517"/>
      <c r="P181" s="517"/>
      <c r="Q181" s="517"/>
      <c r="R181" s="517"/>
      <c r="S181" s="517"/>
      <c r="T181" s="517"/>
      <c r="U181" s="517"/>
      <c r="V181" s="517"/>
      <c r="W181" s="517"/>
      <c r="X181" s="517"/>
      <c r="Y181" s="517"/>
      <c r="Z181" s="517"/>
      <c r="AA181" s="517"/>
      <c r="AB181" s="517"/>
      <c r="AC181" s="517"/>
      <c r="AD181" s="517"/>
      <c r="AE181" s="517"/>
      <c r="AF181" s="517"/>
      <c r="AG181" s="517"/>
      <c r="AH181" s="517"/>
      <c r="AI181" s="517"/>
      <c r="AJ181" s="517"/>
      <c r="AK181" s="517"/>
      <c r="AL181" s="517"/>
      <c r="AM181" s="517"/>
      <c r="AN181" s="517"/>
      <c r="AO181" s="517"/>
      <c r="AP181" s="517"/>
      <c r="AQ181" s="517"/>
      <c r="AR181" s="517"/>
      <c r="AS181" s="517"/>
      <c r="AT181" s="517"/>
      <c r="AU181" s="517"/>
      <c r="AV181" s="517"/>
      <c r="AW181" s="517"/>
      <c r="AX181" s="517"/>
      <c r="AY181" s="517"/>
      <c r="AZ181" s="517"/>
      <c r="BA181" s="517"/>
      <c r="BB181" s="517"/>
      <c r="BC181" s="517"/>
      <c r="BD181" s="517"/>
      <c r="BE181" s="517"/>
      <c r="BF181" s="517"/>
      <c r="BG181" s="517"/>
      <c r="BH181" s="517"/>
      <c r="BI181" s="517"/>
      <c r="BJ181" s="517"/>
      <c r="BK181" s="517"/>
      <c r="BL181" s="517"/>
      <c r="BM181" s="517"/>
      <c r="BN181" s="517"/>
      <c r="BO181" s="517"/>
      <c r="BP181" s="517"/>
      <c r="BQ181" s="517"/>
      <c r="BR181" s="517"/>
      <c r="BS181" s="517"/>
      <c r="BT181" s="517"/>
      <c r="BU181" s="517"/>
      <c r="BV181" s="517"/>
      <c r="BW181" s="517"/>
      <c r="BX181" s="517"/>
      <c r="BY181" s="517"/>
      <c r="BZ181" s="517"/>
      <c r="CA181" s="517"/>
      <c r="CB181" s="517"/>
      <c r="CC181" s="517"/>
      <c r="CD181" s="517"/>
      <c r="CE181" s="517"/>
      <c r="CF181" s="517"/>
      <c r="CG181" s="517"/>
      <c r="CH181" s="517"/>
      <c r="CI181" s="517"/>
      <c r="CJ181" s="517"/>
      <c r="CK181" s="517"/>
      <c r="CL181" s="517"/>
      <c r="CM181" s="517"/>
      <c r="CN181" s="517"/>
      <c r="CO181" s="517"/>
      <c r="CP181" s="517"/>
      <c r="CQ181" s="517"/>
      <c r="CR181" s="517"/>
      <c r="CS181" s="517"/>
      <c r="CT181" s="517"/>
      <c r="CU181" s="517"/>
      <c r="CV181" s="517"/>
      <c r="CW181" s="517"/>
      <c r="CX181" s="517"/>
      <c r="CY181" s="517"/>
      <c r="CZ181" s="517"/>
      <c r="DA181" s="517"/>
      <c r="DB181" s="517"/>
      <c r="DC181" s="517"/>
      <c r="DD181" s="517"/>
      <c r="DE181" s="517"/>
      <c r="DF181" s="517"/>
      <c r="DG181" s="517"/>
      <c r="DH181" s="517"/>
      <c r="DI181" s="517"/>
      <c r="DJ181" s="517"/>
      <c r="DK181" s="517"/>
      <c r="DL181" s="517"/>
      <c r="DM181" s="517"/>
      <c r="DN181" s="517"/>
      <c r="DO181" s="517"/>
      <c r="DP181" s="517"/>
      <c r="DQ181" s="517"/>
      <c r="DR181" s="517"/>
      <c r="DS181" s="517"/>
      <c r="DT181" s="517"/>
      <c r="DU181" s="517"/>
      <c r="DV181" s="517"/>
      <c r="DW181" s="517"/>
      <c r="DX181" s="517"/>
      <c r="DY181" s="517"/>
      <c r="DZ181" s="517"/>
      <c r="EA181" s="517"/>
      <c r="EB181" s="517"/>
      <c r="EC181" s="517"/>
      <c r="ED181" s="517"/>
      <c r="EE181" s="517"/>
      <c r="EF181" s="517"/>
      <c r="EG181" s="517"/>
      <c r="EH181" s="517"/>
      <c r="EI181" s="517"/>
      <c r="EJ181" s="517"/>
      <c r="EK181" s="517"/>
      <c r="EL181" s="517"/>
      <c r="EM181" s="517"/>
      <c r="EN181" s="517"/>
      <c r="EO181" s="517"/>
      <c r="EP181" s="517"/>
      <c r="EQ181" s="517"/>
      <c r="ER181" s="517"/>
      <c r="ES181" s="627" t="s">
        <v>1140</v>
      </c>
    </row>
    <row r="182">
      <c r="A182" s="517"/>
      <c r="B182" s="517"/>
      <c r="C182" s="517"/>
      <c r="D182" s="517"/>
      <c r="E182" s="517"/>
      <c r="F182" s="517"/>
      <c r="G182" s="517"/>
      <c r="H182" s="517"/>
      <c r="I182" s="517"/>
      <c r="J182" s="517"/>
      <c r="K182" s="517"/>
      <c r="L182" s="517"/>
      <c r="M182" s="517"/>
      <c r="N182" s="517"/>
      <c r="O182" s="517"/>
      <c r="P182" s="517"/>
      <c r="Q182" s="517"/>
      <c r="R182" s="517"/>
      <c r="S182" s="517"/>
      <c r="T182" s="517"/>
      <c r="U182" s="517"/>
      <c r="V182" s="517"/>
      <c r="W182" s="517"/>
      <c r="X182" s="517"/>
      <c r="Y182" s="517"/>
      <c r="Z182" s="517"/>
      <c r="AA182" s="517"/>
      <c r="AB182" s="517"/>
      <c r="AC182" s="517"/>
      <c r="AD182" s="517"/>
      <c r="AE182" s="517"/>
      <c r="AF182" s="517"/>
      <c r="AG182" s="517"/>
      <c r="AH182" s="517"/>
      <c r="AI182" s="517"/>
      <c r="AJ182" s="517"/>
      <c r="AK182" s="517"/>
      <c r="AL182" s="517"/>
      <c r="AM182" s="517"/>
      <c r="AN182" s="517"/>
      <c r="AO182" s="517"/>
      <c r="AP182" s="517"/>
      <c r="AQ182" s="517"/>
      <c r="AR182" s="517"/>
      <c r="AS182" s="517"/>
      <c r="AT182" s="517"/>
      <c r="AU182" s="517"/>
      <c r="AV182" s="517"/>
      <c r="AW182" s="517"/>
      <c r="AX182" s="517"/>
      <c r="AY182" s="517"/>
      <c r="AZ182" s="517"/>
      <c r="BA182" s="517"/>
      <c r="BB182" s="517"/>
      <c r="BC182" s="517"/>
      <c r="BD182" s="517"/>
      <c r="BE182" s="517"/>
      <c r="BF182" s="517"/>
      <c r="BG182" s="517"/>
      <c r="BH182" s="517"/>
      <c r="BI182" s="517"/>
      <c r="BJ182" s="517"/>
      <c r="BK182" s="517"/>
      <c r="BL182" s="517"/>
      <c r="BM182" s="517"/>
      <c r="BN182" s="517"/>
      <c r="BO182" s="517"/>
      <c r="BP182" s="517"/>
      <c r="BQ182" s="517"/>
      <c r="BR182" s="517"/>
      <c r="BS182" s="517"/>
      <c r="BT182" s="517"/>
      <c r="BU182" s="517"/>
      <c r="BV182" s="517"/>
      <c r="BW182" s="517"/>
      <c r="BX182" s="517"/>
      <c r="BY182" s="517"/>
      <c r="BZ182" s="517"/>
      <c r="CA182" s="517"/>
      <c r="CB182" s="517"/>
      <c r="CC182" s="517"/>
      <c r="CD182" s="517"/>
      <c r="CE182" s="517"/>
      <c r="CF182" s="517"/>
      <c r="CG182" s="517"/>
      <c r="CH182" s="517"/>
      <c r="CI182" s="517"/>
      <c r="CJ182" s="517"/>
      <c r="CK182" s="517"/>
      <c r="CL182" s="517"/>
      <c r="CM182" s="517"/>
      <c r="CN182" s="517"/>
      <c r="CO182" s="517"/>
      <c r="CP182" s="517"/>
      <c r="CQ182" s="517"/>
      <c r="CR182" s="517"/>
      <c r="CS182" s="517"/>
      <c r="CT182" s="517"/>
      <c r="CU182" s="517"/>
      <c r="CV182" s="517"/>
      <c r="CW182" s="517"/>
      <c r="CX182" s="517"/>
      <c r="CY182" s="517"/>
      <c r="CZ182" s="517"/>
      <c r="DA182" s="517"/>
      <c r="DB182" s="517"/>
      <c r="DC182" s="517"/>
      <c r="DD182" s="517"/>
      <c r="DE182" s="517"/>
      <c r="DF182" s="517"/>
      <c r="DG182" s="517"/>
      <c r="DH182" s="517"/>
      <c r="DI182" s="517"/>
      <c r="DJ182" s="517"/>
      <c r="DK182" s="517"/>
      <c r="DL182" s="517"/>
      <c r="DM182" s="517"/>
      <c r="DN182" s="517"/>
      <c r="DO182" s="517"/>
      <c r="DP182" s="517"/>
      <c r="DQ182" s="517"/>
      <c r="DR182" s="517"/>
      <c r="DS182" s="517"/>
      <c r="DT182" s="517"/>
      <c r="DU182" s="517"/>
      <c r="DV182" s="517"/>
      <c r="DW182" s="517"/>
      <c r="DX182" s="517"/>
      <c r="DY182" s="517"/>
      <c r="DZ182" s="517"/>
      <c r="EA182" s="517"/>
      <c r="EB182" s="517"/>
      <c r="EC182" s="517"/>
      <c r="ED182" s="517"/>
      <c r="EE182" s="517"/>
      <c r="EF182" s="517"/>
      <c r="EG182" s="517"/>
      <c r="EH182" s="517"/>
      <c r="EI182" s="517"/>
      <c r="EJ182" s="517"/>
      <c r="EK182" s="517"/>
      <c r="EL182" s="517"/>
      <c r="EM182" s="517"/>
      <c r="EN182" s="517"/>
      <c r="EO182" s="517"/>
      <c r="EP182" s="517"/>
      <c r="EQ182" s="517"/>
      <c r="ER182" s="517"/>
      <c r="ES182" s="627" t="s">
        <v>1140</v>
      </c>
    </row>
    <row r="183">
      <c r="A183" s="517"/>
      <c r="B183" s="517"/>
      <c r="C183" s="517"/>
      <c r="D183" s="517"/>
      <c r="E183" s="517"/>
      <c r="F183" s="517"/>
      <c r="G183" s="517"/>
      <c r="H183" s="517"/>
      <c r="I183" s="517"/>
      <c r="J183" s="517"/>
      <c r="K183" s="517"/>
      <c r="L183" s="517"/>
      <c r="M183" s="517"/>
      <c r="N183" s="517"/>
      <c r="O183" s="517"/>
      <c r="P183" s="517"/>
      <c r="Q183" s="517"/>
      <c r="R183" s="517"/>
      <c r="S183" s="517"/>
      <c r="T183" s="517"/>
      <c r="U183" s="517"/>
      <c r="V183" s="517"/>
      <c r="W183" s="517"/>
      <c r="X183" s="517"/>
      <c r="Y183" s="517"/>
      <c r="Z183" s="517"/>
      <c r="AA183" s="517"/>
      <c r="AB183" s="517"/>
      <c r="AC183" s="517"/>
      <c r="AD183" s="517"/>
      <c r="AE183" s="517"/>
      <c r="AF183" s="517"/>
      <c r="AG183" s="517"/>
      <c r="AH183" s="517"/>
      <c r="AI183" s="517"/>
      <c r="AJ183" s="517"/>
      <c r="AK183" s="517"/>
      <c r="AL183" s="517"/>
      <c r="AM183" s="517"/>
      <c r="AN183" s="517"/>
      <c r="AO183" s="517"/>
      <c r="AP183" s="517"/>
      <c r="AQ183" s="517"/>
      <c r="AR183" s="517"/>
      <c r="AS183" s="517"/>
      <c r="AT183" s="517"/>
      <c r="AU183" s="517"/>
      <c r="AV183" s="517"/>
      <c r="AW183" s="517"/>
      <c r="AX183" s="517"/>
      <c r="AY183" s="517"/>
      <c r="AZ183" s="517"/>
      <c r="BA183" s="517"/>
      <c r="BB183" s="517"/>
      <c r="BC183" s="517"/>
      <c r="BD183" s="517"/>
      <c r="BE183" s="517"/>
      <c r="BF183" s="517"/>
      <c r="BG183" s="517"/>
      <c r="BH183" s="517"/>
      <c r="BI183" s="517"/>
      <c r="BJ183" s="517"/>
      <c r="BK183" s="517"/>
      <c r="BL183" s="517"/>
      <c r="BM183" s="517"/>
      <c r="BN183" s="517"/>
      <c r="BO183" s="517"/>
      <c r="BP183" s="517"/>
      <c r="BQ183" s="517"/>
      <c r="BR183" s="517"/>
      <c r="BS183" s="517"/>
      <c r="BT183" s="517"/>
      <c r="BU183" s="517"/>
      <c r="BV183" s="517"/>
      <c r="BW183" s="517"/>
      <c r="BX183" s="517"/>
      <c r="BY183" s="517"/>
      <c r="BZ183" s="517"/>
      <c r="CA183" s="517"/>
      <c r="CB183" s="517"/>
      <c r="CC183" s="517"/>
      <c r="CD183" s="517"/>
      <c r="CE183" s="517"/>
      <c r="CF183" s="517"/>
      <c r="CG183" s="517"/>
      <c r="CH183" s="517"/>
      <c r="CI183" s="517"/>
      <c r="CJ183" s="517"/>
      <c r="CK183" s="517"/>
      <c r="CL183" s="517"/>
      <c r="CM183" s="517"/>
      <c r="CN183" s="517"/>
      <c r="CO183" s="517"/>
      <c r="CP183" s="517"/>
      <c r="CQ183" s="517"/>
      <c r="CR183" s="517"/>
      <c r="CS183" s="517"/>
      <c r="CT183" s="517"/>
      <c r="CU183" s="517"/>
      <c r="CV183" s="517"/>
      <c r="CW183" s="517"/>
      <c r="CX183" s="517"/>
      <c r="CY183" s="517"/>
      <c r="CZ183" s="517"/>
      <c r="DA183" s="517"/>
      <c r="DB183" s="517"/>
      <c r="DC183" s="517"/>
      <c r="DD183" s="517"/>
      <c r="DE183" s="517"/>
      <c r="DF183" s="517"/>
      <c r="DG183" s="517"/>
      <c r="DH183" s="517"/>
      <c r="DI183" s="517"/>
      <c r="DJ183" s="517"/>
      <c r="DK183" s="517"/>
      <c r="DL183" s="517"/>
      <c r="DM183" s="517"/>
      <c r="DN183" s="517"/>
      <c r="DO183" s="517"/>
      <c r="DP183" s="517"/>
      <c r="DQ183" s="517"/>
      <c r="DR183" s="517"/>
      <c r="DS183" s="517"/>
      <c r="DT183" s="517"/>
      <c r="DU183" s="517"/>
      <c r="DV183" s="517"/>
      <c r="DW183" s="517"/>
      <c r="DX183" s="517"/>
      <c r="DY183" s="517"/>
      <c r="DZ183" s="517"/>
      <c r="EA183" s="517"/>
      <c r="EB183" s="517"/>
      <c r="EC183" s="517"/>
      <c r="ED183" s="517"/>
      <c r="EE183" s="517"/>
      <c r="EF183" s="517"/>
      <c r="EG183" s="517"/>
      <c r="EH183" s="517"/>
      <c r="EI183" s="517"/>
      <c r="EJ183" s="517"/>
      <c r="EK183" s="517"/>
      <c r="EL183" s="517"/>
      <c r="EM183" s="517"/>
      <c r="EN183" s="517"/>
      <c r="EO183" s="517"/>
      <c r="EP183" s="517"/>
      <c r="EQ183" s="517"/>
      <c r="ER183" s="517"/>
      <c r="ES183" s="627" t="s">
        <v>1140</v>
      </c>
    </row>
    <row r="184">
      <c r="A184" s="517"/>
      <c r="B184" s="517"/>
      <c r="C184" s="517"/>
      <c r="D184" s="517"/>
      <c r="E184" s="517"/>
      <c r="F184" s="517"/>
      <c r="G184" s="517"/>
      <c r="H184" s="517"/>
      <c r="I184" s="517"/>
      <c r="J184" s="517"/>
      <c r="K184" s="517"/>
      <c r="L184" s="517"/>
      <c r="M184" s="517"/>
      <c r="N184" s="517"/>
      <c r="O184" s="517"/>
      <c r="P184" s="517"/>
      <c r="Q184" s="517"/>
      <c r="R184" s="517"/>
      <c r="S184" s="517"/>
      <c r="T184" s="517"/>
      <c r="U184" s="517"/>
      <c r="V184" s="517"/>
      <c r="W184" s="517"/>
      <c r="X184" s="517"/>
      <c r="Y184" s="517"/>
      <c r="Z184" s="517"/>
      <c r="AA184" s="517"/>
      <c r="AB184" s="517"/>
      <c r="AC184" s="517"/>
      <c r="AD184" s="517"/>
      <c r="AE184" s="517"/>
      <c r="AF184" s="517"/>
      <c r="AG184" s="517"/>
      <c r="AH184" s="517"/>
      <c r="AI184" s="517"/>
      <c r="AJ184" s="517"/>
      <c r="AK184" s="517"/>
      <c r="AL184" s="517"/>
      <c r="AM184" s="517"/>
      <c r="AN184" s="517"/>
      <c r="AO184" s="517"/>
      <c r="AP184" s="517"/>
      <c r="AQ184" s="517"/>
      <c r="AR184" s="517"/>
      <c r="AS184" s="517"/>
      <c r="AT184" s="517"/>
      <c r="AU184" s="517"/>
      <c r="AV184" s="517"/>
      <c r="AW184" s="517"/>
      <c r="AX184" s="517"/>
      <c r="AY184" s="517"/>
      <c r="AZ184" s="517"/>
      <c r="BA184" s="517"/>
      <c r="BB184" s="517"/>
      <c r="BC184" s="517"/>
      <c r="BD184" s="517"/>
      <c r="BE184" s="517"/>
      <c r="BF184" s="517"/>
      <c r="BG184" s="517"/>
      <c r="BH184" s="517"/>
      <c r="BI184" s="517"/>
      <c r="BJ184" s="517"/>
      <c r="BK184" s="517"/>
      <c r="BL184" s="517"/>
      <c r="BM184" s="517"/>
      <c r="BN184" s="517"/>
      <c r="BO184" s="517"/>
      <c r="BP184" s="517"/>
      <c r="BQ184" s="517"/>
      <c r="BR184" s="517"/>
      <c r="BS184" s="517"/>
      <c r="BT184" s="517"/>
      <c r="BU184" s="517"/>
      <c r="BV184" s="517"/>
      <c r="BW184" s="517"/>
      <c r="BX184" s="517"/>
      <c r="BY184" s="517"/>
      <c r="BZ184" s="517"/>
      <c r="CA184" s="517"/>
      <c r="CB184" s="517"/>
      <c r="CC184" s="517"/>
      <c r="CD184" s="517"/>
      <c r="CE184" s="517"/>
      <c r="CF184" s="517"/>
      <c r="CG184" s="517"/>
      <c r="CH184" s="517"/>
      <c r="CI184" s="517"/>
      <c r="CJ184" s="517"/>
      <c r="CK184" s="517"/>
      <c r="CL184" s="517"/>
      <c r="CM184" s="517"/>
      <c r="CN184" s="517"/>
      <c r="CO184" s="517"/>
      <c r="CP184" s="517"/>
      <c r="CQ184" s="517"/>
      <c r="CR184" s="517"/>
      <c r="CS184" s="517"/>
      <c r="CT184" s="517"/>
      <c r="CU184" s="517"/>
      <c r="CV184" s="517"/>
      <c r="CW184" s="517"/>
      <c r="CX184" s="517"/>
      <c r="CY184" s="517"/>
      <c r="CZ184" s="517"/>
      <c r="DA184" s="517"/>
      <c r="DB184" s="517"/>
      <c r="DC184" s="517"/>
      <c r="DD184" s="517"/>
      <c r="DE184" s="517"/>
      <c r="DF184" s="517"/>
      <c r="DG184" s="517"/>
      <c r="DH184" s="517"/>
      <c r="DI184" s="517"/>
      <c r="DJ184" s="517"/>
      <c r="DK184" s="517"/>
      <c r="DL184" s="517"/>
      <c r="DM184" s="517"/>
      <c r="DN184" s="517"/>
      <c r="DO184" s="517"/>
      <c r="DP184" s="517"/>
      <c r="DQ184" s="517"/>
      <c r="DR184" s="517"/>
      <c r="DS184" s="517"/>
      <c r="DT184" s="517"/>
      <c r="DU184" s="517"/>
      <c r="DV184" s="517"/>
      <c r="DW184" s="517"/>
      <c r="DX184" s="517"/>
      <c r="DY184" s="517"/>
      <c r="DZ184" s="517"/>
      <c r="EA184" s="517"/>
      <c r="EB184" s="517"/>
      <c r="EC184" s="517"/>
      <c r="ED184" s="517"/>
      <c r="EE184" s="517"/>
      <c r="EF184" s="517"/>
      <c r="EG184" s="517"/>
      <c r="EH184" s="517"/>
      <c r="EI184" s="517"/>
      <c r="EJ184" s="517"/>
      <c r="EK184" s="517"/>
      <c r="EL184" s="517"/>
      <c r="EM184" s="517"/>
      <c r="EN184" s="517"/>
      <c r="EO184" s="517"/>
      <c r="EP184" s="517"/>
      <c r="EQ184" s="517"/>
      <c r="ER184" s="517"/>
      <c r="ES184" s="627" t="s">
        <v>1140</v>
      </c>
    </row>
    <row r="185">
      <c r="A185" s="517"/>
      <c r="B185" s="517"/>
      <c r="C185" s="517"/>
      <c r="D185" s="517"/>
      <c r="E185" s="517"/>
      <c r="F185" s="517"/>
      <c r="G185" s="517"/>
      <c r="H185" s="517"/>
      <c r="I185" s="517"/>
      <c r="J185" s="517"/>
      <c r="K185" s="517"/>
      <c r="L185" s="517"/>
      <c r="M185" s="517"/>
      <c r="N185" s="517"/>
      <c r="O185" s="517"/>
      <c r="P185" s="517"/>
      <c r="Q185" s="517"/>
      <c r="R185" s="517"/>
      <c r="S185" s="517"/>
      <c r="T185" s="517"/>
      <c r="U185" s="517"/>
      <c r="V185" s="517"/>
      <c r="W185" s="517"/>
      <c r="X185" s="517"/>
      <c r="Y185" s="517"/>
      <c r="Z185" s="517"/>
      <c r="AA185" s="517"/>
      <c r="AB185" s="517"/>
      <c r="AC185" s="517"/>
      <c r="AD185" s="517"/>
      <c r="AE185" s="517"/>
      <c r="AF185" s="517"/>
      <c r="AG185" s="517"/>
      <c r="AH185" s="517"/>
      <c r="AI185" s="517"/>
      <c r="AJ185" s="517"/>
      <c r="AK185" s="517"/>
      <c r="AL185" s="517"/>
      <c r="AM185" s="517"/>
      <c r="AN185" s="517"/>
      <c r="AO185" s="517"/>
      <c r="AP185" s="517"/>
      <c r="AQ185" s="517"/>
      <c r="AR185" s="517"/>
      <c r="AS185" s="517"/>
      <c r="AT185" s="517"/>
      <c r="AU185" s="517"/>
      <c r="AV185" s="517"/>
      <c r="AW185" s="517"/>
      <c r="AX185" s="517"/>
      <c r="AY185" s="517"/>
      <c r="AZ185" s="517"/>
      <c r="BA185" s="517"/>
      <c r="BB185" s="517"/>
      <c r="BC185" s="517"/>
      <c r="BD185" s="517"/>
      <c r="BE185" s="517"/>
      <c r="BF185" s="517"/>
      <c r="BG185" s="517"/>
      <c r="BH185" s="517"/>
      <c r="BI185" s="517"/>
      <c r="BJ185" s="517"/>
      <c r="BK185" s="517"/>
      <c r="BL185" s="517"/>
      <c r="BM185" s="517"/>
      <c r="BN185" s="517"/>
      <c r="BO185" s="517"/>
      <c r="BP185" s="517"/>
      <c r="BQ185" s="517"/>
      <c r="BR185" s="517"/>
      <c r="BS185" s="517"/>
      <c r="BT185" s="517"/>
      <c r="BU185" s="517"/>
      <c r="BV185" s="517"/>
      <c r="BW185" s="517"/>
      <c r="BX185" s="517"/>
      <c r="BY185" s="517"/>
      <c r="BZ185" s="517"/>
      <c r="CA185" s="517"/>
      <c r="CB185" s="517"/>
      <c r="CC185" s="517"/>
      <c r="CD185" s="517"/>
      <c r="CE185" s="517"/>
      <c r="CF185" s="517"/>
      <c r="CG185" s="517"/>
      <c r="CH185" s="517"/>
      <c r="CI185" s="517"/>
      <c r="CJ185" s="517"/>
      <c r="CK185" s="517"/>
      <c r="CL185" s="517"/>
      <c r="CM185" s="517"/>
      <c r="CN185" s="517"/>
      <c r="CO185" s="517"/>
      <c r="CP185" s="517"/>
      <c r="CQ185" s="517"/>
      <c r="CR185" s="517"/>
      <c r="CS185" s="517"/>
      <c r="CT185" s="517"/>
      <c r="CU185" s="517"/>
      <c r="CV185" s="517"/>
      <c r="CW185" s="517"/>
      <c r="CX185" s="517"/>
      <c r="CY185" s="517"/>
      <c r="CZ185" s="517"/>
      <c r="DA185" s="517"/>
      <c r="DB185" s="517"/>
      <c r="DC185" s="517"/>
      <c r="DD185" s="517"/>
      <c r="DE185" s="517"/>
      <c r="DF185" s="517"/>
      <c r="DG185" s="517"/>
      <c r="DH185" s="517"/>
      <c r="DI185" s="517"/>
      <c r="DJ185" s="517"/>
      <c r="DK185" s="517"/>
      <c r="DL185" s="517"/>
      <c r="DM185" s="517"/>
      <c r="DN185" s="517"/>
      <c r="DO185" s="517"/>
      <c r="DP185" s="517"/>
      <c r="DQ185" s="517"/>
      <c r="DR185" s="517"/>
      <c r="DS185" s="517"/>
      <c r="DT185" s="517"/>
      <c r="DU185" s="517"/>
      <c r="DV185" s="517"/>
      <c r="DW185" s="517"/>
      <c r="DX185" s="517"/>
      <c r="DY185" s="517"/>
      <c r="DZ185" s="517"/>
      <c r="EA185" s="517"/>
      <c r="EB185" s="517"/>
      <c r="EC185" s="517"/>
      <c r="ED185" s="517"/>
      <c r="EE185" s="517"/>
      <c r="EF185" s="517"/>
      <c r="EG185" s="517"/>
      <c r="EH185" s="517"/>
      <c r="EI185" s="517"/>
      <c r="EJ185" s="517"/>
      <c r="EK185" s="517"/>
      <c r="EL185" s="517"/>
      <c r="EM185" s="517"/>
      <c r="EN185" s="517"/>
      <c r="EO185" s="517"/>
      <c r="EP185" s="517"/>
      <c r="EQ185" s="517"/>
      <c r="ER185" s="517"/>
      <c r="ES185" s="627" t="s">
        <v>1140</v>
      </c>
    </row>
    <row r="186">
      <c r="A186" s="517"/>
      <c r="B186" s="517"/>
      <c r="C186" s="517"/>
      <c r="D186" s="517"/>
      <c r="E186" s="517"/>
      <c r="F186" s="517"/>
      <c r="G186" s="517"/>
      <c r="H186" s="517"/>
      <c r="I186" s="517"/>
      <c r="J186" s="517"/>
      <c r="K186" s="517"/>
      <c r="L186" s="517"/>
      <c r="M186" s="517"/>
      <c r="N186" s="517"/>
      <c r="O186" s="517"/>
      <c r="P186" s="517"/>
      <c r="Q186" s="517"/>
      <c r="R186" s="517"/>
      <c r="S186" s="517"/>
      <c r="T186" s="517"/>
      <c r="U186" s="517"/>
      <c r="V186" s="517"/>
      <c r="W186" s="517"/>
      <c r="X186" s="517"/>
      <c r="Y186" s="517"/>
      <c r="Z186" s="517"/>
      <c r="AA186" s="517"/>
      <c r="AB186" s="517"/>
      <c r="AC186" s="517"/>
      <c r="AD186" s="517"/>
      <c r="AE186" s="517"/>
      <c r="AF186" s="517"/>
      <c r="AG186" s="517"/>
      <c r="AH186" s="517"/>
      <c r="AI186" s="517"/>
      <c r="AJ186" s="517"/>
      <c r="AK186" s="517"/>
      <c r="AL186" s="517"/>
      <c r="AM186" s="517"/>
      <c r="AN186" s="517"/>
      <c r="AO186" s="517"/>
      <c r="AP186" s="517"/>
      <c r="AQ186" s="517"/>
      <c r="AR186" s="517"/>
      <c r="AS186" s="517"/>
      <c r="AT186" s="517"/>
      <c r="AU186" s="517"/>
      <c r="AV186" s="517"/>
      <c r="AW186" s="517"/>
      <c r="AX186" s="517"/>
      <c r="AY186" s="517"/>
      <c r="AZ186" s="517"/>
      <c r="BA186" s="517"/>
      <c r="BB186" s="517"/>
      <c r="BC186" s="517"/>
      <c r="BD186" s="517"/>
      <c r="BE186" s="517"/>
      <c r="BF186" s="517"/>
      <c r="BG186" s="517"/>
      <c r="BH186" s="517"/>
      <c r="BI186" s="517"/>
      <c r="BJ186" s="517"/>
      <c r="BK186" s="517"/>
      <c r="BL186" s="517"/>
      <c r="BM186" s="517"/>
      <c r="BN186" s="517"/>
      <c r="BO186" s="517"/>
      <c r="BP186" s="517"/>
      <c r="BQ186" s="517"/>
      <c r="BR186" s="517"/>
      <c r="BS186" s="517"/>
      <c r="BT186" s="517"/>
      <c r="BU186" s="517"/>
      <c r="BV186" s="517"/>
      <c r="BW186" s="517"/>
      <c r="BX186" s="517"/>
      <c r="BY186" s="517"/>
      <c r="BZ186" s="517"/>
      <c r="CA186" s="517"/>
      <c r="CB186" s="517"/>
      <c r="CC186" s="517"/>
      <c r="CD186" s="517"/>
      <c r="CE186" s="517"/>
      <c r="CF186" s="517"/>
      <c r="CG186" s="517"/>
      <c r="CH186" s="517"/>
      <c r="CI186" s="517"/>
      <c r="CJ186" s="517"/>
      <c r="CK186" s="517"/>
      <c r="CL186" s="517"/>
      <c r="CM186" s="517"/>
      <c r="CN186" s="517"/>
      <c r="CO186" s="517"/>
      <c r="CP186" s="517"/>
      <c r="CQ186" s="517"/>
      <c r="CR186" s="517"/>
      <c r="CS186" s="517"/>
      <c r="CT186" s="517"/>
      <c r="CU186" s="517"/>
      <c r="CV186" s="517"/>
      <c r="CW186" s="517"/>
      <c r="CX186" s="517"/>
      <c r="CY186" s="517"/>
      <c r="CZ186" s="517"/>
      <c r="DA186" s="517"/>
      <c r="DB186" s="517"/>
      <c r="DC186" s="517"/>
      <c r="DD186" s="517"/>
      <c r="DE186" s="517"/>
      <c r="DF186" s="517"/>
      <c r="DG186" s="517"/>
      <c r="DH186" s="517"/>
      <c r="DI186" s="517"/>
      <c r="DJ186" s="517"/>
      <c r="DK186" s="517"/>
      <c r="DL186" s="517"/>
      <c r="DM186" s="517"/>
      <c r="DN186" s="517"/>
      <c r="DO186" s="517"/>
      <c r="DP186" s="517"/>
      <c r="DQ186" s="517"/>
      <c r="DR186" s="517"/>
      <c r="DS186" s="517"/>
      <c r="DT186" s="517"/>
      <c r="DU186" s="517"/>
      <c r="DV186" s="517"/>
      <c r="DW186" s="517"/>
      <c r="DX186" s="517"/>
      <c r="DY186" s="517"/>
      <c r="DZ186" s="517"/>
      <c r="EA186" s="517"/>
      <c r="EB186" s="517"/>
      <c r="EC186" s="517"/>
      <c r="ED186" s="517"/>
      <c r="EE186" s="517"/>
      <c r="EF186" s="517"/>
      <c r="EG186" s="517"/>
      <c r="EH186" s="517"/>
      <c r="EI186" s="517"/>
      <c r="EJ186" s="517"/>
      <c r="EK186" s="517"/>
      <c r="EL186" s="517"/>
      <c r="EM186" s="517"/>
      <c r="EN186" s="517"/>
      <c r="EO186" s="517"/>
      <c r="EP186" s="517"/>
      <c r="EQ186" s="517"/>
      <c r="ER186" s="517"/>
      <c r="ES186" s="627" t="s">
        <v>1140</v>
      </c>
    </row>
    <row r="187">
      <c r="A187" s="517"/>
      <c r="B187" s="517"/>
      <c r="C187" s="517"/>
      <c r="D187" s="517"/>
      <c r="E187" s="517"/>
      <c r="F187" s="517"/>
      <c r="G187" s="517"/>
      <c r="H187" s="517"/>
      <c r="I187" s="517"/>
      <c r="J187" s="517"/>
      <c r="K187" s="517"/>
      <c r="L187" s="517"/>
      <c r="M187" s="517"/>
      <c r="N187" s="517"/>
      <c r="O187" s="517"/>
      <c r="P187" s="517"/>
      <c r="Q187" s="517"/>
      <c r="R187" s="517"/>
      <c r="S187" s="517"/>
      <c r="T187" s="517"/>
      <c r="U187" s="517"/>
      <c r="V187" s="517"/>
      <c r="W187" s="517"/>
      <c r="X187" s="517"/>
      <c r="Y187" s="517"/>
      <c r="Z187" s="517"/>
      <c r="AA187" s="517"/>
      <c r="AB187" s="517"/>
      <c r="AC187" s="517"/>
      <c r="AD187" s="517"/>
      <c r="AE187" s="517"/>
      <c r="AF187" s="517"/>
      <c r="AG187" s="517"/>
      <c r="AH187" s="517"/>
      <c r="AI187" s="517"/>
      <c r="AJ187" s="517"/>
      <c r="AK187" s="517"/>
      <c r="AL187" s="517"/>
      <c r="AM187" s="517"/>
      <c r="AN187" s="517"/>
      <c r="AO187" s="517"/>
      <c r="AP187" s="517"/>
      <c r="AQ187" s="517"/>
      <c r="AR187" s="517"/>
      <c r="AS187" s="517"/>
      <c r="AT187" s="517"/>
      <c r="AU187" s="517"/>
      <c r="AV187" s="517"/>
      <c r="AW187" s="517"/>
      <c r="AX187" s="517"/>
      <c r="AY187" s="517"/>
      <c r="AZ187" s="517"/>
      <c r="BA187" s="517"/>
      <c r="BB187" s="517"/>
      <c r="BC187" s="517"/>
      <c r="BD187" s="517"/>
      <c r="BE187" s="517"/>
      <c r="BF187" s="517"/>
      <c r="BG187" s="517"/>
      <c r="BH187" s="517"/>
      <c r="BI187" s="517"/>
      <c r="BJ187" s="517"/>
      <c r="BK187" s="517"/>
      <c r="BL187" s="517"/>
      <c r="BM187" s="517"/>
      <c r="BN187" s="517"/>
      <c r="BO187" s="517"/>
      <c r="BP187" s="517"/>
      <c r="BQ187" s="517"/>
      <c r="BR187" s="517"/>
      <c r="BS187" s="517"/>
      <c r="BT187" s="517"/>
      <c r="BU187" s="517"/>
      <c r="BV187" s="517"/>
      <c r="BW187" s="517"/>
      <c r="BX187" s="517"/>
      <c r="BY187" s="517"/>
      <c r="BZ187" s="517"/>
      <c r="CA187" s="517"/>
      <c r="CB187" s="517"/>
      <c r="CC187" s="517"/>
      <c r="CD187" s="517"/>
      <c r="CE187" s="517"/>
      <c r="CF187" s="517"/>
      <c r="CG187" s="517"/>
      <c r="CH187" s="517"/>
      <c r="CI187" s="517"/>
      <c r="CJ187" s="517"/>
      <c r="CK187" s="517"/>
      <c r="CL187" s="517"/>
      <c r="CM187" s="517"/>
      <c r="CN187" s="517"/>
      <c r="CO187" s="517"/>
      <c r="CP187" s="517"/>
      <c r="CQ187" s="517"/>
      <c r="CR187" s="517"/>
      <c r="CS187" s="517"/>
      <c r="CT187" s="517"/>
      <c r="CU187" s="517"/>
      <c r="CV187" s="517"/>
      <c r="CW187" s="517"/>
      <c r="CX187" s="517"/>
      <c r="CY187" s="517"/>
      <c r="CZ187" s="517"/>
      <c r="DA187" s="517"/>
      <c r="DB187" s="517"/>
      <c r="DC187" s="517"/>
      <c r="DD187" s="517"/>
      <c r="DE187" s="517"/>
      <c r="DF187" s="517"/>
      <c r="DG187" s="517"/>
      <c r="DH187" s="517"/>
      <c r="DI187" s="517"/>
      <c r="DJ187" s="517"/>
      <c r="DK187" s="517"/>
      <c r="DL187" s="517"/>
      <c r="DM187" s="517"/>
      <c r="DN187" s="517"/>
      <c r="DO187" s="517"/>
      <c r="DP187" s="517"/>
      <c r="DQ187" s="517"/>
      <c r="DR187" s="517"/>
      <c r="DS187" s="517"/>
      <c r="DT187" s="517"/>
      <c r="DU187" s="517"/>
      <c r="DV187" s="517"/>
      <c r="DW187" s="517"/>
      <c r="DX187" s="517"/>
      <c r="DY187" s="517"/>
      <c r="DZ187" s="517"/>
      <c r="EA187" s="517"/>
      <c r="EB187" s="517"/>
      <c r="EC187" s="517"/>
      <c r="ED187" s="517"/>
      <c r="EE187" s="517"/>
      <c r="EF187" s="517"/>
      <c r="EG187" s="517"/>
      <c r="EH187" s="517"/>
      <c r="EI187" s="517"/>
      <c r="EJ187" s="517"/>
      <c r="EK187" s="517"/>
      <c r="EL187" s="517"/>
      <c r="EM187" s="517"/>
      <c r="EN187" s="517"/>
      <c r="EO187" s="517"/>
      <c r="EP187" s="517"/>
      <c r="EQ187" s="517"/>
      <c r="ER187" s="517"/>
      <c r="ES187" s="627" t="s">
        <v>1140</v>
      </c>
    </row>
    <row r="188">
      <c r="A188" s="517"/>
      <c r="B188" s="517"/>
      <c r="C188" s="517"/>
      <c r="D188" s="517"/>
      <c r="E188" s="517"/>
      <c r="F188" s="517"/>
      <c r="G188" s="517"/>
      <c r="H188" s="517"/>
      <c r="I188" s="517"/>
      <c r="J188" s="517"/>
      <c r="K188" s="517"/>
      <c r="L188" s="517"/>
      <c r="M188" s="517"/>
      <c r="N188" s="517"/>
      <c r="O188" s="517"/>
      <c r="P188" s="517"/>
      <c r="Q188" s="517"/>
      <c r="R188" s="517"/>
      <c r="S188" s="517"/>
      <c r="T188" s="517"/>
      <c r="U188" s="517"/>
      <c r="V188" s="517"/>
      <c r="W188" s="517"/>
      <c r="X188" s="517"/>
      <c r="Y188" s="517"/>
      <c r="Z188" s="517"/>
      <c r="AA188" s="517"/>
      <c r="AB188" s="517"/>
      <c r="AC188" s="517"/>
      <c r="AD188" s="517"/>
      <c r="AE188" s="517"/>
      <c r="AF188" s="517"/>
      <c r="AG188" s="517"/>
      <c r="AH188" s="517"/>
      <c r="AI188" s="517"/>
      <c r="AJ188" s="517"/>
      <c r="AK188" s="517"/>
      <c r="AL188" s="517"/>
      <c r="AM188" s="517"/>
      <c r="AN188" s="517"/>
      <c r="AO188" s="517"/>
      <c r="AP188" s="517"/>
      <c r="AQ188" s="517"/>
      <c r="AR188" s="517"/>
      <c r="AS188" s="517"/>
      <c r="AT188" s="517"/>
      <c r="AU188" s="517"/>
      <c r="AV188" s="517"/>
      <c r="AW188" s="517"/>
      <c r="AX188" s="517"/>
      <c r="AY188" s="517"/>
      <c r="AZ188" s="517"/>
      <c r="BA188" s="517"/>
      <c r="BB188" s="517"/>
      <c r="BC188" s="517"/>
      <c r="BD188" s="517"/>
      <c r="BE188" s="517"/>
      <c r="BF188" s="517"/>
      <c r="BG188" s="517"/>
      <c r="BH188" s="517"/>
      <c r="BI188" s="517"/>
      <c r="BJ188" s="517"/>
      <c r="BK188" s="517"/>
      <c r="BL188" s="517"/>
      <c r="BM188" s="517"/>
      <c r="BN188" s="517"/>
      <c r="BO188" s="517"/>
      <c r="BP188" s="517"/>
      <c r="BQ188" s="517"/>
      <c r="BR188" s="517"/>
      <c r="BS188" s="517"/>
      <c r="BT188" s="517"/>
      <c r="BU188" s="517"/>
      <c r="BV188" s="517"/>
      <c r="BW188" s="517"/>
      <c r="BX188" s="517"/>
      <c r="BY188" s="517"/>
      <c r="BZ188" s="517"/>
      <c r="CA188" s="517"/>
      <c r="CB188" s="517"/>
      <c r="CC188" s="517"/>
      <c r="CD188" s="517"/>
      <c r="CE188" s="517"/>
      <c r="CF188" s="517"/>
      <c r="CG188" s="517"/>
      <c r="CH188" s="517"/>
      <c r="CI188" s="517"/>
      <c r="CJ188" s="517"/>
      <c r="CK188" s="517"/>
      <c r="CL188" s="517"/>
      <c r="CM188" s="517"/>
      <c r="CN188" s="517"/>
      <c r="CO188" s="517"/>
      <c r="CP188" s="517"/>
      <c r="CQ188" s="517"/>
      <c r="CR188" s="517"/>
      <c r="CS188" s="517"/>
      <c r="CT188" s="517"/>
      <c r="CU188" s="517"/>
      <c r="CV188" s="517"/>
      <c r="CW188" s="517"/>
      <c r="CX188" s="517"/>
      <c r="CY188" s="517"/>
      <c r="CZ188" s="517"/>
      <c r="DA188" s="517"/>
      <c r="DB188" s="517"/>
      <c r="DC188" s="517"/>
      <c r="DD188" s="517"/>
      <c r="DE188" s="517"/>
      <c r="DF188" s="517"/>
      <c r="DG188" s="517"/>
      <c r="DH188" s="517"/>
      <c r="DI188" s="517"/>
      <c r="DJ188" s="517"/>
      <c r="DK188" s="517"/>
      <c r="DL188" s="517"/>
      <c r="DM188" s="517"/>
      <c r="DN188" s="517"/>
      <c r="DO188" s="517"/>
      <c r="DP188" s="517"/>
      <c r="DQ188" s="517"/>
      <c r="DR188" s="517"/>
      <c r="DS188" s="517"/>
      <c r="DT188" s="517"/>
      <c r="DU188" s="517"/>
      <c r="DV188" s="517"/>
      <c r="DW188" s="517"/>
      <c r="DX188" s="517"/>
      <c r="DY188" s="517"/>
      <c r="DZ188" s="517"/>
      <c r="EA188" s="517"/>
      <c r="EB188" s="517"/>
      <c r="EC188" s="517"/>
      <c r="ED188" s="517"/>
      <c r="EE188" s="517"/>
      <c r="EF188" s="517"/>
      <c r="EG188" s="517"/>
      <c r="EH188" s="517"/>
      <c r="EI188" s="517"/>
      <c r="EJ188" s="517"/>
      <c r="EK188" s="517"/>
      <c r="EL188" s="517"/>
      <c r="EM188" s="517"/>
      <c r="EN188" s="517"/>
      <c r="EO188" s="517"/>
      <c r="EP188" s="517"/>
      <c r="EQ188" s="517"/>
      <c r="ER188" s="517"/>
      <c r="ES188" s="627" t="s">
        <v>1140</v>
      </c>
    </row>
    <row r="189">
      <c r="A189" s="517"/>
      <c r="B189" s="517"/>
      <c r="C189" s="517"/>
      <c r="D189" s="517"/>
      <c r="E189" s="517"/>
      <c r="F189" s="517"/>
      <c r="G189" s="517"/>
      <c r="H189" s="517"/>
      <c r="I189" s="517"/>
      <c r="J189" s="517"/>
      <c r="K189" s="517"/>
      <c r="L189" s="517"/>
      <c r="M189" s="517"/>
      <c r="N189" s="517"/>
      <c r="O189" s="517"/>
      <c r="P189" s="517"/>
      <c r="Q189" s="517"/>
      <c r="R189" s="517"/>
      <c r="S189" s="517"/>
      <c r="T189" s="517"/>
      <c r="U189" s="517"/>
      <c r="V189" s="517"/>
      <c r="W189" s="517"/>
      <c r="X189" s="517"/>
      <c r="Y189" s="517"/>
      <c r="Z189" s="517"/>
      <c r="AA189" s="517"/>
      <c r="AB189" s="517"/>
      <c r="AC189" s="517"/>
      <c r="AD189" s="517"/>
      <c r="AE189" s="517"/>
      <c r="AF189" s="517"/>
      <c r="AG189" s="517"/>
      <c r="AH189" s="517"/>
      <c r="AI189" s="517"/>
      <c r="AJ189" s="517"/>
      <c r="AK189" s="517"/>
      <c r="AL189" s="517"/>
      <c r="AM189" s="517"/>
      <c r="AN189" s="517"/>
      <c r="AO189" s="517"/>
      <c r="AP189" s="517"/>
      <c r="AQ189" s="517"/>
      <c r="AR189" s="517"/>
      <c r="AS189" s="517"/>
      <c r="AT189" s="517"/>
      <c r="AU189" s="517"/>
      <c r="AV189" s="517"/>
      <c r="AW189" s="517"/>
      <c r="AX189" s="517"/>
      <c r="AY189" s="517"/>
      <c r="AZ189" s="517"/>
      <c r="BA189" s="517"/>
      <c r="BB189" s="517"/>
      <c r="BC189" s="517"/>
      <c r="BD189" s="517"/>
      <c r="BE189" s="517"/>
      <c r="BF189" s="517"/>
      <c r="BG189" s="517"/>
      <c r="BH189" s="517"/>
      <c r="BI189" s="517"/>
      <c r="BJ189" s="517"/>
      <c r="BK189" s="517"/>
      <c r="BL189" s="517"/>
      <c r="BM189" s="517"/>
      <c r="BN189" s="517"/>
      <c r="BO189" s="517"/>
      <c r="BP189" s="517"/>
      <c r="BQ189" s="517"/>
      <c r="BR189" s="517"/>
      <c r="BS189" s="517"/>
      <c r="BT189" s="517"/>
      <c r="BU189" s="517"/>
      <c r="BV189" s="517"/>
      <c r="BW189" s="517"/>
      <c r="BX189" s="517"/>
      <c r="BY189" s="517"/>
      <c r="BZ189" s="517"/>
      <c r="CA189" s="517"/>
      <c r="CB189" s="517"/>
      <c r="CC189" s="517"/>
      <c r="CD189" s="517"/>
      <c r="CE189" s="517"/>
      <c r="CF189" s="517"/>
      <c r="CG189" s="517"/>
      <c r="CH189" s="517"/>
      <c r="CI189" s="517"/>
      <c r="CJ189" s="517"/>
      <c r="CK189" s="517"/>
      <c r="CL189" s="517"/>
      <c r="CM189" s="517"/>
      <c r="CN189" s="517"/>
      <c r="CO189" s="517"/>
      <c r="CP189" s="517"/>
      <c r="CQ189" s="517"/>
      <c r="CR189" s="517"/>
      <c r="CS189" s="517"/>
      <c r="CT189" s="517"/>
      <c r="CU189" s="517"/>
      <c r="CV189" s="517"/>
      <c r="CW189" s="517"/>
      <c r="CX189" s="517"/>
      <c r="CY189" s="517"/>
      <c r="CZ189" s="517"/>
      <c r="DA189" s="517"/>
      <c r="DB189" s="517"/>
      <c r="DC189" s="517"/>
      <c r="DD189" s="517"/>
      <c r="DE189" s="517"/>
      <c r="DF189" s="517"/>
      <c r="DG189" s="517"/>
      <c r="DH189" s="517"/>
      <c r="DI189" s="517"/>
      <c r="DJ189" s="517"/>
      <c r="DK189" s="517"/>
      <c r="DL189" s="517"/>
      <c r="DM189" s="517"/>
      <c r="DN189" s="517"/>
      <c r="DO189" s="517"/>
      <c r="DP189" s="517"/>
      <c r="DQ189" s="517"/>
      <c r="DR189" s="517"/>
      <c r="DS189" s="517"/>
      <c r="DT189" s="517"/>
      <c r="DU189" s="517"/>
      <c r="DV189" s="517"/>
      <c r="DW189" s="517"/>
      <c r="DX189" s="517"/>
      <c r="DY189" s="517"/>
      <c r="DZ189" s="517"/>
      <c r="EA189" s="517"/>
      <c r="EB189" s="517"/>
      <c r="EC189" s="517"/>
      <c r="ED189" s="517"/>
      <c r="EE189" s="517"/>
      <c r="EF189" s="517"/>
      <c r="EG189" s="517"/>
      <c r="EH189" s="517"/>
      <c r="EI189" s="517"/>
      <c r="EJ189" s="517"/>
      <c r="EK189" s="517"/>
      <c r="EL189" s="517"/>
      <c r="EM189" s="517"/>
      <c r="EN189" s="517"/>
      <c r="EO189" s="517"/>
      <c r="EP189" s="517"/>
      <c r="EQ189" s="517"/>
      <c r="ER189" s="517"/>
      <c r="ES189" s="627" t="s">
        <v>1140</v>
      </c>
    </row>
    <row r="190">
      <c r="A190" s="517"/>
      <c r="B190" s="517"/>
      <c r="C190" s="517"/>
      <c r="D190" s="517"/>
      <c r="E190" s="517"/>
      <c r="F190" s="517"/>
      <c r="G190" s="517"/>
      <c r="H190" s="517"/>
      <c r="I190" s="517"/>
      <c r="J190" s="517"/>
      <c r="K190" s="517"/>
      <c r="L190" s="517"/>
      <c r="M190" s="517"/>
      <c r="N190" s="517"/>
      <c r="O190" s="517"/>
      <c r="P190" s="517"/>
      <c r="Q190" s="517"/>
      <c r="R190" s="517"/>
      <c r="S190" s="517"/>
      <c r="T190" s="517"/>
      <c r="U190" s="517"/>
      <c r="V190" s="517"/>
      <c r="W190" s="517"/>
      <c r="X190" s="517"/>
      <c r="Y190" s="517"/>
      <c r="Z190" s="517"/>
      <c r="AA190" s="517"/>
      <c r="AB190" s="517"/>
      <c r="AC190" s="517"/>
      <c r="AD190" s="517"/>
      <c r="AE190" s="517"/>
      <c r="AF190" s="517"/>
      <c r="AG190" s="517"/>
      <c r="AH190" s="517"/>
      <c r="AI190" s="517"/>
      <c r="AJ190" s="517"/>
      <c r="AK190" s="517"/>
      <c r="AL190" s="517"/>
      <c r="AM190" s="517"/>
      <c r="AN190" s="517"/>
      <c r="AO190" s="517"/>
      <c r="AP190" s="517"/>
      <c r="AQ190" s="517"/>
      <c r="AR190" s="517"/>
      <c r="AS190" s="517"/>
      <c r="AT190" s="517"/>
      <c r="AU190" s="517"/>
      <c r="AV190" s="517"/>
      <c r="AW190" s="517"/>
      <c r="AX190" s="517"/>
      <c r="AY190" s="517"/>
      <c r="AZ190" s="517"/>
      <c r="BA190" s="517"/>
      <c r="BB190" s="517"/>
      <c r="BC190" s="517"/>
      <c r="BD190" s="517"/>
      <c r="BE190" s="517"/>
      <c r="BF190" s="517"/>
      <c r="BG190" s="517"/>
      <c r="BH190" s="517"/>
      <c r="BI190" s="517"/>
      <c r="BJ190" s="517"/>
      <c r="BK190" s="517"/>
      <c r="BL190" s="517"/>
      <c r="BM190" s="517"/>
      <c r="BN190" s="517"/>
      <c r="BO190" s="517"/>
      <c r="BP190" s="517"/>
      <c r="BQ190" s="517"/>
      <c r="BR190" s="517"/>
      <c r="BS190" s="517"/>
      <c r="BT190" s="517"/>
      <c r="BU190" s="517"/>
      <c r="BV190" s="517"/>
      <c r="BW190" s="517"/>
      <c r="BX190" s="517"/>
      <c r="BY190" s="517"/>
      <c r="BZ190" s="517"/>
      <c r="CA190" s="517"/>
      <c r="CB190" s="517"/>
      <c r="CC190" s="517"/>
      <c r="CD190" s="517"/>
      <c r="CE190" s="517"/>
      <c r="CF190" s="517"/>
      <c r="CG190" s="517"/>
      <c r="CH190" s="517"/>
      <c r="CI190" s="517"/>
      <c r="CJ190" s="517"/>
      <c r="CK190" s="517"/>
      <c r="CL190" s="517"/>
      <c r="CM190" s="517"/>
      <c r="CN190" s="517"/>
      <c r="CO190" s="517"/>
      <c r="CP190" s="517"/>
      <c r="CQ190" s="517"/>
      <c r="CR190" s="517"/>
      <c r="CS190" s="517"/>
      <c r="CT190" s="517"/>
      <c r="CU190" s="517"/>
      <c r="CV190" s="517"/>
      <c r="CW190" s="517"/>
      <c r="CX190" s="517"/>
      <c r="CY190" s="517"/>
      <c r="CZ190" s="517"/>
      <c r="DA190" s="517"/>
      <c r="DB190" s="517"/>
      <c r="DC190" s="517"/>
      <c r="DD190" s="517"/>
      <c r="DE190" s="517"/>
      <c r="DF190" s="517"/>
      <c r="DG190" s="517"/>
      <c r="DH190" s="517"/>
      <c r="DI190" s="517"/>
      <c r="DJ190" s="517"/>
      <c r="DK190" s="517"/>
      <c r="DL190" s="517"/>
      <c r="DM190" s="517"/>
      <c r="DN190" s="517"/>
      <c r="DO190" s="517"/>
      <c r="DP190" s="517"/>
      <c r="DQ190" s="517"/>
      <c r="DR190" s="517"/>
      <c r="DS190" s="517"/>
      <c r="DT190" s="517"/>
      <c r="DU190" s="517"/>
      <c r="DV190" s="517"/>
      <c r="DW190" s="517"/>
      <c r="DX190" s="517"/>
      <c r="DY190" s="517"/>
      <c r="DZ190" s="517"/>
      <c r="EA190" s="517"/>
      <c r="EB190" s="517"/>
      <c r="EC190" s="517"/>
      <c r="ED190" s="517"/>
      <c r="EE190" s="517"/>
      <c r="EF190" s="517"/>
      <c r="EG190" s="517"/>
      <c r="EH190" s="517"/>
      <c r="EI190" s="517"/>
      <c r="EJ190" s="517"/>
      <c r="EK190" s="517"/>
      <c r="EL190" s="517"/>
      <c r="EM190" s="517"/>
      <c r="EN190" s="517"/>
      <c r="EO190" s="517"/>
      <c r="EP190" s="517"/>
      <c r="EQ190" s="517"/>
      <c r="ER190" s="517"/>
      <c r="ES190" s="627" t="s">
        <v>1140</v>
      </c>
    </row>
    <row r="191">
      <c r="A191" s="517"/>
      <c r="B191" s="517"/>
      <c r="C191" s="517"/>
      <c r="D191" s="517"/>
      <c r="E191" s="517"/>
      <c r="F191" s="517"/>
      <c r="G191" s="517"/>
      <c r="H191" s="517"/>
      <c r="I191" s="517"/>
      <c r="J191" s="517"/>
      <c r="K191" s="517"/>
      <c r="L191" s="517"/>
      <c r="M191" s="517"/>
      <c r="N191" s="517"/>
      <c r="O191" s="517"/>
      <c r="P191" s="517"/>
      <c r="Q191" s="517"/>
      <c r="R191" s="517"/>
      <c r="S191" s="517"/>
      <c r="T191" s="517"/>
      <c r="U191" s="517"/>
      <c r="V191" s="517"/>
      <c r="W191" s="517"/>
      <c r="X191" s="517"/>
      <c r="Y191" s="517"/>
      <c r="Z191" s="517"/>
      <c r="AA191" s="517"/>
      <c r="AB191" s="517"/>
      <c r="AC191" s="517"/>
      <c r="AD191" s="517"/>
      <c r="AE191" s="517"/>
      <c r="AF191" s="517"/>
      <c r="AG191" s="517"/>
      <c r="AH191" s="517"/>
      <c r="AI191" s="517"/>
      <c r="AJ191" s="517"/>
      <c r="AK191" s="517"/>
      <c r="AL191" s="517"/>
      <c r="AM191" s="517"/>
      <c r="AN191" s="517"/>
      <c r="AO191" s="517"/>
      <c r="AP191" s="517"/>
      <c r="AQ191" s="517"/>
      <c r="AR191" s="517"/>
      <c r="AS191" s="517"/>
      <c r="AT191" s="517"/>
      <c r="AU191" s="517"/>
      <c r="AV191" s="517"/>
      <c r="AW191" s="517"/>
      <c r="AX191" s="517"/>
      <c r="AY191" s="517"/>
      <c r="AZ191" s="517"/>
      <c r="BA191" s="517"/>
      <c r="BB191" s="517"/>
      <c r="BC191" s="517"/>
      <c r="BD191" s="517"/>
      <c r="BE191" s="517"/>
      <c r="BF191" s="517"/>
      <c r="BG191" s="517"/>
      <c r="BH191" s="517"/>
      <c r="BI191" s="517"/>
      <c r="BJ191" s="517"/>
      <c r="BK191" s="517"/>
      <c r="BL191" s="517"/>
      <c r="BM191" s="517"/>
      <c r="BN191" s="517"/>
      <c r="BO191" s="517"/>
      <c r="BP191" s="517"/>
      <c r="BQ191" s="517"/>
      <c r="BR191" s="517"/>
      <c r="BS191" s="517"/>
      <c r="BT191" s="517"/>
      <c r="BU191" s="517"/>
      <c r="BV191" s="517"/>
      <c r="BW191" s="517"/>
      <c r="BX191" s="517"/>
      <c r="BY191" s="517"/>
      <c r="BZ191" s="517"/>
      <c r="CA191" s="517"/>
      <c r="CB191" s="517"/>
      <c r="CC191" s="517"/>
      <c r="CD191" s="517"/>
      <c r="CE191" s="517"/>
      <c r="CF191" s="517"/>
      <c r="CG191" s="517"/>
      <c r="CH191" s="517"/>
      <c r="CI191" s="517"/>
      <c r="CJ191" s="517"/>
      <c r="CK191" s="517"/>
      <c r="CL191" s="517"/>
      <c r="CM191" s="517"/>
      <c r="CN191" s="517"/>
      <c r="CO191" s="517"/>
      <c r="CP191" s="517"/>
      <c r="CQ191" s="517"/>
      <c r="CR191" s="517"/>
      <c r="CS191" s="517"/>
      <c r="CT191" s="517"/>
      <c r="CU191" s="517"/>
      <c r="CV191" s="517"/>
      <c r="CW191" s="517"/>
      <c r="CX191" s="517"/>
      <c r="CY191" s="517"/>
      <c r="CZ191" s="517"/>
      <c r="DA191" s="517"/>
      <c r="DB191" s="517"/>
      <c r="DC191" s="517"/>
      <c r="DD191" s="517"/>
      <c r="DE191" s="517"/>
      <c r="DF191" s="517"/>
      <c r="DG191" s="517"/>
      <c r="DH191" s="517"/>
      <c r="DI191" s="517"/>
      <c r="DJ191" s="517"/>
      <c r="DK191" s="517"/>
      <c r="DL191" s="517"/>
      <c r="DM191" s="517"/>
      <c r="DN191" s="517"/>
      <c r="DO191" s="517"/>
      <c r="DP191" s="517"/>
      <c r="DQ191" s="517"/>
      <c r="DR191" s="517"/>
      <c r="DS191" s="517"/>
      <c r="DT191" s="517"/>
      <c r="DU191" s="517"/>
      <c r="DV191" s="517"/>
      <c r="DW191" s="517"/>
      <c r="DX191" s="517"/>
      <c r="DY191" s="517"/>
      <c r="DZ191" s="517"/>
      <c r="EA191" s="517"/>
      <c r="EB191" s="517"/>
      <c r="EC191" s="517"/>
      <c r="ED191" s="517"/>
      <c r="EE191" s="517"/>
      <c r="EF191" s="517"/>
      <c r="EG191" s="517"/>
      <c r="EH191" s="517"/>
      <c r="EI191" s="517"/>
      <c r="EJ191" s="517"/>
      <c r="EK191" s="517"/>
      <c r="EL191" s="517"/>
      <c r="EM191" s="517"/>
      <c r="EN191" s="517"/>
      <c r="EO191" s="517"/>
      <c r="EP191" s="517"/>
      <c r="EQ191" s="517"/>
      <c r="ER191" s="517"/>
      <c r="ES191" s="627" t="s">
        <v>1140</v>
      </c>
    </row>
    <row r="192">
      <c r="A192" s="517"/>
      <c r="B192" s="517"/>
      <c r="C192" s="517"/>
      <c r="D192" s="517"/>
      <c r="E192" s="517"/>
      <c r="F192" s="517"/>
      <c r="G192" s="517"/>
      <c r="H192" s="517"/>
      <c r="I192" s="517"/>
      <c r="J192" s="517"/>
      <c r="K192" s="517"/>
      <c r="L192" s="517"/>
      <c r="M192" s="517"/>
      <c r="N192" s="517"/>
      <c r="O192" s="517"/>
      <c r="P192" s="517"/>
      <c r="Q192" s="517"/>
      <c r="R192" s="517"/>
      <c r="S192" s="517"/>
      <c r="T192" s="517"/>
      <c r="U192" s="517"/>
      <c r="V192" s="517"/>
      <c r="W192" s="517"/>
      <c r="X192" s="517"/>
      <c r="Y192" s="517"/>
      <c r="Z192" s="517"/>
      <c r="AA192" s="517"/>
      <c r="AB192" s="517"/>
      <c r="AC192" s="517"/>
      <c r="AD192" s="517"/>
      <c r="AE192" s="517"/>
      <c r="AF192" s="517"/>
      <c r="AG192" s="517"/>
      <c r="AH192" s="517"/>
      <c r="AI192" s="517"/>
      <c r="AJ192" s="517"/>
      <c r="AK192" s="517"/>
      <c r="AL192" s="517"/>
      <c r="AM192" s="517"/>
      <c r="AN192" s="517"/>
      <c r="AO192" s="517"/>
      <c r="AP192" s="517"/>
      <c r="AQ192" s="517"/>
      <c r="AR192" s="517"/>
      <c r="AS192" s="517"/>
      <c r="AT192" s="517"/>
      <c r="AU192" s="517"/>
      <c r="AV192" s="517"/>
      <c r="AW192" s="517"/>
      <c r="AX192" s="517"/>
      <c r="AY192" s="517"/>
      <c r="AZ192" s="517"/>
      <c r="BA192" s="517"/>
      <c r="BB192" s="517"/>
      <c r="BC192" s="517"/>
      <c r="BD192" s="517"/>
      <c r="BE192" s="517"/>
      <c r="BF192" s="517"/>
      <c r="BG192" s="517"/>
      <c r="BH192" s="517"/>
      <c r="BI192" s="517"/>
      <c r="BJ192" s="517"/>
      <c r="BK192" s="517"/>
      <c r="BL192" s="517"/>
      <c r="BM192" s="517"/>
      <c r="BN192" s="517"/>
      <c r="BO192" s="517"/>
      <c r="BP192" s="517"/>
      <c r="BQ192" s="517"/>
      <c r="BR192" s="517"/>
      <c r="BS192" s="517"/>
      <c r="BT192" s="517"/>
      <c r="BU192" s="517"/>
      <c r="BV192" s="517"/>
      <c r="BW192" s="517"/>
      <c r="BX192" s="517"/>
      <c r="BY192" s="517"/>
      <c r="BZ192" s="517"/>
      <c r="CA192" s="517"/>
      <c r="CB192" s="517"/>
      <c r="CC192" s="517"/>
      <c r="CD192" s="517"/>
      <c r="CE192" s="517"/>
      <c r="CF192" s="517"/>
      <c r="CG192" s="517"/>
      <c r="CH192" s="517"/>
      <c r="CI192" s="517"/>
      <c r="CJ192" s="517"/>
      <c r="CK192" s="517"/>
      <c r="CL192" s="517"/>
      <c r="CM192" s="517"/>
      <c r="CN192" s="517"/>
      <c r="CO192" s="517"/>
      <c r="CP192" s="517"/>
      <c r="CQ192" s="517"/>
      <c r="CR192" s="517"/>
      <c r="CS192" s="517"/>
      <c r="CT192" s="517"/>
      <c r="CU192" s="517"/>
      <c r="CV192" s="517"/>
      <c r="CW192" s="517"/>
      <c r="CX192" s="517"/>
      <c r="CY192" s="517"/>
      <c r="CZ192" s="517"/>
      <c r="DA192" s="517"/>
      <c r="DB192" s="517"/>
      <c r="DC192" s="517"/>
      <c r="DD192" s="517"/>
      <c r="DE192" s="517"/>
      <c r="DF192" s="517"/>
      <c r="DG192" s="517"/>
      <c r="DH192" s="517"/>
      <c r="DI192" s="517"/>
      <c r="DJ192" s="517"/>
      <c r="DK192" s="517"/>
      <c r="DL192" s="517"/>
      <c r="DM192" s="517"/>
      <c r="DN192" s="517"/>
      <c r="DO192" s="517"/>
      <c r="DP192" s="517"/>
      <c r="DQ192" s="517"/>
      <c r="DR192" s="517"/>
      <c r="DS192" s="517"/>
      <c r="DT192" s="517"/>
      <c r="DU192" s="517"/>
      <c r="DV192" s="517"/>
      <c r="DW192" s="517"/>
      <c r="DX192" s="517"/>
      <c r="DY192" s="517"/>
      <c r="DZ192" s="517"/>
      <c r="EA192" s="517"/>
      <c r="EB192" s="517"/>
      <c r="EC192" s="517"/>
      <c r="ED192" s="517"/>
      <c r="EE192" s="517"/>
      <c r="EF192" s="517"/>
      <c r="EG192" s="517"/>
      <c r="EH192" s="517"/>
      <c r="EI192" s="517"/>
      <c r="EJ192" s="517"/>
      <c r="EK192" s="517"/>
      <c r="EL192" s="517"/>
      <c r="EM192" s="517"/>
      <c r="EN192" s="517"/>
      <c r="EO192" s="517"/>
      <c r="EP192" s="517"/>
      <c r="EQ192" s="517"/>
      <c r="ER192" s="517"/>
      <c r="ES192" s="627" t="s">
        <v>1140</v>
      </c>
    </row>
    <row r="193">
      <c r="A193" s="517"/>
      <c r="B193" s="517"/>
      <c r="C193" s="517"/>
      <c r="D193" s="517"/>
      <c r="E193" s="517"/>
      <c r="F193" s="517"/>
      <c r="G193" s="517"/>
      <c r="H193" s="517"/>
      <c r="I193" s="517"/>
      <c r="J193" s="517"/>
      <c r="K193" s="517"/>
      <c r="L193" s="517"/>
      <c r="M193" s="517"/>
      <c r="N193" s="517"/>
      <c r="O193" s="517"/>
      <c r="P193" s="517"/>
      <c r="Q193" s="517"/>
      <c r="R193" s="517"/>
      <c r="S193" s="517"/>
      <c r="T193" s="517"/>
      <c r="U193" s="517"/>
      <c r="V193" s="517"/>
      <c r="W193" s="517"/>
      <c r="X193" s="517"/>
      <c r="Y193" s="517"/>
      <c r="Z193" s="517"/>
      <c r="AA193" s="517"/>
      <c r="AB193" s="517"/>
      <c r="AC193" s="517"/>
      <c r="AD193" s="517"/>
      <c r="AE193" s="517"/>
      <c r="AF193" s="517"/>
      <c r="AG193" s="517"/>
      <c r="AH193" s="517"/>
      <c r="AI193" s="517"/>
      <c r="AJ193" s="517"/>
      <c r="AK193" s="517"/>
      <c r="AL193" s="517"/>
      <c r="AM193" s="517"/>
      <c r="AN193" s="517"/>
      <c r="AO193" s="517"/>
      <c r="AP193" s="517"/>
      <c r="AQ193" s="517"/>
      <c r="AR193" s="517"/>
      <c r="AS193" s="517"/>
      <c r="AT193" s="517"/>
      <c r="AU193" s="517"/>
      <c r="AV193" s="517"/>
      <c r="AW193" s="517"/>
      <c r="AX193" s="517"/>
      <c r="AY193" s="517"/>
      <c r="AZ193" s="517"/>
      <c r="BA193" s="517"/>
      <c r="BB193" s="517"/>
      <c r="BC193" s="517"/>
      <c r="BD193" s="517"/>
      <c r="BE193" s="517"/>
      <c r="BF193" s="517"/>
      <c r="BG193" s="517"/>
      <c r="BH193" s="517"/>
      <c r="BI193" s="517"/>
      <c r="BJ193" s="517"/>
      <c r="BK193" s="517"/>
      <c r="BL193" s="517"/>
      <c r="BM193" s="517"/>
      <c r="BN193" s="517"/>
      <c r="BO193" s="517"/>
      <c r="BP193" s="517"/>
      <c r="BQ193" s="517"/>
      <c r="BR193" s="517"/>
      <c r="BS193" s="517"/>
      <c r="BT193" s="517"/>
      <c r="BU193" s="517"/>
      <c r="BV193" s="517"/>
      <c r="BW193" s="517"/>
      <c r="BX193" s="517"/>
      <c r="BY193" s="517"/>
      <c r="BZ193" s="517"/>
      <c r="CA193" s="517"/>
      <c r="CB193" s="517"/>
      <c r="CC193" s="517"/>
      <c r="CD193" s="517"/>
      <c r="CE193" s="517"/>
      <c r="CF193" s="517"/>
      <c r="CG193" s="517"/>
      <c r="CH193" s="517"/>
      <c r="CI193" s="517"/>
      <c r="CJ193" s="517"/>
      <c r="CK193" s="517"/>
      <c r="CL193" s="517"/>
      <c r="CM193" s="517"/>
      <c r="CN193" s="517"/>
      <c r="CO193" s="517"/>
      <c r="CP193" s="517"/>
      <c r="CQ193" s="517"/>
      <c r="CR193" s="517"/>
      <c r="CS193" s="517"/>
      <c r="CT193" s="517"/>
      <c r="CU193" s="517"/>
      <c r="CV193" s="517"/>
      <c r="CW193" s="517"/>
      <c r="CX193" s="517"/>
      <c r="CY193" s="517"/>
      <c r="CZ193" s="517"/>
      <c r="DA193" s="517"/>
      <c r="DB193" s="517"/>
      <c r="DC193" s="517"/>
      <c r="DD193" s="517"/>
      <c r="DE193" s="517"/>
      <c r="DF193" s="517"/>
      <c r="DG193" s="517"/>
      <c r="DH193" s="517"/>
      <c r="DI193" s="517"/>
      <c r="DJ193" s="517"/>
      <c r="DK193" s="517"/>
      <c r="DL193" s="517"/>
      <c r="DM193" s="517"/>
      <c r="DN193" s="517"/>
      <c r="DO193" s="517"/>
      <c r="DP193" s="517"/>
      <c r="DQ193" s="517"/>
      <c r="DR193" s="517"/>
      <c r="DS193" s="517"/>
      <c r="DT193" s="517"/>
      <c r="DU193" s="517"/>
      <c r="DV193" s="517"/>
      <c r="DW193" s="517"/>
      <c r="DX193" s="517"/>
      <c r="DY193" s="517"/>
      <c r="DZ193" s="517"/>
      <c r="EA193" s="517"/>
      <c r="EB193" s="517"/>
      <c r="EC193" s="517"/>
      <c r="ED193" s="517"/>
      <c r="EE193" s="517"/>
      <c r="EF193" s="517"/>
      <c r="EG193" s="517"/>
      <c r="EH193" s="517"/>
      <c r="EI193" s="517"/>
      <c r="EJ193" s="517"/>
      <c r="EK193" s="517"/>
      <c r="EL193" s="517"/>
      <c r="EM193" s="517"/>
      <c r="EN193" s="517"/>
      <c r="EO193" s="517"/>
      <c r="EP193" s="517"/>
      <c r="EQ193" s="517"/>
      <c r="ER193" s="517"/>
      <c r="ES193" s="627" t="s">
        <v>1140</v>
      </c>
    </row>
    <row r="194">
      <c r="A194" s="517"/>
      <c r="B194" s="517"/>
      <c r="C194" s="517"/>
      <c r="D194" s="517"/>
      <c r="E194" s="517"/>
      <c r="F194" s="517"/>
      <c r="G194" s="517"/>
      <c r="H194" s="517"/>
      <c r="I194" s="517"/>
      <c r="J194" s="517"/>
      <c r="K194" s="517"/>
      <c r="L194" s="517"/>
      <c r="M194" s="517"/>
      <c r="N194" s="517"/>
      <c r="O194" s="517"/>
      <c r="P194" s="517"/>
      <c r="Q194" s="517"/>
      <c r="R194" s="517"/>
      <c r="S194" s="517"/>
      <c r="T194" s="517"/>
      <c r="U194" s="517"/>
      <c r="V194" s="517"/>
      <c r="W194" s="517"/>
      <c r="X194" s="517"/>
      <c r="Y194" s="517"/>
      <c r="Z194" s="517"/>
      <c r="AA194" s="517"/>
      <c r="AB194" s="517"/>
      <c r="AC194" s="517"/>
      <c r="AD194" s="517"/>
      <c r="AE194" s="517"/>
      <c r="AF194" s="517"/>
      <c r="AG194" s="517"/>
      <c r="AH194" s="517"/>
      <c r="AI194" s="517"/>
      <c r="AJ194" s="517"/>
      <c r="AK194" s="517"/>
      <c r="AL194" s="517"/>
      <c r="AM194" s="517"/>
      <c r="AN194" s="517"/>
      <c r="AO194" s="517"/>
      <c r="AP194" s="517"/>
      <c r="AQ194" s="517"/>
      <c r="AR194" s="517"/>
      <c r="AS194" s="517"/>
      <c r="AT194" s="517"/>
      <c r="AU194" s="517"/>
      <c r="AV194" s="517"/>
      <c r="AW194" s="517"/>
      <c r="AX194" s="517"/>
      <c r="AY194" s="517"/>
      <c r="AZ194" s="517"/>
      <c r="BA194" s="517"/>
      <c r="BB194" s="517"/>
      <c r="BC194" s="517"/>
      <c r="BD194" s="517"/>
      <c r="BE194" s="517"/>
      <c r="BF194" s="517"/>
      <c r="BG194" s="517"/>
      <c r="BH194" s="517"/>
      <c r="BI194" s="517"/>
      <c r="BJ194" s="517"/>
      <c r="BK194" s="517"/>
      <c r="BL194" s="517"/>
      <c r="BM194" s="517"/>
      <c r="BN194" s="517"/>
      <c r="BO194" s="517"/>
      <c r="BP194" s="517"/>
      <c r="BQ194" s="517"/>
      <c r="BR194" s="517"/>
      <c r="BS194" s="517"/>
      <c r="BT194" s="517"/>
      <c r="BU194" s="517"/>
      <c r="BV194" s="517"/>
      <c r="BW194" s="517"/>
      <c r="BX194" s="517"/>
      <c r="BY194" s="517"/>
      <c r="BZ194" s="517"/>
      <c r="CA194" s="517"/>
      <c r="CB194" s="517"/>
      <c r="CC194" s="517"/>
      <c r="CD194" s="517"/>
      <c r="CE194" s="517"/>
      <c r="CF194" s="517"/>
      <c r="CG194" s="517"/>
      <c r="CH194" s="517"/>
      <c r="CI194" s="517"/>
      <c r="CJ194" s="517"/>
      <c r="CK194" s="517"/>
      <c r="CL194" s="517"/>
      <c r="CM194" s="517"/>
      <c r="CN194" s="517"/>
      <c r="CO194" s="517"/>
      <c r="CP194" s="517"/>
      <c r="CQ194" s="517"/>
      <c r="CR194" s="517"/>
      <c r="CS194" s="517"/>
      <c r="CT194" s="517"/>
      <c r="CU194" s="517"/>
      <c r="CV194" s="517"/>
      <c r="CW194" s="517"/>
      <c r="CX194" s="517"/>
      <c r="CY194" s="517"/>
      <c r="CZ194" s="517"/>
      <c r="DA194" s="517"/>
      <c r="DB194" s="517"/>
      <c r="DC194" s="517"/>
      <c r="DD194" s="517"/>
      <c r="DE194" s="517"/>
      <c r="DF194" s="517"/>
      <c r="DG194" s="517"/>
      <c r="DH194" s="517"/>
      <c r="DI194" s="517"/>
      <c r="DJ194" s="517"/>
      <c r="DK194" s="517"/>
      <c r="DL194" s="517"/>
      <c r="DM194" s="517"/>
      <c r="DN194" s="517"/>
      <c r="DO194" s="517"/>
      <c r="DP194" s="517"/>
      <c r="DQ194" s="517"/>
      <c r="DR194" s="517"/>
      <c r="DS194" s="517"/>
      <c r="DT194" s="517"/>
      <c r="DU194" s="517"/>
      <c r="DV194" s="517"/>
      <c r="DW194" s="517"/>
      <c r="DX194" s="517"/>
      <c r="DY194" s="517"/>
      <c r="DZ194" s="517"/>
      <c r="EA194" s="517"/>
      <c r="EB194" s="517"/>
      <c r="EC194" s="517"/>
      <c r="ED194" s="517"/>
      <c r="EE194" s="517"/>
      <c r="EF194" s="517"/>
      <c r="EG194" s="517"/>
      <c r="EH194" s="517"/>
      <c r="EI194" s="517"/>
      <c r="EJ194" s="517"/>
      <c r="EK194" s="517"/>
      <c r="EL194" s="517"/>
      <c r="EM194" s="517"/>
      <c r="EN194" s="517"/>
      <c r="EO194" s="517"/>
      <c r="EP194" s="517"/>
      <c r="EQ194" s="517"/>
      <c r="ER194" s="517"/>
      <c r="ES194" s="627" t="s">
        <v>1140</v>
      </c>
    </row>
    <row r="195">
      <c r="A195" s="517"/>
      <c r="B195" s="517"/>
      <c r="C195" s="517"/>
      <c r="D195" s="517"/>
      <c r="E195" s="517"/>
      <c r="F195" s="517"/>
      <c r="G195" s="517"/>
      <c r="H195" s="517"/>
      <c r="I195" s="517"/>
      <c r="J195" s="517"/>
      <c r="K195" s="517"/>
      <c r="L195" s="517"/>
      <c r="M195" s="517"/>
      <c r="N195" s="517"/>
      <c r="O195" s="517"/>
      <c r="P195" s="517"/>
      <c r="Q195" s="517"/>
      <c r="R195" s="517"/>
      <c r="S195" s="517"/>
      <c r="T195" s="517"/>
      <c r="U195" s="517"/>
      <c r="V195" s="517"/>
      <c r="W195" s="517"/>
      <c r="X195" s="517"/>
      <c r="Y195" s="517"/>
      <c r="Z195" s="517"/>
      <c r="AA195" s="517"/>
      <c r="AB195" s="517"/>
      <c r="AC195" s="517"/>
      <c r="AD195" s="517"/>
      <c r="AE195" s="517"/>
      <c r="AF195" s="517"/>
      <c r="AG195" s="517"/>
      <c r="AH195" s="517"/>
      <c r="AI195" s="517"/>
      <c r="AJ195" s="517"/>
      <c r="AK195" s="517"/>
      <c r="AL195" s="517"/>
      <c r="AM195" s="517"/>
      <c r="AN195" s="517"/>
      <c r="AO195" s="517"/>
      <c r="AP195" s="517"/>
      <c r="AQ195" s="517"/>
      <c r="AR195" s="517"/>
      <c r="AS195" s="517"/>
      <c r="AT195" s="517"/>
      <c r="AU195" s="517"/>
      <c r="AV195" s="517"/>
      <c r="AW195" s="517"/>
      <c r="AX195" s="517"/>
      <c r="AY195" s="517"/>
      <c r="AZ195" s="517"/>
      <c r="BA195" s="517"/>
      <c r="BB195" s="517"/>
      <c r="BC195" s="517"/>
      <c r="BD195" s="517"/>
      <c r="BE195" s="517"/>
      <c r="BF195" s="517"/>
      <c r="BG195" s="517"/>
      <c r="BH195" s="517"/>
      <c r="BI195" s="517"/>
      <c r="BJ195" s="517"/>
      <c r="BK195" s="517"/>
      <c r="BL195" s="517"/>
      <c r="BM195" s="517"/>
      <c r="BN195" s="517"/>
      <c r="BO195" s="517"/>
      <c r="BP195" s="517"/>
      <c r="BQ195" s="517"/>
      <c r="BR195" s="517"/>
      <c r="BS195" s="517"/>
      <c r="BT195" s="517"/>
      <c r="BU195" s="517"/>
      <c r="BV195" s="517"/>
      <c r="BW195" s="517"/>
      <c r="BX195" s="517"/>
      <c r="BY195" s="517"/>
      <c r="BZ195" s="517"/>
      <c r="CA195" s="517"/>
      <c r="CB195" s="517"/>
      <c r="CC195" s="517"/>
      <c r="CD195" s="517"/>
      <c r="CE195" s="517"/>
      <c r="CF195" s="517"/>
      <c r="CG195" s="517"/>
      <c r="CH195" s="517"/>
      <c r="CI195" s="517"/>
      <c r="CJ195" s="517"/>
      <c r="CK195" s="517"/>
      <c r="CL195" s="517"/>
      <c r="CM195" s="517"/>
      <c r="CN195" s="517"/>
      <c r="CO195" s="517"/>
      <c r="CP195" s="517"/>
      <c r="CQ195" s="517"/>
      <c r="CR195" s="517"/>
      <c r="CS195" s="517"/>
      <c r="CT195" s="517"/>
      <c r="CU195" s="517"/>
      <c r="CV195" s="517"/>
      <c r="CW195" s="517"/>
      <c r="CX195" s="517"/>
      <c r="CY195" s="517"/>
      <c r="CZ195" s="517"/>
      <c r="DA195" s="517"/>
      <c r="DB195" s="517"/>
      <c r="DC195" s="517"/>
      <c r="DD195" s="517"/>
      <c r="DE195" s="517"/>
      <c r="DF195" s="517"/>
      <c r="DG195" s="517"/>
      <c r="DH195" s="517"/>
      <c r="DI195" s="517"/>
      <c r="DJ195" s="517"/>
      <c r="DK195" s="517"/>
      <c r="DL195" s="517"/>
      <c r="DM195" s="517"/>
      <c r="DN195" s="517"/>
      <c r="DO195" s="517"/>
      <c r="DP195" s="517"/>
      <c r="DQ195" s="517"/>
      <c r="DR195" s="517"/>
      <c r="DS195" s="517"/>
      <c r="DT195" s="517"/>
      <c r="DU195" s="517"/>
      <c r="DV195" s="517"/>
      <c r="DW195" s="517"/>
      <c r="DX195" s="517"/>
      <c r="DY195" s="517"/>
      <c r="DZ195" s="517"/>
      <c r="EA195" s="517"/>
      <c r="EB195" s="517"/>
      <c r="EC195" s="517"/>
      <c r="ED195" s="517"/>
      <c r="EE195" s="517"/>
      <c r="EF195" s="517"/>
      <c r="EG195" s="517"/>
      <c r="EH195" s="517"/>
      <c r="EI195" s="517"/>
      <c r="EJ195" s="517"/>
      <c r="EK195" s="517"/>
      <c r="EL195" s="517"/>
      <c r="EM195" s="517"/>
      <c r="EN195" s="517"/>
      <c r="EO195" s="517"/>
      <c r="EP195" s="517"/>
      <c r="EQ195" s="517"/>
      <c r="ER195" s="517"/>
      <c r="ES195" s="627" t="s">
        <v>1140</v>
      </c>
    </row>
    <row r="196">
      <c r="A196" s="517"/>
      <c r="B196" s="517"/>
      <c r="C196" s="517"/>
      <c r="D196" s="517"/>
      <c r="E196" s="517"/>
      <c r="F196" s="517"/>
      <c r="G196" s="517"/>
      <c r="H196" s="517"/>
      <c r="I196" s="517"/>
      <c r="J196" s="517"/>
      <c r="K196" s="517"/>
      <c r="L196" s="517"/>
      <c r="M196" s="517"/>
      <c r="N196" s="517"/>
      <c r="O196" s="517"/>
      <c r="P196" s="517"/>
      <c r="Q196" s="517"/>
      <c r="R196" s="517"/>
      <c r="S196" s="517"/>
      <c r="T196" s="517"/>
      <c r="U196" s="517"/>
      <c r="V196" s="517"/>
      <c r="W196" s="517"/>
      <c r="X196" s="517"/>
      <c r="Y196" s="517"/>
      <c r="Z196" s="517"/>
      <c r="AA196" s="517"/>
      <c r="AB196" s="517"/>
      <c r="AC196" s="517"/>
      <c r="AD196" s="517"/>
      <c r="AE196" s="517"/>
      <c r="AF196" s="517"/>
      <c r="AG196" s="517"/>
      <c r="AH196" s="517"/>
      <c r="AI196" s="517"/>
      <c r="AJ196" s="517"/>
      <c r="AK196" s="517"/>
      <c r="AL196" s="517"/>
      <c r="AM196" s="517"/>
      <c r="AN196" s="517"/>
      <c r="AO196" s="517"/>
      <c r="AP196" s="517"/>
      <c r="AQ196" s="517"/>
      <c r="AR196" s="517"/>
      <c r="AS196" s="517"/>
      <c r="AT196" s="517"/>
      <c r="AU196" s="517"/>
      <c r="AV196" s="517"/>
      <c r="AW196" s="517"/>
      <c r="AX196" s="517"/>
      <c r="AY196" s="517"/>
      <c r="AZ196" s="517"/>
      <c r="BA196" s="517"/>
      <c r="BB196" s="517"/>
      <c r="BC196" s="517"/>
      <c r="BD196" s="517"/>
      <c r="BE196" s="517"/>
      <c r="BF196" s="517"/>
      <c r="BG196" s="517"/>
      <c r="BH196" s="517"/>
      <c r="BI196" s="517"/>
      <c r="BJ196" s="517"/>
      <c r="BK196" s="517"/>
      <c r="BL196" s="517"/>
      <c r="BM196" s="517"/>
      <c r="BN196" s="517"/>
      <c r="BO196" s="517"/>
      <c r="BP196" s="517"/>
      <c r="BQ196" s="517"/>
      <c r="BR196" s="517"/>
      <c r="BS196" s="517"/>
      <c r="BT196" s="517"/>
      <c r="BU196" s="517"/>
      <c r="BV196" s="517"/>
      <c r="BW196" s="517"/>
      <c r="BX196" s="517"/>
      <c r="BY196" s="517"/>
      <c r="BZ196" s="517"/>
      <c r="CA196" s="517"/>
      <c r="CB196" s="517"/>
      <c r="CC196" s="517"/>
      <c r="CD196" s="517"/>
      <c r="CE196" s="517"/>
      <c r="CF196" s="517"/>
      <c r="CG196" s="517"/>
      <c r="CH196" s="517"/>
      <c r="CI196" s="517"/>
      <c r="CJ196" s="517"/>
      <c r="CK196" s="517"/>
      <c r="CL196" s="517"/>
      <c r="CM196" s="517"/>
      <c r="CN196" s="517"/>
      <c r="CO196" s="517"/>
      <c r="CP196" s="517"/>
      <c r="CQ196" s="517"/>
      <c r="CR196" s="517"/>
      <c r="CS196" s="517"/>
      <c r="CT196" s="517"/>
      <c r="CU196" s="517"/>
      <c r="CV196" s="517"/>
      <c r="CW196" s="517"/>
      <c r="CX196" s="517"/>
      <c r="CY196" s="517"/>
      <c r="CZ196" s="517"/>
      <c r="DA196" s="517"/>
      <c r="DB196" s="517"/>
      <c r="DC196" s="517"/>
      <c r="DD196" s="517"/>
      <c r="DE196" s="517"/>
      <c r="DF196" s="517"/>
      <c r="DG196" s="517"/>
      <c r="DH196" s="517"/>
      <c r="DI196" s="517"/>
      <c r="DJ196" s="517"/>
      <c r="DK196" s="517"/>
      <c r="DL196" s="517"/>
      <c r="DM196" s="517"/>
      <c r="DN196" s="517"/>
      <c r="DO196" s="517"/>
      <c r="DP196" s="517"/>
      <c r="DQ196" s="517"/>
      <c r="DR196" s="517"/>
      <c r="DS196" s="517"/>
      <c r="DT196" s="517"/>
      <c r="DU196" s="517"/>
      <c r="DV196" s="517"/>
      <c r="DW196" s="517"/>
      <c r="DX196" s="517"/>
      <c r="DY196" s="517"/>
      <c r="DZ196" s="517"/>
      <c r="EA196" s="517"/>
      <c r="EB196" s="517"/>
      <c r="EC196" s="517"/>
      <c r="ED196" s="517"/>
      <c r="EE196" s="517"/>
      <c r="EF196" s="517"/>
      <c r="EG196" s="517"/>
      <c r="EH196" s="517"/>
      <c r="EI196" s="517"/>
      <c r="EJ196" s="517"/>
      <c r="EK196" s="517"/>
      <c r="EL196" s="517"/>
      <c r="EM196" s="517"/>
      <c r="EN196" s="517"/>
      <c r="EO196" s="517"/>
      <c r="EP196" s="517"/>
      <c r="EQ196" s="517"/>
      <c r="ER196" s="517"/>
      <c r="ES196" s="627" t="s">
        <v>1140</v>
      </c>
    </row>
    <row r="197">
      <c r="A197" s="517"/>
      <c r="B197" s="517"/>
      <c r="C197" s="517"/>
      <c r="D197" s="517"/>
      <c r="E197" s="517"/>
      <c r="F197" s="517"/>
      <c r="G197" s="517"/>
      <c r="H197" s="517"/>
      <c r="I197" s="517"/>
      <c r="J197" s="517"/>
      <c r="K197" s="517"/>
      <c r="L197" s="517"/>
      <c r="M197" s="517"/>
      <c r="N197" s="517"/>
      <c r="O197" s="517"/>
      <c r="P197" s="517"/>
      <c r="Q197" s="517"/>
      <c r="R197" s="517"/>
      <c r="S197" s="517"/>
      <c r="T197" s="517"/>
      <c r="U197" s="517"/>
      <c r="V197" s="517"/>
      <c r="W197" s="517"/>
      <c r="X197" s="517"/>
      <c r="Y197" s="517"/>
      <c r="Z197" s="517"/>
      <c r="AA197" s="517"/>
      <c r="AB197" s="517"/>
      <c r="AC197" s="517"/>
      <c r="AD197" s="517"/>
      <c r="AE197" s="517"/>
      <c r="AF197" s="517"/>
      <c r="AG197" s="517"/>
      <c r="AH197" s="517"/>
      <c r="AI197" s="517"/>
      <c r="AJ197" s="517"/>
      <c r="AK197" s="517"/>
      <c r="AL197" s="517"/>
      <c r="AM197" s="517"/>
      <c r="AN197" s="517"/>
      <c r="AO197" s="517"/>
      <c r="AP197" s="517"/>
      <c r="AQ197" s="517"/>
      <c r="AR197" s="517"/>
      <c r="AS197" s="517"/>
      <c r="AT197" s="517"/>
      <c r="AU197" s="517"/>
      <c r="AV197" s="517"/>
      <c r="AW197" s="517"/>
      <c r="AX197" s="517"/>
      <c r="AY197" s="517"/>
      <c r="AZ197" s="517"/>
      <c r="BA197" s="517"/>
      <c r="BB197" s="517"/>
      <c r="BC197" s="517"/>
      <c r="BD197" s="517"/>
      <c r="BE197" s="517"/>
      <c r="BF197" s="517"/>
      <c r="BG197" s="517"/>
      <c r="BH197" s="517"/>
      <c r="BI197" s="517"/>
      <c r="BJ197" s="517"/>
      <c r="BK197" s="517"/>
      <c r="BL197" s="517"/>
      <c r="BM197" s="517"/>
      <c r="BN197" s="517"/>
      <c r="BO197" s="517"/>
      <c r="BP197" s="517"/>
      <c r="BQ197" s="517"/>
      <c r="BR197" s="517"/>
      <c r="BS197" s="517"/>
      <c r="BT197" s="517"/>
      <c r="BU197" s="517"/>
      <c r="BV197" s="517"/>
      <c r="BW197" s="517"/>
      <c r="BX197" s="517"/>
      <c r="BY197" s="517"/>
      <c r="BZ197" s="517"/>
      <c r="CA197" s="517"/>
      <c r="CB197" s="517"/>
      <c r="CC197" s="517"/>
      <c r="CD197" s="517"/>
      <c r="CE197" s="517"/>
      <c r="CF197" s="517"/>
      <c r="CG197" s="517"/>
      <c r="CH197" s="517"/>
      <c r="CI197" s="517"/>
      <c r="CJ197" s="517"/>
      <c r="CK197" s="517"/>
      <c r="CL197" s="517"/>
      <c r="CM197" s="517"/>
      <c r="CN197" s="517"/>
      <c r="CO197" s="517"/>
      <c r="CP197" s="517"/>
      <c r="CQ197" s="517"/>
      <c r="CR197" s="517"/>
      <c r="CS197" s="517"/>
      <c r="CT197" s="517"/>
      <c r="CU197" s="517"/>
      <c r="CV197" s="517"/>
      <c r="CW197" s="517"/>
      <c r="CX197" s="517"/>
      <c r="CY197" s="517"/>
      <c r="CZ197" s="517"/>
      <c r="DA197" s="517"/>
      <c r="DB197" s="517"/>
      <c r="DC197" s="517"/>
      <c r="DD197" s="517"/>
      <c r="DE197" s="517"/>
      <c r="DF197" s="517"/>
      <c r="DG197" s="517"/>
      <c r="DH197" s="517"/>
      <c r="DI197" s="517"/>
      <c r="DJ197" s="517"/>
      <c r="DK197" s="517"/>
      <c r="DL197" s="517"/>
      <c r="DM197" s="517"/>
      <c r="DN197" s="517"/>
      <c r="DO197" s="517"/>
      <c r="DP197" s="517"/>
      <c r="DQ197" s="517"/>
      <c r="DR197" s="517"/>
      <c r="DS197" s="517"/>
      <c r="DT197" s="517"/>
      <c r="DU197" s="517"/>
      <c r="DV197" s="517"/>
      <c r="DW197" s="517"/>
      <c r="DX197" s="517"/>
      <c r="DY197" s="517"/>
      <c r="DZ197" s="517"/>
      <c r="EA197" s="517"/>
      <c r="EB197" s="517"/>
      <c r="EC197" s="517"/>
      <c r="ED197" s="517"/>
      <c r="EE197" s="517"/>
      <c r="EF197" s="517"/>
      <c r="EG197" s="517"/>
      <c r="EH197" s="517"/>
      <c r="EI197" s="517"/>
      <c r="EJ197" s="517"/>
      <c r="EK197" s="517"/>
      <c r="EL197" s="517"/>
      <c r="EM197" s="517"/>
      <c r="EN197" s="517"/>
      <c r="EO197" s="517"/>
      <c r="EP197" s="517"/>
      <c r="EQ197" s="517"/>
      <c r="ER197" s="517"/>
      <c r="ES197" s="627" t="s">
        <v>1140</v>
      </c>
    </row>
    <row r="198">
      <c r="A198" s="517"/>
      <c r="B198" s="517"/>
      <c r="C198" s="517"/>
      <c r="D198" s="517"/>
      <c r="E198" s="517"/>
      <c r="F198" s="517"/>
      <c r="G198" s="517"/>
      <c r="H198" s="517"/>
      <c r="I198" s="517"/>
      <c r="J198" s="517"/>
      <c r="K198" s="517"/>
      <c r="L198" s="517"/>
      <c r="M198" s="517"/>
      <c r="N198" s="517"/>
      <c r="O198" s="517"/>
      <c r="P198" s="517"/>
      <c r="Q198" s="517"/>
      <c r="R198" s="517"/>
      <c r="S198" s="517"/>
      <c r="T198" s="517"/>
      <c r="U198" s="517"/>
      <c r="V198" s="517"/>
      <c r="W198" s="517"/>
      <c r="X198" s="517"/>
      <c r="Y198" s="517"/>
      <c r="Z198" s="517"/>
      <c r="AA198" s="517"/>
      <c r="AB198" s="517"/>
      <c r="AC198" s="517"/>
      <c r="AD198" s="517"/>
      <c r="AE198" s="517"/>
      <c r="AF198" s="517"/>
      <c r="AG198" s="517"/>
      <c r="AH198" s="517"/>
      <c r="AI198" s="517"/>
      <c r="AJ198" s="517"/>
      <c r="AK198" s="517"/>
      <c r="AL198" s="517"/>
      <c r="AM198" s="517"/>
      <c r="AN198" s="517"/>
      <c r="AO198" s="517"/>
      <c r="AP198" s="517"/>
      <c r="AQ198" s="517"/>
      <c r="AR198" s="517"/>
      <c r="AS198" s="517"/>
      <c r="AT198" s="517"/>
      <c r="AU198" s="517"/>
      <c r="AV198" s="517"/>
      <c r="AW198" s="517"/>
      <c r="AX198" s="517"/>
      <c r="AY198" s="517"/>
      <c r="AZ198" s="517"/>
      <c r="BA198" s="517"/>
      <c r="BB198" s="517"/>
      <c r="BC198" s="517"/>
      <c r="BD198" s="517"/>
      <c r="BE198" s="517"/>
      <c r="BF198" s="517"/>
      <c r="BG198" s="517"/>
      <c r="BH198" s="517"/>
      <c r="BI198" s="517"/>
      <c r="BJ198" s="517"/>
      <c r="BK198" s="517"/>
      <c r="BL198" s="517"/>
      <c r="BM198" s="517"/>
      <c r="BN198" s="517"/>
      <c r="BO198" s="517"/>
      <c r="BP198" s="517"/>
      <c r="BQ198" s="517"/>
      <c r="BR198" s="517"/>
      <c r="BS198" s="517"/>
      <c r="BT198" s="517"/>
      <c r="BU198" s="517"/>
      <c r="BV198" s="517"/>
      <c r="BW198" s="517"/>
      <c r="BX198" s="517"/>
      <c r="BY198" s="517"/>
      <c r="BZ198" s="517"/>
      <c r="CA198" s="517"/>
      <c r="CB198" s="517"/>
      <c r="CC198" s="517"/>
      <c r="CD198" s="517"/>
      <c r="CE198" s="517"/>
      <c r="CF198" s="517"/>
      <c r="CG198" s="517"/>
      <c r="CH198" s="517"/>
      <c r="CI198" s="517"/>
      <c r="CJ198" s="517"/>
      <c r="CK198" s="517"/>
      <c r="CL198" s="517"/>
      <c r="CM198" s="517"/>
      <c r="CN198" s="517"/>
      <c r="CO198" s="517"/>
      <c r="CP198" s="517"/>
      <c r="CQ198" s="517"/>
      <c r="CR198" s="517"/>
      <c r="CS198" s="517"/>
      <c r="CT198" s="517"/>
      <c r="CU198" s="517"/>
      <c r="CV198" s="517"/>
      <c r="CW198" s="517"/>
      <c r="CX198" s="517"/>
      <c r="CY198" s="517"/>
      <c r="CZ198" s="517"/>
      <c r="DA198" s="517"/>
      <c r="DB198" s="517"/>
      <c r="DC198" s="517"/>
      <c r="DD198" s="517"/>
      <c r="DE198" s="517"/>
      <c r="DF198" s="517"/>
      <c r="DG198" s="517"/>
      <c r="DH198" s="517"/>
      <c r="DI198" s="517"/>
      <c r="DJ198" s="517"/>
      <c r="DK198" s="517"/>
      <c r="DL198" s="517"/>
      <c r="DM198" s="517"/>
      <c r="DN198" s="517"/>
      <c r="DO198" s="517"/>
      <c r="DP198" s="517"/>
      <c r="DQ198" s="517"/>
      <c r="DR198" s="517"/>
      <c r="DS198" s="517"/>
      <c r="DT198" s="517"/>
      <c r="DU198" s="517"/>
      <c r="DV198" s="517"/>
      <c r="DW198" s="517"/>
      <c r="DX198" s="517"/>
      <c r="DY198" s="517"/>
      <c r="DZ198" s="517"/>
      <c r="EA198" s="517"/>
      <c r="EB198" s="517"/>
      <c r="EC198" s="517"/>
      <c r="ED198" s="517"/>
      <c r="EE198" s="517"/>
      <c r="EF198" s="517"/>
      <c r="EG198" s="517"/>
      <c r="EH198" s="517"/>
      <c r="EI198" s="517"/>
      <c r="EJ198" s="517"/>
      <c r="EK198" s="517"/>
      <c r="EL198" s="517"/>
      <c r="EM198" s="517"/>
      <c r="EN198" s="517"/>
      <c r="EO198" s="517"/>
      <c r="EP198" s="517"/>
      <c r="EQ198" s="517"/>
      <c r="ER198" s="517"/>
      <c r="ES198" s="627" t="s">
        <v>1140</v>
      </c>
    </row>
    <row r="199">
      <c r="A199" s="517"/>
      <c r="B199" s="517"/>
      <c r="C199" s="517"/>
      <c r="D199" s="517"/>
      <c r="E199" s="517"/>
      <c r="F199" s="517"/>
      <c r="G199" s="517"/>
      <c r="H199" s="517"/>
      <c r="I199" s="517"/>
      <c r="J199" s="517"/>
      <c r="K199" s="517"/>
      <c r="L199" s="517"/>
      <c r="M199" s="517"/>
      <c r="N199" s="517"/>
      <c r="O199" s="517"/>
      <c r="P199" s="517"/>
      <c r="Q199" s="517"/>
      <c r="R199" s="517"/>
      <c r="S199" s="517"/>
      <c r="T199" s="517"/>
      <c r="U199" s="517"/>
      <c r="V199" s="517"/>
      <c r="W199" s="517"/>
      <c r="X199" s="517"/>
      <c r="Y199" s="517"/>
      <c r="Z199" s="517"/>
      <c r="AA199" s="517"/>
      <c r="AB199" s="517"/>
      <c r="AC199" s="517"/>
      <c r="AD199" s="517"/>
      <c r="AE199" s="517"/>
      <c r="AF199" s="517"/>
      <c r="AG199" s="517"/>
      <c r="AH199" s="517"/>
      <c r="AI199" s="517"/>
      <c r="AJ199" s="517"/>
      <c r="AK199" s="517"/>
      <c r="AL199" s="517"/>
      <c r="AM199" s="517"/>
      <c r="AN199" s="517"/>
      <c r="AO199" s="517"/>
      <c r="AP199" s="517"/>
      <c r="AQ199" s="517"/>
      <c r="AR199" s="517"/>
      <c r="AS199" s="517"/>
      <c r="AT199" s="517"/>
      <c r="AU199" s="517"/>
      <c r="AV199" s="517"/>
      <c r="AW199" s="517"/>
      <c r="AX199" s="517"/>
      <c r="AY199" s="517"/>
      <c r="AZ199" s="517"/>
      <c r="BA199" s="517"/>
      <c r="BB199" s="517"/>
      <c r="BC199" s="517"/>
      <c r="BD199" s="517"/>
      <c r="BE199" s="517"/>
      <c r="BF199" s="517"/>
      <c r="BG199" s="517"/>
      <c r="BH199" s="517"/>
      <c r="BI199" s="517"/>
      <c r="BJ199" s="517"/>
      <c r="BK199" s="517"/>
      <c r="BL199" s="517"/>
      <c r="BM199" s="517"/>
      <c r="BN199" s="517"/>
      <c r="BO199" s="517"/>
      <c r="BP199" s="517"/>
      <c r="BQ199" s="517"/>
      <c r="BR199" s="517"/>
      <c r="BS199" s="517"/>
      <c r="BT199" s="517"/>
      <c r="BU199" s="517"/>
      <c r="BV199" s="517"/>
      <c r="BW199" s="517"/>
      <c r="BX199" s="517"/>
      <c r="BY199" s="517"/>
      <c r="BZ199" s="517"/>
      <c r="CA199" s="517"/>
      <c r="CB199" s="517"/>
      <c r="CC199" s="517"/>
      <c r="CD199" s="517"/>
      <c r="CE199" s="517"/>
      <c r="CF199" s="517"/>
      <c r="CG199" s="517"/>
      <c r="CH199" s="517"/>
      <c r="CI199" s="517"/>
      <c r="CJ199" s="517"/>
      <c r="CK199" s="517"/>
      <c r="CL199" s="517"/>
      <c r="CM199" s="517"/>
      <c r="CN199" s="517"/>
      <c r="CO199" s="517"/>
      <c r="CP199" s="517"/>
      <c r="CQ199" s="517"/>
      <c r="CR199" s="517"/>
      <c r="CS199" s="517"/>
      <c r="CT199" s="517"/>
      <c r="CU199" s="517"/>
      <c r="CV199" s="517"/>
      <c r="CW199" s="517"/>
      <c r="CX199" s="517"/>
      <c r="CY199" s="517"/>
      <c r="CZ199" s="517"/>
      <c r="DA199" s="517"/>
      <c r="DB199" s="517"/>
      <c r="DC199" s="517"/>
      <c r="DD199" s="517"/>
      <c r="DE199" s="517"/>
      <c r="DF199" s="517"/>
      <c r="DG199" s="517"/>
      <c r="DH199" s="517"/>
      <c r="DI199" s="517"/>
      <c r="DJ199" s="517"/>
      <c r="DK199" s="517"/>
      <c r="DL199" s="517"/>
      <c r="DM199" s="517"/>
      <c r="DN199" s="517"/>
      <c r="DO199" s="517"/>
      <c r="DP199" s="517"/>
      <c r="DQ199" s="517"/>
      <c r="DR199" s="517"/>
      <c r="DS199" s="517"/>
      <c r="DT199" s="517"/>
      <c r="DU199" s="517"/>
      <c r="DV199" s="517"/>
      <c r="DW199" s="517"/>
      <c r="DX199" s="517"/>
      <c r="DY199" s="517"/>
      <c r="DZ199" s="517"/>
      <c r="EA199" s="517"/>
      <c r="EB199" s="517"/>
      <c r="EC199" s="517"/>
      <c r="ED199" s="517"/>
      <c r="EE199" s="517"/>
      <c r="EF199" s="517"/>
      <c r="EG199" s="517"/>
      <c r="EH199" s="517"/>
      <c r="EI199" s="517"/>
      <c r="EJ199" s="517"/>
      <c r="EK199" s="517"/>
      <c r="EL199" s="517"/>
      <c r="EM199" s="517"/>
      <c r="EN199" s="517"/>
      <c r="EO199" s="517"/>
      <c r="EP199" s="517"/>
      <c r="EQ199" s="517"/>
      <c r="ER199" s="517"/>
      <c r="ES199" s="627" t="s">
        <v>1140</v>
      </c>
    </row>
    <row r="200">
      <c r="A200" s="517"/>
      <c r="B200" s="517"/>
      <c r="C200" s="517"/>
      <c r="D200" s="517"/>
      <c r="E200" s="517"/>
      <c r="F200" s="517"/>
      <c r="G200" s="517"/>
      <c r="H200" s="517"/>
      <c r="I200" s="517"/>
      <c r="J200" s="517"/>
      <c r="K200" s="517"/>
      <c r="L200" s="517"/>
      <c r="M200" s="517"/>
      <c r="N200" s="517"/>
      <c r="O200" s="517"/>
      <c r="P200" s="517"/>
      <c r="Q200" s="517"/>
      <c r="R200" s="517"/>
      <c r="S200" s="517"/>
      <c r="T200" s="517"/>
      <c r="U200" s="517"/>
      <c r="V200" s="517"/>
      <c r="W200" s="517"/>
      <c r="X200" s="517"/>
      <c r="Y200" s="517"/>
      <c r="Z200" s="517"/>
      <c r="AA200" s="517"/>
      <c r="AB200" s="517"/>
      <c r="AC200" s="517"/>
      <c r="AD200" s="517"/>
      <c r="AE200" s="517"/>
      <c r="AF200" s="517"/>
      <c r="AG200" s="517"/>
      <c r="AH200" s="517"/>
      <c r="AI200" s="517"/>
      <c r="AJ200" s="517"/>
      <c r="AK200" s="517"/>
      <c r="AL200" s="517"/>
      <c r="AM200" s="517"/>
      <c r="AN200" s="517"/>
      <c r="AO200" s="517"/>
      <c r="AP200" s="517"/>
      <c r="AQ200" s="517"/>
      <c r="AR200" s="517"/>
      <c r="AS200" s="517"/>
      <c r="AT200" s="517"/>
      <c r="AU200" s="517"/>
      <c r="AV200" s="517"/>
      <c r="AW200" s="517"/>
      <c r="AX200" s="517"/>
      <c r="AY200" s="517"/>
      <c r="AZ200" s="517"/>
      <c r="BA200" s="517"/>
      <c r="BB200" s="517"/>
      <c r="BC200" s="517"/>
      <c r="BD200" s="517"/>
      <c r="BE200" s="517"/>
      <c r="BF200" s="517"/>
      <c r="BG200" s="517"/>
      <c r="BH200" s="517"/>
      <c r="BI200" s="517"/>
      <c r="BJ200" s="517"/>
      <c r="BK200" s="517"/>
      <c r="BL200" s="517"/>
      <c r="BM200" s="517"/>
      <c r="BN200" s="517"/>
      <c r="BO200" s="517"/>
      <c r="BP200" s="517"/>
      <c r="BQ200" s="517"/>
      <c r="BR200" s="517"/>
      <c r="BS200" s="517"/>
      <c r="BT200" s="517"/>
      <c r="BU200" s="517"/>
      <c r="BV200" s="517"/>
      <c r="BW200" s="517"/>
      <c r="BX200" s="517"/>
      <c r="BY200" s="517"/>
      <c r="BZ200" s="517"/>
      <c r="CA200" s="517"/>
      <c r="CB200" s="517"/>
      <c r="CC200" s="517"/>
      <c r="CD200" s="517"/>
      <c r="CE200" s="517"/>
      <c r="CF200" s="517"/>
      <c r="CG200" s="517"/>
      <c r="CH200" s="517"/>
      <c r="CI200" s="517"/>
      <c r="CJ200" s="517"/>
      <c r="CK200" s="517"/>
      <c r="CL200" s="517"/>
      <c r="CM200" s="517"/>
      <c r="CN200" s="517"/>
      <c r="CO200" s="517"/>
      <c r="CP200" s="517"/>
      <c r="CQ200" s="517"/>
      <c r="CR200" s="517"/>
      <c r="CS200" s="517"/>
      <c r="CT200" s="517"/>
      <c r="CU200" s="517"/>
      <c r="CV200" s="517"/>
      <c r="CW200" s="517"/>
      <c r="CX200" s="517"/>
      <c r="CY200" s="517"/>
      <c r="CZ200" s="517"/>
      <c r="DA200" s="517"/>
      <c r="DB200" s="517"/>
      <c r="DC200" s="517"/>
      <c r="DD200" s="517"/>
      <c r="DE200" s="517"/>
      <c r="DF200" s="517"/>
      <c r="DG200" s="517"/>
      <c r="DH200" s="517"/>
      <c r="DI200" s="517"/>
      <c r="DJ200" s="517"/>
      <c r="DK200" s="517"/>
      <c r="DL200" s="517"/>
      <c r="DM200" s="517"/>
      <c r="DN200" s="517"/>
      <c r="DO200" s="517"/>
      <c r="DP200" s="517"/>
      <c r="DQ200" s="517"/>
      <c r="DR200" s="517"/>
      <c r="DS200" s="517"/>
      <c r="DT200" s="517"/>
      <c r="DU200" s="517"/>
      <c r="DV200" s="517"/>
      <c r="DW200" s="517"/>
      <c r="DX200" s="517"/>
      <c r="DY200" s="517"/>
      <c r="DZ200" s="517"/>
      <c r="EA200" s="517"/>
      <c r="EB200" s="517"/>
      <c r="EC200" s="517"/>
      <c r="ED200" s="517"/>
      <c r="EE200" s="517"/>
      <c r="EF200" s="517"/>
      <c r="EG200" s="517"/>
      <c r="EH200" s="517"/>
      <c r="EI200" s="517"/>
      <c r="EJ200" s="517"/>
      <c r="EK200" s="517"/>
      <c r="EL200" s="517"/>
      <c r="EM200" s="517"/>
      <c r="EN200" s="517"/>
      <c r="EO200" s="517"/>
      <c r="EP200" s="517"/>
      <c r="EQ200" s="517"/>
      <c r="ER200" s="517"/>
      <c r="ES200" s="627" t="s">
        <v>1140</v>
      </c>
    </row>
    <row r="201">
      <c r="A201" s="517"/>
      <c r="B201" s="517"/>
      <c r="C201" s="517"/>
      <c r="D201" s="517"/>
      <c r="E201" s="517"/>
      <c r="F201" s="517"/>
      <c r="G201" s="517"/>
      <c r="H201" s="517"/>
      <c r="I201" s="517"/>
      <c r="J201" s="517"/>
      <c r="K201" s="517"/>
      <c r="L201" s="517"/>
      <c r="M201" s="517"/>
      <c r="N201" s="517"/>
      <c r="O201" s="517"/>
      <c r="P201" s="517"/>
      <c r="Q201" s="517"/>
      <c r="R201" s="517"/>
      <c r="S201" s="517"/>
      <c r="T201" s="517"/>
      <c r="U201" s="517"/>
      <c r="V201" s="517"/>
      <c r="W201" s="517"/>
      <c r="X201" s="517"/>
      <c r="Y201" s="517"/>
      <c r="Z201" s="517"/>
      <c r="AA201" s="517"/>
      <c r="AB201" s="517"/>
      <c r="AC201" s="517"/>
      <c r="AD201" s="517"/>
      <c r="AE201" s="517"/>
      <c r="AF201" s="517"/>
      <c r="AG201" s="517"/>
      <c r="AH201" s="517"/>
      <c r="AI201" s="517"/>
      <c r="AJ201" s="517"/>
      <c r="AK201" s="517"/>
      <c r="AL201" s="517"/>
      <c r="AM201" s="517"/>
      <c r="AN201" s="517"/>
      <c r="AO201" s="517"/>
      <c r="AP201" s="517"/>
      <c r="AQ201" s="517"/>
      <c r="AR201" s="517"/>
      <c r="AS201" s="517"/>
      <c r="AT201" s="517"/>
      <c r="AU201" s="517"/>
      <c r="AV201" s="517"/>
      <c r="AW201" s="517"/>
      <c r="AX201" s="517"/>
      <c r="AY201" s="517"/>
      <c r="AZ201" s="517"/>
      <c r="BA201" s="517"/>
      <c r="BB201" s="517"/>
      <c r="BC201" s="517"/>
      <c r="BD201" s="517"/>
      <c r="BE201" s="517"/>
      <c r="BF201" s="517"/>
      <c r="BG201" s="517"/>
      <c r="BH201" s="517"/>
      <c r="BI201" s="517"/>
      <c r="BJ201" s="517"/>
      <c r="BK201" s="517"/>
      <c r="BL201" s="517"/>
      <c r="BM201" s="517"/>
      <c r="BN201" s="517"/>
      <c r="BO201" s="517"/>
      <c r="BP201" s="517"/>
      <c r="BQ201" s="517"/>
      <c r="BR201" s="517"/>
      <c r="BS201" s="517"/>
      <c r="BT201" s="517"/>
      <c r="BU201" s="517"/>
      <c r="BV201" s="517"/>
      <c r="BW201" s="517"/>
      <c r="BX201" s="517"/>
      <c r="BY201" s="517"/>
      <c r="BZ201" s="517"/>
      <c r="CA201" s="517"/>
      <c r="CB201" s="517"/>
      <c r="CC201" s="517"/>
      <c r="CD201" s="517"/>
      <c r="CE201" s="517"/>
      <c r="CF201" s="517"/>
      <c r="CG201" s="517"/>
      <c r="CH201" s="517"/>
      <c r="CI201" s="517"/>
      <c r="CJ201" s="517"/>
      <c r="CK201" s="517"/>
      <c r="CL201" s="517"/>
      <c r="CM201" s="517"/>
      <c r="CN201" s="517"/>
      <c r="CO201" s="517"/>
      <c r="CP201" s="517"/>
      <c r="CQ201" s="517"/>
      <c r="CR201" s="517"/>
      <c r="CS201" s="517"/>
      <c r="CT201" s="517"/>
      <c r="CU201" s="517"/>
      <c r="CV201" s="517"/>
      <c r="CW201" s="517"/>
      <c r="CX201" s="517"/>
      <c r="CY201" s="517"/>
      <c r="CZ201" s="517"/>
      <c r="DA201" s="517"/>
      <c r="DB201" s="517"/>
      <c r="DC201" s="517"/>
      <c r="DD201" s="517"/>
      <c r="DE201" s="517"/>
      <c r="DF201" s="517"/>
      <c r="DG201" s="517"/>
      <c r="DH201" s="517"/>
      <c r="DI201" s="517"/>
      <c r="DJ201" s="517"/>
      <c r="DK201" s="517"/>
      <c r="DL201" s="517"/>
      <c r="DM201" s="517"/>
      <c r="DN201" s="517"/>
      <c r="DO201" s="517"/>
      <c r="DP201" s="517"/>
      <c r="DQ201" s="517"/>
      <c r="DR201" s="517"/>
      <c r="DS201" s="517"/>
      <c r="DT201" s="517"/>
      <c r="DU201" s="517"/>
      <c r="DV201" s="517"/>
      <c r="DW201" s="517"/>
      <c r="DX201" s="517"/>
      <c r="DY201" s="517"/>
      <c r="DZ201" s="517"/>
      <c r="EA201" s="517"/>
      <c r="EB201" s="517"/>
      <c r="EC201" s="517"/>
      <c r="ED201" s="517"/>
      <c r="EE201" s="517"/>
      <c r="EF201" s="517"/>
      <c r="EG201" s="517"/>
      <c r="EH201" s="517"/>
      <c r="EI201" s="517"/>
      <c r="EJ201" s="517"/>
      <c r="EK201" s="517"/>
      <c r="EL201" s="517"/>
      <c r="EM201" s="517"/>
      <c r="EN201" s="517"/>
      <c r="EO201" s="517"/>
      <c r="EP201" s="517"/>
      <c r="EQ201" s="517"/>
      <c r="ER201" s="517"/>
      <c r="ES201" s="627" t="s">
        <v>1140</v>
      </c>
    </row>
    <row r="202">
      <c r="A202" s="517"/>
      <c r="B202" s="517"/>
      <c r="C202" s="517"/>
      <c r="D202" s="517"/>
      <c r="E202" s="517"/>
      <c r="F202" s="517"/>
      <c r="G202" s="517"/>
      <c r="H202" s="517"/>
      <c r="I202" s="517"/>
      <c r="J202" s="517"/>
      <c r="K202" s="517"/>
      <c r="L202" s="517"/>
      <c r="M202" s="517"/>
      <c r="N202" s="517"/>
      <c r="O202" s="517"/>
      <c r="P202" s="517"/>
      <c r="Q202" s="517"/>
      <c r="R202" s="517"/>
      <c r="S202" s="517"/>
      <c r="T202" s="517"/>
      <c r="U202" s="517"/>
      <c r="V202" s="517"/>
      <c r="W202" s="517"/>
      <c r="X202" s="517"/>
      <c r="Y202" s="517"/>
      <c r="Z202" s="517"/>
      <c r="AA202" s="517"/>
      <c r="AB202" s="517"/>
      <c r="AC202" s="517"/>
      <c r="AD202" s="517"/>
      <c r="AE202" s="517"/>
      <c r="AF202" s="517"/>
      <c r="AG202" s="517"/>
      <c r="AH202" s="517"/>
      <c r="AI202" s="517"/>
      <c r="AJ202" s="517"/>
      <c r="AK202" s="517"/>
      <c r="AL202" s="517"/>
      <c r="AM202" s="517"/>
      <c r="AN202" s="517"/>
      <c r="AO202" s="517"/>
      <c r="AP202" s="517"/>
      <c r="AQ202" s="517"/>
      <c r="AR202" s="517"/>
      <c r="AS202" s="517"/>
      <c r="AT202" s="517"/>
      <c r="AU202" s="517"/>
      <c r="AV202" s="517"/>
      <c r="AW202" s="517"/>
      <c r="AX202" s="517"/>
      <c r="AY202" s="517"/>
      <c r="AZ202" s="517"/>
      <c r="BA202" s="517"/>
      <c r="BB202" s="517"/>
      <c r="BC202" s="517"/>
      <c r="BD202" s="517"/>
      <c r="BE202" s="517"/>
      <c r="BF202" s="517"/>
      <c r="BG202" s="517"/>
      <c r="BH202" s="517"/>
      <c r="BI202" s="517"/>
      <c r="BJ202" s="517"/>
      <c r="BK202" s="517"/>
      <c r="BL202" s="517"/>
      <c r="BM202" s="517"/>
      <c r="BN202" s="517"/>
      <c r="BO202" s="517"/>
      <c r="BP202" s="517"/>
      <c r="BQ202" s="517"/>
      <c r="BR202" s="517"/>
      <c r="BS202" s="517"/>
      <c r="BT202" s="517"/>
      <c r="BU202" s="517"/>
      <c r="BV202" s="517"/>
      <c r="BW202" s="517"/>
      <c r="BX202" s="517"/>
      <c r="BY202" s="517"/>
      <c r="BZ202" s="517"/>
      <c r="CA202" s="517"/>
      <c r="CB202" s="517"/>
      <c r="CC202" s="517"/>
      <c r="CD202" s="517"/>
      <c r="CE202" s="517"/>
      <c r="CF202" s="517"/>
      <c r="CG202" s="517"/>
      <c r="CH202" s="517"/>
      <c r="CI202" s="517"/>
      <c r="CJ202" s="517"/>
      <c r="CK202" s="517"/>
      <c r="CL202" s="517"/>
      <c r="CM202" s="517"/>
      <c r="CN202" s="517"/>
      <c r="CO202" s="517"/>
      <c r="CP202" s="517"/>
      <c r="CQ202" s="517"/>
      <c r="CR202" s="517"/>
      <c r="CS202" s="517"/>
      <c r="CT202" s="517"/>
      <c r="CU202" s="517"/>
      <c r="CV202" s="517"/>
      <c r="CW202" s="517"/>
      <c r="CX202" s="517"/>
      <c r="CY202" s="517"/>
      <c r="CZ202" s="517"/>
      <c r="DA202" s="517"/>
      <c r="DB202" s="517"/>
      <c r="DC202" s="517"/>
      <c r="DD202" s="517"/>
      <c r="DE202" s="517"/>
      <c r="DF202" s="517"/>
      <c r="DG202" s="517"/>
      <c r="DH202" s="517"/>
      <c r="DI202" s="517"/>
      <c r="DJ202" s="517"/>
      <c r="DK202" s="517"/>
      <c r="DL202" s="517"/>
      <c r="DM202" s="517"/>
      <c r="DN202" s="517"/>
      <c r="DO202" s="517"/>
      <c r="DP202" s="517"/>
      <c r="DQ202" s="517"/>
      <c r="DR202" s="517"/>
      <c r="DS202" s="517"/>
      <c r="DT202" s="517"/>
      <c r="DU202" s="517"/>
      <c r="DV202" s="517"/>
      <c r="DW202" s="517"/>
      <c r="DX202" s="517"/>
      <c r="DY202" s="517"/>
      <c r="DZ202" s="517"/>
      <c r="EA202" s="517"/>
      <c r="EB202" s="517"/>
      <c r="EC202" s="517"/>
      <c r="ED202" s="517"/>
      <c r="EE202" s="517"/>
      <c r="EF202" s="517"/>
      <c r="EG202" s="517"/>
      <c r="EH202" s="517"/>
      <c r="EI202" s="517"/>
      <c r="EJ202" s="517"/>
      <c r="EK202" s="517"/>
      <c r="EL202" s="517"/>
      <c r="EM202" s="517"/>
      <c r="EN202" s="517"/>
      <c r="EO202" s="517"/>
      <c r="EP202" s="517"/>
      <c r="EQ202" s="517"/>
      <c r="ER202" s="517"/>
      <c r="ES202" s="627" t="s">
        <v>1140</v>
      </c>
    </row>
    <row r="203">
      <c r="A203" s="517"/>
      <c r="B203" s="517"/>
      <c r="C203" s="517"/>
      <c r="D203" s="517"/>
      <c r="E203" s="517"/>
      <c r="F203" s="517"/>
      <c r="G203" s="517"/>
      <c r="H203" s="517"/>
      <c r="I203" s="517"/>
      <c r="J203" s="517"/>
      <c r="K203" s="517"/>
      <c r="L203" s="517"/>
      <c r="M203" s="517"/>
      <c r="N203" s="517"/>
      <c r="O203" s="517"/>
      <c r="P203" s="517"/>
      <c r="Q203" s="517"/>
      <c r="R203" s="517"/>
      <c r="S203" s="517"/>
      <c r="T203" s="517"/>
      <c r="U203" s="517"/>
      <c r="V203" s="517"/>
      <c r="W203" s="517"/>
      <c r="X203" s="517"/>
      <c r="Y203" s="517"/>
      <c r="Z203" s="517"/>
      <c r="AA203" s="517"/>
      <c r="AB203" s="517"/>
      <c r="AC203" s="517"/>
      <c r="AD203" s="517"/>
      <c r="AE203" s="517"/>
      <c r="AF203" s="517"/>
      <c r="AG203" s="517"/>
      <c r="AH203" s="517"/>
      <c r="AI203" s="517"/>
      <c r="AJ203" s="517"/>
      <c r="AK203" s="517"/>
      <c r="AL203" s="517"/>
      <c r="AM203" s="517"/>
      <c r="AN203" s="517"/>
      <c r="AO203" s="517"/>
      <c r="AP203" s="517"/>
      <c r="AQ203" s="517"/>
      <c r="AR203" s="517"/>
      <c r="AS203" s="517"/>
      <c r="AT203" s="517"/>
      <c r="AU203" s="517"/>
      <c r="AV203" s="517"/>
      <c r="AW203" s="517"/>
      <c r="AX203" s="517"/>
      <c r="AY203" s="517"/>
      <c r="AZ203" s="517"/>
      <c r="BA203" s="517"/>
      <c r="BB203" s="517"/>
      <c r="BC203" s="517"/>
      <c r="BD203" s="517"/>
      <c r="BE203" s="517"/>
      <c r="BF203" s="517"/>
      <c r="BG203" s="517"/>
      <c r="BH203" s="517"/>
      <c r="BI203" s="517"/>
      <c r="BJ203" s="517"/>
      <c r="BK203" s="517"/>
      <c r="BL203" s="517"/>
      <c r="BM203" s="517"/>
      <c r="BN203" s="517"/>
      <c r="BO203" s="517"/>
      <c r="BP203" s="517"/>
      <c r="BQ203" s="517"/>
      <c r="BR203" s="517"/>
      <c r="BS203" s="517"/>
      <c r="BT203" s="517"/>
      <c r="BU203" s="517"/>
      <c r="BV203" s="517"/>
      <c r="BW203" s="517"/>
      <c r="BX203" s="517"/>
      <c r="BY203" s="517"/>
      <c r="BZ203" s="517"/>
      <c r="CA203" s="517"/>
      <c r="CB203" s="517"/>
      <c r="CC203" s="517"/>
      <c r="CD203" s="517"/>
      <c r="CE203" s="517"/>
      <c r="CF203" s="517"/>
      <c r="CG203" s="517"/>
      <c r="CH203" s="517"/>
      <c r="CI203" s="517"/>
      <c r="CJ203" s="517"/>
      <c r="CK203" s="517"/>
      <c r="CL203" s="517"/>
      <c r="CM203" s="517"/>
      <c r="CN203" s="517"/>
      <c r="CO203" s="517"/>
      <c r="CP203" s="517"/>
      <c r="CQ203" s="517"/>
      <c r="CR203" s="517"/>
      <c r="CS203" s="517"/>
      <c r="CT203" s="517"/>
      <c r="CU203" s="517"/>
      <c r="CV203" s="517"/>
      <c r="CW203" s="517"/>
      <c r="CX203" s="517"/>
      <c r="CY203" s="517"/>
      <c r="CZ203" s="517"/>
      <c r="DA203" s="517"/>
      <c r="DB203" s="517"/>
      <c r="DC203" s="517"/>
      <c r="DD203" s="517"/>
      <c r="DE203" s="517"/>
      <c r="DF203" s="517"/>
      <c r="DG203" s="517"/>
      <c r="DH203" s="517"/>
      <c r="DI203" s="517"/>
      <c r="DJ203" s="517"/>
      <c r="DK203" s="517"/>
      <c r="DL203" s="517"/>
      <c r="DM203" s="517"/>
      <c r="DN203" s="517"/>
      <c r="DO203" s="517"/>
      <c r="DP203" s="517"/>
      <c r="DQ203" s="517"/>
      <c r="DR203" s="517"/>
      <c r="DS203" s="517"/>
      <c r="DT203" s="517"/>
      <c r="DU203" s="517"/>
      <c r="DV203" s="517"/>
      <c r="DW203" s="517"/>
      <c r="DX203" s="517"/>
      <c r="DY203" s="517"/>
      <c r="DZ203" s="517"/>
      <c r="EA203" s="517"/>
      <c r="EB203" s="517"/>
      <c r="EC203" s="517"/>
      <c r="ED203" s="517"/>
      <c r="EE203" s="517"/>
      <c r="EF203" s="517"/>
      <c r="EG203" s="517"/>
      <c r="EH203" s="517"/>
      <c r="EI203" s="517"/>
      <c r="EJ203" s="517"/>
      <c r="EK203" s="517"/>
      <c r="EL203" s="517"/>
      <c r="EM203" s="517"/>
      <c r="EN203" s="517"/>
      <c r="EO203" s="517"/>
      <c r="EP203" s="517"/>
      <c r="EQ203" s="517"/>
      <c r="ER203" s="517"/>
      <c r="ES203" s="627" t="s">
        <v>1140</v>
      </c>
    </row>
    <row r="204">
      <c r="A204" s="517"/>
      <c r="B204" s="517"/>
      <c r="C204" s="517"/>
      <c r="D204" s="517"/>
      <c r="E204" s="517"/>
      <c r="F204" s="517"/>
      <c r="G204" s="517"/>
      <c r="H204" s="517"/>
      <c r="I204" s="517"/>
      <c r="J204" s="517"/>
      <c r="K204" s="517"/>
      <c r="L204" s="517"/>
      <c r="M204" s="517"/>
      <c r="N204" s="517"/>
      <c r="O204" s="517"/>
      <c r="P204" s="517"/>
      <c r="Q204" s="517"/>
      <c r="R204" s="517"/>
      <c r="S204" s="517"/>
      <c r="T204" s="517"/>
      <c r="U204" s="517"/>
      <c r="V204" s="517"/>
      <c r="W204" s="517"/>
      <c r="X204" s="517"/>
      <c r="Y204" s="517"/>
      <c r="Z204" s="517"/>
      <c r="AA204" s="517"/>
      <c r="AB204" s="517"/>
      <c r="AC204" s="517"/>
      <c r="AD204" s="517"/>
      <c r="AE204" s="517"/>
      <c r="AF204" s="517"/>
      <c r="AG204" s="517"/>
      <c r="AH204" s="517"/>
      <c r="AI204" s="517"/>
      <c r="AJ204" s="517"/>
      <c r="AK204" s="517"/>
      <c r="AL204" s="517"/>
      <c r="AM204" s="517"/>
      <c r="AN204" s="517"/>
      <c r="AO204" s="517"/>
      <c r="AP204" s="517"/>
      <c r="AQ204" s="517"/>
      <c r="AR204" s="517"/>
      <c r="AS204" s="517"/>
      <c r="AT204" s="517"/>
      <c r="AU204" s="517"/>
      <c r="AV204" s="517"/>
      <c r="AW204" s="517"/>
      <c r="AX204" s="517"/>
      <c r="AY204" s="517"/>
      <c r="AZ204" s="517"/>
      <c r="BA204" s="517"/>
      <c r="BB204" s="517"/>
      <c r="BC204" s="517"/>
      <c r="BD204" s="517"/>
      <c r="BE204" s="517"/>
      <c r="BF204" s="517"/>
      <c r="BG204" s="517"/>
      <c r="BH204" s="517"/>
      <c r="BI204" s="517"/>
      <c r="BJ204" s="517"/>
      <c r="BK204" s="517"/>
      <c r="BL204" s="517"/>
      <c r="BM204" s="517"/>
      <c r="BN204" s="517"/>
      <c r="BO204" s="517"/>
      <c r="BP204" s="517"/>
      <c r="BQ204" s="517"/>
      <c r="BR204" s="517"/>
      <c r="BS204" s="517"/>
      <c r="BT204" s="517"/>
      <c r="BU204" s="517"/>
      <c r="BV204" s="517"/>
      <c r="BW204" s="517"/>
      <c r="BX204" s="517"/>
      <c r="BY204" s="517"/>
      <c r="BZ204" s="517"/>
      <c r="CA204" s="517"/>
      <c r="CB204" s="517"/>
      <c r="CC204" s="517"/>
      <c r="CD204" s="517"/>
      <c r="CE204" s="517"/>
      <c r="CF204" s="517"/>
      <c r="CG204" s="517"/>
      <c r="CH204" s="517"/>
      <c r="CI204" s="517"/>
      <c r="CJ204" s="517"/>
      <c r="CK204" s="517"/>
      <c r="CL204" s="517"/>
      <c r="CM204" s="517"/>
      <c r="CN204" s="517"/>
      <c r="CO204" s="517"/>
      <c r="CP204" s="517"/>
      <c r="CQ204" s="517"/>
      <c r="CR204" s="517"/>
      <c r="CS204" s="517"/>
      <c r="CT204" s="517"/>
      <c r="CU204" s="517"/>
      <c r="CV204" s="517"/>
      <c r="CW204" s="517"/>
      <c r="CX204" s="517"/>
      <c r="CY204" s="517"/>
      <c r="CZ204" s="517"/>
      <c r="DA204" s="517"/>
      <c r="DB204" s="517"/>
      <c r="DC204" s="517"/>
      <c r="DD204" s="517"/>
      <c r="DE204" s="517"/>
      <c r="DF204" s="517"/>
      <c r="DG204" s="517"/>
      <c r="DH204" s="517"/>
      <c r="DI204" s="517"/>
      <c r="DJ204" s="517"/>
      <c r="DK204" s="517"/>
      <c r="DL204" s="517"/>
      <c r="DM204" s="517"/>
      <c r="DN204" s="517"/>
      <c r="DO204" s="517"/>
      <c r="DP204" s="517"/>
      <c r="DQ204" s="517"/>
      <c r="DR204" s="517"/>
      <c r="DS204" s="517"/>
      <c r="DT204" s="517"/>
      <c r="DU204" s="517"/>
      <c r="DV204" s="517"/>
      <c r="DW204" s="517"/>
      <c r="DX204" s="517"/>
      <c r="DY204" s="517"/>
      <c r="DZ204" s="517"/>
      <c r="EA204" s="517"/>
      <c r="EB204" s="517"/>
      <c r="EC204" s="517"/>
      <c r="ED204" s="517"/>
      <c r="EE204" s="517"/>
      <c r="EF204" s="517"/>
      <c r="EG204" s="517"/>
      <c r="EH204" s="517"/>
      <c r="EI204" s="517"/>
      <c r="EJ204" s="517"/>
      <c r="EK204" s="517"/>
      <c r="EL204" s="517"/>
      <c r="EM204" s="517"/>
      <c r="EN204" s="517"/>
      <c r="EO204" s="517"/>
      <c r="EP204" s="517"/>
      <c r="EQ204" s="517"/>
      <c r="ER204" s="517"/>
      <c r="ES204" s="627" t="s">
        <v>1140</v>
      </c>
    </row>
    <row r="205">
      <c r="A205" s="517"/>
      <c r="B205" s="517"/>
      <c r="C205" s="517"/>
      <c r="D205" s="517"/>
      <c r="E205" s="517"/>
      <c r="F205" s="517"/>
      <c r="G205" s="517"/>
      <c r="H205" s="517"/>
      <c r="I205" s="517"/>
      <c r="J205" s="517"/>
      <c r="K205" s="517"/>
      <c r="L205" s="517"/>
      <c r="M205" s="517"/>
      <c r="N205" s="517"/>
      <c r="O205" s="517"/>
      <c r="P205" s="517"/>
      <c r="Q205" s="517"/>
      <c r="R205" s="517"/>
      <c r="S205" s="517"/>
      <c r="T205" s="517"/>
      <c r="U205" s="517"/>
      <c r="V205" s="517"/>
      <c r="W205" s="517"/>
      <c r="X205" s="517"/>
      <c r="Y205" s="517"/>
      <c r="Z205" s="517"/>
      <c r="AA205" s="517"/>
      <c r="AB205" s="517"/>
      <c r="AC205" s="517"/>
      <c r="AD205" s="517"/>
      <c r="AE205" s="517"/>
      <c r="AF205" s="517"/>
      <c r="AG205" s="517"/>
      <c r="AH205" s="517"/>
      <c r="AI205" s="517"/>
      <c r="AJ205" s="517"/>
      <c r="AK205" s="517"/>
      <c r="AL205" s="517"/>
      <c r="AM205" s="517"/>
      <c r="AN205" s="517"/>
      <c r="AO205" s="517"/>
      <c r="AP205" s="517"/>
      <c r="AQ205" s="517"/>
      <c r="AR205" s="517"/>
      <c r="AS205" s="517"/>
      <c r="AT205" s="517"/>
      <c r="AU205" s="517"/>
      <c r="AV205" s="517"/>
      <c r="AW205" s="517"/>
      <c r="AX205" s="517"/>
      <c r="AY205" s="517"/>
      <c r="AZ205" s="517"/>
      <c r="BA205" s="517"/>
      <c r="BB205" s="517"/>
      <c r="BC205" s="517"/>
      <c r="BD205" s="517"/>
      <c r="BE205" s="517"/>
      <c r="BF205" s="517"/>
      <c r="BG205" s="517"/>
      <c r="BH205" s="517"/>
      <c r="BI205" s="517"/>
      <c r="BJ205" s="517"/>
      <c r="BK205" s="517"/>
      <c r="BL205" s="517"/>
      <c r="BM205" s="517"/>
      <c r="BN205" s="517"/>
      <c r="BO205" s="517"/>
      <c r="BP205" s="517"/>
      <c r="BQ205" s="517"/>
      <c r="BR205" s="517"/>
      <c r="BS205" s="517"/>
      <c r="BT205" s="517"/>
      <c r="BU205" s="517"/>
      <c r="BV205" s="517"/>
      <c r="BW205" s="517"/>
      <c r="BX205" s="517"/>
      <c r="BY205" s="517"/>
      <c r="BZ205" s="517"/>
      <c r="CA205" s="517"/>
      <c r="CB205" s="517"/>
      <c r="CC205" s="517"/>
      <c r="CD205" s="517"/>
      <c r="CE205" s="517"/>
      <c r="CF205" s="517"/>
      <c r="CG205" s="517"/>
      <c r="CH205" s="517"/>
      <c r="CI205" s="517"/>
      <c r="CJ205" s="517"/>
      <c r="CK205" s="517"/>
      <c r="CL205" s="517"/>
      <c r="CM205" s="517"/>
      <c r="CN205" s="517"/>
      <c r="CO205" s="517"/>
      <c r="CP205" s="517"/>
      <c r="CQ205" s="517"/>
      <c r="CR205" s="517"/>
      <c r="CS205" s="517"/>
      <c r="CT205" s="517"/>
      <c r="CU205" s="517"/>
      <c r="CV205" s="517"/>
      <c r="CW205" s="517"/>
      <c r="CX205" s="517"/>
      <c r="CY205" s="517"/>
      <c r="CZ205" s="517"/>
      <c r="DA205" s="517"/>
      <c r="DB205" s="517"/>
      <c r="DC205" s="517"/>
      <c r="DD205" s="517"/>
      <c r="DE205" s="517"/>
      <c r="DF205" s="517"/>
      <c r="DG205" s="517"/>
      <c r="DH205" s="517"/>
      <c r="DI205" s="517"/>
      <c r="DJ205" s="517"/>
      <c r="DK205" s="517"/>
      <c r="DL205" s="517"/>
      <c r="DM205" s="517"/>
      <c r="DN205" s="517"/>
      <c r="DO205" s="517"/>
      <c r="DP205" s="517"/>
      <c r="DQ205" s="517"/>
      <c r="DR205" s="517"/>
      <c r="DS205" s="517"/>
      <c r="DT205" s="517"/>
      <c r="DU205" s="517"/>
      <c r="DV205" s="517"/>
      <c r="DW205" s="517"/>
      <c r="DX205" s="517"/>
      <c r="DY205" s="517"/>
      <c r="DZ205" s="517"/>
      <c r="EA205" s="517"/>
      <c r="EB205" s="517"/>
      <c r="EC205" s="517"/>
      <c r="ED205" s="517"/>
      <c r="EE205" s="517"/>
      <c r="EF205" s="517"/>
      <c r="EG205" s="517"/>
      <c r="EH205" s="517"/>
      <c r="EI205" s="517"/>
      <c r="EJ205" s="517"/>
      <c r="EK205" s="517"/>
      <c r="EL205" s="517"/>
      <c r="EM205" s="517"/>
      <c r="EN205" s="517"/>
      <c r="EO205" s="517"/>
      <c r="EP205" s="517"/>
      <c r="EQ205" s="517"/>
      <c r="ER205" s="517"/>
      <c r="ES205" s="627" t="s">
        <v>1140</v>
      </c>
    </row>
    <row r="206">
      <c r="A206" s="517"/>
      <c r="B206" s="517"/>
      <c r="C206" s="517"/>
      <c r="D206" s="517"/>
      <c r="E206" s="517"/>
      <c r="F206" s="517"/>
      <c r="G206" s="517"/>
      <c r="H206" s="517"/>
      <c r="I206" s="517"/>
      <c r="J206" s="517"/>
      <c r="K206" s="517"/>
      <c r="L206" s="517"/>
      <c r="M206" s="517"/>
      <c r="N206" s="517"/>
      <c r="O206" s="517"/>
      <c r="P206" s="517"/>
      <c r="Q206" s="517"/>
      <c r="R206" s="517"/>
      <c r="S206" s="517"/>
      <c r="T206" s="517"/>
      <c r="U206" s="517"/>
      <c r="V206" s="517"/>
      <c r="W206" s="517"/>
      <c r="X206" s="517"/>
      <c r="Y206" s="517"/>
      <c r="Z206" s="517"/>
      <c r="AA206" s="517"/>
      <c r="AB206" s="517"/>
      <c r="AC206" s="517"/>
      <c r="AD206" s="517"/>
      <c r="AE206" s="517"/>
      <c r="AF206" s="517"/>
      <c r="AG206" s="517"/>
      <c r="AH206" s="517"/>
      <c r="AI206" s="517"/>
      <c r="AJ206" s="517"/>
      <c r="AK206" s="517"/>
      <c r="AL206" s="517"/>
      <c r="AM206" s="517"/>
      <c r="AN206" s="517"/>
      <c r="AO206" s="517"/>
      <c r="AP206" s="517"/>
      <c r="AQ206" s="517"/>
      <c r="AR206" s="517"/>
      <c r="AS206" s="517"/>
      <c r="AT206" s="517"/>
      <c r="AU206" s="517"/>
      <c r="AV206" s="517"/>
      <c r="AW206" s="517"/>
      <c r="AX206" s="517"/>
      <c r="AY206" s="517"/>
      <c r="AZ206" s="517"/>
      <c r="BA206" s="517"/>
      <c r="BB206" s="517"/>
      <c r="BC206" s="517"/>
      <c r="BD206" s="517"/>
      <c r="BE206" s="517"/>
      <c r="BF206" s="517"/>
      <c r="BG206" s="517"/>
      <c r="BH206" s="517"/>
      <c r="BI206" s="517"/>
      <c r="BJ206" s="517"/>
      <c r="BK206" s="517"/>
      <c r="BL206" s="517"/>
      <c r="BM206" s="517"/>
      <c r="BN206" s="517"/>
      <c r="BO206" s="517"/>
      <c r="BP206" s="517"/>
      <c r="BQ206" s="517"/>
      <c r="BR206" s="517"/>
      <c r="BS206" s="517"/>
      <c r="BT206" s="517"/>
      <c r="BU206" s="517"/>
      <c r="BV206" s="517"/>
      <c r="BW206" s="517"/>
      <c r="BX206" s="517"/>
      <c r="BY206" s="517"/>
      <c r="BZ206" s="517"/>
      <c r="CA206" s="517"/>
      <c r="CB206" s="517"/>
      <c r="CC206" s="517"/>
      <c r="CD206" s="517"/>
      <c r="CE206" s="517"/>
      <c r="CF206" s="517"/>
      <c r="CG206" s="517"/>
      <c r="CH206" s="517"/>
      <c r="CI206" s="517"/>
      <c r="CJ206" s="517"/>
      <c r="CK206" s="517"/>
      <c r="CL206" s="517"/>
      <c r="CM206" s="517"/>
      <c r="CN206" s="517"/>
      <c r="CO206" s="517"/>
      <c r="CP206" s="517"/>
      <c r="CQ206" s="517"/>
      <c r="CR206" s="517"/>
      <c r="CS206" s="517"/>
      <c r="CT206" s="517"/>
      <c r="CU206" s="517"/>
      <c r="CV206" s="517"/>
      <c r="CW206" s="517"/>
      <c r="CX206" s="517"/>
      <c r="CY206" s="517"/>
      <c r="CZ206" s="517"/>
      <c r="DA206" s="517"/>
      <c r="DB206" s="517"/>
      <c r="DC206" s="517"/>
      <c r="DD206" s="517"/>
      <c r="DE206" s="517"/>
      <c r="DF206" s="517"/>
      <c r="DG206" s="517"/>
      <c r="DH206" s="517"/>
      <c r="DI206" s="517"/>
      <c r="DJ206" s="517"/>
      <c r="DK206" s="517"/>
      <c r="DL206" s="517"/>
      <c r="DM206" s="517"/>
      <c r="DN206" s="517"/>
      <c r="DO206" s="517"/>
      <c r="DP206" s="517"/>
      <c r="DQ206" s="517"/>
      <c r="DR206" s="517"/>
      <c r="DS206" s="517"/>
      <c r="DT206" s="517"/>
      <c r="DU206" s="517"/>
      <c r="DV206" s="517"/>
      <c r="DW206" s="517"/>
      <c r="DX206" s="517"/>
      <c r="DY206" s="517"/>
      <c r="DZ206" s="517"/>
      <c r="EA206" s="517"/>
      <c r="EB206" s="517"/>
      <c r="EC206" s="517"/>
      <c r="ED206" s="517"/>
      <c r="EE206" s="517"/>
      <c r="EF206" s="517"/>
      <c r="EG206" s="517"/>
      <c r="EH206" s="517"/>
      <c r="EI206" s="517"/>
      <c r="EJ206" s="517"/>
      <c r="EK206" s="517"/>
      <c r="EL206" s="517"/>
      <c r="EM206" s="517"/>
      <c r="EN206" s="517"/>
      <c r="EO206" s="517"/>
      <c r="EP206" s="517"/>
      <c r="EQ206" s="517"/>
      <c r="ER206" s="517"/>
      <c r="ES206" s="627" t="s">
        <v>1140</v>
      </c>
    </row>
    <row r="207">
      <c r="A207" s="517"/>
      <c r="B207" s="517"/>
      <c r="C207" s="517"/>
      <c r="D207" s="517"/>
      <c r="E207" s="517"/>
      <c r="F207" s="517"/>
      <c r="G207" s="517"/>
      <c r="H207" s="517"/>
      <c r="I207" s="517"/>
      <c r="J207" s="517"/>
      <c r="K207" s="517"/>
      <c r="L207" s="517"/>
      <c r="M207" s="517"/>
      <c r="N207" s="517"/>
      <c r="O207" s="517"/>
      <c r="P207" s="517"/>
      <c r="Q207" s="517"/>
      <c r="R207" s="517"/>
      <c r="S207" s="517"/>
      <c r="T207" s="517"/>
      <c r="U207" s="517"/>
      <c r="V207" s="517"/>
      <c r="W207" s="517"/>
      <c r="X207" s="517"/>
      <c r="Y207" s="517"/>
      <c r="Z207" s="517"/>
      <c r="AA207" s="517"/>
      <c r="AB207" s="517"/>
      <c r="AC207" s="517"/>
      <c r="AD207" s="517"/>
      <c r="AE207" s="517"/>
      <c r="AF207" s="517"/>
      <c r="AG207" s="517"/>
      <c r="AH207" s="517"/>
      <c r="AI207" s="517"/>
      <c r="AJ207" s="517"/>
      <c r="AK207" s="517"/>
      <c r="AL207" s="517"/>
      <c r="AM207" s="517"/>
      <c r="AN207" s="517"/>
      <c r="AO207" s="517"/>
      <c r="AP207" s="517"/>
      <c r="AQ207" s="517"/>
      <c r="AR207" s="517"/>
      <c r="AS207" s="517"/>
      <c r="AT207" s="517"/>
      <c r="AU207" s="517"/>
      <c r="AV207" s="517"/>
      <c r="AW207" s="517"/>
      <c r="AX207" s="517"/>
      <c r="AY207" s="517"/>
      <c r="AZ207" s="517"/>
      <c r="BA207" s="517"/>
      <c r="BB207" s="517"/>
      <c r="BC207" s="517"/>
      <c r="BD207" s="517"/>
      <c r="BE207" s="517"/>
      <c r="BF207" s="517"/>
      <c r="BG207" s="517"/>
      <c r="BH207" s="517"/>
      <c r="BI207" s="517"/>
      <c r="BJ207" s="517"/>
      <c r="BK207" s="517"/>
      <c r="BL207" s="517"/>
      <c r="BM207" s="517"/>
      <c r="BN207" s="517"/>
      <c r="BO207" s="517"/>
      <c r="BP207" s="517"/>
      <c r="BQ207" s="517"/>
      <c r="BR207" s="517"/>
      <c r="BS207" s="517"/>
      <c r="BT207" s="517"/>
      <c r="BU207" s="517"/>
      <c r="BV207" s="517"/>
      <c r="BW207" s="517"/>
      <c r="BX207" s="517"/>
      <c r="BY207" s="517"/>
      <c r="BZ207" s="517"/>
      <c r="CA207" s="517"/>
      <c r="CB207" s="517"/>
      <c r="CC207" s="517"/>
      <c r="CD207" s="517"/>
      <c r="CE207" s="517"/>
      <c r="CF207" s="517"/>
      <c r="CG207" s="517"/>
      <c r="CH207" s="517"/>
      <c r="CI207" s="517"/>
      <c r="CJ207" s="517"/>
      <c r="CK207" s="517"/>
      <c r="CL207" s="517"/>
      <c r="CM207" s="517"/>
      <c r="CN207" s="517"/>
      <c r="CO207" s="517"/>
      <c r="CP207" s="517"/>
      <c r="CQ207" s="517"/>
      <c r="CR207" s="517"/>
      <c r="CS207" s="517"/>
      <c r="CT207" s="517"/>
      <c r="CU207" s="517"/>
      <c r="CV207" s="517"/>
      <c r="CW207" s="517"/>
      <c r="CX207" s="517"/>
      <c r="CY207" s="517"/>
      <c r="CZ207" s="517"/>
      <c r="DA207" s="517"/>
      <c r="DB207" s="517"/>
      <c r="DC207" s="517"/>
      <c r="DD207" s="517"/>
      <c r="DE207" s="517"/>
      <c r="DF207" s="517"/>
      <c r="DG207" s="517"/>
      <c r="DH207" s="517"/>
      <c r="DI207" s="517"/>
      <c r="DJ207" s="517"/>
      <c r="DK207" s="517"/>
      <c r="DL207" s="517"/>
      <c r="DM207" s="517"/>
      <c r="DN207" s="517"/>
      <c r="DO207" s="517"/>
      <c r="DP207" s="517"/>
      <c r="DQ207" s="517"/>
      <c r="DR207" s="517"/>
      <c r="DS207" s="517"/>
      <c r="DT207" s="517"/>
      <c r="DU207" s="517"/>
      <c r="DV207" s="517"/>
      <c r="DW207" s="517"/>
      <c r="DX207" s="517"/>
      <c r="DY207" s="517"/>
      <c r="DZ207" s="517"/>
      <c r="EA207" s="517"/>
      <c r="EB207" s="517"/>
      <c r="EC207" s="517"/>
      <c r="ED207" s="517"/>
      <c r="EE207" s="517"/>
      <c r="EF207" s="517"/>
      <c r="EG207" s="517"/>
      <c r="EH207" s="517"/>
      <c r="EI207" s="517"/>
      <c r="EJ207" s="517"/>
      <c r="EK207" s="517"/>
      <c r="EL207" s="517"/>
      <c r="EM207" s="517"/>
      <c r="EN207" s="517"/>
      <c r="EO207" s="517"/>
      <c r="EP207" s="517"/>
      <c r="EQ207" s="517"/>
      <c r="ER207" s="517"/>
      <c r="ES207" s="627" t="s">
        <v>1140</v>
      </c>
    </row>
    <row r="208">
      <c r="A208" s="517"/>
      <c r="B208" s="517"/>
      <c r="C208" s="517"/>
      <c r="D208" s="517"/>
      <c r="E208" s="517"/>
      <c r="F208" s="517"/>
      <c r="G208" s="517"/>
      <c r="H208" s="517"/>
      <c r="I208" s="517"/>
      <c r="J208" s="517"/>
      <c r="K208" s="517"/>
      <c r="L208" s="517"/>
      <c r="M208" s="517"/>
      <c r="N208" s="517"/>
      <c r="O208" s="517"/>
      <c r="P208" s="517"/>
      <c r="Q208" s="517"/>
      <c r="R208" s="517"/>
      <c r="S208" s="517"/>
      <c r="T208" s="517"/>
      <c r="U208" s="517"/>
      <c r="V208" s="517"/>
      <c r="W208" s="517"/>
      <c r="X208" s="517"/>
      <c r="Y208" s="517"/>
      <c r="Z208" s="517"/>
      <c r="AA208" s="517"/>
      <c r="AB208" s="517"/>
      <c r="AC208" s="517"/>
      <c r="AD208" s="517"/>
      <c r="AE208" s="517"/>
      <c r="AF208" s="517"/>
      <c r="AG208" s="517"/>
      <c r="AH208" s="517"/>
      <c r="AI208" s="517"/>
      <c r="AJ208" s="517"/>
      <c r="AK208" s="517"/>
      <c r="AL208" s="517"/>
      <c r="AM208" s="517"/>
      <c r="AN208" s="517"/>
      <c r="AO208" s="517"/>
      <c r="AP208" s="517"/>
      <c r="AQ208" s="517"/>
      <c r="AR208" s="517"/>
      <c r="AS208" s="517"/>
      <c r="AT208" s="517"/>
      <c r="AU208" s="517"/>
      <c r="AV208" s="517"/>
      <c r="AW208" s="517"/>
      <c r="AX208" s="517"/>
      <c r="AY208" s="517"/>
      <c r="AZ208" s="517"/>
      <c r="BA208" s="517"/>
      <c r="BB208" s="517"/>
      <c r="BC208" s="517"/>
      <c r="BD208" s="517"/>
      <c r="BE208" s="517"/>
      <c r="BF208" s="517"/>
      <c r="BG208" s="517"/>
      <c r="BH208" s="517"/>
      <c r="BI208" s="517"/>
      <c r="BJ208" s="517"/>
      <c r="BK208" s="517"/>
      <c r="BL208" s="517"/>
      <c r="BM208" s="517"/>
      <c r="BN208" s="517"/>
      <c r="BO208" s="517"/>
      <c r="BP208" s="517"/>
      <c r="BQ208" s="517"/>
      <c r="BR208" s="517"/>
      <c r="BS208" s="517"/>
      <c r="BT208" s="517"/>
      <c r="BU208" s="517"/>
      <c r="BV208" s="517"/>
      <c r="BW208" s="517"/>
      <c r="BX208" s="517"/>
      <c r="BY208" s="517"/>
      <c r="BZ208" s="517"/>
      <c r="CA208" s="517"/>
      <c r="CB208" s="517"/>
      <c r="CC208" s="517"/>
      <c r="CD208" s="517"/>
      <c r="CE208" s="517"/>
      <c r="CF208" s="517"/>
      <c r="CG208" s="517"/>
      <c r="CH208" s="517"/>
      <c r="CI208" s="517"/>
      <c r="CJ208" s="517"/>
      <c r="CK208" s="517"/>
      <c r="CL208" s="517"/>
      <c r="CM208" s="517"/>
      <c r="CN208" s="517"/>
      <c r="CO208" s="517"/>
      <c r="CP208" s="517"/>
      <c r="CQ208" s="517"/>
      <c r="CR208" s="517"/>
      <c r="CS208" s="517"/>
      <c r="CT208" s="517"/>
      <c r="CU208" s="517"/>
      <c r="CV208" s="517"/>
      <c r="CW208" s="517"/>
      <c r="CX208" s="517"/>
      <c r="CY208" s="517"/>
      <c r="CZ208" s="517"/>
      <c r="DA208" s="517"/>
      <c r="DB208" s="517"/>
      <c r="DC208" s="517"/>
      <c r="DD208" s="517"/>
      <c r="DE208" s="517"/>
      <c r="DF208" s="517"/>
      <c r="DG208" s="517"/>
      <c r="DH208" s="517"/>
      <c r="DI208" s="517"/>
      <c r="DJ208" s="517"/>
      <c r="DK208" s="517"/>
      <c r="DL208" s="517"/>
      <c r="DM208" s="517"/>
      <c r="DN208" s="517"/>
      <c r="DO208" s="517"/>
      <c r="DP208" s="517"/>
      <c r="DQ208" s="517"/>
      <c r="DR208" s="517"/>
      <c r="DS208" s="517"/>
      <c r="DT208" s="517"/>
      <c r="DU208" s="517"/>
      <c r="DV208" s="517"/>
      <c r="DW208" s="517"/>
      <c r="DX208" s="517"/>
      <c r="DY208" s="517"/>
      <c r="DZ208" s="517"/>
      <c r="EA208" s="517"/>
      <c r="EB208" s="517"/>
      <c r="EC208" s="517"/>
      <c r="ED208" s="517"/>
      <c r="EE208" s="517"/>
      <c r="EF208" s="517"/>
      <c r="EG208" s="517"/>
      <c r="EH208" s="517"/>
      <c r="EI208" s="517"/>
      <c r="EJ208" s="517"/>
      <c r="EK208" s="517"/>
      <c r="EL208" s="517"/>
      <c r="EM208" s="517"/>
      <c r="EN208" s="517"/>
      <c r="EO208" s="517"/>
      <c r="EP208" s="517"/>
      <c r="EQ208" s="517"/>
      <c r="ER208" s="517"/>
      <c r="ES208" s="627" t="s">
        <v>1140</v>
      </c>
    </row>
    <row r="209">
      <c r="A209" s="517"/>
      <c r="B209" s="517"/>
      <c r="C209" s="517"/>
      <c r="D209" s="517"/>
      <c r="E209" s="517"/>
      <c r="F209" s="517"/>
      <c r="G209" s="517"/>
      <c r="H209" s="517"/>
      <c r="I209" s="517"/>
      <c r="J209" s="517"/>
      <c r="K209" s="517"/>
      <c r="L209" s="517"/>
      <c r="M209" s="517"/>
      <c r="N209" s="517"/>
      <c r="O209" s="517"/>
      <c r="P209" s="517"/>
      <c r="Q209" s="517"/>
      <c r="R209" s="517"/>
      <c r="S209" s="517"/>
      <c r="T209" s="517"/>
      <c r="U209" s="517"/>
      <c r="V209" s="517"/>
      <c r="W209" s="517"/>
      <c r="X209" s="517"/>
      <c r="Y209" s="517"/>
      <c r="Z209" s="517"/>
      <c r="AA209" s="517"/>
      <c r="AB209" s="517"/>
      <c r="AC209" s="517"/>
      <c r="AD209" s="517"/>
      <c r="AE209" s="517"/>
      <c r="AF209" s="517"/>
      <c r="AG209" s="517"/>
      <c r="AH209" s="517"/>
      <c r="AI209" s="517"/>
      <c r="AJ209" s="517"/>
      <c r="AK209" s="517"/>
      <c r="AL209" s="517"/>
      <c r="AM209" s="517"/>
      <c r="AN209" s="517"/>
      <c r="AO209" s="517"/>
      <c r="AP209" s="517"/>
      <c r="AQ209" s="517"/>
      <c r="AR209" s="517"/>
      <c r="AS209" s="517"/>
      <c r="AT209" s="517"/>
      <c r="AU209" s="517"/>
      <c r="AV209" s="517"/>
      <c r="AW209" s="517"/>
      <c r="AX209" s="517"/>
      <c r="AY209" s="517"/>
      <c r="AZ209" s="517"/>
      <c r="BA209" s="517"/>
      <c r="BB209" s="517"/>
      <c r="BC209" s="517"/>
      <c r="BD209" s="517"/>
      <c r="BE209" s="517"/>
      <c r="BF209" s="517"/>
      <c r="BG209" s="517"/>
      <c r="BH209" s="517"/>
      <c r="BI209" s="517"/>
      <c r="BJ209" s="517"/>
      <c r="BK209" s="517"/>
      <c r="BL209" s="517"/>
      <c r="BM209" s="517"/>
      <c r="BN209" s="517"/>
      <c r="BO209" s="517"/>
      <c r="BP209" s="517"/>
      <c r="BQ209" s="517"/>
      <c r="BR209" s="517"/>
      <c r="BS209" s="517"/>
      <c r="BT209" s="517"/>
      <c r="BU209" s="517"/>
      <c r="BV209" s="517"/>
      <c r="BW209" s="517"/>
      <c r="BX209" s="517"/>
      <c r="BY209" s="517"/>
      <c r="BZ209" s="517"/>
      <c r="CA209" s="517"/>
      <c r="CB209" s="517"/>
      <c r="CC209" s="517"/>
      <c r="CD209" s="517"/>
      <c r="CE209" s="517"/>
      <c r="CF209" s="517"/>
      <c r="CG209" s="517"/>
      <c r="CH209" s="517"/>
      <c r="CI209" s="517"/>
      <c r="CJ209" s="517"/>
      <c r="CK209" s="517"/>
      <c r="CL209" s="517"/>
      <c r="CM209" s="517"/>
      <c r="CN209" s="517"/>
      <c r="CO209" s="517"/>
      <c r="CP209" s="517"/>
      <c r="CQ209" s="517"/>
      <c r="CR209" s="517"/>
      <c r="CS209" s="517"/>
      <c r="CT209" s="517"/>
      <c r="CU209" s="517"/>
      <c r="CV209" s="517"/>
      <c r="CW209" s="517"/>
      <c r="CX209" s="517"/>
      <c r="CY209" s="517"/>
      <c r="CZ209" s="517"/>
      <c r="DA209" s="517"/>
      <c r="DB209" s="517"/>
      <c r="DC209" s="517"/>
      <c r="DD209" s="517"/>
      <c r="DE209" s="517"/>
      <c r="DF209" s="517"/>
      <c r="DG209" s="517"/>
      <c r="DH209" s="517"/>
      <c r="DI209" s="517"/>
      <c r="DJ209" s="517"/>
      <c r="DK209" s="517"/>
      <c r="DL209" s="517"/>
      <c r="DM209" s="517"/>
      <c r="DN209" s="517"/>
      <c r="DO209" s="517"/>
      <c r="DP209" s="517"/>
      <c r="DQ209" s="517"/>
      <c r="DR209" s="517"/>
      <c r="DS209" s="517"/>
      <c r="DT209" s="517"/>
      <c r="DU209" s="517"/>
      <c r="DV209" s="517"/>
      <c r="DW209" s="517"/>
      <c r="DX209" s="517"/>
      <c r="DY209" s="517"/>
      <c r="DZ209" s="517"/>
      <c r="EA209" s="517"/>
      <c r="EB209" s="517"/>
      <c r="EC209" s="517"/>
      <c r="ED209" s="517"/>
      <c r="EE209" s="517"/>
      <c r="EF209" s="517"/>
      <c r="EG209" s="517"/>
      <c r="EH209" s="517"/>
      <c r="EI209" s="517"/>
      <c r="EJ209" s="517"/>
      <c r="EK209" s="517"/>
      <c r="EL209" s="517"/>
      <c r="EM209" s="517"/>
      <c r="EN209" s="517"/>
      <c r="EO209" s="517"/>
      <c r="EP209" s="517"/>
      <c r="EQ209" s="517"/>
      <c r="ER209" s="517"/>
      <c r="ES209" s="627" t="s">
        <v>1140</v>
      </c>
    </row>
    <row r="210">
      <c r="A210" s="517"/>
      <c r="B210" s="517"/>
      <c r="C210" s="517"/>
      <c r="D210" s="517"/>
      <c r="E210" s="517"/>
      <c r="F210" s="517"/>
      <c r="G210" s="517"/>
      <c r="H210" s="517"/>
      <c r="I210" s="517"/>
      <c r="J210" s="517"/>
      <c r="K210" s="517"/>
      <c r="L210" s="517"/>
      <c r="M210" s="517"/>
      <c r="N210" s="517"/>
      <c r="O210" s="517"/>
      <c r="P210" s="517"/>
      <c r="Q210" s="517"/>
      <c r="R210" s="517"/>
      <c r="S210" s="517"/>
      <c r="T210" s="517"/>
      <c r="U210" s="517"/>
      <c r="V210" s="517"/>
      <c r="W210" s="517"/>
      <c r="X210" s="517"/>
      <c r="Y210" s="517"/>
      <c r="Z210" s="517"/>
      <c r="AA210" s="517"/>
      <c r="AB210" s="517"/>
      <c r="AC210" s="517"/>
      <c r="AD210" s="517"/>
      <c r="AE210" s="517"/>
      <c r="AF210" s="517"/>
      <c r="AG210" s="517"/>
      <c r="AH210" s="517"/>
      <c r="AI210" s="517"/>
      <c r="AJ210" s="517"/>
      <c r="AK210" s="517"/>
      <c r="AL210" s="517"/>
      <c r="AM210" s="517"/>
      <c r="AN210" s="517"/>
      <c r="AO210" s="517"/>
      <c r="AP210" s="517"/>
      <c r="AQ210" s="517"/>
      <c r="AR210" s="517"/>
      <c r="AS210" s="517"/>
      <c r="AT210" s="517"/>
      <c r="AU210" s="517"/>
      <c r="AV210" s="517"/>
      <c r="AW210" s="517"/>
      <c r="AX210" s="517"/>
      <c r="AY210" s="517"/>
      <c r="AZ210" s="517"/>
      <c r="BA210" s="517"/>
      <c r="BB210" s="517"/>
      <c r="BC210" s="517"/>
      <c r="BD210" s="517"/>
      <c r="BE210" s="517"/>
      <c r="BF210" s="517"/>
      <c r="BG210" s="517"/>
      <c r="BH210" s="517"/>
      <c r="BI210" s="517"/>
      <c r="BJ210" s="517"/>
      <c r="BK210" s="517"/>
      <c r="BL210" s="517"/>
      <c r="BM210" s="517"/>
      <c r="BN210" s="517"/>
      <c r="BO210" s="517"/>
      <c r="BP210" s="517"/>
      <c r="BQ210" s="517"/>
      <c r="BR210" s="517"/>
      <c r="BS210" s="517"/>
      <c r="BT210" s="517"/>
      <c r="BU210" s="517"/>
      <c r="BV210" s="517"/>
      <c r="BW210" s="517"/>
      <c r="BX210" s="517"/>
      <c r="BY210" s="517"/>
      <c r="BZ210" s="517"/>
      <c r="CA210" s="517"/>
      <c r="CB210" s="517"/>
      <c r="CC210" s="517"/>
      <c r="CD210" s="517"/>
      <c r="CE210" s="517"/>
      <c r="CF210" s="517"/>
      <c r="CG210" s="517"/>
      <c r="CH210" s="517"/>
      <c r="CI210" s="517"/>
      <c r="CJ210" s="517"/>
      <c r="CK210" s="517"/>
      <c r="CL210" s="517"/>
      <c r="CM210" s="517"/>
      <c r="CN210" s="517"/>
      <c r="CO210" s="517"/>
      <c r="CP210" s="517"/>
      <c r="CQ210" s="517"/>
      <c r="CR210" s="517"/>
      <c r="CS210" s="517"/>
      <c r="CT210" s="517"/>
      <c r="CU210" s="517"/>
      <c r="CV210" s="517"/>
      <c r="CW210" s="517"/>
      <c r="CX210" s="517"/>
      <c r="CY210" s="517"/>
      <c r="CZ210" s="517"/>
      <c r="DA210" s="517"/>
      <c r="DB210" s="517"/>
      <c r="DC210" s="517"/>
      <c r="DD210" s="517"/>
      <c r="DE210" s="517"/>
      <c r="DF210" s="517"/>
      <c r="DG210" s="517"/>
      <c r="DH210" s="517"/>
      <c r="DI210" s="517"/>
      <c r="DJ210" s="517"/>
      <c r="DK210" s="517"/>
      <c r="DL210" s="517"/>
      <c r="DM210" s="517"/>
      <c r="DN210" s="517"/>
      <c r="DO210" s="517"/>
      <c r="DP210" s="517"/>
      <c r="DQ210" s="517"/>
      <c r="DR210" s="517"/>
      <c r="DS210" s="517"/>
      <c r="DT210" s="517"/>
      <c r="DU210" s="517"/>
      <c r="DV210" s="517"/>
      <c r="DW210" s="517"/>
      <c r="DX210" s="517"/>
      <c r="DY210" s="517"/>
      <c r="DZ210" s="517"/>
      <c r="EA210" s="517"/>
      <c r="EB210" s="517"/>
      <c r="EC210" s="517"/>
      <c r="ED210" s="517"/>
      <c r="EE210" s="517"/>
      <c r="EF210" s="517"/>
      <c r="EG210" s="517"/>
      <c r="EH210" s="517"/>
      <c r="EI210" s="517"/>
      <c r="EJ210" s="517"/>
      <c r="EK210" s="517"/>
      <c r="EL210" s="517"/>
      <c r="EM210" s="517"/>
      <c r="EN210" s="517"/>
      <c r="EO210" s="517"/>
      <c r="EP210" s="517"/>
      <c r="EQ210" s="517"/>
      <c r="ER210" s="517"/>
      <c r="ES210" s="627" t="s">
        <v>1140</v>
      </c>
    </row>
    <row r="211">
      <c r="A211" s="517"/>
      <c r="B211" s="517"/>
      <c r="C211" s="517"/>
      <c r="D211" s="517"/>
      <c r="E211" s="517"/>
      <c r="F211" s="517"/>
      <c r="G211" s="517"/>
      <c r="H211" s="517"/>
      <c r="I211" s="517"/>
      <c r="J211" s="517"/>
      <c r="K211" s="517"/>
      <c r="L211" s="517"/>
      <c r="M211" s="517"/>
      <c r="N211" s="517"/>
      <c r="O211" s="517"/>
      <c r="P211" s="517"/>
      <c r="Q211" s="517"/>
      <c r="R211" s="517"/>
      <c r="S211" s="517"/>
      <c r="T211" s="517"/>
      <c r="U211" s="517"/>
      <c r="V211" s="517"/>
      <c r="W211" s="517"/>
      <c r="X211" s="517"/>
      <c r="Y211" s="517"/>
      <c r="Z211" s="517"/>
      <c r="AA211" s="517"/>
      <c r="AB211" s="517"/>
      <c r="AC211" s="517"/>
      <c r="AD211" s="517"/>
      <c r="AE211" s="517"/>
      <c r="AF211" s="517"/>
      <c r="AG211" s="517"/>
      <c r="AH211" s="517"/>
      <c r="AI211" s="517"/>
      <c r="AJ211" s="517"/>
      <c r="AK211" s="517"/>
      <c r="AL211" s="517"/>
      <c r="AM211" s="517"/>
      <c r="AN211" s="517"/>
      <c r="AO211" s="517"/>
      <c r="AP211" s="517"/>
      <c r="AQ211" s="517"/>
      <c r="AR211" s="517"/>
      <c r="AS211" s="517"/>
      <c r="AT211" s="517"/>
      <c r="AU211" s="517"/>
      <c r="AV211" s="517"/>
      <c r="AW211" s="517"/>
      <c r="AX211" s="517"/>
      <c r="AY211" s="517"/>
      <c r="AZ211" s="517"/>
      <c r="BA211" s="517"/>
      <c r="BB211" s="517"/>
      <c r="BC211" s="517"/>
      <c r="BD211" s="517"/>
      <c r="BE211" s="517"/>
      <c r="BF211" s="517"/>
      <c r="BG211" s="517"/>
      <c r="BH211" s="517"/>
      <c r="BI211" s="517"/>
      <c r="BJ211" s="517"/>
      <c r="BK211" s="517"/>
      <c r="BL211" s="517"/>
      <c r="BM211" s="517"/>
      <c r="BN211" s="517"/>
      <c r="BO211" s="517"/>
      <c r="BP211" s="517"/>
      <c r="BQ211" s="517"/>
      <c r="BR211" s="517"/>
      <c r="BS211" s="517"/>
      <c r="BT211" s="517"/>
      <c r="BU211" s="517"/>
      <c r="BV211" s="517"/>
      <c r="BW211" s="517"/>
      <c r="BX211" s="517"/>
      <c r="BY211" s="517"/>
      <c r="BZ211" s="517"/>
      <c r="CA211" s="517"/>
      <c r="CB211" s="517"/>
      <c r="CC211" s="517"/>
      <c r="CD211" s="517"/>
      <c r="CE211" s="517"/>
      <c r="CF211" s="517"/>
      <c r="CG211" s="517"/>
      <c r="CH211" s="517"/>
      <c r="CI211" s="517"/>
      <c r="CJ211" s="517"/>
      <c r="CK211" s="517"/>
      <c r="CL211" s="517"/>
      <c r="CM211" s="517"/>
      <c r="CN211" s="517"/>
      <c r="CO211" s="517"/>
      <c r="CP211" s="517"/>
      <c r="CQ211" s="517"/>
      <c r="CR211" s="517"/>
      <c r="CS211" s="517"/>
      <c r="CT211" s="517"/>
      <c r="CU211" s="517"/>
      <c r="CV211" s="517"/>
      <c r="CW211" s="517"/>
      <c r="CX211" s="517"/>
      <c r="CY211" s="517"/>
      <c r="CZ211" s="517"/>
      <c r="DA211" s="517"/>
      <c r="DB211" s="517"/>
      <c r="DC211" s="517"/>
      <c r="DD211" s="517"/>
      <c r="DE211" s="517"/>
      <c r="DF211" s="517"/>
      <c r="DG211" s="517"/>
      <c r="DH211" s="517"/>
      <c r="DI211" s="517"/>
      <c r="DJ211" s="517"/>
      <c r="DK211" s="517"/>
      <c r="DL211" s="517"/>
      <c r="DM211" s="517"/>
      <c r="DN211" s="517"/>
      <c r="DO211" s="517"/>
      <c r="DP211" s="517"/>
      <c r="DQ211" s="517"/>
      <c r="DR211" s="517"/>
      <c r="DS211" s="517"/>
      <c r="DT211" s="517"/>
      <c r="DU211" s="517"/>
      <c r="DV211" s="517"/>
      <c r="DW211" s="517"/>
      <c r="DX211" s="517"/>
      <c r="DY211" s="517"/>
      <c r="DZ211" s="517"/>
      <c r="EA211" s="517"/>
      <c r="EB211" s="517"/>
      <c r="EC211" s="517"/>
      <c r="ED211" s="517"/>
      <c r="EE211" s="517"/>
      <c r="EF211" s="517"/>
      <c r="EG211" s="517"/>
      <c r="EH211" s="517"/>
      <c r="EI211" s="517"/>
      <c r="EJ211" s="517"/>
      <c r="EK211" s="517"/>
      <c r="EL211" s="517"/>
      <c r="EM211" s="517"/>
      <c r="EN211" s="517"/>
      <c r="EO211" s="517"/>
      <c r="EP211" s="517"/>
      <c r="EQ211" s="517"/>
      <c r="ER211" s="517"/>
      <c r="ES211" s="627" t="s">
        <v>1140</v>
      </c>
    </row>
    <row r="212">
      <c r="A212" s="517"/>
      <c r="B212" s="517"/>
      <c r="C212" s="517"/>
      <c r="D212" s="517"/>
      <c r="E212" s="517"/>
      <c r="F212" s="517"/>
      <c r="G212" s="517"/>
      <c r="H212" s="517"/>
      <c r="I212" s="517"/>
      <c r="J212" s="517"/>
      <c r="K212" s="517"/>
      <c r="L212" s="517"/>
      <c r="M212" s="517"/>
      <c r="N212" s="517"/>
      <c r="O212" s="517"/>
      <c r="P212" s="517"/>
      <c r="Q212" s="517"/>
      <c r="R212" s="517"/>
      <c r="S212" s="517"/>
      <c r="T212" s="517"/>
      <c r="U212" s="517"/>
      <c r="V212" s="517"/>
      <c r="W212" s="517"/>
      <c r="X212" s="517"/>
      <c r="Y212" s="517"/>
      <c r="Z212" s="517"/>
      <c r="AA212" s="517"/>
      <c r="AB212" s="517"/>
      <c r="AC212" s="517"/>
      <c r="AD212" s="517"/>
      <c r="AE212" s="517"/>
      <c r="AF212" s="517"/>
      <c r="AG212" s="517"/>
      <c r="AH212" s="517"/>
      <c r="AI212" s="517"/>
      <c r="AJ212" s="517"/>
      <c r="AK212" s="517"/>
      <c r="AL212" s="517"/>
      <c r="AM212" s="517"/>
      <c r="AN212" s="517"/>
      <c r="AO212" s="517"/>
      <c r="AP212" s="517"/>
      <c r="AQ212" s="517"/>
      <c r="AR212" s="517"/>
      <c r="AS212" s="517"/>
      <c r="AT212" s="517"/>
      <c r="AU212" s="517"/>
      <c r="AV212" s="517"/>
      <c r="AW212" s="517"/>
      <c r="AX212" s="517"/>
      <c r="AY212" s="517"/>
      <c r="AZ212" s="517"/>
      <c r="BA212" s="517"/>
      <c r="BB212" s="517"/>
      <c r="BC212" s="517"/>
      <c r="BD212" s="517"/>
      <c r="BE212" s="517"/>
      <c r="BF212" s="517"/>
      <c r="BG212" s="517"/>
      <c r="BH212" s="517"/>
      <c r="BI212" s="517"/>
      <c r="BJ212" s="517"/>
      <c r="BK212" s="517"/>
      <c r="BL212" s="517"/>
      <c r="BM212" s="517"/>
      <c r="BN212" s="517"/>
      <c r="BO212" s="517"/>
      <c r="BP212" s="517"/>
      <c r="BQ212" s="517"/>
      <c r="BR212" s="517"/>
      <c r="BS212" s="517"/>
      <c r="BT212" s="517"/>
      <c r="BU212" s="517"/>
      <c r="BV212" s="517"/>
      <c r="BW212" s="517"/>
      <c r="BX212" s="517"/>
      <c r="BY212" s="517"/>
      <c r="BZ212" s="517"/>
      <c r="CA212" s="517"/>
      <c r="CB212" s="517"/>
      <c r="CC212" s="517"/>
      <c r="CD212" s="517"/>
      <c r="CE212" s="517"/>
      <c r="CF212" s="517"/>
      <c r="CG212" s="517"/>
      <c r="CH212" s="517"/>
      <c r="CI212" s="517"/>
      <c r="CJ212" s="517"/>
      <c r="CK212" s="517"/>
      <c r="CL212" s="517"/>
      <c r="CM212" s="517"/>
      <c r="CN212" s="517"/>
      <c r="CO212" s="517"/>
      <c r="CP212" s="517"/>
      <c r="CQ212" s="517"/>
      <c r="CR212" s="517"/>
      <c r="CS212" s="517"/>
      <c r="CT212" s="517"/>
      <c r="CU212" s="517"/>
      <c r="CV212" s="517"/>
      <c r="CW212" s="517"/>
      <c r="CX212" s="517"/>
      <c r="CY212" s="517"/>
      <c r="CZ212" s="517"/>
      <c r="DA212" s="517"/>
      <c r="DB212" s="517"/>
      <c r="DC212" s="517"/>
      <c r="DD212" s="517"/>
      <c r="DE212" s="517"/>
      <c r="DF212" s="517"/>
      <c r="DG212" s="517"/>
      <c r="DH212" s="517"/>
      <c r="DI212" s="517"/>
      <c r="DJ212" s="517"/>
      <c r="DK212" s="517"/>
      <c r="DL212" s="517"/>
      <c r="DM212" s="517"/>
      <c r="DN212" s="517"/>
      <c r="DO212" s="517"/>
      <c r="DP212" s="517"/>
      <c r="DQ212" s="517"/>
      <c r="DR212" s="517"/>
      <c r="DS212" s="517"/>
      <c r="DT212" s="517"/>
      <c r="DU212" s="517"/>
      <c r="DV212" s="517"/>
      <c r="DW212" s="517"/>
      <c r="DX212" s="517"/>
      <c r="DY212" s="517"/>
      <c r="DZ212" s="517"/>
      <c r="EA212" s="517"/>
      <c r="EB212" s="517"/>
      <c r="EC212" s="517"/>
      <c r="ED212" s="517"/>
      <c r="EE212" s="517"/>
      <c r="EF212" s="517"/>
      <c r="EG212" s="517"/>
      <c r="EH212" s="517"/>
      <c r="EI212" s="517"/>
      <c r="EJ212" s="517"/>
      <c r="EK212" s="517"/>
      <c r="EL212" s="517"/>
      <c r="EM212" s="517"/>
      <c r="EN212" s="517"/>
      <c r="EO212" s="517"/>
      <c r="EP212" s="517"/>
      <c r="EQ212" s="517"/>
      <c r="ER212" s="517"/>
      <c r="ES212" s="627" t="s">
        <v>1140</v>
      </c>
    </row>
    <row r="213">
      <c r="A213" s="517"/>
      <c r="B213" s="517"/>
      <c r="C213" s="517"/>
      <c r="D213" s="517"/>
      <c r="E213" s="517"/>
      <c r="F213" s="517"/>
      <c r="G213" s="517"/>
      <c r="H213" s="517"/>
      <c r="I213" s="517"/>
      <c r="J213" s="517"/>
      <c r="K213" s="517"/>
      <c r="L213" s="517"/>
      <c r="M213" s="517"/>
      <c r="N213" s="517"/>
      <c r="O213" s="517"/>
      <c r="P213" s="517"/>
      <c r="Q213" s="517"/>
      <c r="R213" s="517"/>
      <c r="S213" s="517"/>
      <c r="T213" s="517"/>
      <c r="U213" s="517"/>
      <c r="V213" s="517"/>
      <c r="W213" s="517"/>
      <c r="X213" s="517"/>
      <c r="Y213" s="517"/>
      <c r="Z213" s="517"/>
      <c r="AA213" s="517"/>
      <c r="AB213" s="517"/>
      <c r="AC213" s="517"/>
      <c r="AD213" s="517"/>
      <c r="AE213" s="517"/>
      <c r="AF213" s="517"/>
      <c r="AG213" s="517"/>
      <c r="AH213" s="517"/>
      <c r="AI213" s="517"/>
      <c r="AJ213" s="517"/>
      <c r="AK213" s="517"/>
      <c r="AL213" s="517"/>
      <c r="AM213" s="517"/>
      <c r="AN213" s="517"/>
      <c r="AO213" s="517"/>
      <c r="AP213" s="517"/>
      <c r="AQ213" s="517"/>
      <c r="AR213" s="517"/>
      <c r="AS213" s="517"/>
      <c r="AT213" s="517"/>
      <c r="AU213" s="517"/>
      <c r="AV213" s="517"/>
      <c r="AW213" s="517"/>
      <c r="AX213" s="517"/>
      <c r="AY213" s="517"/>
      <c r="AZ213" s="517"/>
      <c r="BA213" s="517"/>
      <c r="BB213" s="517"/>
      <c r="BC213" s="517"/>
      <c r="BD213" s="517"/>
      <c r="BE213" s="517"/>
      <c r="BF213" s="517"/>
      <c r="BG213" s="517"/>
      <c r="BH213" s="517"/>
      <c r="BI213" s="517"/>
      <c r="BJ213" s="517"/>
      <c r="BK213" s="517"/>
      <c r="BL213" s="517"/>
      <c r="BM213" s="517"/>
      <c r="BN213" s="517"/>
      <c r="BO213" s="517"/>
      <c r="BP213" s="517"/>
      <c r="BQ213" s="517"/>
      <c r="BR213" s="517"/>
      <c r="BS213" s="517"/>
      <c r="BT213" s="517"/>
      <c r="BU213" s="517"/>
      <c r="BV213" s="517"/>
      <c r="BW213" s="517"/>
      <c r="BX213" s="517"/>
      <c r="BY213" s="517"/>
      <c r="BZ213" s="517"/>
      <c r="CA213" s="517"/>
      <c r="CB213" s="517"/>
      <c r="CC213" s="517"/>
      <c r="CD213" s="517"/>
      <c r="CE213" s="517"/>
      <c r="CF213" s="517"/>
      <c r="CG213" s="517"/>
      <c r="CH213" s="517"/>
      <c r="CI213" s="517"/>
      <c r="CJ213" s="517"/>
      <c r="CK213" s="517"/>
      <c r="CL213" s="517"/>
      <c r="CM213" s="517"/>
      <c r="CN213" s="517"/>
      <c r="CO213" s="517"/>
      <c r="CP213" s="517"/>
      <c r="CQ213" s="517"/>
      <c r="CR213" s="517"/>
      <c r="CS213" s="517"/>
      <c r="CT213" s="517"/>
      <c r="CU213" s="517"/>
      <c r="CV213" s="517"/>
      <c r="CW213" s="517"/>
      <c r="CX213" s="517"/>
      <c r="CY213" s="517"/>
      <c r="CZ213" s="517"/>
      <c r="DA213" s="517"/>
      <c r="DB213" s="517"/>
      <c r="DC213" s="517"/>
      <c r="DD213" s="517"/>
      <c r="DE213" s="517"/>
      <c r="DF213" s="517"/>
      <c r="DG213" s="517"/>
      <c r="DH213" s="517"/>
      <c r="DI213" s="517"/>
      <c r="DJ213" s="517"/>
      <c r="DK213" s="517"/>
      <c r="DL213" s="517"/>
      <c r="DM213" s="517"/>
      <c r="DN213" s="517"/>
      <c r="DO213" s="517"/>
      <c r="DP213" s="517"/>
      <c r="DQ213" s="517"/>
      <c r="DR213" s="517"/>
      <c r="DS213" s="517"/>
      <c r="DT213" s="517"/>
      <c r="DU213" s="517"/>
      <c r="DV213" s="517"/>
      <c r="DW213" s="517"/>
      <c r="DX213" s="517"/>
      <c r="DY213" s="517"/>
      <c r="DZ213" s="517"/>
      <c r="EA213" s="517"/>
      <c r="EB213" s="517"/>
      <c r="EC213" s="517"/>
      <c r="ED213" s="517"/>
      <c r="EE213" s="517"/>
      <c r="EF213" s="517"/>
      <c r="EG213" s="517"/>
      <c r="EH213" s="517"/>
      <c r="EI213" s="517"/>
      <c r="EJ213" s="517"/>
      <c r="EK213" s="517"/>
      <c r="EL213" s="517"/>
      <c r="EM213" s="517"/>
      <c r="EN213" s="517"/>
      <c r="EO213" s="517"/>
      <c r="EP213" s="517"/>
      <c r="EQ213" s="517"/>
      <c r="ER213" s="517"/>
      <c r="ES213" s="627" t="s">
        <v>1140</v>
      </c>
    </row>
    <row r="214">
      <c r="A214" s="517"/>
      <c r="B214" s="517"/>
      <c r="C214" s="517"/>
      <c r="D214" s="517"/>
      <c r="E214" s="517"/>
      <c r="F214" s="517"/>
      <c r="G214" s="517"/>
      <c r="H214" s="517"/>
      <c r="I214" s="517"/>
      <c r="J214" s="517"/>
      <c r="K214" s="517"/>
      <c r="L214" s="517"/>
      <c r="M214" s="517"/>
      <c r="N214" s="517"/>
      <c r="O214" s="517"/>
      <c r="P214" s="517"/>
      <c r="Q214" s="517"/>
      <c r="R214" s="517"/>
      <c r="S214" s="517"/>
      <c r="T214" s="517"/>
      <c r="U214" s="517"/>
      <c r="V214" s="517"/>
      <c r="W214" s="517"/>
      <c r="X214" s="517"/>
      <c r="Y214" s="517"/>
      <c r="Z214" s="517"/>
      <c r="AA214" s="517"/>
      <c r="AB214" s="517"/>
      <c r="AC214" s="517"/>
      <c r="AD214" s="517"/>
      <c r="AE214" s="517"/>
      <c r="AF214" s="517"/>
      <c r="AG214" s="517"/>
      <c r="AH214" s="517"/>
      <c r="AI214" s="517"/>
      <c r="AJ214" s="517"/>
      <c r="AK214" s="517"/>
      <c r="AL214" s="517"/>
      <c r="AM214" s="517"/>
      <c r="AN214" s="517"/>
      <c r="AO214" s="517"/>
      <c r="AP214" s="517"/>
      <c r="AQ214" s="517"/>
      <c r="AR214" s="517"/>
      <c r="AS214" s="517"/>
      <c r="AT214" s="517"/>
      <c r="AU214" s="517"/>
      <c r="AV214" s="517"/>
      <c r="AW214" s="517"/>
      <c r="AX214" s="517"/>
      <c r="AY214" s="517"/>
      <c r="AZ214" s="517"/>
      <c r="BA214" s="517"/>
      <c r="BB214" s="517"/>
      <c r="BC214" s="517"/>
      <c r="BD214" s="517"/>
      <c r="BE214" s="517"/>
      <c r="BF214" s="517"/>
      <c r="BG214" s="517"/>
      <c r="BH214" s="517"/>
      <c r="BI214" s="517"/>
      <c r="BJ214" s="517"/>
      <c r="BK214" s="517"/>
      <c r="BL214" s="517"/>
      <c r="BM214" s="517"/>
      <c r="BN214" s="517"/>
      <c r="BO214" s="517"/>
      <c r="BP214" s="517"/>
      <c r="BQ214" s="517"/>
      <c r="BR214" s="517"/>
      <c r="BS214" s="517"/>
      <c r="BT214" s="517"/>
      <c r="BU214" s="517"/>
      <c r="BV214" s="517"/>
      <c r="BW214" s="517"/>
      <c r="BX214" s="517"/>
      <c r="BY214" s="517"/>
      <c r="BZ214" s="517"/>
      <c r="CA214" s="517"/>
      <c r="CB214" s="517"/>
      <c r="CC214" s="517"/>
      <c r="CD214" s="517"/>
      <c r="CE214" s="517"/>
      <c r="CF214" s="517"/>
      <c r="CG214" s="517"/>
      <c r="CH214" s="517"/>
      <c r="CI214" s="517"/>
      <c r="CJ214" s="517"/>
      <c r="CK214" s="517"/>
      <c r="CL214" s="517"/>
      <c r="CM214" s="517"/>
      <c r="CN214" s="517"/>
      <c r="CO214" s="517"/>
      <c r="CP214" s="517"/>
      <c r="CQ214" s="517"/>
      <c r="CR214" s="517"/>
      <c r="CS214" s="517"/>
      <c r="CT214" s="517"/>
      <c r="CU214" s="517"/>
      <c r="CV214" s="517"/>
      <c r="CW214" s="517"/>
      <c r="CX214" s="517"/>
      <c r="CY214" s="517"/>
      <c r="CZ214" s="517"/>
      <c r="DA214" s="517"/>
      <c r="DB214" s="517"/>
      <c r="DC214" s="517"/>
      <c r="DD214" s="517"/>
      <c r="DE214" s="517"/>
      <c r="DF214" s="517"/>
      <c r="DG214" s="517"/>
      <c r="DH214" s="517"/>
      <c r="DI214" s="517"/>
      <c r="DJ214" s="517"/>
      <c r="DK214" s="517"/>
      <c r="DL214" s="517"/>
      <c r="DM214" s="517"/>
      <c r="DN214" s="517"/>
      <c r="DO214" s="517"/>
      <c r="DP214" s="517"/>
      <c r="DQ214" s="517"/>
      <c r="DR214" s="517"/>
      <c r="DS214" s="517"/>
      <c r="DT214" s="517"/>
      <c r="DU214" s="517"/>
      <c r="DV214" s="517"/>
      <c r="DW214" s="517"/>
      <c r="DX214" s="517"/>
      <c r="DY214" s="517"/>
      <c r="DZ214" s="517"/>
      <c r="EA214" s="517"/>
      <c r="EB214" s="517"/>
      <c r="EC214" s="517"/>
      <c r="ED214" s="517"/>
      <c r="EE214" s="517"/>
      <c r="EF214" s="517"/>
      <c r="EG214" s="517"/>
      <c r="EH214" s="517"/>
      <c r="EI214" s="517"/>
      <c r="EJ214" s="517"/>
      <c r="EK214" s="517"/>
      <c r="EL214" s="517"/>
      <c r="EM214" s="517"/>
      <c r="EN214" s="517"/>
      <c r="EO214" s="517"/>
      <c r="EP214" s="517"/>
      <c r="EQ214" s="517"/>
      <c r="ER214" s="517"/>
      <c r="ES214" s="627" t="s">
        <v>1140</v>
      </c>
    </row>
    <row r="215">
      <c r="A215" s="517"/>
      <c r="B215" s="517"/>
      <c r="C215" s="517"/>
      <c r="D215" s="517"/>
      <c r="E215" s="517"/>
      <c r="F215" s="517"/>
      <c r="G215" s="517"/>
      <c r="H215" s="517"/>
      <c r="I215" s="517"/>
      <c r="J215" s="517"/>
      <c r="K215" s="517"/>
      <c r="L215" s="517"/>
      <c r="M215" s="517"/>
      <c r="N215" s="517"/>
      <c r="O215" s="517"/>
      <c r="P215" s="517"/>
      <c r="Q215" s="517"/>
      <c r="R215" s="517"/>
      <c r="S215" s="517"/>
      <c r="T215" s="517"/>
      <c r="U215" s="517"/>
      <c r="V215" s="517"/>
      <c r="W215" s="517"/>
      <c r="X215" s="517"/>
      <c r="Y215" s="517"/>
      <c r="Z215" s="517"/>
      <c r="AA215" s="517"/>
      <c r="AB215" s="517"/>
      <c r="AC215" s="517"/>
      <c r="AD215" s="517"/>
      <c r="AE215" s="517"/>
      <c r="AF215" s="517"/>
      <c r="AG215" s="517"/>
      <c r="AH215" s="517"/>
      <c r="AI215" s="517"/>
      <c r="AJ215" s="517"/>
      <c r="AK215" s="517"/>
      <c r="AL215" s="517"/>
      <c r="AM215" s="517"/>
      <c r="AN215" s="517"/>
      <c r="AO215" s="517"/>
      <c r="AP215" s="517"/>
      <c r="AQ215" s="517"/>
      <c r="AR215" s="517"/>
      <c r="AS215" s="517"/>
      <c r="AT215" s="517"/>
      <c r="AU215" s="517"/>
      <c r="AV215" s="517"/>
      <c r="AW215" s="517"/>
      <c r="AX215" s="517"/>
      <c r="AY215" s="517"/>
      <c r="AZ215" s="517"/>
      <c r="BA215" s="517"/>
      <c r="BB215" s="517"/>
      <c r="BC215" s="517"/>
      <c r="BD215" s="517"/>
      <c r="BE215" s="517"/>
      <c r="BF215" s="517"/>
      <c r="BG215" s="517"/>
      <c r="BH215" s="517"/>
      <c r="BI215" s="517"/>
      <c r="BJ215" s="517"/>
      <c r="BK215" s="517"/>
      <c r="BL215" s="517"/>
      <c r="BM215" s="517"/>
      <c r="BN215" s="517"/>
      <c r="BO215" s="517"/>
      <c r="BP215" s="517"/>
      <c r="BQ215" s="517"/>
      <c r="BR215" s="517"/>
      <c r="BS215" s="517"/>
      <c r="BT215" s="517"/>
      <c r="BU215" s="517"/>
      <c r="BV215" s="517"/>
      <c r="BW215" s="517"/>
      <c r="BX215" s="517"/>
      <c r="BY215" s="517"/>
      <c r="BZ215" s="517"/>
      <c r="CA215" s="517"/>
      <c r="CB215" s="517"/>
      <c r="CC215" s="517"/>
      <c r="CD215" s="517"/>
      <c r="CE215" s="517"/>
      <c r="CF215" s="517"/>
      <c r="CG215" s="517"/>
      <c r="CH215" s="517"/>
      <c r="CI215" s="517"/>
      <c r="CJ215" s="517"/>
      <c r="CK215" s="517"/>
      <c r="CL215" s="517"/>
      <c r="CM215" s="517"/>
      <c r="CN215" s="517"/>
      <c r="CO215" s="517"/>
      <c r="CP215" s="517"/>
      <c r="CQ215" s="517"/>
      <c r="CR215" s="517"/>
      <c r="CS215" s="517"/>
      <c r="CT215" s="517"/>
      <c r="CU215" s="517"/>
      <c r="CV215" s="517"/>
      <c r="CW215" s="517"/>
      <c r="CX215" s="517"/>
      <c r="CY215" s="517"/>
      <c r="CZ215" s="517"/>
      <c r="DA215" s="517"/>
      <c r="DB215" s="517"/>
      <c r="DC215" s="517"/>
      <c r="DD215" s="517"/>
      <c r="DE215" s="517"/>
      <c r="DF215" s="517"/>
      <c r="DG215" s="517"/>
      <c r="DH215" s="517"/>
      <c r="DI215" s="517"/>
      <c r="DJ215" s="517"/>
      <c r="DK215" s="517"/>
      <c r="DL215" s="517"/>
      <c r="DM215" s="517"/>
      <c r="DN215" s="517"/>
      <c r="DO215" s="517"/>
      <c r="DP215" s="517"/>
      <c r="DQ215" s="517"/>
      <c r="DR215" s="517"/>
      <c r="DS215" s="517"/>
      <c r="DT215" s="517"/>
      <c r="DU215" s="517"/>
      <c r="DV215" s="517"/>
      <c r="DW215" s="517"/>
      <c r="DX215" s="517"/>
      <c r="DY215" s="517"/>
      <c r="DZ215" s="517"/>
      <c r="EA215" s="517"/>
      <c r="EB215" s="517"/>
      <c r="EC215" s="517"/>
      <c r="ED215" s="517"/>
      <c r="EE215" s="517"/>
      <c r="EF215" s="517"/>
      <c r="EG215" s="517"/>
      <c r="EH215" s="517"/>
      <c r="EI215" s="517"/>
      <c r="EJ215" s="517"/>
      <c r="EK215" s="517"/>
      <c r="EL215" s="517"/>
      <c r="EM215" s="517"/>
      <c r="EN215" s="517"/>
      <c r="EO215" s="517"/>
      <c r="EP215" s="517"/>
      <c r="EQ215" s="517"/>
      <c r="ER215" s="517"/>
      <c r="ES215" s="627" t="s">
        <v>1140</v>
      </c>
    </row>
    <row r="216">
      <c r="A216" s="517"/>
      <c r="B216" s="517"/>
      <c r="C216" s="517"/>
      <c r="D216" s="517"/>
      <c r="E216" s="517"/>
      <c r="F216" s="517"/>
      <c r="G216" s="517"/>
      <c r="H216" s="517"/>
      <c r="I216" s="517"/>
      <c r="J216" s="517"/>
      <c r="K216" s="517"/>
      <c r="L216" s="517"/>
      <c r="M216" s="517"/>
      <c r="N216" s="517"/>
      <c r="O216" s="517"/>
      <c r="P216" s="517"/>
      <c r="Q216" s="517"/>
      <c r="R216" s="517"/>
      <c r="S216" s="517"/>
      <c r="T216" s="517"/>
      <c r="U216" s="517"/>
      <c r="V216" s="517"/>
      <c r="W216" s="517"/>
      <c r="X216" s="517"/>
      <c r="Y216" s="517"/>
      <c r="Z216" s="517"/>
      <c r="AA216" s="517"/>
      <c r="AB216" s="517"/>
      <c r="AC216" s="517"/>
      <c r="AD216" s="517"/>
      <c r="AE216" s="517"/>
      <c r="AF216" s="517"/>
      <c r="AG216" s="517"/>
      <c r="AH216" s="517"/>
      <c r="AI216" s="517"/>
      <c r="AJ216" s="517"/>
      <c r="AK216" s="517"/>
      <c r="AL216" s="517"/>
      <c r="AM216" s="517"/>
      <c r="AN216" s="517"/>
      <c r="AO216" s="517"/>
      <c r="AP216" s="517"/>
      <c r="AQ216" s="517"/>
      <c r="AR216" s="517"/>
      <c r="AS216" s="517"/>
      <c r="AT216" s="517"/>
      <c r="AU216" s="517"/>
      <c r="AV216" s="517"/>
      <c r="AW216" s="517"/>
      <c r="AX216" s="517"/>
      <c r="AY216" s="517"/>
      <c r="AZ216" s="517"/>
      <c r="BA216" s="517"/>
      <c r="BB216" s="517"/>
      <c r="BC216" s="517"/>
      <c r="BD216" s="517"/>
      <c r="BE216" s="517"/>
      <c r="BF216" s="517"/>
      <c r="BG216" s="517"/>
      <c r="BH216" s="517"/>
      <c r="BI216" s="517"/>
      <c r="BJ216" s="517"/>
      <c r="BK216" s="517"/>
      <c r="BL216" s="517"/>
      <c r="BM216" s="517"/>
      <c r="BN216" s="517"/>
      <c r="BO216" s="517"/>
      <c r="BP216" s="517"/>
      <c r="BQ216" s="517"/>
      <c r="BR216" s="517"/>
      <c r="BS216" s="517"/>
      <c r="BT216" s="517"/>
      <c r="BU216" s="517"/>
      <c r="BV216" s="517"/>
      <c r="BW216" s="517"/>
      <c r="BX216" s="517"/>
      <c r="BY216" s="517"/>
      <c r="BZ216" s="517"/>
      <c r="CA216" s="517"/>
      <c r="CB216" s="517"/>
      <c r="CC216" s="517"/>
      <c r="CD216" s="517"/>
      <c r="CE216" s="517"/>
      <c r="CF216" s="517"/>
      <c r="CG216" s="517"/>
      <c r="CH216" s="517"/>
      <c r="CI216" s="517"/>
      <c r="CJ216" s="517"/>
      <c r="CK216" s="517"/>
      <c r="CL216" s="517"/>
      <c r="CM216" s="517"/>
      <c r="CN216" s="517"/>
      <c r="CO216" s="517"/>
      <c r="CP216" s="517"/>
      <c r="CQ216" s="517"/>
      <c r="CR216" s="517"/>
      <c r="CS216" s="517"/>
      <c r="CT216" s="517"/>
      <c r="CU216" s="517"/>
      <c r="CV216" s="517"/>
      <c r="CW216" s="517"/>
      <c r="CX216" s="517"/>
      <c r="CY216" s="517"/>
      <c r="CZ216" s="517"/>
      <c r="DA216" s="517"/>
      <c r="DB216" s="517"/>
      <c r="DC216" s="517"/>
      <c r="DD216" s="517"/>
      <c r="DE216" s="517"/>
      <c r="DF216" s="517"/>
      <c r="DG216" s="517"/>
      <c r="DH216" s="517"/>
      <c r="DI216" s="517"/>
      <c r="DJ216" s="517"/>
      <c r="DK216" s="517"/>
      <c r="DL216" s="517"/>
      <c r="DM216" s="517"/>
      <c r="DN216" s="517"/>
      <c r="DO216" s="517"/>
      <c r="DP216" s="517"/>
      <c r="DQ216" s="517"/>
      <c r="DR216" s="517"/>
      <c r="DS216" s="517"/>
      <c r="DT216" s="517"/>
      <c r="DU216" s="517"/>
      <c r="DV216" s="517"/>
      <c r="DW216" s="517"/>
      <c r="DX216" s="517"/>
      <c r="DY216" s="517"/>
      <c r="DZ216" s="517"/>
      <c r="EA216" s="517"/>
      <c r="EB216" s="517"/>
      <c r="EC216" s="517"/>
      <c r="ED216" s="517"/>
      <c r="EE216" s="517"/>
      <c r="EF216" s="517"/>
      <c r="EG216" s="517"/>
      <c r="EH216" s="517"/>
      <c r="EI216" s="517"/>
      <c r="EJ216" s="517"/>
      <c r="EK216" s="517"/>
      <c r="EL216" s="517"/>
      <c r="EM216" s="517"/>
      <c r="EN216" s="517"/>
      <c r="EO216" s="517"/>
      <c r="EP216" s="517"/>
      <c r="EQ216" s="517"/>
      <c r="ER216" s="517"/>
      <c r="ES216" s="627" t="s">
        <v>1140</v>
      </c>
    </row>
    <row r="217">
      <c r="A217" s="517"/>
      <c r="B217" s="517"/>
      <c r="C217" s="517"/>
      <c r="D217" s="517"/>
      <c r="E217" s="517"/>
      <c r="F217" s="517"/>
      <c r="G217" s="517"/>
      <c r="H217" s="517"/>
      <c r="I217" s="517"/>
      <c r="J217" s="517"/>
      <c r="K217" s="517"/>
      <c r="L217" s="517"/>
      <c r="M217" s="517"/>
      <c r="N217" s="517"/>
      <c r="O217" s="517"/>
      <c r="P217" s="517"/>
      <c r="Q217" s="517"/>
      <c r="R217" s="517"/>
      <c r="S217" s="517"/>
      <c r="T217" s="517"/>
      <c r="U217" s="517"/>
      <c r="V217" s="517"/>
      <c r="W217" s="517"/>
      <c r="X217" s="517"/>
      <c r="Y217" s="517"/>
      <c r="Z217" s="517"/>
      <c r="AA217" s="517"/>
      <c r="AB217" s="517"/>
      <c r="AC217" s="517"/>
      <c r="AD217" s="517"/>
      <c r="AE217" s="517"/>
      <c r="AF217" s="517"/>
      <c r="AG217" s="517"/>
      <c r="AH217" s="517"/>
      <c r="AI217" s="517"/>
      <c r="AJ217" s="517"/>
      <c r="AK217" s="517"/>
      <c r="AL217" s="517"/>
      <c r="AM217" s="517"/>
      <c r="AN217" s="517"/>
      <c r="AO217" s="517"/>
      <c r="AP217" s="517"/>
      <c r="AQ217" s="517"/>
      <c r="AR217" s="517"/>
      <c r="AS217" s="517"/>
      <c r="AT217" s="517"/>
      <c r="AU217" s="517"/>
      <c r="AV217" s="517"/>
      <c r="AW217" s="517"/>
      <c r="AX217" s="517"/>
      <c r="AY217" s="517"/>
      <c r="AZ217" s="517"/>
      <c r="BA217" s="517"/>
      <c r="BB217" s="517"/>
      <c r="BC217" s="517"/>
      <c r="BD217" s="517"/>
      <c r="BE217" s="517"/>
      <c r="BF217" s="517"/>
      <c r="BG217" s="517"/>
      <c r="BH217" s="517"/>
      <c r="BI217" s="517"/>
      <c r="BJ217" s="517"/>
      <c r="BK217" s="517"/>
      <c r="BL217" s="517"/>
      <c r="BM217" s="517"/>
      <c r="BN217" s="517"/>
      <c r="BO217" s="517"/>
      <c r="BP217" s="517"/>
      <c r="BQ217" s="517"/>
      <c r="BR217" s="517"/>
      <c r="BS217" s="517"/>
      <c r="BT217" s="517"/>
      <c r="BU217" s="517"/>
      <c r="BV217" s="517"/>
      <c r="BW217" s="517"/>
      <c r="BX217" s="517"/>
      <c r="BY217" s="517"/>
      <c r="BZ217" s="517"/>
      <c r="CA217" s="517"/>
      <c r="CB217" s="517"/>
      <c r="CC217" s="517"/>
      <c r="CD217" s="517"/>
      <c r="CE217" s="517"/>
      <c r="CF217" s="517"/>
      <c r="CG217" s="517"/>
      <c r="CH217" s="517"/>
      <c r="CI217" s="517"/>
      <c r="CJ217" s="517"/>
      <c r="CK217" s="517"/>
      <c r="CL217" s="517"/>
      <c r="CM217" s="517"/>
      <c r="CN217" s="517"/>
      <c r="CO217" s="517"/>
      <c r="CP217" s="517"/>
      <c r="CQ217" s="517"/>
      <c r="CR217" s="517"/>
      <c r="CS217" s="517"/>
      <c r="CT217" s="517"/>
      <c r="CU217" s="517"/>
      <c r="CV217" s="517"/>
      <c r="CW217" s="517"/>
      <c r="CX217" s="517"/>
      <c r="CY217" s="517"/>
      <c r="CZ217" s="517"/>
      <c r="DA217" s="517"/>
      <c r="DB217" s="517"/>
      <c r="DC217" s="517"/>
      <c r="DD217" s="517"/>
      <c r="DE217" s="517"/>
      <c r="DF217" s="517"/>
      <c r="DG217" s="517"/>
      <c r="DH217" s="517"/>
      <c r="DI217" s="517"/>
      <c r="DJ217" s="517"/>
      <c r="DK217" s="517"/>
      <c r="DL217" s="517"/>
      <c r="DM217" s="517"/>
      <c r="DN217" s="517"/>
      <c r="DO217" s="517"/>
      <c r="DP217" s="517"/>
      <c r="DQ217" s="517"/>
      <c r="DR217" s="517"/>
      <c r="DS217" s="517"/>
      <c r="DT217" s="517"/>
      <c r="DU217" s="517"/>
      <c r="DV217" s="517"/>
      <c r="DW217" s="517"/>
      <c r="DX217" s="517"/>
      <c r="DY217" s="517"/>
      <c r="DZ217" s="517"/>
      <c r="EA217" s="517"/>
      <c r="EB217" s="517"/>
      <c r="EC217" s="517"/>
      <c r="ED217" s="517"/>
      <c r="EE217" s="517"/>
      <c r="EF217" s="517"/>
      <c r="EG217" s="517"/>
      <c r="EH217" s="517"/>
      <c r="EI217" s="517"/>
      <c r="EJ217" s="517"/>
      <c r="EK217" s="517"/>
      <c r="EL217" s="517"/>
      <c r="EM217" s="517"/>
      <c r="EN217" s="517"/>
      <c r="EO217" s="517"/>
      <c r="EP217" s="517"/>
      <c r="EQ217" s="517"/>
      <c r="ER217" s="517"/>
      <c r="ES217" s="627" t="s">
        <v>1140</v>
      </c>
    </row>
    <row r="218">
      <c r="A218" s="517"/>
      <c r="B218" s="517"/>
      <c r="C218" s="517"/>
      <c r="D218" s="517"/>
      <c r="E218" s="517"/>
      <c r="F218" s="517"/>
      <c r="G218" s="517"/>
      <c r="H218" s="517"/>
      <c r="I218" s="517"/>
      <c r="J218" s="517"/>
      <c r="K218" s="517"/>
      <c r="L218" s="517"/>
      <c r="M218" s="517"/>
      <c r="N218" s="517"/>
      <c r="O218" s="517"/>
      <c r="P218" s="517"/>
      <c r="Q218" s="517"/>
      <c r="R218" s="517"/>
      <c r="S218" s="517"/>
      <c r="T218" s="517"/>
      <c r="U218" s="517"/>
      <c r="V218" s="517"/>
      <c r="W218" s="517"/>
      <c r="X218" s="517"/>
      <c r="Y218" s="517"/>
      <c r="Z218" s="517"/>
      <c r="AA218" s="517"/>
      <c r="AB218" s="517"/>
      <c r="AC218" s="517"/>
      <c r="AD218" s="517"/>
      <c r="AE218" s="517"/>
      <c r="AF218" s="517"/>
      <c r="AG218" s="517"/>
      <c r="AH218" s="517"/>
      <c r="AI218" s="517"/>
      <c r="AJ218" s="517"/>
      <c r="AK218" s="517"/>
      <c r="AL218" s="517"/>
      <c r="AM218" s="517"/>
      <c r="AN218" s="517"/>
      <c r="AO218" s="517"/>
      <c r="AP218" s="517"/>
      <c r="AQ218" s="517"/>
      <c r="AR218" s="517"/>
      <c r="AS218" s="517"/>
      <c r="AT218" s="517"/>
      <c r="AU218" s="517"/>
      <c r="AV218" s="517"/>
      <c r="AW218" s="517"/>
      <c r="AX218" s="517"/>
      <c r="AY218" s="517"/>
      <c r="AZ218" s="517"/>
      <c r="BA218" s="517"/>
      <c r="BB218" s="517"/>
      <c r="BC218" s="517"/>
      <c r="BD218" s="517"/>
      <c r="BE218" s="517"/>
      <c r="BF218" s="517"/>
      <c r="BG218" s="517"/>
      <c r="BH218" s="517"/>
      <c r="BI218" s="517"/>
      <c r="BJ218" s="517"/>
      <c r="BK218" s="517"/>
      <c r="BL218" s="517"/>
      <c r="BM218" s="517"/>
      <c r="BN218" s="517"/>
      <c r="BO218" s="517"/>
      <c r="BP218" s="517"/>
      <c r="BQ218" s="517"/>
      <c r="BR218" s="517"/>
      <c r="BS218" s="517"/>
      <c r="BT218" s="517"/>
      <c r="BU218" s="517"/>
      <c r="BV218" s="517"/>
      <c r="BW218" s="517"/>
      <c r="BX218" s="517"/>
      <c r="BY218" s="517"/>
      <c r="BZ218" s="517"/>
      <c r="CA218" s="517"/>
      <c r="CB218" s="517"/>
      <c r="CC218" s="517"/>
      <c r="CD218" s="517"/>
      <c r="CE218" s="517"/>
      <c r="CF218" s="517"/>
      <c r="CG218" s="517"/>
      <c r="CH218" s="517"/>
      <c r="CI218" s="517"/>
      <c r="CJ218" s="517"/>
      <c r="CK218" s="517"/>
      <c r="CL218" s="517"/>
      <c r="CM218" s="517"/>
      <c r="CN218" s="517"/>
      <c r="CO218" s="517"/>
      <c r="CP218" s="517"/>
      <c r="CQ218" s="517"/>
      <c r="CR218" s="517"/>
      <c r="CS218" s="517"/>
      <c r="CT218" s="517"/>
      <c r="CU218" s="517"/>
      <c r="CV218" s="517"/>
      <c r="CW218" s="517"/>
      <c r="CX218" s="517"/>
      <c r="CY218" s="517"/>
      <c r="CZ218" s="517"/>
      <c r="DA218" s="517"/>
      <c r="DB218" s="517"/>
      <c r="DC218" s="517"/>
      <c r="DD218" s="517"/>
      <c r="DE218" s="517"/>
      <c r="DF218" s="517"/>
      <c r="DG218" s="517"/>
      <c r="DH218" s="517"/>
      <c r="DI218" s="517"/>
      <c r="DJ218" s="517"/>
      <c r="DK218" s="517"/>
      <c r="DL218" s="517"/>
      <c r="DM218" s="517"/>
      <c r="DN218" s="517"/>
      <c r="DO218" s="517"/>
      <c r="DP218" s="517"/>
      <c r="DQ218" s="517"/>
      <c r="DR218" s="517"/>
      <c r="DS218" s="517"/>
      <c r="DT218" s="517"/>
      <c r="DU218" s="517"/>
      <c r="DV218" s="517"/>
      <c r="DW218" s="517"/>
      <c r="DX218" s="517"/>
      <c r="DY218" s="517"/>
      <c r="DZ218" s="517"/>
      <c r="EA218" s="517"/>
      <c r="EB218" s="517"/>
      <c r="EC218" s="517"/>
      <c r="ED218" s="517"/>
      <c r="EE218" s="517"/>
      <c r="EF218" s="517"/>
      <c r="EG218" s="517"/>
      <c r="EH218" s="517"/>
      <c r="EI218" s="517"/>
      <c r="EJ218" s="517"/>
      <c r="EK218" s="517"/>
      <c r="EL218" s="517"/>
      <c r="EM218" s="517"/>
      <c r="EN218" s="517"/>
      <c r="EO218" s="517"/>
      <c r="EP218" s="517"/>
      <c r="EQ218" s="517"/>
      <c r="ER218" s="517"/>
      <c r="ES218" s="627" t="s">
        <v>1140</v>
      </c>
    </row>
    <row r="219">
      <c r="A219" s="517"/>
      <c r="B219" s="517"/>
      <c r="C219" s="517"/>
      <c r="D219" s="517"/>
      <c r="E219" s="517"/>
      <c r="F219" s="517"/>
      <c r="G219" s="517"/>
      <c r="H219" s="517"/>
      <c r="I219" s="517"/>
      <c r="J219" s="517"/>
      <c r="K219" s="517"/>
      <c r="L219" s="517"/>
      <c r="M219" s="517"/>
      <c r="N219" s="517"/>
      <c r="O219" s="517"/>
      <c r="P219" s="517"/>
      <c r="Q219" s="517"/>
      <c r="R219" s="517"/>
      <c r="S219" s="517"/>
      <c r="T219" s="517"/>
      <c r="U219" s="517"/>
      <c r="V219" s="517"/>
      <c r="W219" s="517"/>
      <c r="X219" s="517"/>
      <c r="Y219" s="517"/>
      <c r="Z219" s="517"/>
      <c r="AA219" s="517"/>
      <c r="AB219" s="517"/>
      <c r="AC219" s="517"/>
      <c r="AD219" s="517"/>
      <c r="AE219" s="517"/>
      <c r="AF219" s="517"/>
      <c r="AG219" s="517"/>
      <c r="AH219" s="517"/>
      <c r="AI219" s="517"/>
      <c r="AJ219" s="517"/>
      <c r="AK219" s="517"/>
      <c r="AL219" s="517"/>
      <c r="AM219" s="517"/>
      <c r="AN219" s="517"/>
      <c r="AO219" s="517"/>
      <c r="AP219" s="517"/>
      <c r="AQ219" s="517"/>
      <c r="AR219" s="517"/>
      <c r="AS219" s="517"/>
      <c r="AT219" s="517"/>
      <c r="AU219" s="517"/>
      <c r="AV219" s="517"/>
      <c r="AW219" s="517"/>
      <c r="AX219" s="517"/>
      <c r="AY219" s="517"/>
      <c r="AZ219" s="517"/>
      <c r="BA219" s="517"/>
      <c r="BB219" s="517"/>
      <c r="BC219" s="517"/>
      <c r="BD219" s="517"/>
      <c r="BE219" s="517"/>
      <c r="BF219" s="517"/>
      <c r="BG219" s="517"/>
      <c r="BH219" s="517"/>
      <c r="BI219" s="517"/>
      <c r="BJ219" s="517"/>
      <c r="BK219" s="517"/>
      <c r="BL219" s="517"/>
      <c r="BM219" s="517"/>
      <c r="BN219" s="517"/>
      <c r="BO219" s="517"/>
      <c r="BP219" s="517"/>
      <c r="BQ219" s="517"/>
      <c r="BR219" s="517"/>
      <c r="BS219" s="517"/>
      <c r="BT219" s="517"/>
      <c r="BU219" s="517"/>
      <c r="BV219" s="517"/>
      <c r="BW219" s="517"/>
      <c r="BX219" s="517"/>
      <c r="BY219" s="517"/>
      <c r="BZ219" s="517"/>
      <c r="CA219" s="517"/>
      <c r="CB219" s="517"/>
      <c r="CC219" s="517"/>
      <c r="CD219" s="517"/>
      <c r="CE219" s="517"/>
      <c r="CF219" s="517"/>
      <c r="CG219" s="517"/>
      <c r="CH219" s="517"/>
      <c r="CI219" s="517"/>
      <c r="CJ219" s="517"/>
      <c r="CK219" s="517"/>
      <c r="CL219" s="517"/>
      <c r="CM219" s="517"/>
      <c r="CN219" s="517"/>
      <c r="CO219" s="517"/>
      <c r="CP219" s="517"/>
      <c r="CQ219" s="517"/>
      <c r="CR219" s="517"/>
      <c r="CS219" s="517"/>
      <c r="CT219" s="517"/>
      <c r="CU219" s="517"/>
      <c r="CV219" s="517"/>
      <c r="CW219" s="517"/>
      <c r="CX219" s="517"/>
      <c r="CY219" s="517"/>
      <c r="CZ219" s="517"/>
      <c r="DA219" s="517"/>
      <c r="DB219" s="517"/>
      <c r="DC219" s="517"/>
      <c r="DD219" s="517"/>
      <c r="DE219" s="517"/>
      <c r="DF219" s="517"/>
      <c r="DG219" s="517"/>
      <c r="DH219" s="517"/>
      <c r="DI219" s="517"/>
      <c r="DJ219" s="517"/>
      <c r="DK219" s="517"/>
      <c r="DL219" s="517"/>
      <c r="DM219" s="517"/>
      <c r="DN219" s="517"/>
      <c r="DO219" s="517"/>
      <c r="DP219" s="517"/>
      <c r="DQ219" s="517"/>
      <c r="DR219" s="517"/>
      <c r="DS219" s="517"/>
      <c r="DT219" s="517"/>
      <c r="DU219" s="517"/>
      <c r="DV219" s="517"/>
      <c r="DW219" s="517"/>
      <c r="DX219" s="517"/>
      <c r="DY219" s="517"/>
      <c r="DZ219" s="517"/>
      <c r="EA219" s="517"/>
      <c r="EB219" s="517"/>
      <c r="EC219" s="517"/>
      <c r="ED219" s="517"/>
      <c r="EE219" s="517"/>
      <c r="EF219" s="517"/>
      <c r="EG219" s="517"/>
      <c r="EH219" s="517"/>
      <c r="EI219" s="517"/>
      <c r="EJ219" s="517"/>
      <c r="EK219" s="517"/>
      <c r="EL219" s="517"/>
      <c r="EM219" s="517"/>
      <c r="EN219" s="517"/>
      <c r="EO219" s="517"/>
      <c r="EP219" s="517"/>
      <c r="EQ219" s="517"/>
      <c r="ER219" s="517"/>
      <c r="ES219" s="627" t="s">
        <v>1140</v>
      </c>
    </row>
    <row r="220">
      <c r="A220" s="517"/>
      <c r="B220" s="517"/>
      <c r="C220" s="517"/>
      <c r="D220" s="517"/>
      <c r="E220" s="517"/>
      <c r="F220" s="517"/>
      <c r="G220" s="517"/>
      <c r="H220" s="517"/>
      <c r="I220" s="517"/>
      <c r="J220" s="517"/>
      <c r="K220" s="517"/>
      <c r="L220" s="517"/>
      <c r="M220" s="517"/>
      <c r="N220" s="517"/>
      <c r="O220" s="517"/>
      <c r="P220" s="517"/>
      <c r="Q220" s="517"/>
      <c r="R220" s="517"/>
      <c r="S220" s="517"/>
      <c r="T220" s="517"/>
      <c r="U220" s="517"/>
      <c r="V220" s="517"/>
      <c r="W220" s="517"/>
      <c r="X220" s="517"/>
      <c r="Y220" s="517"/>
      <c r="Z220" s="517"/>
      <c r="AA220" s="517"/>
      <c r="AB220" s="517"/>
      <c r="AC220" s="517"/>
      <c r="AD220" s="517"/>
      <c r="AE220" s="517"/>
      <c r="AF220" s="517"/>
      <c r="AG220" s="517"/>
      <c r="AH220" s="517"/>
      <c r="AI220" s="517"/>
      <c r="AJ220" s="517"/>
      <c r="AK220" s="517"/>
      <c r="AL220" s="517"/>
      <c r="AM220" s="517"/>
      <c r="AN220" s="517"/>
      <c r="AO220" s="517"/>
      <c r="AP220" s="517"/>
      <c r="AQ220" s="517"/>
      <c r="AR220" s="517"/>
      <c r="AS220" s="517"/>
      <c r="AT220" s="517"/>
      <c r="AU220" s="517"/>
      <c r="AV220" s="517"/>
      <c r="AW220" s="517"/>
      <c r="AX220" s="517"/>
      <c r="AY220" s="517"/>
      <c r="AZ220" s="517"/>
      <c r="BA220" s="517"/>
      <c r="BB220" s="517"/>
      <c r="BC220" s="517"/>
      <c r="BD220" s="517"/>
      <c r="BE220" s="517"/>
      <c r="BF220" s="517"/>
      <c r="BG220" s="517"/>
      <c r="BH220" s="517"/>
      <c r="BI220" s="517"/>
      <c r="BJ220" s="517"/>
      <c r="BK220" s="517"/>
      <c r="BL220" s="517"/>
      <c r="BM220" s="517"/>
      <c r="BN220" s="517"/>
      <c r="BO220" s="517"/>
      <c r="BP220" s="517"/>
      <c r="BQ220" s="517"/>
      <c r="BR220" s="517"/>
      <c r="BS220" s="517"/>
      <c r="BT220" s="517"/>
      <c r="BU220" s="517"/>
      <c r="BV220" s="517"/>
      <c r="BW220" s="517"/>
      <c r="BX220" s="517"/>
      <c r="BY220" s="517"/>
      <c r="BZ220" s="517"/>
      <c r="CA220" s="517"/>
      <c r="CB220" s="517"/>
      <c r="CC220" s="517"/>
      <c r="CD220" s="517"/>
      <c r="CE220" s="517"/>
      <c r="CF220" s="517"/>
      <c r="CG220" s="517"/>
      <c r="CH220" s="517"/>
      <c r="CI220" s="517"/>
      <c r="CJ220" s="517"/>
      <c r="CK220" s="517"/>
      <c r="CL220" s="517"/>
      <c r="CM220" s="517"/>
      <c r="CN220" s="517"/>
      <c r="CO220" s="517"/>
      <c r="CP220" s="517"/>
      <c r="CQ220" s="517"/>
      <c r="CR220" s="517"/>
      <c r="CS220" s="517"/>
      <c r="CT220" s="517"/>
      <c r="CU220" s="517"/>
      <c r="CV220" s="517"/>
      <c r="CW220" s="517"/>
      <c r="CX220" s="517"/>
      <c r="CY220" s="517"/>
      <c r="CZ220" s="517"/>
      <c r="DA220" s="517"/>
      <c r="DB220" s="517"/>
      <c r="DC220" s="517"/>
      <c r="DD220" s="517"/>
      <c r="DE220" s="517"/>
      <c r="DF220" s="517"/>
      <c r="DG220" s="517"/>
      <c r="DH220" s="517"/>
      <c r="DI220" s="517"/>
      <c r="DJ220" s="517"/>
      <c r="DK220" s="517"/>
      <c r="DL220" s="517"/>
      <c r="DM220" s="517"/>
      <c r="DN220" s="517"/>
      <c r="DO220" s="517"/>
      <c r="DP220" s="517"/>
      <c r="DQ220" s="517"/>
      <c r="DR220" s="517"/>
      <c r="DS220" s="517"/>
      <c r="DT220" s="517"/>
      <c r="DU220" s="517"/>
      <c r="DV220" s="517"/>
      <c r="DW220" s="517"/>
      <c r="DX220" s="517"/>
      <c r="DY220" s="517"/>
      <c r="DZ220" s="517"/>
      <c r="EA220" s="517"/>
      <c r="EB220" s="517"/>
      <c r="EC220" s="517"/>
      <c r="ED220" s="517"/>
      <c r="EE220" s="517"/>
      <c r="EF220" s="517"/>
      <c r="EG220" s="517"/>
      <c r="EH220" s="517"/>
      <c r="EI220" s="517"/>
      <c r="EJ220" s="517"/>
      <c r="EK220" s="517"/>
      <c r="EL220" s="517"/>
      <c r="EM220" s="517"/>
      <c r="EN220" s="517"/>
      <c r="EO220" s="517"/>
      <c r="EP220" s="517"/>
      <c r="EQ220" s="517"/>
      <c r="ER220" s="517"/>
      <c r="ES220" s="627" t="s">
        <v>1140</v>
      </c>
    </row>
    <row r="221">
      <c r="A221" s="517"/>
      <c r="B221" s="517"/>
      <c r="C221" s="517"/>
      <c r="D221" s="517"/>
      <c r="E221" s="517"/>
      <c r="F221" s="517"/>
      <c r="G221" s="517"/>
      <c r="H221" s="517"/>
      <c r="I221" s="517"/>
      <c r="J221" s="517"/>
      <c r="K221" s="517"/>
      <c r="L221" s="517"/>
      <c r="M221" s="517"/>
      <c r="N221" s="517"/>
      <c r="O221" s="517"/>
      <c r="P221" s="517"/>
      <c r="Q221" s="517"/>
      <c r="R221" s="517"/>
      <c r="S221" s="517"/>
      <c r="T221" s="517"/>
      <c r="U221" s="517"/>
      <c r="V221" s="517"/>
      <c r="W221" s="517"/>
      <c r="X221" s="517"/>
      <c r="Y221" s="517"/>
      <c r="Z221" s="517"/>
      <c r="AA221" s="517"/>
      <c r="AB221" s="517"/>
      <c r="AC221" s="517"/>
      <c r="AD221" s="517"/>
      <c r="AE221" s="517"/>
      <c r="AF221" s="517"/>
      <c r="AG221" s="517"/>
      <c r="AH221" s="517"/>
      <c r="AI221" s="517"/>
      <c r="AJ221" s="517"/>
      <c r="AK221" s="517"/>
      <c r="AL221" s="517"/>
      <c r="AM221" s="517"/>
      <c r="AN221" s="517"/>
      <c r="AO221" s="517"/>
      <c r="AP221" s="517"/>
      <c r="AQ221" s="517"/>
      <c r="AR221" s="517"/>
      <c r="AS221" s="517"/>
      <c r="AT221" s="517"/>
      <c r="AU221" s="517"/>
      <c r="AV221" s="517"/>
      <c r="AW221" s="517"/>
      <c r="AX221" s="517"/>
      <c r="AY221" s="517"/>
      <c r="AZ221" s="517"/>
      <c r="BA221" s="517"/>
      <c r="BB221" s="517"/>
      <c r="BC221" s="517"/>
      <c r="BD221" s="517"/>
      <c r="BE221" s="517"/>
      <c r="BF221" s="517"/>
      <c r="BG221" s="517"/>
      <c r="BH221" s="517"/>
      <c r="BI221" s="517"/>
      <c r="BJ221" s="517"/>
      <c r="BK221" s="517"/>
      <c r="BL221" s="517"/>
      <c r="BM221" s="517"/>
      <c r="BN221" s="517"/>
      <c r="BO221" s="517"/>
      <c r="BP221" s="517"/>
      <c r="BQ221" s="517"/>
      <c r="BR221" s="517"/>
      <c r="BS221" s="517"/>
      <c r="BT221" s="517"/>
      <c r="BU221" s="517"/>
      <c r="BV221" s="517"/>
      <c r="BW221" s="517"/>
      <c r="BX221" s="517"/>
      <c r="BY221" s="517"/>
      <c r="BZ221" s="517"/>
      <c r="CA221" s="517"/>
      <c r="CB221" s="517"/>
      <c r="CC221" s="517"/>
      <c r="CD221" s="517"/>
      <c r="CE221" s="517"/>
      <c r="CF221" s="517"/>
      <c r="CG221" s="517"/>
      <c r="CH221" s="517"/>
      <c r="CI221" s="517"/>
      <c r="CJ221" s="517"/>
      <c r="CK221" s="517"/>
      <c r="CL221" s="517"/>
      <c r="CM221" s="517"/>
      <c r="CN221" s="517"/>
      <c r="CO221" s="517"/>
      <c r="CP221" s="517"/>
      <c r="CQ221" s="517"/>
      <c r="CR221" s="517"/>
      <c r="CS221" s="517"/>
      <c r="CT221" s="517"/>
      <c r="CU221" s="517"/>
      <c r="CV221" s="517"/>
      <c r="CW221" s="517"/>
      <c r="CX221" s="517"/>
      <c r="CY221" s="517"/>
      <c r="CZ221" s="517"/>
      <c r="DA221" s="517"/>
      <c r="DB221" s="517"/>
      <c r="DC221" s="517"/>
      <c r="DD221" s="517"/>
      <c r="DE221" s="517"/>
      <c r="DF221" s="517"/>
      <c r="DG221" s="517"/>
      <c r="DH221" s="517"/>
      <c r="DI221" s="517"/>
      <c r="DJ221" s="517"/>
      <c r="DK221" s="517"/>
      <c r="DL221" s="517"/>
      <c r="DM221" s="517"/>
      <c r="DN221" s="517"/>
      <c r="DO221" s="517"/>
      <c r="DP221" s="517"/>
      <c r="DQ221" s="517"/>
      <c r="DR221" s="517"/>
      <c r="DS221" s="517"/>
      <c r="DT221" s="517"/>
      <c r="DU221" s="517"/>
      <c r="DV221" s="517"/>
      <c r="DW221" s="517"/>
      <c r="DX221" s="517"/>
      <c r="DY221" s="517"/>
      <c r="DZ221" s="517"/>
      <c r="EA221" s="517"/>
      <c r="EB221" s="517"/>
      <c r="EC221" s="517"/>
      <c r="ED221" s="517"/>
      <c r="EE221" s="517"/>
      <c r="EF221" s="517"/>
      <c r="EG221" s="517"/>
      <c r="EH221" s="517"/>
      <c r="EI221" s="517"/>
      <c r="EJ221" s="517"/>
      <c r="EK221" s="517"/>
      <c r="EL221" s="517"/>
      <c r="EM221" s="517"/>
      <c r="EN221" s="517"/>
      <c r="EO221" s="517"/>
      <c r="EP221" s="517"/>
      <c r="EQ221" s="517"/>
      <c r="ER221" s="517"/>
      <c r="ES221" s="627" t="s">
        <v>1140</v>
      </c>
    </row>
    <row r="222">
      <c r="A222" s="517"/>
      <c r="B222" s="517"/>
      <c r="C222" s="517"/>
      <c r="D222" s="517"/>
      <c r="E222" s="517"/>
      <c r="F222" s="517"/>
      <c r="G222" s="517"/>
      <c r="H222" s="517"/>
      <c r="I222" s="517"/>
      <c r="J222" s="517"/>
      <c r="K222" s="517"/>
      <c r="L222" s="517"/>
      <c r="M222" s="517"/>
      <c r="N222" s="517"/>
      <c r="O222" s="517"/>
      <c r="P222" s="517"/>
      <c r="Q222" s="517"/>
      <c r="R222" s="517"/>
      <c r="S222" s="517"/>
      <c r="T222" s="517"/>
      <c r="U222" s="517"/>
      <c r="V222" s="517"/>
      <c r="W222" s="517"/>
      <c r="X222" s="517"/>
      <c r="Y222" s="517"/>
      <c r="Z222" s="517"/>
      <c r="AA222" s="517"/>
      <c r="AB222" s="517"/>
      <c r="AC222" s="517"/>
      <c r="AD222" s="517"/>
      <c r="AE222" s="517"/>
      <c r="AF222" s="517"/>
      <c r="AG222" s="517"/>
      <c r="AH222" s="517"/>
      <c r="AI222" s="517"/>
      <c r="AJ222" s="517"/>
      <c r="AK222" s="517"/>
      <c r="AL222" s="517"/>
      <c r="AM222" s="517"/>
      <c r="AN222" s="517"/>
      <c r="AO222" s="517"/>
      <c r="AP222" s="517"/>
      <c r="AQ222" s="517"/>
      <c r="AR222" s="517"/>
      <c r="AS222" s="517"/>
      <c r="AT222" s="517"/>
      <c r="AU222" s="517"/>
      <c r="AV222" s="517"/>
      <c r="AW222" s="517"/>
      <c r="AX222" s="517"/>
      <c r="AY222" s="517"/>
      <c r="AZ222" s="517"/>
      <c r="BA222" s="517"/>
      <c r="BB222" s="517"/>
      <c r="BC222" s="517"/>
      <c r="BD222" s="517"/>
      <c r="BE222" s="517"/>
      <c r="BF222" s="517"/>
      <c r="BG222" s="517"/>
      <c r="BH222" s="517"/>
      <c r="BI222" s="517"/>
      <c r="BJ222" s="517"/>
      <c r="BK222" s="517"/>
      <c r="BL222" s="517"/>
      <c r="BM222" s="517"/>
      <c r="BN222" s="517"/>
      <c r="BO222" s="517"/>
      <c r="BP222" s="517"/>
      <c r="BQ222" s="517"/>
      <c r="BR222" s="517"/>
      <c r="BS222" s="517"/>
      <c r="BT222" s="517"/>
      <c r="BU222" s="517"/>
      <c r="BV222" s="517"/>
      <c r="BW222" s="517"/>
      <c r="BX222" s="517"/>
      <c r="BY222" s="517"/>
      <c r="BZ222" s="517"/>
      <c r="CA222" s="517"/>
      <c r="CB222" s="517"/>
      <c r="CC222" s="517"/>
      <c r="CD222" s="517"/>
      <c r="CE222" s="517"/>
      <c r="CF222" s="517"/>
      <c r="CG222" s="517"/>
      <c r="CH222" s="517"/>
      <c r="CI222" s="517"/>
      <c r="CJ222" s="517"/>
      <c r="CK222" s="517"/>
      <c r="CL222" s="517"/>
      <c r="CM222" s="517"/>
      <c r="CN222" s="517"/>
      <c r="CO222" s="517"/>
      <c r="CP222" s="517"/>
      <c r="CQ222" s="517"/>
      <c r="CR222" s="517"/>
      <c r="CS222" s="517"/>
      <c r="CT222" s="517"/>
      <c r="CU222" s="517"/>
      <c r="CV222" s="517"/>
      <c r="CW222" s="517"/>
      <c r="CX222" s="517"/>
      <c r="CY222" s="517"/>
      <c r="CZ222" s="517"/>
      <c r="DA222" s="517"/>
      <c r="DB222" s="517"/>
      <c r="DC222" s="517"/>
      <c r="DD222" s="517"/>
      <c r="DE222" s="517"/>
      <c r="DF222" s="517"/>
      <c r="DG222" s="517"/>
      <c r="DH222" s="517"/>
      <c r="DI222" s="517"/>
      <c r="DJ222" s="517"/>
      <c r="DK222" s="517"/>
      <c r="DL222" s="517"/>
      <c r="DM222" s="517"/>
      <c r="DN222" s="517"/>
      <c r="DO222" s="517"/>
      <c r="DP222" s="517"/>
      <c r="DQ222" s="517"/>
      <c r="DR222" s="517"/>
      <c r="DS222" s="517"/>
      <c r="DT222" s="517"/>
      <c r="DU222" s="517"/>
      <c r="DV222" s="517"/>
      <c r="DW222" s="517"/>
      <c r="DX222" s="517"/>
      <c r="DY222" s="517"/>
      <c r="DZ222" s="517"/>
      <c r="EA222" s="517"/>
      <c r="EB222" s="517"/>
      <c r="EC222" s="517"/>
      <c r="ED222" s="517"/>
      <c r="EE222" s="517"/>
      <c r="EF222" s="517"/>
      <c r="EG222" s="517"/>
      <c r="EH222" s="517"/>
      <c r="EI222" s="517"/>
      <c r="EJ222" s="517"/>
      <c r="EK222" s="517"/>
      <c r="EL222" s="517"/>
      <c r="EM222" s="517"/>
      <c r="EN222" s="517"/>
      <c r="EO222" s="517"/>
      <c r="EP222" s="517"/>
      <c r="EQ222" s="517"/>
      <c r="ER222" s="517"/>
      <c r="ES222" s="627" t="s">
        <v>1140</v>
      </c>
    </row>
    <row r="223">
      <c r="A223" s="517"/>
      <c r="B223" s="517"/>
      <c r="C223" s="517"/>
      <c r="D223" s="517"/>
      <c r="E223" s="517"/>
      <c r="F223" s="517"/>
      <c r="G223" s="517"/>
      <c r="H223" s="517"/>
      <c r="I223" s="517"/>
      <c r="J223" s="517"/>
      <c r="K223" s="517"/>
      <c r="L223" s="517"/>
      <c r="M223" s="517"/>
      <c r="N223" s="517"/>
      <c r="O223" s="517"/>
      <c r="P223" s="517"/>
      <c r="Q223" s="517"/>
      <c r="R223" s="517"/>
      <c r="S223" s="517"/>
      <c r="T223" s="517"/>
      <c r="U223" s="517"/>
      <c r="V223" s="517"/>
      <c r="W223" s="517"/>
      <c r="X223" s="517"/>
      <c r="Y223" s="517"/>
      <c r="Z223" s="517"/>
      <c r="AA223" s="517"/>
      <c r="AB223" s="517"/>
      <c r="AC223" s="517"/>
      <c r="AD223" s="517"/>
      <c r="AE223" s="517"/>
      <c r="AF223" s="517"/>
      <c r="AG223" s="517"/>
      <c r="AH223" s="517"/>
      <c r="AI223" s="517"/>
      <c r="AJ223" s="517"/>
      <c r="AK223" s="517"/>
      <c r="AL223" s="517"/>
      <c r="AM223" s="517"/>
      <c r="AN223" s="517"/>
      <c r="AO223" s="517"/>
      <c r="AP223" s="517"/>
      <c r="AQ223" s="517"/>
      <c r="AR223" s="517"/>
      <c r="AS223" s="517"/>
      <c r="AT223" s="517"/>
      <c r="AU223" s="517"/>
      <c r="AV223" s="517"/>
      <c r="AW223" s="517"/>
      <c r="AX223" s="517"/>
      <c r="AY223" s="517"/>
      <c r="AZ223" s="517"/>
      <c r="BA223" s="517"/>
      <c r="BB223" s="517"/>
      <c r="BC223" s="517"/>
      <c r="BD223" s="517"/>
      <c r="BE223" s="517"/>
      <c r="BF223" s="517"/>
      <c r="BG223" s="517"/>
      <c r="BH223" s="517"/>
      <c r="BI223" s="517"/>
      <c r="BJ223" s="517"/>
      <c r="BK223" s="517"/>
      <c r="BL223" s="517"/>
      <c r="BM223" s="517"/>
      <c r="BN223" s="517"/>
      <c r="BO223" s="517"/>
      <c r="BP223" s="517"/>
      <c r="BQ223" s="517"/>
      <c r="BR223" s="517"/>
      <c r="BS223" s="517"/>
      <c r="BT223" s="517"/>
      <c r="BU223" s="517"/>
      <c r="BV223" s="517"/>
      <c r="BW223" s="517"/>
      <c r="BX223" s="517"/>
      <c r="BY223" s="517"/>
      <c r="BZ223" s="517"/>
      <c r="CA223" s="517"/>
      <c r="CB223" s="517"/>
      <c r="CC223" s="517"/>
      <c r="CD223" s="517"/>
      <c r="CE223" s="517"/>
      <c r="CF223" s="517"/>
      <c r="CG223" s="517"/>
      <c r="CH223" s="517"/>
      <c r="CI223" s="517"/>
      <c r="CJ223" s="517"/>
      <c r="CK223" s="517"/>
      <c r="CL223" s="517"/>
      <c r="CM223" s="517"/>
      <c r="CN223" s="517"/>
      <c r="CO223" s="517"/>
      <c r="CP223" s="517"/>
      <c r="CQ223" s="517"/>
      <c r="CR223" s="517"/>
      <c r="CS223" s="517"/>
      <c r="CT223" s="517"/>
      <c r="CU223" s="517"/>
      <c r="CV223" s="517"/>
      <c r="CW223" s="517"/>
      <c r="CX223" s="517"/>
      <c r="CY223" s="517"/>
      <c r="CZ223" s="517"/>
      <c r="DA223" s="517"/>
      <c r="DB223" s="517"/>
      <c r="DC223" s="517"/>
      <c r="DD223" s="517"/>
      <c r="DE223" s="517"/>
      <c r="DF223" s="517"/>
      <c r="DG223" s="517"/>
      <c r="DH223" s="517"/>
      <c r="DI223" s="517"/>
      <c r="DJ223" s="517"/>
      <c r="DK223" s="517"/>
      <c r="DL223" s="517"/>
      <c r="DM223" s="517"/>
      <c r="DN223" s="517"/>
      <c r="DO223" s="517"/>
      <c r="DP223" s="517"/>
      <c r="DQ223" s="517"/>
      <c r="DR223" s="517"/>
      <c r="DS223" s="517"/>
      <c r="DT223" s="517"/>
      <c r="DU223" s="517"/>
      <c r="DV223" s="517"/>
      <c r="DW223" s="517"/>
      <c r="DX223" s="517"/>
      <c r="DY223" s="517"/>
      <c r="DZ223" s="517"/>
      <c r="EA223" s="517"/>
      <c r="EB223" s="517"/>
      <c r="EC223" s="517"/>
      <c r="ED223" s="517"/>
      <c r="EE223" s="517"/>
      <c r="EF223" s="517"/>
      <c r="EG223" s="517"/>
      <c r="EH223" s="517"/>
      <c r="EI223" s="517"/>
      <c r="EJ223" s="517"/>
      <c r="EK223" s="517"/>
      <c r="EL223" s="517"/>
      <c r="EM223" s="517"/>
      <c r="EN223" s="517"/>
      <c r="EO223" s="517"/>
      <c r="EP223" s="517"/>
      <c r="EQ223" s="517"/>
      <c r="ER223" s="517"/>
      <c r="ES223" s="627" t="s">
        <v>1140</v>
      </c>
    </row>
    <row r="224">
      <c r="A224" s="517"/>
      <c r="B224" s="517"/>
      <c r="C224" s="517"/>
      <c r="D224" s="517"/>
      <c r="E224" s="517"/>
      <c r="F224" s="517"/>
      <c r="G224" s="517"/>
      <c r="H224" s="517"/>
      <c r="I224" s="517"/>
      <c r="J224" s="517"/>
      <c r="K224" s="517"/>
      <c r="L224" s="517"/>
      <c r="M224" s="517"/>
      <c r="N224" s="517"/>
      <c r="O224" s="517"/>
      <c r="P224" s="517"/>
      <c r="Q224" s="517"/>
      <c r="R224" s="517"/>
      <c r="S224" s="517"/>
      <c r="T224" s="517"/>
      <c r="U224" s="517"/>
      <c r="V224" s="517"/>
      <c r="W224" s="517"/>
      <c r="X224" s="517"/>
      <c r="Y224" s="517"/>
      <c r="Z224" s="517"/>
      <c r="AA224" s="517"/>
      <c r="AB224" s="517"/>
      <c r="AC224" s="517"/>
      <c r="AD224" s="517"/>
      <c r="AE224" s="517"/>
      <c r="AF224" s="517"/>
      <c r="AG224" s="517"/>
      <c r="AH224" s="517"/>
      <c r="AI224" s="517"/>
      <c r="AJ224" s="517"/>
      <c r="AK224" s="517"/>
      <c r="AL224" s="517"/>
      <c r="AM224" s="517"/>
      <c r="AN224" s="517"/>
      <c r="AO224" s="517"/>
      <c r="AP224" s="517"/>
      <c r="AQ224" s="517"/>
      <c r="AR224" s="517"/>
      <c r="AS224" s="517"/>
      <c r="AT224" s="517"/>
      <c r="AU224" s="517"/>
      <c r="AV224" s="517"/>
      <c r="AW224" s="517"/>
      <c r="AX224" s="517"/>
      <c r="AY224" s="517"/>
      <c r="AZ224" s="517"/>
      <c r="BA224" s="517"/>
      <c r="BB224" s="517"/>
      <c r="BC224" s="517"/>
      <c r="BD224" s="517"/>
      <c r="BE224" s="517"/>
      <c r="BF224" s="517"/>
      <c r="BG224" s="517"/>
      <c r="BH224" s="517"/>
      <c r="BI224" s="517"/>
      <c r="BJ224" s="517"/>
      <c r="BK224" s="517"/>
      <c r="BL224" s="517"/>
      <c r="BM224" s="517"/>
      <c r="BN224" s="517"/>
      <c r="BO224" s="517"/>
      <c r="BP224" s="517"/>
      <c r="BQ224" s="517"/>
      <c r="BR224" s="517"/>
      <c r="BS224" s="517"/>
      <c r="BT224" s="517"/>
      <c r="BU224" s="517"/>
      <c r="BV224" s="517"/>
      <c r="BW224" s="517"/>
      <c r="BX224" s="517"/>
      <c r="BY224" s="517"/>
      <c r="BZ224" s="517"/>
      <c r="CA224" s="517"/>
      <c r="CB224" s="517"/>
      <c r="CC224" s="517"/>
      <c r="CD224" s="517"/>
      <c r="CE224" s="517"/>
      <c r="CF224" s="517"/>
      <c r="CG224" s="517"/>
      <c r="CH224" s="517"/>
      <c r="CI224" s="517"/>
      <c r="CJ224" s="517"/>
      <c r="CK224" s="517"/>
      <c r="CL224" s="517"/>
      <c r="CM224" s="517"/>
      <c r="CN224" s="517"/>
      <c r="CO224" s="517"/>
      <c r="CP224" s="517"/>
      <c r="CQ224" s="517"/>
      <c r="CR224" s="517"/>
      <c r="CS224" s="517"/>
      <c r="CT224" s="517"/>
      <c r="CU224" s="517"/>
      <c r="CV224" s="517"/>
      <c r="CW224" s="517"/>
      <c r="CX224" s="517"/>
      <c r="CY224" s="517"/>
      <c r="CZ224" s="517"/>
      <c r="DA224" s="517"/>
      <c r="DB224" s="517"/>
      <c r="DC224" s="517"/>
      <c r="DD224" s="517"/>
      <c r="DE224" s="517"/>
      <c r="DF224" s="517"/>
      <c r="DG224" s="517"/>
      <c r="DH224" s="517"/>
      <c r="DI224" s="517"/>
      <c r="DJ224" s="517"/>
      <c r="DK224" s="517"/>
      <c r="DL224" s="517"/>
      <c r="DM224" s="517"/>
      <c r="DN224" s="517"/>
      <c r="DO224" s="517"/>
      <c r="DP224" s="517"/>
      <c r="DQ224" s="517"/>
      <c r="DR224" s="517"/>
      <c r="DS224" s="517"/>
      <c r="DT224" s="517"/>
      <c r="DU224" s="517"/>
      <c r="DV224" s="517"/>
      <c r="DW224" s="517"/>
      <c r="DX224" s="517"/>
      <c r="DY224" s="517"/>
      <c r="DZ224" s="517"/>
      <c r="EA224" s="517"/>
      <c r="EB224" s="517"/>
      <c r="EC224" s="517"/>
      <c r="ED224" s="517"/>
      <c r="EE224" s="517"/>
      <c r="EF224" s="517"/>
      <c r="EG224" s="517"/>
      <c r="EH224" s="517"/>
      <c r="EI224" s="517"/>
      <c r="EJ224" s="517"/>
      <c r="EK224" s="517"/>
      <c r="EL224" s="517"/>
      <c r="EM224" s="517"/>
      <c r="EN224" s="517"/>
      <c r="EO224" s="517"/>
      <c r="EP224" s="517"/>
      <c r="EQ224" s="517"/>
      <c r="ER224" s="517"/>
      <c r="ES224" s="627" t="s">
        <v>1140</v>
      </c>
    </row>
    <row r="225">
      <c r="A225" s="517"/>
      <c r="B225" s="517"/>
      <c r="C225" s="517"/>
      <c r="D225" s="517"/>
      <c r="E225" s="517"/>
      <c r="F225" s="517"/>
      <c r="G225" s="517"/>
      <c r="H225" s="517"/>
      <c r="I225" s="517"/>
      <c r="J225" s="517"/>
      <c r="K225" s="517"/>
      <c r="L225" s="517"/>
      <c r="M225" s="517"/>
      <c r="N225" s="517"/>
      <c r="O225" s="517"/>
      <c r="P225" s="517"/>
      <c r="Q225" s="517"/>
      <c r="R225" s="517"/>
      <c r="S225" s="517"/>
      <c r="T225" s="517"/>
      <c r="U225" s="517"/>
      <c r="V225" s="517"/>
      <c r="W225" s="517"/>
      <c r="X225" s="517"/>
      <c r="Y225" s="517"/>
      <c r="Z225" s="517"/>
      <c r="AA225" s="517"/>
      <c r="AB225" s="517"/>
      <c r="AC225" s="517"/>
      <c r="AD225" s="517"/>
      <c r="AE225" s="517"/>
      <c r="AF225" s="517"/>
      <c r="AG225" s="517"/>
      <c r="AH225" s="517"/>
      <c r="AI225" s="517"/>
      <c r="AJ225" s="517"/>
      <c r="AK225" s="517"/>
      <c r="AL225" s="517"/>
      <c r="AM225" s="517"/>
      <c r="AN225" s="517"/>
      <c r="AO225" s="517"/>
      <c r="AP225" s="517"/>
      <c r="AQ225" s="517"/>
      <c r="AR225" s="517"/>
      <c r="AS225" s="517"/>
      <c r="AT225" s="517"/>
      <c r="AU225" s="517"/>
      <c r="AV225" s="517"/>
      <c r="AW225" s="517"/>
      <c r="AX225" s="517"/>
      <c r="AY225" s="517"/>
      <c r="AZ225" s="517"/>
      <c r="BA225" s="517"/>
      <c r="BB225" s="517"/>
      <c r="BC225" s="517"/>
      <c r="BD225" s="517"/>
      <c r="BE225" s="517"/>
      <c r="BF225" s="517"/>
      <c r="BG225" s="517"/>
      <c r="BH225" s="517"/>
      <c r="BI225" s="517"/>
      <c r="BJ225" s="517"/>
      <c r="BK225" s="517"/>
      <c r="BL225" s="517"/>
      <c r="BM225" s="517"/>
      <c r="BN225" s="517"/>
      <c r="BO225" s="517"/>
      <c r="BP225" s="517"/>
      <c r="BQ225" s="517"/>
      <c r="BR225" s="517"/>
      <c r="BS225" s="517"/>
      <c r="BT225" s="517"/>
      <c r="BU225" s="517"/>
      <c r="BV225" s="517"/>
      <c r="BW225" s="517"/>
      <c r="BX225" s="517"/>
      <c r="BY225" s="517"/>
      <c r="BZ225" s="517"/>
      <c r="CA225" s="517"/>
      <c r="CB225" s="517"/>
      <c r="CC225" s="517"/>
      <c r="CD225" s="517"/>
      <c r="CE225" s="517"/>
      <c r="CF225" s="517"/>
      <c r="CG225" s="517"/>
      <c r="CH225" s="517"/>
      <c r="CI225" s="517"/>
      <c r="CJ225" s="517"/>
      <c r="CK225" s="517"/>
      <c r="CL225" s="517"/>
      <c r="CM225" s="517"/>
      <c r="CN225" s="517"/>
      <c r="CO225" s="517"/>
      <c r="CP225" s="517"/>
      <c r="CQ225" s="517"/>
      <c r="CR225" s="517"/>
      <c r="CS225" s="517"/>
      <c r="CT225" s="517"/>
      <c r="CU225" s="517"/>
      <c r="CV225" s="517"/>
      <c r="CW225" s="517"/>
      <c r="CX225" s="517"/>
      <c r="CY225" s="517"/>
      <c r="CZ225" s="517"/>
      <c r="DA225" s="517"/>
      <c r="DB225" s="517"/>
      <c r="DC225" s="517"/>
      <c r="DD225" s="517"/>
      <c r="DE225" s="517"/>
      <c r="DF225" s="517"/>
      <c r="DG225" s="517"/>
      <c r="DH225" s="517"/>
      <c r="DI225" s="517"/>
      <c r="DJ225" s="517"/>
      <c r="DK225" s="517"/>
      <c r="DL225" s="517"/>
      <c r="DM225" s="517"/>
      <c r="DN225" s="517"/>
      <c r="DO225" s="517"/>
      <c r="DP225" s="517"/>
      <c r="DQ225" s="517"/>
      <c r="DR225" s="517"/>
      <c r="DS225" s="517"/>
      <c r="DT225" s="517"/>
      <c r="DU225" s="517"/>
      <c r="DV225" s="517"/>
      <c r="DW225" s="517"/>
      <c r="DX225" s="517"/>
      <c r="DY225" s="517"/>
      <c r="DZ225" s="517"/>
      <c r="EA225" s="517"/>
      <c r="EB225" s="517"/>
      <c r="EC225" s="517"/>
      <c r="ED225" s="517"/>
      <c r="EE225" s="517"/>
      <c r="EF225" s="517"/>
      <c r="EG225" s="517"/>
      <c r="EH225" s="517"/>
      <c r="EI225" s="517"/>
      <c r="EJ225" s="517"/>
      <c r="EK225" s="517"/>
      <c r="EL225" s="517"/>
      <c r="EM225" s="517"/>
      <c r="EN225" s="517"/>
      <c r="EO225" s="517"/>
      <c r="EP225" s="517"/>
      <c r="EQ225" s="517"/>
      <c r="ER225" s="517"/>
      <c r="ES225" s="627" t="s">
        <v>1140</v>
      </c>
    </row>
    <row r="226">
      <c r="A226" s="517"/>
      <c r="B226" s="517"/>
      <c r="C226" s="517"/>
      <c r="D226" s="517"/>
      <c r="E226" s="517"/>
      <c r="F226" s="517"/>
      <c r="G226" s="517"/>
      <c r="H226" s="517"/>
      <c r="I226" s="517"/>
      <c r="J226" s="517"/>
      <c r="K226" s="517"/>
      <c r="L226" s="517"/>
      <c r="M226" s="517"/>
      <c r="N226" s="517"/>
      <c r="O226" s="517"/>
      <c r="P226" s="517"/>
      <c r="Q226" s="517"/>
      <c r="R226" s="517"/>
      <c r="S226" s="517"/>
      <c r="T226" s="517"/>
      <c r="U226" s="517"/>
      <c r="V226" s="517"/>
      <c r="W226" s="517"/>
      <c r="X226" s="517"/>
      <c r="Y226" s="517"/>
      <c r="Z226" s="517"/>
      <c r="AA226" s="517"/>
      <c r="AB226" s="517"/>
      <c r="AC226" s="517"/>
      <c r="AD226" s="517"/>
      <c r="AE226" s="517"/>
      <c r="AF226" s="517"/>
      <c r="AG226" s="517"/>
      <c r="AH226" s="517"/>
      <c r="AI226" s="517"/>
      <c r="AJ226" s="517"/>
      <c r="AK226" s="517"/>
      <c r="AL226" s="517"/>
      <c r="AM226" s="517"/>
      <c r="AN226" s="517"/>
      <c r="AO226" s="517"/>
      <c r="AP226" s="517"/>
      <c r="AQ226" s="517"/>
      <c r="AR226" s="517"/>
      <c r="AS226" s="517"/>
      <c r="AT226" s="517"/>
      <c r="AU226" s="517"/>
      <c r="AV226" s="517"/>
      <c r="AW226" s="517"/>
      <c r="AX226" s="517"/>
      <c r="AY226" s="517"/>
      <c r="AZ226" s="517"/>
      <c r="BA226" s="517"/>
      <c r="BB226" s="517"/>
      <c r="BC226" s="517"/>
      <c r="BD226" s="517"/>
      <c r="BE226" s="517"/>
      <c r="BF226" s="517"/>
      <c r="BG226" s="517"/>
      <c r="BH226" s="517"/>
      <c r="BI226" s="517"/>
      <c r="BJ226" s="517"/>
      <c r="BK226" s="517"/>
      <c r="BL226" s="517"/>
      <c r="BM226" s="517"/>
      <c r="BN226" s="517"/>
      <c r="BO226" s="517"/>
      <c r="BP226" s="517"/>
      <c r="BQ226" s="517"/>
      <c r="BR226" s="517"/>
      <c r="BS226" s="517"/>
      <c r="BT226" s="517"/>
      <c r="BU226" s="517"/>
      <c r="BV226" s="517"/>
      <c r="BW226" s="517"/>
      <c r="BX226" s="517"/>
      <c r="BY226" s="517"/>
      <c r="BZ226" s="517"/>
      <c r="CA226" s="517"/>
      <c r="CB226" s="517"/>
      <c r="CC226" s="517"/>
      <c r="CD226" s="517"/>
      <c r="CE226" s="517"/>
      <c r="CF226" s="517"/>
      <c r="CG226" s="517"/>
      <c r="CH226" s="517"/>
      <c r="CI226" s="517"/>
      <c r="CJ226" s="517"/>
      <c r="CK226" s="517"/>
      <c r="CL226" s="517"/>
      <c r="CM226" s="517"/>
      <c r="CN226" s="517"/>
      <c r="CO226" s="517"/>
      <c r="CP226" s="517"/>
      <c r="CQ226" s="517"/>
      <c r="CR226" s="517"/>
      <c r="CS226" s="517"/>
      <c r="CT226" s="517"/>
      <c r="CU226" s="517"/>
      <c r="CV226" s="517"/>
      <c r="CW226" s="517"/>
      <c r="CX226" s="517"/>
      <c r="CY226" s="517"/>
      <c r="CZ226" s="517"/>
      <c r="DA226" s="517"/>
      <c r="DB226" s="517"/>
      <c r="DC226" s="517"/>
      <c r="DD226" s="517"/>
      <c r="DE226" s="517"/>
      <c r="DF226" s="517"/>
      <c r="DG226" s="517"/>
      <c r="DH226" s="517"/>
      <c r="DI226" s="517"/>
      <c r="DJ226" s="517"/>
      <c r="DK226" s="517"/>
      <c r="DL226" s="517"/>
      <c r="DM226" s="517"/>
      <c r="DN226" s="517"/>
      <c r="DO226" s="517"/>
      <c r="DP226" s="517"/>
      <c r="DQ226" s="517"/>
      <c r="DR226" s="517"/>
      <c r="DS226" s="517"/>
      <c r="DT226" s="517"/>
      <c r="DU226" s="517"/>
      <c r="DV226" s="517"/>
      <c r="DW226" s="517"/>
      <c r="DX226" s="517"/>
      <c r="DY226" s="517"/>
      <c r="DZ226" s="517"/>
      <c r="EA226" s="517"/>
      <c r="EB226" s="517"/>
      <c r="EC226" s="517"/>
      <c r="ED226" s="517"/>
      <c r="EE226" s="517"/>
      <c r="EF226" s="517"/>
      <c r="EG226" s="517"/>
      <c r="EH226" s="517"/>
      <c r="EI226" s="517"/>
      <c r="EJ226" s="517"/>
      <c r="EK226" s="517"/>
      <c r="EL226" s="517"/>
      <c r="EM226" s="517"/>
      <c r="EN226" s="517"/>
      <c r="EO226" s="517"/>
      <c r="EP226" s="517"/>
      <c r="EQ226" s="517"/>
      <c r="ER226" s="517"/>
      <c r="ES226" s="627" t="s">
        <v>1140</v>
      </c>
    </row>
    <row r="227">
      <c r="A227" s="517"/>
      <c r="B227" s="517"/>
      <c r="C227" s="517"/>
      <c r="D227" s="517"/>
      <c r="E227" s="517"/>
      <c r="F227" s="517"/>
      <c r="G227" s="517"/>
      <c r="H227" s="517"/>
      <c r="I227" s="517"/>
      <c r="J227" s="517"/>
      <c r="K227" s="517"/>
      <c r="L227" s="517"/>
      <c r="M227" s="517"/>
      <c r="N227" s="517"/>
      <c r="O227" s="517"/>
      <c r="P227" s="517"/>
      <c r="Q227" s="517"/>
      <c r="R227" s="517"/>
      <c r="S227" s="517"/>
      <c r="T227" s="517"/>
      <c r="U227" s="517"/>
      <c r="V227" s="517"/>
      <c r="W227" s="517"/>
      <c r="X227" s="517"/>
      <c r="Y227" s="517"/>
      <c r="Z227" s="517"/>
      <c r="AA227" s="517"/>
      <c r="AB227" s="517"/>
      <c r="AC227" s="517"/>
      <c r="AD227" s="517"/>
      <c r="AE227" s="517"/>
      <c r="AF227" s="517"/>
      <c r="AG227" s="517"/>
      <c r="AH227" s="517"/>
      <c r="AI227" s="517"/>
      <c r="AJ227" s="517"/>
      <c r="AK227" s="517"/>
      <c r="AL227" s="517"/>
      <c r="AM227" s="517"/>
      <c r="AN227" s="517"/>
      <c r="AO227" s="517"/>
      <c r="AP227" s="517"/>
      <c r="AQ227" s="517"/>
      <c r="AR227" s="517"/>
      <c r="AS227" s="517"/>
      <c r="AT227" s="517"/>
      <c r="AU227" s="517"/>
      <c r="AV227" s="517"/>
      <c r="AW227" s="517"/>
      <c r="AX227" s="517"/>
      <c r="AY227" s="517"/>
      <c r="AZ227" s="517"/>
      <c r="BA227" s="517"/>
      <c r="BB227" s="517"/>
      <c r="BC227" s="517"/>
      <c r="BD227" s="517"/>
      <c r="BE227" s="517"/>
      <c r="BF227" s="517"/>
      <c r="BG227" s="517"/>
      <c r="BH227" s="517"/>
      <c r="BI227" s="517"/>
      <c r="BJ227" s="517"/>
      <c r="BK227" s="517"/>
      <c r="BL227" s="517"/>
      <c r="BM227" s="517"/>
      <c r="BN227" s="517"/>
      <c r="BO227" s="517"/>
      <c r="BP227" s="517"/>
      <c r="BQ227" s="517"/>
      <c r="BR227" s="517"/>
      <c r="BS227" s="517"/>
      <c r="BT227" s="517"/>
      <c r="BU227" s="517"/>
      <c r="BV227" s="517"/>
      <c r="BW227" s="517"/>
      <c r="BX227" s="517"/>
      <c r="BY227" s="517"/>
      <c r="BZ227" s="517"/>
      <c r="CA227" s="517"/>
      <c r="CB227" s="517"/>
      <c r="CC227" s="517"/>
      <c r="CD227" s="517"/>
      <c r="CE227" s="517"/>
      <c r="CF227" s="517"/>
      <c r="CG227" s="517"/>
      <c r="CH227" s="517"/>
      <c r="CI227" s="517"/>
      <c r="CJ227" s="517"/>
      <c r="CK227" s="517"/>
      <c r="CL227" s="517"/>
      <c r="CM227" s="517"/>
      <c r="CN227" s="517"/>
      <c r="CO227" s="517"/>
      <c r="CP227" s="517"/>
      <c r="CQ227" s="517"/>
      <c r="CR227" s="517"/>
      <c r="CS227" s="517"/>
      <c r="CT227" s="517"/>
      <c r="CU227" s="517"/>
      <c r="CV227" s="517"/>
      <c r="CW227" s="517"/>
      <c r="CX227" s="517"/>
      <c r="CY227" s="517"/>
      <c r="CZ227" s="517"/>
      <c r="DA227" s="517"/>
      <c r="DB227" s="517"/>
      <c r="DC227" s="517"/>
      <c r="DD227" s="517"/>
      <c r="DE227" s="517"/>
      <c r="DF227" s="517"/>
      <c r="DG227" s="517"/>
      <c r="DH227" s="517"/>
      <c r="DI227" s="517"/>
      <c r="DJ227" s="517"/>
      <c r="DK227" s="517"/>
      <c r="DL227" s="517"/>
      <c r="DM227" s="517"/>
      <c r="DN227" s="517"/>
      <c r="DO227" s="517"/>
      <c r="DP227" s="517"/>
      <c r="DQ227" s="517"/>
      <c r="DR227" s="517"/>
      <c r="DS227" s="517"/>
      <c r="DT227" s="517"/>
      <c r="DU227" s="517"/>
      <c r="DV227" s="517"/>
      <c r="DW227" s="517"/>
      <c r="DX227" s="517"/>
      <c r="DY227" s="517"/>
      <c r="DZ227" s="517"/>
      <c r="EA227" s="517"/>
      <c r="EB227" s="517"/>
      <c r="EC227" s="517"/>
      <c r="ED227" s="517"/>
      <c r="EE227" s="517"/>
      <c r="EF227" s="517"/>
      <c r="EG227" s="517"/>
      <c r="EH227" s="517"/>
      <c r="EI227" s="517"/>
      <c r="EJ227" s="517"/>
      <c r="EK227" s="517"/>
      <c r="EL227" s="517"/>
      <c r="EM227" s="517"/>
      <c r="EN227" s="517"/>
      <c r="EO227" s="517"/>
      <c r="EP227" s="517"/>
      <c r="EQ227" s="517"/>
      <c r="ER227" s="517"/>
      <c r="ES227" s="627" t="s">
        <v>1140</v>
      </c>
    </row>
    <row r="228">
      <c r="A228" s="517"/>
      <c r="B228" s="517"/>
      <c r="C228" s="517"/>
      <c r="D228" s="517"/>
      <c r="E228" s="517"/>
      <c r="F228" s="517"/>
      <c r="G228" s="517"/>
      <c r="H228" s="517"/>
      <c r="I228" s="517"/>
      <c r="J228" s="517"/>
      <c r="K228" s="517"/>
      <c r="L228" s="517"/>
      <c r="M228" s="517"/>
      <c r="N228" s="517"/>
      <c r="O228" s="517"/>
      <c r="P228" s="517"/>
      <c r="Q228" s="517"/>
      <c r="R228" s="517"/>
      <c r="S228" s="517"/>
      <c r="T228" s="517"/>
      <c r="U228" s="517"/>
      <c r="V228" s="517"/>
      <c r="W228" s="517"/>
      <c r="X228" s="517"/>
      <c r="Y228" s="517"/>
      <c r="Z228" s="517"/>
      <c r="AA228" s="517"/>
      <c r="AB228" s="517"/>
      <c r="AC228" s="517"/>
      <c r="AD228" s="517"/>
      <c r="AE228" s="517"/>
      <c r="AF228" s="517"/>
      <c r="AG228" s="517"/>
      <c r="AH228" s="517"/>
      <c r="AI228" s="517"/>
      <c r="AJ228" s="517"/>
      <c r="AK228" s="517"/>
      <c r="AL228" s="517"/>
      <c r="AM228" s="517"/>
      <c r="AN228" s="517"/>
      <c r="AO228" s="517"/>
      <c r="AP228" s="517"/>
      <c r="AQ228" s="517"/>
      <c r="AR228" s="517"/>
      <c r="AS228" s="517"/>
      <c r="AT228" s="517"/>
      <c r="AU228" s="517"/>
      <c r="AV228" s="517"/>
      <c r="AW228" s="517"/>
      <c r="AX228" s="517"/>
      <c r="AY228" s="517"/>
      <c r="AZ228" s="517"/>
      <c r="BA228" s="517"/>
      <c r="BB228" s="517"/>
      <c r="BC228" s="517"/>
      <c r="BD228" s="517"/>
      <c r="BE228" s="517"/>
      <c r="BF228" s="517"/>
      <c r="BG228" s="517"/>
      <c r="BH228" s="517"/>
      <c r="BI228" s="517"/>
      <c r="BJ228" s="517"/>
      <c r="BK228" s="517"/>
      <c r="BL228" s="517"/>
      <c r="BM228" s="517"/>
      <c r="BN228" s="517"/>
      <c r="BO228" s="517"/>
      <c r="BP228" s="517"/>
      <c r="BQ228" s="517"/>
      <c r="BR228" s="517"/>
      <c r="BS228" s="517"/>
      <c r="BT228" s="517"/>
      <c r="BU228" s="517"/>
      <c r="BV228" s="517"/>
      <c r="BW228" s="517"/>
      <c r="BX228" s="517"/>
      <c r="BY228" s="517"/>
      <c r="BZ228" s="517"/>
      <c r="CA228" s="517"/>
      <c r="CB228" s="517"/>
      <c r="CC228" s="517"/>
      <c r="CD228" s="517"/>
      <c r="CE228" s="517"/>
      <c r="CF228" s="517"/>
      <c r="CG228" s="517"/>
      <c r="CH228" s="517"/>
      <c r="CI228" s="517"/>
      <c r="CJ228" s="517"/>
      <c r="CK228" s="517"/>
      <c r="CL228" s="517"/>
      <c r="CM228" s="517"/>
      <c r="CN228" s="517"/>
      <c r="CO228" s="517"/>
      <c r="CP228" s="517"/>
      <c r="CQ228" s="517"/>
      <c r="CR228" s="517"/>
      <c r="CS228" s="517"/>
      <c r="CT228" s="517"/>
      <c r="CU228" s="517"/>
      <c r="CV228" s="517"/>
      <c r="CW228" s="517"/>
      <c r="CX228" s="517"/>
      <c r="CY228" s="517"/>
      <c r="CZ228" s="517"/>
      <c r="DA228" s="517"/>
      <c r="DB228" s="517"/>
      <c r="DC228" s="517"/>
      <c r="DD228" s="517"/>
      <c r="DE228" s="517"/>
      <c r="DF228" s="517"/>
      <c r="DG228" s="517"/>
      <c r="DH228" s="517"/>
      <c r="DI228" s="517"/>
      <c r="DJ228" s="517"/>
      <c r="DK228" s="517"/>
      <c r="DL228" s="517"/>
      <c r="DM228" s="517"/>
      <c r="DN228" s="517"/>
      <c r="DO228" s="517"/>
      <c r="DP228" s="517"/>
      <c r="DQ228" s="517"/>
      <c r="DR228" s="517"/>
      <c r="DS228" s="517"/>
      <c r="DT228" s="517"/>
      <c r="DU228" s="517"/>
      <c r="DV228" s="517"/>
      <c r="DW228" s="517"/>
      <c r="DX228" s="517"/>
      <c r="DY228" s="517"/>
      <c r="DZ228" s="517"/>
      <c r="EA228" s="517"/>
      <c r="EB228" s="517"/>
      <c r="EC228" s="517"/>
      <c r="ED228" s="517"/>
      <c r="EE228" s="517"/>
      <c r="EF228" s="517"/>
      <c r="EG228" s="517"/>
      <c r="EH228" s="517"/>
      <c r="EI228" s="517"/>
      <c r="EJ228" s="517"/>
      <c r="EK228" s="517"/>
      <c r="EL228" s="517"/>
      <c r="EM228" s="517"/>
      <c r="EN228" s="517"/>
      <c r="EO228" s="517"/>
      <c r="EP228" s="517"/>
      <c r="EQ228" s="517"/>
      <c r="ER228" s="517"/>
      <c r="ES228" s="627" t="s">
        <v>1140</v>
      </c>
    </row>
    <row r="229">
      <c r="A229" s="517"/>
      <c r="B229" s="517"/>
      <c r="C229" s="517"/>
      <c r="D229" s="517"/>
      <c r="E229" s="517"/>
      <c r="F229" s="517"/>
      <c r="G229" s="517"/>
      <c r="H229" s="517"/>
      <c r="I229" s="517"/>
      <c r="J229" s="517"/>
      <c r="K229" s="517"/>
      <c r="L229" s="517"/>
      <c r="M229" s="517"/>
      <c r="N229" s="517"/>
      <c r="O229" s="517"/>
      <c r="P229" s="517"/>
      <c r="Q229" s="517"/>
      <c r="R229" s="517"/>
      <c r="S229" s="517"/>
      <c r="T229" s="517"/>
      <c r="U229" s="517"/>
      <c r="V229" s="517"/>
      <c r="W229" s="517"/>
      <c r="X229" s="517"/>
      <c r="Y229" s="517"/>
      <c r="Z229" s="517"/>
      <c r="AA229" s="517"/>
      <c r="AB229" s="517"/>
      <c r="AC229" s="517"/>
      <c r="AD229" s="517"/>
      <c r="AE229" s="517"/>
      <c r="AF229" s="517"/>
      <c r="AG229" s="517"/>
      <c r="AH229" s="517"/>
      <c r="AI229" s="517"/>
      <c r="AJ229" s="517"/>
      <c r="AK229" s="517"/>
      <c r="AL229" s="517"/>
      <c r="AM229" s="517"/>
      <c r="AN229" s="517"/>
      <c r="AO229" s="517"/>
      <c r="AP229" s="517"/>
      <c r="AQ229" s="517"/>
      <c r="AR229" s="517"/>
      <c r="AS229" s="517"/>
      <c r="AT229" s="517"/>
      <c r="AU229" s="517"/>
      <c r="AV229" s="517"/>
      <c r="AW229" s="517"/>
      <c r="AX229" s="517"/>
      <c r="AY229" s="517"/>
      <c r="AZ229" s="517"/>
      <c r="BA229" s="517"/>
      <c r="BB229" s="517"/>
      <c r="BC229" s="517"/>
      <c r="BD229" s="517"/>
      <c r="BE229" s="517"/>
      <c r="BF229" s="517"/>
      <c r="BG229" s="517"/>
      <c r="BH229" s="517"/>
      <c r="BI229" s="517"/>
      <c r="BJ229" s="517"/>
      <c r="BK229" s="517"/>
      <c r="BL229" s="517"/>
      <c r="BM229" s="517"/>
      <c r="BN229" s="517"/>
      <c r="BO229" s="517"/>
      <c r="BP229" s="517"/>
      <c r="BQ229" s="517"/>
      <c r="BR229" s="517"/>
      <c r="BS229" s="517"/>
      <c r="BT229" s="517"/>
      <c r="BU229" s="517"/>
      <c r="BV229" s="517"/>
      <c r="BW229" s="517"/>
      <c r="BX229" s="517"/>
      <c r="BY229" s="517"/>
      <c r="BZ229" s="517"/>
      <c r="CA229" s="517"/>
      <c r="CB229" s="517"/>
      <c r="CC229" s="517"/>
      <c r="CD229" s="517"/>
      <c r="CE229" s="517"/>
      <c r="CF229" s="517"/>
      <c r="CG229" s="517"/>
      <c r="CH229" s="517"/>
      <c r="CI229" s="517"/>
      <c r="CJ229" s="517"/>
      <c r="CK229" s="517"/>
      <c r="CL229" s="517"/>
      <c r="CM229" s="517"/>
      <c r="CN229" s="517"/>
      <c r="CO229" s="517"/>
      <c r="CP229" s="517"/>
      <c r="CQ229" s="517"/>
      <c r="CR229" s="517"/>
      <c r="CS229" s="517"/>
      <c r="CT229" s="517"/>
      <c r="CU229" s="517"/>
      <c r="CV229" s="517"/>
      <c r="CW229" s="517"/>
      <c r="CX229" s="517"/>
      <c r="CY229" s="517"/>
      <c r="CZ229" s="517"/>
      <c r="DA229" s="517"/>
      <c r="DB229" s="517"/>
      <c r="DC229" s="517"/>
      <c r="DD229" s="517"/>
      <c r="DE229" s="517"/>
      <c r="DF229" s="517"/>
      <c r="DG229" s="517"/>
      <c r="DH229" s="517"/>
      <c r="DI229" s="517"/>
      <c r="DJ229" s="517"/>
      <c r="DK229" s="517"/>
      <c r="DL229" s="517"/>
      <c r="DM229" s="517"/>
      <c r="DN229" s="517"/>
      <c r="DO229" s="517"/>
      <c r="DP229" s="517"/>
      <c r="DQ229" s="517"/>
      <c r="DR229" s="517"/>
      <c r="DS229" s="517"/>
      <c r="DT229" s="517"/>
      <c r="DU229" s="517"/>
      <c r="DV229" s="517"/>
      <c r="DW229" s="517"/>
      <c r="DX229" s="517"/>
      <c r="DY229" s="517"/>
      <c r="DZ229" s="517"/>
      <c r="EA229" s="517"/>
      <c r="EB229" s="517"/>
      <c r="EC229" s="517"/>
      <c r="ED229" s="517"/>
      <c r="EE229" s="517"/>
      <c r="EF229" s="517"/>
      <c r="EG229" s="517"/>
      <c r="EH229" s="517"/>
      <c r="EI229" s="517"/>
      <c r="EJ229" s="517"/>
      <c r="EK229" s="517"/>
      <c r="EL229" s="517"/>
      <c r="EM229" s="517"/>
      <c r="EN229" s="517"/>
      <c r="EO229" s="517"/>
      <c r="EP229" s="517"/>
      <c r="EQ229" s="517"/>
      <c r="ER229" s="517"/>
      <c r="ES229" s="627" t="s">
        <v>1140</v>
      </c>
    </row>
    <row r="230">
      <c r="A230" s="517"/>
      <c r="B230" s="517"/>
      <c r="C230" s="517"/>
      <c r="D230" s="517"/>
      <c r="E230" s="517"/>
      <c r="F230" s="517"/>
      <c r="G230" s="517"/>
      <c r="H230" s="517"/>
      <c r="I230" s="517"/>
      <c r="J230" s="517"/>
      <c r="K230" s="517"/>
      <c r="L230" s="517"/>
      <c r="M230" s="517"/>
      <c r="N230" s="517"/>
      <c r="O230" s="517"/>
      <c r="P230" s="517"/>
      <c r="Q230" s="517"/>
      <c r="R230" s="517"/>
      <c r="S230" s="517"/>
      <c r="T230" s="517"/>
      <c r="U230" s="517"/>
      <c r="V230" s="517"/>
      <c r="W230" s="517"/>
      <c r="X230" s="517"/>
      <c r="Y230" s="517"/>
      <c r="Z230" s="517"/>
      <c r="AA230" s="517"/>
      <c r="AB230" s="517"/>
      <c r="AC230" s="517"/>
      <c r="AD230" s="517"/>
      <c r="AE230" s="517"/>
      <c r="AF230" s="517"/>
      <c r="AG230" s="517"/>
      <c r="AH230" s="517"/>
      <c r="AI230" s="517"/>
      <c r="AJ230" s="517"/>
      <c r="AK230" s="517"/>
      <c r="AL230" s="517"/>
      <c r="AM230" s="517"/>
      <c r="AN230" s="517"/>
      <c r="AO230" s="517"/>
      <c r="AP230" s="517"/>
      <c r="AQ230" s="517"/>
      <c r="AR230" s="517"/>
      <c r="AS230" s="517"/>
      <c r="AT230" s="517"/>
      <c r="AU230" s="517"/>
      <c r="AV230" s="517"/>
      <c r="AW230" s="517"/>
      <c r="AX230" s="517"/>
      <c r="AY230" s="517"/>
      <c r="AZ230" s="517"/>
      <c r="BA230" s="517"/>
      <c r="BB230" s="517"/>
      <c r="BC230" s="517"/>
      <c r="BD230" s="517"/>
      <c r="BE230" s="517"/>
      <c r="BF230" s="517"/>
      <c r="BG230" s="517"/>
      <c r="BH230" s="517"/>
      <c r="BI230" s="517"/>
      <c r="BJ230" s="517"/>
      <c r="BK230" s="517"/>
      <c r="BL230" s="517"/>
      <c r="BM230" s="517"/>
      <c r="BN230" s="517"/>
      <c r="BO230" s="517"/>
      <c r="BP230" s="517"/>
      <c r="BQ230" s="517"/>
      <c r="BR230" s="517"/>
      <c r="BS230" s="517"/>
      <c r="BT230" s="517"/>
      <c r="BU230" s="517"/>
      <c r="BV230" s="517"/>
      <c r="BW230" s="517"/>
      <c r="BX230" s="517"/>
      <c r="BY230" s="517"/>
      <c r="BZ230" s="517"/>
      <c r="CA230" s="517"/>
      <c r="CB230" s="517"/>
      <c r="CC230" s="517"/>
      <c r="CD230" s="517"/>
      <c r="CE230" s="517"/>
      <c r="CF230" s="517"/>
      <c r="CG230" s="517"/>
      <c r="CH230" s="517"/>
      <c r="CI230" s="517"/>
      <c r="CJ230" s="517"/>
      <c r="CK230" s="517"/>
      <c r="CL230" s="517"/>
      <c r="CM230" s="517"/>
      <c r="CN230" s="517"/>
      <c r="CO230" s="517"/>
      <c r="CP230" s="517"/>
      <c r="CQ230" s="517"/>
      <c r="CR230" s="517"/>
      <c r="CS230" s="517"/>
      <c r="CT230" s="517"/>
      <c r="CU230" s="517"/>
      <c r="CV230" s="517"/>
      <c r="CW230" s="517"/>
      <c r="CX230" s="517"/>
      <c r="CY230" s="517"/>
      <c r="CZ230" s="517"/>
      <c r="DA230" s="517"/>
      <c r="DB230" s="517"/>
      <c r="DC230" s="517"/>
      <c r="DD230" s="517"/>
      <c r="DE230" s="517"/>
      <c r="DF230" s="517"/>
      <c r="DG230" s="517"/>
      <c r="DH230" s="517"/>
      <c r="DI230" s="517"/>
      <c r="DJ230" s="517"/>
      <c r="DK230" s="517"/>
      <c r="DL230" s="517"/>
      <c r="DM230" s="517"/>
      <c r="DN230" s="517"/>
      <c r="DO230" s="517"/>
      <c r="DP230" s="517"/>
      <c r="DQ230" s="517"/>
      <c r="DR230" s="517"/>
      <c r="DS230" s="517"/>
      <c r="DT230" s="517"/>
      <c r="DU230" s="517"/>
      <c r="DV230" s="517"/>
      <c r="DW230" s="517"/>
      <c r="DX230" s="517"/>
      <c r="DY230" s="517"/>
      <c r="DZ230" s="517"/>
      <c r="EA230" s="517"/>
      <c r="EB230" s="517"/>
      <c r="EC230" s="517"/>
      <c r="ED230" s="517"/>
      <c r="EE230" s="517"/>
      <c r="EF230" s="517"/>
      <c r="EG230" s="517"/>
      <c r="EH230" s="517"/>
      <c r="EI230" s="517"/>
      <c r="EJ230" s="517"/>
      <c r="EK230" s="517"/>
      <c r="EL230" s="517"/>
      <c r="EM230" s="517"/>
      <c r="EN230" s="517"/>
      <c r="EO230" s="517"/>
      <c r="EP230" s="517"/>
      <c r="EQ230" s="517"/>
      <c r="ER230" s="517"/>
      <c r="ES230" s="627" t="s">
        <v>1140</v>
      </c>
    </row>
    <row r="231">
      <c r="A231" s="517"/>
      <c r="B231" s="517"/>
      <c r="C231" s="517"/>
      <c r="D231" s="517"/>
      <c r="E231" s="517"/>
      <c r="F231" s="517"/>
      <c r="G231" s="517"/>
      <c r="H231" s="517"/>
      <c r="I231" s="517"/>
      <c r="J231" s="517"/>
      <c r="K231" s="517"/>
      <c r="L231" s="517"/>
      <c r="M231" s="517"/>
      <c r="N231" s="517"/>
      <c r="O231" s="517"/>
      <c r="P231" s="517"/>
      <c r="Q231" s="517"/>
      <c r="R231" s="517"/>
      <c r="S231" s="517"/>
      <c r="T231" s="517"/>
      <c r="U231" s="517"/>
      <c r="V231" s="517"/>
      <c r="W231" s="517"/>
      <c r="X231" s="517"/>
      <c r="Y231" s="517"/>
      <c r="Z231" s="517"/>
      <c r="AA231" s="517"/>
      <c r="AB231" s="517"/>
      <c r="AC231" s="517"/>
      <c r="AD231" s="517"/>
      <c r="AE231" s="517"/>
      <c r="AF231" s="517"/>
      <c r="AG231" s="517"/>
      <c r="AH231" s="517"/>
      <c r="AI231" s="517"/>
      <c r="AJ231" s="517"/>
      <c r="AK231" s="517"/>
      <c r="AL231" s="517"/>
      <c r="AM231" s="517"/>
      <c r="AN231" s="517"/>
      <c r="AO231" s="517"/>
      <c r="AP231" s="517"/>
      <c r="AQ231" s="517"/>
      <c r="AR231" s="517"/>
      <c r="AS231" s="517"/>
      <c r="AT231" s="517"/>
      <c r="AU231" s="517"/>
      <c r="AV231" s="517"/>
      <c r="AW231" s="517"/>
      <c r="AX231" s="517"/>
      <c r="AY231" s="517"/>
      <c r="AZ231" s="517"/>
      <c r="BA231" s="517"/>
      <c r="BB231" s="517"/>
      <c r="BC231" s="517"/>
      <c r="BD231" s="517"/>
      <c r="BE231" s="517"/>
      <c r="BF231" s="517"/>
      <c r="BG231" s="517"/>
      <c r="BH231" s="517"/>
      <c r="BI231" s="517"/>
      <c r="BJ231" s="517"/>
      <c r="BK231" s="517"/>
      <c r="BL231" s="517"/>
      <c r="BM231" s="517"/>
      <c r="BN231" s="517"/>
      <c r="BO231" s="517"/>
      <c r="BP231" s="517"/>
      <c r="BQ231" s="517"/>
      <c r="BR231" s="517"/>
      <c r="BS231" s="517"/>
      <c r="BT231" s="517"/>
      <c r="BU231" s="517"/>
      <c r="BV231" s="517"/>
      <c r="BW231" s="517"/>
      <c r="BX231" s="517"/>
      <c r="BY231" s="517"/>
      <c r="BZ231" s="517"/>
      <c r="CA231" s="517"/>
      <c r="CB231" s="517"/>
      <c r="CC231" s="517"/>
      <c r="CD231" s="517"/>
      <c r="CE231" s="517"/>
      <c r="CF231" s="517"/>
      <c r="CG231" s="517"/>
      <c r="CH231" s="517"/>
      <c r="CI231" s="517"/>
      <c r="CJ231" s="517"/>
      <c r="CK231" s="517"/>
      <c r="CL231" s="517"/>
      <c r="CM231" s="517"/>
      <c r="CN231" s="517"/>
      <c r="CO231" s="517"/>
      <c r="CP231" s="517"/>
      <c r="CQ231" s="517"/>
      <c r="CR231" s="517"/>
      <c r="CS231" s="517"/>
      <c r="CT231" s="517"/>
      <c r="CU231" s="517"/>
      <c r="CV231" s="517"/>
      <c r="CW231" s="517"/>
      <c r="CX231" s="517"/>
      <c r="CY231" s="517"/>
      <c r="CZ231" s="517"/>
      <c r="DA231" s="517"/>
      <c r="DB231" s="517"/>
      <c r="DC231" s="517"/>
      <c r="DD231" s="517"/>
      <c r="DE231" s="517"/>
      <c r="DF231" s="517"/>
      <c r="DG231" s="517"/>
      <c r="DH231" s="517"/>
      <c r="DI231" s="517"/>
      <c r="DJ231" s="517"/>
      <c r="DK231" s="517"/>
      <c r="DL231" s="517"/>
      <c r="DM231" s="517"/>
      <c r="DN231" s="517"/>
      <c r="DO231" s="517"/>
      <c r="DP231" s="517"/>
      <c r="DQ231" s="517"/>
      <c r="DR231" s="517"/>
      <c r="DS231" s="517"/>
      <c r="DT231" s="517"/>
      <c r="DU231" s="517"/>
      <c r="DV231" s="517"/>
      <c r="DW231" s="517"/>
      <c r="DX231" s="517"/>
      <c r="DY231" s="517"/>
      <c r="DZ231" s="517"/>
      <c r="EA231" s="517"/>
      <c r="EB231" s="517"/>
      <c r="EC231" s="517"/>
      <c r="ED231" s="517"/>
      <c r="EE231" s="517"/>
      <c r="EF231" s="517"/>
      <c r="EG231" s="517"/>
      <c r="EH231" s="517"/>
      <c r="EI231" s="517"/>
      <c r="EJ231" s="517"/>
      <c r="EK231" s="517"/>
      <c r="EL231" s="517"/>
      <c r="EM231" s="517"/>
      <c r="EN231" s="517"/>
      <c r="EO231" s="517"/>
      <c r="EP231" s="517"/>
      <c r="EQ231" s="517"/>
      <c r="ER231" s="517"/>
      <c r="ES231" s="627" t="s">
        <v>1140</v>
      </c>
    </row>
    <row r="232">
      <c r="A232" s="517"/>
      <c r="B232" s="517"/>
      <c r="C232" s="517"/>
      <c r="D232" s="517"/>
      <c r="E232" s="517"/>
      <c r="F232" s="517"/>
      <c r="G232" s="517"/>
      <c r="H232" s="517"/>
      <c r="I232" s="517"/>
      <c r="J232" s="517"/>
      <c r="K232" s="517"/>
      <c r="L232" s="517"/>
      <c r="M232" s="517"/>
      <c r="N232" s="517"/>
      <c r="O232" s="517"/>
      <c r="P232" s="517"/>
      <c r="Q232" s="517"/>
      <c r="R232" s="517"/>
      <c r="S232" s="517"/>
      <c r="T232" s="517"/>
      <c r="U232" s="517"/>
      <c r="V232" s="517"/>
      <c r="W232" s="517"/>
      <c r="X232" s="517"/>
      <c r="Y232" s="517"/>
      <c r="Z232" s="517"/>
      <c r="AA232" s="517"/>
      <c r="AB232" s="517"/>
      <c r="AC232" s="517"/>
      <c r="AD232" s="517"/>
      <c r="AE232" s="517"/>
      <c r="AF232" s="517"/>
      <c r="AG232" s="517"/>
      <c r="AH232" s="517"/>
      <c r="AI232" s="517"/>
      <c r="AJ232" s="517"/>
      <c r="AK232" s="517"/>
      <c r="AL232" s="517"/>
      <c r="AM232" s="517"/>
      <c r="AN232" s="517"/>
      <c r="AO232" s="517"/>
      <c r="AP232" s="517"/>
      <c r="AQ232" s="517"/>
      <c r="AR232" s="517"/>
      <c r="AS232" s="517"/>
      <c r="AT232" s="517"/>
      <c r="AU232" s="517"/>
      <c r="AV232" s="517"/>
      <c r="AW232" s="517"/>
      <c r="AX232" s="517"/>
      <c r="AY232" s="517"/>
      <c r="AZ232" s="517"/>
      <c r="BA232" s="517"/>
      <c r="BB232" s="517"/>
      <c r="BC232" s="517"/>
      <c r="BD232" s="517"/>
      <c r="BE232" s="517"/>
      <c r="BF232" s="517"/>
      <c r="BG232" s="517"/>
      <c r="BH232" s="517"/>
      <c r="BI232" s="517"/>
      <c r="BJ232" s="517"/>
      <c r="BK232" s="517"/>
      <c r="BL232" s="517"/>
      <c r="BM232" s="517"/>
      <c r="BN232" s="517"/>
      <c r="BO232" s="517"/>
      <c r="BP232" s="517"/>
      <c r="BQ232" s="517"/>
      <c r="BR232" s="517"/>
      <c r="BS232" s="517"/>
      <c r="BT232" s="517"/>
      <c r="BU232" s="517"/>
      <c r="BV232" s="517"/>
      <c r="BW232" s="517"/>
      <c r="BX232" s="517"/>
      <c r="BY232" s="517"/>
      <c r="BZ232" s="517"/>
      <c r="CA232" s="517"/>
      <c r="CB232" s="517"/>
      <c r="CC232" s="517"/>
      <c r="CD232" s="517"/>
      <c r="CE232" s="517"/>
      <c r="CF232" s="517"/>
      <c r="CG232" s="517"/>
      <c r="CH232" s="517"/>
      <c r="CI232" s="517"/>
      <c r="CJ232" s="517"/>
      <c r="CK232" s="517"/>
      <c r="CL232" s="517"/>
      <c r="CM232" s="517"/>
      <c r="CN232" s="517"/>
      <c r="CO232" s="517"/>
      <c r="CP232" s="517"/>
      <c r="CQ232" s="517"/>
      <c r="CR232" s="517"/>
      <c r="CS232" s="517"/>
      <c r="CT232" s="517"/>
      <c r="CU232" s="517"/>
      <c r="CV232" s="517"/>
      <c r="CW232" s="517"/>
      <c r="CX232" s="517"/>
      <c r="CY232" s="517"/>
      <c r="CZ232" s="517"/>
      <c r="DA232" s="517"/>
      <c r="DB232" s="517"/>
      <c r="DC232" s="517"/>
      <c r="DD232" s="517"/>
      <c r="DE232" s="517"/>
      <c r="DF232" s="517"/>
      <c r="DG232" s="517"/>
      <c r="DH232" s="517"/>
      <c r="DI232" s="517"/>
      <c r="DJ232" s="517"/>
      <c r="DK232" s="517"/>
      <c r="DL232" s="517"/>
      <c r="DM232" s="517"/>
      <c r="DN232" s="517"/>
      <c r="DO232" s="517"/>
      <c r="DP232" s="517"/>
      <c r="DQ232" s="517"/>
      <c r="DR232" s="517"/>
      <c r="DS232" s="517"/>
      <c r="DT232" s="517"/>
      <c r="DU232" s="517"/>
      <c r="DV232" s="517"/>
      <c r="DW232" s="517"/>
      <c r="DX232" s="517"/>
      <c r="DY232" s="517"/>
      <c r="DZ232" s="517"/>
      <c r="EA232" s="517"/>
      <c r="EB232" s="517"/>
      <c r="EC232" s="517"/>
      <c r="ED232" s="517"/>
      <c r="EE232" s="517"/>
      <c r="EF232" s="517"/>
      <c r="EG232" s="517"/>
      <c r="EH232" s="517"/>
      <c r="EI232" s="517"/>
      <c r="EJ232" s="517"/>
      <c r="EK232" s="517"/>
      <c r="EL232" s="517"/>
      <c r="EM232" s="517"/>
      <c r="EN232" s="517"/>
      <c r="EO232" s="517"/>
      <c r="EP232" s="517"/>
      <c r="EQ232" s="517"/>
      <c r="ER232" s="517"/>
      <c r="ES232" s="627" t="s">
        <v>1140</v>
      </c>
    </row>
    <row r="233">
      <c r="A233" s="517"/>
      <c r="B233" s="517"/>
      <c r="C233" s="517"/>
      <c r="D233" s="517"/>
      <c r="E233" s="517"/>
      <c r="F233" s="517"/>
      <c r="G233" s="517"/>
      <c r="H233" s="517"/>
      <c r="I233" s="517"/>
      <c r="J233" s="517"/>
      <c r="K233" s="517"/>
      <c r="L233" s="517"/>
      <c r="M233" s="517"/>
      <c r="N233" s="517"/>
      <c r="O233" s="517"/>
      <c r="P233" s="517"/>
      <c r="Q233" s="517"/>
      <c r="R233" s="517"/>
      <c r="S233" s="517"/>
      <c r="T233" s="517"/>
      <c r="U233" s="517"/>
      <c r="V233" s="517"/>
      <c r="W233" s="517"/>
      <c r="X233" s="517"/>
      <c r="Y233" s="517"/>
      <c r="Z233" s="517"/>
      <c r="AA233" s="517"/>
      <c r="AB233" s="517"/>
      <c r="AC233" s="517"/>
      <c r="AD233" s="517"/>
      <c r="AE233" s="517"/>
      <c r="AF233" s="517"/>
      <c r="AG233" s="517"/>
      <c r="AH233" s="517"/>
      <c r="AI233" s="517"/>
      <c r="AJ233" s="517"/>
      <c r="AK233" s="517"/>
      <c r="AL233" s="517"/>
      <c r="AM233" s="517"/>
      <c r="AN233" s="517"/>
      <c r="AO233" s="517"/>
      <c r="AP233" s="517"/>
      <c r="AQ233" s="517"/>
      <c r="AR233" s="517"/>
      <c r="AS233" s="517"/>
      <c r="AT233" s="517"/>
      <c r="AU233" s="517"/>
      <c r="AV233" s="517"/>
      <c r="AW233" s="517"/>
      <c r="AX233" s="517"/>
      <c r="AY233" s="517"/>
      <c r="AZ233" s="517"/>
      <c r="BA233" s="517"/>
      <c r="BB233" s="517"/>
      <c r="BC233" s="517"/>
      <c r="BD233" s="517"/>
      <c r="BE233" s="517"/>
      <c r="BF233" s="517"/>
      <c r="BG233" s="517"/>
      <c r="BH233" s="517"/>
      <c r="BI233" s="517"/>
      <c r="BJ233" s="517"/>
      <c r="BK233" s="517"/>
      <c r="BL233" s="517"/>
      <c r="BM233" s="517"/>
      <c r="BN233" s="517"/>
      <c r="BO233" s="517"/>
      <c r="BP233" s="517"/>
      <c r="BQ233" s="517"/>
      <c r="BR233" s="517"/>
      <c r="BS233" s="517"/>
      <c r="BT233" s="517"/>
      <c r="BU233" s="517"/>
      <c r="BV233" s="517"/>
      <c r="BW233" s="517"/>
      <c r="BX233" s="517"/>
      <c r="BY233" s="517"/>
      <c r="BZ233" s="517"/>
      <c r="CA233" s="517"/>
      <c r="CB233" s="517"/>
      <c r="CC233" s="517"/>
      <c r="CD233" s="517"/>
      <c r="CE233" s="517"/>
      <c r="CF233" s="517"/>
      <c r="CG233" s="517"/>
      <c r="CH233" s="517"/>
      <c r="CI233" s="517"/>
      <c r="CJ233" s="517"/>
      <c r="CK233" s="517"/>
      <c r="CL233" s="517"/>
      <c r="CM233" s="517"/>
      <c r="CN233" s="517"/>
      <c r="CO233" s="517"/>
      <c r="CP233" s="517"/>
      <c r="CQ233" s="517"/>
      <c r="CR233" s="517"/>
      <c r="CS233" s="517"/>
      <c r="CT233" s="517"/>
      <c r="CU233" s="517"/>
      <c r="CV233" s="517"/>
      <c r="CW233" s="517"/>
      <c r="CX233" s="517"/>
      <c r="CY233" s="517"/>
      <c r="CZ233" s="517"/>
      <c r="DA233" s="517"/>
      <c r="DB233" s="517"/>
      <c r="DC233" s="517"/>
      <c r="DD233" s="517"/>
      <c r="DE233" s="517"/>
      <c r="DF233" s="517"/>
      <c r="DG233" s="517"/>
      <c r="DH233" s="517"/>
      <c r="DI233" s="517"/>
      <c r="DJ233" s="517"/>
      <c r="DK233" s="517"/>
      <c r="DL233" s="517"/>
      <c r="DM233" s="517"/>
      <c r="DN233" s="517"/>
      <c r="DO233" s="517"/>
      <c r="DP233" s="517"/>
      <c r="DQ233" s="517"/>
      <c r="DR233" s="517"/>
      <c r="DS233" s="517"/>
      <c r="DT233" s="517"/>
      <c r="DU233" s="517"/>
      <c r="DV233" s="517"/>
      <c r="DW233" s="517"/>
      <c r="DX233" s="517"/>
      <c r="DY233" s="517"/>
      <c r="DZ233" s="517"/>
      <c r="EA233" s="517"/>
      <c r="EB233" s="517"/>
      <c r="EC233" s="517"/>
      <c r="ED233" s="517"/>
      <c r="EE233" s="517"/>
      <c r="EF233" s="517"/>
      <c r="EG233" s="517"/>
      <c r="EH233" s="517"/>
      <c r="EI233" s="517"/>
      <c r="EJ233" s="517"/>
      <c r="EK233" s="517"/>
      <c r="EL233" s="517"/>
      <c r="EM233" s="517"/>
      <c r="EN233" s="517"/>
      <c r="EO233" s="517"/>
      <c r="EP233" s="517"/>
      <c r="EQ233" s="517"/>
      <c r="ER233" s="517"/>
      <c r="ES233" s="627" t="s">
        <v>1140</v>
      </c>
    </row>
    <row r="234">
      <c r="A234" s="517"/>
      <c r="B234" s="517"/>
      <c r="C234" s="517"/>
      <c r="D234" s="517"/>
      <c r="E234" s="517"/>
      <c r="F234" s="517"/>
      <c r="G234" s="517"/>
      <c r="H234" s="517"/>
      <c r="I234" s="517"/>
      <c r="J234" s="517"/>
      <c r="K234" s="517"/>
      <c r="L234" s="517"/>
      <c r="M234" s="517"/>
      <c r="N234" s="517"/>
      <c r="O234" s="517"/>
      <c r="P234" s="517"/>
      <c r="Q234" s="517"/>
      <c r="R234" s="517"/>
      <c r="S234" s="517"/>
      <c r="T234" s="517"/>
      <c r="U234" s="517"/>
      <c r="V234" s="517"/>
      <c r="W234" s="517"/>
      <c r="X234" s="517"/>
      <c r="Y234" s="517"/>
      <c r="Z234" s="517"/>
      <c r="AA234" s="517"/>
      <c r="AB234" s="517"/>
      <c r="AC234" s="517"/>
      <c r="AD234" s="517"/>
      <c r="AE234" s="517"/>
      <c r="AF234" s="517"/>
      <c r="AG234" s="517"/>
      <c r="AH234" s="517"/>
      <c r="AI234" s="517"/>
      <c r="AJ234" s="517"/>
      <c r="AK234" s="517"/>
      <c r="AL234" s="517"/>
      <c r="AM234" s="517"/>
      <c r="AN234" s="517"/>
      <c r="AO234" s="517"/>
      <c r="AP234" s="517"/>
      <c r="AQ234" s="517"/>
      <c r="AR234" s="517"/>
      <c r="AS234" s="517"/>
      <c r="AT234" s="517"/>
      <c r="AU234" s="517"/>
      <c r="AV234" s="517"/>
      <c r="AW234" s="517"/>
      <c r="AX234" s="517"/>
      <c r="AY234" s="517"/>
      <c r="AZ234" s="517"/>
      <c r="BA234" s="517"/>
      <c r="BB234" s="517"/>
      <c r="BC234" s="517"/>
      <c r="BD234" s="517"/>
      <c r="BE234" s="517"/>
      <c r="BF234" s="517"/>
      <c r="BG234" s="517"/>
      <c r="BH234" s="517"/>
      <c r="BI234" s="517"/>
      <c r="BJ234" s="517"/>
      <c r="BK234" s="517"/>
      <c r="BL234" s="517"/>
      <c r="BM234" s="517"/>
      <c r="BN234" s="517"/>
      <c r="BO234" s="517"/>
      <c r="BP234" s="517"/>
      <c r="BQ234" s="517"/>
      <c r="BR234" s="517"/>
      <c r="BS234" s="517"/>
      <c r="BT234" s="517"/>
      <c r="BU234" s="517"/>
      <c r="BV234" s="517"/>
      <c r="BW234" s="517"/>
      <c r="BX234" s="517"/>
      <c r="BY234" s="517"/>
      <c r="BZ234" s="517"/>
      <c r="CA234" s="517"/>
      <c r="CB234" s="517"/>
      <c r="CC234" s="517"/>
      <c r="CD234" s="517"/>
      <c r="CE234" s="517"/>
      <c r="CF234" s="517"/>
      <c r="CG234" s="517"/>
      <c r="CH234" s="517"/>
      <c r="CI234" s="517"/>
      <c r="CJ234" s="517"/>
      <c r="CK234" s="517"/>
      <c r="CL234" s="517"/>
      <c r="CM234" s="517"/>
      <c r="CN234" s="517"/>
      <c r="CO234" s="517"/>
      <c r="CP234" s="517"/>
      <c r="CQ234" s="517"/>
      <c r="CR234" s="517"/>
      <c r="CS234" s="517"/>
      <c r="CT234" s="517"/>
      <c r="CU234" s="517"/>
      <c r="CV234" s="517"/>
      <c r="CW234" s="517"/>
      <c r="CX234" s="517"/>
      <c r="CY234" s="517"/>
      <c r="CZ234" s="517"/>
      <c r="DA234" s="517"/>
      <c r="DB234" s="517"/>
      <c r="DC234" s="517"/>
      <c r="DD234" s="517"/>
      <c r="DE234" s="517"/>
      <c r="DF234" s="517"/>
      <c r="DG234" s="517"/>
      <c r="DH234" s="517"/>
      <c r="DI234" s="517"/>
      <c r="DJ234" s="517"/>
      <c r="DK234" s="517"/>
      <c r="DL234" s="517"/>
      <c r="DM234" s="517"/>
      <c r="DN234" s="517"/>
      <c r="DO234" s="517"/>
      <c r="DP234" s="517"/>
      <c r="DQ234" s="517"/>
      <c r="DR234" s="517"/>
      <c r="DS234" s="517"/>
      <c r="DT234" s="517"/>
      <c r="DU234" s="517"/>
      <c r="DV234" s="517"/>
      <c r="DW234" s="517"/>
      <c r="DX234" s="517"/>
      <c r="DY234" s="517"/>
      <c r="DZ234" s="517"/>
      <c r="EA234" s="517"/>
      <c r="EB234" s="517"/>
      <c r="EC234" s="517"/>
      <c r="ED234" s="517"/>
      <c r="EE234" s="517"/>
      <c r="EF234" s="517"/>
      <c r="EG234" s="517"/>
      <c r="EH234" s="517"/>
      <c r="EI234" s="517"/>
      <c r="EJ234" s="517"/>
      <c r="EK234" s="517"/>
      <c r="EL234" s="517"/>
      <c r="EM234" s="517"/>
      <c r="EN234" s="517"/>
      <c r="EO234" s="517"/>
      <c r="EP234" s="517"/>
      <c r="EQ234" s="517"/>
      <c r="ER234" s="517"/>
      <c r="ES234" s="627" t="s">
        <v>1140</v>
      </c>
    </row>
    <row r="235">
      <c r="A235" s="517"/>
      <c r="B235" s="517"/>
      <c r="C235" s="517"/>
      <c r="D235" s="517"/>
      <c r="E235" s="517"/>
      <c r="F235" s="517"/>
      <c r="G235" s="517"/>
      <c r="H235" s="517"/>
      <c r="I235" s="517"/>
      <c r="J235" s="517"/>
      <c r="K235" s="517"/>
      <c r="L235" s="517"/>
      <c r="M235" s="517"/>
      <c r="N235" s="517"/>
      <c r="O235" s="517"/>
      <c r="P235" s="517"/>
      <c r="Q235" s="517"/>
      <c r="R235" s="517"/>
      <c r="S235" s="517"/>
      <c r="T235" s="517"/>
      <c r="U235" s="517"/>
      <c r="V235" s="517"/>
      <c r="W235" s="517"/>
      <c r="X235" s="517"/>
      <c r="Y235" s="517"/>
      <c r="Z235" s="517"/>
      <c r="AA235" s="517"/>
      <c r="AB235" s="517"/>
      <c r="AC235" s="517"/>
      <c r="AD235" s="517"/>
      <c r="AE235" s="517"/>
      <c r="AF235" s="517"/>
      <c r="AG235" s="517"/>
      <c r="AH235" s="517"/>
      <c r="AI235" s="517"/>
      <c r="AJ235" s="517"/>
      <c r="AK235" s="517"/>
      <c r="AL235" s="517"/>
      <c r="AM235" s="517"/>
      <c r="AN235" s="517"/>
      <c r="AO235" s="517"/>
      <c r="AP235" s="517"/>
      <c r="AQ235" s="517"/>
      <c r="AR235" s="517"/>
      <c r="AS235" s="517"/>
      <c r="AT235" s="517"/>
      <c r="AU235" s="517"/>
      <c r="AV235" s="517"/>
      <c r="AW235" s="517"/>
      <c r="AX235" s="517"/>
      <c r="AY235" s="517"/>
      <c r="AZ235" s="517"/>
      <c r="BA235" s="517"/>
      <c r="BB235" s="517"/>
      <c r="BC235" s="517"/>
      <c r="BD235" s="517"/>
      <c r="BE235" s="517"/>
      <c r="BF235" s="517"/>
      <c r="BG235" s="517"/>
      <c r="BH235" s="517"/>
      <c r="BI235" s="517"/>
      <c r="BJ235" s="517"/>
      <c r="BK235" s="517"/>
      <c r="BL235" s="517"/>
      <c r="BM235" s="517"/>
      <c r="BN235" s="517"/>
      <c r="BO235" s="517"/>
      <c r="BP235" s="517"/>
      <c r="BQ235" s="517"/>
      <c r="BR235" s="517"/>
      <c r="BS235" s="517"/>
      <c r="BT235" s="517"/>
      <c r="BU235" s="517"/>
      <c r="BV235" s="517"/>
      <c r="BW235" s="517"/>
      <c r="BX235" s="517"/>
      <c r="BY235" s="517"/>
      <c r="BZ235" s="517"/>
      <c r="CA235" s="517"/>
      <c r="CB235" s="517"/>
      <c r="CC235" s="517"/>
      <c r="CD235" s="517"/>
      <c r="CE235" s="517"/>
      <c r="CF235" s="517"/>
      <c r="CG235" s="517"/>
      <c r="CH235" s="517"/>
      <c r="CI235" s="517"/>
      <c r="CJ235" s="517"/>
      <c r="CK235" s="517"/>
      <c r="CL235" s="517"/>
      <c r="CM235" s="517"/>
      <c r="CN235" s="517"/>
      <c r="CO235" s="517"/>
      <c r="CP235" s="517"/>
      <c r="CQ235" s="517"/>
      <c r="CR235" s="517"/>
      <c r="CS235" s="517"/>
      <c r="CT235" s="517"/>
      <c r="CU235" s="517"/>
      <c r="CV235" s="517"/>
      <c r="CW235" s="517"/>
      <c r="CX235" s="517"/>
      <c r="CY235" s="517"/>
      <c r="CZ235" s="517"/>
      <c r="DA235" s="517"/>
      <c r="DB235" s="517"/>
      <c r="DC235" s="517"/>
      <c r="DD235" s="517"/>
      <c r="DE235" s="517"/>
      <c r="DF235" s="517"/>
      <c r="DG235" s="517"/>
      <c r="DH235" s="517"/>
      <c r="DI235" s="517"/>
      <c r="DJ235" s="517"/>
      <c r="DK235" s="517"/>
      <c r="DL235" s="517"/>
      <c r="DM235" s="517"/>
      <c r="DN235" s="517"/>
      <c r="DO235" s="517"/>
      <c r="DP235" s="517"/>
      <c r="DQ235" s="517"/>
      <c r="DR235" s="517"/>
      <c r="DS235" s="517"/>
      <c r="DT235" s="517"/>
      <c r="DU235" s="517"/>
      <c r="DV235" s="517"/>
      <c r="DW235" s="517"/>
      <c r="DX235" s="517"/>
      <c r="DY235" s="517"/>
      <c r="DZ235" s="517"/>
      <c r="EA235" s="517"/>
      <c r="EB235" s="517"/>
      <c r="EC235" s="517"/>
      <c r="ED235" s="517"/>
      <c r="EE235" s="517"/>
      <c r="EF235" s="517"/>
      <c r="EG235" s="517"/>
      <c r="EH235" s="517"/>
      <c r="EI235" s="517"/>
      <c r="EJ235" s="517"/>
      <c r="EK235" s="517"/>
      <c r="EL235" s="517"/>
      <c r="EM235" s="517"/>
      <c r="EN235" s="517"/>
      <c r="EO235" s="517"/>
      <c r="EP235" s="517"/>
      <c r="EQ235" s="517"/>
      <c r="ER235" s="517"/>
      <c r="ES235" s="627" t="s">
        <v>1140</v>
      </c>
    </row>
    <row r="236">
      <c r="A236" s="517"/>
      <c r="B236" s="517"/>
      <c r="C236" s="517"/>
      <c r="D236" s="517"/>
      <c r="E236" s="517"/>
      <c r="F236" s="517"/>
      <c r="G236" s="517"/>
      <c r="H236" s="517"/>
      <c r="I236" s="517"/>
      <c r="J236" s="517"/>
      <c r="K236" s="517"/>
      <c r="L236" s="517"/>
      <c r="M236" s="517"/>
      <c r="N236" s="517"/>
      <c r="O236" s="517"/>
      <c r="P236" s="517"/>
      <c r="Q236" s="517"/>
      <c r="R236" s="517"/>
      <c r="S236" s="517"/>
      <c r="T236" s="517"/>
      <c r="U236" s="517"/>
      <c r="V236" s="517"/>
      <c r="W236" s="517"/>
      <c r="X236" s="517"/>
      <c r="Y236" s="517"/>
      <c r="Z236" s="517"/>
      <c r="AA236" s="517"/>
      <c r="AB236" s="517"/>
      <c r="AC236" s="517"/>
      <c r="AD236" s="517"/>
      <c r="AE236" s="517"/>
      <c r="AF236" s="517"/>
      <c r="AG236" s="517"/>
      <c r="AH236" s="517"/>
      <c r="AI236" s="517"/>
      <c r="AJ236" s="517"/>
      <c r="AK236" s="517"/>
      <c r="AL236" s="517"/>
      <c r="AM236" s="517"/>
      <c r="AN236" s="517"/>
      <c r="AO236" s="517"/>
      <c r="AP236" s="517"/>
      <c r="AQ236" s="517"/>
      <c r="AR236" s="517"/>
      <c r="AS236" s="517"/>
      <c r="AT236" s="517"/>
      <c r="AU236" s="517"/>
      <c r="AV236" s="517"/>
      <c r="AW236" s="517"/>
      <c r="AX236" s="517"/>
      <c r="AY236" s="517"/>
      <c r="AZ236" s="517"/>
      <c r="BA236" s="517"/>
      <c r="BB236" s="517"/>
      <c r="BC236" s="517"/>
      <c r="BD236" s="517"/>
      <c r="BE236" s="517"/>
      <c r="BF236" s="517"/>
      <c r="BG236" s="517"/>
      <c r="BH236" s="517"/>
      <c r="BI236" s="517"/>
      <c r="BJ236" s="517"/>
      <c r="BK236" s="517"/>
      <c r="BL236" s="517"/>
      <c r="BM236" s="517"/>
      <c r="BN236" s="517"/>
      <c r="BO236" s="517"/>
      <c r="BP236" s="517"/>
      <c r="BQ236" s="517"/>
      <c r="BR236" s="517"/>
      <c r="BS236" s="517"/>
      <c r="BT236" s="517"/>
      <c r="BU236" s="517"/>
      <c r="BV236" s="517"/>
      <c r="BW236" s="517"/>
      <c r="BX236" s="517"/>
      <c r="BY236" s="517"/>
      <c r="BZ236" s="517"/>
      <c r="CA236" s="517"/>
      <c r="CB236" s="517"/>
      <c r="CC236" s="517"/>
      <c r="CD236" s="517"/>
      <c r="CE236" s="517"/>
      <c r="CF236" s="517"/>
      <c r="CG236" s="517"/>
      <c r="CH236" s="517"/>
      <c r="CI236" s="517"/>
      <c r="CJ236" s="517"/>
      <c r="CK236" s="517"/>
      <c r="CL236" s="517"/>
      <c r="CM236" s="517"/>
      <c r="CN236" s="517"/>
      <c r="CO236" s="517"/>
      <c r="CP236" s="517"/>
      <c r="CQ236" s="517"/>
      <c r="CR236" s="517"/>
      <c r="CS236" s="517"/>
      <c r="CT236" s="517"/>
      <c r="CU236" s="517"/>
      <c r="CV236" s="517"/>
      <c r="CW236" s="517"/>
      <c r="CX236" s="517"/>
      <c r="CY236" s="517"/>
      <c r="CZ236" s="517"/>
      <c r="DA236" s="517"/>
      <c r="DB236" s="517"/>
      <c r="DC236" s="517"/>
      <c r="DD236" s="517"/>
      <c r="DE236" s="517"/>
      <c r="DF236" s="517"/>
      <c r="DG236" s="517"/>
      <c r="DH236" s="517"/>
      <c r="DI236" s="517"/>
      <c r="DJ236" s="517"/>
      <c r="DK236" s="517"/>
      <c r="DL236" s="517"/>
      <c r="DM236" s="517"/>
      <c r="DN236" s="517"/>
      <c r="DO236" s="517"/>
      <c r="DP236" s="517"/>
      <c r="DQ236" s="517"/>
      <c r="DR236" s="517"/>
      <c r="DS236" s="517"/>
      <c r="DT236" s="517"/>
      <c r="DU236" s="517"/>
      <c r="DV236" s="517"/>
      <c r="DW236" s="517"/>
      <c r="DX236" s="517"/>
      <c r="DY236" s="517"/>
      <c r="DZ236" s="517"/>
      <c r="EA236" s="517"/>
      <c r="EB236" s="517"/>
      <c r="EC236" s="517"/>
      <c r="ED236" s="517"/>
      <c r="EE236" s="517"/>
      <c r="EF236" s="517"/>
      <c r="EG236" s="517"/>
      <c r="EH236" s="517"/>
      <c r="EI236" s="517"/>
      <c r="EJ236" s="517"/>
      <c r="EK236" s="517"/>
      <c r="EL236" s="517"/>
      <c r="EM236" s="517"/>
      <c r="EN236" s="517"/>
      <c r="EO236" s="517"/>
      <c r="EP236" s="517"/>
      <c r="EQ236" s="517"/>
      <c r="ER236" s="517"/>
      <c r="ES236" s="627" t="s">
        <v>1140</v>
      </c>
    </row>
    <row r="237">
      <c r="A237" s="517"/>
      <c r="B237" s="517"/>
      <c r="C237" s="517"/>
      <c r="D237" s="517"/>
      <c r="E237" s="517"/>
      <c r="F237" s="517"/>
      <c r="G237" s="517"/>
      <c r="H237" s="517"/>
      <c r="I237" s="517"/>
      <c r="J237" s="517"/>
      <c r="K237" s="517"/>
      <c r="L237" s="517"/>
      <c r="M237" s="517"/>
      <c r="N237" s="517"/>
      <c r="O237" s="517"/>
      <c r="P237" s="517"/>
      <c r="Q237" s="517"/>
      <c r="R237" s="517"/>
      <c r="S237" s="517"/>
      <c r="T237" s="517"/>
      <c r="U237" s="517"/>
      <c r="V237" s="517"/>
      <c r="W237" s="517"/>
      <c r="X237" s="517"/>
      <c r="Y237" s="517"/>
      <c r="Z237" s="517"/>
      <c r="AA237" s="517"/>
      <c r="AB237" s="517"/>
      <c r="AC237" s="517"/>
      <c r="AD237" s="517"/>
      <c r="AE237" s="517"/>
      <c r="AF237" s="517"/>
      <c r="AG237" s="517"/>
      <c r="AH237" s="517"/>
      <c r="AI237" s="517"/>
      <c r="AJ237" s="517"/>
      <c r="AK237" s="517"/>
      <c r="AL237" s="517"/>
      <c r="AM237" s="517"/>
      <c r="AN237" s="517"/>
      <c r="AO237" s="517"/>
      <c r="AP237" s="517"/>
      <c r="AQ237" s="517"/>
      <c r="AR237" s="517"/>
      <c r="AS237" s="517"/>
      <c r="AT237" s="517"/>
      <c r="AU237" s="517"/>
      <c r="AV237" s="517"/>
      <c r="AW237" s="517"/>
      <c r="AX237" s="517"/>
      <c r="AY237" s="517"/>
      <c r="AZ237" s="517"/>
      <c r="BA237" s="517"/>
      <c r="BB237" s="517"/>
      <c r="BC237" s="517"/>
      <c r="BD237" s="517"/>
      <c r="BE237" s="517"/>
      <c r="BF237" s="517"/>
      <c r="BG237" s="517"/>
      <c r="BH237" s="517"/>
      <c r="BI237" s="517"/>
      <c r="BJ237" s="517"/>
      <c r="BK237" s="517"/>
      <c r="BL237" s="517"/>
      <c r="BM237" s="517"/>
      <c r="BN237" s="517"/>
      <c r="BO237" s="517"/>
      <c r="BP237" s="517"/>
      <c r="BQ237" s="517"/>
      <c r="BR237" s="517"/>
      <c r="BS237" s="517"/>
      <c r="BT237" s="517"/>
      <c r="BU237" s="517"/>
      <c r="BV237" s="517"/>
      <c r="BW237" s="517"/>
      <c r="BX237" s="517"/>
      <c r="BY237" s="517"/>
      <c r="BZ237" s="517"/>
      <c r="CA237" s="517"/>
      <c r="CB237" s="517"/>
      <c r="CC237" s="517"/>
      <c r="CD237" s="517"/>
      <c r="CE237" s="517"/>
      <c r="CF237" s="517"/>
      <c r="CG237" s="517"/>
      <c r="CH237" s="517"/>
      <c r="CI237" s="517"/>
      <c r="CJ237" s="517"/>
      <c r="CK237" s="517"/>
      <c r="CL237" s="517"/>
      <c r="CM237" s="517"/>
      <c r="CN237" s="517"/>
      <c r="CO237" s="517"/>
      <c r="CP237" s="517"/>
      <c r="CQ237" s="517"/>
      <c r="CR237" s="517"/>
      <c r="CS237" s="517"/>
      <c r="CT237" s="517"/>
      <c r="CU237" s="517"/>
      <c r="CV237" s="517"/>
      <c r="CW237" s="517"/>
      <c r="CX237" s="517"/>
      <c r="CY237" s="517"/>
      <c r="CZ237" s="517"/>
      <c r="DA237" s="517"/>
      <c r="DB237" s="517"/>
      <c r="DC237" s="517"/>
      <c r="DD237" s="517"/>
      <c r="DE237" s="517"/>
      <c r="DF237" s="517"/>
      <c r="DG237" s="517"/>
      <c r="DH237" s="517"/>
      <c r="DI237" s="517"/>
      <c r="DJ237" s="517"/>
      <c r="DK237" s="517"/>
      <c r="DL237" s="517"/>
      <c r="DM237" s="517"/>
      <c r="DN237" s="517"/>
      <c r="DO237" s="517"/>
      <c r="DP237" s="517"/>
      <c r="DQ237" s="517"/>
      <c r="DR237" s="517"/>
      <c r="DS237" s="517"/>
      <c r="DT237" s="517"/>
      <c r="DU237" s="517"/>
      <c r="DV237" s="517"/>
      <c r="DW237" s="517"/>
      <c r="DX237" s="517"/>
      <c r="DY237" s="517"/>
      <c r="DZ237" s="517"/>
      <c r="EA237" s="517"/>
      <c r="EB237" s="517"/>
      <c r="EC237" s="517"/>
      <c r="ED237" s="517"/>
      <c r="EE237" s="517"/>
      <c r="EF237" s="517"/>
      <c r="EG237" s="517"/>
      <c r="EH237" s="517"/>
      <c r="EI237" s="517"/>
      <c r="EJ237" s="517"/>
      <c r="EK237" s="517"/>
      <c r="EL237" s="517"/>
      <c r="EM237" s="517"/>
      <c r="EN237" s="517"/>
      <c r="EO237" s="517"/>
      <c r="EP237" s="517"/>
      <c r="EQ237" s="517"/>
      <c r="ER237" s="517"/>
      <c r="ES237" s="627" t="s">
        <v>1140</v>
      </c>
    </row>
    <row r="238">
      <c r="A238" s="517"/>
      <c r="B238" s="517"/>
      <c r="C238" s="517"/>
      <c r="D238" s="517"/>
      <c r="E238" s="517"/>
      <c r="F238" s="517"/>
      <c r="G238" s="517"/>
      <c r="H238" s="517"/>
      <c r="I238" s="517"/>
      <c r="J238" s="517"/>
      <c r="K238" s="517"/>
      <c r="L238" s="517"/>
      <c r="M238" s="517"/>
      <c r="N238" s="517"/>
      <c r="O238" s="517"/>
      <c r="P238" s="517"/>
      <c r="Q238" s="517"/>
      <c r="R238" s="517"/>
      <c r="S238" s="517"/>
      <c r="T238" s="517"/>
      <c r="U238" s="517"/>
      <c r="V238" s="517"/>
      <c r="W238" s="517"/>
      <c r="X238" s="517"/>
      <c r="Y238" s="517"/>
      <c r="Z238" s="517"/>
      <c r="AA238" s="517"/>
      <c r="AB238" s="517"/>
      <c r="AC238" s="517"/>
      <c r="AD238" s="517"/>
      <c r="AE238" s="517"/>
      <c r="AF238" s="517"/>
      <c r="AG238" s="517"/>
      <c r="AH238" s="517"/>
      <c r="AI238" s="517"/>
      <c r="AJ238" s="517"/>
      <c r="AK238" s="517"/>
      <c r="AL238" s="517"/>
      <c r="AM238" s="517"/>
      <c r="AN238" s="517"/>
      <c r="AO238" s="517"/>
      <c r="AP238" s="517"/>
      <c r="AQ238" s="517"/>
      <c r="AR238" s="517"/>
      <c r="AS238" s="517"/>
      <c r="AT238" s="517"/>
      <c r="AU238" s="517"/>
      <c r="AV238" s="517"/>
      <c r="AW238" s="517"/>
      <c r="AX238" s="517"/>
      <c r="AY238" s="517"/>
      <c r="AZ238" s="517"/>
      <c r="BA238" s="517"/>
      <c r="BB238" s="517"/>
      <c r="BC238" s="517"/>
      <c r="BD238" s="517"/>
      <c r="BE238" s="517"/>
      <c r="BF238" s="517"/>
      <c r="BG238" s="517"/>
      <c r="BH238" s="517"/>
      <c r="BI238" s="517"/>
      <c r="BJ238" s="517"/>
      <c r="BK238" s="517"/>
      <c r="BL238" s="517"/>
      <c r="BM238" s="517"/>
      <c r="BN238" s="517"/>
      <c r="BO238" s="517"/>
      <c r="BP238" s="517"/>
      <c r="BQ238" s="517"/>
      <c r="BR238" s="517"/>
      <c r="BS238" s="517"/>
      <c r="BT238" s="517"/>
      <c r="BU238" s="517"/>
      <c r="BV238" s="517"/>
      <c r="BW238" s="517"/>
      <c r="BX238" s="517"/>
      <c r="BY238" s="517"/>
      <c r="BZ238" s="517"/>
      <c r="CA238" s="517"/>
      <c r="CB238" s="517"/>
      <c r="CC238" s="517"/>
      <c r="CD238" s="517"/>
      <c r="CE238" s="517"/>
      <c r="CF238" s="517"/>
      <c r="CG238" s="517"/>
      <c r="CH238" s="517"/>
      <c r="CI238" s="517"/>
      <c r="CJ238" s="517"/>
      <c r="CK238" s="517"/>
      <c r="CL238" s="517"/>
      <c r="CM238" s="517"/>
      <c r="CN238" s="517"/>
      <c r="CO238" s="517"/>
      <c r="CP238" s="517"/>
      <c r="CQ238" s="517"/>
      <c r="CR238" s="517"/>
      <c r="CS238" s="517"/>
      <c r="CT238" s="517"/>
      <c r="CU238" s="517"/>
      <c r="CV238" s="517"/>
      <c r="CW238" s="517"/>
      <c r="CX238" s="517"/>
      <c r="CY238" s="517"/>
      <c r="CZ238" s="517"/>
      <c r="DA238" s="517"/>
      <c r="DB238" s="517"/>
      <c r="DC238" s="517"/>
      <c r="DD238" s="517"/>
      <c r="DE238" s="517"/>
      <c r="DF238" s="517"/>
      <c r="DG238" s="517"/>
      <c r="DH238" s="517"/>
      <c r="DI238" s="517"/>
      <c r="DJ238" s="517"/>
      <c r="DK238" s="517"/>
      <c r="DL238" s="517"/>
      <c r="DM238" s="517"/>
      <c r="DN238" s="517"/>
      <c r="DO238" s="517"/>
      <c r="DP238" s="517"/>
      <c r="DQ238" s="517"/>
      <c r="DR238" s="517"/>
      <c r="DS238" s="517"/>
      <c r="DT238" s="517"/>
      <c r="DU238" s="517"/>
      <c r="DV238" s="517"/>
      <c r="DW238" s="517"/>
      <c r="DX238" s="517"/>
      <c r="DY238" s="517"/>
      <c r="DZ238" s="517"/>
      <c r="EA238" s="517"/>
      <c r="EB238" s="517"/>
      <c r="EC238" s="517"/>
      <c r="ED238" s="517"/>
      <c r="EE238" s="517"/>
      <c r="EF238" s="517"/>
      <c r="EG238" s="517"/>
      <c r="EH238" s="517"/>
      <c r="EI238" s="517"/>
      <c r="EJ238" s="517"/>
      <c r="EK238" s="517"/>
      <c r="EL238" s="517"/>
      <c r="EM238" s="517"/>
      <c r="EN238" s="517"/>
      <c r="EO238" s="517"/>
      <c r="EP238" s="517"/>
      <c r="EQ238" s="517"/>
      <c r="ER238" s="517"/>
      <c r="ES238" s="627" t="s">
        <v>1140</v>
      </c>
    </row>
    <row r="239">
      <c r="A239" s="517"/>
      <c r="B239" s="517"/>
      <c r="C239" s="517"/>
      <c r="D239" s="517"/>
      <c r="E239" s="517"/>
      <c r="F239" s="517"/>
      <c r="G239" s="517"/>
      <c r="H239" s="517"/>
      <c r="I239" s="517"/>
      <c r="J239" s="517"/>
      <c r="K239" s="517"/>
      <c r="L239" s="517"/>
      <c r="M239" s="517"/>
      <c r="N239" s="517"/>
      <c r="O239" s="517"/>
      <c r="P239" s="517"/>
      <c r="Q239" s="517"/>
      <c r="R239" s="517"/>
      <c r="S239" s="517"/>
      <c r="T239" s="517"/>
      <c r="U239" s="517"/>
      <c r="V239" s="517"/>
      <c r="W239" s="517"/>
      <c r="X239" s="517"/>
      <c r="Y239" s="517"/>
      <c r="Z239" s="517"/>
      <c r="AA239" s="517"/>
      <c r="AB239" s="517"/>
      <c r="AC239" s="517"/>
      <c r="AD239" s="517"/>
      <c r="AE239" s="517"/>
      <c r="AF239" s="517"/>
      <c r="AG239" s="517"/>
      <c r="AH239" s="517"/>
      <c r="AI239" s="517"/>
      <c r="AJ239" s="517"/>
      <c r="AK239" s="517"/>
      <c r="AL239" s="517"/>
      <c r="AM239" s="517"/>
      <c r="AN239" s="517"/>
      <c r="AO239" s="517"/>
      <c r="AP239" s="517"/>
      <c r="AQ239" s="517"/>
      <c r="AR239" s="517"/>
      <c r="AS239" s="517"/>
      <c r="AT239" s="517"/>
      <c r="AU239" s="517"/>
      <c r="AV239" s="517"/>
      <c r="AW239" s="517"/>
      <c r="AX239" s="517"/>
      <c r="AY239" s="517"/>
      <c r="AZ239" s="517"/>
      <c r="BA239" s="517"/>
      <c r="BB239" s="517"/>
      <c r="BC239" s="517"/>
      <c r="BD239" s="517"/>
      <c r="BE239" s="517"/>
      <c r="BF239" s="517"/>
      <c r="BG239" s="517"/>
      <c r="BH239" s="517"/>
      <c r="BI239" s="517"/>
      <c r="BJ239" s="517"/>
      <c r="BK239" s="517"/>
      <c r="BL239" s="517"/>
      <c r="BM239" s="517"/>
      <c r="BN239" s="517"/>
      <c r="BO239" s="517"/>
      <c r="BP239" s="517"/>
      <c r="BQ239" s="517"/>
      <c r="BR239" s="517"/>
      <c r="BS239" s="517"/>
      <c r="BT239" s="517"/>
      <c r="BU239" s="517"/>
      <c r="BV239" s="517"/>
      <c r="BW239" s="517"/>
      <c r="BX239" s="517"/>
      <c r="BY239" s="517"/>
      <c r="BZ239" s="517"/>
      <c r="CA239" s="517"/>
      <c r="CB239" s="517"/>
      <c r="CC239" s="517"/>
      <c r="CD239" s="517"/>
      <c r="CE239" s="517"/>
      <c r="CF239" s="517"/>
      <c r="CG239" s="517"/>
      <c r="CH239" s="517"/>
      <c r="CI239" s="517"/>
      <c r="CJ239" s="517"/>
      <c r="CK239" s="517"/>
      <c r="CL239" s="517"/>
      <c r="CM239" s="517"/>
      <c r="CN239" s="517"/>
      <c r="CO239" s="517"/>
      <c r="CP239" s="517"/>
      <c r="CQ239" s="517"/>
      <c r="CR239" s="517"/>
      <c r="CS239" s="517"/>
      <c r="CT239" s="517"/>
      <c r="CU239" s="517"/>
      <c r="CV239" s="517"/>
      <c r="CW239" s="517"/>
      <c r="CX239" s="517"/>
      <c r="CY239" s="517"/>
      <c r="CZ239" s="517"/>
      <c r="DA239" s="517"/>
      <c r="DB239" s="517"/>
      <c r="DC239" s="517"/>
      <c r="DD239" s="517"/>
      <c r="DE239" s="517"/>
      <c r="DF239" s="517"/>
      <c r="DG239" s="517"/>
      <c r="DH239" s="517"/>
      <c r="DI239" s="517"/>
      <c r="DJ239" s="517"/>
      <c r="DK239" s="517"/>
      <c r="DL239" s="517"/>
      <c r="DM239" s="517"/>
      <c r="DN239" s="517"/>
      <c r="DO239" s="517"/>
      <c r="DP239" s="517"/>
      <c r="DQ239" s="517"/>
      <c r="DR239" s="517"/>
      <c r="DS239" s="517"/>
      <c r="DT239" s="517"/>
      <c r="DU239" s="517"/>
      <c r="DV239" s="517"/>
      <c r="DW239" s="517"/>
      <c r="DX239" s="517"/>
      <c r="DY239" s="517"/>
      <c r="DZ239" s="517"/>
      <c r="EA239" s="517"/>
      <c r="EB239" s="517"/>
      <c r="EC239" s="517"/>
      <c r="ED239" s="517"/>
      <c r="EE239" s="517"/>
      <c r="EF239" s="517"/>
      <c r="EG239" s="517"/>
      <c r="EH239" s="517"/>
      <c r="EI239" s="517"/>
      <c r="EJ239" s="517"/>
      <c r="EK239" s="517"/>
      <c r="EL239" s="517"/>
      <c r="EM239" s="517"/>
      <c r="EN239" s="517"/>
      <c r="EO239" s="517"/>
      <c r="EP239" s="517"/>
      <c r="EQ239" s="517"/>
      <c r="ER239" s="517"/>
      <c r="ES239" s="627" t="s">
        <v>1140</v>
      </c>
    </row>
    <row r="240">
      <c r="A240" s="517"/>
      <c r="B240" s="517"/>
      <c r="C240" s="517"/>
      <c r="D240" s="517"/>
      <c r="E240" s="517"/>
      <c r="F240" s="517"/>
      <c r="G240" s="517"/>
      <c r="H240" s="517"/>
      <c r="I240" s="517"/>
      <c r="J240" s="517"/>
      <c r="K240" s="517"/>
      <c r="L240" s="517"/>
      <c r="M240" s="517"/>
      <c r="N240" s="517"/>
      <c r="O240" s="517"/>
      <c r="P240" s="517"/>
      <c r="Q240" s="517"/>
      <c r="R240" s="517"/>
      <c r="S240" s="517"/>
      <c r="T240" s="517"/>
      <c r="U240" s="517"/>
      <c r="V240" s="517"/>
      <c r="W240" s="517"/>
      <c r="X240" s="517"/>
      <c r="Y240" s="517"/>
      <c r="Z240" s="517"/>
      <c r="AA240" s="517"/>
      <c r="AB240" s="517"/>
      <c r="AC240" s="517"/>
      <c r="AD240" s="517"/>
      <c r="AE240" s="517"/>
      <c r="AF240" s="517"/>
      <c r="AG240" s="517"/>
      <c r="AH240" s="517"/>
      <c r="AI240" s="517"/>
      <c r="AJ240" s="517"/>
      <c r="AK240" s="517"/>
      <c r="AL240" s="517"/>
      <c r="AM240" s="517"/>
      <c r="AN240" s="517"/>
      <c r="AO240" s="517"/>
      <c r="AP240" s="517"/>
      <c r="AQ240" s="517"/>
      <c r="AR240" s="517"/>
      <c r="AS240" s="517"/>
      <c r="AT240" s="517"/>
      <c r="AU240" s="517"/>
      <c r="AV240" s="517"/>
      <c r="AW240" s="517"/>
      <c r="AX240" s="517"/>
      <c r="AY240" s="517"/>
      <c r="AZ240" s="517"/>
      <c r="BA240" s="517"/>
      <c r="BB240" s="517"/>
      <c r="BC240" s="517"/>
      <c r="BD240" s="517"/>
      <c r="BE240" s="517"/>
      <c r="BF240" s="517"/>
      <c r="BG240" s="517"/>
      <c r="BH240" s="517"/>
      <c r="BI240" s="517"/>
      <c r="BJ240" s="517"/>
      <c r="BK240" s="517"/>
      <c r="BL240" s="517"/>
      <c r="BM240" s="517"/>
      <c r="BN240" s="517"/>
      <c r="BO240" s="517"/>
      <c r="BP240" s="517"/>
      <c r="BQ240" s="517"/>
      <c r="BR240" s="517"/>
      <c r="BS240" s="517"/>
      <c r="BT240" s="517"/>
      <c r="BU240" s="517"/>
      <c r="BV240" s="517"/>
      <c r="BW240" s="517"/>
      <c r="BX240" s="517"/>
      <c r="BY240" s="517"/>
      <c r="BZ240" s="517"/>
      <c r="CA240" s="517"/>
      <c r="CB240" s="517"/>
      <c r="CC240" s="517"/>
      <c r="CD240" s="517"/>
      <c r="CE240" s="517"/>
      <c r="CF240" s="517"/>
      <c r="CG240" s="517"/>
      <c r="CH240" s="517"/>
      <c r="CI240" s="517"/>
      <c r="CJ240" s="517"/>
      <c r="CK240" s="517"/>
      <c r="CL240" s="517"/>
      <c r="CM240" s="517"/>
      <c r="CN240" s="517"/>
      <c r="CO240" s="517"/>
      <c r="CP240" s="517"/>
      <c r="CQ240" s="517"/>
      <c r="CR240" s="517"/>
      <c r="CS240" s="517"/>
      <c r="CT240" s="517"/>
      <c r="CU240" s="517"/>
      <c r="CV240" s="517"/>
      <c r="CW240" s="517"/>
      <c r="CX240" s="517"/>
      <c r="CY240" s="517"/>
      <c r="CZ240" s="517"/>
      <c r="DA240" s="517"/>
      <c r="DB240" s="517"/>
      <c r="DC240" s="517"/>
      <c r="DD240" s="517"/>
      <c r="DE240" s="517"/>
      <c r="DF240" s="517"/>
      <c r="DG240" s="517"/>
      <c r="DH240" s="517"/>
      <c r="DI240" s="517"/>
      <c r="DJ240" s="517"/>
      <c r="DK240" s="517"/>
      <c r="DL240" s="517"/>
      <c r="DM240" s="517"/>
      <c r="DN240" s="517"/>
      <c r="DO240" s="517"/>
      <c r="DP240" s="517"/>
      <c r="DQ240" s="517"/>
      <c r="DR240" s="517"/>
      <c r="DS240" s="517"/>
      <c r="DT240" s="517"/>
      <c r="DU240" s="517"/>
      <c r="DV240" s="517"/>
      <c r="DW240" s="517"/>
      <c r="DX240" s="517"/>
      <c r="DY240" s="517"/>
      <c r="DZ240" s="517"/>
      <c r="EA240" s="517"/>
      <c r="EB240" s="517"/>
      <c r="EC240" s="517"/>
      <c r="ED240" s="517"/>
      <c r="EE240" s="517"/>
      <c r="EF240" s="517"/>
      <c r="EG240" s="517"/>
      <c r="EH240" s="517"/>
      <c r="EI240" s="517"/>
      <c r="EJ240" s="517"/>
      <c r="EK240" s="517"/>
      <c r="EL240" s="517"/>
      <c r="EM240" s="517"/>
      <c r="EN240" s="517"/>
      <c r="EO240" s="517"/>
      <c r="EP240" s="517"/>
      <c r="EQ240" s="517"/>
      <c r="ER240" s="517"/>
      <c r="ES240" s="627" t="s">
        <v>1140</v>
      </c>
    </row>
    <row r="241">
      <c r="A241" s="517"/>
      <c r="B241" s="517"/>
      <c r="C241" s="517"/>
      <c r="D241" s="517"/>
      <c r="E241" s="517"/>
      <c r="F241" s="517"/>
      <c r="G241" s="517"/>
      <c r="H241" s="517"/>
      <c r="I241" s="517"/>
      <c r="J241" s="517"/>
      <c r="K241" s="517"/>
      <c r="L241" s="517"/>
      <c r="M241" s="517"/>
      <c r="N241" s="517"/>
      <c r="O241" s="517"/>
      <c r="P241" s="517"/>
      <c r="Q241" s="517"/>
      <c r="R241" s="517"/>
      <c r="S241" s="517"/>
      <c r="T241" s="517"/>
      <c r="U241" s="517"/>
      <c r="V241" s="517"/>
      <c r="W241" s="517"/>
      <c r="X241" s="517"/>
      <c r="Y241" s="517"/>
      <c r="Z241" s="517"/>
      <c r="AA241" s="517"/>
      <c r="AB241" s="517"/>
      <c r="AC241" s="517"/>
      <c r="AD241" s="517"/>
      <c r="AE241" s="517"/>
      <c r="AF241" s="517"/>
      <c r="AG241" s="517"/>
      <c r="AH241" s="517"/>
      <c r="AI241" s="517"/>
      <c r="AJ241" s="517"/>
      <c r="AK241" s="517"/>
      <c r="AL241" s="517"/>
      <c r="AM241" s="517"/>
      <c r="AN241" s="517"/>
      <c r="AO241" s="517"/>
      <c r="AP241" s="517"/>
      <c r="AQ241" s="517"/>
      <c r="AR241" s="517"/>
      <c r="AS241" s="517"/>
      <c r="AT241" s="517"/>
      <c r="AU241" s="517"/>
      <c r="AV241" s="517"/>
      <c r="AW241" s="517"/>
      <c r="AX241" s="517"/>
      <c r="AY241" s="517"/>
      <c r="AZ241" s="517"/>
      <c r="BA241" s="517"/>
      <c r="BB241" s="517"/>
      <c r="BC241" s="517"/>
      <c r="BD241" s="517"/>
      <c r="BE241" s="517"/>
      <c r="BF241" s="517"/>
      <c r="BG241" s="517"/>
      <c r="BH241" s="517"/>
      <c r="BI241" s="517"/>
      <c r="BJ241" s="517"/>
      <c r="BK241" s="517"/>
      <c r="BL241" s="517"/>
      <c r="BM241" s="517"/>
      <c r="BN241" s="517"/>
      <c r="BO241" s="517"/>
      <c r="BP241" s="517"/>
      <c r="BQ241" s="517"/>
      <c r="BR241" s="517"/>
      <c r="BS241" s="517"/>
      <c r="BT241" s="517"/>
      <c r="BU241" s="517"/>
      <c r="BV241" s="517"/>
      <c r="BW241" s="517"/>
      <c r="BX241" s="517"/>
      <c r="BY241" s="517"/>
      <c r="BZ241" s="517"/>
      <c r="CA241" s="517"/>
      <c r="CB241" s="517"/>
      <c r="CC241" s="517"/>
      <c r="CD241" s="517"/>
      <c r="CE241" s="517"/>
      <c r="CF241" s="517"/>
      <c r="CG241" s="517"/>
      <c r="CH241" s="517"/>
      <c r="CI241" s="517"/>
      <c r="CJ241" s="517"/>
      <c r="CK241" s="517"/>
      <c r="CL241" s="517"/>
      <c r="CM241" s="517"/>
      <c r="CN241" s="517"/>
      <c r="CO241" s="517"/>
      <c r="CP241" s="517"/>
      <c r="CQ241" s="517"/>
      <c r="CR241" s="517"/>
      <c r="CS241" s="517"/>
      <c r="CT241" s="517"/>
      <c r="CU241" s="517"/>
      <c r="CV241" s="517"/>
      <c r="CW241" s="517"/>
      <c r="CX241" s="517"/>
      <c r="CY241" s="517"/>
      <c r="CZ241" s="517"/>
      <c r="DA241" s="517"/>
      <c r="DB241" s="517"/>
      <c r="DC241" s="517"/>
      <c r="DD241" s="517"/>
      <c r="DE241" s="517"/>
      <c r="DF241" s="517"/>
      <c r="DG241" s="517"/>
      <c r="DH241" s="517"/>
      <c r="DI241" s="517"/>
      <c r="DJ241" s="517"/>
      <c r="DK241" s="517"/>
      <c r="DL241" s="517"/>
      <c r="DM241" s="517"/>
      <c r="DN241" s="517"/>
      <c r="DO241" s="517"/>
      <c r="DP241" s="517"/>
      <c r="DQ241" s="517"/>
      <c r="DR241" s="517"/>
      <c r="DS241" s="517"/>
      <c r="DT241" s="517"/>
      <c r="DU241" s="517"/>
      <c r="DV241" s="517"/>
      <c r="DW241" s="517"/>
      <c r="DX241" s="517"/>
      <c r="DY241" s="517"/>
      <c r="DZ241" s="517"/>
      <c r="EA241" s="517"/>
      <c r="EB241" s="517"/>
      <c r="EC241" s="517"/>
      <c r="ED241" s="517"/>
      <c r="EE241" s="517"/>
      <c r="EF241" s="517"/>
      <c r="EG241" s="517"/>
      <c r="EH241" s="517"/>
      <c r="EI241" s="517"/>
      <c r="EJ241" s="517"/>
      <c r="EK241" s="517"/>
      <c r="EL241" s="517"/>
      <c r="EM241" s="517"/>
      <c r="EN241" s="517"/>
      <c r="EO241" s="517"/>
      <c r="EP241" s="517"/>
      <c r="EQ241" s="517"/>
      <c r="ER241" s="517"/>
      <c r="ES241" s="627" t="s">
        <v>1140</v>
      </c>
    </row>
    <row r="242">
      <c r="A242" s="517"/>
      <c r="B242" s="517"/>
      <c r="C242" s="517"/>
      <c r="D242" s="517"/>
      <c r="E242" s="517"/>
      <c r="F242" s="517"/>
      <c r="G242" s="517"/>
      <c r="H242" s="517"/>
      <c r="I242" s="517"/>
      <c r="J242" s="517"/>
      <c r="K242" s="517"/>
      <c r="L242" s="517"/>
      <c r="M242" s="517"/>
      <c r="N242" s="517"/>
      <c r="O242" s="517"/>
      <c r="P242" s="517"/>
      <c r="Q242" s="517"/>
      <c r="R242" s="517"/>
      <c r="S242" s="517"/>
      <c r="T242" s="517"/>
      <c r="U242" s="517"/>
      <c r="V242" s="517"/>
      <c r="W242" s="517"/>
      <c r="X242" s="517"/>
      <c r="Y242" s="517"/>
      <c r="Z242" s="517"/>
      <c r="AA242" s="517"/>
      <c r="AB242" s="517"/>
      <c r="AC242" s="517"/>
      <c r="AD242" s="517"/>
      <c r="AE242" s="517"/>
      <c r="AF242" s="517"/>
      <c r="AG242" s="517"/>
      <c r="AH242" s="517"/>
      <c r="AI242" s="517"/>
      <c r="AJ242" s="517"/>
      <c r="AK242" s="517"/>
      <c r="AL242" s="517"/>
      <c r="AM242" s="517"/>
      <c r="AN242" s="517"/>
      <c r="AO242" s="517"/>
      <c r="AP242" s="517"/>
      <c r="AQ242" s="517"/>
      <c r="AR242" s="517"/>
      <c r="AS242" s="517"/>
      <c r="AT242" s="517"/>
      <c r="AU242" s="517"/>
      <c r="AV242" s="517"/>
      <c r="AW242" s="517"/>
      <c r="AX242" s="517"/>
      <c r="AY242" s="517"/>
      <c r="AZ242" s="517"/>
      <c r="BA242" s="517"/>
      <c r="BB242" s="517"/>
      <c r="BC242" s="517"/>
      <c r="BD242" s="517"/>
      <c r="BE242" s="517"/>
      <c r="BF242" s="517"/>
      <c r="BG242" s="517"/>
      <c r="BH242" s="517"/>
      <c r="BI242" s="517"/>
      <c r="BJ242" s="517"/>
      <c r="BK242" s="517"/>
      <c r="BL242" s="517"/>
      <c r="BM242" s="517"/>
      <c r="BN242" s="517"/>
      <c r="BO242" s="517"/>
      <c r="BP242" s="517"/>
      <c r="BQ242" s="517"/>
      <c r="BR242" s="517"/>
      <c r="BS242" s="517"/>
      <c r="BT242" s="517"/>
      <c r="BU242" s="517"/>
      <c r="BV242" s="517"/>
      <c r="BW242" s="517"/>
      <c r="BX242" s="517"/>
      <c r="BY242" s="517"/>
      <c r="BZ242" s="517"/>
      <c r="CA242" s="517"/>
      <c r="CB242" s="517"/>
      <c r="CC242" s="517"/>
      <c r="CD242" s="517"/>
      <c r="CE242" s="517"/>
      <c r="CF242" s="517"/>
      <c r="CG242" s="517"/>
      <c r="CH242" s="517"/>
      <c r="CI242" s="517"/>
      <c r="CJ242" s="517"/>
      <c r="CK242" s="517"/>
      <c r="CL242" s="517"/>
      <c r="CM242" s="517"/>
      <c r="CN242" s="517"/>
      <c r="CO242" s="517"/>
      <c r="CP242" s="517"/>
      <c r="CQ242" s="517"/>
      <c r="CR242" s="517"/>
      <c r="CS242" s="517"/>
      <c r="CT242" s="517"/>
      <c r="CU242" s="517"/>
      <c r="CV242" s="517"/>
      <c r="CW242" s="517"/>
      <c r="CX242" s="517"/>
      <c r="CY242" s="517"/>
      <c r="CZ242" s="517"/>
      <c r="DA242" s="517"/>
      <c r="DB242" s="517"/>
      <c r="DC242" s="517"/>
      <c r="DD242" s="517"/>
      <c r="DE242" s="517"/>
      <c r="DF242" s="517"/>
      <c r="DG242" s="517"/>
      <c r="DH242" s="517"/>
      <c r="DI242" s="517"/>
      <c r="DJ242" s="517"/>
      <c r="DK242" s="517"/>
      <c r="DL242" s="517"/>
      <c r="DM242" s="517"/>
      <c r="DN242" s="517"/>
      <c r="DO242" s="517"/>
      <c r="DP242" s="517"/>
      <c r="DQ242" s="517"/>
      <c r="DR242" s="517"/>
      <c r="DS242" s="517"/>
      <c r="DT242" s="517"/>
      <c r="DU242" s="517"/>
      <c r="DV242" s="517"/>
      <c r="DW242" s="517"/>
      <c r="DX242" s="517"/>
      <c r="DY242" s="517"/>
      <c r="DZ242" s="517"/>
      <c r="EA242" s="517"/>
      <c r="EB242" s="517"/>
      <c r="EC242" s="517"/>
      <c r="ED242" s="517"/>
      <c r="EE242" s="517"/>
      <c r="EF242" s="517"/>
      <c r="EG242" s="517"/>
      <c r="EH242" s="517"/>
      <c r="EI242" s="517"/>
      <c r="EJ242" s="517"/>
      <c r="EK242" s="517"/>
      <c r="EL242" s="517"/>
      <c r="EM242" s="517"/>
      <c r="EN242" s="517"/>
      <c r="EO242" s="517"/>
      <c r="EP242" s="517"/>
      <c r="EQ242" s="517"/>
      <c r="ER242" s="517"/>
      <c r="ES242" s="627" t="s">
        <v>1140</v>
      </c>
    </row>
    <row r="243">
      <c r="A243" s="517"/>
      <c r="B243" s="517"/>
      <c r="C243" s="517"/>
      <c r="D243" s="517"/>
      <c r="E243" s="517"/>
      <c r="F243" s="517"/>
      <c r="G243" s="517"/>
      <c r="H243" s="517"/>
      <c r="I243" s="517"/>
      <c r="J243" s="517"/>
      <c r="K243" s="517"/>
      <c r="L243" s="517"/>
      <c r="M243" s="517"/>
      <c r="N243" s="517"/>
      <c r="O243" s="517"/>
      <c r="P243" s="517"/>
      <c r="Q243" s="517"/>
      <c r="R243" s="517"/>
      <c r="S243" s="517"/>
      <c r="T243" s="517"/>
      <c r="U243" s="517"/>
      <c r="V243" s="517"/>
      <c r="W243" s="517"/>
      <c r="X243" s="517"/>
      <c r="Y243" s="517"/>
      <c r="Z243" s="517"/>
      <c r="AA243" s="517"/>
      <c r="AB243" s="517"/>
      <c r="AC243" s="517"/>
      <c r="AD243" s="517"/>
      <c r="AE243" s="517"/>
      <c r="AF243" s="517"/>
      <c r="AG243" s="517"/>
      <c r="AH243" s="517"/>
      <c r="AI243" s="517"/>
      <c r="AJ243" s="517"/>
      <c r="AK243" s="517"/>
      <c r="AL243" s="517"/>
      <c r="AM243" s="517"/>
      <c r="AN243" s="517"/>
      <c r="AO243" s="517"/>
      <c r="AP243" s="517"/>
      <c r="AQ243" s="517"/>
      <c r="AR243" s="517"/>
      <c r="AS243" s="517"/>
      <c r="AT243" s="517"/>
      <c r="AU243" s="517"/>
      <c r="AV243" s="517"/>
      <c r="AW243" s="517"/>
      <c r="AX243" s="517"/>
      <c r="AY243" s="517"/>
      <c r="AZ243" s="517"/>
      <c r="BA243" s="517"/>
      <c r="BB243" s="517"/>
      <c r="BC243" s="517"/>
      <c r="BD243" s="517"/>
      <c r="BE243" s="517"/>
      <c r="BF243" s="517"/>
      <c r="BG243" s="517"/>
      <c r="BH243" s="517"/>
      <c r="BI243" s="517"/>
      <c r="BJ243" s="517"/>
      <c r="BK243" s="517"/>
      <c r="BL243" s="517"/>
      <c r="BM243" s="517"/>
      <c r="BN243" s="517"/>
      <c r="BO243" s="517"/>
      <c r="BP243" s="517"/>
      <c r="BQ243" s="517"/>
      <c r="BR243" s="517"/>
      <c r="BS243" s="517"/>
      <c r="BT243" s="517"/>
      <c r="BU243" s="517"/>
      <c r="BV243" s="517"/>
      <c r="BW243" s="517"/>
      <c r="BX243" s="517"/>
      <c r="BY243" s="517"/>
      <c r="BZ243" s="517"/>
      <c r="CA243" s="517"/>
      <c r="CB243" s="517"/>
      <c r="CC243" s="517"/>
      <c r="CD243" s="517"/>
      <c r="CE243" s="517"/>
      <c r="CF243" s="517"/>
      <c r="CG243" s="517"/>
      <c r="CH243" s="517"/>
      <c r="CI243" s="517"/>
      <c r="CJ243" s="517"/>
      <c r="CK243" s="517"/>
      <c r="CL243" s="517"/>
      <c r="CM243" s="517"/>
      <c r="CN243" s="517"/>
      <c r="CO243" s="517"/>
      <c r="CP243" s="517"/>
      <c r="CQ243" s="517"/>
      <c r="CR243" s="517"/>
      <c r="CS243" s="517"/>
      <c r="CT243" s="517"/>
      <c r="CU243" s="517"/>
      <c r="CV243" s="517"/>
      <c r="CW243" s="517"/>
      <c r="CX243" s="517"/>
      <c r="CY243" s="517"/>
      <c r="CZ243" s="517"/>
      <c r="DA243" s="517"/>
      <c r="DB243" s="517"/>
      <c r="DC243" s="517"/>
      <c r="DD243" s="517"/>
      <c r="DE243" s="517"/>
      <c r="DF243" s="517"/>
      <c r="DG243" s="517"/>
      <c r="DH243" s="517"/>
      <c r="DI243" s="517"/>
      <c r="DJ243" s="517"/>
      <c r="DK243" s="517"/>
      <c r="DL243" s="517"/>
      <c r="DM243" s="517"/>
      <c r="DN243" s="517"/>
      <c r="DO243" s="517"/>
      <c r="DP243" s="517"/>
      <c r="DQ243" s="517"/>
      <c r="DR243" s="517"/>
      <c r="DS243" s="517"/>
      <c r="DT243" s="517"/>
      <c r="DU243" s="517"/>
      <c r="DV243" s="517"/>
      <c r="DW243" s="517"/>
      <c r="DX243" s="517"/>
      <c r="DY243" s="517"/>
      <c r="DZ243" s="517"/>
      <c r="EA243" s="517"/>
      <c r="EB243" s="517"/>
      <c r="EC243" s="517"/>
      <c r="ED243" s="517"/>
      <c r="EE243" s="517"/>
      <c r="EF243" s="517"/>
      <c r="EG243" s="517"/>
      <c r="EH243" s="517"/>
      <c r="EI243" s="517"/>
      <c r="EJ243" s="517"/>
      <c r="EK243" s="517"/>
      <c r="EL243" s="517"/>
      <c r="EM243" s="517"/>
      <c r="EN243" s="517"/>
      <c r="EO243" s="517"/>
      <c r="EP243" s="517"/>
      <c r="EQ243" s="517"/>
      <c r="ER243" s="517"/>
      <c r="ES243" s="627" t="s">
        <v>1140</v>
      </c>
    </row>
    <row r="244">
      <c r="A244" s="517"/>
      <c r="B244" s="517"/>
      <c r="C244" s="517"/>
      <c r="D244" s="517"/>
      <c r="E244" s="517"/>
      <c r="F244" s="517"/>
      <c r="G244" s="517"/>
      <c r="H244" s="517"/>
      <c r="I244" s="517"/>
      <c r="J244" s="517"/>
      <c r="K244" s="517"/>
      <c r="L244" s="517"/>
      <c r="M244" s="517"/>
      <c r="N244" s="517"/>
      <c r="O244" s="517"/>
      <c r="P244" s="517"/>
      <c r="Q244" s="517"/>
      <c r="R244" s="517"/>
      <c r="S244" s="517"/>
      <c r="T244" s="517"/>
      <c r="U244" s="517"/>
      <c r="V244" s="517"/>
      <c r="W244" s="517"/>
      <c r="X244" s="517"/>
      <c r="Y244" s="517"/>
      <c r="Z244" s="517"/>
      <c r="AA244" s="517"/>
      <c r="AB244" s="517"/>
      <c r="AC244" s="517"/>
      <c r="AD244" s="517"/>
      <c r="AE244" s="517"/>
      <c r="AF244" s="517"/>
      <c r="AG244" s="517"/>
      <c r="AH244" s="517"/>
      <c r="AI244" s="517"/>
      <c r="AJ244" s="517"/>
      <c r="AK244" s="517"/>
      <c r="AL244" s="517"/>
      <c r="AM244" s="517"/>
      <c r="AN244" s="517"/>
      <c r="AO244" s="517"/>
      <c r="AP244" s="517"/>
      <c r="AQ244" s="517"/>
      <c r="AR244" s="517"/>
      <c r="AS244" s="517"/>
      <c r="AT244" s="517"/>
      <c r="AU244" s="517"/>
      <c r="AV244" s="517"/>
      <c r="AW244" s="517"/>
      <c r="AX244" s="517"/>
      <c r="AY244" s="517"/>
      <c r="AZ244" s="517"/>
      <c r="BA244" s="517"/>
      <c r="BB244" s="517"/>
      <c r="BC244" s="517"/>
      <c r="BD244" s="517"/>
      <c r="BE244" s="517"/>
      <c r="BF244" s="517"/>
      <c r="BG244" s="517"/>
      <c r="BH244" s="517"/>
      <c r="BI244" s="517"/>
      <c r="BJ244" s="517"/>
      <c r="BK244" s="517"/>
      <c r="BL244" s="517"/>
      <c r="BM244" s="517"/>
      <c r="BN244" s="517"/>
      <c r="BO244" s="517"/>
      <c r="BP244" s="517"/>
      <c r="BQ244" s="517"/>
      <c r="BR244" s="517"/>
      <c r="BS244" s="517"/>
      <c r="BT244" s="517"/>
      <c r="BU244" s="517"/>
      <c r="BV244" s="517"/>
      <c r="BW244" s="517"/>
      <c r="BX244" s="517"/>
      <c r="BY244" s="517"/>
      <c r="BZ244" s="517"/>
      <c r="CA244" s="517"/>
      <c r="CB244" s="517"/>
      <c r="CC244" s="517"/>
      <c r="CD244" s="517"/>
      <c r="CE244" s="517"/>
      <c r="CF244" s="517"/>
      <c r="CG244" s="517"/>
      <c r="CH244" s="517"/>
      <c r="CI244" s="517"/>
      <c r="CJ244" s="517"/>
      <c r="CK244" s="517"/>
      <c r="CL244" s="517"/>
      <c r="CM244" s="517"/>
      <c r="CN244" s="517"/>
      <c r="CO244" s="517"/>
      <c r="CP244" s="517"/>
      <c r="CQ244" s="517"/>
      <c r="CR244" s="517"/>
      <c r="CS244" s="517"/>
      <c r="CT244" s="517"/>
      <c r="CU244" s="517"/>
      <c r="CV244" s="517"/>
      <c r="CW244" s="517"/>
      <c r="CX244" s="517"/>
      <c r="CY244" s="517"/>
      <c r="CZ244" s="517"/>
      <c r="DA244" s="517"/>
      <c r="DB244" s="517"/>
      <c r="DC244" s="517"/>
      <c r="DD244" s="517"/>
      <c r="DE244" s="517"/>
      <c r="DF244" s="517"/>
      <c r="DG244" s="517"/>
      <c r="DH244" s="517"/>
      <c r="DI244" s="517"/>
      <c r="DJ244" s="517"/>
      <c r="DK244" s="517"/>
      <c r="DL244" s="517"/>
      <c r="DM244" s="517"/>
      <c r="DN244" s="517"/>
      <c r="DO244" s="517"/>
      <c r="DP244" s="517"/>
      <c r="DQ244" s="517"/>
      <c r="DR244" s="517"/>
      <c r="DS244" s="517"/>
      <c r="DT244" s="517"/>
      <c r="DU244" s="517"/>
      <c r="DV244" s="517"/>
      <c r="DW244" s="517"/>
      <c r="DX244" s="517"/>
      <c r="DY244" s="517"/>
      <c r="DZ244" s="517"/>
      <c r="EA244" s="517"/>
      <c r="EB244" s="517"/>
      <c r="EC244" s="517"/>
      <c r="ED244" s="517"/>
      <c r="EE244" s="517"/>
      <c r="EF244" s="517"/>
      <c r="EG244" s="517"/>
      <c r="EH244" s="517"/>
      <c r="EI244" s="517"/>
      <c r="EJ244" s="517"/>
      <c r="EK244" s="517"/>
      <c r="EL244" s="517"/>
      <c r="EM244" s="517"/>
      <c r="EN244" s="517"/>
      <c r="EO244" s="517"/>
      <c r="EP244" s="517"/>
      <c r="EQ244" s="517"/>
      <c r="ER244" s="517"/>
      <c r="ES244" s="627" t="s">
        <v>1140</v>
      </c>
    </row>
    <row r="245">
      <c r="A245" s="517"/>
      <c r="B245" s="517"/>
      <c r="C245" s="517"/>
      <c r="D245" s="517"/>
      <c r="E245" s="517"/>
      <c r="F245" s="517"/>
      <c r="G245" s="517"/>
      <c r="H245" s="517"/>
      <c r="I245" s="517"/>
      <c r="J245" s="517"/>
      <c r="K245" s="517"/>
      <c r="L245" s="517"/>
      <c r="M245" s="517"/>
      <c r="N245" s="517"/>
      <c r="O245" s="517"/>
      <c r="P245" s="517"/>
      <c r="Q245" s="517"/>
      <c r="R245" s="517"/>
      <c r="S245" s="517"/>
      <c r="T245" s="517"/>
      <c r="U245" s="517"/>
      <c r="V245" s="517"/>
      <c r="W245" s="517"/>
      <c r="X245" s="517"/>
      <c r="Y245" s="517"/>
      <c r="Z245" s="517"/>
      <c r="AA245" s="517"/>
      <c r="AB245" s="517"/>
      <c r="AC245" s="517"/>
      <c r="AD245" s="517"/>
      <c r="AE245" s="517"/>
      <c r="AF245" s="517"/>
      <c r="AG245" s="517"/>
      <c r="AH245" s="517"/>
      <c r="AI245" s="517"/>
      <c r="AJ245" s="517"/>
      <c r="AK245" s="517"/>
      <c r="AL245" s="517"/>
      <c r="AM245" s="517"/>
      <c r="AN245" s="517"/>
      <c r="AO245" s="517"/>
      <c r="AP245" s="517"/>
      <c r="AQ245" s="517"/>
      <c r="AR245" s="517"/>
      <c r="AS245" s="517"/>
      <c r="AT245" s="517"/>
      <c r="AU245" s="517"/>
      <c r="AV245" s="517"/>
      <c r="AW245" s="517"/>
      <c r="AX245" s="517"/>
      <c r="AY245" s="517"/>
      <c r="AZ245" s="517"/>
      <c r="BA245" s="517"/>
      <c r="BB245" s="517"/>
      <c r="BC245" s="517"/>
      <c r="BD245" s="517"/>
      <c r="BE245" s="517"/>
      <c r="BF245" s="517"/>
      <c r="BG245" s="517"/>
      <c r="BH245" s="517"/>
      <c r="BI245" s="517"/>
      <c r="BJ245" s="517"/>
      <c r="BK245" s="517"/>
      <c r="BL245" s="517"/>
      <c r="BM245" s="517"/>
      <c r="BN245" s="517"/>
      <c r="BO245" s="517"/>
      <c r="BP245" s="517"/>
      <c r="BQ245" s="517"/>
      <c r="BR245" s="517"/>
      <c r="BS245" s="517"/>
      <c r="BT245" s="517"/>
      <c r="BU245" s="517"/>
      <c r="BV245" s="517"/>
      <c r="BW245" s="517"/>
      <c r="BX245" s="517"/>
      <c r="BY245" s="517"/>
      <c r="BZ245" s="517"/>
      <c r="CA245" s="517"/>
      <c r="CB245" s="517"/>
      <c r="CC245" s="517"/>
      <c r="CD245" s="517"/>
      <c r="CE245" s="517"/>
      <c r="CF245" s="517"/>
      <c r="CG245" s="517"/>
      <c r="CH245" s="517"/>
      <c r="CI245" s="517"/>
      <c r="CJ245" s="517"/>
      <c r="CK245" s="517"/>
      <c r="CL245" s="517"/>
      <c r="CM245" s="517"/>
      <c r="CN245" s="517"/>
      <c r="CO245" s="517"/>
      <c r="CP245" s="517"/>
      <c r="CQ245" s="517"/>
      <c r="CR245" s="517"/>
      <c r="CS245" s="517"/>
      <c r="CT245" s="517"/>
      <c r="CU245" s="517"/>
      <c r="CV245" s="517"/>
      <c r="CW245" s="517"/>
      <c r="CX245" s="517"/>
      <c r="CY245" s="517"/>
      <c r="CZ245" s="517"/>
      <c r="DA245" s="517"/>
      <c r="DB245" s="517"/>
      <c r="DC245" s="517"/>
      <c r="DD245" s="517"/>
      <c r="DE245" s="517"/>
      <c r="DF245" s="517"/>
      <c r="DG245" s="517"/>
      <c r="DH245" s="517"/>
      <c r="DI245" s="517"/>
      <c r="DJ245" s="517"/>
      <c r="DK245" s="517"/>
      <c r="DL245" s="517"/>
      <c r="DM245" s="517"/>
      <c r="DN245" s="517"/>
      <c r="DO245" s="517"/>
      <c r="DP245" s="517"/>
      <c r="DQ245" s="517"/>
      <c r="DR245" s="517"/>
      <c r="DS245" s="517"/>
      <c r="DT245" s="517"/>
      <c r="DU245" s="517"/>
      <c r="DV245" s="517"/>
      <c r="DW245" s="517"/>
      <c r="DX245" s="517"/>
      <c r="DY245" s="517"/>
      <c r="DZ245" s="517"/>
      <c r="EA245" s="517"/>
      <c r="EB245" s="517"/>
      <c r="EC245" s="517"/>
      <c r="ED245" s="517"/>
      <c r="EE245" s="517"/>
      <c r="EF245" s="517"/>
      <c r="EG245" s="517"/>
      <c r="EH245" s="517"/>
      <c r="EI245" s="517"/>
      <c r="EJ245" s="517"/>
      <c r="EK245" s="517"/>
      <c r="EL245" s="517"/>
      <c r="EM245" s="517"/>
      <c r="EN245" s="517"/>
      <c r="EO245" s="517"/>
      <c r="EP245" s="517"/>
      <c r="EQ245" s="517"/>
      <c r="ER245" s="517"/>
      <c r="ES245" s="627" t="s">
        <v>1140</v>
      </c>
    </row>
    <row r="246">
      <c r="A246" s="517"/>
      <c r="B246" s="517"/>
      <c r="C246" s="517"/>
      <c r="D246" s="517"/>
      <c r="E246" s="517"/>
      <c r="F246" s="517"/>
      <c r="G246" s="517"/>
      <c r="H246" s="517"/>
      <c r="I246" s="517"/>
      <c r="J246" s="517"/>
      <c r="K246" s="517"/>
      <c r="L246" s="517"/>
      <c r="M246" s="517"/>
      <c r="N246" s="517"/>
      <c r="O246" s="517"/>
      <c r="P246" s="517"/>
      <c r="Q246" s="517"/>
      <c r="R246" s="517"/>
      <c r="S246" s="517"/>
      <c r="T246" s="517"/>
      <c r="U246" s="517"/>
      <c r="V246" s="517"/>
      <c r="W246" s="517"/>
      <c r="X246" s="517"/>
      <c r="Y246" s="517"/>
      <c r="Z246" s="517"/>
      <c r="AA246" s="517"/>
      <c r="AB246" s="517"/>
      <c r="AC246" s="517"/>
      <c r="AD246" s="517"/>
      <c r="AE246" s="517"/>
      <c r="AF246" s="517"/>
      <c r="AG246" s="517"/>
      <c r="AH246" s="517"/>
      <c r="AI246" s="517"/>
      <c r="AJ246" s="517"/>
      <c r="AK246" s="517"/>
      <c r="AL246" s="517"/>
      <c r="AM246" s="517"/>
      <c r="AN246" s="517"/>
      <c r="AO246" s="517"/>
      <c r="AP246" s="517"/>
      <c r="AQ246" s="517"/>
      <c r="AR246" s="517"/>
      <c r="AS246" s="517"/>
      <c r="AT246" s="517"/>
      <c r="AU246" s="517"/>
      <c r="AV246" s="517"/>
      <c r="AW246" s="517"/>
      <c r="AX246" s="517"/>
      <c r="AY246" s="517"/>
      <c r="AZ246" s="517"/>
      <c r="BA246" s="517"/>
      <c r="BB246" s="517"/>
      <c r="BC246" s="517"/>
      <c r="BD246" s="517"/>
      <c r="BE246" s="517"/>
      <c r="BF246" s="517"/>
      <c r="BG246" s="517"/>
      <c r="BH246" s="517"/>
      <c r="BI246" s="517"/>
      <c r="BJ246" s="517"/>
      <c r="BK246" s="517"/>
      <c r="BL246" s="517"/>
      <c r="BM246" s="517"/>
      <c r="BN246" s="517"/>
      <c r="BO246" s="517"/>
      <c r="BP246" s="517"/>
      <c r="BQ246" s="517"/>
      <c r="BR246" s="517"/>
      <c r="BS246" s="517"/>
      <c r="BT246" s="517"/>
      <c r="BU246" s="517"/>
      <c r="BV246" s="517"/>
      <c r="BW246" s="517"/>
      <c r="BX246" s="517"/>
      <c r="BY246" s="517"/>
      <c r="BZ246" s="517"/>
      <c r="CA246" s="517"/>
      <c r="CB246" s="517"/>
      <c r="CC246" s="517"/>
      <c r="CD246" s="517"/>
      <c r="CE246" s="517"/>
      <c r="CF246" s="517"/>
      <c r="CG246" s="517"/>
      <c r="CH246" s="517"/>
      <c r="CI246" s="517"/>
      <c r="CJ246" s="517"/>
      <c r="CK246" s="517"/>
      <c r="CL246" s="517"/>
      <c r="CM246" s="517"/>
      <c r="CN246" s="517"/>
      <c r="CO246" s="517"/>
      <c r="CP246" s="517"/>
      <c r="CQ246" s="517"/>
      <c r="CR246" s="517"/>
      <c r="CS246" s="517"/>
      <c r="CT246" s="517"/>
      <c r="CU246" s="517"/>
      <c r="CV246" s="517"/>
      <c r="CW246" s="517"/>
      <c r="CX246" s="517"/>
      <c r="CY246" s="517"/>
      <c r="CZ246" s="517"/>
      <c r="DA246" s="517"/>
      <c r="DB246" s="517"/>
      <c r="DC246" s="517"/>
      <c r="DD246" s="517"/>
      <c r="DE246" s="517"/>
      <c r="DF246" s="517"/>
      <c r="DG246" s="517"/>
      <c r="DH246" s="517"/>
      <c r="DI246" s="517"/>
      <c r="DJ246" s="517"/>
      <c r="DK246" s="517"/>
      <c r="DL246" s="517"/>
      <c r="DM246" s="517"/>
      <c r="DN246" s="517"/>
      <c r="DO246" s="517"/>
      <c r="DP246" s="517"/>
      <c r="DQ246" s="517"/>
      <c r="DR246" s="517"/>
      <c r="DS246" s="517"/>
      <c r="DT246" s="517"/>
      <c r="DU246" s="517"/>
      <c r="DV246" s="517"/>
      <c r="DW246" s="517"/>
      <c r="DX246" s="517"/>
      <c r="DY246" s="517"/>
      <c r="DZ246" s="517"/>
      <c r="EA246" s="517"/>
      <c r="EB246" s="517"/>
      <c r="EC246" s="517"/>
      <c r="ED246" s="517"/>
      <c r="EE246" s="517"/>
      <c r="EF246" s="517"/>
      <c r="EG246" s="517"/>
      <c r="EH246" s="517"/>
      <c r="EI246" s="517"/>
      <c r="EJ246" s="517"/>
      <c r="EK246" s="517"/>
      <c r="EL246" s="517"/>
      <c r="EM246" s="517"/>
      <c r="EN246" s="517"/>
      <c r="EO246" s="517"/>
      <c r="EP246" s="517"/>
      <c r="EQ246" s="517"/>
      <c r="ER246" s="517"/>
      <c r="ES246" s="627" t="s">
        <v>1140</v>
      </c>
    </row>
    <row r="247">
      <c r="A247" s="517"/>
      <c r="B247" s="517"/>
      <c r="C247" s="517"/>
      <c r="D247" s="517"/>
      <c r="E247" s="517"/>
      <c r="F247" s="517"/>
      <c r="G247" s="517"/>
      <c r="H247" s="517"/>
      <c r="I247" s="517"/>
      <c r="J247" s="517"/>
      <c r="K247" s="517"/>
      <c r="L247" s="517"/>
      <c r="M247" s="517"/>
      <c r="N247" s="517"/>
      <c r="O247" s="517"/>
      <c r="P247" s="517"/>
      <c r="Q247" s="517"/>
      <c r="R247" s="517"/>
      <c r="S247" s="517"/>
      <c r="T247" s="517"/>
      <c r="U247" s="517"/>
      <c r="V247" s="517"/>
      <c r="W247" s="517"/>
      <c r="X247" s="517"/>
      <c r="Y247" s="517"/>
      <c r="Z247" s="517"/>
      <c r="AA247" s="517"/>
      <c r="AB247" s="517"/>
      <c r="AC247" s="517"/>
      <c r="AD247" s="517"/>
      <c r="AE247" s="517"/>
      <c r="AF247" s="517"/>
      <c r="AG247" s="517"/>
      <c r="AH247" s="517"/>
      <c r="AI247" s="517"/>
      <c r="AJ247" s="517"/>
      <c r="AK247" s="517"/>
      <c r="AL247" s="517"/>
      <c r="AM247" s="517"/>
      <c r="AN247" s="517"/>
      <c r="AO247" s="517"/>
      <c r="AP247" s="517"/>
      <c r="AQ247" s="517"/>
      <c r="AR247" s="517"/>
      <c r="AS247" s="517"/>
      <c r="AT247" s="517"/>
      <c r="AU247" s="517"/>
      <c r="AV247" s="517"/>
      <c r="AW247" s="517"/>
      <c r="AX247" s="517"/>
      <c r="AY247" s="517"/>
      <c r="AZ247" s="517"/>
      <c r="BA247" s="517"/>
      <c r="BB247" s="517"/>
      <c r="BC247" s="517"/>
      <c r="BD247" s="517"/>
      <c r="BE247" s="517"/>
      <c r="BF247" s="517"/>
      <c r="BG247" s="517"/>
      <c r="BH247" s="517"/>
      <c r="BI247" s="517"/>
      <c r="BJ247" s="517"/>
      <c r="BK247" s="517"/>
      <c r="BL247" s="517"/>
      <c r="BM247" s="517"/>
      <c r="BN247" s="517"/>
      <c r="BO247" s="517"/>
      <c r="BP247" s="517"/>
      <c r="BQ247" s="517"/>
      <c r="BR247" s="517"/>
      <c r="BS247" s="517"/>
      <c r="BT247" s="517"/>
      <c r="BU247" s="517"/>
      <c r="BV247" s="517"/>
      <c r="BW247" s="517"/>
      <c r="BX247" s="517"/>
      <c r="BY247" s="517"/>
      <c r="BZ247" s="517"/>
      <c r="CA247" s="517"/>
      <c r="CB247" s="517"/>
      <c r="CC247" s="517"/>
      <c r="CD247" s="517"/>
      <c r="CE247" s="517"/>
      <c r="CF247" s="517"/>
      <c r="CG247" s="517"/>
      <c r="CH247" s="517"/>
      <c r="CI247" s="517"/>
      <c r="CJ247" s="517"/>
      <c r="CK247" s="517"/>
      <c r="CL247" s="517"/>
      <c r="CM247" s="517"/>
      <c r="CN247" s="517"/>
      <c r="CO247" s="517"/>
      <c r="CP247" s="517"/>
      <c r="CQ247" s="517"/>
      <c r="CR247" s="517"/>
      <c r="CS247" s="517"/>
      <c r="CT247" s="517"/>
      <c r="CU247" s="517"/>
      <c r="CV247" s="517"/>
      <c r="CW247" s="517"/>
      <c r="CX247" s="517"/>
      <c r="CY247" s="517"/>
      <c r="CZ247" s="517"/>
      <c r="DA247" s="517"/>
      <c r="DB247" s="517"/>
      <c r="DC247" s="517"/>
      <c r="DD247" s="517"/>
      <c r="DE247" s="517"/>
      <c r="DF247" s="517"/>
      <c r="DG247" s="517"/>
      <c r="DH247" s="517"/>
      <c r="DI247" s="517"/>
      <c r="DJ247" s="517"/>
      <c r="DK247" s="517"/>
      <c r="DL247" s="517"/>
      <c r="DM247" s="517"/>
      <c r="DN247" s="517"/>
      <c r="DO247" s="517"/>
      <c r="DP247" s="517"/>
      <c r="DQ247" s="517"/>
      <c r="DR247" s="517"/>
      <c r="DS247" s="517"/>
      <c r="DT247" s="517"/>
      <c r="DU247" s="517"/>
      <c r="DV247" s="517"/>
      <c r="DW247" s="517"/>
      <c r="DX247" s="517"/>
      <c r="DY247" s="517"/>
      <c r="DZ247" s="517"/>
      <c r="EA247" s="517"/>
      <c r="EB247" s="517"/>
      <c r="EC247" s="517"/>
      <c r="ED247" s="517"/>
      <c r="EE247" s="517"/>
      <c r="EF247" s="517"/>
      <c r="EG247" s="517"/>
      <c r="EH247" s="517"/>
      <c r="EI247" s="517"/>
      <c r="EJ247" s="517"/>
      <c r="EK247" s="517"/>
      <c r="EL247" s="517"/>
      <c r="EM247" s="517"/>
      <c r="EN247" s="517"/>
      <c r="EO247" s="517"/>
      <c r="EP247" s="517"/>
      <c r="EQ247" s="517"/>
      <c r="ER247" s="517"/>
      <c r="ES247" s="627" t="s">
        <v>1140</v>
      </c>
    </row>
    <row r="248">
      <c r="A248" s="517"/>
      <c r="B248" s="517"/>
      <c r="C248" s="517"/>
      <c r="D248" s="517"/>
      <c r="E248" s="517"/>
      <c r="F248" s="517"/>
      <c r="G248" s="517"/>
      <c r="H248" s="517"/>
      <c r="I248" s="517"/>
      <c r="J248" s="517"/>
      <c r="K248" s="517"/>
      <c r="L248" s="517"/>
      <c r="M248" s="517"/>
      <c r="N248" s="517"/>
      <c r="O248" s="517"/>
      <c r="P248" s="517"/>
      <c r="Q248" s="517"/>
      <c r="R248" s="517"/>
      <c r="S248" s="517"/>
      <c r="T248" s="517"/>
      <c r="U248" s="517"/>
      <c r="V248" s="517"/>
      <c r="W248" s="517"/>
      <c r="X248" s="517"/>
      <c r="Y248" s="517"/>
      <c r="Z248" s="517"/>
      <c r="AA248" s="517"/>
      <c r="AB248" s="517"/>
      <c r="AC248" s="517"/>
      <c r="AD248" s="517"/>
      <c r="AE248" s="517"/>
      <c r="AF248" s="517"/>
      <c r="AG248" s="517"/>
      <c r="AH248" s="517"/>
      <c r="AI248" s="517"/>
      <c r="AJ248" s="517"/>
      <c r="AK248" s="517"/>
      <c r="AL248" s="517"/>
      <c r="AM248" s="517"/>
      <c r="AN248" s="517"/>
      <c r="AO248" s="517"/>
      <c r="AP248" s="517"/>
      <c r="AQ248" s="517"/>
      <c r="AR248" s="517"/>
      <c r="AS248" s="517"/>
      <c r="AT248" s="517"/>
      <c r="AU248" s="517"/>
      <c r="AV248" s="517"/>
      <c r="AW248" s="517"/>
      <c r="AX248" s="517"/>
      <c r="AY248" s="517"/>
      <c r="AZ248" s="517"/>
      <c r="BA248" s="517"/>
      <c r="BB248" s="517"/>
      <c r="BC248" s="517"/>
      <c r="BD248" s="517"/>
      <c r="BE248" s="517"/>
      <c r="BF248" s="517"/>
      <c r="BG248" s="517"/>
      <c r="BH248" s="517"/>
      <c r="BI248" s="517"/>
      <c r="BJ248" s="517"/>
      <c r="BK248" s="517"/>
      <c r="BL248" s="517"/>
      <c r="BM248" s="517"/>
      <c r="BN248" s="517"/>
      <c r="BO248" s="517"/>
      <c r="BP248" s="517"/>
      <c r="BQ248" s="517"/>
      <c r="BR248" s="517"/>
      <c r="BS248" s="517"/>
      <c r="BT248" s="517"/>
      <c r="BU248" s="517"/>
      <c r="BV248" s="517"/>
      <c r="BW248" s="517"/>
      <c r="BX248" s="517"/>
      <c r="BY248" s="517"/>
      <c r="BZ248" s="517"/>
      <c r="CA248" s="517"/>
      <c r="CB248" s="517"/>
      <c r="CC248" s="517"/>
      <c r="CD248" s="517"/>
      <c r="CE248" s="517"/>
      <c r="CF248" s="517"/>
      <c r="CG248" s="517"/>
      <c r="CH248" s="517"/>
      <c r="CI248" s="517"/>
      <c r="CJ248" s="517"/>
      <c r="CK248" s="517"/>
      <c r="CL248" s="517"/>
      <c r="CM248" s="517"/>
      <c r="CN248" s="517"/>
      <c r="CO248" s="517"/>
      <c r="CP248" s="517"/>
      <c r="CQ248" s="517"/>
      <c r="CR248" s="517"/>
      <c r="CS248" s="517"/>
      <c r="CT248" s="517"/>
      <c r="CU248" s="517"/>
      <c r="CV248" s="517"/>
      <c r="CW248" s="517"/>
      <c r="CX248" s="517"/>
      <c r="CY248" s="517"/>
      <c r="CZ248" s="517"/>
      <c r="DA248" s="517"/>
      <c r="DB248" s="517"/>
      <c r="DC248" s="517"/>
      <c r="DD248" s="517"/>
      <c r="DE248" s="517"/>
      <c r="DF248" s="517"/>
      <c r="DG248" s="517"/>
      <c r="DH248" s="517"/>
      <c r="DI248" s="517"/>
      <c r="DJ248" s="517"/>
      <c r="DK248" s="517"/>
      <c r="DL248" s="517"/>
      <c r="DM248" s="517"/>
      <c r="DN248" s="517"/>
      <c r="DO248" s="517"/>
      <c r="DP248" s="517"/>
      <c r="DQ248" s="517"/>
      <c r="DR248" s="517"/>
      <c r="DS248" s="517"/>
      <c r="DT248" s="517"/>
      <c r="DU248" s="517"/>
      <c r="DV248" s="517"/>
      <c r="DW248" s="517"/>
      <c r="DX248" s="517"/>
      <c r="DY248" s="517"/>
      <c r="DZ248" s="517"/>
      <c r="EA248" s="517"/>
      <c r="EB248" s="517"/>
      <c r="EC248" s="517"/>
      <c r="ED248" s="517"/>
      <c r="EE248" s="517"/>
      <c r="EF248" s="517"/>
      <c r="EG248" s="517"/>
      <c r="EH248" s="517"/>
      <c r="EI248" s="517"/>
      <c r="EJ248" s="517"/>
      <c r="EK248" s="517"/>
      <c r="EL248" s="517"/>
      <c r="EM248" s="517"/>
      <c r="EN248" s="517"/>
      <c r="EO248" s="517"/>
      <c r="EP248" s="517"/>
      <c r="EQ248" s="517"/>
      <c r="ER248" s="517"/>
      <c r="ES248" s="627" t="s">
        <v>1140</v>
      </c>
    </row>
    <row r="249">
      <c r="A249" s="517"/>
      <c r="B249" s="517"/>
      <c r="C249" s="517"/>
      <c r="D249" s="517"/>
      <c r="E249" s="517"/>
      <c r="F249" s="517"/>
      <c r="G249" s="517"/>
      <c r="H249" s="517"/>
      <c r="I249" s="517"/>
      <c r="J249" s="517"/>
      <c r="K249" s="517"/>
      <c r="L249" s="517"/>
      <c r="M249" s="517"/>
      <c r="N249" s="517"/>
      <c r="O249" s="517"/>
      <c r="P249" s="517"/>
      <c r="Q249" s="517"/>
      <c r="R249" s="517"/>
      <c r="S249" s="517"/>
      <c r="T249" s="517"/>
      <c r="U249" s="517"/>
      <c r="V249" s="517"/>
      <c r="W249" s="517"/>
      <c r="X249" s="517"/>
      <c r="Y249" s="517"/>
      <c r="Z249" s="517"/>
      <c r="AA249" s="517"/>
      <c r="AB249" s="517"/>
      <c r="AC249" s="517"/>
      <c r="AD249" s="517"/>
      <c r="AE249" s="517"/>
      <c r="AF249" s="517"/>
      <c r="AG249" s="517"/>
      <c r="AH249" s="517"/>
      <c r="AI249" s="517"/>
      <c r="AJ249" s="517"/>
      <c r="AK249" s="517"/>
      <c r="AL249" s="517"/>
      <c r="AM249" s="517"/>
      <c r="AN249" s="517"/>
      <c r="AO249" s="517"/>
      <c r="AP249" s="517"/>
      <c r="AQ249" s="517"/>
      <c r="AR249" s="517"/>
      <c r="AS249" s="517"/>
      <c r="AT249" s="517"/>
      <c r="AU249" s="517"/>
      <c r="AV249" s="517"/>
      <c r="AW249" s="517"/>
      <c r="AX249" s="517"/>
      <c r="AY249" s="517"/>
      <c r="AZ249" s="517"/>
      <c r="BA249" s="517"/>
      <c r="BB249" s="517"/>
      <c r="BC249" s="517"/>
      <c r="BD249" s="517"/>
      <c r="BE249" s="517"/>
      <c r="BF249" s="517"/>
      <c r="BG249" s="517"/>
      <c r="BH249" s="517"/>
      <c r="BI249" s="517"/>
      <c r="BJ249" s="517"/>
      <c r="BK249" s="517"/>
      <c r="BL249" s="517"/>
      <c r="BM249" s="517"/>
      <c r="BN249" s="517"/>
      <c r="BO249" s="517"/>
      <c r="BP249" s="517"/>
      <c r="BQ249" s="517"/>
      <c r="BR249" s="517"/>
      <c r="BS249" s="517"/>
      <c r="BT249" s="517"/>
      <c r="BU249" s="517"/>
      <c r="BV249" s="517"/>
      <c r="BW249" s="517"/>
      <c r="BX249" s="517"/>
      <c r="BY249" s="517"/>
      <c r="BZ249" s="517"/>
      <c r="CA249" s="517"/>
      <c r="CB249" s="517"/>
      <c r="CC249" s="517"/>
      <c r="CD249" s="517"/>
      <c r="CE249" s="517"/>
      <c r="CF249" s="517"/>
      <c r="CG249" s="517"/>
      <c r="CH249" s="517"/>
      <c r="CI249" s="517"/>
      <c r="CJ249" s="517"/>
      <c r="CK249" s="517"/>
      <c r="CL249" s="517"/>
      <c r="CM249" s="517"/>
      <c r="CN249" s="517"/>
      <c r="CO249" s="517"/>
      <c r="CP249" s="517"/>
      <c r="CQ249" s="517"/>
      <c r="CR249" s="517"/>
      <c r="CS249" s="517"/>
      <c r="CT249" s="517"/>
      <c r="CU249" s="517"/>
      <c r="CV249" s="517"/>
      <c r="CW249" s="517"/>
      <c r="CX249" s="517"/>
      <c r="CY249" s="517"/>
      <c r="CZ249" s="517"/>
      <c r="DA249" s="517"/>
      <c r="DB249" s="517"/>
      <c r="DC249" s="517"/>
      <c r="DD249" s="517"/>
      <c r="DE249" s="517"/>
      <c r="DF249" s="517"/>
      <c r="DG249" s="517"/>
      <c r="DH249" s="517"/>
      <c r="DI249" s="517"/>
      <c r="DJ249" s="517"/>
      <c r="DK249" s="517"/>
      <c r="DL249" s="517"/>
      <c r="DM249" s="517"/>
      <c r="DN249" s="517"/>
      <c r="DO249" s="517"/>
      <c r="DP249" s="517"/>
      <c r="DQ249" s="517"/>
      <c r="DR249" s="517"/>
      <c r="DS249" s="517"/>
      <c r="DT249" s="517"/>
      <c r="DU249" s="517"/>
      <c r="DV249" s="517"/>
      <c r="DW249" s="517"/>
      <c r="DX249" s="517"/>
      <c r="DY249" s="517"/>
      <c r="DZ249" s="517"/>
      <c r="EA249" s="517"/>
      <c r="EB249" s="517"/>
      <c r="EC249" s="517"/>
      <c r="ED249" s="517"/>
      <c r="EE249" s="517"/>
      <c r="EF249" s="517"/>
      <c r="EG249" s="517"/>
      <c r="EH249" s="517"/>
      <c r="EI249" s="517"/>
      <c r="EJ249" s="517"/>
      <c r="EK249" s="517"/>
      <c r="EL249" s="517"/>
      <c r="EM249" s="517"/>
      <c r="EN249" s="517"/>
      <c r="EO249" s="517"/>
      <c r="EP249" s="517"/>
      <c r="EQ249" s="517"/>
      <c r="ER249" s="517"/>
      <c r="ES249" s="627" t="s">
        <v>1140</v>
      </c>
    </row>
    <row r="250">
      <c r="A250" s="517"/>
      <c r="B250" s="517"/>
      <c r="C250" s="517"/>
      <c r="D250" s="517"/>
      <c r="E250" s="517"/>
      <c r="F250" s="517"/>
      <c r="G250" s="517"/>
      <c r="H250" s="517"/>
      <c r="I250" s="517"/>
      <c r="J250" s="517"/>
      <c r="K250" s="517"/>
      <c r="L250" s="517"/>
      <c r="M250" s="517"/>
      <c r="N250" s="517"/>
      <c r="O250" s="517"/>
      <c r="P250" s="517"/>
      <c r="Q250" s="517"/>
      <c r="R250" s="517"/>
      <c r="S250" s="517"/>
      <c r="T250" s="517"/>
      <c r="U250" s="517"/>
      <c r="V250" s="517"/>
      <c r="W250" s="517"/>
      <c r="X250" s="517"/>
      <c r="Y250" s="517"/>
      <c r="Z250" s="517"/>
      <c r="AA250" s="517"/>
      <c r="AB250" s="517"/>
      <c r="AC250" s="517"/>
      <c r="AD250" s="517"/>
      <c r="AE250" s="517"/>
      <c r="AF250" s="517"/>
      <c r="AG250" s="517"/>
      <c r="AH250" s="517"/>
      <c r="AI250" s="517"/>
      <c r="AJ250" s="517"/>
      <c r="AK250" s="517"/>
      <c r="AL250" s="517"/>
      <c r="AM250" s="517"/>
      <c r="AN250" s="517"/>
      <c r="AO250" s="517"/>
      <c r="AP250" s="517"/>
      <c r="AQ250" s="517"/>
      <c r="AR250" s="517"/>
      <c r="AS250" s="517"/>
      <c r="AT250" s="517"/>
      <c r="AU250" s="517"/>
      <c r="AV250" s="517"/>
      <c r="AW250" s="517"/>
      <c r="AX250" s="517"/>
      <c r="AY250" s="517"/>
      <c r="AZ250" s="517"/>
      <c r="BA250" s="517"/>
      <c r="BB250" s="517"/>
      <c r="BC250" s="517"/>
      <c r="BD250" s="517"/>
      <c r="BE250" s="517"/>
      <c r="BF250" s="517"/>
      <c r="BG250" s="517"/>
      <c r="BH250" s="517"/>
      <c r="BI250" s="517"/>
      <c r="BJ250" s="517"/>
      <c r="BK250" s="517"/>
      <c r="BL250" s="517"/>
      <c r="BM250" s="517"/>
      <c r="BN250" s="517"/>
      <c r="BO250" s="517"/>
      <c r="BP250" s="517"/>
      <c r="BQ250" s="517"/>
      <c r="BR250" s="517"/>
      <c r="BS250" s="517"/>
      <c r="BT250" s="517"/>
      <c r="BU250" s="517"/>
      <c r="BV250" s="517"/>
      <c r="BW250" s="517"/>
      <c r="BX250" s="517"/>
      <c r="BY250" s="517"/>
      <c r="BZ250" s="517"/>
      <c r="CA250" s="517"/>
      <c r="CB250" s="517"/>
      <c r="CC250" s="517"/>
      <c r="CD250" s="517"/>
      <c r="CE250" s="517"/>
      <c r="CF250" s="517"/>
      <c r="CG250" s="517"/>
      <c r="CH250" s="517"/>
      <c r="CI250" s="517"/>
      <c r="CJ250" s="517"/>
      <c r="CK250" s="517"/>
      <c r="CL250" s="517"/>
      <c r="CM250" s="517"/>
      <c r="CN250" s="517"/>
      <c r="CO250" s="517"/>
      <c r="CP250" s="517"/>
      <c r="CQ250" s="517"/>
      <c r="CR250" s="517"/>
      <c r="CS250" s="517"/>
      <c r="CT250" s="517"/>
      <c r="CU250" s="517"/>
      <c r="CV250" s="517"/>
      <c r="CW250" s="517"/>
      <c r="CX250" s="517"/>
      <c r="CY250" s="517"/>
      <c r="CZ250" s="517"/>
      <c r="DA250" s="517"/>
      <c r="DB250" s="517"/>
      <c r="DC250" s="517"/>
      <c r="DD250" s="517"/>
      <c r="DE250" s="517"/>
      <c r="DF250" s="517"/>
      <c r="DG250" s="517"/>
      <c r="DH250" s="517"/>
      <c r="DI250" s="517"/>
      <c r="DJ250" s="517"/>
      <c r="DK250" s="517"/>
      <c r="DL250" s="517"/>
      <c r="DM250" s="517"/>
      <c r="DN250" s="517"/>
      <c r="DO250" s="517"/>
      <c r="DP250" s="517"/>
      <c r="DQ250" s="517"/>
      <c r="DR250" s="517"/>
      <c r="DS250" s="517"/>
      <c r="DT250" s="517"/>
      <c r="DU250" s="517"/>
      <c r="DV250" s="517"/>
      <c r="DW250" s="517"/>
      <c r="DX250" s="517"/>
      <c r="DY250" s="517"/>
      <c r="DZ250" s="517"/>
      <c r="EA250" s="517"/>
      <c r="EB250" s="517"/>
      <c r="EC250" s="517"/>
      <c r="ED250" s="517"/>
      <c r="EE250" s="517"/>
      <c r="EF250" s="517"/>
      <c r="EG250" s="517"/>
      <c r="EH250" s="517"/>
      <c r="EI250" s="517"/>
      <c r="EJ250" s="517"/>
      <c r="EK250" s="517"/>
      <c r="EL250" s="517"/>
      <c r="EM250" s="517"/>
      <c r="EN250" s="517"/>
      <c r="EO250" s="517"/>
      <c r="EP250" s="517"/>
      <c r="EQ250" s="517"/>
      <c r="ER250" s="517"/>
      <c r="ES250" s="627" t="s">
        <v>1140</v>
      </c>
    </row>
    <row r="251">
      <c r="A251" s="517"/>
      <c r="B251" s="517"/>
      <c r="C251" s="517"/>
      <c r="D251" s="517"/>
      <c r="E251" s="517"/>
      <c r="F251" s="517"/>
      <c r="G251" s="517"/>
      <c r="H251" s="517"/>
      <c r="I251" s="517"/>
      <c r="J251" s="517"/>
      <c r="K251" s="517"/>
      <c r="L251" s="517"/>
      <c r="M251" s="517"/>
      <c r="N251" s="517"/>
      <c r="O251" s="517"/>
      <c r="P251" s="517"/>
      <c r="Q251" s="517"/>
      <c r="R251" s="517"/>
      <c r="S251" s="517"/>
      <c r="T251" s="517"/>
      <c r="U251" s="517"/>
      <c r="V251" s="517"/>
      <c r="W251" s="517"/>
      <c r="X251" s="517"/>
      <c r="Y251" s="517"/>
      <c r="Z251" s="517"/>
      <c r="AA251" s="517"/>
      <c r="AB251" s="517"/>
      <c r="AC251" s="517"/>
      <c r="AD251" s="517"/>
      <c r="AE251" s="517"/>
      <c r="AF251" s="517"/>
      <c r="AG251" s="517"/>
      <c r="AH251" s="517"/>
      <c r="AI251" s="517"/>
      <c r="AJ251" s="517"/>
      <c r="AK251" s="517"/>
      <c r="AL251" s="517"/>
      <c r="AM251" s="517"/>
      <c r="AN251" s="517"/>
      <c r="AO251" s="517"/>
      <c r="AP251" s="517"/>
      <c r="AQ251" s="517"/>
      <c r="AR251" s="517"/>
      <c r="AS251" s="517"/>
      <c r="AT251" s="517"/>
      <c r="AU251" s="517"/>
      <c r="AV251" s="517"/>
      <c r="AW251" s="517"/>
      <c r="AX251" s="517"/>
      <c r="AY251" s="517"/>
      <c r="AZ251" s="517"/>
      <c r="BA251" s="517"/>
      <c r="BB251" s="517"/>
      <c r="BC251" s="517"/>
      <c r="BD251" s="517"/>
      <c r="BE251" s="517"/>
      <c r="BF251" s="517"/>
      <c r="BG251" s="517"/>
      <c r="BH251" s="517"/>
      <c r="BI251" s="517"/>
      <c r="BJ251" s="517"/>
      <c r="BK251" s="517"/>
      <c r="BL251" s="517"/>
      <c r="BM251" s="517"/>
      <c r="BN251" s="517"/>
      <c r="BO251" s="517"/>
      <c r="BP251" s="517"/>
      <c r="BQ251" s="517"/>
      <c r="BR251" s="517"/>
      <c r="BS251" s="517"/>
      <c r="BT251" s="517"/>
      <c r="BU251" s="517"/>
      <c r="BV251" s="517"/>
      <c r="BW251" s="517"/>
      <c r="BX251" s="517"/>
      <c r="BY251" s="517"/>
      <c r="BZ251" s="517"/>
      <c r="CA251" s="517"/>
      <c r="CB251" s="517"/>
      <c r="CC251" s="517"/>
      <c r="CD251" s="517"/>
      <c r="CE251" s="517"/>
      <c r="CF251" s="517"/>
      <c r="CG251" s="517"/>
      <c r="CH251" s="517"/>
      <c r="CI251" s="517"/>
      <c r="CJ251" s="517"/>
      <c r="CK251" s="517"/>
      <c r="CL251" s="517"/>
      <c r="CM251" s="517"/>
      <c r="CN251" s="517"/>
      <c r="CO251" s="517"/>
      <c r="CP251" s="517"/>
      <c r="CQ251" s="517"/>
      <c r="CR251" s="517"/>
      <c r="CS251" s="517"/>
      <c r="CT251" s="517"/>
      <c r="CU251" s="517"/>
      <c r="CV251" s="517"/>
      <c r="CW251" s="517"/>
      <c r="CX251" s="517"/>
      <c r="CY251" s="517"/>
      <c r="CZ251" s="517"/>
      <c r="DA251" s="517"/>
      <c r="DB251" s="517"/>
      <c r="DC251" s="517"/>
      <c r="DD251" s="517"/>
      <c r="DE251" s="517"/>
      <c r="DF251" s="517"/>
      <c r="DG251" s="517"/>
      <c r="DH251" s="517"/>
      <c r="DI251" s="517"/>
      <c r="DJ251" s="517"/>
      <c r="DK251" s="517"/>
      <c r="DL251" s="517"/>
      <c r="DM251" s="517"/>
      <c r="DN251" s="517"/>
      <c r="DO251" s="517"/>
      <c r="DP251" s="517"/>
      <c r="DQ251" s="517"/>
      <c r="DR251" s="517"/>
      <c r="DS251" s="517"/>
      <c r="DT251" s="517"/>
      <c r="DU251" s="517"/>
      <c r="DV251" s="517"/>
      <c r="DW251" s="517"/>
      <c r="DX251" s="517"/>
      <c r="DY251" s="517"/>
      <c r="DZ251" s="517"/>
      <c r="EA251" s="517"/>
      <c r="EB251" s="517"/>
      <c r="EC251" s="517"/>
      <c r="ED251" s="517"/>
      <c r="EE251" s="517"/>
      <c r="EF251" s="517"/>
      <c r="EG251" s="517"/>
      <c r="EH251" s="517"/>
      <c r="EI251" s="517"/>
      <c r="EJ251" s="517"/>
      <c r="EK251" s="517"/>
      <c r="EL251" s="517"/>
      <c r="EM251" s="517"/>
      <c r="EN251" s="517"/>
      <c r="EO251" s="517"/>
      <c r="EP251" s="517"/>
      <c r="EQ251" s="517"/>
      <c r="ER251" s="517"/>
      <c r="ES251" s="627" t="s">
        <v>1140</v>
      </c>
    </row>
    <row r="252">
      <c r="A252" s="517"/>
      <c r="B252" s="517"/>
      <c r="C252" s="517"/>
      <c r="D252" s="517"/>
      <c r="E252" s="517"/>
      <c r="F252" s="517"/>
      <c r="G252" s="517"/>
      <c r="H252" s="517"/>
      <c r="I252" s="517"/>
      <c r="J252" s="517"/>
      <c r="K252" s="517"/>
      <c r="L252" s="517"/>
      <c r="M252" s="517"/>
      <c r="N252" s="517"/>
      <c r="O252" s="517"/>
      <c r="P252" s="517"/>
      <c r="Q252" s="517"/>
      <c r="R252" s="517"/>
      <c r="S252" s="517"/>
      <c r="T252" s="517"/>
      <c r="U252" s="517"/>
      <c r="V252" s="517"/>
      <c r="W252" s="517"/>
      <c r="X252" s="517"/>
      <c r="Y252" s="517"/>
      <c r="Z252" s="517"/>
      <c r="AA252" s="517"/>
      <c r="AB252" s="517"/>
      <c r="AC252" s="517"/>
      <c r="AD252" s="517"/>
      <c r="AE252" s="517"/>
      <c r="AF252" s="517"/>
      <c r="AG252" s="517"/>
      <c r="AH252" s="517"/>
      <c r="AI252" s="517"/>
      <c r="AJ252" s="517"/>
      <c r="AK252" s="517"/>
      <c r="AL252" s="517"/>
      <c r="AM252" s="517"/>
      <c r="AN252" s="517"/>
      <c r="AO252" s="517"/>
      <c r="AP252" s="517"/>
      <c r="AQ252" s="517"/>
      <c r="AR252" s="517"/>
      <c r="AS252" s="517"/>
      <c r="AT252" s="517"/>
      <c r="AU252" s="517"/>
      <c r="AV252" s="517"/>
      <c r="AW252" s="517"/>
      <c r="AX252" s="517"/>
      <c r="AY252" s="517"/>
      <c r="AZ252" s="517"/>
      <c r="BA252" s="517"/>
      <c r="BB252" s="517"/>
      <c r="BC252" s="517"/>
      <c r="BD252" s="517"/>
      <c r="BE252" s="517"/>
      <c r="BF252" s="517"/>
      <c r="BG252" s="517"/>
      <c r="BH252" s="517"/>
      <c r="BI252" s="517"/>
      <c r="BJ252" s="517"/>
      <c r="BK252" s="517"/>
      <c r="BL252" s="517"/>
      <c r="BM252" s="517"/>
      <c r="BN252" s="517"/>
      <c r="BO252" s="517"/>
      <c r="BP252" s="517"/>
      <c r="BQ252" s="517"/>
      <c r="BR252" s="517"/>
      <c r="BS252" s="517"/>
      <c r="BT252" s="517"/>
      <c r="BU252" s="517"/>
      <c r="BV252" s="517"/>
      <c r="BW252" s="517"/>
      <c r="BX252" s="517"/>
      <c r="BY252" s="517"/>
      <c r="BZ252" s="517"/>
      <c r="CA252" s="517"/>
      <c r="CB252" s="517"/>
      <c r="CC252" s="517"/>
      <c r="CD252" s="517"/>
      <c r="CE252" s="517"/>
      <c r="CF252" s="517"/>
      <c r="CG252" s="517"/>
      <c r="CH252" s="517"/>
      <c r="CI252" s="517"/>
      <c r="CJ252" s="517"/>
      <c r="CK252" s="517"/>
      <c r="CL252" s="517"/>
      <c r="CM252" s="517"/>
      <c r="CN252" s="517"/>
      <c r="CO252" s="517"/>
      <c r="CP252" s="517"/>
      <c r="CQ252" s="517"/>
      <c r="CR252" s="517"/>
      <c r="CS252" s="517"/>
      <c r="CT252" s="517"/>
      <c r="CU252" s="517"/>
      <c r="CV252" s="517"/>
      <c r="CW252" s="517"/>
      <c r="CX252" s="517"/>
      <c r="CY252" s="517"/>
      <c r="CZ252" s="517"/>
      <c r="DA252" s="517"/>
      <c r="DB252" s="517"/>
      <c r="DC252" s="517"/>
      <c r="DD252" s="517"/>
      <c r="DE252" s="517"/>
      <c r="DF252" s="517"/>
      <c r="DG252" s="517"/>
      <c r="DH252" s="517"/>
      <c r="DI252" s="517"/>
      <c r="DJ252" s="517"/>
      <c r="DK252" s="517"/>
      <c r="DL252" s="517"/>
      <c r="DM252" s="517"/>
      <c r="DN252" s="517"/>
      <c r="DO252" s="517"/>
      <c r="DP252" s="517"/>
      <c r="DQ252" s="517"/>
      <c r="DR252" s="517"/>
      <c r="DS252" s="517"/>
      <c r="DT252" s="517"/>
      <c r="DU252" s="517"/>
      <c r="DV252" s="517"/>
      <c r="DW252" s="517"/>
      <c r="DX252" s="517"/>
      <c r="DY252" s="517"/>
      <c r="DZ252" s="517"/>
      <c r="EA252" s="517"/>
      <c r="EB252" s="517"/>
      <c r="EC252" s="517"/>
      <c r="ED252" s="517"/>
      <c r="EE252" s="517"/>
      <c r="EF252" s="517"/>
      <c r="EG252" s="517"/>
      <c r="EH252" s="517"/>
      <c r="EI252" s="517"/>
      <c r="EJ252" s="517"/>
      <c r="EK252" s="517"/>
      <c r="EL252" s="517"/>
      <c r="EM252" s="517"/>
      <c r="EN252" s="517"/>
      <c r="EO252" s="517"/>
      <c r="EP252" s="517"/>
      <c r="EQ252" s="517"/>
      <c r="ER252" s="517"/>
      <c r="ES252" s="627" t="s">
        <v>1140</v>
      </c>
    </row>
    <row r="253">
      <c r="A253" s="517"/>
      <c r="B253" s="517"/>
      <c r="C253" s="517"/>
      <c r="D253" s="517"/>
      <c r="E253" s="517"/>
      <c r="F253" s="517"/>
      <c r="G253" s="517"/>
      <c r="H253" s="517"/>
      <c r="I253" s="517"/>
      <c r="J253" s="517"/>
      <c r="K253" s="517"/>
      <c r="L253" s="517"/>
      <c r="M253" s="517"/>
      <c r="N253" s="517"/>
      <c r="O253" s="517"/>
      <c r="P253" s="517"/>
      <c r="Q253" s="517"/>
      <c r="R253" s="517"/>
      <c r="S253" s="517"/>
      <c r="T253" s="517"/>
      <c r="U253" s="517"/>
      <c r="V253" s="517"/>
      <c r="W253" s="517"/>
      <c r="X253" s="517"/>
      <c r="Y253" s="517"/>
      <c r="Z253" s="517"/>
      <c r="AA253" s="517"/>
      <c r="AB253" s="517"/>
      <c r="AC253" s="517"/>
      <c r="AD253" s="517"/>
      <c r="AE253" s="517"/>
      <c r="AF253" s="517"/>
      <c r="AG253" s="517"/>
      <c r="AH253" s="517"/>
      <c r="AI253" s="517"/>
      <c r="AJ253" s="517"/>
      <c r="AK253" s="517"/>
      <c r="AL253" s="517"/>
      <c r="AM253" s="517"/>
      <c r="AN253" s="517"/>
      <c r="AO253" s="517"/>
      <c r="AP253" s="517"/>
      <c r="AQ253" s="517"/>
      <c r="AR253" s="517"/>
      <c r="AS253" s="517"/>
      <c r="AT253" s="517"/>
      <c r="AU253" s="517"/>
      <c r="AV253" s="517"/>
      <c r="AW253" s="517"/>
      <c r="AX253" s="517"/>
      <c r="AY253" s="517"/>
      <c r="AZ253" s="517"/>
      <c r="BA253" s="517"/>
      <c r="BB253" s="517"/>
      <c r="BC253" s="517"/>
      <c r="BD253" s="517"/>
      <c r="BE253" s="517"/>
      <c r="BF253" s="517"/>
      <c r="BG253" s="517"/>
      <c r="BH253" s="517"/>
      <c r="BI253" s="517"/>
      <c r="BJ253" s="517"/>
      <c r="BK253" s="517"/>
      <c r="BL253" s="517"/>
      <c r="BM253" s="517"/>
      <c r="BN253" s="517"/>
      <c r="BO253" s="517"/>
      <c r="BP253" s="517"/>
      <c r="BQ253" s="517"/>
      <c r="BR253" s="517"/>
      <c r="BS253" s="517"/>
      <c r="BT253" s="517"/>
      <c r="BU253" s="517"/>
      <c r="BV253" s="517"/>
      <c r="BW253" s="517"/>
      <c r="BX253" s="517"/>
      <c r="BY253" s="517"/>
      <c r="BZ253" s="517"/>
      <c r="CA253" s="517"/>
      <c r="CB253" s="517"/>
      <c r="CC253" s="517"/>
      <c r="CD253" s="517"/>
      <c r="CE253" s="517"/>
      <c r="CF253" s="517"/>
      <c r="CG253" s="517"/>
      <c r="CH253" s="517"/>
      <c r="CI253" s="517"/>
      <c r="CJ253" s="517"/>
      <c r="CK253" s="517"/>
      <c r="CL253" s="517"/>
      <c r="CM253" s="517"/>
      <c r="CN253" s="517"/>
      <c r="CO253" s="517"/>
      <c r="CP253" s="517"/>
      <c r="CQ253" s="517"/>
      <c r="CR253" s="517"/>
      <c r="CS253" s="517"/>
      <c r="CT253" s="517"/>
      <c r="CU253" s="517"/>
      <c r="CV253" s="517"/>
      <c r="CW253" s="517"/>
      <c r="CX253" s="517"/>
      <c r="CY253" s="517"/>
      <c r="CZ253" s="517"/>
      <c r="DA253" s="517"/>
      <c r="DB253" s="517"/>
      <c r="DC253" s="517"/>
      <c r="DD253" s="517"/>
      <c r="DE253" s="517"/>
      <c r="DF253" s="517"/>
      <c r="DG253" s="517"/>
      <c r="DH253" s="517"/>
      <c r="DI253" s="517"/>
      <c r="DJ253" s="517"/>
      <c r="DK253" s="517"/>
      <c r="DL253" s="517"/>
      <c r="DM253" s="517"/>
      <c r="DN253" s="517"/>
      <c r="DO253" s="517"/>
      <c r="DP253" s="517"/>
      <c r="DQ253" s="517"/>
      <c r="DR253" s="517"/>
      <c r="DS253" s="517"/>
      <c r="DT253" s="517"/>
      <c r="DU253" s="517"/>
      <c r="DV253" s="517"/>
      <c r="DW253" s="517"/>
      <c r="DX253" s="517"/>
      <c r="DY253" s="517"/>
      <c r="DZ253" s="517"/>
      <c r="EA253" s="517"/>
      <c r="EB253" s="517"/>
      <c r="EC253" s="517"/>
      <c r="ED253" s="517"/>
      <c r="EE253" s="517"/>
      <c r="EF253" s="517"/>
      <c r="EG253" s="517"/>
      <c r="EH253" s="517"/>
      <c r="EI253" s="517"/>
      <c r="EJ253" s="517"/>
      <c r="EK253" s="517"/>
      <c r="EL253" s="517"/>
      <c r="EM253" s="517"/>
      <c r="EN253" s="517"/>
      <c r="EO253" s="517"/>
      <c r="EP253" s="517"/>
      <c r="EQ253" s="517"/>
      <c r="ER253" s="517"/>
      <c r="ES253" s="627" t="s">
        <v>1140</v>
      </c>
    </row>
    <row r="254">
      <c r="A254" s="517"/>
      <c r="B254" s="517"/>
      <c r="C254" s="517"/>
      <c r="D254" s="517"/>
      <c r="E254" s="517"/>
      <c r="F254" s="517"/>
      <c r="G254" s="517"/>
      <c r="H254" s="517"/>
      <c r="I254" s="517"/>
      <c r="J254" s="517"/>
      <c r="K254" s="517"/>
      <c r="L254" s="517"/>
      <c r="M254" s="517"/>
      <c r="N254" s="517"/>
      <c r="O254" s="517"/>
      <c r="P254" s="517"/>
      <c r="Q254" s="517"/>
      <c r="R254" s="517"/>
      <c r="S254" s="517"/>
      <c r="T254" s="517"/>
      <c r="U254" s="517"/>
      <c r="V254" s="517"/>
      <c r="W254" s="517"/>
      <c r="X254" s="517"/>
      <c r="Y254" s="517"/>
      <c r="Z254" s="517"/>
      <c r="AA254" s="517"/>
      <c r="AB254" s="517"/>
      <c r="AC254" s="517"/>
      <c r="AD254" s="517"/>
      <c r="AE254" s="517"/>
      <c r="AF254" s="517"/>
      <c r="AG254" s="517"/>
      <c r="AH254" s="517"/>
      <c r="AI254" s="517"/>
      <c r="AJ254" s="517"/>
      <c r="AK254" s="517"/>
      <c r="AL254" s="517"/>
      <c r="AM254" s="517"/>
      <c r="AN254" s="517"/>
      <c r="AO254" s="517"/>
      <c r="AP254" s="517"/>
      <c r="AQ254" s="517"/>
      <c r="AR254" s="517"/>
      <c r="AS254" s="517"/>
      <c r="AT254" s="517"/>
      <c r="AU254" s="517"/>
      <c r="AV254" s="517"/>
      <c r="AW254" s="517"/>
      <c r="AX254" s="517"/>
      <c r="AY254" s="517"/>
      <c r="AZ254" s="517"/>
      <c r="BA254" s="517"/>
      <c r="BB254" s="517"/>
      <c r="BC254" s="517"/>
      <c r="BD254" s="517"/>
      <c r="BE254" s="517"/>
      <c r="BF254" s="517"/>
      <c r="BG254" s="517"/>
      <c r="BH254" s="517"/>
      <c r="BI254" s="517"/>
      <c r="BJ254" s="517"/>
      <c r="BK254" s="517"/>
      <c r="BL254" s="517"/>
      <c r="BM254" s="517"/>
      <c r="BN254" s="517"/>
      <c r="BO254" s="517"/>
      <c r="BP254" s="517"/>
      <c r="BQ254" s="517"/>
      <c r="BR254" s="517"/>
      <c r="BS254" s="517"/>
      <c r="BT254" s="517"/>
      <c r="BU254" s="517"/>
      <c r="BV254" s="517"/>
      <c r="BW254" s="517"/>
      <c r="BX254" s="517"/>
      <c r="BY254" s="517"/>
      <c r="BZ254" s="517"/>
      <c r="CA254" s="517"/>
      <c r="CB254" s="517"/>
      <c r="CC254" s="517"/>
      <c r="CD254" s="517"/>
      <c r="CE254" s="517"/>
      <c r="CF254" s="517"/>
      <c r="CG254" s="517"/>
      <c r="CH254" s="517"/>
      <c r="CI254" s="517"/>
      <c r="CJ254" s="517"/>
      <c r="CK254" s="517"/>
      <c r="CL254" s="517"/>
      <c r="CM254" s="517"/>
      <c r="CN254" s="517"/>
      <c r="CO254" s="517"/>
      <c r="CP254" s="517"/>
      <c r="CQ254" s="517"/>
      <c r="CR254" s="517"/>
      <c r="CS254" s="517"/>
      <c r="CT254" s="517"/>
      <c r="CU254" s="517"/>
      <c r="CV254" s="517"/>
      <c r="CW254" s="517"/>
      <c r="CX254" s="517"/>
      <c r="CY254" s="517"/>
      <c r="CZ254" s="517"/>
      <c r="DA254" s="517"/>
      <c r="DB254" s="517"/>
      <c r="DC254" s="517"/>
      <c r="DD254" s="517"/>
      <c r="DE254" s="517"/>
      <c r="DF254" s="517"/>
      <c r="DG254" s="517"/>
      <c r="DH254" s="517"/>
      <c r="DI254" s="517"/>
      <c r="DJ254" s="517"/>
      <c r="DK254" s="517"/>
      <c r="DL254" s="517"/>
      <c r="DM254" s="517"/>
      <c r="DN254" s="517"/>
      <c r="DO254" s="517"/>
      <c r="DP254" s="517"/>
      <c r="DQ254" s="517"/>
      <c r="DR254" s="517"/>
      <c r="DS254" s="517"/>
      <c r="DT254" s="517"/>
      <c r="DU254" s="517"/>
      <c r="DV254" s="517"/>
      <c r="DW254" s="517"/>
      <c r="DX254" s="517"/>
      <c r="DY254" s="517"/>
      <c r="DZ254" s="517"/>
      <c r="EA254" s="517"/>
      <c r="EB254" s="517"/>
      <c r="EC254" s="517"/>
      <c r="ED254" s="517"/>
      <c r="EE254" s="517"/>
      <c r="EF254" s="517"/>
      <c r="EG254" s="517"/>
      <c r="EH254" s="517"/>
      <c r="EI254" s="517"/>
      <c r="EJ254" s="517"/>
      <c r="EK254" s="517"/>
      <c r="EL254" s="517"/>
      <c r="EM254" s="517"/>
      <c r="EN254" s="517"/>
      <c r="EO254" s="517"/>
      <c r="EP254" s="517"/>
      <c r="EQ254" s="517"/>
      <c r="ER254" s="517"/>
      <c r="ES254" s="627" t="s">
        <v>1140</v>
      </c>
    </row>
    <row r="255">
      <c r="A255" s="517"/>
      <c r="B255" s="517"/>
      <c r="C255" s="517"/>
      <c r="D255" s="517"/>
      <c r="E255" s="517"/>
      <c r="F255" s="517"/>
      <c r="G255" s="517"/>
      <c r="H255" s="517"/>
      <c r="I255" s="517"/>
      <c r="J255" s="517"/>
      <c r="K255" s="517"/>
      <c r="L255" s="517"/>
      <c r="M255" s="517"/>
      <c r="N255" s="517"/>
      <c r="O255" s="517"/>
      <c r="P255" s="517"/>
      <c r="Q255" s="517"/>
      <c r="R255" s="517"/>
      <c r="S255" s="517"/>
      <c r="T255" s="517"/>
      <c r="U255" s="517"/>
      <c r="V255" s="517"/>
      <c r="W255" s="517"/>
      <c r="X255" s="517"/>
      <c r="Y255" s="517"/>
      <c r="Z255" s="517"/>
      <c r="AA255" s="517"/>
      <c r="AB255" s="517"/>
      <c r="AC255" s="517"/>
      <c r="AD255" s="517"/>
      <c r="AE255" s="517"/>
      <c r="AF255" s="517"/>
      <c r="AG255" s="517"/>
      <c r="AH255" s="517"/>
      <c r="AI255" s="517"/>
      <c r="AJ255" s="517"/>
      <c r="AK255" s="517"/>
      <c r="AL255" s="517"/>
      <c r="AM255" s="517"/>
      <c r="AN255" s="517"/>
      <c r="AO255" s="517"/>
      <c r="AP255" s="517"/>
      <c r="AQ255" s="517"/>
      <c r="AR255" s="517"/>
      <c r="AS255" s="517"/>
      <c r="AT255" s="517"/>
      <c r="AU255" s="517"/>
      <c r="AV255" s="517"/>
      <c r="AW255" s="517"/>
      <c r="AX255" s="517"/>
      <c r="AY255" s="517"/>
      <c r="AZ255" s="517"/>
      <c r="BA255" s="517"/>
      <c r="BB255" s="517"/>
      <c r="BC255" s="517"/>
      <c r="BD255" s="517"/>
      <c r="BE255" s="517"/>
      <c r="BF255" s="517"/>
      <c r="BG255" s="517"/>
      <c r="BH255" s="517"/>
      <c r="BI255" s="517"/>
      <c r="BJ255" s="517"/>
      <c r="BK255" s="517"/>
      <c r="BL255" s="517"/>
      <c r="BM255" s="517"/>
      <c r="BN255" s="517"/>
      <c r="BO255" s="517"/>
      <c r="BP255" s="517"/>
      <c r="BQ255" s="517"/>
      <c r="BR255" s="517"/>
      <c r="BS255" s="517"/>
      <c r="BT255" s="517"/>
      <c r="BU255" s="517"/>
      <c r="BV255" s="517"/>
      <c r="BW255" s="517"/>
      <c r="BX255" s="517"/>
      <c r="BY255" s="517"/>
      <c r="BZ255" s="517"/>
      <c r="CA255" s="517"/>
      <c r="CB255" s="517"/>
      <c r="CC255" s="517"/>
      <c r="CD255" s="517"/>
      <c r="CE255" s="517"/>
      <c r="CF255" s="517"/>
      <c r="CG255" s="517"/>
      <c r="CH255" s="517"/>
      <c r="CI255" s="517"/>
      <c r="CJ255" s="517"/>
      <c r="CK255" s="517"/>
      <c r="CL255" s="517"/>
      <c r="CM255" s="517"/>
      <c r="CN255" s="517"/>
      <c r="CO255" s="517"/>
      <c r="CP255" s="517"/>
      <c r="CQ255" s="517"/>
      <c r="CR255" s="517"/>
      <c r="CS255" s="517"/>
      <c r="CT255" s="517"/>
      <c r="CU255" s="517"/>
      <c r="CV255" s="517"/>
      <c r="CW255" s="517"/>
      <c r="CX255" s="517"/>
      <c r="CY255" s="517"/>
      <c r="CZ255" s="517"/>
      <c r="DA255" s="517"/>
      <c r="DB255" s="517"/>
      <c r="DC255" s="517"/>
      <c r="DD255" s="517"/>
      <c r="DE255" s="517"/>
      <c r="DF255" s="517"/>
      <c r="DG255" s="517"/>
      <c r="DH255" s="517"/>
      <c r="DI255" s="517"/>
      <c r="DJ255" s="517"/>
      <c r="DK255" s="517"/>
      <c r="DL255" s="517"/>
      <c r="DM255" s="517"/>
      <c r="DN255" s="517"/>
      <c r="DO255" s="517"/>
      <c r="DP255" s="517"/>
      <c r="DQ255" s="517"/>
      <c r="DR255" s="517"/>
      <c r="DS255" s="517"/>
      <c r="DT255" s="517"/>
      <c r="DU255" s="517"/>
      <c r="DV255" s="517"/>
      <c r="DW255" s="517"/>
      <c r="DX255" s="517"/>
      <c r="DY255" s="517"/>
      <c r="DZ255" s="517"/>
      <c r="EA255" s="517"/>
      <c r="EB255" s="517"/>
      <c r="EC255" s="517"/>
      <c r="ED255" s="517"/>
      <c r="EE255" s="517"/>
      <c r="EF255" s="517"/>
      <c r="EG255" s="517"/>
      <c r="EH255" s="517"/>
      <c r="EI255" s="517"/>
      <c r="EJ255" s="517"/>
      <c r="EK255" s="517"/>
      <c r="EL255" s="517"/>
      <c r="EM255" s="517"/>
      <c r="EN255" s="517"/>
      <c r="EO255" s="517"/>
      <c r="EP255" s="517"/>
      <c r="EQ255" s="517"/>
      <c r="ER255" s="517"/>
      <c r="ES255" s="627" t="s">
        <v>1140</v>
      </c>
    </row>
    <row r="256">
      <c r="A256" s="517"/>
      <c r="B256" s="517"/>
      <c r="C256" s="517"/>
      <c r="D256" s="517"/>
      <c r="E256" s="517"/>
      <c r="F256" s="517"/>
      <c r="G256" s="517"/>
      <c r="H256" s="517"/>
      <c r="I256" s="517"/>
      <c r="J256" s="517"/>
      <c r="K256" s="517"/>
      <c r="L256" s="517"/>
      <c r="M256" s="517"/>
      <c r="N256" s="517"/>
      <c r="O256" s="517"/>
      <c r="P256" s="517"/>
      <c r="Q256" s="517"/>
      <c r="R256" s="517"/>
      <c r="S256" s="517"/>
      <c r="T256" s="517"/>
      <c r="U256" s="517"/>
      <c r="V256" s="517"/>
      <c r="W256" s="517"/>
      <c r="X256" s="517"/>
      <c r="Y256" s="517"/>
      <c r="Z256" s="517"/>
      <c r="AA256" s="517"/>
      <c r="AB256" s="517"/>
      <c r="AC256" s="517"/>
      <c r="AD256" s="517"/>
      <c r="AE256" s="517"/>
      <c r="AF256" s="517"/>
      <c r="AG256" s="517"/>
      <c r="AH256" s="517"/>
      <c r="AI256" s="517"/>
      <c r="AJ256" s="517"/>
      <c r="AK256" s="517"/>
      <c r="AL256" s="517"/>
      <c r="AM256" s="517"/>
      <c r="AN256" s="517"/>
      <c r="AO256" s="517"/>
      <c r="AP256" s="517"/>
      <c r="AQ256" s="517"/>
      <c r="AR256" s="517"/>
      <c r="AS256" s="517"/>
      <c r="AT256" s="517"/>
      <c r="AU256" s="517"/>
      <c r="AV256" s="517"/>
      <c r="AW256" s="517"/>
      <c r="AX256" s="517"/>
      <c r="AY256" s="517"/>
      <c r="AZ256" s="517"/>
      <c r="BA256" s="517"/>
      <c r="BB256" s="517"/>
      <c r="BC256" s="517"/>
      <c r="BD256" s="517"/>
      <c r="BE256" s="517"/>
      <c r="BF256" s="517"/>
      <c r="BG256" s="517"/>
      <c r="BH256" s="517"/>
      <c r="BI256" s="517"/>
      <c r="BJ256" s="517"/>
      <c r="BK256" s="517"/>
      <c r="BL256" s="517"/>
      <c r="BM256" s="517"/>
      <c r="BN256" s="517"/>
      <c r="BO256" s="517"/>
      <c r="BP256" s="517"/>
      <c r="BQ256" s="517"/>
      <c r="BR256" s="517"/>
      <c r="BS256" s="517"/>
      <c r="BT256" s="517"/>
      <c r="BU256" s="517"/>
      <c r="BV256" s="517"/>
      <c r="BW256" s="517"/>
      <c r="BX256" s="517"/>
      <c r="BY256" s="517"/>
      <c r="BZ256" s="517"/>
      <c r="CA256" s="517"/>
      <c r="CB256" s="517"/>
      <c r="CC256" s="517"/>
      <c r="CD256" s="517"/>
      <c r="CE256" s="517"/>
      <c r="CF256" s="517"/>
      <c r="CG256" s="517"/>
      <c r="CH256" s="517"/>
      <c r="CI256" s="517"/>
      <c r="CJ256" s="517"/>
      <c r="CK256" s="517"/>
      <c r="CL256" s="517"/>
      <c r="CM256" s="517"/>
      <c r="CN256" s="517"/>
      <c r="CO256" s="517"/>
      <c r="CP256" s="517"/>
      <c r="CQ256" s="517"/>
      <c r="CR256" s="517"/>
      <c r="CS256" s="517"/>
      <c r="CT256" s="517"/>
      <c r="CU256" s="517"/>
      <c r="CV256" s="517"/>
      <c r="CW256" s="517"/>
      <c r="CX256" s="517"/>
      <c r="CY256" s="517"/>
      <c r="CZ256" s="517"/>
      <c r="DA256" s="517"/>
      <c r="DB256" s="517"/>
      <c r="DC256" s="517"/>
      <c r="DD256" s="517"/>
      <c r="DE256" s="517"/>
      <c r="DF256" s="517"/>
      <c r="DG256" s="517"/>
      <c r="DH256" s="517"/>
      <c r="DI256" s="517"/>
      <c r="DJ256" s="517"/>
      <c r="DK256" s="517"/>
      <c r="DL256" s="517"/>
      <c r="DM256" s="517"/>
      <c r="DN256" s="517"/>
      <c r="DO256" s="517"/>
      <c r="DP256" s="517"/>
      <c r="DQ256" s="517"/>
      <c r="DR256" s="517"/>
      <c r="DS256" s="517"/>
      <c r="DT256" s="517"/>
      <c r="DU256" s="517"/>
      <c r="DV256" s="517"/>
      <c r="DW256" s="517"/>
      <c r="DX256" s="517"/>
      <c r="DY256" s="517"/>
      <c r="DZ256" s="517"/>
      <c r="EA256" s="517"/>
      <c r="EB256" s="517"/>
      <c r="EC256" s="517"/>
      <c r="ED256" s="517"/>
      <c r="EE256" s="517"/>
      <c r="EF256" s="517"/>
      <c r="EG256" s="517"/>
      <c r="EH256" s="517"/>
      <c r="EI256" s="517"/>
      <c r="EJ256" s="517"/>
      <c r="EK256" s="517"/>
      <c r="EL256" s="517"/>
      <c r="EM256" s="517"/>
      <c r="EN256" s="517"/>
      <c r="EO256" s="517"/>
      <c r="EP256" s="517"/>
      <c r="EQ256" s="517"/>
      <c r="ER256" s="517"/>
      <c r="ES256" s="627" t="s">
        <v>1140</v>
      </c>
    </row>
    <row r="257">
      <c r="A257" s="517"/>
      <c r="B257" s="517"/>
      <c r="C257" s="517"/>
      <c r="D257" s="517"/>
      <c r="E257" s="517"/>
      <c r="F257" s="517"/>
      <c r="G257" s="517"/>
      <c r="H257" s="517"/>
      <c r="I257" s="517"/>
      <c r="J257" s="517"/>
      <c r="K257" s="517"/>
      <c r="L257" s="517"/>
      <c r="M257" s="517"/>
      <c r="N257" s="517"/>
      <c r="O257" s="517"/>
      <c r="P257" s="517"/>
      <c r="Q257" s="517"/>
      <c r="R257" s="517"/>
      <c r="S257" s="517"/>
      <c r="T257" s="517"/>
      <c r="U257" s="517"/>
      <c r="V257" s="517"/>
      <c r="W257" s="517"/>
      <c r="X257" s="517"/>
      <c r="Y257" s="517"/>
      <c r="Z257" s="517"/>
      <c r="AA257" s="517"/>
      <c r="AB257" s="517"/>
      <c r="AC257" s="517"/>
      <c r="AD257" s="517"/>
      <c r="AE257" s="517"/>
      <c r="AF257" s="517"/>
      <c r="AG257" s="517"/>
      <c r="AH257" s="517"/>
      <c r="AI257" s="517"/>
      <c r="AJ257" s="517"/>
      <c r="AK257" s="517"/>
      <c r="AL257" s="517"/>
      <c r="AM257" s="517"/>
      <c r="AN257" s="517"/>
      <c r="AO257" s="517"/>
      <c r="AP257" s="517"/>
      <c r="AQ257" s="517"/>
      <c r="AR257" s="517"/>
      <c r="AS257" s="517"/>
      <c r="AT257" s="517"/>
      <c r="AU257" s="517"/>
      <c r="AV257" s="517"/>
      <c r="AW257" s="517"/>
      <c r="AX257" s="517"/>
      <c r="AY257" s="517"/>
      <c r="AZ257" s="517"/>
      <c r="BA257" s="517"/>
      <c r="BB257" s="517"/>
      <c r="BC257" s="517"/>
      <c r="BD257" s="517"/>
      <c r="BE257" s="517"/>
      <c r="BF257" s="517"/>
      <c r="BG257" s="517"/>
      <c r="BH257" s="517"/>
      <c r="BI257" s="517"/>
      <c r="BJ257" s="517"/>
      <c r="BK257" s="517"/>
      <c r="BL257" s="517"/>
      <c r="BM257" s="517"/>
      <c r="BN257" s="517"/>
      <c r="BO257" s="517"/>
      <c r="BP257" s="517"/>
      <c r="BQ257" s="517"/>
      <c r="BR257" s="517"/>
      <c r="BS257" s="517"/>
      <c r="BT257" s="517"/>
      <c r="BU257" s="517"/>
      <c r="BV257" s="517"/>
      <c r="BW257" s="517"/>
      <c r="BX257" s="517"/>
      <c r="BY257" s="517"/>
      <c r="BZ257" s="517"/>
      <c r="CA257" s="517"/>
      <c r="CB257" s="517"/>
      <c r="CC257" s="517"/>
      <c r="CD257" s="517"/>
      <c r="CE257" s="517"/>
      <c r="CF257" s="517"/>
      <c r="CG257" s="517"/>
      <c r="CH257" s="517"/>
      <c r="CI257" s="517"/>
      <c r="CJ257" s="517"/>
      <c r="CK257" s="517"/>
      <c r="CL257" s="517"/>
      <c r="CM257" s="517"/>
      <c r="CN257" s="517"/>
      <c r="CO257" s="517"/>
      <c r="CP257" s="517"/>
      <c r="CQ257" s="517"/>
      <c r="CR257" s="517"/>
      <c r="CS257" s="517"/>
      <c r="CT257" s="517"/>
      <c r="CU257" s="517"/>
      <c r="CV257" s="517"/>
      <c r="CW257" s="517"/>
      <c r="CX257" s="517"/>
      <c r="CY257" s="517"/>
      <c r="CZ257" s="517"/>
      <c r="DA257" s="517"/>
      <c r="DB257" s="517"/>
      <c r="DC257" s="517"/>
      <c r="DD257" s="517"/>
      <c r="DE257" s="517"/>
      <c r="DF257" s="517"/>
      <c r="DG257" s="517"/>
      <c r="DH257" s="517"/>
      <c r="DI257" s="517"/>
      <c r="DJ257" s="517"/>
      <c r="DK257" s="517"/>
      <c r="DL257" s="517"/>
      <c r="DM257" s="517"/>
      <c r="DN257" s="517"/>
      <c r="DO257" s="517"/>
      <c r="DP257" s="517"/>
      <c r="DQ257" s="517"/>
      <c r="DR257" s="517"/>
      <c r="DS257" s="517"/>
      <c r="DT257" s="517"/>
      <c r="DU257" s="517"/>
      <c r="DV257" s="517"/>
      <c r="DW257" s="517"/>
      <c r="DX257" s="517"/>
      <c r="DY257" s="517"/>
      <c r="DZ257" s="517"/>
      <c r="EA257" s="517"/>
      <c r="EB257" s="517"/>
      <c r="EC257" s="517"/>
      <c r="ED257" s="517"/>
      <c r="EE257" s="517"/>
      <c r="EF257" s="517"/>
      <c r="EG257" s="517"/>
      <c r="EH257" s="517"/>
      <c r="EI257" s="517"/>
      <c r="EJ257" s="517"/>
      <c r="EK257" s="517"/>
      <c r="EL257" s="517"/>
      <c r="EM257" s="517"/>
      <c r="EN257" s="517"/>
      <c r="EO257" s="517"/>
      <c r="EP257" s="517"/>
      <c r="EQ257" s="517"/>
      <c r="ER257" s="517"/>
      <c r="ES257" s="627" t="s">
        <v>1140</v>
      </c>
    </row>
    <row r="258">
      <c r="A258" s="517"/>
      <c r="B258" s="517"/>
      <c r="C258" s="517"/>
      <c r="D258" s="517"/>
      <c r="E258" s="517"/>
      <c r="F258" s="517"/>
      <c r="G258" s="517"/>
      <c r="H258" s="517"/>
      <c r="I258" s="517"/>
      <c r="J258" s="517"/>
      <c r="K258" s="517"/>
      <c r="L258" s="517"/>
      <c r="M258" s="517"/>
      <c r="N258" s="517"/>
      <c r="O258" s="517"/>
      <c r="P258" s="517"/>
      <c r="Q258" s="517"/>
      <c r="R258" s="517"/>
      <c r="S258" s="517"/>
      <c r="T258" s="517"/>
      <c r="U258" s="517"/>
      <c r="V258" s="517"/>
      <c r="W258" s="517"/>
      <c r="X258" s="517"/>
      <c r="Y258" s="517"/>
      <c r="Z258" s="517"/>
      <c r="AA258" s="517"/>
      <c r="AB258" s="517"/>
      <c r="AC258" s="517"/>
      <c r="AD258" s="517"/>
      <c r="AE258" s="517"/>
      <c r="AF258" s="517"/>
      <c r="AG258" s="517"/>
      <c r="AH258" s="517"/>
      <c r="AI258" s="517"/>
      <c r="AJ258" s="517"/>
      <c r="AK258" s="517"/>
      <c r="AL258" s="517"/>
      <c r="AM258" s="517"/>
      <c r="AN258" s="517"/>
      <c r="AO258" s="517"/>
      <c r="AP258" s="517"/>
      <c r="AQ258" s="517"/>
      <c r="AR258" s="517"/>
      <c r="AS258" s="517"/>
      <c r="AT258" s="517"/>
      <c r="AU258" s="517"/>
      <c r="AV258" s="517"/>
      <c r="AW258" s="517"/>
      <c r="AX258" s="517"/>
      <c r="AY258" s="517"/>
      <c r="AZ258" s="517"/>
      <c r="BA258" s="517"/>
      <c r="BB258" s="517"/>
      <c r="BC258" s="517"/>
      <c r="BD258" s="517"/>
      <c r="BE258" s="517"/>
      <c r="BF258" s="517"/>
      <c r="BG258" s="517"/>
      <c r="BH258" s="517"/>
      <c r="BI258" s="517"/>
      <c r="BJ258" s="517"/>
      <c r="BK258" s="517"/>
      <c r="BL258" s="517"/>
      <c r="BM258" s="517"/>
      <c r="BN258" s="517"/>
      <c r="BO258" s="517"/>
      <c r="BP258" s="517"/>
      <c r="BQ258" s="517"/>
      <c r="BR258" s="517"/>
      <c r="BS258" s="517"/>
      <c r="BT258" s="517"/>
      <c r="BU258" s="517"/>
      <c r="BV258" s="517"/>
      <c r="BW258" s="517"/>
      <c r="BX258" s="517"/>
      <c r="BY258" s="517"/>
      <c r="BZ258" s="517"/>
      <c r="CA258" s="517"/>
      <c r="CB258" s="517"/>
      <c r="CC258" s="517"/>
      <c r="CD258" s="517"/>
      <c r="CE258" s="517"/>
      <c r="CF258" s="517"/>
      <c r="CG258" s="517"/>
      <c r="CH258" s="517"/>
      <c r="CI258" s="517"/>
      <c r="CJ258" s="517"/>
      <c r="CK258" s="517"/>
      <c r="CL258" s="517"/>
      <c r="CM258" s="517"/>
      <c r="CN258" s="517"/>
      <c r="CO258" s="517"/>
      <c r="CP258" s="517"/>
      <c r="CQ258" s="517"/>
      <c r="CR258" s="517"/>
      <c r="CS258" s="517"/>
      <c r="CT258" s="517"/>
      <c r="CU258" s="517"/>
      <c r="CV258" s="517"/>
      <c r="CW258" s="517"/>
      <c r="CX258" s="517"/>
      <c r="CY258" s="517"/>
      <c r="CZ258" s="517"/>
      <c r="DA258" s="517"/>
      <c r="DB258" s="517"/>
      <c r="DC258" s="517"/>
      <c r="DD258" s="517"/>
      <c r="DE258" s="517"/>
      <c r="DF258" s="517"/>
      <c r="DG258" s="517"/>
      <c r="DH258" s="517"/>
      <c r="DI258" s="517"/>
      <c r="DJ258" s="517"/>
      <c r="DK258" s="517"/>
      <c r="DL258" s="517"/>
      <c r="DM258" s="517"/>
      <c r="DN258" s="517"/>
      <c r="DO258" s="517"/>
      <c r="DP258" s="517"/>
      <c r="DQ258" s="517"/>
      <c r="DR258" s="517"/>
      <c r="DS258" s="517"/>
      <c r="DT258" s="517"/>
      <c r="DU258" s="517"/>
      <c r="DV258" s="517"/>
      <c r="DW258" s="517"/>
      <c r="DX258" s="517"/>
      <c r="DY258" s="517"/>
      <c r="DZ258" s="517"/>
      <c r="EA258" s="517"/>
      <c r="EB258" s="517"/>
      <c r="EC258" s="517"/>
      <c r="ED258" s="517"/>
      <c r="EE258" s="517"/>
      <c r="EF258" s="517"/>
      <c r="EG258" s="517"/>
      <c r="EH258" s="517"/>
      <c r="EI258" s="517"/>
      <c r="EJ258" s="517"/>
      <c r="EK258" s="517"/>
      <c r="EL258" s="517"/>
      <c r="EM258" s="517"/>
      <c r="EN258" s="517"/>
      <c r="EO258" s="517"/>
      <c r="EP258" s="517"/>
      <c r="EQ258" s="517"/>
      <c r="ER258" s="517"/>
      <c r="ES258" s="627" t="s">
        <v>1140</v>
      </c>
    </row>
    <row r="259">
      <c r="A259" s="517"/>
      <c r="B259" s="517"/>
      <c r="C259" s="517"/>
      <c r="D259" s="517"/>
      <c r="E259" s="517"/>
      <c r="F259" s="517"/>
      <c r="G259" s="517"/>
      <c r="H259" s="517"/>
      <c r="I259" s="517"/>
      <c r="J259" s="517"/>
      <c r="K259" s="517"/>
      <c r="L259" s="517"/>
      <c r="M259" s="517"/>
      <c r="N259" s="517"/>
      <c r="O259" s="517"/>
      <c r="P259" s="517"/>
      <c r="Q259" s="517"/>
      <c r="R259" s="517"/>
      <c r="S259" s="517"/>
      <c r="T259" s="517"/>
      <c r="U259" s="517"/>
      <c r="V259" s="517"/>
      <c r="W259" s="517"/>
      <c r="X259" s="517"/>
      <c r="Y259" s="517"/>
      <c r="Z259" s="517"/>
      <c r="AA259" s="517"/>
      <c r="AB259" s="517"/>
      <c r="AC259" s="517"/>
      <c r="AD259" s="517"/>
      <c r="AE259" s="517"/>
      <c r="AF259" s="517"/>
      <c r="AG259" s="517"/>
      <c r="AH259" s="517"/>
      <c r="AI259" s="517"/>
      <c r="AJ259" s="517"/>
      <c r="AK259" s="517"/>
      <c r="AL259" s="517"/>
      <c r="AM259" s="517"/>
      <c r="AN259" s="517"/>
      <c r="AO259" s="517"/>
      <c r="AP259" s="517"/>
      <c r="AQ259" s="517"/>
      <c r="AR259" s="517"/>
      <c r="AS259" s="517"/>
      <c r="AT259" s="517"/>
      <c r="AU259" s="517"/>
      <c r="AV259" s="517"/>
      <c r="AW259" s="517"/>
      <c r="AX259" s="517"/>
      <c r="AY259" s="517"/>
      <c r="AZ259" s="517"/>
      <c r="BA259" s="517"/>
      <c r="BB259" s="517"/>
      <c r="BC259" s="517"/>
      <c r="BD259" s="517"/>
      <c r="BE259" s="517"/>
      <c r="BF259" s="517"/>
      <c r="BG259" s="517"/>
      <c r="BH259" s="517"/>
      <c r="BI259" s="517"/>
      <c r="BJ259" s="517"/>
      <c r="BK259" s="517"/>
      <c r="BL259" s="517"/>
      <c r="BM259" s="517"/>
      <c r="BN259" s="517"/>
      <c r="BO259" s="517"/>
      <c r="BP259" s="517"/>
      <c r="BQ259" s="517"/>
      <c r="BR259" s="517"/>
      <c r="BS259" s="517"/>
      <c r="BT259" s="517"/>
      <c r="BU259" s="517"/>
      <c r="BV259" s="517"/>
      <c r="BW259" s="517"/>
      <c r="BX259" s="517"/>
      <c r="BY259" s="517"/>
      <c r="BZ259" s="517"/>
      <c r="CA259" s="517"/>
      <c r="CB259" s="517"/>
      <c r="CC259" s="517"/>
      <c r="CD259" s="517"/>
      <c r="CE259" s="517"/>
      <c r="CF259" s="517"/>
      <c r="CG259" s="517"/>
      <c r="CH259" s="517"/>
      <c r="CI259" s="517"/>
      <c r="CJ259" s="517"/>
      <c r="CK259" s="517"/>
      <c r="CL259" s="517"/>
      <c r="CM259" s="517"/>
      <c r="CN259" s="517"/>
      <c r="CO259" s="517"/>
      <c r="CP259" s="517"/>
      <c r="CQ259" s="517"/>
      <c r="CR259" s="517"/>
      <c r="CS259" s="517"/>
      <c r="CT259" s="517"/>
      <c r="CU259" s="517"/>
      <c r="CV259" s="517"/>
      <c r="CW259" s="517"/>
      <c r="CX259" s="517"/>
      <c r="CY259" s="517"/>
      <c r="CZ259" s="517"/>
      <c r="DA259" s="517"/>
      <c r="DB259" s="517"/>
      <c r="DC259" s="517"/>
      <c r="DD259" s="517"/>
      <c r="DE259" s="517"/>
      <c r="DF259" s="517"/>
      <c r="DG259" s="517"/>
      <c r="DH259" s="517"/>
      <c r="DI259" s="517"/>
      <c r="DJ259" s="517"/>
      <c r="DK259" s="517"/>
      <c r="DL259" s="517"/>
      <c r="DM259" s="517"/>
      <c r="DN259" s="517"/>
      <c r="DO259" s="517"/>
      <c r="DP259" s="517"/>
      <c r="DQ259" s="517"/>
      <c r="DR259" s="517"/>
      <c r="DS259" s="517"/>
      <c r="DT259" s="517"/>
      <c r="DU259" s="517"/>
      <c r="DV259" s="517"/>
      <c r="DW259" s="517"/>
      <c r="DX259" s="517"/>
      <c r="DY259" s="517"/>
      <c r="DZ259" s="517"/>
      <c r="EA259" s="517"/>
      <c r="EB259" s="517"/>
      <c r="EC259" s="517"/>
      <c r="ED259" s="517"/>
      <c r="EE259" s="517"/>
      <c r="EF259" s="517"/>
      <c r="EG259" s="517"/>
      <c r="EH259" s="517"/>
      <c r="EI259" s="517"/>
      <c r="EJ259" s="517"/>
      <c r="EK259" s="517"/>
      <c r="EL259" s="517"/>
      <c r="EM259" s="517"/>
      <c r="EN259" s="517"/>
      <c r="EO259" s="517"/>
      <c r="EP259" s="517"/>
      <c r="EQ259" s="517"/>
      <c r="ER259" s="517"/>
      <c r="ES259" s="627" t="s">
        <v>1140</v>
      </c>
    </row>
    <row r="260">
      <c r="A260" s="517"/>
      <c r="B260" s="517"/>
      <c r="C260" s="517"/>
      <c r="D260" s="517"/>
      <c r="E260" s="517"/>
      <c r="F260" s="517"/>
      <c r="G260" s="517"/>
      <c r="H260" s="517"/>
      <c r="I260" s="517"/>
      <c r="J260" s="517"/>
      <c r="K260" s="517"/>
      <c r="L260" s="517"/>
      <c r="M260" s="517"/>
      <c r="N260" s="517"/>
      <c r="O260" s="517"/>
      <c r="P260" s="517"/>
      <c r="Q260" s="517"/>
      <c r="R260" s="517"/>
      <c r="S260" s="517"/>
      <c r="T260" s="517"/>
      <c r="U260" s="517"/>
      <c r="V260" s="517"/>
      <c r="W260" s="517"/>
      <c r="X260" s="517"/>
      <c r="Y260" s="517"/>
      <c r="Z260" s="517"/>
      <c r="AA260" s="517"/>
      <c r="AB260" s="517"/>
      <c r="AC260" s="517"/>
      <c r="AD260" s="517"/>
      <c r="AE260" s="517"/>
      <c r="AF260" s="517"/>
      <c r="AG260" s="517"/>
      <c r="AH260" s="517"/>
      <c r="AI260" s="517"/>
      <c r="AJ260" s="517"/>
      <c r="AK260" s="517"/>
      <c r="AL260" s="517"/>
      <c r="AM260" s="517"/>
      <c r="AN260" s="517"/>
      <c r="AO260" s="517"/>
      <c r="AP260" s="517"/>
      <c r="AQ260" s="517"/>
      <c r="AR260" s="517"/>
      <c r="AS260" s="517"/>
      <c r="AT260" s="517"/>
      <c r="AU260" s="517"/>
      <c r="AV260" s="517"/>
      <c r="AW260" s="517"/>
      <c r="AX260" s="517"/>
      <c r="AY260" s="517"/>
      <c r="AZ260" s="517"/>
      <c r="BA260" s="517"/>
      <c r="BB260" s="517"/>
      <c r="BC260" s="517"/>
      <c r="BD260" s="517"/>
      <c r="BE260" s="517"/>
      <c r="BF260" s="517"/>
      <c r="BG260" s="517"/>
      <c r="BH260" s="517"/>
      <c r="BI260" s="517"/>
      <c r="BJ260" s="517"/>
      <c r="BK260" s="517"/>
      <c r="BL260" s="517"/>
      <c r="BM260" s="517"/>
      <c r="BN260" s="517"/>
      <c r="BO260" s="517"/>
      <c r="BP260" s="517"/>
      <c r="BQ260" s="517"/>
      <c r="BR260" s="517"/>
      <c r="BS260" s="517"/>
      <c r="BT260" s="517"/>
      <c r="BU260" s="517"/>
      <c r="BV260" s="517"/>
      <c r="BW260" s="517"/>
      <c r="BX260" s="517"/>
      <c r="BY260" s="517"/>
      <c r="BZ260" s="517"/>
      <c r="CA260" s="517"/>
      <c r="CB260" s="517"/>
      <c r="CC260" s="517"/>
      <c r="CD260" s="517"/>
      <c r="CE260" s="517"/>
      <c r="CF260" s="517"/>
      <c r="CG260" s="517"/>
      <c r="CH260" s="517"/>
      <c r="CI260" s="517"/>
      <c r="CJ260" s="517"/>
      <c r="CK260" s="517"/>
      <c r="CL260" s="517"/>
      <c r="CM260" s="517"/>
      <c r="CN260" s="517"/>
      <c r="CO260" s="517"/>
      <c r="CP260" s="517"/>
      <c r="CQ260" s="517"/>
      <c r="CR260" s="517"/>
      <c r="CS260" s="517"/>
      <c r="CT260" s="517"/>
      <c r="CU260" s="517"/>
      <c r="CV260" s="517"/>
      <c r="CW260" s="517"/>
      <c r="CX260" s="517"/>
      <c r="CY260" s="517"/>
      <c r="CZ260" s="517"/>
      <c r="DA260" s="517"/>
      <c r="DB260" s="517"/>
      <c r="DC260" s="517"/>
      <c r="DD260" s="517"/>
      <c r="DE260" s="517"/>
      <c r="DF260" s="517"/>
      <c r="DG260" s="517"/>
      <c r="DH260" s="517"/>
      <c r="DI260" s="517"/>
      <c r="DJ260" s="517"/>
      <c r="DK260" s="517"/>
      <c r="DL260" s="517"/>
      <c r="DM260" s="517"/>
      <c r="DN260" s="517"/>
      <c r="DO260" s="517"/>
      <c r="DP260" s="517"/>
      <c r="DQ260" s="517"/>
      <c r="DR260" s="517"/>
      <c r="DS260" s="517"/>
      <c r="DT260" s="517"/>
      <c r="DU260" s="517"/>
      <c r="DV260" s="517"/>
      <c r="DW260" s="517"/>
      <c r="DX260" s="517"/>
      <c r="DY260" s="517"/>
      <c r="DZ260" s="517"/>
      <c r="EA260" s="517"/>
      <c r="EB260" s="517"/>
      <c r="EC260" s="517"/>
      <c r="ED260" s="517"/>
      <c r="EE260" s="517"/>
      <c r="EF260" s="517"/>
      <c r="EG260" s="517"/>
      <c r="EH260" s="517"/>
      <c r="EI260" s="517"/>
      <c r="EJ260" s="517"/>
      <c r="EK260" s="517"/>
      <c r="EL260" s="517"/>
      <c r="EM260" s="517"/>
      <c r="EN260" s="517"/>
      <c r="EO260" s="517"/>
      <c r="EP260" s="517"/>
      <c r="EQ260" s="517"/>
      <c r="ER260" s="517"/>
      <c r="ES260" s="627" t="s">
        <v>1140</v>
      </c>
    </row>
    <row r="261">
      <c r="A261" s="517"/>
      <c r="B261" s="517"/>
      <c r="C261" s="517"/>
      <c r="D261" s="517"/>
      <c r="E261" s="517"/>
      <c r="F261" s="517"/>
      <c r="G261" s="517"/>
      <c r="H261" s="517"/>
      <c r="I261" s="517"/>
      <c r="J261" s="517"/>
      <c r="K261" s="517"/>
      <c r="L261" s="517"/>
      <c r="M261" s="517"/>
      <c r="N261" s="517"/>
      <c r="O261" s="517"/>
      <c r="P261" s="517"/>
      <c r="Q261" s="517"/>
      <c r="R261" s="517"/>
      <c r="S261" s="517"/>
      <c r="T261" s="517"/>
      <c r="U261" s="517"/>
      <c r="V261" s="517"/>
      <c r="W261" s="517"/>
      <c r="X261" s="517"/>
      <c r="Y261" s="517"/>
      <c r="Z261" s="517"/>
      <c r="AA261" s="517"/>
      <c r="AB261" s="517"/>
      <c r="AC261" s="517"/>
      <c r="AD261" s="517"/>
      <c r="AE261" s="517"/>
      <c r="AF261" s="517"/>
      <c r="AG261" s="517"/>
      <c r="AH261" s="517"/>
      <c r="AI261" s="517"/>
      <c r="AJ261" s="517"/>
      <c r="AK261" s="517"/>
      <c r="AL261" s="517"/>
      <c r="AM261" s="517"/>
      <c r="AN261" s="517"/>
      <c r="AO261" s="517"/>
      <c r="AP261" s="517"/>
      <c r="AQ261" s="517"/>
      <c r="AR261" s="517"/>
      <c r="AS261" s="517"/>
      <c r="AT261" s="517"/>
      <c r="AU261" s="517"/>
      <c r="AV261" s="517"/>
      <c r="AW261" s="517"/>
      <c r="AX261" s="517"/>
      <c r="AY261" s="517"/>
      <c r="AZ261" s="517"/>
      <c r="BA261" s="517"/>
      <c r="BB261" s="517"/>
      <c r="BC261" s="517"/>
      <c r="BD261" s="517"/>
      <c r="BE261" s="517"/>
      <c r="BF261" s="517"/>
      <c r="BG261" s="517"/>
      <c r="BH261" s="517"/>
      <c r="BI261" s="517"/>
      <c r="BJ261" s="517"/>
      <c r="BK261" s="517"/>
      <c r="BL261" s="517"/>
      <c r="BM261" s="517"/>
      <c r="BN261" s="517"/>
      <c r="BO261" s="517"/>
      <c r="BP261" s="517"/>
      <c r="BQ261" s="517"/>
      <c r="BR261" s="517"/>
      <c r="BS261" s="517"/>
      <c r="BT261" s="517"/>
      <c r="BU261" s="517"/>
      <c r="BV261" s="517"/>
      <c r="BW261" s="517"/>
      <c r="BX261" s="517"/>
      <c r="BY261" s="517"/>
      <c r="BZ261" s="517"/>
      <c r="CA261" s="517"/>
      <c r="CB261" s="517"/>
      <c r="CC261" s="517"/>
      <c r="CD261" s="517"/>
      <c r="CE261" s="517"/>
      <c r="CF261" s="517"/>
      <c r="CG261" s="517"/>
      <c r="CH261" s="517"/>
      <c r="CI261" s="517"/>
      <c r="CJ261" s="517"/>
      <c r="CK261" s="517"/>
      <c r="CL261" s="517"/>
      <c r="CM261" s="517"/>
      <c r="CN261" s="517"/>
      <c r="CO261" s="517"/>
      <c r="CP261" s="517"/>
      <c r="CQ261" s="517"/>
      <c r="CR261" s="517"/>
      <c r="CS261" s="517"/>
      <c r="CT261" s="517"/>
      <c r="CU261" s="517"/>
      <c r="CV261" s="517"/>
      <c r="CW261" s="517"/>
      <c r="CX261" s="517"/>
      <c r="CY261" s="517"/>
      <c r="CZ261" s="517"/>
      <c r="DA261" s="517"/>
      <c r="DB261" s="517"/>
      <c r="DC261" s="517"/>
      <c r="DD261" s="517"/>
      <c r="DE261" s="517"/>
      <c r="DF261" s="517"/>
      <c r="DG261" s="517"/>
      <c r="DH261" s="517"/>
      <c r="DI261" s="517"/>
      <c r="DJ261" s="517"/>
      <c r="DK261" s="517"/>
      <c r="DL261" s="517"/>
      <c r="DM261" s="517"/>
      <c r="DN261" s="517"/>
      <c r="DO261" s="517"/>
      <c r="DP261" s="517"/>
      <c r="DQ261" s="517"/>
      <c r="DR261" s="517"/>
      <c r="DS261" s="517"/>
      <c r="DT261" s="517"/>
      <c r="DU261" s="517"/>
      <c r="DV261" s="517"/>
      <c r="DW261" s="517"/>
      <c r="DX261" s="517"/>
      <c r="DY261" s="517"/>
      <c r="DZ261" s="517"/>
      <c r="EA261" s="517"/>
      <c r="EB261" s="517"/>
      <c r="EC261" s="517"/>
      <c r="ED261" s="517"/>
      <c r="EE261" s="517"/>
      <c r="EF261" s="517"/>
      <c r="EG261" s="517"/>
      <c r="EH261" s="517"/>
      <c r="EI261" s="517"/>
      <c r="EJ261" s="517"/>
      <c r="EK261" s="517"/>
      <c r="EL261" s="517"/>
      <c r="EM261" s="517"/>
      <c r="EN261" s="517"/>
      <c r="EO261" s="517"/>
      <c r="EP261" s="517"/>
      <c r="EQ261" s="517"/>
      <c r="ER261" s="517"/>
      <c r="ES261" s="627" t="s">
        <v>1140</v>
      </c>
    </row>
    <row r="262">
      <c r="A262" s="517"/>
      <c r="B262" s="517"/>
      <c r="C262" s="517"/>
      <c r="D262" s="517"/>
      <c r="E262" s="517"/>
      <c r="F262" s="517"/>
      <c r="G262" s="517"/>
      <c r="H262" s="517"/>
      <c r="I262" s="517"/>
      <c r="J262" s="517"/>
      <c r="K262" s="517"/>
      <c r="L262" s="517"/>
      <c r="M262" s="517"/>
      <c r="N262" s="517"/>
      <c r="O262" s="517"/>
      <c r="P262" s="517"/>
      <c r="Q262" s="517"/>
      <c r="R262" s="517"/>
      <c r="S262" s="517"/>
      <c r="T262" s="517"/>
      <c r="U262" s="517"/>
      <c r="V262" s="517"/>
      <c r="W262" s="517"/>
      <c r="X262" s="517"/>
      <c r="Y262" s="517"/>
      <c r="Z262" s="517"/>
      <c r="AA262" s="517"/>
      <c r="AB262" s="517"/>
      <c r="AC262" s="517"/>
      <c r="AD262" s="517"/>
      <c r="AE262" s="517"/>
      <c r="AF262" s="517"/>
      <c r="AG262" s="517"/>
      <c r="AH262" s="517"/>
      <c r="AI262" s="517"/>
      <c r="AJ262" s="517"/>
      <c r="AK262" s="517"/>
      <c r="AL262" s="517"/>
      <c r="AM262" s="517"/>
      <c r="AN262" s="517"/>
      <c r="AO262" s="517"/>
      <c r="AP262" s="517"/>
      <c r="AQ262" s="517"/>
      <c r="AR262" s="517"/>
      <c r="AS262" s="517"/>
      <c r="AT262" s="517"/>
      <c r="AU262" s="517"/>
      <c r="AV262" s="517"/>
      <c r="AW262" s="517"/>
      <c r="AX262" s="517"/>
      <c r="AY262" s="517"/>
      <c r="AZ262" s="517"/>
      <c r="BA262" s="517"/>
      <c r="BB262" s="517"/>
      <c r="BC262" s="517"/>
      <c r="BD262" s="517"/>
      <c r="BE262" s="517"/>
      <c r="BF262" s="517"/>
      <c r="BG262" s="517"/>
      <c r="BH262" s="517"/>
      <c r="BI262" s="517"/>
      <c r="BJ262" s="517"/>
      <c r="BK262" s="517"/>
      <c r="BL262" s="517"/>
      <c r="BM262" s="517"/>
      <c r="BN262" s="517"/>
      <c r="BO262" s="517"/>
      <c r="BP262" s="517"/>
      <c r="BQ262" s="517"/>
      <c r="BR262" s="517"/>
      <c r="BS262" s="517"/>
      <c r="BT262" s="517"/>
      <c r="BU262" s="517"/>
      <c r="BV262" s="517"/>
      <c r="BW262" s="517"/>
      <c r="BX262" s="517"/>
      <c r="BY262" s="517"/>
      <c r="BZ262" s="517"/>
      <c r="CA262" s="517"/>
      <c r="CB262" s="517"/>
      <c r="CC262" s="517"/>
      <c r="CD262" s="517"/>
      <c r="CE262" s="517"/>
      <c r="CF262" s="517"/>
      <c r="CG262" s="517"/>
      <c r="CH262" s="517"/>
      <c r="CI262" s="517"/>
      <c r="CJ262" s="517"/>
      <c r="CK262" s="517"/>
      <c r="CL262" s="517"/>
      <c r="CM262" s="517"/>
      <c r="CN262" s="517"/>
      <c r="CO262" s="517"/>
      <c r="CP262" s="517"/>
      <c r="CQ262" s="517"/>
      <c r="CR262" s="517"/>
      <c r="CS262" s="517"/>
      <c r="CT262" s="517"/>
      <c r="CU262" s="517"/>
      <c r="CV262" s="517"/>
      <c r="CW262" s="517"/>
      <c r="CX262" s="517"/>
      <c r="CY262" s="517"/>
      <c r="CZ262" s="517"/>
      <c r="DA262" s="517"/>
      <c r="DB262" s="517"/>
      <c r="DC262" s="517"/>
      <c r="DD262" s="517"/>
      <c r="DE262" s="517"/>
      <c r="DF262" s="517"/>
      <c r="DG262" s="517"/>
      <c r="DH262" s="517"/>
      <c r="DI262" s="517"/>
      <c r="DJ262" s="517"/>
      <c r="DK262" s="517"/>
      <c r="DL262" s="517"/>
      <c r="DM262" s="517"/>
      <c r="DN262" s="517"/>
      <c r="DO262" s="517"/>
      <c r="DP262" s="517"/>
      <c r="DQ262" s="517"/>
      <c r="DR262" s="517"/>
      <c r="DS262" s="517"/>
      <c r="DT262" s="517"/>
      <c r="DU262" s="517"/>
      <c r="DV262" s="517"/>
      <c r="DW262" s="517"/>
      <c r="DX262" s="517"/>
      <c r="DY262" s="517"/>
      <c r="DZ262" s="517"/>
      <c r="EA262" s="517"/>
      <c r="EB262" s="517"/>
      <c r="EC262" s="517"/>
      <c r="ED262" s="517"/>
      <c r="EE262" s="517"/>
      <c r="EF262" s="517"/>
      <c r="EG262" s="517"/>
      <c r="EH262" s="517"/>
      <c r="EI262" s="517"/>
      <c r="EJ262" s="517"/>
      <c r="EK262" s="517"/>
      <c r="EL262" s="517"/>
      <c r="EM262" s="517"/>
      <c r="EN262" s="517"/>
      <c r="EO262" s="517"/>
      <c r="EP262" s="517"/>
      <c r="EQ262" s="517"/>
      <c r="ER262" s="517"/>
      <c r="ES262" s="627" t="s">
        <v>1140</v>
      </c>
    </row>
    <row r="263">
      <c r="A263" s="517"/>
      <c r="B263" s="517"/>
      <c r="C263" s="517"/>
      <c r="D263" s="517"/>
      <c r="E263" s="517"/>
      <c r="F263" s="517"/>
      <c r="G263" s="517"/>
      <c r="H263" s="517"/>
      <c r="I263" s="517"/>
      <c r="J263" s="517"/>
      <c r="K263" s="517"/>
      <c r="L263" s="517"/>
      <c r="M263" s="517"/>
      <c r="N263" s="517"/>
      <c r="O263" s="517"/>
      <c r="P263" s="517"/>
      <c r="Q263" s="517"/>
      <c r="R263" s="517"/>
      <c r="S263" s="517"/>
      <c r="T263" s="517"/>
      <c r="U263" s="517"/>
      <c r="V263" s="517"/>
      <c r="W263" s="517"/>
      <c r="X263" s="517"/>
      <c r="Y263" s="517"/>
      <c r="Z263" s="517"/>
      <c r="AA263" s="517"/>
      <c r="AB263" s="517"/>
      <c r="AC263" s="517"/>
      <c r="AD263" s="517"/>
      <c r="AE263" s="517"/>
      <c r="AF263" s="517"/>
      <c r="AG263" s="517"/>
      <c r="AH263" s="517"/>
      <c r="AI263" s="517"/>
      <c r="AJ263" s="517"/>
      <c r="AK263" s="517"/>
      <c r="AL263" s="517"/>
      <c r="AM263" s="517"/>
      <c r="AN263" s="517"/>
      <c r="AO263" s="517"/>
      <c r="AP263" s="517"/>
      <c r="AQ263" s="517"/>
      <c r="AR263" s="517"/>
      <c r="AS263" s="517"/>
      <c r="AT263" s="517"/>
      <c r="AU263" s="517"/>
      <c r="AV263" s="517"/>
      <c r="AW263" s="517"/>
      <c r="AX263" s="517"/>
      <c r="AY263" s="517"/>
      <c r="AZ263" s="517"/>
      <c r="BA263" s="517"/>
      <c r="BB263" s="517"/>
      <c r="BC263" s="517"/>
      <c r="BD263" s="517"/>
      <c r="BE263" s="517"/>
      <c r="BF263" s="517"/>
      <c r="BG263" s="517"/>
      <c r="BH263" s="517"/>
      <c r="BI263" s="517"/>
      <c r="BJ263" s="517"/>
      <c r="BK263" s="517"/>
      <c r="BL263" s="517"/>
      <c r="BM263" s="517"/>
      <c r="BN263" s="517"/>
      <c r="BO263" s="517"/>
      <c r="BP263" s="517"/>
      <c r="BQ263" s="517"/>
      <c r="BR263" s="517"/>
      <c r="BS263" s="517"/>
      <c r="BT263" s="517"/>
      <c r="BU263" s="517"/>
      <c r="BV263" s="517"/>
      <c r="BW263" s="517"/>
      <c r="BX263" s="517"/>
      <c r="BY263" s="517"/>
      <c r="BZ263" s="517"/>
      <c r="CA263" s="517"/>
      <c r="CB263" s="517"/>
      <c r="CC263" s="517"/>
      <c r="CD263" s="517"/>
      <c r="CE263" s="517"/>
      <c r="CF263" s="517"/>
      <c r="CG263" s="517"/>
      <c r="CH263" s="517"/>
      <c r="CI263" s="517"/>
      <c r="CJ263" s="517"/>
      <c r="CK263" s="517"/>
      <c r="CL263" s="517"/>
      <c r="CM263" s="517"/>
      <c r="CN263" s="517"/>
      <c r="CO263" s="517"/>
      <c r="CP263" s="517"/>
      <c r="CQ263" s="517"/>
      <c r="CR263" s="517"/>
      <c r="CS263" s="517"/>
      <c r="CT263" s="517"/>
      <c r="CU263" s="517"/>
      <c r="CV263" s="517"/>
      <c r="CW263" s="517"/>
      <c r="CX263" s="517"/>
      <c r="CY263" s="517"/>
      <c r="CZ263" s="517"/>
      <c r="DA263" s="517"/>
      <c r="DB263" s="517"/>
      <c r="DC263" s="517"/>
      <c r="DD263" s="517"/>
      <c r="DE263" s="517"/>
      <c r="DF263" s="517"/>
      <c r="DG263" s="517"/>
      <c r="DH263" s="517"/>
      <c r="DI263" s="517"/>
      <c r="DJ263" s="517"/>
      <c r="DK263" s="517"/>
      <c r="DL263" s="517"/>
      <c r="DM263" s="517"/>
      <c r="DN263" s="517"/>
      <c r="DO263" s="517"/>
      <c r="DP263" s="517"/>
      <c r="DQ263" s="517"/>
      <c r="DR263" s="517"/>
      <c r="DS263" s="517"/>
      <c r="DT263" s="517"/>
      <c r="DU263" s="517"/>
      <c r="DV263" s="517"/>
      <c r="DW263" s="517"/>
      <c r="DX263" s="517"/>
      <c r="DY263" s="517"/>
      <c r="DZ263" s="517"/>
      <c r="EA263" s="517"/>
      <c r="EB263" s="517"/>
      <c r="EC263" s="517"/>
      <c r="ED263" s="517"/>
      <c r="EE263" s="517"/>
      <c r="EF263" s="517"/>
      <c r="EG263" s="517"/>
      <c r="EH263" s="517"/>
      <c r="EI263" s="517"/>
      <c r="EJ263" s="517"/>
      <c r="EK263" s="517"/>
      <c r="EL263" s="517"/>
      <c r="EM263" s="517"/>
      <c r="EN263" s="517"/>
      <c r="EO263" s="517"/>
      <c r="EP263" s="517"/>
      <c r="EQ263" s="517"/>
      <c r="ER263" s="517"/>
      <c r="ES263" s="627" t="s">
        <v>1140</v>
      </c>
    </row>
    <row r="264">
      <c r="A264" s="517"/>
      <c r="B264" s="517"/>
      <c r="C264" s="517"/>
      <c r="D264" s="517"/>
      <c r="E264" s="517"/>
      <c r="F264" s="517"/>
      <c r="G264" s="517"/>
      <c r="H264" s="517"/>
      <c r="I264" s="517"/>
      <c r="J264" s="517"/>
      <c r="K264" s="517"/>
      <c r="L264" s="517"/>
      <c r="M264" s="517"/>
      <c r="N264" s="517"/>
      <c r="O264" s="517"/>
      <c r="P264" s="517"/>
      <c r="Q264" s="517"/>
      <c r="R264" s="517"/>
      <c r="S264" s="517"/>
      <c r="T264" s="517"/>
      <c r="U264" s="517"/>
      <c r="V264" s="517"/>
      <c r="W264" s="517"/>
      <c r="X264" s="517"/>
      <c r="Y264" s="517"/>
      <c r="Z264" s="517"/>
      <c r="AA264" s="517"/>
      <c r="AB264" s="517"/>
      <c r="AC264" s="517"/>
      <c r="AD264" s="517"/>
      <c r="AE264" s="517"/>
      <c r="AF264" s="517"/>
      <c r="AG264" s="517"/>
      <c r="AH264" s="517"/>
      <c r="AI264" s="517"/>
      <c r="AJ264" s="517"/>
      <c r="AK264" s="517"/>
      <c r="AL264" s="517"/>
      <c r="AM264" s="517"/>
      <c r="AN264" s="517"/>
      <c r="AO264" s="517"/>
      <c r="AP264" s="517"/>
      <c r="AQ264" s="517"/>
      <c r="AR264" s="517"/>
      <c r="AS264" s="517"/>
      <c r="AT264" s="517"/>
      <c r="AU264" s="517"/>
      <c r="AV264" s="517"/>
      <c r="AW264" s="517"/>
      <c r="AX264" s="517"/>
      <c r="AY264" s="517"/>
      <c r="AZ264" s="517"/>
      <c r="BA264" s="517"/>
      <c r="BB264" s="517"/>
      <c r="BC264" s="517"/>
      <c r="BD264" s="517"/>
      <c r="BE264" s="517"/>
      <c r="BF264" s="517"/>
      <c r="BG264" s="517"/>
      <c r="BH264" s="517"/>
      <c r="BI264" s="517"/>
      <c r="BJ264" s="517"/>
      <c r="BK264" s="517"/>
      <c r="BL264" s="517"/>
      <c r="BM264" s="517"/>
      <c r="BN264" s="517"/>
      <c r="BO264" s="517"/>
      <c r="BP264" s="517"/>
      <c r="BQ264" s="517"/>
      <c r="BR264" s="517"/>
      <c r="BS264" s="517"/>
      <c r="BT264" s="517"/>
      <c r="BU264" s="517"/>
      <c r="BV264" s="517"/>
      <c r="BW264" s="517"/>
      <c r="BX264" s="517"/>
      <c r="BY264" s="517"/>
      <c r="BZ264" s="517"/>
      <c r="CA264" s="517"/>
      <c r="CB264" s="517"/>
      <c r="CC264" s="517"/>
      <c r="CD264" s="517"/>
      <c r="CE264" s="517"/>
      <c r="CF264" s="517"/>
      <c r="CG264" s="517"/>
      <c r="CH264" s="517"/>
      <c r="CI264" s="517"/>
      <c r="CJ264" s="517"/>
      <c r="CK264" s="517"/>
      <c r="CL264" s="517"/>
      <c r="CM264" s="517"/>
      <c r="CN264" s="517"/>
      <c r="CO264" s="517"/>
      <c r="CP264" s="517"/>
      <c r="CQ264" s="517"/>
      <c r="CR264" s="517"/>
      <c r="CS264" s="517"/>
      <c r="CT264" s="517"/>
      <c r="CU264" s="517"/>
      <c r="CV264" s="517"/>
      <c r="CW264" s="517"/>
      <c r="CX264" s="517"/>
      <c r="CY264" s="517"/>
      <c r="CZ264" s="517"/>
      <c r="DA264" s="517"/>
      <c r="DB264" s="517"/>
      <c r="DC264" s="517"/>
      <c r="DD264" s="517"/>
      <c r="DE264" s="517"/>
      <c r="DF264" s="517"/>
      <c r="DG264" s="517"/>
      <c r="DH264" s="517"/>
      <c r="DI264" s="517"/>
      <c r="DJ264" s="517"/>
      <c r="DK264" s="517"/>
      <c r="DL264" s="517"/>
      <c r="DM264" s="517"/>
      <c r="DN264" s="517"/>
      <c r="DO264" s="517"/>
      <c r="DP264" s="517"/>
      <c r="DQ264" s="517"/>
      <c r="DR264" s="517"/>
      <c r="DS264" s="517"/>
      <c r="DT264" s="517"/>
      <c r="DU264" s="517"/>
      <c r="DV264" s="517"/>
      <c r="DW264" s="517"/>
      <c r="DX264" s="517"/>
      <c r="DY264" s="517"/>
      <c r="DZ264" s="517"/>
      <c r="EA264" s="517"/>
      <c r="EB264" s="517"/>
      <c r="EC264" s="517"/>
      <c r="ED264" s="517"/>
      <c r="EE264" s="517"/>
      <c r="EF264" s="517"/>
      <c r="EG264" s="517"/>
      <c r="EH264" s="517"/>
      <c r="EI264" s="517"/>
      <c r="EJ264" s="517"/>
      <c r="EK264" s="517"/>
      <c r="EL264" s="517"/>
      <c r="EM264" s="517"/>
      <c r="EN264" s="517"/>
      <c r="EO264" s="517"/>
      <c r="EP264" s="517"/>
      <c r="EQ264" s="517"/>
      <c r="ER264" s="517"/>
      <c r="ES264" s="627" t="s">
        <v>1140</v>
      </c>
    </row>
    <row r="265">
      <c r="A265" s="517"/>
      <c r="B265" s="517"/>
      <c r="C265" s="517"/>
      <c r="D265" s="517"/>
      <c r="E265" s="517"/>
      <c r="F265" s="517"/>
      <c r="G265" s="517"/>
      <c r="H265" s="517"/>
      <c r="I265" s="517"/>
      <c r="J265" s="517"/>
      <c r="K265" s="517"/>
      <c r="L265" s="517"/>
      <c r="M265" s="517"/>
      <c r="N265" s="517"/>
      <c r="O265" s="517"/>
      <c r="P265" s="517"/>
      <c r="Q265" s="517"/>
      <c r="R265" s="517"/>
      <c r="S265" s="517"/>
      <c r="T265" s="517"/>
      <c r="U265" s="517"/>
      <c r="V265" s="517"/>
      <c r="W265" s="517"/>
      <c r="X265" s="517"/>
      <c r="Y265" s="517"/>
      <c r="Z265" s="517"/>
      <c r="AA265" s="517"/>
      <c r="AB265" s="517"/>
      <c r="AC265" s="517"/>
      <c r="AD265" s="517"/>
      <c r="AE265" s="517"/>
      <c r="AF265" s="517"/>
      <c r="AG265" s="517"/>
      <c r="AH265" s="517"/>
      <c r="AI265" s="517"/>
      <c r="AJ265" s="517"/>
      <c r="AK265" s="517"/>
      <c r="AL265" s="517"/>
      <c r="AM265" s="517"/>
      <c r="AN265" s="517"/>
      <c r="AO265" s="517"/>
      <c r="AP265" s="517"/>
      <c r="AQ265" s="517"/>
      <c r="AR265" s="517"/>
      <c r="AS265" s="517"/>
      <c r="AT265" s="517"/>
      <c r="AU265" s="517"/>
      <c r="AV265" s="517"/>
      <c r="AW265" s="517"/>
      <c r="AX265" s="517"/>
      <c r="AY265" s="517"/>
      <c r="AZ265" s="517"/>
      <c r="BA265" s="517"/>
      <c r="BB265" s="517"/>
      <c r="BC265" s="517"/>
      <c r="BD265" s="517"/>
      <c r="BE265" s="517"/>
      <c r="BF265" s="517"/>
      <c r="BG265" s="517"/>
      <c r="BH265" s="517"/>
      <c r="BI265" s="517"/>
      <c r="BJ265" s="517"/>
      <c r="BK265" s="517"/>
      <c r="BL265" s="517"/>
      <c r="BM265" s="517"/>
      <c r="BN265" s="517"/>
      <c r="BO265" s="517"/>
      <c r="BP265" s="517"/>
      <c r="BQ265" s="517"/>
      <c r="BR265" s="517"/>
      <c r="BS265" s="517"/>
      <c r="BT265" s="517"/>
      <c r="BU265" s="517"/>
      <c r="BV265" s="517"/>
      <c r="BW265" s="517"/>
      <c r="BX265" s="517"/>
      <c r="BY265" s="517"/>
      <c r="BZ265" s="517"/>
      <c r="CA265" s="517"/>
      <c r="CB265" s="517"/>
      <c r="CC265" s="517"/>
      <c r="CD265" s="517"/>
      <c r="CE265" s="517"/>
      <c r="CF265" s="517"/>
      <c r="CG265" s="517"/>
      <c r="CH265" s="517"/>
      <c r="CI265" s="517"/>
      <c r="CJ265" s="517"/>
      <c r="CK265" s="517"/>
      <c r="CL265" s="517"/>
      <c r="CM265" s="517"/>
      <c r="CN265" s="517"/>
      <c r="CO265" s="517"/>
      <c r="CP265" s="517"/>
      <c r="CQ265" s="517"/>
      <c r="CR265" s="517"/>
      <c r="CS265" s="517"/>
      <c r="CT265" s="517"/>
      <c r="CU265" s="517"/>
      <c r="CV265" s="517"/>
      <c r="CW265" s="517"/>
      <c r="CX265" s="517"/>
      <c r="CY265" s="517"/>
      <c r="CZ265" s="517"/>
      <c r="DA265" s="517"/>
      <c r="DB265" s="517"/>
      <c r="DC265" s="517"/>
      <c r="DD265" s="517"/>
      <c r="DE265" s="517"/>
      <c r="DF265" s="517"/>
      <c r="DG265" s="517"/>
      <c r="DH265" s="517"/>
      <c r="DI265" s="517"/>
      <c r="DJ265" s="517"/>
      <c r="DK265" s="517"/>
      <c r="DL265" s="517"/>
      <c r="DM265" s="517"/>
      <c r="DN265" s="517"/>
      <c r="DO265" s="517"/>
      <c r="DP265" s="517"/>
      <c r="DQ265" s="517"/>
      <c r="DR265" s="517"/>
      <c r="DS265" s="517"/>
      <c r="DT265" s="517"/>
      <c r="DU265" s="517"/>
      <c r="DV265" s="517"/>
      <c r="DW265" s="517"/>
      <c r="DX265" s="517"/>
      <c r="DY265" s="517"/>
      <c r="DZ265" s="517"/>
      <c r="EA265" s="517"/>
      <c r="EB265" s="517"/>
      <c r="EC265" s="517"/>
      <c r="ED265" s="517"/>
      <c r="EE265" s="517"/>
      <c r="EF265" s="517"/>
      <c r="EG265" s="517"/>
      <c r="EH265" s="517"/>
      <c r="EI265" s="517"/>
      <c r="EJ265" s="517"/>
      <c r="EK265" s="517"/>
      <c r="EL265" s="517"/>
      <c r="EM265" s="517"/>
      <c r="EN265" s="517"/>
      <c r="EO265" s="517"/>
      <c r="EP265" s="517"/>
      <c r="EQ265" s="517"/>
      <c r="ER265" s="517"/>
      <c r="ES265" s="627" t="s">
        <v>1140</v>
      </c>
    </row>
    <row r="266">
      <c r="A266" s="517"/>
      <c r="B266" s="517"/>
      <c r="C266" s="517"/>
      <c r="D266" s="517"/>
      <c r="E266" s="517"/>
      <c r="F266" s="517"/>
      <c r="G266" s="517"/>
      <c r="H266" s="517"/>
      <c r="I266" s="517"/>
      <c r="J266" s="517"/>
      <c r="K266" s="517"/>
      <c r="L266" s="517"/>
      <c r="M266" s="517"/>
      <c r="N266" s="517"/>
      <c r="O266" s="517"/>
      <c r="P266" s="517"/>
      <c r="Q266" s="517"/>
      <c r="R266" s="517"/>
      <c r="S266" s="517"/>
      <c r="T266" s="517"/>
      <c r="U266" s="517"/>
      <c r="V266" s="517"/>
      <c r="W266" s="517"/>
      <c r="X266" s="517"/>
      <c r="Y266" s="517"/>
      <c r="Z266" s="517"/>
      <c r="AA266" s="517"/>
      <c r="AB266" s="517"/>
      <c r="AC266" s="517"/>
      <c r="AD266" s="517"/>
      <c r="AE266" s="517"/>
      <c r="AF266" s="517"/>
      <c r="AG266" s="517"/>
      <c r="AH266" s="517"/>
      <c r="AI266" s="517"/>
      <c r="AJ266" s="517"/>
      <c r="AK266" s="517"/>
      <c r="AL266" s="517"/>
      <c r="AM266" s="517"/>
      <c r="AN266" s="517"/>
      <c r="AO266" s="517"/>
      <c r="AP266" s="517"/>
      <c r="AQ266" s="517"/>
      <c r="AR266" s="517"/>
      <c r="AS266" s="517"/>
      <c r="AT266" s="517"/>
      <c r="AU266" s="517"/>
      <c r="AV266" s="517"/>
      <c r="AW266" s="517"/>
      <c r="AX266" s="517"/>
      <c r="AY266" s="517"/>
      <c r="AZ266" s="517"/>
      <c r="BA266" s="517"/>
      <c r="BB266" s="517"/>
      <c r="BC266" s="517"/>
      <c r="BD266" s="517"/>
      <c r="BE266" s="517"/>
      <c r="BF266" s="517"/>
      <c r="BG266" s="517"/>
      <c r="BH266" s="517"/>
      <c r="BI266" s="517"/>
      <c r="BJ266" s="517"/>
      <c r="BK266" s="517"/>
      <c r="BL266" s="517"/>
      <c r="BM266" s="517"/>
      <c r="BN266" s="517"/>
      <c r="BO266" s="517"/>
      <c r="BP266" s="517"/>
      <c r="BQ266" s="517"/>
      <c r="BR266" s="517"/>
      <c r="BS266" s="517"/>
      <c r="BT266" s="517"/>
      <c r="BU266" s="517"/>
      <c r="BV266" s="517"/>
      <c r="BW266" s="517"/>
      <c r="BX266" s="517"/>
      <c r="BY266" s="517"/>
      <c r="BZ266" s="517"/>
      <c r="CA266" s="517"/>
      <c r="CB266" s="517"/>
      <c r="CC266" s="517"/>
      <c r="CD266" s="517"/>
      <c r="CE266" s="517"/>
      <c r="CF266" s="517"/>
      <c r="CG266" s="517"/>
      <c r="CH266" s="517"/>
      <c r="CI266" s="517"/>
      <c r="CJ266" s="517"/>
      <c r="CK266" s="517"/>
      <c r="CL266" s="517"/>
      <c r="CM266" s="517"/>
      <c r="CN266" s="517"/>
      <c r="CO266" s="517"/>
      <c r="CP266" s="517"/>
      <c r="CQ266" s="517"/>
      <c r="CR266" s="517"/>
      <c r="CS266" s="517"/>
      <c r="CT266" s="517"/>
      <c r="CU266" s="517"/>
      <c r="CV266" s="517"/>
      <c r="CW266" s="517"/>
      <c r="CX266" s="517"/>
      <c r="CY266" s="517"/>
      <c r="CZ266" s="517"/>
      <c r="DA266" s="517"/>
      <c r="DB266" s="517"/>
      <c r="DC266" s="517"/>
      <c r="DD266" s="517"/>
      <c r="DE266" s="517"/>
      <c r="DF266" s="517"/>
      <c r="DG266" s="517"/>
      <c r="DH266" s="517"/>
      <c r="DI266" s="517"/>
      <c r="DJ266" s="517"/>
      <c r="DK266" s="517"/>
      <c r="DL266" s="517"/>
      <c r="DM266" s="517"/>
      <c r="DN266" s="517"/>
      <c r="DO266" s="517"/>
      <c r="DP266" s="517"/>
      <c r="DQ266" s="517"/>
      <c r="DR266" s="517"/>
      <c r="DS266" s="517"/>
      <c r="DT266" s="517"/>
      <c r="DU266" s="517"/>
      <c r="DV266" s="517"/>
      <c r="DW266" s="517"/>
      <c r="DX266" s="517"/>
      <c r="DY266" s="517"/>
      <c r="DZ266" s="517"/>
      <c r="EA266" s="517"/>
      <c r="EB266" s="517"/>
      <c r="EC266" s="517"/>
      <c r="ED266" s="517"/>
      <c r="EE266" s="517"/>
      <c r="EF266" s="517"/>
      <c r="EG266" s="517"/>
      <c r="EH266" s="517"/>
      <c r="EI266" s="517"/>
      <c r="EJ266" s="517"/>
      <c r="EK266" s="517"/>
      <c r="EL266" s="517"/>
      <c r="EM266" s="517"/>
      <c r="EN266" s="517"/>
      <c r="EO266" s="517"/>
      <c r="EP266" s="517"/>
      <c r="EQ266" s="517"/>
      <c r="ER266" s="517"/>
      <c r="ES266" s="627" t="s">
        <v>1140</v>
      </c>
    </row>
    <row r="267">
      <c r="A267" s="517"/>
      <c r="B267" s="517"/>
      <c r="C267" s="517"/>
      <c r="D267" s="517"/>
      <c r="E267" s="517"/>
      <c r="F267" s="517"/>
      <c r="G267" s="517"/>
      <c r="H267" s="517"/>
      <c r="I267" s="517"/>
      <c r="J267" s="517"/>
      <c r="K267" s="517"/>
      <c r="L267" s="517"/>
      <c r="M267" s="517"/>
      <c r="N267" s="517"/>
      <c r="O267" s="517"/>
      <c r="P267" s="517"/>
      <c r="Q267" s="517"/>
      <c r="R267" s="517"/>
      <c r="S267" s="517"/>
      <c r="T267" s="517"/>
      <c r="U267" s="517"/>
      <c r="V267" s="517"/>
      <c r="W267" s="517"/>
      <c r="X267" s="517"/>
      <c r="Y267" s="517"/>
      <c r="Z267" s="517"/>
      <c r="AA267" s="517"/>
      <c r="AB267" s="517"/>
      <c r="AC267" s="517"/>
      <c r="AD267" s="517"/>
      <c r="AE267" s="517"/>
      <c r="AF267" s="517"/>
      <c r="AG267" s="517"/>
      <c r="AH267" s="517"/>
      <c r="AI267" s="517"/>
      <c r="AJ267" s="517"/>
      <c r="AK267" s="517"/>
      <c r="AL267" s="517"/>
      <c r="AM267" s="517"/>
      <c r="AN267" s="517"/>
      <c r="AO267" s="517"/>
      <c r="AP267" s="517"/>
      <c r="AQ267" s="517"/>
      <c r="AR267" s="517"/>
      <c r="AS267" s="517"/>
      <c r="AT267" s="517"/>
      <c r="AU267" s="517"/>
      <c r="AV267" s="517"/>
      <c r="AW267" s="517"/>
      <c r="AX267" s="517"/>
      <c r="AY267" s="517"/>
      <c r="AZ267" s="517"/>
      <c r="BA267" s="517"/>
      <c r="BB267" s="517"/>
      <c r="BC267" s="517"/>
      <c r="BD267" s="517"/>
      <c r="BE267" s="517"/>
      <c r="BF267" s="517"/>
      <c r="BG267" s="517"/>
      <c r="BH267" s="517"/>
      <c r="BI267" s="517"/>
      <c r="BJ267" s="517"/>
      <c r="BK267" s="517"/>
      <c r="BL267" s="517"/>
      <c r="BM267" s="517"/>
      <c r="BN267" s="517"/>
      <c r="BO267" s="517"/>
      <c r="BP267" s="517"/>
      <c r="BQ267" s="517"/>
      <c r="BR267" s="517"/>
      <c r="BS267" s="517"/>
      <c r="BT267" s="517"/>
      <c r="BU267" s="517"/>
      <c r="BV267" s="517"/>
      <c r="BW267" s="517"/>
      <c r="BX267" s="517"/>
      <c r="BY267" s="517"/>
      <c r="BZ267" s="517"/>
      <c r="CA267" s="517"/>
      <c r="CB267" s="517"/>
      <c r="CC267" s="517"/>
      <c r="CD267" s="517"/>
      <c r="CE267" s="517"/>
      <c r="CF267" s="517"/>
      <c r="CG267" s="517"/>
      <c r="CH267" s="517"/>
      <c r="CI267" s="517"/>
      <c r="CJ267" s="517"/>
      <c r="CK267" s="517"/>
      <c r="CL267" s="517"/>
      <c r="CM267" s="517"/>
      <c r="CN267" s="517"/>
      <c r="CO267" s="517"/>
      <c r="CP267" s="517"/>
      <c r="CQ267" s="517"/>
      <c r="CR267" s="517"/>
      <c r="CS267" s="517"/>
      <c r="CT267" s="517"/>
      <c r="CU267" s="517"/>
      <c r="CV267" s="517"/>
      <c r="CW267" s="517"/>
      <c r="CX267" s="517"/>
      <c r="CY267" s="517"/>
      <c r="CZ267" s="517"/>
      <c r="DA267" s="517"/>
      <c r="DB267" s="517"/>
      <c r="DC267" s="517"/>
      <c r="DD267" s="517"/>
      <c r="DE267" s="517"/>
      <c r="DF267" s="517"/>
      <c r="DG267" s="517"/>
      <c r="DH267" s="517"/>
      <c r="DI267" s="517"/>
      <c r="DJ267" s="517"/>
      <c r="DK267" s="517"/>
      <c r="DL267" s="517"/>
      <c r="DM267" s="517"/>
      <c r="DN267" s="517"/>
      <c r="DO267" s="517"/>
      <c r="DP267" s="517"/>
      <c r="DQ267" s="517"/>
      <c r="DR267" s="517"/>
      <c r="DS267" s="517"/>
      <c r="DT267" s="517"/>
      <c r="DU267" s="517"/>
      <c r="DV267" s="517"/>
      <c r="DW267" s="517"/>
      <c r="DX267" s="517"/>
      <c r="DY267" s="517"/>
      <c r="DZ267" s="517"/>
      <c r="EA267" s="517"/>
      <c r="EB267" s="517"/>
      <c r="EC267" s="517"/>
      <c r="ED267" s="517"/>
      <c r="EE267" s="517"/>
      <c r="EF267" s="517"/>
      <c r="EG267" s="517"/>
      <c r="EH267" s="517"/>
      <c r="EI267" s="517"/>
      <c r="EJ267" s="517"/>
      <c r="EK267" s="517"/>
      <c r="EL267" s="517"/>
      <c r="EM267" s="517"/>
      <c r="EN267" s="517"/>
      <c r="EO267" s="517"/>
      <c r="EP267" s="517"/>
      <c r="EQ267" s="517"/>
      <c r="ER267" s="517"/>
      <c r="ES267" s="627" t="s">
        <v>1140</v>
      </c>
    </row>
    <row r="268">
      <c r="A268" s="517"/>
      <c r="B268" s="517"/>
      <c r="C268" s="517"/>
      <c r="D268" s="517"/>
      <c r="E268" s="517"/>
      <c r="F268" s="517"/>
      <c r="G268" s="517"/>
      <c r="H268" s="517"/>
      <c r="I268" s="517"/>
      <c r="J268" s="517"/>
      <c r="K268" s="517"/>
      <c r="L268" s="517"/>
      <c r="M268" s="517"/>
      <c r="N268" s="517"/>
      <c r="O268" s="517"/>
      <c r="P268" s="517"/>
      <c r="Q268" s="517"/>
      <c r="R268" s="517"/>
      <c r="S268" s="517"/>
      <c r="T268" s="517"/>
      <c r="U268" s="517"/>
      <c r="V268" s="517"/>
      <c r="W268" s="517"/>
      <c r="X268" s="517"/>
      <c r="Y268" s="517"/>
      <c r="Z268" s="517"/>
      <c r="AA268" s="517"/>
      <c r="AB268" s="517"/>
      <c r="AC268" s="517"/>
      <c r="AD268" s="517"/>
      <c r="AE268" s="517"/>
      <c r="AF268" s="517"/>
      <c r="AG268" s="517"/>
      <c r="AH268" s="517"/>
      <c r="AI268" s="517"/>
      <c r="AJ268" s="517"/>
      <c r="AK268" s="517"/>
      <c r="AL268" s="517"/>
      <c r="AM268" s="517"/>
      <c r="AN268" s="517"/>
      <c r="AO268" s="517"/>
      <c r="AP268" s="517"/>
      <c r="AQ268" s="517"/>
      <c r="AR268" s="517"/>
      <c r="AS268" s="517"/>
      <c r="AT268" s="517"/>
      <c r="AU268" s="517"/>
      <c r="AV268" s="517"/>
      <c r="AW268" s="517"/>
      <c r="AX268" s="517"/>
      <c r="AY268" s="517"/>
      <c r="AZ268" s="517"/>
      <c r="BA268" s="517"/>
      <c r="BB268" s="517"/>
      <c r="BC268" s="517"/>
      <c r="BD268" s="517"/>
      <c r="BE268" s="517"/>
      <c r="BF268" s="517"/>
      <c r="BG268" s="517"/>
      <c r="BH268" s="517"/>
      <c r="BI268" s="517"/>
      <c r="BJ268" s="517"/>
      <c r="BK268" s="517"/>
      <c r="BL268" s="517"/>
      <c r="BM268" s="517"/>
      <c r="BN268" s="517"/>
      <c r="BO268" s="517"/>
      <c r="BP268" s="517"/>
      <c r="BQ268" s="517"/>
      <c r="BR268" s="517"/>
      <c r="BS268" s="517"/>
      <c r="BT268" s="517"/>
      <c r="BU268" s="517"/>
      <c r="BV268" s="517"/>
      <c r="BW268" s="517"/>
      <c r="BX268" s="517"/>
      <c r="BY268" s="517"/>
      <c r="BZ268" s="517"/>
      <c r="CA268" s="517"/>
      <c r="CB268" s="517"/>
      <c r="CC268" s="517"/>
      <c r="CD268" s="517"/>
      <c r="CE268" s="517"/>
      <c r="CF268" s="517"/>
      <c r="CG268" s="517"/>
      <c r="CH268" s="517"/>
      <c r="CI268" s="517"/>
      <c r="CJ268" s="517"/>
      <c r="CK268" s="517"/>
      <c r="CL268" s="517"/>
      <c r="CM268" s="517"/>
      <c r="CN268" s="517"/>
      <c r="CO268" s="517"/>
      <c r="CP268" s="517"/>
      <c r="CQ268" s="517"/>
      <c r="CR268" s="517"/>
      <c r="CS268" s="517"/>
      <c r="CT268" s="517"/>
      <c r="CU268" s="517"/>
      <c r="CV268" s="517"/>
      <c r="CW268" s="517"/>
      <c r="CX268" s="517"/>
      <c r="CY268" s="517"/>
      <c r="CZ268" s="517"/>
      <c r="DA268" s="517"/>
      <c r="DB268" s="517"/>
      <c r="DC268" s="517"/>
      <c r="DD268" s="517"/>
      <c r="DE268" s="517"/>
      <c r="DF268" s="517"/>
      <c r="DG268" s="517"/>
      <c r="DH268" s="517"/>
      <c r="DI268" s="517"/>
      <c r="DJ268" s="517"/>
      <c r="DK268" s="517"/>
      <c r="DL268" s="517"/>
      <c r="DM268" s="517"/>
      <c r="DN268" s="517"/>
      <c r="DO268" s="517"/>
      <c r="DP268" s="517"/>
      <c r="DQ268" s="517"/>
      <c r="DR268" s="517"/>
      <c r="DS268" s="517"/>
      <c r="DT268" s="517"/>
      <c r="DU268" s="517"/>
      <c r="DV268" s="517"/>
      <c r="DW268" s="517"/>
      <c r="DX268" s="517"/>
      <c r="DY268" s="517"/>
      <c r="DZ268" s="517"/>
      <c r="EA268" s="517"/>
      <c r="EB268" s="517"/>
      <c r="EC268" s="517"/>
      <c r="ED268" s="517"/>
      <c r="EE268" s="517"/>
      <c r="EF268" s="517"/>
      <c r="EG268" s="517"/>
      <c r="EH268" s="517"/>
      <c r="EI268" s="517"/>
      <c r="EJ268" s="517"/>
      <c r="EK268" s="517"/>
      <c r="EL268" s="517"/>
      <c r="EM268" s="517"/>
      <c r="EN268" s="517"/>
      <c r="EO268" s="517"/>
      <c r="EP268" s="517"/>
      <c r="EQ268" s="517"/>
      <c r="ER268" s="517"/>
      <c r="ES268" s="627" t="s">
        <v>1140</v>
      </c>
    </row>
    <row r="269">
      <c r="A269" s="517"/>
      <c r="B269" s="517"/>
      <c r="C269" s="517"/>
      <c r="D269" s="517"/>
      <c r="E269" s="517"/>
      <c r="F269" s="517"/>
      <c r="G269" s="517"/>
      <c r="H269" s="517"/>
      <c r="I269" s="517"/>
      <c r="J269" s="517"/>
      <c r="K269" s="517"/>
      <c r="L269" s="517"/>
      <c r="M269" s="517"/>
      <c r="N269" s="517"/>
      <c r="O269" s="517"/>
      <c r="P269" s="517"/>
      <c r="Q269" s="517"/>
      <c r="R269" s="517"/>
      <c r="S269" s="517"/>
      <c r="T269" s="517"/>
      <c r="U269" s="517"/>
      <c r="V269" s="517"/>
      <c r="W269" s="517"/>
      <c r="X269" s="517"/>
      <c r="Y269" s="517"/>
      <c r="Z269" s="517"/>
      <c r="AA269" s="517"/>
      <c r="AB269" s="517"/>
      <c r="AC269" s="517"/>
      <c r="AD269" s="517"/>
      <c r="AE269" s="517"/>
      <c r="AF269" s="517"/>
      <c r="AG269" s="517"/>
      <c r="AH269" s="517"/>
      <c r="AI269" s="517"/>
      <c r="AJ269" s="517"/>
      <c r="AK269" s="517"/>
      <c r="AL269" s="517"/>
      <c r="AM269" s="517"/>
      <c r="AN269" s="517"/>
      <c r="AO269" s="517"/>
      <c r="AP269" s="517"/>
      <c r="AQ269" s="517"/>
      <c r="AR269" s="517"/>
      <c r="AS269" s="517"/>
      <c r="AT269" s="517"/>
      <c r="AU269" s="517"/>
      <c r="AV269" s="517"/>
      <c r="AW269" s="517"/>
      <c r="AX269" s="517"/>
      <c r="AY269" s="517"/>
      <c r="AZ269" s="517"/>
      <c r="BA269" s="517"/>
      <c r="BB269" s="517"/>
      <c r="BC269" s="517"/>
      <c r="BD269" s="517"/>
      <c r="BE269" s="517"/>
      <c r="BF269" s="517"/>
      <c r="BG269" s="517"/>
      <c r="BH269" s="517"/>
      <c r="BI269" s="517"/>
      <c r="BJ269" s="517"/>
      <c r="BK269" s="517"/>
      <c r="BL269" s="517"/>
      <c r="BM269" s="517"/>
      <c r="BN269" s="517"/>
      <c r="BO269" s="517"/>
      <c r="BP269" s="517"/>
      <c r="BQ269" s="517"/>
      <c r="BR269" s="517"/>
      <c r="BS269" s="517"/>
      <c r="BT269" s="517"/>
      <c r="BU269" s="517"/>
      <c r="BV269" s="517"/>
      <c r="BW269" s="517"/>
      <c r="BX269" s="517"/>
      <c r="BY269" s="517"/>
      <c r="BZ269" s="517"/>
      <c r="CA269" s="517"/>
      <c r="CB269" s="517"/>
      <c r="CC269" s="517"/>
      <c r="CD269" s="517"/>
      <c r="CE269" s="517"/>
      <c r="CF269" s="517"/>
      <c r="CG269" s="517"/>
      <c r="CH269" s="517"/>
      <c r="CI269" s="517"/>
      <c r="CJ269" s="517"/>
      <c r="CK269" s="517"/>
      <c r="CL269" s="517"/>
      <c r="CM269" s="517"/>
      <c r="CN269" s="517"/>
      <c r="CO269" s="517"/>
      <c r="CP269" s="517"/>
      <c r="CQ269" s="517"/>
      <c r="CR269" s="517"/>
      <c r="CS269" s="517"/>
      <c r="CT269" s="517"/>
      <c r="CU269" s="517"/>
      <c r="CV269" s="517"/>
      <c r="CW269" s="517"/>
      <c r="CX269" s="517"/>
      <c r="CY269" s="517"/>
      <c r="CZ269" s="517"/>
      <c r="DA269" s="517"/>
      <c r="DB269" s="517"/>
      <c r="DC269" s="517"/>
      <c r="DD269" s="517"/>
      <c r="DE269" s="517"/>
      <c r="DF269" s="517"/>
      <c r="DG269" s="517"/>
      <c r="DH269" s="517"/>
      <c r="DI269" s="517"/>
      <c r="DJ269" s="517"/>
      <c r="DK269" s="517"/>
      <c r="DL269" s="517"/>
      <c r="DM269" s="517"/>
      <c r="DN269" s="517"/>
      <c r="DO269" s="517"/>
      <c r="DP269" s="517"/>
      <c r="DQ269" s="517"/>
      <c r="DR269" s="517"/>
      <c r="DS269" s="517"/>
      <c r="DT269" s="517"/>
      <c r="DU269" s="517"/>
      <c r="DV269" s="517"/>
      <c r="DW269" s="517"/>
      <c r="DX269" s="517"/>
      <c r="DY269" s="517"/>
      <c r="DZ269" s="517"/>
      <c r="EA269" s="517"/>
      <c r="EB269" s="517"/>
      <c r="EC269" s="517"/>
      <c r="ED269" s="517"/>
      <c r="EE269" s="517"/>
      <c r="EF269" s="517"/>
      <c r="EG269" s="517"/>
      <c r="EH269" s="517"/>
      <c r="EI269" s="517"/>
      <c r="EJ269" s="517"/>
      <c r="EK269" s="517"/>
      <c r="EL269" s="517"/>
      <c r="EM269" s="517"/>
      <c r="EN269" s="517"/>
      <c r="EO269" s="517"/>
      <c r="EP269" s="517"/>
      <c r="EQ269" s="517"/>
      <c r="ER269" s="517"/>
      <c r="ES269" s="627" t="s">
        <v>1140</v>
      </c>
    </row>
    <row r="270">
      <c r="A270" s="517"/>
      <c r="B270" s="517"/>
      <c r="C270" s="517"/>
      <c r="D270" s="517"/>
      <c r="E270" s="517"/>
      <c r="F270" s="517"/>
      <c r="G270" s="517"/>
      <c r="H270" s="517"/>
      <c r="I270" s="517"/>
      <c r="J270" s="517"/>
      <c r="K270" s="517"/>
      <c r="L270" s="517"/>
      <c r="M270" s="517"/>
      <c r="N270" s="517"/>
      <c r="O270" s="517"/>
      <c r="P270" s="517"/>
      <c r="Q270" s="517"/>
      <c r="R270" s="517"/>
      <c r="S270" s="517"/>
      <c r="T270" s="517"/>
      <c r="U270" s="517"/>
      <c r="V270" s="517"/>
      <c r="W270" s="517"/>
      <c r="X270" s="517"/>
      <c r="Y270" s="517"/>
      <c r="Z270" s="517"/>
      <c r="AA270" s="517"/>
      <c r="AB270" s="517"/>
      <c r="AC270" s="517"/>
      <c r="AD270" s="517"/>
      <c r="AE270" s="517"/>
      <c r="AF270" s="517"/>
      <c r="AG270" s="517"/>
      <c r="AH270" s="517"/>
      <c r="AI270" s="517"/>
      <c r="AJ270" s="517"/>
      <c r="AK270" s="517"/>
      <c r="AL270" s="517"/>
      <c r="AM270" s="517"/>
      <c r="AN270" s="517"/>
      <c r="AO270" s="517"/>
      <c r="AP270" s="517"/>
      <c r="AQ270" s="517"/>
      <c r="AR270" s="517"/>
      <c r="AS270" s="517"/>
      <c r="AT270" s="517"/>
      <c r="AU270" s="517"/>
      <c r="AV270" s="517"/>
      <c r="AW270" s="517"/>
      <c r="AX270" s="517"/>
      <c r="AY270" s="517"/>
      <c r="AZ270" s="517"/>
      <c r="BA270" s="517"/>
      <c r="BB270" s="517"/>
      <c r="BC270" s="517"/>
      <c r="BD270" s="517"/>
      <c r="BE270" s="517"/>
      <c r="BF270" s="517"/>
      <c r="BG270" s="517"/>
      <c r="BH270" s="517"/>
      <c r="BI270" s="517"/>
      <c r="BJ270" s="517"/>
      <c r="BK270" s="517"/>
      <c r="BL270" s="517"/>
      <c r="BM270" s="517"/>
      <c r="BN270" s="517"/>
      <c r="BO270" s="517"/>
      <c r="BP270" s="517"/>
      <c r="BQ270" s="517"/>
      <c r="BR270" s="517"/>
      <c r="BS270" s="517"/>
      <c r="BT270" s="517"/>
      <c r="BU270" s="517"/>
      <c r="BV270" s="517"/>
      <c r="BW270" s="517"/>
      <c r="BX270" s="517"/>
      <c r="BY270" s="517"/>
      <c r="BZ270" s="517"/>
      <c r="CA270" s="517"/>
      <c r="CB270" s="517"/>
      <c r="CC270" s="517"/>
      <c r="CD270" s="517"/>
      <c r="CE270" s="517"/>
      <c r="CF270" s="517"/>
      <c r="CG270" s="517"/>
      <c r="CH270" s="517"/>
      <c r="CI270" s="517"/>
      <c r="CJ270" s="517"/>
      <c r="CK270" s="517"/>
      <c r="CL270" s="517"/>
      <c r="CM270" s="517"/>
      <c r="CN270" s="517"/>
      <c r="CO270" s="517"/>
      <c r="CP270" s="517"/>
      <c r="CQ270" s="517"/>
      <c r="CR270" s="517"/>
      <c r="CS270" s="517"/>
      <c r="CT270" s="517"/>
      <c r="CU270" s="517"/>
      <c r="CV270" s="517"/>
      <c r="CW270" s="517"/>
      <c r="CX270" s="517"/>
      <c r="CY270" s="517"/>
      <c r="CZ270" s="517"/>
      <c r="DA270" s="517"/>
      <c r="DB270" s="517"/>
      <c r="DC270" s="517"/>
      <c r="DD270" s="517"/>
      <c r="DE270" s="517"/>
      <c r="DF270" s="517"/>
      <c r="DG270" s="517"/>
      <c r="DH270" s="517"/>
      <c r="DI270" s="517"/>
      <c r="DJ270" s="517"/>
      <c r="DK270" s="517"/>
      <c r="DL270" s="517"/>
      <c r="DM270" s="517"/>
      <c r="DN270" s="517"/>
      <c r="DO270" s="517"/>
      <c r="DP270" s="517"/>
      <c r="DQ270" s="517"/>
      <c r="DR270" s="517"/>
      <c r="DS270" s="517"/>
      <c r="DT270" s="517"/>
      <c r="DU270" s="517"/>
      <c r="DV270" s="517"/>
      <c r="DW270" s="517"/>
      <c r="DX270" s="517"/>
      <c r="DY270" s="517"/>
      <c r="DZ270" s="517"/>
      <c r="EA270" s="517"/>
      <c r="EB270" s="517"/>
      <c r="EC270" s="517"/>
      <c r="ED270" s="517"/>
      <c r="EE270" s="517"/>
      <c r="EF270" s="517"/>
      <c r="EG270" s="517"/>
      <c r="EH270" s="517"/>
      <c r="EI270" s="517"/>
      <c r="EJ270" s="517"/>
      <c r="EK270" s="517"/>
      <c r="EL270" s="517"/>
      <c r="EM270" s="517"/>
      <c r="EN270" s="517"/>
      <c r="EO270" s="517"/>
      <c r="EP270" s="517"/>
      <c r="EQ270" s="517"/>
      <c r="ER270" s="517"/>
      <c r="ES270" s="627" t="s">
        <v>1140</v>
      </c>
    </row>
    <row r="271">
      <c r="A271" s="517"/>
      <c r="B271" s="517"/>
      <c r="C271" s="517"/>
      <c r="D271" s="517"/>
      <c r="E271" s="517"/>
      <c r="F271" s="517"/>
      <c r="G271" s="517"/>
      <c r="H271" s="517"/>
      <c r="I271" s="517"/>
      <c r="J271" s="517"/>
      <c r="K271" s="517"/>
      <c r="L271" s="517"/>
      <c r="M271" s="517"/>
      <c r="N271" s="517"/>
      <c r="O271" s="517"/>
      <c r="P271" s="517"/>
      <c r="Q271" s="517"/>
      <c r="R271" s="517"/>
      <c r="S271" s="517"/>
      <c r="T271" s="517"/>
      <c r="U271" s="517"/>
      <c r="V271" s="517"/>
      <c r="W271" s="517"/>
      <c r="X271" s="517"/>
      <c r="Y271" s="517"/>
      <c r="Z271" s="517"/>
      <c r="AA271" s="517"/>
      <c r="AB271" s="517"/>
      <c r="AC271" s="517"/>
      <c r="AD271" s="517"/>
      <c r="AE271" s="517"/>
      <c r="AF271" s="517"/>
      <c r="AG271" s="517"/>
      <c r="AH271" s="517"/>
      <c r="AI271" s="517"/>
      <c r="AJ271" s="517"/>
      <c r="AK271" s="517"/>
      <c r="AL271" s="517"/>
      <c r="AM271" s="517"/>
      <c r="AN271" s="517"/>
      <c r="AO271" s="517"/>
      <c r="AP271" s="517"/>
      <c r="AQ271" s="517"/>
      <c r="AR271" s="517"/>
      <c r="AS271" s="517"/>
      <c r="AT271" s="517"/>
      <c r="AU271" s="517"/>
      <c r="AV271" s="517"/>
      <c r="AW271" s="517"/>
      <c r="AX271" s="517"/>
      <c r="AY271" s="517"/>
      <c r="AZ271" s="517"/>
      <c r="BA271" s="517"/>
      <c r="BB271" s="517"/>
      <c r="BC271" s="517"/>
      <c r="BD271" s="517"/>
      <c r="BE271" s="517"/>
      <c r="BF271" s="517"/>
      <c r="BG271" s="517"/>
      <c r="BH271" s="517"/>
      <c r="BI271" s="517"/>
      <c r="BJ271" s="517"/>
      <c r="BK271" s="517"/>
      <c r="BL271" s="517"/>
      <c r="BM271" s="517"/>
      <c r="BN271" s="517"/>
      <c r="BO271" s="517"/>
      <c r="BP271" s="517"/>
      <c r="BQ271" s="517"/>
      <c r="BR271" s="517"/>
      <c r="BS271" s="517"/>
      <c r="BT271" s="517"/>
      <c r="BU271" s="517"/>
      <c r="BV271" s="517"/>
      <c r="BW271" s="517"/>
      <c r="BX271" s="517"/>
      <c r="BY271" s="517"/>
      <c r="BZ271" s="517"/>
      <c r="CA271" s="517"/>
      <c r="CB271" s="517"/>
      <c r="CC271" s="517"/>
      <c r="CD271" s="517"/>
      <c r="CE271" s="517"/>
      <c r="CF271" s="517"/>
      <c r="CG271" s="517"/>
      <c r="CH271" s="517"/>
      <c r="CI271" s="517"/>
      <c r="CJ271" s="517"/>
      <c r="CK271" s="517"/>
      <c r="CL271" s="517"/>
      <c r="CM271" s="517"/>
      <c r="CN271" s="517"/>
      <c r="CO271" s="517"/>
      <c r="CP271" s="517"/>
      <c r="CQ271" s="517"/>
      <c r="CR271" s="517"/>
      <c r="CS271" s="517"/>
      <c r="CT271" s="517"/>
      <c r="CU271" s="517"/>
      <c r="CV271" s="517"/>
      <c r="CW271" s="517"/>
      <c r="CX271" s="517"/>
      <c r="CY271" s="517"/>
      <c r="CZ271" s="517"/>
      <c r="DA271" s="517"/>
      <c r="DB271" s="517"/>
      <c r="DC271" s="517"/>
      <c r="DD271" s="517"/>
      <c r="DE271" s="517"/>
      <c r="DF271" s="517"/>
      <c r="DG271" s="517"/>
      <c r="DH271" s="517"/>
      <c r="DI271" s="517"/>
      <c r="DJ271" s="517"/>
      <c r="DK271" s="517"/>
      <c r="DL271" s="517"/>
      <c r="DM271" s="517"/>
      <c r="DN271" s="517"/>
      <c r="DO271" s="517"/>
      <c r="DP271" s="517"/>
      <c r="DQ271" s="517"/>
      <c r="DR271" s="517"/>
      <c r="DS271" s="517"/>
      <c r="DT271" s="517"/>
      <c r="DU271" s="517"/>
      <c r="DV271" s="517"/>
      <c r="DW271" s="517"/>
      <c r="DX271" s="517"/>
      <c r="DY271" s="517"/>
      <c r="DZ271" s="517"/>
      <c r="EA271" s="517"/>
      <c r="EB271" s="517"/>
      <c r="EC271" s="517"/>
      <c r="ED271" s="517"/>
      <c r="EE271" s="517"/>
      <c r="EF271" s="517"/>
      <c r="EG271" s="517"/>
      <c r="EH271" s="517"/>
      <c r="EI271" s="517"/>
      <c r="EJ271" s="517"/>
      <c r="EK271" s="517"/>
      <c r="EL271" s="517"/>
      <c r="EM271" s="517"/>
      <c r="EN271" s="517"/>
      <c r="EO271" s="517"/>
      <c r="EP271" s="517"/>
      <c r="EQ271" s="517"/>
      <c r="ER271" s="517"/>
      <c r="ES271" s="627" t="s">
        <v>1140</v>
      </c>
    </row>
    <row r="272">
      <c r="A272" s="517"/>
      <c r="B272" s="517"/>
      <c r="C272" s="517"/>
      <c r="D272" s="517"/>
      <c r="E272" s="517"/>
      <c r="F272" s="517"/>
      <c r="G272" s="517"/>
      <c r="H272" s="517"/>
      <c r="I272" s="517"/>
      <c r="J272" s="517"/>
      <c r="K272" s="517"/>
      <c r="L272" s="517"/>
      <c r="M272" s="517"/>
      <c r="N272" s="517"/>
      <c r="O272" s="517"/>
      <c r="P272" s="517"/>
      <c r="Q272" s="517"/>
      <c r="R272" s="517"/>
      <c r="S272" s="517"/>
      <c r="T272" s="517"/>
      <c r="U272" s="517"/>
      <c r="V272" s="517"/>
      <c r="W272" s="517"/>
      <c r="X272" s="517"/>
      <c r="Y272" s="517"/>
      <c r="Z272" s="517"/>
      <c r="AA272" s="517"/>
      <c r="AB272" s="517"/>
      <c r="AC272" s="517"/>
      <c r="AD272" s="517"/>
      <c r="AE272" s="517"/>
      <c r="AF272" s="517"/>
      <c r="AG272" s="517"/>
      <c r="AH272" s="517"/>
      <c r="AI272" s="517"/>
      <c r="AJ272" s="517"/>
      <c r="AK272" s="517"/>
      <c r="AL272" s="517"/>
      <c r="AM272" s="517"/>
      <c r="AN272" s="517"/>
      <c r="AO272" s="517"/>
      <c r="AP272" s="517"/>
      <c r="AQ272" s="517"/>
      <c r="AR272" s="517"/>
      <c r="AS272" s="517"/>
      <c r="AT272" s="517"/>
      <c r="AU272" s="517"/>
      <c r="AV272" s="517"/>
      <c r="AW272" s="517"/>
      <c r="AX272" s="517"/>
      <c r="AY272" s="517"/>
      <c r="AZ272" s="517"/>
      <c r="BA272" s="517"/>
      <c r="BB272" s="517"/>
      <c r="BC272" s="517"/>
      <c r="BD272" s="517"/>
      <c r="BE272" s="517"/>
      <c r="BF272" s="517"/>
      <c r="BG272" s="517"/>
      <c r="BH272" s="517"/>
      <c r="BI272" s="517"/>
      <c r="BJ272" s="517"/>
      <c r="BK272" s="517"/>
      <c r="BL272" s="517"/>
      <c r="BM272" s="517"/>
      <c r="BN272" s="517"/>
      <c r="BO272" s="517"/>
      <c r="BP272" s="517"/>
      <c r="BQ272" s="517"/>
      <c r="BR272" s="517"/>
      <c r="BS272" s="517"/>
      <c r="BT272" s="517"/>
      <c r="BU272" s="517"/>
      <c r="BV272" s="517"/>
      <c r="BW272" s="517"/>
      <c r="BX272" s="517"/>
      <c r="BY272" s="517"/>
      <c r="BZ272" s="517"/>
      <c r="CA272" s="517"/>
      <c r="CB272" s="517"/>
      <c r="CC272" s="517"/>
      <c r="CD272" s="517"/>
      <c r="CE272" s="517"/>
      <c r="CF272" s="517"/>
      <c r="CG272" s="517"/>
      <c r="CH272" s="517"/>
      <c r="CI272" s="517"/>
      <c r="CJ272" s="517"/>
      <c r="CK272" s="517"/>
      <c r="CL272" s="517"/>
      <c r="CM272" s="517"/>
      <c r="CN272" s="517"/>
      <c r="CO272" s="517"/>
      <c r="CP272" s="517"/>
      <c r="CQ272" s="517"/>
      <c r="CR272" s="517"/>
      <c r="CS272" s="517"/>
      <c r="CT272" s="517"/>
      <c r="CU272" s="517"/>
      <c r="CV272" s="517"/>
      <c r="CW272" s="517"/>
      <c r="CX272" s="517"/>
      <c r="CY272" s="517"/>
      <c r="CZ272" s="517"/>
      <c r="DA272" s="517"/>
      <c r="DB272" s="517"/>
      <c r="DC272" s="517"/>
      <c r="DD272" s="517"/>
      <c r="DE272" s="517"/>
      <c r="DF272" s="517"/>
      <c r="DG272" s="517"/>
      <c r="DH272" s="517"/>
      <c r="DI272" s="517"/>
      <c r="DJ272" s="517"/>
      <c r="DK272" s="517"/>
      <c r="DL272" s="517"/>
      <c r="DM272" s="517"/>
      <c r="DN272" s="517"/>
      <c r="DO272" s="517"/>
      <c r="DP272" s="517"/>
      <c r="DQ272" s="517"/>
      <c r="DR272" s="517"/>
      <c r="DS272" s="517"/>
      <c r="DT272" s="517"/>
      <c r="DU272" s="517"/>
      <c r="DV272" s="517"/>
      <c r="DW272" s="517"/>
      <c r="DX272" s="517"/>
      <c r="DY272" s="517"/>
      <c r="DZ272" s="517"/>
      <c r="EA272" s="517"/>
      <c r="EB272" s="517"/>
      <c r="EC272" s="517"/>
      <c r="ED272" s="517"/>
      <c r="EE272" s="517"/>
      <c r="EF272" s="517"/>
      <c r="EG272" s="517"/>
      <c r="EH272" s="517"/>
      <c r="EI272" s="517"/>
      <c r="EJ272" s="517"/>
      <c r="EK272" s="517"/>
      <c r="EL272" s="517"/>
      <c r="EM272" s="517"/>
      <c r="EN272" s="517"/>
      <c r="EO272" s="517"/>
      <c r="EP272" s="517"/>
      <c r="EQ272" s="517"/>
      <c r="ER272" s="517"/>
      <c r="ES272" s="627" t="s">
        <v>1140</v>
      </c>
    </row>
    <row r="273">
      <c r="A273" s="517"/>
      <c r="B273" s="517"/>
      <c r="C273" s="517"/>
      <c r="D273" s="517"/>
      <c r="E273" s="517"/>
      <c r="F273" s="517"/>
      <c r="G273" s="517"/>
      <c r="H273" s="517"/>
      <c r="I273" s="517"/>
      <c r="J273" s="517"/>
      <c r="K273" s="517"/>
      <c r="L273" s="517"/>
      <c r="M273" s="517"/>
      <c r="N273" s="517"/>
      <c r="O273" s="517"/>
      <c r="P273" s="517"/>
      <c r="Q273" s="517"/>
      <c r="R273" s="517"/>
      <c r="S273" s="517"/>
      <c r="T273" s="517"/>
      <c r="U273" s="517"/>
      <c r="V273" s="517"/>
      <c r="W273" s="517"/>
      <c r="X273" s="517"/>
      <c r="Y273" s="517"/>
      <c r="Z273" s="517"/>
      <c r="AA273" s="517"/>
      <c r="AB273" s="517"/>
      <c r="AC273" s="517"/>
      <c r="AD273" s="517"/>
      <c r="AE273" s="517"/>
      <c r="AF273" s="517"/>
      <c r="AG273" s="517"/>
      <c r="AH273" s="517"/>
      <c r="AI273" s="517"/>
      <c r="AJ273" s="517"/>
      <c r="AK273" s="517"/>
      <c r="AL273" s="517"/>
      <c r="AM273" s="517"/>
      <c r="AN273" s="517"/>
      <c r="AO273" s="517"/>
      <c r="AP273" s="517"/>
      <c r="AQ273" s="517"/>
      <c r="AR273" s="517"/>
      <c r="AS273" s="517"/>
      <c r="AT273" s="517"/>
      <c r="AU273" s="517"/>
      <c r="AV273" s="517"/>
      <c r="AW273" s="517"/>
      <c r="AX273" s="517"/>
      <c r="AY273" s="517"/>
      <c r="AZ273" s="517"/>
      <c r="BA273" s="517"/>
      <c r="BB273" s="517"/>
      <c r="BC273" s="517"/>
      <c r="BD273" s="517"/>
      <c r="BE273" s="517"/>
      <c r="BF273" s="517"/>
      <c r="BG273" s="517"/>
      <c r="BH273" s="517"/>
      <c r="BI273" s="517"/>
      <c r="BJ273" s="517"/>
      <c r="BK273" s="517"/>
      <c r="BL273" s="517"/>
      <c r="BM273" s="517"/>
      <c r="BN273" s="517"/>
      <c r="BO273" s="517"/>
      <c r="BP273" s="517"/>
      <c r="BQ273" s="517"/>
      <c r="BR273" s="517"/>
      <c r="BS273" s="517"/>
      <c r="BT273" s="517"/>
      <c r="BU273" s="517"/>
      <c r="BV273" s="517"/>
      <c r="BW273" s="517"/>
      <c r="BX273" s="517"/>
      <c r="BY273" s="517"/>
      <c r="BZ273" s="517"/>
      <c r="CA273" s="517"/>
      <c r="CB273" s="517"/>
      <c r="CC273" s="517"/>
      <c r="CD273" s="517"/>
      <c r="CE273" s="517"/>
      <c r="CF273" s="517"/>
      <c r="CG273" s="517"/>
      <c r="CH273" s="517"/>
      <c r="CI273" s="517"/>
      <c r="CJ273" s="517"/>
      <c r="CK273" s="517"/>
      <c r="CL273" s="517"/>
      <c r="CM273" s="517"/>
      <c r="CN273" s="517"/>
      <c r="CO273" s="517"/>
      <c r="CP273" s="517"/>
      <c r="CQ273" s="517"/>
      <c r="CR273" s="517"/>
      <c r="CS273" s="517"/>
      <c r="CT273" s="517"/>
      <c r="CU273" s="517"/>
      <c r="CV273" s="517"/>
      <c r="CW273" s="517"/>
      <c r="CX273" s="517"/>
      <c r="CY273" s="517"/>
      <c r="CZ273" s="517"/>
      <c r="DA273" s="517"/>
      <c r="DB273" s="517"/>
      <c r="DC273" s="517"/>
      <c r="DD273" s="517"/>
      <c r="DE273" s="517"/>
      <c r="DF273" s="517"/>
      <c r="DG273" s="517"/>
      <c r="DH273" s="517"/>
      <c r="DI273" s="517"/>
      <c r="DJ273" s="517"/>
      <c r="DK273" s="517"/>
      <c r="DL273" s="517"/>
      <c r="DM273" s="517"/>
      <c r="DN273" s="517"/>
      <c r="DO273" s="517"/>
      <c r="DP273" s="517"/>
      <c r="DQ273" s="517"/>
      <c r="DR273" s="517"/>
      <c r="DS273" s="517"/>
      <c r="DT273" s="517"/>
      <c r="DU273" s="517"/>
      <c r="DV273" s="517"/>
      <c r="DW273" s="517"/>
      <c r="DX273" s="517"/>
      <c r="DY273" s="517"/>
      <c r="DZ273" s="517"/>
      <c r="EA273" s="517"/>
      <c r="EB273" s="517"/>
      <c r="EC273" s="517"/>
      <c r="ED273" s="517"/>
      <c r="EE273" s="517"/>
      <c r="EF273" s="517"/>
      <c r="EG273" s="517"/>
      <c r="EH273" s="517"/>
      <c r="EI273" s="517"/>
      <c r="EJ273" s="517"/>
      <c r="EK273" s="517"/>
      <c r="EL273" s="517"/>
      <c r="EM273" s="517"/>
      <c r="EN273" s="517"/>
      <c r="EO273" s="517"/>
      <c r="EP273" s="517"/>
      <c r="EQ273" s="517"/>
      <c r="ER273" s="517"/>
      <c r="ES273" s="627" t="s">
        <v>1140</v>
      </c>
    </row>
    <row r="274">
      <c r="A274" s="517"/>
      <c r="B274" s="517"/>
      <c r="C274" s="517"/>
      <c r="D274" s="517"/>
      <c r="E274" s="517"/>
      <c r="F274" s="517"/>
      <c r="G274" s="517"/>
      <c r="H274" s="517"/>
      <c r="I274" s="517"/>
      <c r="J274" s="517"/>
      <c r="K274" s="517"/>
      <c r="L274" s="517"/>
      <c r="M274" s="517"/>
      <c r="N274" s="517"/>
      <c r="O274" s="517"/>
      <c r="P274" s="517"/>
      <c r="Q274" s="517"/>
      <c r="R274" s="517"/>
      <c r="S274" s="517"/>
      <c r="T274" s="517"/>
      <c r="U274" s="517"/>
      <c r="V274" s="517"/>
      <c r="W274" s="517"/>
      <c r="X274" s="517"/>
      <c r="Y274" s="517"/>
      <c r="Z274" s="517"/>
      <c r="AA274" s="517"/>
      <c r="AB274" s="517"/>
      <c r="AC274" s="517"/>
      <c r="AD274" s="517"/>
      <c r="AE274" s="517"/>
      <c r="AF274" s="517"/>
      <c r="AG274" s="517"/>
      <c r="AH274" s="517"/>
      <c r="AI274" s="517"/>
      <c r="AJ274" s="517"/>
      <c r="AK274" s="517"/>
      <c r="AL274" s="517"/>
      <c r="AM274" s="517"/>
      <c r="AN274" s="517"/>
      <c r="AO274" s="517"/>
      <c r="AP274" s="517"/>
      <c r="AQ274" s="517"/>
      <c r="AR274" s="517"/>
      <c r="AS274" s="517"/>
      <c r="AT274" s="517"/>
      <c r="AU274" s="517"/>
      <c r="AV274" s="517"/>
      <c r="AW274" s="517"/>
      <c r="AX274" s="517"/>
      <c r="AY274" s="517"/>
      <c r="AZ274" s="517"/>
      <c r="BA274" s="517"/>
      <c r="BB274" s="517"/>
      <c r="BC274" s="517"/>
      <c r="BD274" s="517"/>
      <c r="BE274" s="517"/>
      <c r="BF274" s="517"/>
      <c r="BG274" s="517"/>
      <c r="BH274" s="517"/>
      <c r="BI274" s="517"/>
      <c r="BJ274" s="517"/>
      <c r="BK274" s="517"/>
      <c r="BL274" s="517"/>
      <c r="BM274" s="517"/>
      <c r="BN274" s="517"/>
      <c r="BO274" s="517"/>
      <c r="BP274" s="517"/>
      <c r="BQ274" s="517"/>
      <c r="BR274" s="517"/>
      <c r="BS274" s="517"/>
      <c r="BT274" s="517"/>
      <c r="BU274" s="517"/>
      <c r="BV274" s="517"/>
      <c r="BW274" s="517"/>
      <c r="BX274" s="517"/>
      <c r="BY274" s="517"/>
      <c r="BZ274" s="517"/>
      <c r="CA274" s="517"/>
      <c r="CB274" s="517"/>
      <c r="CC274" s="517"/>
      <c r="CD274" s="517"/>
      <c r="CE274" s="517"/>
      <c r="CF274" s="517"/>
      <c r="CG274" s="517"/>
      <c r="CH274" s="517"/>
      <c r="CI274" s="517"/>
      <c r="CJ274" s="517"/>
      <c r="CK274" s="517"/>
      <c r="CL274" s="517"/>
      <c r="CM274" s="517"/>
      <c r="CN274" s="517"/>
      <c r="CO274" s="517"/>
      <c r="CP274" s="517"/>
      <c r="CQ274" s="517"/>
      <c r="CR274" s="517"/>
      <c r="CS274" s="517"/>
      <c r="CT274" s="517"/>
      <c r="CU274" s="517"/>
      <c r="CV274" s="517"/>
      <c r="CW274" s="517"/>
      <c r="CX274" s="517"/>
      <c r="CY274" s="517"/>
      <c r="CZ274" s="517"/>
      <c r="DA274" s="517"/>
      <c r="DB274" s="517"/>
      <c r="DC274" s="517"/>
      <c r="DD274" s="517"/>
      <c r="DE274" s="517"/>
      <c r="DF274" s="517"/>
      <c r="DG274" s="517"/>
      <c r="DH274" s="517"/>
      <c r="DI274" s="517"/>
      <c r="DJ274" s="517"/>
      <c r="DK274" s="517"/>
      <c r="DL274" s="517"/>
      <c r="DM274" s="517"/>
      <c r="DN274" s="517"/>
      <c r="DO274" s="517"/>
      <c r="DP274" s="517"/>
      <c r="DQ274" s="517"/>
      <c r="DR274" s="517"/>
      <c r="DS274" s="517"/>
      <c r="DT274" s="517"/>
      <c r="DU274" s="517"/>
      <c r="DV274" s="517"/>
      <c r="DW274" s="517"/>
      <c r="DX274" s="517"/>
      <c r="DY274" s="517"/>
      <c r="DZ274" s="517"/>
      <c r="EA274" s="517"/>
      <c r="EB274" s="517"/>
      <c r="EC274" s="517"/>
      <c r="ED274" s="517"/>
      <c r="EE274" s="517"/>
      <c r="EF274" s="517"/>
      <c r="EG274" s="517"/>
      <c r="EH274" s="517"/>
      <c r="EI274" s="517"/>
      <c r="EJ274" s="517"/>
      <c r="EK274" s="517"/>
      <c r="EL274" s="517"/>
      <c r="EM274" s="517"/>
      <c r="EN274" s="517"/>
      <c r="EO274" s="517"/>
      <c r="EP274" s="517"/>
      <c r="EQ274" s="517"/>
      <c r="ER274" s="517"/>
      <c r="ES274" s="627" t="s">
        <v>1140</v>
      </c>
    </row>
    <row r="275">
      <c r="A275" s="517"/>
      <c r="B275" s="517"/>
      <c r="C275" s="517"/>
      <c r="D275" s="517"/>
      <c r="E275" s="517"/>
      <c r="F275" s="517"/>
      <c r="G275" s="517"/>
      <c r="H275" s="517"/>
      <c r="I275" s="517"/>
      <c r="J275" s="517"/>
      <c r="K275" s="517"/>
      <c r="L275" s="517"/>
      <c r="M275" s="517"/>
      <c r="N275" s="517"/>
      <c r="O275" s="517"/>
      <c r="P275" s="517"/>
      <c r="Q275" s="517"/>
      <c r="R275" s="517"/>
      <c r="S275" s="517"/>
      <c r="T275" s="517"/>
      <c r="U275" s="517"/>
      <c r="V275" s="517"/>
      <c r="W275" s="517"/>
      <c r="X275" s="517"/>
      <c r="Y275" s="517"/>
      <c r="Z275" s="517"/>
      <c r="AA275" s="517"/>
      <c r="AB275" s="517"/>
      <c r="AC275" s="517"/>
      <c r="AD275" s="517"/>
      <c r="AE275" s="517"/>
      <c r="AF275" s="517"/>
      <c r="AG275" s="517"/>
      <c r="AH275" s="517"/>
      <c r="AI275" s="517"/>
      <c r="AJ275" s="517"/>
      <c r="AK275" s="517"/>
      <c r="AL275" s="517"/>
      <c r="AM275" s="517"/>
      <c r="AN275" s="517"/>
      <c r="AO275" s="517"/>
      <c r="AP275" s="517"/>
      <c r="AQ275" s="517"/>
      <c r="AR275" s="517"/>
      <c r="AS275" s="517"/>
      <c r="AT275" s="517"/>
      <c r="AU275" s="517"/>
      <c r="AV275" s="517"/>
      <c r="AW275" s="517"/>
      <c r="AX275" s="517"/>
      <c r="AY275" s="517"/>
      <c r="AZ275" s="517"/>
      <c r="BA275" s="517"/>
      <c r="BB275" s="517"/>
      <c r="BC275" s="517"/>
      <c r="BD275" s="517"/>
      <c r="BE275" s="517"/>
      <c r="BF275" s="517"/>
      <c r="BG275" s="517"/>
      <c r="BH275" s="517"/>
      <c r="BI275" s="517"/>
      <c r="BJ275" s="517"/>
      <c r="BK275" s="517"/>
      <c r="BL275" s="517"/>
      <c r="BM275" s="517"/>
      <c r="BN275" s="517"/>
      <c r="BO275" s="517"/>
      <c r="BP275" s="517"/>
      <c r="BQ275" s="517"/>
      <c r="BR275" s="517"/>
      <c r="BS275" s="517"/>
      <c r="BT275" s="517"/>
      <c r="BU275" s="517"/>
      <c r="BV275" s="517"/>
      <c r="BW275" s="517"/>
      <c r="BX275" s="517"/>
      <c r="BY275" s="517"/>
      <c r="BZ275" s="517"/>
      <c r="CA275" s="517"/>
      <c r="CB275" s="517"/>
      <c r="CC275" s="517"/>
      <c r="CD275" s="517"/>
      <c r="CE275" s="517"/>
      <c r="CF275" s="517"/>
      <c r="CG275" s="517"/>
      <c r="CH275" s="517"/>
      <c r="CI275" s="517"/>
      <c r="CJ275" s="517"/>
      <c r="CK275" s="517"/>
      <c r="CL275" s="517"/>
      <c r="CM275" s="517"/>
      <c r="CN275" s="517"/>
      <c r="CO275" s="517"/>
      <c r="CP275" s="517"/>
      <c r="CQ275" s="517"/>
      <c r="CR275" s="517"/>
      <c r="CS275" s="517"/>
      <c r="CT275" s="517"/>
      <c r="CU275" s="517"/>
      <c r="CV275" s="517"/>
      <c r="CW275" s="517"/>
      <c r="CX275" s="517"/>
      <c r="CY275" s="517"/>
      <c r="CZ275" s="517"/>
      <c r="DA275" s="517"/>
      <c r="DB275" s="517"/>
      <c r="DC275" s="517"/>
      <c r="DD275" s="517"/>
      <c r="DE275" s="517"/>
      <c r="DF275" s="517"/>
      <c r="DG275" s="517"/>
      <c r="DH275" s="517"/>
      <c r="DI275" s="517"/>
      <c r="DJ275" s="517"/>
      <c r="DK275" s="517"/>
      <c r="DL275" s="517"/>
      <c r="DM275" s="517"/>
      <c r="DN275" s="517"/>
      <c r="DO275" s="517"/>
      <c r="DP275" s="517"/>
      <c r="DQ275" s="517"/>
      <c r="DR275" s="517"/>
      <c r="DS275" s="517"/>
      <c r="DT275" s="517"/>
      <c r="DU275" s="517"/>
      <c r="DV275" s="517"/>
      <c r="DW275" s="517"/>
      <c r="DX275" s="517"/>
      <c r="DY275" s="517"/>
      <c r="DZ275" s="517"/>
      <c r="EA275" s="517"/>
      <c r="EB275" s="517"/>
      <c r="EC275" s="517"/>
      <c r="ED275" s="517"/>
      <c r="EE275" s="517"/>
      <c r="EF275" s="517"/>
      <c r="EG275" s="517"/>
      <c r="EH275" s="517"/>
      <c r="EI275" s="517"/>
      <c r="EJ275" s="517"/>
      <c r="EK275" s="517"/>
      <c r="EL275" s="517"/>
      <c r="EM275" s="517"/>
      <c r="EN275" s="517"/>
      <c r="EO275" s="517"/>
      <c r="EP275" s="517"/>
      <c r="EQ275" s="517"/>
      <c r="ER275" s="517"/>
      <c r="ES275" s="627" t="s">
        <v>1140</v>
      </c>
    </row>
    <row r="276">
      <c r="A276" s="517"/>
      <c r="B276" s="517"/>
      <c r="C276" s="517"/>
      <c r="D276" s="517"/>
      <c r="E276" s="517"/>
      <c r="F276" s="517"/>
      <c r="G276" s="517"/>
      <c r="H276" s="517"/>
      <c r="I276" s="517"/>
      <c r="J276" s="517"/>
      <c r="K276" s="517"/>
      <c r="L276" s="517"/>
      <c r="M276" s="517"/>
      <c r="N276" s="517"/>
      <c r="O276" s="517"/>
      <c r="P276" s="517"/>
      <c r="Q276" s="517"/>
      <c r="R276" s="517"/>
      <c r="S276" s="517"/>
      <c r="T276" s="517"/>
      <c r="U276" s="517"/>
      <c r="V276" s="517"/>
      <c r="W276" s="517"/>
      <c r="X276" s="517"/>
      <c r="Y276" s="517"/>
      <c r="Z276" s="517"/>
      <c r="AA276" s="517"/>
      <c r="AB276" s="517"/>
      <c r="AC276" s="517"/>
      <c r="AD276" s="517"/>
      <c r="AE276" s="517"/>
      <c r="AF276" s="517"/>
      <c r="AG276" s="517"/>
      <c r="AH276" s="517"/>
      <c r="AI276" s="517"/>
      <c r="AJ276" s="517"/>
      <c r="AK276" s="517"/>
      <c r="AL276" s="517"/>
      <c r="AM276" s="517"/>
      <c r="AN276" s="517"/>
      <c r="AO276" s="517"/>
      <c r="AP276" s="517"/>
      <c r="AQ276" s="517"/>
      <c r="AR276" s="517"/>
      <c r="AS276" s="517"/>
      <c r="AT276" s="517"/>
      <c r="AU276" s="517"/>
      <c r="AV276" s="517"/>
      <c r="AW276" s="517"/>
      <c r="AX276" s="517"/>
      <c r="AY276" s="517"/>
      <c r="AZ276" s="517"/>
      <c r="BA276" s="517"/>
      <c r="BB276" s="517"/>
      <c r="BC276" s="517"/>
      <c r="BD276" s="517"/>
      <c r="BE276" s="517"/>
      <c r="BF276" s="517"/>
      <c r="BG276" s="517"/>
      <c r="BH276" s="517"/>
      <c r="BI276" s="517"/>
      <c r="BJ276" s="517"/>
      <c r="BK276" s="517"/>
      <c r="BL276" s="517"/>
      <c r="BM276" s="517"/>
      <c r="BN276" s="517"/>
      <c r="BO276" s="517"/>
      <c r="BP276" s="517"/>
      <c r="BQ276" s="517"/>
      <c r="BR276" s="517"/>
      <c r="BS276" s="517"/>
      <c r="BT276" s="517"/>
      <c r="BU276" s="517"/>
      <c r="BV276" s="517"/>
      <c r="BW276" s="517"/>
      <c r="BX276" s="517"/>
      <c r="BY276" s="517"/>
      <c r="BZ276" s="517"/>
      <c r="CA276" s="517"/>
      <c r="CB276" s="517"/>
      <c r="CC276" s="517"/>
      <c r="CD276" s="517"/>
      <c r="CE276" s="517"/>
      <c r="CF276" s="517"/>
      <c r="CG276" s="517"/>
      <c r="CH276" s="517"/>
      <c r="CI276" s="517"/>
      <c r="CJ276" s="517"/>
      <c r="CK276" s="517"/>
      <c r="CL276" s="517"/>
      <c r="CM276" s="517"/>
      <c r="CN276" s="517"/>
      <c r="CO276" s="517"/>
      <c r="CP276" s="517"/>
      <c r="CQ276" s="517"/>
      <c r="CR276" s="517"/>
      <c r="CS276" s="517"/>
      <c r="CT276" s="517"/>
      <c r="CU276" s="517"/>
      <c r="CV276" s="517"/>
      <c r="CW276" s="517"/>
      <c r="CX276" s="517"/>
      <c r="CY276" s="517"/>
      <c r="CZ276" s="517"/>
      <c r="DA276" s="517"/>
      <c r="DB276" s="517"/>
      <c r="DC276" s="517"/>
      <c r="DD276" s="517"/>
      <c r="DE276" s="517"/>
      <c r="DF276" s="517"/>
      <c r="DG276" s="517"/>
      <c r="DH276" s="517"/>
      <c r="DI276" s="517"/>
      <c r="DJ276" s="517"/>
      <c r="DK276" s="517"/>
      <c r="DL276" s="517"/>
      <c r="DM276" s="517"/>
      <c r="DN276" s="517"/>
      <c r="DO276" s="517"/>
      <c r="DP276" s="517"/>
      <c r="DQ276" s="517"/>
      <c r="DR276" s="517"/>
      <c r="DS276" s="517"/>
      <c r="DT276" s="517"/>
      <c r="DU276" s="517"/>
      <c r="DV276" s="517"/>
      <c r="DW276" s="517"/>
      <c r="DX276" s="517"/>
      <c r="DY276" s="517"/>
      <c r="DZ276" s="517"/>
      <c r="EA276" s="517"/>
      <c r="EB276" s="517"/>
      <c r="EC276" s="517"/>
      <c r="ED276" s="517"/>
      <c r="EE276" s="517"/>
      <c r="EF276" s="517"/>
      <c r="EG276" s="517"/>
      <c r="EH276" s="517"/>
      <c r="EI276" s="517"/>
      <c r="EJ276" s="517"/>
      <c r="EK276" s="517"/>
      <c r="EL276" s="517"/>
      <c r="EM276" s="517"/>
      <c r="EN276" s="517"/>
      <c r="EO276" s="517"/>
      <c r="EP276" s="517"/>
      <c r="EQ276" s="517"/>
      <c r="ER276" s="517"/>
      <c r="ES276" s="627" t="s">
        <v>1140</v>
      </c>
    </row>
    <row r="277">
      <c r="A277" s="517"/>
      <c r="B277" s="517"/>
      <c r="C277" s="517"/>
      <c r="D277" s="517"/>
      <c r="E277" s="517"/>
      <c r="F277" s="517"/>
      <c r="G277" s="517"/>
      <c r="H277" s="517"/>
      <c r="I277" s="517"/>
      <c r="J277" s="517"/>
      <c r="K277" s="517"/>
      <c r="L277" s="517"/>
      <c r="M277" s="517"/>
      <c r="N277" s="517"/>
      <c r="O277" s="517"/>
      <c r="P277" s="517"/>
      <c r="Q277" s="517"/>
      <c r="R277" s="517"/>
      <c r="S277" s="517"/>
      <c r="T277" s="517"/>
      <c r="U277" s="517"/>
      <c r="V277" s="517"/>
      <c r="W277" s="517"/>
      <c r="X277" s="517"/>
      <c r="Y277" s="517"/>
      <c r="Z277" s="517"/>
      <c r="AA277" s="517"/>
      <c r="AB277" s="517"/>
      <c r="AC277" s="517"/>
      <c r="AD277" s="517"/>
      <c r="AE277" s="517"/>
      <c r="AF277" s="517"/>
      <c r="AG277" s="517"/>
      <c r="AH277" s="517"/>
      <c r="AI277" s="517"/>
      <c r="AJ277" s="517"/>
      <c r="AK277" s="517"/>
      <c r="AL277" s="517"/>
      <c r="AM277" s="517"/>
      <c r="AN277" s="517"/>
      <c r="AO277" s="517"/>
      <c r="AP277" s="517"/>
      <c r="AQ277" s="517"/>
      <c r="AR277" s="517"/>
      <c r="AS277" s="517"/>
      <c r="AT277" s="517"/>
      <c r="AU277" s="517"/>
      <c r="AV277" s="517"/>
      <c r="AW277" s="517"/>
      <c r="AX277" s="517"/>
      <c r="AY277" s="517"/>
      <c r="AZ277" s="517"/>
      <c r="BA277" s="517"/>
      <c r="BB277" s="517"/>
      <c r="BC277" s="517"/>
      <c r="BD277" s="517"/>
      <c r="BE277" s="517"/>
      <c r="BF277" s="517"/>
      <c r="BG277" s="517"/>
      <c r="BH277" s="517"/>
      <c r="BI277" s="517"/>
      <c r="BJ277" s="517"/>
      <c r="BK277" s="517"/>
      <c r="BL277" s="517"/>
      <c r="BM277" s="517"/>
      <c r="BN277" s="517"/>
      <c r="BO277" s="517"/>
      <c r="BP277" s="517"/>
      <c r="BQ277" s="517"/>
      <c r="BR277" s="517"/>
      <c r="BS277" s="517"/>
      <c r="BT277" s="517"/>
      <c r="BU277" s="517"/>
      <c r="BV277" s="517"/>
      <c r="BW277" s="517"/>
      <c r="BX277" s="517"/>
      <c r="BY277" s="517"/>
      <c r="BZ277" s="517"/>
      <c r="CA277" s="517"/>
      <c r="CB277" s="517"/>
      <c r="CC277" s="517"/>
      <c r="CD277" s="517"/>
      <c r="CE277" s="517"/>
      <c r="CF277" s="517"/>
      <c r="CG277" s="517"/>
      <c r="CH277" s="517"/>
      <c r="CI277" s="517"/>
      <c r="CJ277" s="517"/>
      <c r="CK277" s="517"/>
      <c r="CL277" s="517"/>
      <c r="CM277" s="517"/>
      <c r="CN277" s="517"/>
      <c r="CO277" s="517"/>
      <c r="CP277" s="517"/>
      <c r="CQ277" s="517"/>
      <c r="CR277" s="517"/>
      <c r="CS277" s="517"/>
      <c r="CT277" s="517"/>
      <c r="CU277" s="517"/>
      <c r="CV277" s="517"/>
      <c r="CW277" s="517"/>
      <c r="CX277" s="517"/>
      <c r="CY277" s="517"/>
      <c r="CZ277" s="517"/>
      <c r="DA277" s="517"/>
      <c r="DB277" s="517"/>
      <c r="DC277" s="517"/>
      <c r="DD277" s="517"/>
      <c r="DE277" s="517"/>
      <c r="DF277" s="517"/>
      <c r="DG277" s="517"/>
      <c r="DH277" s="517"/>
      <c r="DI277" s="517"/>
      <c r="DJ277" s="517"/>
      <c r="DK277" s="517"/>
      <c r="DL277" s="517"/>
      <c r="DM277" s="517"/>
      <c r="DN277" s="517"/>
      <c r="DO277" s="517"/>
      <c r="DP277" s="517"/>
      <c r="DQ277" s="517"/>
      <c r="DR277" s="517"/>
      <c r="DS277" s="517"/>
      <c r="DT277" s="517"/>
      <c r="DU277" s="517"/>
      <c r="DV277" s="517"/>
      <c r="DW277" s="517"/>
      <c r="DX277" s="517"/>
      <c r="DY277" s="517"/>
      <c r="DZ277" s="517"/>
      <c r="EA277" s="517"/>
      <c r="EB277" s="517"/>
      <c r="EC277" s="517"/>
      <c r="ED277" s="517"/>
      <c r="EE277" s="517"/>
      <c r="EF277" s="517"/>
      <c r="EG277" s="517"/>
      <c r="EH277" s="517"/>
      <c r="EI277" s="517"/>
      <c r="EJ277" s="517"/>
      <c r="EK277" s="517"/>
      <c r="EL277" s="517"/>
      <c r="EM277" s="517"/>
      <c r="EN277" s="517"/>
      <c r="EO277" s="517"/>
      <c r="EP277" s="517"/>
      <c r="EQ277" s="517"/>
      <c r="ER277" s="517"/>
      <c r="ES277" s="627" t="s">
        <v>1140</v>
      </c>
    </row>
    <row r="278">
      <c r="A278" s="517"/>
      <c r="B278" s="517"/>
      <c r="C278" s="517"/>
      <c r="D278" s="517"/>
      <c r="E278" s="517"/>
      <c r="F278" s="517"/>
      <c r="G278" s="517"/>
      <c r="H278" s="517"/>
      <c r="I278" s="517"/>
      <c r="J278" s="517"/>
      <c r="K278" s="517"/>
      <c r="L278" s="517"/>
      <c r="M278" s="517"/>
      <c r="N278" s="517"/>
      <c r="O278" s="517"/>
      <c r="P278" s="517"/>
      <c r="Q278" s="517"/>
      <c r="R278" s="517"/>
      <c r="S278" s="517"/>
      <c r="T278" s="517"/>
      <c r="U278" s="517"/>
      <c r="V278" s="517"/>
      <c r="W278" s="517"/>
      <c r="X278" s="517"/>
      <c r="Y278" s="517"/>
      <c r="Z278" s="517"/>
      <c r="AA278" s="517"/>
      <c r="AB278" s="517"/>
      <c r="AC278" s="517"/>
      <c r="AD278" s="517"/>
      <c r="AE278" s="517"/>
      <c r="AF278" s="517"/>
      <c r="AG278" s="517"/>
      <c r="AH278" s="517"/>
      <c r="AI278" s="517"/>
      <c r="AJ278" s="517"/>
      <c r="AK278" s="517"/>
      <c r="AL278" s="517"/>
      <c r="AM278" s="517"/>
      <c r="AN278" s="517"/>
      <c r="AO278" s="517"/>
      <c r="AP278" s="517"/>
      <c r="AQ278" s="517"/>
      <c r="AR278" s="517"/>
      <c r="AS278" s="517"/>
      <c r="AT278" s="517"/>
      <c r="AU278" s="517"/>
      <c r="AV278" s="517"/>
      <c r="AW278" s="517"/>
      <c r="AX278" s="517"/>
      <c r="AY278" s="517"/>
      <c r="AZ278" s="517"/>
      <c r="BA278" s="517"/>
      <c r="BB278" s="517"/>
      <c r="BC278" s="517"/>
      <c r="BD278" s="517"/>
      <c r="BE278" s="517"/>
      <c r="BF278" s="517"/>
      <c r="BG278" s="517"/>
      <c r="BH278" s="517"/>
      <c r="BI278" s="517"/>
      <c r="BJ278" s="517"/>
      <c r="BK278" s="517"/>
      <c r="BL278" s="517"/>
      <c r="BM278" s="517"/>
      <c r="BN278" s="517"/>
      <c r="BO278" s="517"/>
      <c r="BP278" s="517"/>
      <c r="BQ278" s="517"/>
      <c r="BR278" s="517"/>
      <c r="BS278" s="517"/>
      <c r="BT278" s="517"/>
      <c r="BU278" s="517"/>
      <c r="BV278" s="517"/>
      <c r="BW278" s="517"/>
      <c r="BX278" s="517"/>
      <c r="BY278" s="517"/>
      <c r="BZ278" s="517"/>
      <c r="CA278" s="517"/>
      <c r="CB278" s="517"/>
      <c r="CC278" s="517"/>
      <c r="CD278" s="517"/>
      <c r="CE278" s="517"/>
      <c r="CF278" s="517"/>
      <c r="CG278" s="517"/>
      <c r="CH278" s="517"/>
      <c r="CI278" s="517"/>
      <c r="CJ278" s="517"/>
      <c r="CK278" s="517"/>
      <c r="CL278" s="517"/>
      <c r="CM278" s="517"/>
      <c r="CN278" s="517"/>
      <c r="CO278" s="517"/>
      <c r="CP278" s="517"/>
      <c r="CQ278" s="517"/>
      <c r="CR278" s="517"/>
      <c r="CS278" s="517"/>
      <c r="CT278" s="517"/>
      <c r="CU278" s="517"/>
      <c r="CV278" s="517"/>
      <c r="CW278" s="517"/>
      <c r="CX278" s="517"/>
      <c r="CY278" s="517"/>
      <c r="CZ278" s="517"/>
      <c r="DA278" s="517"/>
      <c r="DB278" s="517"/>
      <c r="DC278" s="517"/>
      <c r="DD278" s="517"/>
      <c r="DE278" s="517"/>
      <c r="DF278" s="517"/>
      <c r="DG278" s="517"/>
      <c r="DH278" s="517"/>
      <c r="DI278" s="517"/>
      <c r="DJ278" s="517"/>
      <c r="DK278" s="517"/>
      <c r="DL278" s="517"/>
      <c r="DM278" s="517"/>
      <c r="DN278" s="517"/>
      <c r="DO278" s="517"/>
      <c r="DP278" s="517"/>
      <c r="DQ278" s="517"/>
      <c r="DR278" s="517"/>
      <c r="DS278" s="517"/>
      <c r="DT278" s="517"/>
      <c r="DU278" s="517"/>
      <c r="DV278" s="517"/>
      <c r="DW278" s="517"/>
      <c r="DX278" s="517"/>
      <c r="DY278" s="517"/>
      <c r="DZ278" s="517"/>
      <c r="EA278" s="517"/>
      <c r="EB278" s="517"/>
      <c r="EC278" s="517"/>
      <c r="ED278" s="517"/>
      <c r="EE278" s="517"/>
      <c r="EF278" s="517"/>
      <c r="EG278" s="517"/>
      <c r="EH278" s="517"/>
      <c r="EI278" s="517"/>
      <c r="EJ278" s="517"/>
      <c r="EK278" s="517"/>
      <c r="EL278" s="517"/>
      <c r="EM278" s="517"/>
      <c r="EN278" s="517"/>
      <c r="EO278" s="517"/>
      <c r="EP278" s="517"/>
      <c r="EQ278" s="517"/>
      <c r="ER278" s="517"/>
      <c r="ES278" s="627" t="s">
        <v>1140</v>
      </c>
    </row>
    <row r="279">
      <c r="A279" s="517"/>
      <c r="B279" s="517"/>
      <c r="C279" s="517"/>
      <c r="D279" s="517"/>
      <c r="E279" s="517"/>
      <c r="F279" s="517"/>
      <c r="G279" s="517"/>
      <c r="H279" s="517"/>
      <c r="I279" s="517"/>
      <c r="J279" s="517"/>
      <c r="K279" s="517"/>
      <c r="L279" s="517"/>
      <c r="M279" s="517"/>
      <c r="N279" s="517"/>
      <c r="O279" s="517"/>
      <c r="P279" s="517"/>
      <c r="Q279" s="517"/>
      <c r="R279" s="517"/>
      <c r="S279" s="517"/>
      <c r="T279" s="517"/>
      <c r="U279" s="517"/>
      <c r="V279" s="517"/>
      <c r="W279" s="517"/>
      <c r="X279" s="517"/>
      <c r="Y279" s="517"/>
      <c r="Z279" s="517"/>
      <c r="AA279" s="517"/>
      <c r="AB279" s="517"/>
      <c r="AC279" s="517"/>
      <c r="AD279" s="517"/>
      <c r="AE279" s="517"/>
      <c r="AF279" s="517"/>
      <c r="AG279" s="517"/>
      <c r="AH279" s="517"/>
      <c r="AI279" s="517"/>
      <c r="AJ279" s="517"/>
      <c r="AK279" s="517"/>
      <c r="AL279" s="517"/>
      <c r="AM279" s="517"/>
      <c r="AN279" s="517"/>
      <c r="AO279" s="517"/>
      <c r="AP279" s="517"/>
      <c r="AQ279" s="517"/>
      <c r="AR279" s="517"/>
      <c r="AS279" s="517"/>
      <c r="AT279" s="517"/>
      <c r="AU279" s="517"/>
      <c r="AV279" s="517"/>
      <c r="AW279" s="517"/>
      <c r="AX279" s="517"/>
      <c r="AY279" s="517"/>
      <c r="AZ279" s="517"/>
      <c r="BA279" s="517"/>
      <c r="BB279" s="517"/>
      <c r="BC279" s="517"/>
      <c r="BD279" s="517"/>
      <c r="BE279" s="517"/>
      <c r="BF279" s="517"/>
      <c r="BG279" s="517"/>
      <c r="BH279" s="517"/>
      <c r="BI279" s="517"/>
      <c r="BJ279" s="517"/>
      <c r="BK279" s="517"/>
      <c r="BL279" s="517"/>
      <c r="BM279" s="517"/>
      <c r="BN279" s="517"/>
      <c r="BO279" s="517"/>
      <c r="BP279" s="517"/>
      <c r="BQ279" s="517"/>
      <c r="BR279" s="517"/>
      <c r="BS279" s="517"/>
      <c r="BT279" s="517"/>
      <c r="BU279" s="517"/>
      <c r="BV279" s="517"/>
      <c r="BW279" s="517"/>
      <c r="BX279" s="517"/>
      <c r="BY279" s="517"/>
      <c r="BZ279" s="517"/>
      <c r="CA279" s="517"/>
      <c r="CB279" s="517"/>
      <c r="CC279" s="517"/>
      <c r="CD279" s="517"/>
      <c r="CE279" s="517"/>
      <c r="CF279" s="517"/>
      <c r="CG279" s="517"/>
      <c r="CH279" s="517"/>
      <c r="CI279" s="517"/>
      <c r="CJ279" s="517"/>
      <c r="CK279" s="517"/>
      <c r="CL279" s="517"/>
      <c r="CM279" s="517"/>
      <c r="CN279" s="517"/>
      <c r="CO279" s="517"/>
      <c r="CP279" s="517"/>
      <c r="CQ279" s="517"/>
      <c r="CR279" s="517"/>
      <c r="CS279" s="517"/>
      <c r="CT279" s="517"/>
      <c r="CU279" s="517"/>
      <c r="CV279" s="517"/>
      <c r="CW279" s="517"/>
      <c r="CX279" s="517"/>
      <c r="CY279" s="517"/>
      <c r="CZ279" s="517"/>
      <c r="DA279" s="517"/>
      <c r="DB279" s="517"/>
      <c r="DC279" s="517"/>
      <c r="DD279" s="517"/>
      <c r="DE279" s="517"/>
      <c r="DF279" s="517"/>
      <c r="DG279" s="517"/>
      <c r="DH279" s="517"/>
      <c r="DI279" s="517"/>
      <c r="DJ279" s="517"/>
      <c r="DK279" s="517"/>
      <c r="DL279" s="517"/>
      <c r="DM279" s="517"/>
      <c r="DN279" s="517"/>
      <c r="DO279" s="517"/>
      <c r="DP279" s="517"/>
      <c r="DQ279" s="517"/>
      <c r="DR279" s="517"/>
      <c r="DS279" s="517"/>
      <c r="DT279" s="517"/>
      <c r="DU279" s="517"/>
      <c r="DV279" s="517"/>
      <c r="DW279" s="517"/>
      <c r="DX279" s="517"/>
      <c r="DY279" s="517"/>
      <c r="DZ279" s="517"/>
      <c r="EA279" s="517"/>
      <c r="EB279" s="517"/>
      <c r="EC279" s="517"/>
      <c r="ED279" s="517"/>
      <c r="EE279" s="517"/>
      <c r="EF279" s="517"/>
      <c r="EG279" s="517"/>
      <c r="EH279" s="517"/>
      <c r="EI279" s="517"/>
      <c r="EJ279" s="517"/>
      <c r="EK279" s="517"/>
      <c r="EL279" s="517"/>
      <c r="EM279" s="517"/>
      <c r="EN279" s="517"/>
      <c r="EO279" s="517"/>
      <c r="EP279" s="517"/>
      <c r="EQ279" s="517"/>
      <c r="ER279" s="517"/>
      <c r="ES279" s="627" t="s">
        <v>1140</v>
      </c>
    </row>
    <row r="280">
      <c r="A280" s="517"/>
      <c r="B280" s="517"/>
      <c r="C280" s="517"/>
      <c r="D280" s="517"/>
      <c r="E280" s="517"/>
      <c r="F280" s="517"/>
      <c r="G280" s="517"/>
      <c r="H280" s="517"/>
      <c r="I280" s="517"/>
      <c r="J280" s="517"/>
      <c r="K280" s="517"/>
      <c r="L280" s="517"/>
      <c r="M280" s="517"/>
      <c r="N280" s="517"/>
      <c r="O280" s="517"/>
      <c r="P280" s="517"/>
      <c r="Q280" s="517"/>
      <c r="R280" s="517"/>
      <c r="S280" s="517"/>
      <c r="T280" s="517"/>
      <c r="U280" s="517"/>
      <c r="V280" s="517"/>
      <c r="W280" s="517"/>
      <c r="X280" s="517"/>
      <c r="Y280" s="517"/>
      <c r="Z280" s="517"/>
      <c r="AA280" s="517"/>
      <c r="AB280" s="517"/>
      <c r="AC280" s="517"/>
      <c r="AD280" s="517"/>
      <c r="AE280" s="517"/>
      <c r="AF280" s="517"/>
      <c r="AG280" s="517"/>
      <c r="AH280" s="517"/>
      <c r="AI280" s="517"/>
      <c r="AJ280" s="517"/>
      <c r="AK280" s="517"/>
      <c r="AL280" s="517"/>
      <c r="AM280" s="517"/>
      <c r="AN280" s="517"/>
      <c r="AO280" s="517"/>
      <c r="AP280" s="517"/>
      <c r="AQ280" s="517"/>
      <c r="AR280" s="517"/>
      <c r="AS280" s="517"/>
      <c r="AT280" s="517"/>
      <c r="AU280" s="517"/>
      <c r="AV280" s="517"/>
      <c r="AW280" s="517"/>
      <c r="AX280" s="517"/>
      <c r="AY280" s="517"/>
      <c r="AZ280" s="517"/>
      <c r="BA280" s="517"/>
      <c r="BB280" s="517"/>
      <c r="BC280" s="517"/>
      <c r="BD280" s="517"/>
      <c r="BE280" s="517"/>
      <c r="BF280" s="517"/>
      <c r="BG280" s="517"/>
      <c r="BH280" s="517"/>
      <c r="BI280" s="517"/>
      <c r="BJ280" s="517"/>
      <c r="BK280" s="517"/>
      <c r="BL280" s="517"/>
      <c r="BM280" s="517"/>
      <c r="BN280" s="517"/>
      <c r="BO280" s="517"/>
      <c r="BP280" s="517"/>
      <c r="BQ280" s="517"/>
      <c r="BR280" s="517"/>
      <c r="BS280" s="517"/>
      <c r="BT280" s="517"/>
      <c r="BU280" s="517"/>
      <c r="BV280" s="517"/>
      <c r="BW280" s="517"/>
      <c r="BX280" s="517"/>
      <c r="BY280" s="517"/>
      <c r="BZ280" s="517"/>
      <c r="CA280" s="517"/>
      <c r="CB280" s="517"/>
      <c r="CC280" s="517"/>
      <c r="CD280" s="517"/>
      <c r="CE280" s="517"/>
      <c r="CF280" s="517"/>
      <c r="CG280" s="517"/>
      <c r="CH280" s="517"/>
      <c r="CI280" s="517"/>
      <c r="CJ280" s="517"/>
      <c r="CK280" s="517"/>
      <c r="CL280" s="517"/>
      <c r="CM280" s="517"/>
      <c r="CN280" s="517"/>
      <c r="CO280" s="517"/>
      <c r="CP280" s="517"/>
      <c r="CQ280" s="517"/>
      <c r="CR280" s="517"/>
      <c r="CS280" s="517"/>
      <c r="CT280" s="517"/>
      <c r="CU280" s="517"/>
      <c r="CV280" s="517"/>
      <c r="CW280" s="517"/>
      <c r="CX280" s="517"/>
      <c r="CY280" s="517"/>
      <c r="CZ280" s="517"/>
      <c r="DA280" s="517"/>
      <c r="DB280" s="517"/>
      <c r="DC280" s="517"/>
      <c r="DD280" s="517"/>
      <c r="DE280" s="517"/>
      <c r="DF280" s="517"/>
      <c r="DG280" s="517"/>
      <c r="DH280" s="517"/>
      <c r="DI280" s="517"/>
      <c r="DJ280" s="517"/>
      <c r="DK280" s="517"/>
      <c r="DL280" s="517"/>
      <c r="DM280" s="517"/>
      <c r="DN280" s="517"/>
      <c r="DO280" s="517"/>
      <c r="DP280" s="517"/>
      <c r="DQ280" s="517"/>
      <c r="DR280" s="517"/>
      <c r="DS280" s="517"/>
      <c r="DT280" s="517"/>
      <c r="DU280" s="517"/>
      <c r="DV280" s="517"/>
      <c r="DW280" s="517"/>
      <c r="DX280" s="517"/>
      <c r="DY280" s="517"/>
      <c r="DZ280" s="517"/>
      <c r="EA280" s="517"/>
      <c r="EB280" s="517"/>
      <c r="EC280" s="517"/>
      <c r="ED280" s="517"/>
      <c r="EE280" s="517"/>
      <c r="EF280" s="517"/>
      <c r="EG280" s="517"/>
      <c r="EH280" s="517"/>
      <c r="EI280" s="517"/>
      <c r="EJ280" s="517"/>
      <c r="EK280" s="517"/>
      <c r="EL280" s="517"/>
      <c r="EM280" s="517"/>
      <c r="EN280" s="517"/>
      <c r="EO280" s="517"/>
      <c r="EP280" s="517"/>
      <c r="EQ280" s="517"/>
      <c r="ER280" s="517"/>
      <c r="ES280" s="627" t="s">
        <v>1140</v>
      </c>
    </row>
    <row r="281">
      <c r="A281" s="517"/>
      <c r="B281" s="517"/>
      <c r="C281" s="517"/>
      <c r="D281" s="517"/>
      <c r="E281" s="517"/>
      <c r="F281" s="517"/>
      <c r="G281" s="517"/>
      <c r="H281" s="517"/>
      <c r="I281" s="517"/>
      <c r="J281" s="517"/>
      <c r="K281" s="517"/>
      <c r="L281" s="517"/>
      <c r="M281" s="517"/>
      <c r="N281" s="517"/>
      <c r="O281" s="517"/>
      <c r="P281" s="517"/>
      <c r="Q281" s="517"/>
      <c r="R281" s="517"/>
      <c r="S281" s="517"/>
      <c r="T281" s="517"/>
      <c r="U281" s="517"/>
      <c r="V281" s="517"/>
      <c r="W281" s="517"/>
      <c r="X281" s="517"/>
      <c r="Y281" s="517"/>
      <c r="Z281" s="517"/>
      <c r="AA281" s="517"/>
      <c r="AB281" s="517"/>
      <c r="AC281" s="517"/>
      <c r="AD281" s="517"/>
      <c r="AE281" s="517"/>
      <c r="AF281" s="517"/>
      <c r="AG281" s="517"/>
      <c r="AH281" s="517"/>
      <c r="AI281" s="517"/>
      <c r="AJ281" s="517"/>
      <c r="AK281" s="517"/>
      <c r="AL281" s="517"/>
      <c r="AM281" s="517"/>
      <c r="AN281" s="517"/>
      <c r="AO281" s="517"/>
      <c r="AP281" s="517"/>
      <c r="AQ281" s="517"/>
      <c r="AR281" s="517"/>
      <c r="AS281" s="517"/>
      <c r="AT281" s="517"/>
      <c r="AU281" s="517"/>
      <c r="AV281" s="517"/>
      <c r="AW281" s="517"/>
      <c r="AX281" s="517"/>
      <c r="AY281" s="517"/>
      <c r="AZ281" s="517"/>
      <c r="BA281" s="517"/>
      <c r="BB281" s="517"/>
      <c r="BC281" s="517"/>
      <c r="BD281" s="517"/>
      <c r="BE281" s="517"/>
      <c r="BF281" s="517"/>
      <c r="BG281" s="517"/>
      <c r="BH281" s="517"/>
      <c r="BI281" s="517"/>
      <c r="BJ281" s="517"/>
      <c r="BK281" s="517"/>
      <c r="BL281" s="517"/>
      <c r="BM281" s="517"/>
      <c r="BN281" s="517"/>
      <c r="BO281" s="517"/>
      <c r="BP281" s="517"/>
      <c r="BQ281" s="517"/>
      <c r="BR281" s="517"/>
      <c r="BS281" s="517"/>
      <c r="BT281" s="517"/>
      <c r="BU281" s="517"/>
      <c r="BV281" s="517"/>
      <c r="BW281" s="517"/>
      <c r="BX281" s="517"/>
      <c r="BY281" s="517"/>
      <c r="BZ281" s="517"/>
      <c r="CA281" s="517"/>
      <c r="CB281" s="517"/>
      <c r="CC281" s="517"/>
      <c r="CD281" s="517"/>
      <c r="CE281" s="517"/>
      <c r="CF281" s="517"/>
      <c r="CG281" s="517"/>
      <c r="CH281" s="517"/>
      <c r="CI281" s="517"/>
      <c r="CJ281" s="517"/>
      <c r="CK281" s="517"/>
      <c r="CL281" s="517"/>
      <c r="CM281" s="517"/>
      <c r="CN281" s="517"/>
      <c r="CO281" s="517"/>
      <c r="CP281" s="517"/>
      <c r="CQ281" s="517"/>
      <c r="CR281" s="517"/>
      <c r="CS281" s="517"/>
      <c r="CT281" s="517"/>
      <c r="CU281" s="517"/>
      <c r="CV281" s="517"/>
      <c r="CW281" s="517"/>
      <c r="CX281" s="517"/>
      <c r="CY281" s="517"/>
      <c r="CZ281" s="517"/>
      <c r="DA281" s="517"/>
      <c r="DB281" s="517"/>
      <c r="DC281" s="517"/>
      <c r="DD281" s="517"/>
      <c r="DE281" s="517"/>
      <c r="DF281" s="517"/>
      <c r="DG281" s="517"/>
      <c r="DH281" s="517"/>
      <c r="DI281" s="517"/>
      <c r="DJ281" s="517"/>
      <c r="DK281" s="517"/>
      <c r="DL281" s="517"/>
      <c r="DM281" s="517"/>
      <c r="DN281" s="517"/>
      <c r="DO281" s="517"/>
      <c r="DP281" s="517"/>
      <c r="DQ281" s="517"/>
      <c r="DR281" s="517"/>
      <c r="DS281" s="517"/>
      <c r="DT281" s="517"/>
      <c r="DU281" s="517"/>
      <c r="DV281" s="517"/>
      <c r="DW281" s="517"/>
      <c r="DX281" s="517"/>
      <c r="DY281" s="517"/>
      <c r="DZ281" s="517"/>
      <c r="EA281" s="517"/>
      <c r="EB281" s="517"/>
      <c r="EC281" s="517"/>
      <c r="ED281" s="517"/>
      <c r="EE281" s="517"/>
      <c r="EF281" s="517"/>
      <c r="EG281" s="517"/>
      <c r="EH281" s="517"/>
      <c r="EI281" s="517"/>
      <c r="EJ281" s="517"/>
      <c r="EK281" s="517"/>
      <c r="EL281" s="517"/>
      <c r="EM281" s="517"/>
      <c r="EN281" s="517"/>
      <c r="EO281" s="517"/>
      <c r="EP281" s="517"/>
      <c r="EQ281" s="517"/>
      <c r="ER281" s="517"/>
      <c r="ES281" s="627" t="s">
        <v>1140</v>
      </c>
    </row>
    <row r="282">
      <c r="A282" s="517"/>
      <c r="B282" s="517"/>
      <c r="C282" s="517"/>
      <c r="D282" s="517"/>
      <c r="E282" s="517"/>
      <c r="F282" s="517"/>
      <c r="G282" s="517"/>
      <c r="H282" s="517"/>
      <c r="I282" s="517"/>
      <c r="J282" s="517"/>
      <c r="K282" s="517"/>
      <c r="L282" s="517"/>
      <c r="M282" s="517"/>
      <c r="N282" s="517"/>
      <c r="O282" s="517"/>
      <c r="P282" s="517"/>
      <c r="Q282" s="517"/>
      <c r="R282" s="517"/>
      <c r="S282" s="517"/>
      <c r="T282" s="517"/>
      <c r="U282" s="517"/>
      <c r="V282" s="517"/>
      <c r="W282" s="517"/>
      <c r="X282" s="517"/>
      <c r="Y282" s="517"/>
      <c r="Z282" s="517"/>
      <c r="AA282" s="517"/>
      <c r="AB282" s="517"/>
      <c r="AC282" s="517"/>
      <c r="AD282" s="517"/>
      <c r="AE282" s="517"/>
      <c r="AF282" s="517"/>
      <c r="AG282" s="517"/>
      <c r="AH282" s="517"/>
      <c r="AI282" s="517"/>
      <c r="AJ282" s="517"/>
      <c r="AK282" s="517"/>
      <c r="AL282" s="517"/>
      <c r="AM282" s="517"/>
      <c r="AN282" s="517"/>
      <c r="AO282" s="517"/>
      <c r="AP282" s="517"/>
      <c r="AQ282" s="517"/>
      <c r="AR282" s="517"/>
      <c r="AS282" s="517"/>
      <c r="AT282" s="517"/>
      <c r="AU282" s="517"/>
      <c r="AV282" s="517"/>
      <c r="AW282" s="517"/>
      <c r="AX282" s="517"/>
      <c r="AY282" s="517"/>
      <c r="AZ282" s="517"/>
      <c r="BA282" s="517"/>
      <c r="BB282" s="517"/>
      <c r="BC282" s="517"/>
      <c r="BD282" s="517"/>
      <c r="BE282" s="517"/>
      <c r="BF282" s="517"/>
      <c r="BG282" s="517"/>
      <c r="BH282" s="517"/>
      <c r="BI282" s="517"/>
      <c r="BJ282" s="517"/>
      <c r="BK282" s="517"/>
      <c r="BL282" s="517"/>
      <c r="BM282" s="517"/>
      <c r="BN282" s="517"/>
      <c r="BO282" s="517"/>
      <c r="BP282" s="517"/>
      <c r="BQ282" s="517"/>
      <c r="BR282" s="517"/>
      <c r="BS282" s="517"/>
      <c r="BT282" s="517"/>
      <c r="BU282" s="517"/>
      <c r="BV282" s="517"/>
      <c r="BW282" s="517"/>
      <c r="BX282" s="517"/>
      <c r="BY282" s="517"/>
      <c r="BZ282" s="517"/>
      <c r="CA282" s="517"/>
      <c r="CB282" s="517"/>
      <c r="CC282" s="517"/>
      <c r="CD282" s="517"/>
      <c r="CE282" s="517"/>
      <c r="CF282" s="517"/>
      <c r="CG282" s="517"/>
      <c r="CH282" s="517"/>
      <c r="CI282" s="517"/>
      <c r="CJ282" s="517"/>
      <c r="CK282" s="517"/>
      <c r="CL282" s="517"/>
      <c r="CM282" s="517"/>
      <c r="CN282" s="517"/>
      <c r="CO282" s="517"/>
      <c r="CP282" s="517"/>
      <c r="CQ282" s="517"/>
      <c r="CR282" s="517"/>
      <c r="CS282" s="517"/>
      <c r="CT282" s="517"/>
      <c r="CU282" s="517"/>
      <c r="CV282" s="517"/>
      <c r="CW282" s="517"/>
      <c r="CX282" s="517"/>
      <c r="CY282" s="517"/>
      <c r="CZ282" s="517"/>
      <c r="DA282" s="517"/>
      <c r="DB282" s="517"/>
      <c r="DC282" s="517"/>
      <c r="DD282" s="517"/>
      <c r="DE282" s="517"/>
      <c r="DF282" s="517"/>
      <c r="DG282" s="517"/>
      <c r="DH282" s="517"/>
      <c r="DI282" s="517"/>
      <c r="DJ282" s="517"/>
      <c r="DK282" s="517"/>
      <c r="DL282" s="517"/>
      <c r="DM282" s="517"/>
      <c r="DN282" s="517"/>
      <c r="DO282" s="517"/>
      <c r="DP282" s="517"/>
      <c r="DQ282" s="517"/>
      <c r="DR282" s="517"/>
      <c r="DS282" s="517"/>
      <c r="DT282" s="517"/>
      <c r="DU282" s="517"/>
      <c r="DV282" s="517"/>
      <c r="DW282" s="517"/>
      <c r="DX282" s="517"/>
      <c r="DY282" s="517"/>
      <c r="DZ282" s="517"/>
      <c r="EA282" s="517"/>
      <c r="EB282" s="517"/>
      <c r="EC282" s="517"/>
      <c r="ED282" s="517"/>
      <c r="EE282" s="517"/>
      <c r="EF282" s="517"/>
      <c r="EG282" s="517"/>
      <c r="EH282" s="517"/>
      <c r="EI282" s="517"/>
      <c r="EJ282" s="517"/>
      <c r="EK282" s="517"/>
      <c r="EL282" s="517"/>
      <c r="EM282" s="517"/>
      <c r="EN282" s="517"/>
      <c r="EO282" s="517"/>
      <c r="EP282" s="517"/>
      <c r="EQ282" s="517"/>
      <c r="ER282" s="517"/>
      <c r="ES282" s="627" t="s">
        <v>1140</v>
      </c>
    </row>
    <row r="283">
      <c r="A283" s="517"/>
      <c r="B283" s="517"/>
      <c r="C283" s="517"/>
      <c r="D283" s="517"/>
      <c r="E283" s="517"/>
      <c r="F283" s="517"/>
      <c r="G283" s="517"/>
      <c r="H283" s="517"/>
      <c r="I283" s="517"/>
      <c r="J283" s="517"/>
      <c r="K283" s="517"/>
      <c r="L283" s="517"/>
      <c r="M283" s="517"/>
      <c r="N283" s="517"/>
      <c r="O283" s="517"/>
      <c r="P283" s="517"/>
      <c r="Q283" s="517"/>
      <c r="R283" s="517"/>
      <c r="S283" s="517"/>
      <c r="T283" s="517"/>
      <c r="U283" s="517"/>
      <c r="V283" s="517"/>
      <c r="W283" s="517"/>
      <c r="X283" s="517"/>
      <c r="Y283" s="517"/>
      <c r="Z283" s="517"/>
      <c r="AA283" s="517"/>
      <c r="AB283" s="517"/>
      <c r="AC283" s="517"/>
      <c r="AD283" s="517"/>
      <c r="AE283" s="517"/>
      <c r="AF283" s="517"/>
      <c r="AG283" s="517"/>
      <c r="AH283" s="517"/>
      <c r="AI283" s="517"/>
      <c r="AJ283" s="517"/>
      <c r="AK283" s="517"/>
      <c r="AL283" s="517"/>
      <c r="AM283" s="517"/>
      <c r="AN283" s="517"/>
      <c r="AO283" s="517"/>
      <c r="AP283" s="517"/>
      <c r="AQ283" s="517"/>
      <c r="AR283" s="517"/>
      <c r="AS283" s="517"/>
      <c r="AT283" s="517"/>
      <c r="AU283" s="517"/>
      <c r="AV283" s="517"/>
      <c r="AW283" s="517"/>
      <c r="AX283" s="517"/>
      <c r="AY283" s="517"/>
      <c r="AZ283" s="517"/>
      <c r="BA283" s="517"/>
      <c r="BB283" s="517"/>
      <c r="BC283" s="517"/>
      <c r="BD283" s="517"/>
      <c r="BE283" s="517"/>
      <c r="BF283" s="517"/>
      <c r="BG283" s="517"/>
      <c r="BH283" s="517"/>
      <c r="BI283" s="517"/>
      <c r="BJ283" s="517"/>
      <c r="BK283" s="517"/>
      <c r="BL283" s="517"/>
      <c r="BM283" s="517"/>
      <c r="BN283" s="517"/>
      <c r="BO283" s="517"/>
      <c r="BP283" s="517"/>
      <c r="BQ283" s="517"/>
      <c r="BR283" s="517"/>
      <c r="BS283" s="517"/>
      <c r="BT283" s="517"/>
      <c r="BU283" s="517"/>
      <c r="BV283" s="517"/>
      <c r="BW283" s="517"/>
      <c r="BX283" s="517"/>
      <c r="BY283" s="517"/>
      <c r="BZ283" s="517"/>
      <c r="CA283" s="517"/>
      <c r="CB283" s="517"/>
      <c r="CC283" s="517"/>
      <c r="CD283" s="517"/>
      <c r="CE283" s="517"/>
      <c r="CF283" s="517"/>
      <c r="CG283" s="517"/>
      <c r="CH283" s="517"/>
      <c r="CI283" s="517"/>
      <c r="CJ283" s="517"/>
      <c r="CK283" s="517"/>
      <c r="CL283" s="517"/>
      <c r="CM283" s="517"/>
      <c r="CN283" s="517"/>
      <c r="CO283" s="517"/>
      <c r="CP283" s="517"/>
      <c r="CQ283" s="517"/>
      <c r="CR283" s="517"/>
      <c r="CS283" s="517"/>
      <c r="CT283" s="517"/>
      <c r="CU283" s="517"/>
      <c r="CV283" s="517"/>
      <c r="CW283" s="517"/>
      <c r="CX283" s="517"/>
      <c r="CY283" s="517"/>
      <c r="CZ283" s="517"/>
      <c r="DA283" s="517"/>
      <c r="DB283" s="517"/>
      <c r="DC283" s="517"/>
      <c r="DD283" s="517"/>
      <c r="DE283" s="517"/>
      <c r="DF283" s="517"/>
      <c r="DG283" s="517"/>
      <c r="DH283" s="517"/>
      <c r="DI283" s="517"/>
      <c r="DJ283" s="517"/>
      <c r="DK283" s="517"/>
      <c r="DL283" s="517"/>
      <c r="DM283" s="517"/>
      <c r="DN283" s="517"/>
      <c r="DO283" s="517"/>
      <c r="DP283" s="517"/>
      <c r="DQ283" s="517"/>
      <c r="DR283" s="517"/>
      <c r="DS283" s="517"/>
      <c r="DT283" s="517"/>
      <c r="DU283" s="517"/>
      <c r="DV283" s="517"/>
      <c r="DW283" s="517"/>
      <c r="DX283" s="517"/>
      <c r="DY283" s="517"/>
      <c r="DZ283" s="517"/>
      <c r="EA283" s="517"/>
      <c r="EB283" s="517"/>
      <c r="EC283" s="517"/>
      <c r="ED283" s="517"/>
      <c r="EE283" s="517"/>
      <c r="EF283" s="517"/>
      <c r="EG283" s="517"/>
      <c r="EH283" s="517"/>
      <c r="EI283" s="517"/>
      <c r="EJ283" s="517"/>
      <c r="EK283" s="517"/>
      <c r="EL283" s="517"/>
      <c r="EM283" s="517"/>
      <c r="EN283" s="517"/>
      <c r="EO283" s="517"/>
      <c r="EP283" s="517"/>
      <c r="EQ283" s="517"/>
      <c r="ER283" s="517"/>
      <c r="ES283" s="627" t="s">
        <v>1140</v>
      </c>
    </row>
    <row r="284">
      <c r="A284" s="517"/>
      <c r="B284" s="517"/>
      <c r="C284" s="517"/>
      <c r="D284" s="517"/>
      <c r="E284" s="517"/>
      <c r="F284" s="517"/>
      <c r="G284" s="517"/>
      <c r="H284" s="517"/>
      <c r="I284" s="517"/>
      <c r="J284" s="517"/>
      <c r="K284" s="517"/>
      <c r="L284" s="517"/>
      <c r="M284" s="517"/>
      <c r="N284" s="517"/>
      <c r="O284" s="517"/>
      <c r="P284" s="517"/>
      <c r="Q284" s="517"/>
      <c r="R284" s="517"/>
      <c r="S284" s="517"/>
      <c r="T284" s="517"/>
      <c r="U284" s="517"/>
      <c r="V284" s="517"/>
      <c r="W284" s="517"/>
      <c r="X284" s="517"/>
      <c r="Y284" s="517"/>
      <c r="Z284" s="517"/>
      <c r="AA284" s="517"/>
      <c r="AB284" s="517"/>
      <c r="AC284" s="517"/>
      <c r="AD284" s="517"/>
      <c r="AE284" s="517"/>
      <c r="AF284" s="517"/>
      <c r="AG284" s="517"/>
      <c r="AH284" s="517"/>
      <c r="AI284" s="517"/>
      <c r="AJ284" s="517"/>
      <c r="AK284" s="517"/>
      <c r="AL284" s="517"/>
      <c r="AM284" s="517"/>
      <c r="AN284" s="517"/>
      <c r="AO284" s="517"/>
      <c r="AP284" s="517"/>
      <c r="AQ284" s="517"/>
      <c r="AR284" s="517"/>
      <c r="AS284" s="517"/>
      <c r="AT284" s="517"/>
      <c r="AU284" s="517"/>
      <c r="AV284" s="517"/>
      <c r="AW284" s="517"/>
      <c r="AX284" s="517"/>
      <c r="AY284" s="517"/>
      <c r="AZ284" s="517"/>
      <c r="BA284" s="517"/>
      <c r="BB284" s="517"/>
      <c r="BC284" s="517"/>
      <c r="BD284" s="517"/>
      <c r="BE284" s="517"/>
      <c r="BF284" s="517"/>
      <c r="BG284" s="517"/>
      <c r="BH284" s="517"/>
      <c r="BI284" s="517"/>
      <c r="BJ284" s="517"/>
      <c r="BK284" s="517"/>
      <c r="BL284" s="517"/>
      <c r="BM284" s="517"/>
      <c r="BN284" s="517"/>
      <c r="BO284" s="517"/>
      <c r="BP284" s="517"/>
      <c r="BQ284" s="517"/>
      <c r="BR284" s="517"/>
      <c r="BS284" s="517"/>
      <c r="BT284" s="517"/>
      <c r="BU284" s="517"/>
      <c r="BV284" s="517"/>
      <c r="BW284" s="517"/>
      <c r="BX284" s="517"/>
      <c r="BY284" s="517"/>
      <c r="BZ284" s="517"/>
      <c r="CA284" s="517"/>
      <c r="CB284" s="517"/>
      <c r="CC284" s="517"/>
      <c r="CD284" s="517"/>
      <c r="CE284" s="517"/>
      <c r="CF284" s="517"/>
      <c r="CG284" s="517"/>
      <c r="CH284" s="517"/>
      <c r="CI284" s="517"/>
      <c r="CJ284" s="517"/>
      <c r="CK284" s="517"/>
      <c r="CL284" s="517"/>
      <c r="CM284" s="517"/>
      <c r="CN284" s="517"/>
      <c r="CO284" s="517"/>
      <c r="CP284" s="517"/>
      <c r="CQ284" s="517"/>
      <c r="CR284" s="517"/>
      <c r="CS284" s="517"/>
      <c r="CT284" s="517"/>
      <c r="CU284" s="517"/>
      <c r="CV284" s="517"/>
      <c r="CW284" s="517"/>
      <c r="CX284" s="517"/>
      <c r="CY284" s="517"/>
      <c r="CZ284" s="517"/>
      <c r="DA284" s="517"/>
      <c r="DB284" s="517"/>
      <c r="DC284" s="517"/>
      <c r="DD284" s="517"/>
      <c r="DE284" s="517"/>
      <c r="DF284" s="517"/>
      <c r="DG284" s="517"/>
      <c r="DH284" s="517"/>
      <c r="DI284" s="517"/>
      <c r="DJ284" s="517"/>
      <c r="DK284" s="517"/>
      <c r="DL284" s="517"/>
      <c r="DM284" s="517"/>
      <c r="DN284" s="517"/>
      <c r="DO284" s="517"/>
      <c r="DP284" s="517"/>
      <c r="DQ284" s="517"/>
      <c r="DR284" s="517"/>
      <c r="DS284" s="517"/>
      <c r="DT284" s="517"/>
      <c r="DU284" s="517"/>
      <c r="DV284" s="517"/>
      <c r="DW284" s="517"/>
      <c r="DX284" s="517"/>
      <c r="DY284" s="517"/>
      <c r="DZ284" s="517"/>
      <c r="EA284" s="517"/>
      <c r="EB284" s="517"/>
      <c r="EC284" s="517"/>
      <c r="ED284" s="517"/>
      <c r="EE284" s="517"/>
      <c r="EF284" s="517"/>
      <c r="EG284" s="517"/>
      <c r="EH284" s="517"/>
      <c r="EI284" s="517"/>
      <c r="EJ284" s="517"/>
      <c r="EK284" s="517"/>
      <c r="EL284" s="517"/>
      <c r="EM284" s="517"/>
      <c r="EN284" s="517"/>
      <c r="EO284" s="517"/>
      <c r="EP284" s="517"/>
      <c r="EQ284" s="517"/>
      <c r="ER284" s="517"/>
      <c r="ES284" s="627" t="s">
        <v>1140</v>
      </c>
    </row>
    <row r="285">
      <c r="A285" s="517"/>
      <c r="B285" s="517"/>
      <c r="C285" s="517"/>
      <c r="D285" s="517"/>
      <c r="E285" s="517"/>
      <c r="F285" s="517"/>
      <c r="G285" s="517"/>
      <c r="H285" s="517"/>
      <c r="I285" s="517"/>
      <c r="J285" s="517"/>
      <c r="K285" s="517"/>
      <c r="L285" s="517"/>
      <c r="M285" s="517"/>
      <c r="N285" s="517"/>
      <c r="O285" s="517"/>
      <c r="P285" s="517"/>
      <c r="Q285" s="517"/>
      <c r="R285" s="517"/>
      <c r="S285" s="517"/>
      <c r="T285" s="517"/>
      <c r="U285" s="517"/>
      <c r="V285" s="517"/>
      <c r="W285" s="517"/>
      <c r="X285" s="517"/>
      <c r="Y285" s="517"/>
      <c r="Z285" s="517"/>
      <c r="AA285" s="517"/>
      <c r="AB285" s="517"/>
      <c r="AC285" s="517"/>
      <c r="AD285" s="517"/>
      <c r="AE285" s="517"/>
      <c r="AF285" s="517"/>
      <c r="AG285" s="517"/>
      <c r="AH285" s="517"/>
      <c r="AI285" s="517"/>
      <c r="AJ285" s="517"/>
      <c r="AK285" s="517"/>
      <c r="AL285" s="517"/>
      <c r="AM285" s="517"/>
      <c r="AN285" s="517"/>
      <c r="AO285" s="517"/>
      <c r="AP285" s="517"/>
      <c r="AQ285" s="517"/>
      <c r="AR285" s="517"/>
      <c r="AS285" s="517"/>
      <c r="AT285" s="517"/>
      <c r="AU285" s="517"/>
      <c r="AV285" s="517"/>
      <c r="AW285" s="517"/>
      <c r="AX285" s="517"/>
      <c r="AY285" s="517"/>
      <c r="AZ285" s="517"/>
      <c r="BA285" s="517"/>
      <c r="BB285" s="517"/>
      <c r="BC285" s="517"/>
      <c r="BD285" s="517"/>
      <c r="BE285" s="517"/>
      <c r="BF285" s="517"/>
      <c r="BG285" s="517"/>
      <c r="BH285" s="517"/>
      <c r="BI285" s="517"/>
      <c r="BJ285" s="517"/>
      <c r="BK285" s="517"/>
      <c r="BL285" s="517"/>
      <c r="BM285" s="517"/>
      <c r="BN285" s="517"/>
      <c r="BO285" s="517"/>
      <c r="BP285" s="517"/>
      <c r="BQ285" s="517"/>
      <c r="BR285" s="517"/>
      <c r="BS285" s="517"/>
      <c r="BT285" s="517"/>
      <c r="BU285" s="517"/>
      <c r="BV285" s="517"/>
      <c r="BW285" s="517"/>
      <c r="BX285" s="517"/>
      <c r="BY285" s="517"/>
      <c r="BZ285" s="517"/>
      <c r="CA285" s="517"/>
      <c r="CB285" s="517"/>
      <c r="CC285" s="517"/>
      <c r="CD285" s="517"/>
      <c r="CE285" s="517"/>
      <c r="CF285" s="517"/>
      <c r="CG285" s="517"/>
      <c r="CH285" s="517"/>
      <c r="CI285" s="517"/>
      <c r="CJ285" s="517"/>
      <c r="CK285" s="517"/>
      <c r="CL285" s="517"/>
      <c r="CM285" s="517"/>
      <c r="CN285" s="517"/>
      <c r="CO285" s="517"/>
      <c r="CP285" s="517"/>
      <c r="CQ285" s="517"/>
      <c r="CR285" s="517"/>
      <c r="CS285" s="517"/>
      <c r="CT285" s="517"/>
      <c r="CU285" s="517"/>
      <c r="CV285" s="517"/>
      <c r="CW285" s="517"/>
      <c r="CX285" s="517"/>
      <c r="CY285" s="517"/>
      <c r="CZ285" s="517"/>
      <c r="DA285" s="517"/>
      <c r="DB285" s="517"/>
      <c r="DC285" s="517"/>
      <c r="DD285" s="517"/>
      <c r="DE285" s="517"/>
      <c r="DF285" s="517"/>
      <c r="DG285" s="517"/>
      <c r="DH285" s="517"/>
      <c r="DI285" s="517"/>
      <c r="DJ285" s="517"/>
      <c r="DK285" s="517"/>
      <c r="DL285" s="517"/>
      <c r="DM285" s="517"/>
      <c r="DN285" s="517"/>
      <c r="DO285" s="517"/>
      <c r="DP285" s="517"/>
      <c r="DQ285" s="517"/>
      <c r="DR285" s="517"/>
      <c r="DS285" s="517"/>
      <c r="DT285" s="517"/>
      <c r="DU285" s="517"/>
      <c r="DV285" s="517"/>
      <c r="DW285" s="517"/>
      <c r="DX285" s="517"/>
      <c r="DY285" s="517"/>
      <c r="DZ285" s="517"/>
      <c r="EA285" s="517"/>
      <c r="EB285" s="517"/>
      <c r="EC285" s="517"/>
      <c r="ED285" s="517"/>
      <c r="EE285" s="517"/>
      <c r="EF285" s="517"/>
      <c r="EG285" s="517"/>
      <c r="EH285" s="517"/>
      <c r="EI285" s="517"/>
      <c r="EJ285" s="517"/>
      <c r="EK285" s="517"/>
      <c r="EL285" s="517"/>
      <c r="EM285" s="517"/>
      <c r="EN285" s="517"/>
      <c r="EO285" s="517"/>
      <c r="EP285" s="517"/>
      <c r="EQ285" s="517"/>
      <c r="ER285" s="517"/>
      <c r="ES285" s="627" t="s">
        <v>1140</v>
      </c>
    </row>
    <row r="286">
      <c r="A286" s="517"/>
      <c r="B286" s="517"/>
      <c r="C286" s="517"/>
      <c r="D286" s="517"/>
      <c r="E286" s="517"/>
      <c r="F286" s="517"/>
      <c r="G286" s="517"/>
      <c r="H286" s="517"/>
      <c r="I286" s="517"/>
      <c r="J286" s="517"/>
      <c r="K286" s="517"/>
      <c r="L286" s="517"/>
      <c r="M286" s="517"/>
      <c r="N286" s="517"/>
      <c r="O286" s="517"/>
      <c r="P286" s="517"/>
      <c r="Q286" s="517"/>
      <c r="R286" s="517"/>
      <c r="S286" s="517"/>
      <c r="T286" s="517"/>
      <c r="U286" s="517"/>
      <c r="V286" s="517"/>
      <c r="W286" s="517"/>
      <c r="X286" s="517"/>
      <c r="Y286" s="517"/>
      <c r="Z286" s="517"/>
      <c r="AA286" s="517"/>
      <c r="AB286" s="517"/>
      <c r="AC286" s="517"/>
      <c r="AD286" s="517"/>
      <c r="AE286" s="517"/>
      <c r="AF286" s="517"/>
      <c r="AG286" s="517"/>
      <c r="AH286" s="517"/>
      <c r="AI286" s="517"/>
      <c r="AJ286" s="517"/>
      <c r="AK286" s="517"/>
      <c r="AL286" s="517"/>
      <c r="AM286" s="517"/>
      <c r="AN286" s="517"/>
      <c r="AO286" s="517"/>
      <c r="AP286" s="517"/>
      <c r="AQ286" s="517"/>
      <c r="AR286" s="517"/>
      <c r="AS286" s="517"/>
      <c r="AT286" s="517"/>
      <c r="AU286" s="517"/>
      <c r="AV286" s="517"/>
      <c r="AW286" s="517"/>
      <c r="AX286" s="517"/>
      <c r="AY286" s="517"/>
      <c r="AZ286" s="517"/>
      <c r="BA286" s="517"/>
      <c r="BB286" s="517"/>
      <c r="BC286" s="517"/>
      <c r="BD286" s="517"/>
      <c r="BE286" s="517"/>
      <c r="BF286" s="517"/>
      <c r="BG286" s="517"/>
      <c r="BH286" s="517"/>
      <c r="BI286" s="517"/>
      <c r="BJ286" s="517"/>
      <c r="BK286" s="517"/>
      <c r="BL286" s="517"/>
      <c r="BM286" s="517"/>
      <c r="BN286" s="517"/>
      <c r="BO286" s="517"/>
      <c r="BP286" s="517"/>
      <c r="BQ286" s="517"/>
      <c r="BR286" s="517"/>
      <c r="BS286" s="517"/>
      <c r="BT286" s="517"/>
      <c r="BU286" s="517"/>
      <c r="BV286" s="517"/>
      <c r="BW286" s="517"/>
      <c r="BX286" s="517"/>
      <c r="BY286" s="517"/>
      <c r="BZ286" s="517"/>
      <c r="CA286" s="517"/>
      <c r="CB286" s="517"/>
      <c r="CC286" s="517"/>
      <c r="CD286" s="517"/>
      <c r="CE286" s="517"/>
      <c r="CF286" s="517"/>
      <c r="CG286" s="517"/>
      <c r="CH286" s="517"/>
      <c r="CI286" s="517"/>
      <c r="CJ286" s="517"/>
      <c r="CK286" s="517"/>
      <c r="CL286" s="517"/>
      <c r="CM286" s="517"/>
      <c r="CN286" s="517"/>
      <c r="CO286" s="517"/>
      <c r="CP286" s="517"/>
      <c r="CQ286" s="517"/>
      <c r="CR286" s="517"/>
      <c r="CS286" s="517"/>
      <c r="CT286" s="517"/>
      <c r="CU286" s="517"/>
      <c r="CV286" s="517"/>
      <c r="CW286" s="517"/>
      <c r="CX286" s="517"/>
      <c r="CY286" s="517"/>
      <c r="CZ286" s="517"/>
      <c r="DA286" s="517"/>
      <c r="DB286" s="517"/>
      <c r="DC286" s="517"/>
      <c r="DD286" s="517"/>
      <c r="DE286" s="517"/>
      <c r="DF286" s="517"/>
      <c r="DG286" s="517"/>
      <c r="DH286" s="517"/>
      <c r="DI286" s="517"/>
      <c r="DJ286" s="517"/>
      <c r="DK286" s="517"/>
      <c r="DL286" s="517"/>
      <c r="DM286" s="517"/>
      <c r="DN286" s="517"/>
      <c r="DO286" s="517"/>
      <c r="DP286" s="517"/>
      <c r="DQ286" s="517"/>
      <c r="DR286" s="517"/>
      <c r="DS286" s="517"/>
      <c r="DT286" s="517"/>
      <c r="DU286" s="517"/>
      <c r="DV286" s="517"/>
      <c r="DW286" s="517"/>
      <c r="DX286" s="517"/>
      <c r="DY286" s="517"/>
      <c r="DZ286" s="517"/>
      <c r="EA286" s="517"/>
      <c r="EB286" s="517"/>
      <c r="EC286" s="517"/>
      <c r="ED286" s="517"/>
      <c r="EE286" s="517"/>
      <c r="EF286" s="517"/>
      <c r="EG286" s="517"/>
      <c r="EH286" s="517"/>
      <c r="EI286" s="517"/>
      <c r="EJ286" s="517"/>
      <c r="EK286" s="517"/>
      <c r="EL286" s="517"/>
      <c r="EM286" s="517"/>
      <c r="EN286" s="517"/>
      <c r="EO286" s="517"/>
      <c r="EP286" s="517"/>
      <c r="EQ286" s="517"/>
      <c r="ER286" s="517"/>
      <c r="ES286" s="627" t="s">
        <v>1140</v>
      </c>
    </row>
    <row r="287">
      <c r="A287" s="517"/>
      <c r="B287" s="517"/>
      <c r="C287" s="517"/>
      <c r="D287" s="517"/>
      <c r="E287" s="517"/>
      <c r="F287" s="517"/>
      <c r="G287" s="517"/>
      <c r="H287" s="517"/>
      <c r="I287" s="517"/>
      <c r="J287" s="517"/>
      <c r="K287" s="517"/>
      <c r="L287" s="517"/>
      <c r="M287" s="517"/>
      <c r="N287" s="517"/>
      <c r="O287" s="517"/>
      <c r="P287" s="517"/>
      <c r="Q287" s="517"/>
      <c r="R287" s="517"/>
      <c r="S287" s="517"/>
      <c r="T287" s="517"/>
      <c r="U287" s="517"/>
      <c r="V287" s="517"/>
      <c r="W287" s="517"/>
      <c r="X287" s="517"/>
      <c r="Y287" s="517"/>
      <c r="Z287" s="517"/>
      <c r="AA287" s="517"/>
      <c r="AB287" s="517"/>
      <c r="AC287" s="517"/>
      <c r="AD287" s="517"/>
      <c r="AE287" s="517"/>
      <c r="AF287" s="517"/>
      <c r="AG287" s="517"/>
      <c r="AH287" s="517"/>
      <c r="AI287" s="517"/>
      <c r="AJ287" s="517"/>
      <c r="AK287" s="517"/>
      <c r="AL287" s="517"/>
      <c r="AM287" s="517"/>
      <c r="AN287" s="517"/>
      <c r="AO287" s="517"/>
      <c r="AP287" s="517"/>
      <c r="AQ287" s="517"/>
      <c r="AR287" s="517"/>
      <c r="AS287" s="517"/>
      <c r="AT287" s="517"/>
      <c r="AU287" s="517"/>
      <c r="AV287" s="517"/>
      <c r="AW287" s="517"/>
      <c r="AX287" s="517"/>
      <c r="AY287" s="517"/>
      <c r="AZ287" s="517"/>
      <c r="BA287" s="517"/>
      <c r="BB287" s="517"/>
      <c r="BC287" s="517"/>
      <c r="BD287" s="517"/>
      <c r="BE287" s="517"/>
      <c r="BF287" s="517"/>
      <c r="BG287" s="517"/>
      <c r="BH287" s="517"/>
      <c r="BI287" s="517"/>
      <c r="BJ287" s="517"/>
      <c r="BK287" s="517"/>
      <c r="BL287" s="517"/>
      <c r="BM287" s="517"/>
      <c r="BN287" s="517"/>
      <c r="BO287" s="517"/>
      <c r="BP287" s="517"/>
      <c r="BQ287" s="517"/>
      <c r="BR287" s="517"/>
      <c r="BS287" s="517"/>
      <c r="BT287" s="517"/>
      <c r="BU287" s="517"/>
      <c r="BV287" s="517"/>
      <c r="BW287" s="517"/>
      <c r="BX287" s="517"/>
      <c r="BY287" s="517"/>
      <c r="BZ287" s="517"/>
      <c r="CA287" s="517"/>
      <c r="CB287" s="517"/>
      <c r="CC287" s="517"/>
      <c r="CD287" s="517"/>
      <c r="CE287" s="517"/>
      <c r="CF287" s="517"/>
      <c r="CG287" s="517"/>
      <c r="CH287" s="517"/>
      <c r="CI287" s="517"/>
      <c r="CJ287" s="517"/>
      <c r="CK287" s="517"/>
      <c r="CL287" s="517"/>
      <c r="CM287" s="517"/>
      <c r="CN287" s="517"/>
      <c r="CO287" s="517"/>
      <c r="CP287" s="517"/>
      <c r="CQ287" s="517"/>
      <c r="CR287" s="517"/>
      <c r="CS287" s="517"/>
      <c r="CT287" s="517"/>
      <c r="CU287" s="517"/>
      <c r="CV287" s="517"/>
      <c r="CW287" s="517"/>
      <c r="CX287" s="517"/>
      <c r="CY287" s="517"/>
      <c r="CZ287" s="517"/>
      <c r="DA287" s="517"/>
      <c r="DB287" s="517"/>
      <c r="DC287" s="517"/>
      <c r="DD287" s="517"/>
      <c r="DE287" s="517"/>
      <c r="DF287" s="517"/>
      <c r="DG287" s="517"/>
      <c r="DH287" s="517"/>
      <c r="DI287" s="517"/>
      <c r="DJ287" s="517"/>
      <c r="DK287" s="517"/>
      <c r="DL287" s="517"/>
      <c r="DM287" s="517"/>
      <c r="DN287" s="517"/>
      <c r="DO287" s="517"/>
      <c r="DP287" s="517"/>
      <c r="DQ287" s="517"/>
      <c r="DR287" s="517"/>
      <c r="DS287" s="517"/>
      <c r="DT287" s="517"/>
      <c r="DU287" s="517"/>
      <c r="DV287" s="517"/>
      <c r="DW287" s="517"/>
      <c r="DX287" s="517"/>
      <c r="DY287" s="517"/>
      <c r="DZ287" s="517"/>
      <c r="EA287" s="517"/>
      <c r="EB287" s="517"/>
      <c r="EC287" s="517"/>
      <c r="ED287" s="517"/>
      <c r="EE287" s="517"/>
      <c r="EF287" s="517"/>
      <c r="EG287" s="517"/>
      <c r="EH287" s="517"/>
      <c r="EI287" s="517"/>
      <c r="EJ287" s="517"/>
      <c r="EK287" s="517"/>
      <c r="EL287" s="517"/>
      <c r="EM287" s="517"/>
      <c r="EN287" s="517"/>
      <c r="EO287" s="517"/>
      <c r="EP287" s="517"/>
      <c r="EQ287" s="517"/>
      <c r="ER287" s="517"/>
      <c r="ES287" s="627" t="s">
        <v>1140</v>
      </c>
    </row>
    <row r="288">
      <c r="A288" s="517"/>
      <c r="B288" s="517"/>
      <c r="C288" s="517"/>
      <c r="D288" s="517"/>
      <c r="E288" s="517"/>
      <c r="F288" s="517"/>
      <c r="G288" s="517"/>
      <c r="H288" s="517"/>
      <c r="I288" s="517"/>
      <c r="J288" s="517"/>
      <c r="K288" s="517"/>
      <c r="L288" s="517"/>
      <c r="M288" s="517"/>
      <c r="N288" s="517"/>
      <c r="O288" s="517"/>
      <c r="P288" s="517"/>
      <c r="Q288" s="517"/>
      <c r="R288" s="517"/>
      <c r="S288" s="517"/>
      <c r="T288" s="517"/>
      <c r="U288" s="517"/>
      <c r="V288" s="517"/>
      <c r="W288" s="517"/>
      <c r="X288" s="517"/>
      <c r="Y288" s="517"/>
      <c r="Z288" s="517"/>
      <c r="AA288" s="517"/>
      <c r="AB288" s="517"/>
      <c r="AC288" s="517"/>
      <c r="AD288" s="517"/>
      <c r="AE288" s="517"/>
      <c r="AF288" s="517"/>
      <c r="AG288" s="517"/>
      <c r="AH288" s="517"/>
      <c r="AI288" s="517"/>
      <c r="AJ288" s="517"/>
      <c r="AK288" s="517"/>
      <c r="AL288" s="517"/>
      <c r="AM288" s="517"/>
      <c r="AN288" s="517"/>
      <c r="AO288" s="517"/>
      <c r="AP288" s="517"/>
      <c r="AQ288" s="517"/>
      <c r="AR288" s="517"/>
      <c r="AS288" s="517"/>
      <c r="AT288" s="517"/>
      <c r="AU288" s="517"/>
      <c r="AV288" s="517"/>
      <c r="AW288" s="517"/>
      <c r="AX288" s="517"/>
      <c r="AY288" s="517"/>
      <c r="AZ288" s="517"/>
      <c r="BA288" s="517"/>
      <c r="BB288" s="517"/>
      <c r="BC288" s="517"/>
      <c r="BD288" s="517"/>
      <c r="BE288" s="517"/>
      <c r="BF288" s="517"/>
      <c r="BG288" s="517"/>
      <c r="BH288" s="517"/>
      <c r="BI288" s="517"/>
      <c r="BJ288" s="517"/>
      <c r="BK288" s="517"/>
      <c r="BL288" s="517"/>
      <c r="BM288" s="517"/>
      <c r="BN288" s="517"/>
      <c r="BO288" s="517"/>
      <c r="BP288" s="517"/>
      <c r="BQ288" s="517"/>
      <c r="BR288" s="517"/>
      <c r="BS288" s="517"/>
      <c r="BT288" s="517"/>
      <c r="BU288" s="517"/>
      <c r="BV288" s="517"/>
      <c r="BW288" s="517"/>
      <c r="BX288" s="517"/>
      <c r="BY288" s="517"/>
      <c r="BZ288" s="517"/>
      <c r="CA288" s="517"/>
      <c r="CB288" s="517"/>
      <c r="CC288" s="517"/>
      <c r="CD288" s="517"/>
      <c r="CE288" s="517"/>
      <c r="CF288" s="517"/>
      <c r="CG288" s="517"/>
      <c r="CH288" s="517"/>
      <c r="CI288" s="517"/>
      <c r="CJ288" s="517"/>
      <c r="CK288" s="517"/>
      <c r="CL288" s="517"/>
      <c r="CM288" s="517"/>
      <c r="CN288" s="517"/>
      <c r="CO288" s="517"/>
      <c r="CP288" s="517"/>
      <c r="CQ288" s="517"/>
      <c r="CR288" s="517"/>
      <c r="CS288" s="517"/>
      <c r="CT288" s="517"/>
      <c r="CU288" s="517"/>
      <c r="CV288" s="517"/>
      <c r="CW288" s="517"/>
      <c r="CX288" s="517"/>
      <c r="CY288" s="517"/>
      <c r="CZ288" s="517"/>
      <c r="DA288" s="517"/>
      <c r="DB288" s="517"/>
      <c r="DC288" s="517"/>
      <c r="DD288" s="517"/>
      <c r="DE288" s="517"/>
      <c r="DF288" s="517"/>
      <c r="DG288" s="517"/>
      <c r="DH288" s="517"/>
      <c r="DI288" s="517"/>
      <c r="DJ288" s="517"/>
      <c r="DK288" s="517"/>
      <c r="DL288" s="517"/>
      <c r="DM288" s="517"/>
      <c r="DN288" s="517"/>
      <c r="DO288" s="517"/>
      <c r="DP288" s="517"/>
      <c r="DQ288" s="517"/>
      <c r="DR288" s="517"/>
      <c r="DS288" s="517"/>
      <c r="DT288" s="517"/>
      <c r="DU288" s="517"/>
      <c r="DV288" s="517"/>
      <c r="DW288" s="517"/>
      <c r="DX288" s="517"/>
      <c r="DY288" s="517"/>
      <c r="DZ288" s="517"/>
      <c r="EA288" s="517"/>
      <c r="EB288" s="517"/>
      <c r="EC288" s="517"/>
      <c r="ED288" s="517"/>
      <c r="EE288" s="517"/>
      <c r="EF288" s="517"/>
      <c r="EG288" s="517"/>
      <c r="EH288" s="517"/>
      <c r="EI288" s="517"/>
      <c r="EJ288" s="517"/>
      <c r="EK288" s="517"/>
      <c r="EL288" s="517"/>
      <c r="EM288" s="517"/>
      <c r="EN288" s="517"/>
      <c r="EO288" s="517"/>
      <c r="EP288" s="517"/>
      <c r="EQ288" s="517"/>
      <c r="ER288" s="517"/>
      <c r="ES288" s="627" t="s">
        <v>1140</v>
      </c>
    </row>
    <row r="289">
      <c r="A289" s="517"/>
      <c r="B289" s="517"/>
      <c r="C289" s="517"/>
      <c r="D289" s="517"/>
      <c r="E289" s="517"/>
      <c r="F289" s="517"/>
      <c r="G289" s="517"/>
      <c r="H289" s="517"/>
      <c r="I289" s="517"/>
      <c r="J289" s="517"/>
      <c r="K289" s="517"/>
      <c r="L289" s="517"/>
      <c r="M289" s="517"/>
      <c r="N289" s="517"/>
      <c r="O289" s="517"/>
      <c r="P289" s="517"/>
      <c r="Q289" s="517"/>
      <c r="R289" s="517"/>
      <c r="S289" s="517"/>
      <c r="T289" s="517"/>
      <c r="U289" s="517"/>
      <c r="V289" s="517"/>
      <c r="W289" s="517"/>
      <c r="X289" s="517"/>
      <c r="Y289" s="517"/>
      <c r="Z289" s="517"/>
      <c r="AA289" s="517"/>
      <c r="AB289" s="517"/>
      <c r="AC289" s="517"/>
      <c r="AD289" s="517"/>
      <c r="AE289" s="517"/>
      <c r="AF289" s="517"/>
      <c r="AG289" s="517"/>
      <c r="AH289" s="517"/>
      <c r="AI289" s="517"/>
      <c r="AJ289" s="517"/>
      <c r="AK289" s="517"/>
      <c r="AL289" s="517"/>
      <c r="AM289" s="517"/>
      <c r="AN289" s="517"/>
      <c r="AO289" s="517"/>
      <c r="AP289" s="517"/>
      <c r="AQ289" s="517"/>
      <c r="AR289" s="517"/>
      <c r="AS289" s="517"/>
      <c r="AT289" s="517"/>
      <c r="AU289" s="517"/>
      <c r="AV289" s="517"/>
      <c r="AW289" s="517"/>
      <c r="AX289" s="517"/>
      <c r="AY289" s="517"/>
      <c r="AZ289" s="517"/>
      <c r="BA289" s="517"/>
      <c r="BB289" s="517"/>
      <c r="BC289" s="517"/>
      <c r="BD289" s="517"/>
      <c r="BE289" s="517"/>
      <c r="BF289" s="517"/>
      <c r="BG289" s="517"/>
      <c r="BH289" s="517"/>
      <c r="BI289" s="517"/>
      <c r="BJ289" s="517"/>
      <c r="BK289" s="517"/>
      <c r="BL289" s="517"/>
      <c r="BM289" s="517"/>
      <c r="BN289" s="517"/>
      <c r="BO289" s="517"/>
      <c r="BP289" s="517"/>
      <c r="BQ289" s="517"/>
      <c r="BR289" s="517"/>
      <c r="BS289" s="517"/>
      <c r="BT289" s="517"/>
      <c r="BU289" s="517"/>
      <c r="BV289" s="517"/>
      <c r="BW289" s="517"/>
      <c r="BX289" s="517"/>
      <c r="BY289" s="517"/>
      <c r="BZ289" s="517"/>
      <c r="CA289" s="517"/>
      <c r="CB289" s="517"/>
      <c r="CC289" s="517"/>
      <c r="CD289" s="517"/>
      <c r="CE289" s="517"/>
      <c r="CF289" s="517"/>
      <c r="CG289" s="517"/>
      <c r="CH289" s="517"/>
      <c r="CI289" s="517"/>
      <c r="CJ289" s="517"/>
      <c r="CK289" s="517"/>
      <c r="CL289" s="517"/>
      <c r="CM289" s="517"/>
      <c r="CN289" s="517"/>
      <c r="CO289" s="517"/>
      <c r="CP289" s="517"/>
      <c r="CQ289" s="517"/>
      <c r="CR289" s="517"/>
      <c r="CS289" s="517"/>
      <c r="CT289" s="517"/>
      <c r="CU289" s="517"/>
      <c r="CV289" s="517"/>
      <c r="CW289" s="517"/>
      <c r="CX289" s="517"/>
      <c r="CY289" s="517"/>
      <c r="CZ289" s="517"/>
      <c r="DA289" s="517"/>
      <c r="DB289" s="517"/>
      <c r="DC289" s="517"/>
      <c r="DD289" s="517"/>
      <c r="DE289" s="517"/>
      <c r="DF289" s="517"/>
      <c r="DG289" s="517"/>
      <c r="DH289" s="517"/>
      <c r="DI289" s="517"/>
      <c r="DJ289" s="517"/>
      <c r="DK289" s="517"/>
      <c r="DL289" s="517"/>
      <c r="DM289" s="517"/>
      <c r="DN289" s="517"/>
      <c r="DO289" s="517"/>
      <c r="DP289" s="517"/>
      <c r="DQ289" s="517"/>
      <c r="DR289" s="517"/>
      <c r="DS289" s="517"/>
      <c r="DT289" s="517"/>
      <c r="DU289" s="517"/>
      <c r="DV289" s="517"/>
      <c r="DW289" s="517"/>
      <c r="DX289" s="517"/>
      <c r="DY289" s="517"/>
      <c r="DZ289" s="517"/>
      <c r="EA289" s="517"/>
      <c r="EB289" s="517"/>
      <c r="EC289" s="517"/>
      <c r="ED289" s="517"/>
      <c r="EE289" s="517"/>
      <c r="EF289" s="517"/>
      <c r="EG289" s="517"/>
      <c r="EH289" s="517"/>
      <c r="EI289" s="517"/>
      <c r="EJ289" s="517"/>
      <c r="EK289" s="517"/>
      <c r="EL289" s="517"/>
      <c r="EM289" s="517"/>
      <c r="EN289" s="517"/>
      <c r="EO289" s="517"/>
      <c r="EP289" s="517"/>
      <c r="EQ289" s="517"/>
      <c r="ER289" s="517"/>
      <c r="ES289" s="627" t="s">
        <v>1140</v>
      </c>
    </row>
    <row r="290">
      <c r="A290" s="517"/>
      <c r="B290" s="517"/>
      <c r="C290" s="517"/>
      <c r="D290" s="517"/>
      <c r="E290" s="517"/>
      <c r="F290" s="517"/>
      <c r="G290" s="517"/>
      <c r="H290" s="517"/>
      <c r="I290" s="517"/>
      <c r="J290" s="517"/>
      <c r="K290" s="517"/>
      <c r="L290" s="517"/>
      <c r="M290" s="517"/>
      <c r="N290" s="517"/>
      <c r="O290" s="517"/>
      <c r="P290" s="517"/>
      <c r="Q290" s="517"/>
      <c r="R290" s="517"/>
      <c r="S290" s="517"/>
      <c r="T290" s="517"/>
      <c r="U290" s="517"/>
      <c r="V290" s="517"/>
      <c r="W290" s="517"/>
      <c r="X290" s="517"/>
      <c r="Y290" s="517"/>
      <c r="Z290" s="517"/>
      <c r="AA290" s="517"/>
      <c r="AB290" s="517"/>
      <c r="AC290" s="517"/>
      <c r="AD290" s="517"/>
      <c r="AE290" s="517"/>
      <c r="AF290" s="517"/>
      <c r="AG290" s="517"/>
      <c r="AH290" s="517"/>
      <c r="AI290" s="517"/>
      <c r="AJ290" s="517"/>
      <c r="AK290" s="517"/>
      <c r="AL290" s="517"/>
      <c r="AM290" s="517"/>
      <c r="AN290" s="517"/>
      <c r="AO290" s="517"/>
      <c r="AP290" s="517"/>
      <c r="AQ290" s="517"/>
      <c r="AR290" s="517"/>
      <c r="AS290" s="517"/>
      <c r="AT290" s="517"/>
      <c r="AU290" s="517"/>
      <c r="AV290" s="517"/>
      <c r="AW290" s="517"/>
      <c r="AX290" s="517"/>
      <c r="AY290" s="517"/>
      <c r="AZ290" s="517"/>
      <c r="BA290" s="517"/>
      <c r="BB290" s="517"/>
      <c r="BC290" s="517"/>
      <c r="BD290" s="517"/>
      <c r="BE290" s="517"/>
      <c r="BF290" s="517"/>
      <c r="BG290" s="517"/>
      <c r="BH290" s="517"/>
      <c r="BI290" s="517"/>
      <c r="BJ290" s="517"/>
      <c r="BK290" s="517"/>
      <c r="BL290" s="517"/>
      <c r="BM290" s="517"/>
      <c r="BN290" s="517"/>
      <c r="BO290" s="517"/>
      <c r="BP290" s="517"/>
      <c r="BQ290" s="517"/>
      <c r="BR290" s="517"/>
      <c r="BS290" s="517"/>
      <c r="BT290" s="517"/>
      <c r="BU290" s="517"/>
      <c r="BV290" s="517"/>
      <c r="BW290" s="517"/>
      <c r="BX290" s="517"/>
      <c r="BY290" s="517"/>
      <c r="BZ290" s="517"/>
      <c r="CA290" s="517"/>
      <c r="CB290" s="517"/>
      <c r="CC290" s="517"/>
      <c r="CD290" s="517"/>
      <c r="CE290" s="517"/>
      <c r="CF290" s="517"/>
      <c r="CG290" s="517"/>
      <c r="CH290" s="517"/>
      <c r="CI290" s="517"/>
      <c r="CJ290" s="517"/>
      <c r="CK290" s="517"/>
      <c r="CL290" s="517"/>
      <c r="CM290" s="517"/>
      <c r="CN290" s="517"/>
      <c r="CO290" s="517"/>
      <c r="CP290" s="517"/>
      <c r="CQ290" s="517"/>
      <c r="CR290" s="517"/>
      <c r="CS290" s="517"/>
      <c r="CT290" s="517"/>
      <c r="CU290" s="517"/>
      <c r="CV290" s="517"/>
      <c r="CW290" s="517"/>
      <c r="CX290" s="517"/>
      <c r="CY290" s="517"/>
      <c r="CZ290" s="517"/>
      <c r="DA290" s="517"/>
      <c r="DB290" s="517"/>
      <c r="DC290" s="517"/>
      <c r="DD290" s="517"/>
      <c r="DE290" s="517"/>
      <c r="DF290" s="517"/>
      <c r="DG290" s="517"/>
      <c r="DH290" s="517"/>
      <c r="DI290" s="517"/>
      <c r="DJ290" s="517"/>
      <c r="DK290" s="517"/>
      <c r="DL290" s="517"/>
      <c r="DM290" s="517"/>
      <c r="DN290" s="517"/>
      <c r="DO290" s="517"/>
      <c r="DP290" s="517"/>
      <c r="DQ290" s="517"/>
      <c r="DR290" s="517"/>
      <c r="DS290" s="517"/>
      <c r="DT290" s="517"/>
      <c r="DU290" s="517"/>
      <c r="DV290" s="517"/>
      <c r="DW290" s="517"/>
      <c r="DX290" s="517"/>
      <c r="DY290" s="517"/>
      <c r="DZ290" s="517"/>
      <c r="EA290" s="517"/>
      <c r="EB290" s="517"/>
      <c r="EC290" s="517"/>
      <c r="ED290" s="517"/>
      <c r="EE290" s="517"/>
      <c r="EF290" s="517"/>
      <c r="EG290" s="517"/>
      <c r="EH290" s="517"/>
      <c r="EI290" s="517"/>
      <c r="EJ290" s="517"/>
      <c r="EK290" s="517"/>
      <c r="EL290" s="517"/>
      <c r="EM290" s="517"/>
      <c r="EN290" s="517"/>
      <c r="EO290" s="517"/>
      <c r="EP290" s="517"/>
      <c r="EQ290" s="517"/>
      <c r="ER290" s="517"/>
      <c r="ES290" s="627" t="s">
        <v>1140</v>
      </c>
    </row>
    <row r="291">
      <c r="A291" s="517"/>
      <c r="B291" s="517"/>
      <c r="C291" s="517"/>
      <c r="D291" s="517"/>
      <c r="E291" s="517"/>
      <c r="F291" s="517"/>
      <c r="G291" s="517"/>
      <c r="H291" s="517"/>
      <c r="I291" s="517"/>
      <c r="J291" s="517"/>
      <c r="K291" s="517"/>
      <c r="L291" s="517"/>
      <c r="M291" s="517"/>
      <c r="N291" s="517"/>
      <c r="O291" s="517"/>
      <c r="P291" s="517"/>
      <c r="Q291" s="517"/>
      <c r="R291" s="517"/>
      <c r="S291" s="517"/>
      <c r="T291" s="517"/>
      <c r="U291" s="517"/>
      <c r="V291" s="517"/>
      <c r="W291" s="517"/>
      <c r="X291" s="517"/>
      <c r="Y291" s="517"/>
      <c r="Z291" s="517"/>
      <c r="AA291" s="517"/>
      <c r="AB291" s="517"/>
      <c r="AC291" s="517"/>
      <c r="AD291" s="517"/>
      <c r="AE291" s="517"/>
      <c r="AF291" s="517"/>
      <c r="AG291" s="517"/>
      <c r="AH291" s="517"/>
      <c r="AI291" s="517"/>
      <c r="AJ291" s="517"/>
      <c r="AK291" s="517"/>
      <c r="AL291" s="517"/>
      <c r="AM291" s="517"/>
      <c r="AN291" s="517"/>
      <c r="AO291" s="517"/>
      <c r="AP291" s="517"/>
      <c r="AQ291" s="517"/>
      <c r="AR291" s="517"/>
      <c r="AS291" s="517"/>
      <c r="AT291" s="517"/>
      <c r="AU291" s="517"/>
      <c r="AV291" s="517"/>
      <c r="AW291" s="517"/>
      <c r="AX291" s="517"/>
      <c r="AY291" s="517"/>
      <c r="AZ291" s="517"/>
      <c r="BA291" s="517"/>
      <c r="BB291" s="517"/>
      <c r="BC291" s="517"/>
      <c r="BD291" s="517"/>
      <c r="BE291" s="517"/>
      <c r="BF291" s="517"/>
      <c r="BG291" s="517"/>
      <c r="BH291" s="517"/>
      <c r="BI291" s="517"/>
      <c r="BJ291" s="517"/>
      <c r="BK291" s="517"/>
      <c r="BL291" s="517"/>
      <c r="BM291" s="517"/>
      <c r="BN291" s="517"/>
      <c r="BO291" s="517"/>
      <c r="BP291" s="517"/>
      <c r="BQ291" s="517"/>
      <c r="BR291" s="517"/>
      <c r="BS291" s="517"/>
      <c r="BT291" s="517"/>
      <c r="BU291" s="517"/>
      <c r="BV291" s="517"/>
      <c r="BW291" s="517"/>
      <c r="BX291" s="517"/>
      <c r="BY291" s="517"/>
      <c r="BZ291" s="517"/>
      <c r="CA291" s="517"/>
      <c r="CB291" s="517"/>
      <c r="CC291" s="517"/>
      <c r="CD291" s="517"/>
      <c r="CE291" s="517"/>
      <c r="CF291" s="517"/>
      <c r="CG291" s="517"/>
      <c r="CH291" s="517"/>
      <c r="CI291" s="517"/>
      <c r="CJ291" s="517"/>
      <c r="CK291" s="517"/>
      <c r="CL291" s="517"/>
      <c r="CM291" s="517"/>
      <c r="CN291" s="517"/>
      <c r="CO291" s="517"/>
      <c r="CP291" s="517"/>
      <c r="CQ291" s="517"/>
      <c r="CR291" s="517"/>
      <c r="CS291" s="517"/>
      <c r="CT291" s="517"/>
      <c r="CU291" s="517"/>
      <c r="CV291" s="517"/>
      <c r="CW291" s="517"/>
      <c r="CX291" s="517"/>
      <c r="CY291" s="517"/>
      <c r="CZ291" s="517"/>
      <c r="DA291" s="517"/>
      <c r="DB291" s="517"/>
      <c r="DC291" s="517"/>
      <c r="DD291" s="517"/>
      <c r="DE291" s="517"/>
      <c r="DF291" s="517"/>
      <c r="DG291" s="517"/>
      <c r="DH291" s="517"/>
      <c r="DI291" s="517"/>
      <c r="DJ291" s="517"/>
      <c r="DK291" s="517"/>
      <c r="DL291" s="517"/>
      <c r="DM291" s="517"/>
      <c r="DN291" s="517"/>
      <c r="DO291" s="517"/>
      <c r="DP291" s="517"/>
      <c r="DQ291" s="517"/>
      <c r="DR291" s="517"/>
      <c r="DS291" s="517"/>
      <c r="DT291" s="517"/>
      <c r="DU291" s="517"/>
      <c r="DV291" s="517"/>
      <c r="DW291" s="517"/>
      <c r="DX291" s="517"/>
      <c r="DY291" s="517"/>
      <c r="DZ291" s="517"/>
      <c r="EA291" s="517"/>
      <c r="EB291" s="517"/>
      <c r="EC291" s="517"/>
      <c r="ED291" s="517"/>
      <c r="EE291" s="517"/>
      <c r="EF291" s="517"/>
      <c r="EG291" s="517"/>
      <c r="EH291" s="517"/>
      <c r="EI291" s="517"/>
      <c r="EJ291" s="517"/>
      <c r="EK291" s="517"/>
      <c r="EL291" s="517"/>
      <c r="EM291" s="517"/>
      <c r="EN291" s="517"/>
      <c r="EO291" s="517"/>
      <c r="EP291" s="517"/>
      <c r="EQ291" s="517"/>
      <c r="ER291" s="517"/>
      <c r="ES291" s="627" t="s">
        <v>1140</v>
      </c>
    </row>
    <row r="292">
      <c r="A292" s="517"/>
      <c r="B292" s="517"/>
      <c r="C292" s="517"/>
      <c r="D292" s="517"/>
      <c r="E292" s="517"/>
      <c r="F292" s="517"/>
      <c r="G292" s="517"/>
      <c r="H292" s="517"/>
      <c r="I292" s="517"/>
      <c r="J292" s="517"/>
      <c r="K292" s="517"/>
      <c r="L292" s="517"/>
      <c r="M292" s="517"/>
      <c r="N292" s="517"/>
      <c r="O292" s="517"/>
      <c r="P292" s="517"/>
      <c r="Q292" s="517"/>
      <c r="R292" s="517"/>
      <c r="S292" s="517"/>
      <c r="T292" s="517"/>
      <c r="U292" s="517"/>
      <c r="V292" s="517"/>
      <c r="W292" s="517"/>
      <c r="X292" s="517"/>
      <c r="Y292" s="517"/>
      <c r="Z292" s="517"/>
      <c r="AA292" s="517"/>
      <c r="AB292" s="517"/>
      <c r="AC292" s="517"/>
      <c r="AD292" s="517"/>
      <c r="AE292" s="517"/>
      <c r="AF292" s="517"/>
      <c r="AG292" s="517"/>
      <c r="AH292" s="517"/>
      <c r="AI292" s="517"/>
      <c r="AJ292" s="517"/>
      <c r="AK292" s="517"/>
      <c r="AL292" s="517"/>
      <c r="AM292" s="517"/>
      <c r="AN292" s="517"/>
      <c r="AO292" s="517"/>
      <c r="AP292" s="517"/>
      <c r="AQ292" s="517"/>
      <c r="AR292" s="517"/>
      <c r="AS292" s="517"/>
      <c r="AT292" s="517"/>
      <c r="AU292" s="517"/>
      <c r="AV292" s="517"/>
      <c r="AW292" s="517"/>
      <c r="AX292" s="517"/>
      <c r="AY292" s="517"/>
      <c r="AZ292" s="517"/>
      <c r="BA292" s="517"/>
      <c r="BB292" s="517"/>
      <c r="BC292" s="517"/>
      <c r="BD292" s="517"/>
      <c r="BE292" s="517"/>
      <c r="BF292" s="517"/>
      <c r="BG292" s="517"/>
      <c r="BH292" s="517"/>
      <c r="BI292" s="517"/>
      <c r="BJ292" s="517"/>
      <c r="BK292" s="517"/>
      <c r="BL292" s="517"/>
      <c r="BM292" s="517"/>
      <c r="BN292" s="517"/>
      <c r="BO292" s="517"/>
      <c r="BP292" s="517"/>
      <c r="BQ292" s="517"/>
      <c r="BR292" s="517"/>
      <c r="BS292" s="517"/>
      <c r="BT292" s="517"/>
      <c r="BU292" s="517"/>
      <c r="BV292" s="517"/>
      <c r="BW292" s="517"/>
      <c r="BX292" s="517"/>
      <c r="BY292" s="517"/>
      <c r="BZ292" s="517"/>
      <c r="CA292" s="517"/>
      <c r="CB292" s="517"/>
      <c r="CC292" s="517"/>
      <c r="CD292" s="517"/>
      <c r="CE292" s="517"/>
      <c r="CF292" s="517"/>
      <c r="CG292" s="517"/>
      <c r="CH292" s="517"/>
      <c r="CI292" s="517"/>
      <c r="CJ292" s="517"/>
      <c r="CK292" s="517"/>
      <c r="CL292" s="517"/>
      <c r="CM292" s="517"/>
      <c r="CN292" s="517"/>
      <c r="CO292" s="517"/>
      <c r="CP292" s="517"/>
      <c r="CQ292" s="517"/>
      <c r="CR292" s="517"/>
      <c r="CS292" s="517"/>
      <c r="CT292" s="517"/>
      <c r="CU292" s="517"/>
      <c r="CV292" s="517"/>
      <c r="CW292" s="517"/>
      <c r="CX292" s="517"/>
      <c r="CY292" s="517"/>
      <c r="CZ292" s="517"/>
      <c r="DA292" s="517"/>
      <c r="DB292" s="517"/>
      <c r="DC292" s="517"/>
      <c r="DD292" s="517"/>
      <c r="DE292" s="517"/>
      <c r="DF292" s="517"/>
      <c r="DG292" s="517"/>
      <c r="DH292" s="517"/>
      <c r="DI292" s="517"/>
      <c r="DJ292" s="517"/>
      <c r="DK292" s="517"/>
      <c r="DL292" s="517"/>
      <c r="DM292" s="517"/>
      <c r="DN292" s="517"/>
      <c r="DO292" s="517"/>
      <c r="DP292" s="517"/>
      <c r="DQ292" s="517"/>
      <c r="DR292" s="517"/>
      <c r="DS292" s="517"/>
      <c r="DT292" s="517"/>
      <c r="DU292" s="517"/>
      <c r="DV292" s="517"/>
      <c r="DW292" s="517"/>
      <c r="DX292" s="517"/>
      <c r="DY292" s="517"/>
      <c r="DZ292" s="517"/>
      <c r="EA292" s="517"/>
      <c r="EB292" s="517"/>
      <c r="EC292" s="517"/>
      <c r="ED292" s="517"/>
      <c r="EE292" s="517"/>
      <c r="EF292" s="517"/>
      <c r="EG292" s="517"/>
      <c r="EH292" s="517"/>
      <c r="EI292" s="517"/>
      <c r="EJ292" s="517"/>
      <c r="EK292" s="517"/>
      <c r="EL292" s="517"/>
      <c r="EM292" s="517"/>
      <c r="EN292" s="517"/>
      <c r="EO292" s="517"/>
      <c r="EP292" s="517"/>
      <c r="EQ292" s="517"/>
      <c r="ER292" s="517"/>
      <c r="ES292" s="627" t="s">
        <v>1140</v>
      </c>
    </row>
    <row r="293">
      <c r="A293" s="517"/>
      <c r="B293" s="517"/>
      <c r="C293" s="517"/>
      <c r="D293" s="517"/>
      <c r="E293" s="517"/>
      <c r="F293" s="517"/>
      <c r="G293" s="517"/>
      <c r="H293" s="517"/>
      <c r="I293" s="517"/>
      <c r="J293" s="517"/>
      <c r="K293" s="517"/>
      <c r="L293" s="517"/>
      <c r="M293" s="517"/>
      <c r="N293" s="517"/>
      <c r="O293" s="517"/>
      <c r="P293" s="517"/>
      <c r="Q293" s="517"/>
      <c r="R293" s="517"/>
      <c r="S293" s="517"/>
      <c r="T293" s="517"/>
      <c r="U293" s="517"/>
      <c r="V293" s="517"/>
      <c r="W293" s="517"/>
      <c r="X293" s="517"/>
      <c r="Y293" s="517"/>
      <c r="Z293" s="517"/>
      <c r="AA293" s="517"/>
      <c r="AB293" s="517"/>
      <c r="AC293" s="517"/>
      <c r="AD293" s="517"/>
      <c r="AE293" s="517"/>
      <c r="AF293" s="517"/>
      <c r="AG293" s="517"/>
      <c r="AH293" s="517"/>
      <c r="AI293" s="517"/>
      <c r="AJ293" s="517"/>
      <c r="AK293" s="517"/>
      <c r="AL293" s="517"/>
      <c r="AM293" s="517"/>
      <c r="AN293" s="517"/>
      <c r="AO293" s="517"/>
      <c r="AP293" s="517"/>
      <c r="AQ293" s="517"/>
      <c r="AR293" s="517"/>
      <c r="AS293" s="517"/>
      <c r="AT293" s="517"/>
      <c r="AU293" s="517"/>
      <c r="AV293" s="517"/>
      <c r="AW293" s="517"/>
      <c r="AX293" s="517"/>
      <c r="AY293" s="517"/>
      <c r="AZ293" s="517"/>
      <c r="BA293" s="517"/>
      <c r="BB293" s="517"/>
      <c r="BC293" s="517"/>
      <c r="BD293" s="517"/>
      <c r="BE293" s="517"/>
      <c r="BF293" s="517"/>
      <c r="BG293" s="517"/>
      <c r="BH293" s="517"/>
      <c r="BI293" s="517"/>
      <c r="BJ293" s="517"/>
      <c r="BK293" s="517"/>
      <c r="BL293" s="517"/>
      <c r="BM293" s="517"/>
      <c r="BN293" s="517"/>
      <c r="BO293" s="517"/>
      <c r="BP293" s="517"/>
      <c r="BQ293" s="517"/>
      <c r="BR293" s="517"/>
      <c r="BS293" s="517"/>
      <c r="BT293" s="517"/>
      <c r="BU293" s="517"/>
      <c r="BV293" s="517"/>
      <c r="BW293" s="517"/>
      <c r="BX293" s="517"/>
      <c r="BY293" s="517"/>
      <c r="BZ293" s="517"/>
      <c r="CA293" s="517"/>
      <c r="CB293" s="517"/>
      <c r="CC293" s="517"/>
      <c r="CD293" s="517"/>
      <c r="CE293" s="517"/>
      <c r="CF293" s="517"/>
      <c r="CG293" s="517"/>
      <c r="CH293" s="517"/>
      <c r="CI293" s="517"/>
      <c r="CJ293" s="517"/>
      <c r="CK293" s="517"/>
      <c r="CL293" s="517"/>
      <c r="CM293" s="517"/>
      <c r="CN293" s="517"/>
      <c r="CO293" s="517"/>
      <c r="CP293" s="517"/>
      <c r="CQ293" s="517"/>
      <c r="CR293" s="517"/>
      <c r="CS293" s="517"/>
      <c r="CT293" s="517"/>
      <c r="CU293" s="517"/>
      <c r="CV293" s="517"/>
      <c r="CW293" s="517"/>
      <c r="CX293" s="517"/>
      <c r="CY293" s="517"/>
      <c r="CZ293" s="517"/>
      <c r="DA293" s="517"/>
      <c r="DB293" s="517"/>
      <c r="DC293" s="517"/>
      <c r="DD293" s="517"/>
      <c r="DE293" s="517"/>
      <c r="DF293" s="517"/>
      <c r="DG293" s="517"/>
      <c r="DH293" s="517"/>
      <c r="DI293" s="517"/>
      <c r="DJ293" s="517"/>
      <c r="DK293" s="517"/>
      <c r="DL293" s="517"/>
      <c r="DM293" s="517"/>
      <c r="DN293" s="517"/>
      <c r="DO293" s="517"/>
      <c r="DP293" s="517"/>
      <c r="DQ293" s="517"/>
      <c r="DR293" s="517"/>
      <c r="DS293" s="517"/>
      <c r="DT293" s="517"/>
      <c r="DU293" s="517"/>
      <c r="DV293" s="517"/>
      <c r="DW293" s="517"/>
      <c r="DX293" s="517"/>
      <c r="DY293" s="517"/>
      <c r="DZ293" s="517"/>
      <c r="EA293" s="517"/>
      <c r="EB293" s="517"/>
      <c r="EC293" s="517"/>
      <c r="ED293" s="517"/>
      <c r="EE293" s="517"/>
      <c r="EF293" s="517"/>
      <c r="EG293" s="517"/>
      <c r="EH293" s="517"/>
      <c r="EI293" s="517"/>
      <c r="EJ293" s="517"/>
      <c r="EK293" s="517"/>
      <c r="EL293" s="517"/>
      <c r="EM293" s="517"/>
      <c r="EN293" s="517"/>
      <c r="EO293" s="517"/>
      <c r="EP293" s="517"/>
      <c r="EQ293" s="517"/>
      <c r="ER293" s="517"/>
      <c r="ES293" s="627" t="s">
        <v>1140</v>
      </c>
    </row>
    <row r="294">
      <c r="A294" s="517"/>
      <c r="B294" s="517"/>
      <c r="C294" s="517"/>
      <c r="D294" s="517"/>
      <c r="E294" s="517"/>
      <c r="F294" s="517"/>
      <c r="G294" s="517"/>
      <c r="H294" s="517"/>
      <c r="I294" s="517"/>
      <c r="J294" s="517"/>
      <c r="K294" s="517"/>
      <c r="L294" s="517"/>
      <c r="M294" s="517"/>
      <c r="N294" s="517"/>
      <c r="O294" s="517"/>
      <c r="P294" s="517"/>
      <c r="Q294" s="517"/>
      <c r="R294" s="517"/>
      <c r="S294" s="517"/>
      <c r="T294" s="517"/>
      <c r="U294" s="517"/>
      <c r="V294" s="517"/>
      <c r="W294" s="517"/>
      <c r="X294" s="517"/>
      <c r="Y294" s="517"/>
      <c r="Z294" s="517"/>
      <c r="AA294" s="517"/>
      <c r="AB294" s="517"/>
      <c r="AC294" s="517"/>
      <c r="AD294" s="517"/>
      <c r="AE294" s="517"/>
      <c r="AF294" s="517"/>
      <c r="AG294" s="517"/>
      <c r="AH294" s="517"/>
      <c r="AI294" s="517"/>
      <c r="AJ294" s="517"/>
      <c r="AK294" s="517"/>
      <c r="AL294" s="517"/>
      <c r="AM294" s="517"/>
      <c r="AN294" s="517"/>
      <c r="AO294" s="517"/>
      <c r="AP294" s="517"/>
      <c r="AQ294" s="517"/>
      <c r="AR294" s="517"/>
      <c r="AS294" s="517"/>
      <c r="AT294" s="517"/>
      <c r="AU294" s="517"/>
      <c r="AV294" s="517"/>
      <c r="AW294" s="517"/>
      <c r="AX294" s="517"/>
      <c r="AY294" s="517"/>
      <c r="AZ294" s="517"/>
      <c r="BA294" s="517"/>
      <c r="BB294" s="517"/>
      <c r="BC294" s="517"/>
      <c r="BD294" s="517"/>
      <c r="BE294" s="517"/>
      <c r="BF294" s="517"/>
      <c r="BG294" s="517"/>
      <c r="BH294" s="517"/>
      <c r="BI294" s="517"/>
      <c r="BJ294" s="517"/>
      <c r="BK294" s="517"/>
      <c r="BL294" s="517"/>
      <c r="BM294" s="517"/>
      <c r="BN294" s="517"/>
      <c r="BO294" s="517"/>
      <c r="BP294" s="517"/>
      <c r="BQ294" s="517"/>
      <c r="BR294" s="517"/>
      <c r="BS294" s="517"/>
      <c r="BT294" s="517"/>
      <c r="BU294" s="517"/>
      <c r="BV294" s="517"/>
      <c r="BW294" s="517"/>
      <c r="BX294" s="517"/>
      <c r="BY294" s="517"/>
      <c r="BZ294" s="517"/>
      <c r="CA294" s="517"/>
      <c r="CB294" s="517"/>
      <c r="CC294" s="517"/>
      <c r="CD294" s="517"/>
      <c r="CE294" s="517"/>
      <c r="CF294" s="517"/>
      <c r="CG294" s="517"/>
      <c r="CH294" s="517"/>
      <c r="CI294" s="517"/>
      <c r="CJ294" s="517"/>
      <c r="CK294" s="517"/>
      <c r="CL294" s="517"/>
      <c r="CM294" s="517"/>
      <c r="CN294" s="517"/>
      <c r="CO294" s="517"/>
      <c r="CP294" s="517"/>
      <c r="CQ294" s="517"/>
      <c r="CR294" s="517"/>
      <c r="CS294" s="517"/>
      <c r="CT294" s="517"/>
      <c r="CU294" s="517"/>
      <c r="CV294" s="517"/>
      <c r="CW294" s="517"/>
      <c r="CX294" s="517"/>
      <c r="CY294" s="517"/>
      <c r="CZ294" s="517"/>
      <c r="DA294" s="517"/>
      <c r="DB294" s="517"/>
      <c r="DC294" s="517"/>
      <c r="DD294" s="517"/>
      <c r="DE294" s="517"/>
      <c r="DF294" s="517"/>
      <c r="DG294" s="517"/>
      <c r="DH294" s="517"/>
      <c r="DI294" s="517"/>
      <c r="DJ294" s="517"/>
      <c r="DK294" s="517"/>
      <c r="DL294" s="517"/>
      <c r="DM294" s="517"/>
      <c r="DN294" s="517"/>
      <c r="DO294" s="517"/>
      <c r="DP294" s="517"/>
      <c r="DQ294" s="517"/>
      <c r="DR294" s="517"/>
      <c r="DS294" s="517"/>
      <c r="DT294" s="517"/>
      <c r="DU294" s="517"/>
      <c r="DV294" s="517"/>
      <c r="DW294" s="517"/>
      <c r="DX294" s="517"/>
      <c r="DY294" s="517"/>
      <c r="DZ294" s="517"/>
      <c r="EA294" s="517"/>
      <c r="EB294" s="517"/>
      <c r="EC294" s="517"/>
      <c r="ED294" s="517"/>
      <c r="EE294" s="517"/>
      <c r="EF294" s="517"/>
      <c r="EG294" s="517"/>
      <c r="EH294" s="517"/>
      <c r="EI294" s="517"/>
      <c r="EJ294" s="517"/>
      <c r="EK294" s="517"/>
      <c r="EL294" s="517"/>
      <c r="EM294" s="517"/>
      <c r="EN294" s="517"/>
      <c r="EO294" s="517"/>
      <c r="EP294" s="517"/>
      <c r="EQ294" s="517"/>
      <c r="ER294" s="517"/>
      <c r="ES294" s="627" t="s">
        <v>1140</v>
      </c>
    </row>
    <row r="295">
      <c r="A295" s="517"/>
      <c r="B295" s="517"/>
      <c r="C295" s="517"/>
      <c r="D295" s="517"/>
      <c r="E295" s="517"/>
      <c r="F295" s="517"/>
      <c r="G295" s="517"/>
      <c r="H295" s="517"/>
      <c r="I295" s="517"/>
      <c r="J295" s="517"/>
      <c r="K295" s="517"/>
      <c r="L295" s="517"/>
      <c r="M295" s="517"/>
      <c r="N295" s="517"/>
      <c r="O295" s="517"/>
      <c r="P295" s="517"/>
      <c r="Q295" s="517"/>
      <c r="R295" s="517"/>
      <c r="S295" s="517"/>
      <c r="T295" s="517"/>
      <c r="U295" s="517"/>
      <c r="V295" s="517"/>
      <c r="W295" s="517"/>
      <c r="X295" s="517"/>
      <c r="Y295" s="517"/>
      <c r="Z295" s="517"/>
      <c r="AA295" s="517"/>
      <c r="AB295" s="517"/>
      <c r="AC295" s="517"/>
      <c r="AD295" s="517"/>
      <c r="AE295" s="517"/>
      <c r="AF295" s="517"/>
      <c r="AG295" s="517"/>
      <c r="AH295" s="517"/>
      <c r="AI295" s="517"/>
      <c r="AJ295" s="517"/>
      <c r="AK295" s="517"/>
      <c r="AL295" s="517"/>
      <c r="AM295" s="517"/>
      <c r="AN295" s="517"/>
      <c r="AO295" s="517"/>
      <c r="AP295" s="517"/>
      <c r="AQ295" s="517"/>
      <c r="AR295" s="517"/>
      <c r="AS295" s="517"/>
      <c r="AT295" s="517"/>
      <c r="AU295" s="517"/>
      <c r="AV295" s="517"/>
      <c r="AW295" s="517"/>
      <c r="AX295" s="517"/>
      <c r="AY295" s="517"/>
      <c r="AZ295" s="517"/>
      <c r="BA295" s="517"/>
      <c r="BB295" s="517"/>
      <c r="BC295" s="517"/>
      <c r="BD295" s="517"/>
      <c r="BE295" s="517"/>
      <c r="BF295" s="517"/>
      <c r="BG295" s="517"/>
      <c r="BH295" s="517"/>
      <c r="BI295" s="517"/>
      <c r="BJ295" s="517"/>
      <c r="BK295" s="517"/>
      <c r="BL295" s="517"/>
      <c r="BM295" s="517"/>
      <c r="BN295" s="517"/>
      <c r="BO295" s="517"/>
      <c r="BP295" s="517"/>
      <c r="BQ295" s="517"/>
      <c r="BR295" s="517"/>
      <c r="BS295" s="517"/>
      <c r="BT295" s="517"/>
      <c r="BU295" s="517"/>
      <c r="BV295" s="517"/>
      <c r="BW295" s="517"/>
      <c r="BX295" s="517"/>
      <c r="BY295" s="517"/>
      <c r="BZ295" s="517"/>
      <c r="CA295" s="517"/>
      <c r="CB295" s="517"/>
      <c r="CC295" s="517"/>
      <c r="CD295" s="517"/>
      <c r="CE295" s="517"/>
      <c r="CF295" s="517"/>
      <c r="CG295" s="517"/>
      <c r="CH295" s="517"/>
      <c r="CI295" s="517"/>
      <c r="CJ295" s="517"/>
      <c r="CK295" s="517"/>
      <c r="CL295" s="517"/>
      <c r="CM295" s="517"/>
      <c r="CN295" s="517"/>
      <c r="CO295" s="517"/>
      <c r="CP295" s="517"/>
      <c r="CQ295" s="517"/>
      <c r="CR295" s="517"/>
      <c r="CS295" s="517"/>
      <c r="CT295" s="517"/>
      <c r="CU295" s="517"/>
      <c r="CV295" s="517"/>
      <c r="CW295" s="517"/>
      <c r="CX295" s="517"/>
      <c r="CY295" s="517"/>
      <c r="CZ295" s="517"/>
      <c r="DA295" s="517"/>
      <c r="DB295" s="517"/>
      <c r="DC295" s="517"/>
      <c r="DD295" s="517"/>
      <c r="DE295" s="517"/>
      <c r="DF295" s="517"/>
      <c r="DG295" s="517"/>
      <c r="DH295" s="517"/>
      <c r="DI295" s="517"/>
      <c r="DJ295" s="517"/>
      <c r="DK295" s="517"/>
      <c r="DL295" s="517"/>
      <c r="DM295" s="517"/>
      <c r="DN295" s="517"/>
      <c r="DO295" s="517"/>
      <c r="DP295" s="517"/>
      <c r="DQ295" s="517"/>
      <c r="DR295" s="517"/>
      <c r="DS295" s="517"/>
      <c r="DT295" s="517"/>
      <c r="DU295" s="517"/>
      <c r="DV295" s="517"/>
      <c r="DW295" s="517"/>
      <c r="DX295" s="517"/>
      <c r="DY295" s="517"/>
      <c r="DZ295" s="517"/>
      <c r="EA295" s="517"/>
      <c r="EB295" s="517"/>
      <c r="EC295" s="517"/>
      <c r="ED295" s="517"/>
      <c r="EE295" s="517"/>
      <c r="EF295" s="517"/>
      <c r="EG295" s="517"/>
      <c r="EH295" s="517"/>
      <c r="EI295" s="517"/>
      <c r="EJ295" s="517"/>
      <c r="EK295" s="517"/>
      <c r="EL295" s="517"/>
      <c r="EM295" s="517"/>
      <c r="EN295" s="517"/>
      <c r="EO295" s="517"/>
      <c r="EP295" s="517"/>
      <c r="EQ295" s="517"/>
      <c r="ER295" s="517"/>
      <c r="ES295" s="627" t="s">
        <v>1140</v>
      </c>
    </row>
    <row r="296">
      <c r="A296" s="517"/>
      <c r="B296" s="517"/>
      <c r="C296" s="517"/>
      <c r="D296" s="517"/>
      <c r="E296" s="517"/>
      <c r="F296" s="517"/>
      <c r="G296" s="517"/>
      <c r="H296" s="517"/>
      <c r="I296" s="517"/>
      <c r="J296" s="517"/>
      <c r="K296" s="517"/>
      <c r="L296" s="517"/>
      <c r="M296" s="517"/>
      <c r="N296" s="517"/>
      <c r="O296" s="517"/>
      <c r="P296" s="517"/>
      <c r="Q296" s="517"/>
      <c r="R296" s="517"/>
      <c r="S296" s="517"/>
      <c r="T296" s="517"/>
      <c r="U296" s="517"/>
      <c r="V296" s="517"/>
      <c r="W296" s="517"/>
      <c r="X296" s="517"/>
      <c r="Y296" s="517"/>
      <c r="Z296" s="517"/>
      <c r="AA296" s="517"/>
      <c r="AB296" s="517"/>
      <c r="AC296" s="517"/>
      <c r="AD296" s="517"/>
      <c r="AE296" s="517"/>
      <c r="AF296" s="517"/>
      <c r="AG296" s="517"/>
      <c r="AH296" s="517"/>
      <c r="AI296" s="517"/>
      <c r="AJ296" s="517"/>
      <c r="AK296" s="517"/>
      <c r="AL296" s="517"/>
      <c r="AM296" s="517"/>
      <c r="AN296" s="517"/>
      <c r="AO296" s="517"/>
      <c r="AP296" s="517"/>
      <c r="AQ296" s="517"/>
      <c r="AR296" s="517"/>
      <c r="AS296" s="517"/>
      <c r="AT296" s="517"/>
      <c r="AU296" s="517"/>
      <c r="AV296" s="517"/>
      <c r="AW296" s="517"/>
      <c r="AX296" s="517"/>
      <c r="AY296" s="517"/>
      <c r="AZ296" s="517"/>
      <c r="BA296" s="517"/>
      <c r="BB296" s="517"/>
      <c r="BC296" s="517"/>
      <c r="BD296" s="517"/>
      <c r="BE296" s="517"/>
      <c r="BF296" s="517"/>
      <c r="BG296" s="517"/>
      <c r="BH296" s="517"/>
      <c r="BI296" s="517"/>
      <c r="BJ296" s="517"/>
      <c r="BK296" s="517"/>
      <c r="BL296" s="517"/>
      <c r="BM296" s="517"/>
      <c r="BN296" s="517"/>
      <c r="BO296" s="517"/>
      <c r="BP296" s="517"/>
      <c r="BQ296" s="517"/>
      <c r="BR296" s="517"/>
      <c r="BS296" s="517"/>
      <c r="BT296" s="517"/>
      <c r="BU296" s="517"/>
      <c r="BV296" s="517"/>
      <c r="BW296" s="517"/>
      <c r="BX296" s="517"/>
      <c r="BY296" s="517"/>
      <c r="BZ296" s="517"/>
      <c r="CA296" s="517"/>
      <c r="CB296" s="517"/>
      <c r="CC296" s="517"/>
      <c r="CD296" s="517"/>
      <c r="CE296" s="517"/>
      <c r="CF296" s="517"/>
      <c r="CG296" s="517"/>
      <c r="CH296" s="517"/>
      <c r="CI296" s="517"/>
      <c r="CJ296" s="517"/>
      <c r="CK296" s="517"/>
      <c r="CL296" s="517"/>
      <c r="CM296" s="517"/>
      <c r="CN296" s="517"/>
      <c r="CO296" s="517"/>
      <c r="CP296" s="517"/>
      <c r="CQ296" s="517"/>
      <c r="CR296" s="517"/>
      <c r="CS296" s="517"/>
      <c r="CT296" s="517"/>
      <c r="CU296" s="517"/>
      <c r="CV296" s="517"/>
      <c r="CW296" s="517"/>
      <c r="CX296" s="517"/>
      <c r="CY296" s="517"/>
      <c r="CZ296" s="517"/>
      <c r="DA296" s="517"/>
      <c r="DB296" s="517"/>
      <c r="DC296" s="517"/>
      <c r="DD296" s="517"/>
      <c r="DE296" s="517"/>
      <c r="DF296" s="517"/>
      <c r="DG296" s="517"/>
      <c r="DH296" s="517"/>
      <c r="DI296" s="517"/>
      <c r="DJ296" s="517"/>
      <c r="DK296" s="517"/>
      <c r="DL296" s="517"/>
      <c r="DM296" s="517"/>
      <c r="DN296" s="517"/>
      <c r="DO296" s="517"/>
      <c r="DP296" s="517"/>
      <c r="DQ296" s="517"/>
      <c r="DR296" s="517"/>
      <c r="DS296" s="517"/>
      <c r="DT296" s="517"/>
      <c r="DU296" s="517"/>
      <c r="DV296" s="517"/>
      <c r="DW296" s="517"/>
      <c r="DX296" s="517"/>
      <c r="DY296" s="517"/>
      <c r="DZ296" s="517"/>
      <c r="EA296" s="517"/>
      <c r="EB296" s="517"/>
      <c r="EC296" s="517"/>
      <c r="ED296" s="517"/>
      <c r="EE296" s="517"/>
      <c r="EF296" s="517"/>
      <c r="EG296" s="517"/>
      <c r="EH296" s="517"/>
      <c r="EI296" s="517"/>
      <c r="EJ296" s="517"/>
      <c r="EK296" s="517"/>
      <c r="EL296" s="517"/>
      <c r="EM296" s="517"/>
      <c r="EN296" s="517"/>
      <c r="EO296" s="517"/>
      <c r="EP296" s="517"/>
      <c r="EQ296" s="517"/>
      <c r="ER296" s="517"/>
      <c r="ES296" s="627" t="s">
        <v>1140</v>
      </c>
    </row>
    <row r="297">
      <c r="A297" s="517"/>
      <c r="B297" s="517"/>
      <c r="C297" s="517"/>
      <c r="D297" s="517"/>
      <c r="E297" s="517"/>
      <c r="F297" s="517"/>
      <c r="G297" s="517"/>
      <c r="H297" s="517"/>
      <c r="I297" s="517"/>
      <c r="J297" s="517"/>
      <c r="K297" s="517"/>
      <c r="L297" s="517"/>
      <c r="M297" s="517"/>
      <c r="N297" s="517"/>
      <c r="O297" s="517"/>
      <c r="P297" s="517"/>
      <c r="Q297" s="517"/>
      <c r="R297" s="517"/>
      <c r="S297" s="517"/>
      <c r="T297" s="517"/>
      <c r="U297" s="517"/>
      <c r="V297" s="517"/>
      <c r="W297" s="517"/>
      <c r="X297" s="517"/>
      <c r="Y297" s="517"/>
      <c r="Z297" s="517"/>
      <c r="AA297" s="517"/>
      <c r="AB297" s="517"/>
      <c r="AC297" s="517"/>
      <c r="AD297" s="517"/>
      <c r="AE297" s="517"/>
      <c r="AF297" s="517"/>
      <c r="AG297" s="517"/>
      <c r="AH297" s="517"/>
      <c r="AI297" s="517"/>
      <c r="AJ297" s="517"/>
      <c r="AK297" s="517"/>
      <c r="AL297" s="517"/>
      <c r="AM297" s="517"/>
      <c r="AN297" s="517"/>
      <c r="AO297" s="517"/>
      <c r="AP297" s="517"/>
      <c r="AQ297" s="517"/>
      <c r="AR297" s="517"/>
      <c r="AS297" s="517"/>
      <c r="AT297" s="517"/>
      <c r="AU297" s="517"/>
      <c r="AV297" s="517"/>
      <c r="AW297" s="517"/>
      <c r="AX297" s="517"/>
      <c r="AY297" s="517"/>
      <c r="AZ297" s="517"/>
      <c r="BA297" s="517"/>
      <c r="BB297" s="517"/>
      <c r="BC297" s="517"/>
      <c r="BD297" s="517"/>
      <c r="BE297" s="517"/>
      <c r="BF297" s="517"/>
      <c r="BG297" s="517"/>
      <c r="BH297" s="517"/>
      <c r="BI297" s="517"/>
      <c r="BJ297" s="517"/>
      <c r="BK297" s="517"/>
      <c r="BL297" s="517"/>
      <c r="BM297" s="517"/>
      <c r="BN297" s="517"/>
      <c r="BO297" s="517"/>
      <c r="BP297" s="517"/>
      <c r="BQ297" s="517"/>
      <c r="BR297" s="517"/>
      <c r="BS297" s="517"/>
      <c r="BT297" s="517"/>
      <c r="BU297" s="517"/>
      <c r="BV297" s="517"/>
      <c r="BW297" s="517"/>
      <c r="BX297" s="517"/>
      <c r="BY297" s="517"/>
      <c r="BZ297" s="517"/>
      <c r="CA297" s="517"/>
      <c r="CB297" s="517"/>
      <c r="CC297" s="517"/>
      <c r="CD297" s="517"/>
      <c r="CE297" s="517"/>
      <c r="CF297" s="517"/>
      <c r="CG297" s="517"/>
      <c r="CH297" s="517"/>
      <c r="CI297" s="517"/>
      <c r="CJ297" s="517"/>
      <c r="CK297" s="517"/>
      <c r="CL297" s="517"/>
      <c r="CM297" s="517"/>
      <c r="CN297" s="517"/>
      <c r="CO297" s="517"/>
      <c r="CP297" s="517"/>
      <c r="CQ297" s="517"/>
      <c r="CR297" s="517"/>
      <c r="CS297" s="517"/>
      <c r="CT297" s="517"/>
      <c r="CU297" s="517"/>
      <c r="CV297" s="517"/>
      <c r="CW297" s="517"/>
      <c r="CX297" s="517"/>
      <c r="CY297" s="517"/>
      <c r="CZ297" s="517"/>
      <c r="DA297" s="517"/>
      <c r="DB297" s="517"/>
      <c r="DC297" s="517"/>
      <c r="DD297" s="517"/>
      <c r="DE297" s="517"/>
      <c r="DF297" s="517"/>
      <c r="DG297" s="517"/>
      <c r="DH297" s="517"/>
      <c r="DI297" s="517"/>
      <c r="DJ297" s="517"/>
      <c r="DK297" s="517"/>
      <c r="DL297" s="517"/>
      <c r="DM297" s="517"/>
      <c r="DN297" s="517"/>
      <c r="DO297" s="517"/>
      <c r="DP297" s="517"/>
      <c r="DQ297" s="517"/>
      <c r="DR297" s="517"/>
      <c r="DS297" s="517"/>
      <c r="DT297" s="517"/>
      <c r="DU297" s="517"/>
      <c r="DV297" s="517"/>
      <c r="DW297" s="517"/>
      <c r="DX297" s="517"/>
      <c r="DY297" s="517"/>
      <c r="DZ297" s="517"/>
      <c r="EA297" s="517"/>
      <c r="EB297" s="517"/>
      <c r="EC297" s="517"/>
      <c r="ED297" s="517"/>
      <c r="EE297" s="517"/>
      <c r="EF297" s="517"/>
      <c r="EG297" s="517"/>
      <c r="EH297" s="517"/>
      <c r="EI297" s="517"/>
      <c r="EJ297" s="517"/>
      <c r="EK297" s="517"/>
      <c r="EL297" s="517"/>
      <c r="EM297" s="517"/>
      <c r="EN297" s="517"/>
      <c r="EO297" s="517"/>
      <c r="EP297" s="517"/>
      <c r="EQ297" s="517"/>
      <c r="ER297" s="517"/>
      <c r="ES297" s="627" t="s">
        <v>1140</v>
      </c>
    </row>
    <row r="298">
      <c r="A298" s="517"/>
      <c r="B298" s="517"/>
      <c r="C298" s="517"/>
      <c r="D298" s="517"/>
      <c r="E298" s="517"/>
      <c r="F298" s="517"/>
      <c r="G298" s="517"/>
      <c r="H298" s="517"/>
      <c r="I298" s="517"/>
      <c r="J298" s="517"/>
      <c r="K298" s="517"/>
      <c r="L298" s="517"/>
      <c r="M298" s="517"/>
      <c r="N298" s="517"/>
      <c r="O298" s="517"/>
      <c r="P298" s="517"/>
      <c r="Q298" s="517"/>
      <c r="R298" s="517"/>
      <c r="S298" s="517"/>
      <c r="T298" s="517"/>
      <c r="U298" s="517"/>
      <c r="V298" s="517"/>
      <c r="W298" s="517"/>
      <c r="X298" s="517"/>
      <c r="Y298" s="517"/>
      <c r="Z298" s="517"/>
      <c r="AA298" s="517"/>
      <c r="AB298" s="517"/>
      <c r="AC298" s="517"/>
      <c r="AD298" s="517"/>
      <c r="AE298" s="517"/>
      <c r="AF298" s="517"/>
      <c r="AG298" s="517"/>
      <c r="AH298" s="517"/>
      <c r="AI298" s="517"/>
      <c r="AJ298" s="517"/>
      <c r="AK298" s="517"/>
      <c r="AL298" s="517"/>
      <c r="AM298" s="517"/>
      <c r="AN298" s="517"/>
      <c r="AO298" s="517"/>
      <c r="AP298" s="517"/>
      <c r="AQ298" s="517"/>
      <c r="AR298" s="517"/>
      <c r="AS298" s="517"/>
      <c r="AT298" s="517"/>
      <c r="AU298" s="517"/>
      <c r="AV298" s="517"/>
      <c r="AW298" s="517"/>
      <c r="AX298" s="517"/>
      <c r="AY298" s="517"/>
      <c r="AZ298" s="517"/>
      <c r="BA298" s="517"/>
      <c r="BB298" s="517"/>
      <c r="BC298" s="517"/>
      <c r="BD298" s="517"/>
      <c r="BE298" s="517"/>
      <c r="BF298" s="517"/>
      <c r="BG298" s="517"/>
      <c r="BH298" s="517"/>
      <c r="BI298" s="517"/>
      <c r="BJ298" s="517"/>
      <c r="BK298" s="517"/>
      <c r="BL298" s="517"/>
      <c r="BM298" s="517"/>
      <c r="BN298" s="517"/>
      <c r="BO298" s="517"/>
      <c r="BP298" s="517"/>
      <c r="BQ298" s="517"/>
      <c r="BR298" s="517"/>
      <c r="BS298" s="517"/>
      <c r="BT298" s="517"/>
      <c r="BU298" s="517"/>
      <c r="BV298" s="517"/>
      <c r="BW298" s="517"/>
      <c r="BX298" s="517"/>
      <c r="BY298" s="517"/>
      <c r="BZ298" s="517"/>
      <c r="CA298" s="517"/>
      <c r="CB298" s="517"/>
      <c r="CC298" s="517"/>
      <c r="CD298" s="517"/>
      <c r="CE298" s="517"/>
      <c r="CF298" s="517"/>
      <c r="CG298" s="517"/>
      <c r="CH298" s="517"/>
      <c r="CI298" s="517"/>
      <c r="CJ298" s="517"/>
      <c r="CK298" s="517"/>
      <c r="CL298" s="517"/>
      <c r="CM298" s="517"/>
      <c r="CN298" s="517"/>
      <c r="CO298" s="517"/>
      <c r="CP298" s="517"/>
      <c r="CQ298" s="517"/>
      <c r="CR298" s="517"/>
      <c r="CS298" s="517"/>
      <c r="CT298" s="517"/>
      <c r="CU298" s="517"/>
      <c r="CV298" s="517"/>
      <c r="CW298" s="517"/>
      <c r="CX298" s="517"/>
      <c r="CY298" s="517"/>
      <c r="CZ298" s="517"/>
      <c r="DA298" s="517"/>
      <c r="DB298" s="517"/>
      <c r="DC298" s="517"/>
      <c r="DD298" s="517"/>
      <c r="DE298" s="517"/>
      <c r="DF298" s="517"/>
      <c r="DG298" s="517"/>
      <c r="DH298" s="517"/>
      <c r="DI298" s="517"/>
      <c r="DJ298" s="517"/>
      <c r="DK298" s="517"/>
      <c r="DL298" s="517"/>
      <c r="DM298" s="517"/>
      <c r="DN298" s="517"/>
      <c r="DO298" s="517"/>
      <c r="DP298" s="517"/>
      <c r="DQ298" s="517"/>
      <c r="DR298" s="517"/>
      <c r="DS298" s="517"/>
      <c r="DT298" s="517"/>
      <c r="DU298" s="517"/>
      <c r="DV298" s="517"/>
      <c r="DW298" s="517"/>
      <c r="DX298" s="517"/>
      <c r="DY298" s="517"/>
      <c r="DZ298" s="517"/>
      <c r="EA298" s="517"/>
      <c r="EB298" s="517"/>
      <c r="EC298" s="517"/>
      <c r="ED298" s="517"/>
      <c r="EE298" s="517"/>
      <c r="EF298" s="517"/>
      <c r="EG298" s="517"/>
      <c r="EH298" s="517"/>
      <c r="EI298" s="517"/>
      <c r="EJ298" s="517"/>
      <c r="EK298" s="517"/>
      <c r="EL298" s="517"/>
      <c r="EM298" s="517"/>
      <c r="EN298" s="517"/>
      <c r="EO298" s="517"/>
      <c r="EP298" s="517"/>
      <c r="EQ298" s="517"/>
      <c r="ER298" s="517"/>
      <c r="ES298" s="627" t="s">
        <v>1140</v>
      </c>
    </row>
    <row r="299">
      <c r="A299" s="517"/>
      <c r="B299" s="517"/>
      <c r="C299" s="517"/>
      <c r="D299" s="517"/>
      <c r="E299" s="517"/>
      <c r="F299" s="517"/>
      <c r="G299" s="517"/>
      <c r="H299" s="517"/>
      <c r="I299" s="517"/>
      <c r="J299" s="517"/>
      <c r="K299" s="517"/>
      <c r="L299" s="517"/>
      <c r="M299" s="517"/>
      <c r="N299" s="517"/>
      <c r="O299" s="517"/>
      <c r="P299" s="517"/>
      <c r="Q299" s="517"/>
      <c r="R299" s="517"/>
      <c r="S299" s="517"/>
      <c r="T299" s="517"/>
      <c r="U299" s="517"/>
      <c r="V299" s="517"/>
      <c r="W299" s="517"/>
      <c r="X299" s="517"/>
      <c r="Y299" s="517"/>
      <c r="Z299" s="517"/>
      <c r="AA299" s="517"/>
      <c r="AB299" s="517"/>
      <c r="AC299" s="517"/>
      <c r="AD299" s="517"/>
      <c r="AE299" s="517"/>
      <c r="AF299" s="517"/>
      <c r="AG299" s="517"/>
      <c r="AH299" s="517"/>
      <c r="AI299" s="517"/>
      <c r="AJ299" s="517"/>
      <c r="AK299" s="517"/>
      <c r="AL299" s="517"/>
      <c r="AM299" s="517"/>
      <c r="AN299" s="517"/>
      <c r="AO299" s="517"/>
      <c r="AP299" s="517"/>
      <c r="AQ299" s="517"/>
      <c r="AR299" s="517"/>
      <c r="AS299" s="517"/>
      <c r="AT299" s="517"/>
      <c r="AU299" s="517"/>
      <c r="AV299" s="517"/>
      <c r="AW299" s="517"/>
      <c r="AX299" s="517"/>
      <c r="AY299" s="517"/>
      <c r="AZ299" s="517"/>
      <c r="BA299" s="517"/>
      <c r="BB299" s="517"/>
      <c r="BC299" s="517"/>
      <c r="BD299" s="517"/>
      <c r="BE299" s="517"/>
      <c r="BF299" s="517"/>
      <c r="BG299" s="517"/>
      <c r="BH299" s="517"/>
      <c r="BI299" s="517"/>
      <c r="BJ299" s="517"/>
      <c r="BK299" s="517"/>
      <c r="BL299" s="517"/>
      <c r="BM299" s="517"/>
      <c r="BN299" s="517"/>
      <c r="BO299" s="517"/>
      <c r="BP299" s="517"/>
      <c r="BQ299" s="517"/>
      <c r="BR299" s="517"/>
      <c r="BS299" s="517"/>
      <c r="BT299" s="517"/>
      <c r="BU299" s="517"/>
      <c r="BV299" s="517"/>
      <c r="BW299" s="517"/>
      <c r="BX299" s="517"/>
      <c r="BY299" s="517"/>
      <c r="BZ299" s="517"/>
      <c r="CA299" s="517"/>
      <c r="CB299" s="517"/>
      <c r="CC299" s="517"/>
      <c r="CD299" s="517"/>
      <c r="CE299" s="517"/>
      <c r="CF299" s="517"/>
      <c r="CG299" s="517"/>
      <c r="CH299" s="517"/>
      <c r="CI299" s="517"/>
      <c r="CJ299" s="517"/>
      <c r="CK299" s="517"/>
      <c r="CL299" s="517"/>
      <c r="CM299" s="517"/>
      <c r="CN299" s="517"/>
      <c r="CO299" s="517"/>
      <c r="CP299" s="517"/>
      <c r="CQ299" s="517"/>
      <c r="CR299" s="517"/>
      <c r="CS299" s="517"/>
      <c r="CT299" s="517"/>
      <c r="CU299" s="517"/>
      <c r="CV299" s="517"/>
      <c r="CW299" s="517"/>
      <c r="CX299" s="517"/>
      <c r="CY299" s="517"/>
      <c r="CZ299" s="517"/>
      <c r="DA299" s="517"/>
      <c r="DB299" s="517"/>
      <c r="DC299" s="517"/>
      <c r="DD299" s="517"/>
      <c r="DE299" s="517"/>
      <c r="DF299" s="517"/>
      <c r="DG299" s="517"/>
      <c r="DH299" s="517"/>
      <c r="DI299" s="517"/>
      <c r="DJ299" s="517"/>
      <c r="DK299" s="517"/>
      <c r="DL299" s="517"/>
      <c r="DM299" s="517"/>
      <c r="DN299" s="517"/>
      <c r="DO299" s="517"/>
      <c r="DP299" s="517"/>
      <c r="DQ299" s="517"/>
      <c r="DR299" s="517"/>
      <c r="DS299" s="517"/>
      <c r="DT299" s="517"/>
      <c r="DU299" s="517"/>
      <c r="DV299" s="517"/>
      <c r="DW299" s="517"/>
      <c r="DX299" s="517"/>
      <c r="DY299" s="517"/>
      <c r="DZ299" s="517"/>
      <c r="EA299" s="517"/>
      <c r="EB299" s="517"/>
      <c r="EC299" s="517"/>
      <c r="ED299" s="517"/>
      <c r="EE299" s="517"/>
      <c r="EF299" s="517"/>
      <c r="EG299" s="517"/>
      <c r="EH299" s="517"/>
      <c r="EI299" s="517"/>
      <c r="EJ299" s="517"/>
      <c r="EK299" s="517"/>
      <c r="EL299" s="517"/>
      <c r="EM299" s="517"/>
      <c r="EN299" s="517"/>
      <c r="EO299" s="517"/>
      <c r="EP299" s="517"/>
      <c r="EQ299" s="517"/>
      <c r="ER299" s="517"/>
      <c r="ES299" s="627" t="s">
        <v>1140</v>
      </c>
    </row>
    <row r="300">
      <c r="A300" s="517"/>
      <c r="B300" s="517"/>
      <c r="C300" s="517"/>
      <c r="D300" s="517"/>
      <c r="E300" s="517"/>
      <c r="F300" s="517"/>
      <c r="G300" s="517"/>
      <c r="H300" s="517"/>
      <c r="I300" s="517"/>
      <c r="J300" s="517"/>
      <c r="K300" s="517"/>
      <c r="L300" s="517"/>
      <c r="M300" s="517"/>
      <c r="N300" s="517"/>
      <c r="O300" s="517"/>
      <c r="P300" s="517"/>
      <c r="Q300" s="517"/>
      <c r="R300" s="517"/>
      <c r="S300" s="517"/>
      <c r="T300" s="517"/>
      <c r="U300" s="517"/>
      <c r="V300" s="517"/>
      <c r="W300" s="517"/>
      <c r="X300" s="517"/>
      <c r="Y300" s="517"/>
      <c r="Z300" s="517"/>
      <c r="AA300" s="517"/>
      <c r="AB300" s="517"/>
      <c r="AC300" s="517"/>
      <c r="AD300" s="517"/>
      <c r="AE300" s="517"/>
      <c r="AF300" s="517"/>
      <c r="AG300" s="517"/>
      <c r="AH300" s="517"/>
      <c r="AI300" s="517"/>
      <c r="AJ300" s="517"/>
      <c r="AK300" s="517"/>
      <c r="AL300" s="517"/>
      <c r="AM300" s="517"/>
      <c r="AN300" s="517"/>
      <c r="AO300" s="517"/>
      <c r="AP300" s="517"/>
      <c r="AQ300" s="517"/>
      <c r="AR300" s="517"/>
      <c r="AS300" s="517"/>
      <c r="AT300" s="517"/>
      <c r="AU300" s="517"/>
      <c r="AV300" s="517"/>
      <c r="AW300" s="517"/>
      <c r="AX300" s="517"/>
      <c r="AY300" s="517"/>
      <c r="AZ300" s="517"/>
      <c r="BA300" s="517"/>
      <c r="BB300" s="517"/>
      <c r="BC300" s="517"/>
      <c r="BD300" s="517"/>
      <c r="BE300" s="517"/>
      <c r="BF300" s="517"/>
      <c r="BG300" s="517"/>
      <c r="BH300" s="517"/>
      <c r="BI300" s="517"/>
      <c r="BJ300" s="517"/>
      <c r="BK300" s="517"/>
      <c r="BL300" s="517"/>
      <c r="BM300" s="517"/>
      <c r="BN300" s="517"/>
      <c r="BO300" s="517"/>
      <c r="BP300" s="517"/>
      <c r="BQ300" s="517"/>
      <c r="BR300" s="517"/>
      <c r="BS300" s="517"/>
      <c r="BT300" s="517"/>
      <c r="BU300" s="517"/>
      <c r="BV300" s="517"/>
      <c r="BW300" s="517"/>
      <c r="BX300" s="517"/>
      <c r="BY300" s="517"/>
      <c r="BZ300" s="517"/>
      <c r="CA300" s="517"/>
      <c r="CB300" s="517"/>
      <c r="CC300" s="517"/>
      <c r="CD300" s="517"/>
      <c r="CE300" s="517"/>
      <c r="CF300" s="517"/>
      <c r="CG300" s="517"/>
      <c r="CH300" s="517"/>
      <c r="CI300" s="517"/>
      <c r="CJ300" s="517"/>
      <c r="CK300" s="517"/>
      <c r="CL300" s="517"/>
      <c r="CM300" s="517"/>
      <c r="CN300" s="517"/>
      <c r="CO300" s="517"/>
      <c r="CP300" s="517"/>
      <c r="CQ300" s="517"/>
      <c r="CR300" s="517"/>
      <c r="CS300" s="517"/>
      <c r="CT300" s="517"/>
      <c r="CU300" s="517"/>
      <c r="CV300" s="517"/>
      <c r="CW300" s="517"/>
      <c r="CX300" s="517"/>
      <c r="CY300" s="517"/>
      <c r="CZ300" s="517"/>
      <c r="DA300" s="517"/>
      <c r="DB300" s="517"/>
      <c r="DC300" s="517"/>
      <c r="DD300" s="517"/>
      <c r="DE300" s="517"/>
      <c r="DF300" s="517"/>
      <c r="DG300" s="517"/>
      <c r="DH300" s="517"/>
      <c r="DI300" s="517"/>
      <c r="DJ300" s="517"/>
      <c r="DK300" s="517"/>
      <c r="DL300" s="517"/>
      <c r="DM300" s="517"/>
      <c r="DN300" s="517"/>
      <c r="DO300" s="517"/>
      <c r="DP300" s="517"/>
      <c r="DQ300" s="517"/>
      <c r="DR300" s="517"/>
      <c r="DS300" s="517"/>
      <c r="DT300" s="517"/>
      <c r="DU300" s="517"/>
      <c r="DV300" s="517"/>
      <c r="DW300" s="517"/>
      <c r="DX300" s="517"/>
      <c r="DY300" s="517"/>
      <c r="DZ300" s="517"/>
      <c r="EA300" s="517"/>
      <c r="EB300" s="517"/>
      <c r="EC300" s="517"/>
      <c r="ED300" s="517"/>
      <c r="EE300" s="517"/>
      <c r="EF300" s="517"/>
      <c r="EG300" s="517"/>
      <c r="EH300" s="517"/>
      <c r="EI300" s="517"/>
      <c r="EJ300" s="517"/>
      <c r="EK300" s="517"/>
      <c r="EL300" s="517"/>
      <c r="EM300" s="517"/>
      <c r="EN300" s="517"/>
      <c r="EO300" s="517"/>
      <c r="EP300" s="517"/>
      <c r="EQ300" s="517"/>
      <c r="ER300" s="517"/>
      <c r="ES300" s="627" t="s">
        <v>1140</v>
      </c>
    </row>
    <row r="301">
      <c r="A301" s="517"/>
      <c r="B301" s="517"/>
      <c r="C301" s="517"/>
      <c r="D301" s="517"/>
      <c r="E301" s="517"/>
      <c r="F301" s="517"/>
      <c r="G301" s="517"/>
      <c r="H301" s="517"/>
      <c r="I301" s="517"/>
      <c r="J301" s="517"/>
      <c r="K301" s="517"/>
      <c r="L301" s="517"/>
      <c r="M301" s="517"/>
      <c r="N301" s="517"/>
      <c r="O301" s="517"/>
      <c r="P301" s="517"/>
      <c r="Q301" s="517"/>
      <c r="R301" s="517"/>
      <c r="S301" s="517"/>
      <c r="T301" s="517"/>
      <c r="U301" s="517"/>
      <c r="V301" s="517"/>
      <c r="W301" s="517"/>
      <c r="X301" s="517"/>
      <c r="Y301" s="517"/>
      <c r="Z301" s="517"/>
      <c r="AA301" s="517"/>
      <c r="AB301" s="517"/>
      <c r="AC301" s="517"/>
      <c r="AD301" s="517"/>
      <c r="AE301" s="517"/>
      <c r="AF301" s="517"/>
      <c r="AG301" s="517"/>
      <c r="AH301" s="517"/>
      <c r="AI301" s="517"/>
      <c r="AJ301" s="517"/>
      <c r="AK301" s="517"/>
      <c r="AL301" s="517"/>
      <c r="AM301" s="517"/>
      <c r="AN301" s="517"/>
      <c r="AO301" s="517"/>
      <c r="AP301" s="517"/>
      <c r="AQ301" s="517"/>
      <c r="AR301" s="517"/>
      <c r="AS301" s="517"/>
      <c r="AT301" s="517"/>
      <c r="AU301" s="517"/>
      <c r="AV301" s="517"/>
      <c r="AW301" s="517"/>
      <c r="AX301" s="517"/>
      <c r="AY301" s="517"/>
      <c r="AZ301" s="517"/>
      <c r="BA301" s="517"/>
      <c r="BB301" s="517"/>
      <c r="BC301" s="517"/>
      <c r="BD301" s="517"/>
      <c r="BE301" s="517"/>
      <c r="BF301" s="517"/>
      <c r="BG301" s="517"/>
      <c r="BH301" s="517"/>
      <c r="BI301" s="517"/>
      <c r="BJ301" s="517"/>
      <c r="BK301" s="517"/>
      <c r="BL301" s="517"/>
      <c r="BM301" s="517"/>
      <c r="BN301" s="517"/>
      <c r="BO301" s="517"/>
      <c r="BP301" s="517"/>
      <c r="BQ301" s="517"/>
      <c r="BR301" s="517"/>
      <c r="BS301" s="517"/>
      <c r="BT301" s="517"/>
      <c r="BU301" s="517"/>
      <c r="BV301" s="517"/>
      <c r="BW301" s="517"/>
      <c r="BX301" s="517"/>
      <c r="BY301" s="517"/>
      <c r="BZ301" s="517"/>
      <c r="CA301" s="517"/>
      <c r="CB301" s="517"/>
      <c r="CC301" s="517"/>
      <c r="CD301" s="517"/>
      <c r="CE301" s="517"/>
      <c r="CF301" s="517"/>
      <c r="CG301" s="517"/>
      <c r="CH301" s="517"/>
      <c r="CI301" s="517"/>
      <c r="CJ301" s="517"/>
      <c r="CK301" s="517"/>
      <c r="CL301" s="517"/>
      <c r="CM301" s="517"/>
      <c r="CN301" s="517"/>
      <c r="CO301" s="517"/>
      <c r="CP301" s="517"/>
      <c r="CQ301" s="517"/>
      <c r="CR301" s="517"/>
      <c r="CS301" s="517"/>
      <c r="CT301" s="517"/>
      <c r="CU301" s="517"/>
      <c r="CV301" s="517"/>
      <c r="CW301" s="517"/>
      <c r="CX301" s="517"/>
      <c r="CY301" s="517"/>
      <c r="CZ301" s="517"/>
      <c r="DA301" s="517"/>
      <c r="DB301" s="517"/>
      <c r="DC301" s="517"/>
      <c r="DD301" s="517"/>
      <c r="DE301" s="517"/>
      <c r="DF301" s="517"/>
      <c r="DG301" s="517"/>
      <c r="DH301" s="517"/>
      <c r="DI301" s="517"/>
      <c r="DJ301" s="517"/>
      <c r="DK301" s="517"/>
      <c r="DL301" s="517"/>
      <c r="DM301" s="517"/>
      <c r="DN301" s="517"/>
      <c r="DO301" s="517"/>
      <c r="DP301" s="517"/>
      <c r="DQ301" s="517"/>
      <c r="DR301" s="517"/>
      <c r="DS301" s="517"/>
      <c r="DT301" s="517"/>
      <c r="DU301" s="517"/>
      <c r="DV301" s="517"/>
      <c r="DW301" s="517"/>
      <c r="DX301" s="517"/>
      <c r="DY301" s="517"/>
      <c r="DZ301" s="517"/>
      <c r="EA301" s="517"/>
      <c r="EB301" s="517"/>
      <c r="EC301" s="517"/>
      <c r="ED301" s="517"/>
      <c r="EE301" s="517"/>
      <c r="EF301" s="517"/>
      <c r="EG301" s="517"/>
      <c r="EH301" s="517"/>
      <c r="EI301" s="517"/>
      <c r="EJ301" s="517"/>
      <c r="EK301" s="517"/>
      <c r="EL301" s="517"/>
      <c r="EM301" s="517"/>
      <c r="EN301" s="517"/>
      <c r="EO301" s="517"/>
      <c r="EP301" s="517"/>
      <c r="EQ301" s="517"/>
      <c r="ER301" s="517"/>
      <c r="ES301" s="627" t="s">
        <v>1140</v>
      </c>
    </row>
    <row r="302">
      <c r="A302" s="517"/>
      <c r="B302" s="517"/>
      <c r="C302" s="517"/>
      <c r="D302" s="517"/>
      <c r="E302" s="517"/>
      <c r="F302" s="517"/>
      <c r="G302" s="517"/>
      <c r="H302" s="517"/>
      <c r="I302" s="517"/>
      <c r="J302" s="517"/>
      <c r="K302" s="517"/>
      <c r="L302" s="517"/>
      <c r="M302" s="517"/>
      <c r="N302" s="517"/>
      <c r="O302" s="517"/>
      <c r="P302" s="517"/>
      <c r="Q302" s="517"/>
      <c r="R302" s="517"/>
      <c r="S302" s="517"/>
      <c r="T302" s="517"/>
      <c r="U302" s="517"/>
      <c r="V302" s="517"/>
      <c r="W302" s="517"/>
      <c r="X302" s="517"/>
      <c r="Y302" s="517"/>
      <c r="Z302" s="517"/>
      <c r="AA302" s="517"/>
      <c r="AB302" s="517"/>
      <c r="AC302" s="517"/>
      <c r="AD302" s="517"/>
      <c r="AE302" s="517"/>
      <c r="AF302" s="517"/>
      <c r="AG302" s="517"/>
      <c r="AH302" s="517"/>
      <c r="AI302" s="517"/>
      <c r="AJ302" s="517"/>
      <c r="AK302" s="517"/>
      <c r="AL302" s="517"/>
      <c r="AM302" s="517"/>
      <c r="AN302" s="517"/>
      <c r="AO302" s="517"/>
      <c r="AP302" s="517"/>
      <c r="AQ302" s="517"/>
      <c r="AR302" s="517"/>
      <c r="AS302" s="517"/>
      <c r="AT302" s="517"/>
      <c r="AU302" s="517"/>
      <c r="AV302" s="517"/>
      <c r="AW302" s="517"/>
      <c r="AX302" s="517"/>
      <c r="AY302" s="517"/>
      <c r="AZ302" s="517"/>
      <c r="BA302" s="517"/>
      <c r="BB302" s="517"/>
      <c r="BC302" s="517"/>
      <c r="BD302" s="517"/>
      <c r="BE302" s="517"/>
      <c r="BF302" s="517"/>
      <c r="BG302" s="517"/>
      <c r="BH302" s="517"/>
      <c r="BI302" s="517"/>
      <c r="BJ302" s="517"/>
      <c r="BK302" s="517"/>
      <c r="BL302" s="517"/>
      <c r="BM302" s="517"/>
      <c r="BN302" s="517"/>
      <c r="BO302" s="517"/>
      <c r="BP302" s="517"/>
      <c r="BQ302" s="517"/>
      <c r="BR302" s="517"/>
      <c r="BS302" s="517"/>
      <c r="BT302" s="517"/>
      <c r="BU302" s="517"/>
      <c r="BV302" s="517"/>
      <c r="BW302" s="517"/>
      <c r="BX302" s="517"/>
      <c r="BY302" s="517"/>
      <c r="BZ302" s="517"/>
      <c r="CA302" s="517"/>
      <c r="CB302" s="517"/>
      <c r="CC302" s="517"/>
      <c r="CD302" s="517"/>
      <c r="CE302" s="517"/>
      <c r="CF302" s="517"/>
      <c r="CG302" s="517"/>
      <c r="CH302" s="517"/>
      <c r="CI302" s="517"/>
      <c r="CJ302" s="517"/>
      <c r="CK302" s="517"/>
      <c r="CL302" s="517"/>
      <c r="CM302" s="517"/>
      <c r="CN302" s="517"/>
      <c r="CO302" s="517"/>
      <c r="CP302" s="517"/>
      <c r="CQ302" s="517"/>
      <c r="CR302" s="517"/>
      <c r="CS302" s="517"/>
      <c r="CT302" s="517"/>
      <c r="CU302" s="517"/>
      <c r="CV302" s="517"/>
      <c r="CW302" s="517"/>
      <c r="CX302" s="517"/>
      <c r="CY302" s="517"/>
      <c r="CZ302" s="517"/>
      <c r="DA302" s="517"/>
      <c r="DB302" s="517"/>
      <c r="DC302" s="517"/>
      <c r="DD302" s="517"/>
      <c r="DE302" s="517"/>
      <c r="DF302" s="517"/>
      <c r="DG302" s="517"/>
      <c r="DH302" s="517"/>
      <c r="DI302" s="517"/>
      <c r="DJ302" s="517"/>
      <c r="DK302" s="517"/>
      <c r="DL302" s="517"/>
      <c r="DM302" s="517"/>
      <c r="DN302" s="517"/>
      <c r="DO302" s="517"/>
      <c r="DP302" s="517"/>
      <c r="DQ302" s="517"/>
      <c r="DR302" s="517"/>
      <c r="DS302" s="517"/>
      <c r="DT302" s="517"/>
      <c r="DU302" s="517"/>
      <c r="DV302" s="517"/>
      <c r="DW302" s="517"/>
      <c r="DX302" s="517"/>
      <c r="DY302" s="517"/>
      <c r="DZ302" s="517"/>
      <c r="EA302" s="517"/>
      <c r="EB302" s="517"/>
      <c r="EC302" s="517"/>
      <c r="ED302" s="517"/>
      <c r="EE302" s="517"/>
      <c r="EF302" s="517"/>
      <c r="EG302" s="517"/>
      <c r="EH302" s="517"/>
      <c r="EI302" s="517"/>
      <c r="EJ302" s="517"/>
      <c r="EK302" s="517"/>
      <c r="EL302" s="517"/>
      <c r="EM302" s="517"/>
      <c r="EN302" s="517"/>
      <c r="EO302" s="517"/>
      <c r="EP302" s="517"/>
      <c r="EQ302" s="517"/>
      <c r="ER302" s="517"/>
      <c r="ES302" s="627" t="s">
        <v>1140</v>
      </c>
    </row>
    <row r="303">
      <c r="A303" s="517"/>
      <c r="B303" s="517"/>
      <c r="C303" s="517"/>
      <c r="D303" s="517"/>
      <c r="E303" s="517"/>
      <c r="F303" s="517"/>
      <c r="G303" s="517"/>
      <c r="H303" s="517"/>
      <c r="I303" s="517"/>
      <c r="J303" s="517"/>
      <c r="K303" s="517"/>
      <c r="L303" s="517"/>
      <c r="M303" s="517"/>
      <c r="N303" s="517"/>
      <c r="O303" s="517"/>
      <c r="P303" s="517"/>
      <c r="Q303" s="517"/>
      <c r="R303" s="517"/>
      <c r="S303" s="517"/>
      <c r="T303" s="517"/>
      <c r="U303" s="517"/>
      <c r="V303" s="517"/>
      <c r="W303" s="517"/>
      <c r="X303" s="517"/>
      <c r="Y303" s="517"/>
      <c r="Z303" s="517"/>
      <c r="AA303" s="517"/>
      <c r="AB303" s="517"/>
      <c r="AC303" s="517"/>
      <c r="AD303" s="517"/>
      <c r="AE303" s="517"/>
      <c r="AF303" s="517"/>
      <c r="AG303" s="517"/>
      <c r="AH303" s="517"/>
      <c r="AI303" s="517"/>
      <c r="AJ303" s="517"/>
      <c r="AK303" s="517"/>
      <c r="AL303" s="517"/>
      <c r="AM303" s="517"/>
      <c r="AN303" s="517"/>
      <c r="AO303" s="517"/>
      <c r="AP303" s="517"/>
      <c r="AQ303" s="517"/>
      <c r="AR303" s="517"/>
      <c r="AS303" s="517"/>
      <c r="AT303" s="517"/>
      <c r="AU303" s="517"/>
      <c r="AV303" s="517"/>
      <c r="AW303" s="517"/>
      <c r="AX303" s="517"/>
      <c r="AY303" s="517"/>
      <c r="AZ303" s="517"/>
      <c r="BA303" s="517"/>
      <c r="BB303" s="517"/>
      <c r="BC303" s="517"/>
      <c r="BD303" s="517"/>
      <c r="BE303" s="517"/>
      <c r="BF303" s="517"/>
      <c r="BG303" s="517"/>
      <c r="BH303" s="517"/>
      <c r="BI303" s="517"/>
      <c r="BJ303" s="517"/>
      <c r="BK303" s="517"/>
      <c r="BL303" s="517"/>
      <c r="BM303" s="517"/>
      <c r="BN303" s="517"/>
      <c r="BO303" s="517"/>
      <c r="BP303" s="517"/>
      <c r="BQ303" s="517"/>
      <c r="BR303" s="517"/>
      <c r="BS303" s="517"/>
      <c r="BT303" s="517"/>
      <c r="BU303" s="517"/>
      <c r="BV303" s="517"/>
      <c r="BW303" s="517"/>
      <c r="BX303" s="517"/>
      <c r="BY303" s="517"/>
      <c r="BZ303" s="517"/>
      <c r="CA303" s="517"/>
      <c r="CB303" s="517"/>
      <c r="CC303" s="517"/>
      <c r="CD303" s="517"/>
      <c r="CE303" s="517"/>
      <c r="CF303" s="517"/>
      <c r="CG303" s="517"/>
      <c r="CH303" s="517"/>
      <c r="CI303" s="517"/>
      <c r="CJ303" s="517"/>
      <c r="CK303" s="517"/>
      <c r="CL303" s="517"/>
      <c r="CM303" s="517"/>
      <c r="CN303" s="517"/>
      <c r="CO303" s="517"/>
      <c r="CP303" s="517"/>
      <c r="CQ303" s="517"/>
      <c r="CR303" s="517"/>
      <c r="CS303" s="517"/>
      <c r="CT303" s="517"/>
      <c r="CU303" s="517"/>
      <c r="CV303" s="517"/>
      <c r="CW303" s="517"/>
      <c r="CX303" s="517"/>
      <c r="CY303" s="517"/>
      <c r="CZ303" s="517"/>
      <c r="DA303" s="517"/>
      <c r="DB303" s="517"/>
      <c r="DC303" s="517"/>
      <c r="DD303" s="517"/>
      <c r="DE303" s="517"/>
      <c r="DF303" s="517"/>
      <c r="DG303" s="517"/>
      <c r="DH303" s="517"/>
      <c r="DI303" s="517"/>
      <c r="DJ303" s="517"/>
      <c r="DK303" s="517"/>
      <c r="DL303" s="517"/>
      <c r="DM303" s="517"/>
      <c r="DN303" s="517"/>
      <c r="DO303" s="517"/>
      <c r="DP303" s="517"/>
      <c r="DQ303" s="517"/>
      <c r="DR303" s="517"/>
      <c r="DS303" s="517"/>
      <c r="DT303" s="517"/>
      <c r="DU303" s="517"/>
      <c r="DV303" s="517"/>
      <c r="DW303" s="517"/>
      <c r="DX303" s="517"/>
      <c r="DY303" s="517"/>
      <c r="DZ303" s="517"/>
      <c r="EA303" s="517"/>
      <c r="EB303" s="517"/>
      <c r="EC303" s="517"/>
      <c r="ED303" s="517"/>
      <c r="EE303" s="517"/>
      <c r="EF303" s="517"/>
      <c r="EG303" s="517"/>
      <c r="EH303" s="517"/>
      <c r="EI303" s="517"/>
      <c r="EJ303" s="517"/>
      <c r="EK303" s="517"/>
      <c r="EL303" s="517"/>
      <c r="EM303" s="517"/>
      <c r="EN303" s="517"/>
      <c r="EO303" s="517"/>
      <c r="EP303" s="517"/>
      <c r="EQ303" s="517"/>
      <c r="ER303" s="517"/>
      <c r="ES303" s="627" t="s">
        <v>1140</v>
      </c>
    </row>
    <row r="304">
      <c r="A304" s="517"/>
      <c r="B304" s="517"/>
      <c r="C304" s="517"/>
      <c r="D304" s="517"/>
      <c r="E304" s="517"/>
      <c r="F304" s="517"/>
      <c r="G304" s="517"/>
      <c r="H304" s="517"/>
      <c r="I304" s="517"/>
      <c r="J304" s="517"/>
      <c r="K304" s="517"/>
      <c r="L304" s="517"/>
      <c r="M304" s="517"/>
      <c r="N304" s="517"/>
      <c r="O304" s="517"/>
      <c r="P304" s="517"/>
      <c r="Q304" s="517"/>
      <c r="R304" s="517"/>
      <c r="S304" s="517"/>
      <c r="T304" s="517"/>
      <c r="U304" s="517"/>
      <c r="V304" s="517"/>
      <c r="W304" s="517"/>
      <c r="X304" s="517"/>
      <c r="Y304" s="517"/>
      <c r="Z304" s="517"/>
      <c r="AA304" s="517"/>
      <c r="AB304" s="517"/>
      <c r="AC304" s="517"/>
      <c r="AD304" s="517"/>
      <c r="AE304" s="517"/>
      <c r="AF304" s="517"/>
      <c r="AG304" s="517"/>
      <c r="AH304" s="517"/>
      <c r="AI304" s="517"/>
      <c r="AJ304" s="517"/>
      <c r="AK304" s="517"/>
      <c r="AL304" s="517"/>
      <c r="AM304" s="517"/>
      <c r="AN304" s="517"/>
      <c r="AO304" s="517"/>
      <c r="AP304" s="517"/>
      <c r="AQ304" s="517"/>
      <c r="AR304" s="517"/>
      <c r="AS304" s="517"/>
      <c r="AT304" s="517"/>
      <c r="AU304" s="517"/>
      <c r="AV304" s="517"/>
      <c r="AW304" s="517"/>
      <c r="AX304" s="517"/>
      <c r="AY304" s="517"/>
      <c r="AZ304" s="517"/>
      <c r="BA304" s="517"/>
      <c r="BB304" s="517"/>
      <c r="BC304" s="517"/>
      <c r="BD304" s="517"/>
      <c r="BE304" s="517"/>
      <c r="BF304" s="517"/>
      <c r="BG304" s="517"/>
      <c r="BH304" s="517"/>
      <c r="BI304" s="517"/>
      <c r="BJ304" s="517"/>
      <c r="BK304" s="517"/>
      <c r="BL304" s="517"/>
      <c r="BM304" s="517"/>
      <c r="BN304" s="517"/>
      <c r="BO304" s="517"/>
      <c r="BP304" s="517"/>
      <c r="BQ304" s="517"/>
      <c r="BR304" s="517"/>
      <c r="BS304" s="517"/>
      <c r="BT304" s="517"/>
      <c r="BU304" s="517"/>
      <c r="BV304" s="517"/>
      <c r="BW304" s="517"/>
      <c r="BX304" s="517"/>
      <c r="BY304" s="517"/>
      <c r="BZ304" s="517"/>
      <c r="CA304" s="517"/>
      <c r="CB304" s="517"/>
      <c r="CC304" s="517"/>
      <c r="CD304" s="517"/>
      <c r="CE304" s="517"/>
      <c r="CF304" s="517"/>
      <c r="CG304" s="517"/>
      <c r="CH304" s="517"/>
      <c r="CI304" s="517"/>
      <c r="CJ304" s="517"/>
      <c r="CK304" s="517"/>
      <c r="CL304" s="517"/>
      <c r="CM304" s="517"/>
      <c r="CN304" s="517"/>
      <c r="CO304" s="517"/>
      <c r="CP304" s="517"/>
      <c r="CQ304" s="517"/>
      <c r="CR304" s="517"/>
      <c r="CS304" s="517"/>
      <c r="CT304" s="517"/>
      <c r="CU304" s="517"/>
      <c r="CV304" s="517"/>
      <c r="CW304" s="517"/>
      <c r="CX304" s="517"/>
      <c r="CY304" s="517"/>
      <c r="CZ304" s="517"/>
      <c r="DA304" s="517"/>
      <c r="DB304" s="517"/>
      <c r="DC304" s="517"/>
      <c r="DD304" s="517"/>
      <c r="DE304" s="517"/>
      <c r="DF304" s="517"/>
      <c r="DG304" s="517"/>
      <c r="DH304" s="517"/>
      <c r="DI304" s="517"/>
      <c r="DJ304" s="517"/>
      <c r="DK304" s="517"/>
      <c r="DL304" s="517"/>
      <c r="DM304" s="517"/>
      <c r="DN304" s="517"/>
      <c r="DO304" s="517"/>
      <c r="DP304" s="517"/>
      <c r="DQ304" s="517"/>
      <c r="DR304" s="517"/>
      <c r="DS304" s="517"/>
      <c r="DT304" s="517"/>
      <c r="DU304" s="517"/>
      <c r="DV304" s="517"/>
      <c r="DW304" s="517"/>
      <c r="DX304" s="517"/>
      <c r="DY304" s="517"/>
      <c r="DZ304" s="517"/>
      <c r="EA304" s="517"/>
      <c r="EB304" s="517"/>
      <c r="EC304" s="517"/>
      <c r="ED304" s="517"/>
      <c r="EE304" s="517"/>
      <c r="EF304" s="517"/>
      <c r="EG304" s="517"/>
      <c r="EH304" s="517"/>
      <c r="EI304" s="517"/>
      <c r="EJ304" s="517"/>
      <c r="EK304" s="517"/>
      <c r="EL304" s="517"/>
      <c r="EM304" s="517"/>
      <c r="EN304" s="517"/>
      <c r="EO304" s="517"/>
      <c r="EP304" s="517"/>
      <c r="EQ304" s="517"/>
      <c r="ER304" s="517"/>
      <c r="ES304" s="627" t="s">
        <v>1140</v>
      </c>
    </row>
    <row r="305">
      <c r="A305" s="517"/>
      <c r="B305" s="517"/>
      <c r="C305" s="517"/>
      <c r="D305" s="517"/>
      <c r="E305" s="517"/>
      <c r="F305" s="517"/>
      <c r="G305" s="517"/>
      <c r="H305" s="517"/>
      <c r="I305" s="517"/>
      <c r="J305" s="517"/>
      <c r="K305" s="517"/>
      <c r="L305" s="517"/>
      <c r="M305" s="517"/>
      <c r="N305" s="517"/>
      <c r="O305" s="517"/>
      <c r="P305" s="517"/>
      <c r="Q305" s="517"/>
      <c r="R305" s="517"/>
      <c r="S305" s="517"/>
      <c r="T305" s="517"/>
      <c r="U305" s="517"/>
      <c r="V305" s="517"/>
      <c r="W305" s="517"/>
      <c r="X305" s="517"/>
      <c r="Y305" s="517"/>
      <c r="Z305" s="517"/>
      <c r="AA305" s="517"/>
      <c r="AB305" s="517"/>
      <c r="AC305" s="517"/>
      <c r="AD305" s="517"/>
      <c r="AE305" s="517"/>
      <c r="AF305" s="517"/>
      <c r="AG305" s="517"/>
      <c r="AH305" s="517"/>
      <c r="AI305" s="517"/>
      <c r="AJ305" s="517"/>
      <c r="AK305" s="517"/>
      <c r="AL305" s="517"/>
      <c r="AM305" s="517"/>
      <c r="AN305" s="517"/>
      <c r="AO305" s="517"/>
      <c r="AP305" s="517"/>
      <c r="AQ305" s="517"/>
      <c r="AR305" s="517"/>
      <c r="AS305" s="517"/>
      <c r="AT305" s="517"/>
      <c r="AU305" s="517"/>
      <c r="AV305" s="517"/>
      <c r="AW305" s="517"/>
      <c r="AX305" s="517"/>
      <c r="AY305" s="517"/>
      <c r="AZ305" s="517"/>
      <c r="BA305" s="517"/>
      <c r="BB305" s="517"/>
      <c r="BC305" s="517"/>
      <c r="BD305" s="517"/>
      <c r="BE305" s="517"/>
      <c r="BF305" s="517"/>
      <c r="BG305" s="517"/>
      <c r="BH305" s="517"/>
      <c r="BI305" s="517"/>
      <c r="BJ305" s="517"/>
      <c r="BK305" s="517"/>
      <c r="BL305" s="517"/>
      <c r="BM305" s="517"/>
      <c r="BN305" s="517"/>
      <c r="BO305" s="517"/>
      <c r="BP305" s="517"/>
      <c r="BQ305" s="517"/>
      <c r="BR305" s="517"/>
      <c r="BS305" s="517"/>
      <c r="BT305" s="517"/>
      <c r="BU305" s="517"/>
      <c r="BV305" s="517"/>
      <c r="BW305" s="517"/>
      <c r="BX305" s="517"/>
      <c r="BY305" s="517"/>
      <c r="BZ305" s="517"/>
      <c r="CA305" s="517"/>
      <c r="CB305" s="517"/>
      <c r="CC305" s="517"/>
      <c r="CD305" s="517"/>
      <c r="CE305" s="517"/>
      <c r="CF305" s="517"/>
      <c r="CG305" s="517"/>
      <c r="CH305" s="517"/>
      <c r="CI305" s="517"/>
      <c r="CJ305" s="517"/>
      <c r="CK305" s="517"/>
      <c r="CL305" s="517"/>
      <c r="CM305" s="517"/>
      <c r="CN305" s="517"/>
      <c r="CO305" s="517"/>
      <c r="CP305" s="517"/>
      <c r="CQ305" s="517"/>
      <c r="CR305" s="517"/>
      <c r="CS305" s="517"/>
      <c r="CT305" s="517"/>
      <c r="CU305" s="517"/>
      <c r="CV305" s="517"/>
      <c r="CW305" s="517"/>
      <c r="CX305" s="517"/>
      <c r="CY305" s="517"/>
      <c r="CZ305" s="517"/>
      <c r="DA305" s="517"/>
      <c r="DB305" s="517"/>
      <c r="DC305" s="517"/>
      <c r="DD305" s="517"/>
      <c r="DE305" s="517"/>
      <c r="DF305" s="517"/>
      <c r="DG305" s="517"/>
      <c r="DH305" s="517"/>
      <c r="DI305" s="517"/>
      <c r="DJ305" s="517"/>
      <c r="DK305" s="517"/>
      <c r="DL305" s="517"/>
      <c r="DM305" s="517"/>
      <c r="DN305" s="517"/>
      <c r="DO305" s="517"/>
      <c r="DP305" s="517"/>
      <c r="DQ305" s="517"/>
      <c r="DR305" s="517"/>
      <c r="DS305" s="517"/>
      <c r="DT305" s="517"/>
      <c r="DU305" s="517"/>
      <c r="DV305" s="517"/>
      <c r="DW305" s="517"/>
      <c r="DX305" s="517"/>
      <c r="DY305" s="517"/>
      <c r="DZ305" s="517"/>
      <c r="EA305" s="517"/>
      <c r="EB305" s="517"/>
      <c r="EC305" s="517"/>
      <c r="ED305" s="517"/>
      <c r="EE305" s="517"/>
      <c r="EF305" s="517"/>
      <c r="EG305" s="517"/>
      <c r="EH305" s="517"/>
      <c r="EI305" s="517"/>
      <c r="EJ305" s="517"/>
      <c r="EK305" s="517"/>
      <c r="EL305" s="517"/>
      <c r="EM305" s="517"/>
      <c r="EN305" s="517"/>
      <c r="EO305" s="517"/>
      <c r="EP305" s="517"/>
      <c r="EQ305" s="517"/>
      <c r="ER305" s="517"/>
      <c r="ES305" s="627" t="s">
        <v>1140</v>
      </c>
    </row>
    <row r="306">
      <c r="A306" s="517"/>
      <c r="B306" s="517"/>
      <c r="C306" s="517"/>
      <c r="D306" s="517"/>
      <c r="E306" s="517"/>
      <c r="F306" s="517"/>
      <c r="G306" s="517"/>
      <c r="H306" s="517"/>
      <c r="I306" s="517"/>
      <c r="J306" s="517"/>
      <c r="K306" s="517"/>
      <c r="L306" s="517"/>
      <c r="M306" s="517"/>
      <c r="N306" s="517"/>
      <c r="O306" s="517"/>
      <c r="P306" s="517"/>
      <c r="Q306" s="517"/>
      <c r="R306" s="517"/>
      <c r="S306" s="517"/>
      <c r="T306" s="517"/>
      <c r="U306" s="517"/>
      <c r="V306" s="517"/>
      <c r="W306" s="517"/>
      <c r="X306" s="517"/>
      <c r="Y306" s="517"/>
      <c r="Z306" s="517"/>
      <c r="AA306" s="517"/>
      <c r="AB306" s="517"/>
      <c r="AC306" s="517"/>
      <c r="AD306" s="517"/>
      <c r="AE306" s="517"/>
      <c r="AF306" s="517"/>
      <c r="AG306" s="517"/>
      <c r="AH306" s="517"/>
      <c r="AI306" s="517"/>
      <c r="AJ306" s="517"/>
      <c r="AK306" s="517"/>
      <c r="AL306" s="517"/>
      <c r="AM306" s="517"/>
      <c r="AN306" s="517"/>
      <c r="AO306" s="517"/>
      <c r="AP306" s="517"/>
      <c r="AQ306" s="517"/>
      <c r="AR306" s="517"/>
      <c r="AS306" s="517"/>
      <c r="AT306" s="517"/>
      <c r="AU306" s="517"/>
      <c r="AV306" s="517"/>
      <c r="AW306" s="517"/>
      <c r="AX306" s="517"/>
      <c r="AY306" s="517"/>
      <c r="AZ306" s="517"/>
      <c r="BA306" s="517"/>
      <c r="BB306" s="517"/>
      <c r="BC306" s="517"/>
      <c r="BD306" s="517"/>
      <c r="BE306" s="517"/>
      <c r="BF306" s="517"/>
      <c r="BG306" s="517"/>
      <c r="BH306" s="517"/>
      <c r="BI306" s="517"/>
      <c r="BJ306" s="517"/>
      <c r="BK306" s="517"/>
      <c r="BL306" s="517"/>
      <c r="BM306" s="517"/>
      <c r="BN306" s="517"/>
      <c r="BO306" s="517"/>
      <c r="BP306" s="517"/>
      <c r="BQ306" s="517"/>
      <c r="BR306" s="517"/>
      <c r="BS306" s="517"/>
      <c r="BT306" s="517"/>
      <c r="BU306" s="517"/>
      <c r="BV306" s="517"/>
      <c r="BW306" s="517"/>
      <c r="BX306" s="517"/>
      <c r="BY306" s="517"/>
      <c r="BZ306" s="517"/>
      <c r="CA306" s="517"/>
      <c r="CB306" s="517"/>
      <c r="CC306" s="517"/>
      <c r="CD306" s="517"/>
      <c r="CE306" s="517"/>
      <c r="CF306" s="517"/>
      <c r="CG306" s="517"/>
      <c r="CH306" s="517"/>
      <c r="CI306" s="517"/>
      <c r="CJ306" s="517"/>
      <c r="CK306" s="517"/>
      <c r="CL306" s="517"/>
      <c r="CM306" s="517"/>
      <c r="CN306" s="517"/>
      <c r="CO306" s="517"/>
      <c r="CP306" s="517"/>
      <c r="CQ306" s="517"/>
      <c r="CR306" s="517"/>
      <c r="CS306" s="517"/>
      <c r="CT306" s="517"/>
      <c r="CU306" s="517"/>
      <c r="CV306" s="517"/>
      <c r="CW306" s="517"/>
      <c r="CX306" s="517"/>
      <c r="CY306" s="517"/>
      <c r="CZ306" s="517"/>
      <c r="DA306" s="517"/>
      <c r="DB306" s="517"/>
      <c r="DC306" s="517"/>
      <c r="DD306" s="517"/>
      <c r="DE306" s="517"/>
      <c r="DF306" s="517"/>
      <c r="DG306" s="517"/>
      <c r="DH306" s="517"/>
      <c r="DI306" s="517"/>
      <c r="DJ306" s="517"/>
      <c r="DK306" s="517"/>
      <c r="DL306" s="517"/>
      <c r="DM306" s="517"/>
      <c r="DN306" s="517"/>
      <c r="DO306" s="517"/>
      <c r="DP306" s="517"/>
      <c r="DQ306" s="517"/>
      <c r="DR306" s="517"/>
      <c r="DS306" s="517"/>
      <c r="DT306" s="517"/>
      <c r="DU306" s="517"/>
      <c r="DV306" s="517"/>
      <c r="DW306" s="517"/>
      <c r="DX306" s="517"/>
      <c r="DY306" s="517"/>
      <c r="DZ306" s="517"/>
      <c r="EA306" s="517"/>
      <c r="EB306" s="517"/>
      <c r="EC306" s="517"/>
      <c r="ED306" s="517"/>
      <c r="EE306" s="517"/>
      <c r="EF306" s="517"/>
      <c r="EG306" s="517"/>
      <c r="EH306" s="517"/>
      <c r="EI306" s="517"/>
      <c r="EJ306" s="517"/>
      <c r="EK306" s="517"/>
      <c r="EL306" s="517"/>
      <c r="EM306" s="517"/>
      <c r="EN306" s="517"/>
      <c r="EO306" s="517"/>
      <c r="EP306" s="517"/>
      <c r="EQ306" s="517"/>
      <c r="ER306" s="517"/>
      <c r="ES306" s="627" t="s">
        <v>1140</v>
      </c>
    </row>
    <row r="307">
      <c r="A307" s="517"/>
      <c r="B307" s="517"/>
      <c r="C307" s="517"/>
      <c r="D307" s="517"/>
      <c r="E307" s="517"/>
      <c r="F307" s="517"/>
      <c r="G307" s="517"/>
      <c r="H307" s="517"/>
      <c r="I307" s="517"/>
      <c r="J307" s="517"/>
      <c r="K307" s="517"/>
      <c r="L307" s="517"/>
      <c r="M307" s="517"/>
      <c r="N307" s="517"/>
      <c r="O307" s="517"/>
      <c r="P307" s="517"/>
      <c r="Q307" s="517"/>
      <c r="R307" s="517"/>
      <c r="S307" s="517"/>
      <c r="T307" s="517"/>
      <c r="U307" s="517"/>
      <c r="V307" s="517"/>
      <c r="W307" s="517"/>
      <c r="X307" s="517"/>
      <c r="Y307" s="517"/>
      <c r="Z307" s="517"/>
      <c r="AA307" s="517"/>
      <c r="AB307" s="517"/>
      <c r="AC307" s="517"/>
      <c r="AD307" s="517"/>
      <c r="AE307" s="517"/>
      <c r="AF307" s="517"/>
      <c r="AG307" s="517"/>
      <c r="AH307" s="517"/>
      <c r="AI307" s="517"/>
      <c r="AJ307" s="517"/>
      <c r="AK307" s="517"/>
      <c r="AL307" s="517"/>
      <c r="AM307" s="517"/>
      <c r="AN307" s="517"/>
      <c r="AO307" s="517"/>
      <c r="AP307" s="517"/>
      <c r="AQ307" s="517"/>
      <c r="AR307" s="517"/>
      <c r="AS307" s="517"/>
      <c r="AT307" s="517"/>
      <c r="AU307" s="517"/>
      <c r="AV307" s="517"/>
      <c r="AW307" s="517"/>
      <c r="AX307" s="517"/>
      <c r="AY307" s="517"/>
      <c r="AZ307" s="517"/>
      <c r="BA307" s="517"/>
      <c r="BB307" s="517"/>
      <c r="BC307" s="517"/>
      <c r="BD307" s="517"/>
      <c r="BE307" s="517"/>
      <c r="BF307" s="517"/>
      <c r="BG307" s="517"/>
      <c r="BH307" s="517"/>
      <c r="BI307" s="517"/>
      <c r="BJ307" s="517"/>
      <c r="BK307" s="517"/>
      <c r="BL307" s="517"/>
      <c r="BM307" s="517"/>
      <c r="BN307" s="517"/>
      <c r="BO307" s="517"/>
      <c r="BP307" s="517"/>
      <c r="BQ307" s="517"/>
      <c r="BR307" s="517"/>
      <c r="BS307" s="517"/>
      <c r="BT307" s="517"/>
      <c r="BU307" s="517"/>
      <c r="BV307" s="517"/>
      <c r="BW307" s="517"/>
      <c r="BX307" s="517"/>
      <c r="BY307" s="517"/>
      <c r="BZ307" s="517"/>
      <c r="CA307" s="517"/>
      <c r="CB307" s="517"/>
      <c r="CC307" s="517"/>
      <c r="CD307" s="517"/>
      <c r="CE307" s="517"/>
      <c r="CF307" s="517"/>
      <c r="CG307" s="517"/>
      <c r="CH307" s="517"/>
      <c r="CI307" s="517"/>
      <c r="CJ307" s="517"/>
      <c r="CK307" s="517"/>
      <c r="CL307" s="517"/>
      <c r="CM307" s="517"/>
      <c r="CN307" s="517"/>
      <c r="CO307" s="517"/>
      <c r="CP307" s="517"/>
      <c r="CQ307" s="517"/>
      <c r="CR307" s="517"/>
      <c r="CS307" s="517"/>
      <c r="CT307" s="517"/>
      <c r="CU307" s="517"/>
      <c r="CV307" s="517"/>
      <c r="CW307" s="517"/>
      <c r="CX307" s="517"/>
      <c r="CY307" s="517"/>
      <c r="CZ307" s="517"/>
      <c r="DA307" s="517"/>
      <c r="DB307" s="517"/>
      <c r="DC307" s="517"/>
      <c r="DD307" s="517"/>
      <c r="DE307" s="517"/>
      <c r="DF307" s="517"/>
      <c r="DG307" s="517"/>
      <c r="DH307" s="517"/>
      <c r="DI307" s="517"/>
      <c r="DJ307" s="517"/>
      <c r="DK307" s="517"/>
      <c r="DL307" s="517"/>
      <c r="DM307" s="517"/>
      <c r="DN307" s="517"/>
      <c r="DO307" s="517"/>
      <c r="DP307" s="517"/>
      <c r="DQ307" s="517"/>
      <c r="DR307" s="517"/>
      <c r="DS307" s="517"/>
      <c r="DT307" s="517"/>
      <c r="DU307" s="517"/>
      <c r="DV307" s="517"/>
      <c r="DW307" s="517"/>
      <c r="DX307" s="517"/>
      <c r="DY307" s="517"/>
      <c r="DZ307" s="517"/>
      <c r="EA307" s="517"/>
      <c r="EB307" s="517"/>
      <c r="EC307" s="517"/>
      <c r="ED307" s="517"/>
      <c r="EE307" s="517"/>
      <c r="EF307" s="517"/>
      <c r="EG307" s="517"/>
      <c r="EH307" s="517"/>
      <c r="EI307" s="517"/>
      <c r="EJ307" s="517"/>
      <c r="EK307" s="517"/>
      <c r="EL307" s="517"/>
      <c r="EM307" s="517"/>
      <c r="EN307" s="517"/>
      <c r="EO307" s="517"/>
      <c r="EP307" s="517"/>
      <c r="EQ307" s="517"/>
      <c r="ER307" s="517"/>
      <c r="ES307" s="627" t="s">
        <v>1140</v>
      </c>
    </row>
    <row r="308">
      <c r="A308" s="517"/>
      <c r="B308" s="517"/>
      <c r="C308" s="517"/>
      <c r="D308" s="517"/>
      <c r="E308" s="517"/>
      <c r="F308" s="517"/>
      <c r="G308" s="517"/>
      <c r="H308" s="517"/>
      <c r="I308" s="517"/>
      <c r="J308" s="517"/>
      <c r="K308" s="517"/>
      <c r="L308" s="517"/>
      <c r="M308" s="517"/>
      <c r="N308" s="517"/>
      <c r="O308" s="517"/>
      <c r="P308" s="517"/>
      <c r="Q308" s="517"/>
      <c r="R308" s="517"/>
      <c r="S308" s="517"/>
      <c r="T308" s="517"/>
      <c r="U308" s="517"/>
      <c r="V308" s="517"/>
      <c r="W308" s="517"/>
      <c r="X308" s="517"/>
      <c r="Y308" s="517"/>
      <c r="Z308" s="517"/>
      <c r="AA308" s="517"/>
      <c r="AB308" s="517"/>
      <c r="AC308" s="517"/>
      <c r="AD308" s="517"/>
      <c r="AE308" s="517"/>
      <c r="AF308" s="517"/>
      <c r="AG308" s="517"/>
      <c r="AH308" s="517"/>
      <c r="AI308" s="517"/>
      <c r="AJ308" s="517"/>
      <c r="AK308" s="517"/>
      <c r="AL308" s="517"/>
      <c r="AM308" s="517"/>
      <c r="AN308" s="517"/>
      <c r="AO308" s="517"/>
      <c r="AP308" s="517"/>
      <c r="AQ308" s="517"/>
      <c r="AR308" s="517"/>
      <c r="AS308" s="517"/>
      <c r="AT308" s="517"/>
      <c r="AU308" s="517"/>
      <c r="AV308" s="517"/>
      <c r="AW308" s="517"/>
      <c r="AX308" s="517"/>
      <c r="AY308" s="517"/>
      <c r="AZ308" s="517"/>
      <c r="BA308" s="517"/>
      <c r="BB308" s="517"/>
      <c r="BC308" s="517"/>
      <c r="BD308" s="517"/>
      <c r="BE308" s="517"/>
      <c r="BF308" s="517"/>
      <c r="BG308" s="517"/>
      <c r="BH308" s="517"/>
      <c r="BI308" s="517"/>
      <c r="BJ308" s="517"/>
      <c r="BK308" s="517"/>
      <c r="BL308" s="517"/>
      <c r="BM308" s="517"/>
      <c r="BN308" s="517"/>
      <c r="BO308" s="517"/>
      <c r="BP308" s="517"/>
      <c r="BQ308" s="517"/>
      <c r="BR308" s="517"/>
      <c r="BS308" s="517"/>
      <c r="BT308" s="517"/>
      <c r="BU308" s="517"/>
      <c r="BV308" s="517"/>
      <c r="BW308" s="517"/>
      <c r="BX308" s="517"/>
      <c r="BY308" s="517"/>
      <c r="BZ308" s="517"/>
      <c r="CA308" s="517"/>
      <c r="CB308" s="517"/>
      <c r="CC308" s="517"/>
      <c r="CD308" s="517"/>
      <c r="CE308" s="517"/>
      <c r="CF308" s="517"/>
      <c r="CG308" s="517"/>
      <c r="CH308" s="517"/>
      <c r="CI308" s="517"/>
      <c r="CJ308" s="517"/>
      <c r="CK308" s="517"/>
      <c r="CL308" s="517"/>
      <c r="CM308" s="517"/>
      <c r="CN308" s="517"/>
      <c r="CO308" s="517"/>
      <c r="CP308" s="517"/>
      <c r="CQ308" s="517"/>
      <c r="CR308" s="517"/>
      <c r="CS308" s="517"/>
      <c r="CT308" s="517"/>
      <c r="CU308" s="517"/>
      <c r="CV308" s="517"/>
      <c r="CW308" s="517"/>
      <c r="CX308" s="517"/>
      <c r="CY308" s="517"/>
      <c r="CZ308" s="517"/>
      <c r="DA308" s="517"/>
      <c r="DB308" s="517"/>
      <c r="DC308" s="517"/>
      <c r="DD308" s="517"/>
      <c r="DE308" s="517"/>
      <c r="DF308" s="517"/>
      <c r="DG308" s="517"/>
      <c r="DH308" s="517"/>
      <c r="DI308" s="517"/>
      <c r="DJ308" s="517"/>
      <c r="DK308" s="517"/>
      <c r="DL308" s="517"/>
      <c r="DM308" s="517"/>
      <c r="DN308" s="517"/>
      <c r="DO308" s="517"/>
      <c r="DP308" s="517"/>
      <c r="DQ308" s="517"/>
      <c r="DR308" s="517"/>
      <c r="DS308" s="517"/>
      <c r="DT308" s="517"/>
      <c r="DU308" s="517"/>
      <c r="DV308" s="517"/>
      <c r="DW308" s="517"/>
      <c r="DX308" s="517"/>
      <c r="DY308" s="517"/>
      <c r="DZ308" s="517"/>
      <c r="EA308" s="517"/>
      <c r="EB308" s="517"/>
      <c r="EC308" s="517"/>
      <c r="ED308" s="517"/>
      <c r="EE308" s="517"/>
      <c r="EF308" s="517"/>
      <c r="EG308" s="517"/>
      <c r="EH308" s="517"/>
      <c r="EI308" s="517"/>
      <c r="EJ308" s="517"/>
      <c r="EK308" s="517"/>
      <c r="EL308" s="517"/>
      <c r="EM308" s="517"/>
      <c r="EN308" s="517"/>
      <c r="EO308" s="517"/>
      <c r="EP308" s="517"/>
      <c r="EQ308" s="517"/>
      <c r="ER308" s="517"/>
      <c r="ES308" s="627" t="s">
        <v>1140</v>
      </c>
    </row>
    <row r="309">
      <c r="A309" s="517"/>
      <c r="B309" s="517"/>
      <c r="C309" s="517"/>
      <c r="D309" s="517"/>
      <c r="E309" s="517"/>
      <c r="F309" s="517"/>
      <c r="G309" s="517"/>
      <c r="H309" s="517"/>
      <c r="I309" s="517"/>
      <c r="J309" s="517"/>
      <c r="K309" s="517"/>
      <c r="L309" s="517"/>
      <c r="M309" s="517"/>
      <c r="N309" s="517"/>
      <c r="O309" s="517"/>
      <c r="P309" s="517"/>
      <c r="Q309" s="517"/>
      <c r="R309" s="517"/>
      <c r="S309" s="517"/>
      <c r="T309" s="517"/>
      <c r="U309" s="517"/>
      <c r="V309" s="517"/>
      <c r="W309" s="517"/>
      <c r="X309" s="517"/>
      <c r="Y309" s="517"/>
      <c r="Z309" s="517"/>
      <c r="AA309" s="517"/>
      <c r="AB309" s="517"/>
      <c r="AC309" s="517"/>
      <c r="AD309" s="517"/>
      <c r="AE309" s="517"/>
      <c r="AF309" s="517"/>
      <c r="AG309" s="517"/>
      <c r="AH309" s="517"/>
      <c r="AI309" s="517"/>
      <c r="AJ309" s="517"/>
      <c r="AK309" s="517"/>
      <c r="AL309" s="517"/>
      <c r="AM309" s="517"/>
      <c r="AN309" s="517"/>
      <c r="AO309" s="517"/>
      <c r="AP309" s="517"/>
      <c r="AQ309" s="517"/>
      <c r="AR309" s="517"/>
      <c r="AS309" s="517"/>
      <c r="AT309" s="517"/>
      <c r="AU309" s="517"/>
      <c r="AV309" s="517"/>
      <c r="AW309" s="517"/>
      <c r="AX309" s="517"/>
      <c r="AY309" s="517"/>
      <c r="AZ309" s="517"/>
      <c r="BA309" s="517"/>
      <c r="BB309" s="517"/>
      <c r="BC309" s="517"/>
      <c r="BD309" s="517"/>
      <c r="BE309" s="517"/>
      <c r="BF309" s="517"/>
      <c r="BG309" s="517"/>
      <c r="BH309" s="517"/>
      <c r="BI309" s="517"/>
      <c r="BJ309" s="517"/>
      <c r="BK309" s="517"/>
      <c r="BL309" s="517"/>
      <c r="BM309" s="517"/>
      <c r="BN309" s="517"/>
      <c r="BO309" s="517"/>
      <c r="BP309" s="517"/>
      <c r="BQ309" s="517"/>
      <c r="BR309" s="517"/>
      <c r="BS309" s="517"/>
      <c r="BT309" s="517"/>
      <c r="BU309" s="517"/>
      <c r="BV309" s="517"/>
      <c r="BW309" s="517"/>
      <c r="BX309" s="517"/>
      <c r="BY309" s="517"/>
      <c r="BZ309" s="517"/>
      <c r="CA309" s="517"/>
      <c r="CB309" s="517"/>
      <c r="CC309" s="517"/>
      <c r="CD309" s="517"/>
      <c r="CE309" s="517"/>
      <c r="CF309" s="517"/>
      <c r="CG309" s="517"/>
      <c r="CH309" s="517"/>
      <c r="CI309" s="517"/>
      <c r="CJ309" s="517"/>
      <c r="CK309" s="517"/>
      <c r="CL309" s="517"/>
      <c r="CM309" s="517"/>
      <c r="CN309" s="517"/>
      <c r="CO309" s="517"/>
      <c r="CP309" s="517"/>
      <c r="CQ309" s="517"/>
      <c r="CR309" s="517"/>
      <c r="CS309" s="517"/>
      <c r="CT309" s="517"/>
      <c r="CU309" s="517"/>
      <c r="CV309" s="517"/>
      <c r="CW309" s="517"/>
      <c r="CX309" s="517"/>
      <c r="CY309" s="517"/>
      <c r="CZ309" s="517"/>
      <c r="DA309" s="517"/>
      <c r="DB309" s="517"/>
      <c r="DC309" s="517"/>
      <c r="DD309" s="517"/>
      <c r="DE309" s="517"/>
      <c r="DF309" s="517"/>
      <c r="DG309" s="517"/>
      <c r="DH309" s="517"/>
      <c r="DI309" s="517"/>
      <c r="DJ309" s="517"/>
      <c r="DK309" s="517"/>
      <c r="DL309" s="517"/>
      <c r="DM309" s="517"/>
      <c r="DN309" s="517"/>
      <c r="DO309" s="517"/>
      <c r="DP309" s="517"/>
      <c r="DQ309" s="517"/>
      <c r="DR309" s="517"/>
      <c r="DS309" s="517"/>
      <c r="DT309" s="517"/>
      <c r="DU309" s="517"/>
      <c r="DV309" s="517"/>
      <c r="DW309" s="517"/>
      <c r="DX309" s="517"/>
      <c r="DY309" s="517"/>
      <c r="DZ309" s="517"/>
      <c r="EA309" s="517"/>
      <c r="EB309" s="517"/>
      <c r="EC309" s="517"/>
      <c r="ED309" s="517"/>
      <c r="EE309" s="517"/>
      <c r="EF309" s="517"/>
      <c r="EG309" s="517"/>
      <c r="EH309" s="517"/>
      <c r="EI309" s="517"/>
      <c r="EJ309" s="517"/>
      <c r="EK309" s="517"/>
      <c r="EL309" s="517"/>
      <c r="EM309" s="517"/>
      <c r="EN309" s="517"/>
      <c r="EO309" s="517"/>
      <c r="EP309" s="517"/>
      <c r="EQ309" s="517"/>
      <c r="ER309" s="517"/>
      <c r="ES309" s="627" t="s">
        <v>1140</v>
      </c>
    </row>
    <row r="310">
      <c r="A310" s="517"/>
      <c r="B310" s="517"/>
      <c r="C310" s="517"/>
      <c r="D310" s="517"/>
      <c r="E310" s="517"/>
      <c r="F310" s="517"/>
      <c r="G310" s="517"/>
      <c r="H310" s="517"/>
      <c r="I310" s="517"/>
      <c r="J310" s="517"/>
      <c r="K310" s="517"/>
      <c r="L310" s="517"/>
      <c r="M310" s="517"/>
      <c r="N310" s="517"/>
      <c r="O310" s="517"/>
      <c r="P310" s="517"/>
      <c r="Q310" s="517"/>
      <c r="R310" s="517"/>
      <c r="S310" s="517"/>
      <c r="T310" s="517"/>
      <c r="U310" s="517"/>
      <c r="V310" s="517"/>
      <c r="W310" s="517"/>
      <c r="X310" s="517"/>
      <c r="Y310" s="517"/>
      <c r="Z310" s="517"/>
      <c r="AA310" s="517"/>
      <c r="AB310" s="517"/>
      <c r="AC310" s="517"/>
      <c r="AD310" s="517"/>
      <c r="AE310" s="517"/>
      <c r="AF310" s="517"/>
      <c r="AG310" s="517"/>
      <c r="AH310" s="517"/>
      <c r="AI310" s="517"/>
      <c r="AJ310" s="517"/>
      <c r="AK310" s="517"/>
      <c r="AL310" s="517"/>
      <c r="AM310" s="517"/>
      <c r="AN310" s="517"/>
      <c r="AO310" s="517"/>
      <c r="AP310" s="517"/>
      <c r="AQ310" s="517"/>
      <c r="AR310" s="517"/>
      <c r="AS310" s="517"/>
      <c r="AT310" s="517"/>
      <c r="AU310" s="517"/>
      <c r="AV310" s="517"/>
      <c r="AW310" s="517"/>
      <c r="AX310" s="517"/>
      <c r="AY310" s="517"/>
      <c r="AZ310" s="517"/>
      <c r="BA310" s="517"/>
      <c r="BB310" s="517"/>
      <c r="BC310" s="517"/>
      <c r="BD310" s="517"/>
      <c r="BE310" s="517"/>
      <c r="BF310" s="517"/>
      <c r="BG310" s="517"/>
      <c r="BH310" s="517"/>
      <c r="BI310" s="517"/>
      <c r="BJ310" s="517"/>
      <c r="BK310" s="517"/>
      <c r="BL310" s="517"/>
      <c r="BM310" s="517"/>
      <c r="BN310" s="517"/>
      <c r="BO310" s="517"/>
      <c r="BP310" s="517"/>
      <c r="BQ310" s="517"/>
      <c r="BR310" s="517"/>
      <c r="BS310" s="517"/>
      <c r="BT310" s="517"/>
      <c r="BU310" s="517"/>
      <c r="BV310" s="517"/>
      <c r="BW310" s="517"/>
      <c r="BX310" s="517"/>
      <c r="BY310" s="517"/>
      <c r="BZ310" s="517"/>
      <c r="CA310" s="517"/>
      <c r="CB310" s="517"/>
      <c r="CC310" s="517"/>
      <c r="CD310" s="517"/>
      <c r="CE310" s="517"/>
      <c r="CF310" s="517"/>
      <c r="CG310" s="517"/>
      <c r="CH310" s="517"/>
      <c r="CI310" s="517"/>
      <c r="CJ310" s="517"/>
      <c r="CK310" s="517"/>
      <c r="CL310" s="517"/>
      <c r="CM310" s="517"/>
      <c r="CN310" s="517"/>
      <c r="CO310" s="517"/>
      <c r="CP310" s="517"/>
      <c r="CQ310" s="517"/>
      <c r="CR310" s="517"/>
      <c r="CS310" s="517"/>
      <c r="CT310" s="517"/>
      <c r="CU310" s="517"/>
      <c r="CV310" s="517"/>
      <c r="CW310" s="517"/>
      <c r="CX310" s="517"/>
      <c r="CY310" s="517"/>
      <c r="CZ310" s="517"/>
      <c r="DA310" s="517"/>
      <c r="DB310" s="517"/>
      <c r="DC310" s="517"/>
      <c r="DD310" s="517"/>
      <c r="DE310" s="517"/>
      <c r="DF310" s="517"/>
      <c r="DG310" s="517"/>
      <c r="DH310" s="517"/>
      <c r="DI310" s="517"/>
      <c r="DJ310" s="517"/>
      <c r="DK310" s="517"/>
      <c r="DL310" s="517"/>
      <c r="DM310" s="517"/>
      <c r="DN310" s="517"/>
      <c r="DO310" s="517"/>
      <c r="DP310" s="517"/>
      <c r="DQ310" s="517"/>
      <c r="DR310" s="517"/>
      <c r="DS310" s="517"/>
      <c r="DT310" s="517"/>
      <c r="DU310" s="517"/>
      <c r="DV310" s="517"/>
      <c r="DW310" s="517"/>
      <c r="DX310" s="517"/>
      <c r="DY310" s="517"/>
      <c r="DZ310" s="517"/>
      <c r="EA310" s="517"/>
      <c r="EB310" s="517"/>
      <c r="EC310" s="517"/>
      <c r="ED310" s="517"/>
      <c r="EE310" s="517"/>
      <c r="EF310" s="517"/>
      <c r="EG310" s="517"/>
      <c r="EH310" s="517"/>
      <c r="EI310" s="517"/>
      <c r="EJ310" s="517"/>
      <c r="EK310" s="517"/>
      <c r="EL310" s="517"/>
      <c r="EM310" s="517"/>
      <c r="EN310" s="517"/>
      <c r="EO310" s="517"/>
      <c r="EP310" s="517"/>
      <c r="EQ310" s="517"/>
      <c r="ER310" s="517"/>
      <c r="ES310" s="627" t="s">
        <v>1140</v>
      </c>
    </row>
    <row r="311">
      <c r="A311" s="517"/>
      <c r="B311" s="517"/>
      <c r="C311" s="517"/>
      <c r="D311" s="517"/>
      <c r="E311" s="517"/>
      <c r="F311" s="517"/>
      <c r="G311" s="517"/>
      <c r="H311" s="517"/>
      <c r="I311" s="517"/>
      <c r="J311" s="517"/>
      <c r="K311" s="517"/>
      <c r="L311" s="517"/>
      <c r="M311" s="517"/>
      <c r="N311" s="517"/>
      <c r="O311" s="517"/>
      <c r="P311" s="517"/>
      <c r="Q311" s="517"/>
      <c r="R311" s="517"/>
      <c r="S311" s="517"/>
      <c r="T311" s="517"/>
      <c r="U311" s="517"/>
      <c r="V311" s="517"/>
      <c r="W311" s="517"/>
      <c r="X311" s="517"/>
      <c r="Y311" s="517"/>
      <c r="Z311" s="517"/>
      <c r="AA311" s="517"/>
      <c r="AB311" s="517"/>
      <c r="AC311" s="517"/>
      <c r="AD311" s="517"/>
      <c r="AE311" s="517"/>
      <c r="AF311" s="517"/>
      <c r="AG311" s="517"/>
      <c r="AH311" s="517"/>
      <c r="AI311" s="517"/>
      <c r="AJ311" s="517"/>
      <c r="AK311" s="517"/>
      <c r="AL311" s="517"/>
      <c r="AM311" s="517"/>
      <c r="AN311" s="517"/>
      <c r="AO311" s="517"/>
      <c r="AP311" s="517"/>
      <c r="AQ311" s="517"/>
      <c r="AR311" s="517"/>
      <c r="AS311" s="517"/>
      <c r="AT311" s="517"/>
      <c r="AU311" s="517"/>
      <c r="AV311" s="517"/>
      <c r="AW311" s="517"/>
      <c r="AX311" s="517"/>
      <c r="AY311" s="517"/>
      <c r="AZ311" s="517"/>
      <c r="BA311" s="517"/>
      <c r="BB311" s="517"/>
      <c r="BC311" s="517"/>
      <c r="BD311" s="517"/>
      <c r="BE311" s="517"/>
      <c r="BF311" s="517"/>
      <c r="BG311" s="517"/>
      <c r="BH311" s="517"/>
      <c r="BI311" s="517"/>
      <c r="BJ311" s="517"/>
      <c r="BK311" s="517"/>
      <c r="BL311" s="517"/>
      <c r="BM311" s="517"/>
      <c r="BN311" s="517"/>
      <c r="BO311" s="517"/>
      <c r="BP311" s="517"/>
      <c r="BQ311" s="517"/>
      <c r="BR311" s="517"/>
      <c r="BS311" s="517"/>
      <c r="BT311" s="517"/>
      <c r="BU311" s="517"/>
      <c r="BV311" s="517"/>
      <c r="BW311" s="517"/>
      <c r="BX311" s="517"/>
      <c r="BY311" s="517"/>
      <c r="BZ311" s="517"/>
      <c r="CA311" s="517"/>
      <c r="CB311" s="517"/>
      <c r="CC311" s="517"/>
      <c r="CD311" s="517"/>
      <c r="CE311" s="517"/>
      <c r="CF311" s="517"/>
      <c r="CG311" s="517"/>
      <c r="CH311" s="517"/>
      <c r="CI311" s="517"/>
      <c r="CJ311" s="517"/>
      <c r="CK311" s="517"/>
      <c r="CL311" s="517"/>
      <c r="CM311" s="517"/>
      <c r="CN311" s="517"/>
      <c r="CO311" s="517"/>
      <c r="CP311" s="517"/>
      <c r="CQ311" s="517"/>
      <c r="CR311" s="517"/>
      <c r="CS311" s="517"/>
      <c r="CT311" s="517"/>
      <c r="CU311" s="517"/>
      <c r="CV311" s="517"/>
      <c r="CW311" s="517"/>
      <c r="CX311" s="517"/>
      <c r="CY311" s="517"/>
      <c r="CZ311" s="517"/>
      <c r="DA311" s="517"/>
      <c r="DB311" s="517"/>
      <c r="DC311" s="517"/>
      <c r="DD311" s="517"/>
      <c r="DE311" s="517"/>
      <c r="DF311" s="517"/>
      <c r="DG311" s="517"/>
      <c r="DH311" s="517"/>
      <c r="DI311" s="517"/>
      <c r="DJ311" s="517"/>
      <c r="DK311" s="517"/>
      <c r="DL311" s="517"/>
      <c r="DM311" s="517"/>
      <c r="DN311" s="517"/>
      <c r="DO311" s="517"/>
      <c r="DP311" s="517"/>
      <c r="DQ311" s="517"/>
      <c r="DR311" s="517"/>
      <c r="DS311" s="517"/>
      <c r="DT311" s="517"/>
      <c r="DU311" s="517"/>
      <c r="DV311" s="517"/>
      <c r="DW311" s="517"/>
      <c r="DX311" s="517"/>
      <c r="DY311" s="517"/>
      <c r="DZ311" s="517"/>
      <c r="EA311" s="517"/>
      <c r="EB311" s="517"/>
      <c r="EC311" s="517"/>
      <c r="ED311" s="517"/>
      <c r="EE311" s="517"/>
      <c r="EF311" s="517"/>
      <c r="EG311" s="517"/>
      <c r="EH311" s="517"/>
      <c r="EI311" s="517"/>
      <c r="EJ311" s="517"/>
      <c r="EK311" s="517"/>
      <c r="EL311" s="517"/>
      <c r="EM311" s="517"/>
      <c r="EN311" s="517"/>
      <c r="EO311" s="517"/>
      <c r="EP311" s="517"/>
      <c r="EQ311" s="517"/>
      <c r="ER311" s="517"/>
      <c r="ES311" s="627" t="s">
        <v>1140</v>
      </c>
    </row>
    <row r="312">
      <c r="A312" s="517"/>
      <c r="B312" s="517"/>
      <c r="C312" s="517"/>
      <c r="D312" s="517"/>
      <c r="E312" s="517"/>
      <c r="F312" s="517"/>
      <c r="G312" s="517"/>
      <c r="H312" s="517"/>
      <c r="I312" s="517"/>
      <c r="J312" s="517"/>
      <c r="K312" s="517"/>
      <c r="L312" s="517"/>
      <c r="M312" s="517"/>
      <c r="N312" s="517"/>
      <c r="O312" s="517"/>
      <c r="P312" s="517"/>
      <c r="Q312" s="517"/>
      <c r="R312" s="517"/>
      <c r="S312" s="517"/>
      <c r="T312" s="517"/>
      <c r="U312" s="517"/>
      <c r="V312" s="517"/>
      <c r="W312" s="517"/>
      <c r="X312" s="517"/>
      <c r="Y312" s="517"/>
      <c r="Z312" s="517"/>
      <c r="AA312" s="517"/>
      <c r="AB312" s="517"/>
      <c r="AC312" s="517"/>
      <c r="AD312" s="517"/>
      <c r="AE312" s="517"/>
      <c r="AF312" s="517"/>
      <c r="AG312" s="517"/>
      <c r="AH312" s="517"/>
      <c r="AI312" s="517"/>
      <c r="AJ312" s="517"/>
      <c r="AK312" s="517"/>
      <c r="AL312" s="517"/>
      <c r="AM312" s="517"/>
      <c r="AN312" s="517"/>
      <c r="AO312" s="517"/>
      <c r="AP312" s="517"/>
      <c r="AQ312" s="517"/>
      <c r="AR312" s="517"/>
      <c r="AS312" s="517"/>
      <c r="AT312" s="517"/>
      <c r="AU312" s="517"/>
      <c r="AV312" s="517"/>
      <c r="AW312" s="517"/>
      <c r="AX312" s="517"/>
      <c r="AY312" s="517"/>
      <c r="AZ312" s="517"/>
      <c r="BA312" s="517"/>
      <c r="BB312" s="517"/>
      <c r="BC312" s="517"/>
      <c r="BD312" s="517"/>
      <c r="BE312" s="517"/>
      <c r="BF312" s="517"/>
      <c r="BG312" s="517"/>
      <c r="BH312" s="517"/>
      <c r="BI312" s="517"/>
      <c r="BJ312" s="517"/>
      <c r="BK312" s="517"/>
      <c r="BL312" s="517"/>
      <c r="BM312" s="517"/>
      <c r="BN312" s="517"/>
      <c r="BO312" s="517"/>
      <c r="BP312" s="517"/>
      <c r="BQ312" s="517"/>
      <c r="BR312" s="517"/>
      <c r="BS312" s="517"/>
      <c r="BT312" s="517"/>
      <c r="BU312" s="517"/>
      <c r="BV312" s="517"/>
      <c r="BW312" s="517"/>
      <c r="BX312" s="517"/>
      <c r="BY312" s="517"/>
      <c r="BZ312" s="517"/>
      <c r="CA312" s="517"/>
      <c r="CB312" s="517"/>
      <c r="CC312" s="517"/>
      <c r="CD312" s="517"/>
      <c r="CE312" s="517"/>
      <c r="CF312" s="517"/>
      <c r="CG312" s="517"/>
      <c r="CH312" s="517"/>
      <c r="CI312" s="517"/>
      <c r="CJ312" s="517"/>
      <c r="CK312" s="517"/>
      <c r="CL312" s="517"/>
      <c r="CM312" s="517"/>
      <c r="CN312" s="517"/>
      <c r="CO312" s="517"/>
      <c r="CP312" s="517"/>
      <c r="CQ312" s="517"/>
      <c r="CR312" s="517"/>
      <c r="CS312" s="517"/>
      <c r="CT312" s="517"/>
      <c r="CU312" s="517"/>
      <c r="CV312" s="517"/>
      <c r="CW312" s="517"/>
      <c r="CX312" s="517"/>
      <c r="CY312" s="517"/>
      <c r="CZ312" s="517"/>
      <c r="DA312" s="517"/>
      <c r="DB312" s="517"/>
      <c r="DC312" s="517"/>
      <c r="DD312" s="517"/>
      <c r="DE312" s="517"/>
      <c r="DF312" s="517"/>
      <c r="DG312" s="517"/>
      <c r="DH312" s="517"/>
      <c r="DI312" s="517"/>
      <c r="DJ312" s="517"/>
      <c r="DK312" s="517"/>
      <c r="DL312" s="517"/>
      <c r="DM312" s="517"/>
      <c r="DN312" s="517"/>
      <c r="DO312" s="517"/>
      <c r="DP312" s="517"/>
      <c r="DQ312" s="517"/>
      <c r="DR312" s="517"/>
      <c r="DS312" s="517"/>
      <c r="DT312" s="517"/>
      <c r="DU312" s="517"/>
      <c r="DV312" s="517"/>
      <c r="DW312" s="517"/>
      <c r="DX312" s="517"/>
      <c r="DY312" s="517"/>
      <c r="DZ312" s="517"/>
      <c r="EA312" s="517"/>
      <c r="EB312" s="517"/>
      <c r="EC312" s="517"/>
      <c r="ED312" s="517"/>
      <c r="EE312" s="517"/>
      <c r="EF312" s="517"/>
      <c r="EG312" s="517"/>
      <c r="EH312" s="517"/>
      <c r="EI312" s="517"/>
      <c r="EJ312" s="517"/>
      <c r="EK312" s="517"/>
      <c r="EL312" s="517"/>
      <c r="EM312" s="517"/>
      <c r="EN312" s="517"/>
      <c r="EO312" s="517"/>
      <c r="EP312" s="517"/>
      <c r="EQ312" s="517"/>
      <c r="ER312" s="517"/>
      <c r="ES312" s="627" t="s">
        <v>1140</v>
      </c>
    </row>
    <row r="313">
      <c r="A313" s="517"/>
      <c r="B313" s="517"/>
      <c r="C313" s="517"/>
      <c r="D313" s="517"/>
      <c r="E313" s="517"/>
      <c r="F313" s="517"/>
      <c r="G313" s="517"/>
      <c r="H313" s="517"/>
      <c r="I313" s="517"/>
      <c r="J313" s="517"/>
      <c r="K313" s="517"/>
      <c r="L313" s="517"/>
      <c r="M313" s="517"/>
      <c r="N313" s="517"/>
      <c r="O313" s="517"/>
      <c r="P313" s="517"/>
      <c r="Q313" s="517"/>
      <c r="R313" s="517"/>
      <c r="S313" s="517"/>
      <c r="T313" s="517"/>
      <c r="U313" s="517"/>
      <c r="V313" s="517"/>
      <c r="W313" s="517"/>
      <c r="X313" s="517"/>
      <c r="Y313" s="517"/>
      <c r="Z313" s="517"/>
      <c r="AA313" s="517"/>
      <c r="AB313" s="517"/>
      <c r="AC313" s="517"/>
      <c r="AD313" s="517"/>
      <c r="AE313" s="517"/>
      <c r="AF313" s="517"/>
      <c r="AG313" s="517"/>
      <c r="AH313" s="517"/>
      <c r="AI313" s="517"/>
      <c r="AJ313" s="517"/>
      <c r="AK313" s="517"/>
      <c r="AL313" s="517"/>
      <c r="AM313" s="517"/>
      <c r="AN313" s="517"/>
      <c r="AO313" s="517"/>
      <c r="AP313" s="517"/>
      <c r="AQ313" s="517"/>
      <c r="AR313" s="517"/>
      <c r="AS313" s="517"/>
      <c r="AT313" s="517"/>
      <c r="AU313" s="517"/>
      <c r="AV313" s="517"/>
      <c r="AW313" s="517"/>
      <c r="AX313" s="517"/>
      <c r="AY313" s="517"/>
      <c r="AZ313" s="517"/>
      <c r="BA313" s="517"/>
      <c r="BB313" s="517"/>
      <c r="BC313" s="517"/>
      <c r="BD313" s="517"/>
      <c r="BE313" s="517"/>
      <c r="BF313" s="517"/>
      <c r="BG313" s="517"/>
      <c r="BH313" s="517"/>
      <c r="BI313" s="517"/>
      <c r="BJ313" s="517"/>
      <c r="BK313" s="517"/>
      <c r="BL313" s="517"/>
      <c r="BM313" s="517"/>
      <c r="BN313" s="517"/>
      <c r="BO313" s="517"/>
      <c r="BP313" s="517"/>
      <c r="BQ313" s="517"/>
      <c r="BR313" s="517"/>
      <c r="BS313" s="517"/>
      <c r="BT313" s="517"/>
      <c r="BU313" s="517"/>
      <c r="BV313" s="517"/>
      <c r="BW313" s="517"/>
      <c r="BX313" s="517"/>
      <c r="BY313" s="517"/>
      <c r="BZ313" s="517"/>
      <c r="CA313" s="517"/>
      <c r="CB313" s="517"/>
      <c r="CC313" s="517"/>
      <c r="CD313" s="517"/>
      <c r="CE313" s="517"/>
      <c r="CF313" s="517"/>
      <c r="CG313" s="517"/>
      <c r="CH313" s="517"/>
      <c r="CI313" s="517"/>
      <c r="CJ313" s="517"/>
      <c r="CK313" s="517"/>
      <c r="CL313" s="517"/>
      <c r="CM313" s="517"/>
      <c r="CN313" s="517"/>
      <c r="CO313" s="517"/>
      <c r="CP313" s="517"/>
      <c r="CQ313" s="517"/>
      <c r="CR313" s="517"/>
      <c r="CS313" s="517"/>
      <c r="CT313" s="517"/>
      <c r="CU313" s="517"/>
      <c r="CV313" s="517"/>
      <c r="CW313" s="517"/>
      <c r="CX313" s="517"/>
      <c r="CY313" s="517"/>
      <c r="CZ313" s="517"/>
      <c r="DA313" s="517"/>
      <c r="DB313" s="517"/>
      <c r="DC313" s="517"/>
      <c r="DD313" s="517"/>
      <c r="DE313" s="517"/>
      <c r="DF313" s="517"/>
      <c r="DG313" s="517"/>
      <c r="DH313" s="517"/>
      <c r="DI313" s="517"/>
      <c r="DJ313" s="517"/>
      <c r="DK313" s="517"/>
      <c r="DL313" s="517"/>
      <c r="DM313" s="517"/>
      <c r="DN313" s="517"/>
      <c r="DO313" s="517"/>
      <c r="DP313" s="517"/>
      <c r="DQ313" s="517"/>
      <c r="DR313" s="517"/>
      <c r="DS313" s="517"/>
      <c r="DT313" s="517"/>
      <c r="DU313" s="517"/>
      <c r="DV313" s="517"/>
      <c r="DW313" s="517"/>
      <c r="DX313" s="517"/>
      <c r="DY313" s="517"/>
      <c r="DZ313" s="517"/>
      <c r="EA313" s="517"/>
      <c r="EB313" s="517"/>
      <c r="EC313" s="517"/>
      <c r="ED313" s="517"/>
      <c r="EE313" s="517"/>
      <c r="EF313" s="517"/>
      <c r="EG313" s="517"/>
      <c r="EH313" s="517"/>
      <c r="EI313" s="517"/>
      <c r="EJ313" s="517"/>
      <c r="EK313" s="517"/>
      <c r="EL313" s="517"/>
      <c r="EM313" s="517"/>
      <c r="EN313" s="517"/>
      <c r="EO313" s="517"/>
      <c r="EP313" s="517"/>
      <c r="EQ313" s="517"/>
      <c r="ER313" s="517"/>
      <c r="ES313" s="627" t="s">
        <v>1140</v>
      </c>
    </row>
    <row r="314">
      <c r="A314" s="517"/>
      <c r="B314" s="517"/>
      <c r="C314" s="517"/>
      <c r="D314" s="517"/>
      <c r="E314" s="517"/>
      <c r="F314" s="517"/>
      <c r="G314" s="517"/>
      <c r="H314" s="517"/>
      <c r="I314" s="517"/>
      <c r="J314" s="517"/>
      <c r="K314" s="517"/>
      <c r="L314" s="517"/>
      <c r="M314" s="517"/>
      <c r="N314" s="517"/>
      <c r="O314" s="517"/>
      <c r="P314" s="517"/>
      <c r="Q314" s="517"/>
      <c r="R314" s="517"/>
      <c r="S314" s="517"/>
      <c r="T314" s="517"/>
      <c r="U314" s="517"/>
      <c r="V314" s="517"/>
      <c r="W314" s="517"/>
      <c r="X314" s="517"/>
      <c r="Y314" s="517"/>
      <c r="Z314" s="517"/>
      <c r="AA314" s="517"/>
      <c r="AB314" s="517"/>
      <c r="AC314" s="517"/>
      <c r="AD314" s="517"/>
      <c r="AE314" s="517"/>
      <c r="AF314" s="517"/>
      <c r="AG314" s="517"/>
      <c r="AH314" s="517"/>
      <c r="AI314" s="517"/>
      <c r="AJ314" s="517"/>
      <c r="AK314" s="517"/>
      <c r="AL314" s="517"/>
      <c r="AM314" s="517"/>
      <c r="AN314" s="517"/>
      <c r="AO314" s="517"/>
      <c r="AP314" s="517"/>
      <c r="AQ314" s="517"/>
      <c r="AR314" s="517"/>
      <c r="AS314" s="517"/>
      <c r="AT314" s="517"/>
      <c r="AU314" s="517"/>
      <c r="AV314" s="517"/>
      <c r="AW314" s="517"/>
      <c r="AX314" s="517"/>
      <c r="AY314" s="517"/>
      <c r="AZ314" s="517"/>
      <c r="BA314" s="517"/>
      <c r="BB314" s="517"/>
      <c r="BC314" s="517"/>
      <c r="BD314" s="517"/>
      <c r="BE314" s="517"/>
      <c r="BF314" s="517"/>
      <c r="BG314" s="517"/>
      <c r="BH314" s="517"/>
      <c r="BI314" s="517"/>
      <c r="BJ314" s="517"/>
      <c r="BK314" s="517"/>
      <c r="BL314" s="517"/>
      <c r="BM314" s="517"/>
      <c r="BN314" s="517"/>
      <c r="BO314" s="517"/>
      <c r="BP314" s="517"/>
      <c r="BQ314" s="517"/>
      <c r="BR314" s="517"/>
      <c r="BS314" s="517"/>
      <c r="BT314" s="517"/>
      <c r="BU314" s="517"/>
      <c r="BV314" s="517"/>
      <c r="BW314" s="517"/>
      <c r="BX314" s="517"/>
      <c r="BY314" s="517"/>
      <c r="BZ314" s="517"/>
      <c r="CA314" s="517"/>
      <c r="CB314" s="517"/>
      <c r="CC314" s="517"/>
      <c r="CD314" s="517"/>
      <c r="CE314" s="517"/>
      <c r="CF314" s="517"/>
      <c r="CG314" s="517"/>
      <c r="CH314" s="517"/>
      <c r="CI314" s="517"/>
      <c r="CJ314" s="517"/>
      <c r="CK314" s="517"/>
      <c r="CL314" s="517"/>
      <c r="CM314" s="517"/>
      <c r="CN314" s="517"/>
      <c r="CO314" s="517"/>
      <c r="CP314" s="517"/>
      <c r="CQ314" s="517"/>
      <c r="CR314" s="517"/>
      <c r="CS314" s="517"/>
      <c r="CT314" s="517"/>
      <c r="CU314" s="517"/>
      <c r="CV314" s="517"/>
      <c r="CW314" s="517"/>
      <c r="CX314" s="517"/>
      <c r="CY314" s="517"/>
      <c r="CZ314" s="517"/>
      <c r="DA314" s="517"/>
      <c r="DB314" s="517"/>
      <c r="DC314" s="517"/>
      <c r="DD314" s="517"/>
      <c r="DE314" s="517"/>
      <c r="DF314" s="517"/>
      <c r="DG314" s="517"/>
      <c r="DH314" s="517"/>
      <c r="DI314" s="517"/>
      <c r="DJ314" s="517"/>
      <c r="DK314" s="517"/>
      <c r="DL314" s="517"/>
      <c r="DM314" s="517"/>
      <c r="DN314" s="517"/>
      <c r="DO314" s="517"/>
      <c r="DP314" s="517"/>
      <c r="DQ314" s="517"/>
      <c r="DR314" s="517"/>
      <c r="DS314" s="517"/>
      <c r="DT314" s="517"/>
      <c r="DU314" s="517"/>
      <c r="DV314" s="517"/>
      <c r="DW314" s="517"/>
      <c r="DX314" s="517"/>
      <c r="DY314" s="517"/>
      <c r="DZ314" s="517"/>
      <c r="EA314" s="517"/>
      <c r="EB314" s="517"/>
      <c r="EC314" s="517"/>
      <c r="ED314" s="517"/>
      <c r="EE314" s="517"/>
      <c r="EF314" s="517"/>
      <c r="EG314" s="517"/>
      <c r="EH314" s="517"/>
      <c r="EI314" s="517"/>
      <c r="EJ314" s="517"/>
      <c r="EK314" s="517"/>
      <c r="EL314" s="517"/>
      <c r="EM314" s="517"/>
      <c r="EN314" s="517"/>
      <c r="EO314" s="517"/>
      <c r="EP314" s="517"/>
      <c r="EQ314" s="517"/>
      <c r="ER314" s="517"/>
      <c r="ES314" s="627" t="s">
        <v>1140</v>
      </c>
    </row>
    <row r="315">
      <c r="A315" s="517"/>
      <c r="B315" s="517"/>
      <c r="C315" s="517"/>
      <c r="D315" s="517"/>
      <c r="E315" s="517"/>
      <c r="F315" s="517"/>
      <c r="G315" s="517"/>
      <c r="H315" s="517"/>
      <c r="I315" s="517"/>
      <c r="J315" s="517"/>
      <c r="K315" s="517"/>
      <c r="L315" s="517"/>
      <c r="M315" s="517"/>
      <c r="N315" s="517"/>
      <c r="O315" s="517"/>
      <c r="P315" s="517"/>
      <c r="Q315" s="517"/>
      <c r="R315" s="517"/>
      <c r="S315" s="517"/>
      <c r="T315" s="517"/>
      <c r="U315" s="517"/>
      <c r="V315" s="517"/>
      <c r="W315" s="517"/>
      <c r="X315" s="517"/>
      <c r="Y315" s="517"/>
      <c r="Z315" s="517"/>
      <c r="AA315" s="517"/>
      <c r="AB315" s="517"/>
      <c r="AC315" s="517"/>
      <c r="AD315" s="517"/>
      <c r="AE315" s="517"/>
      <c r="AF315" s="517"/>
      <c r="AG315" s="517"/>
      <c r="AH315" s="517"/>
      <c r="AI315" s="517"/>
      <c r="AJ315" s="517"/>
      <c r="AK315" s="517"/>
      <c r="AL315" s="517"/>
      <c r="AM315" s="517"/>
      <c r="AN315" s="517"/>
      <c r="AO315" s="517"/>
      <c r="AP315" s="517"/>
      <c r="AQ315" s="517"/>
      <c r="AR315" s="517"/>
      <c r="AS315" s="517"/>
      <c r="AT315" s="517"/>
      <c r="AU315" s="517"/>
      <c r="AV315" s="517"/>
      <c r="AW315" s="517"/>
      <c r="AX315" s="517"/>
      <c r="AY315" s="517"/>
      <c r="AZ315" s="517"/>
      <c r="BA315" s="517"/>
      <c r="BB315" s="517"/>
      <c r="BC315" s="517"/>
      <c r="BD315" s="517"/>
      <c r="BE315" s="517"/>
      <c r="BF315" s="517"/>
      <c r="BG315" s="517"/>
      <c r="BH315" s="517"/>
      <c r="BI315" s="517"/>
      <c r="BJ315" s="517"/>
      <c r="BK315" s="517"/>
      <c r="BL315" s="517"/>
      <c r="BM315" s="517"/>
      <c r="BN315" s="517"/>
      <c r="BO315" s="517"/>
      <c r="BP315" s="517"/>
      <c r="BQ315" s="517"/>
      <c r="BR315" s="517"/>
      <c r="BS315" s="517"/>
      <c r="BT315" s="517"/>
      <c r="BU315" s="517"/>
      <c r="BV315" s="517"/>
      <c r="BW315" s="517"/>
      <c r="BX315" s="517"/>
      <c r="BY315" s="517"/>
      <c r="BZ315" s="517"/>
      <c r="CA315" s="517"/>
      <c r="CB315" s="517"/>
      <c r="CC315" s="517"/>
      <c r="CD315" s="517"/>
      <c r="CE315" s="517"/>
      <c r="CF315" s="517"/>
      <c r="CG315" s="517"/>
      <c r="CH315" s="517"/>
      <c r="CI315" s="517"/>
      <c r="CJ315" s="517"/>
      <c r="CK315" s="517"/>
      <c r="CL315" s="517"/>
      <c r="CM315" s="517"/>
      <c r="CN315" s="517"/>
      <c r="CO315" s="517"/>
      <c r="CP315" s="517"/>
      <c r="CQ315" s="517"/>
      <c r="CR315" s="517"/>
      <c r="CS315" s="517"/>
      <c r="CT315" s="517"/>
      <c r="CU315" s="517"/>
      <c r="CV315" s="517"/>
      <c r="CW315" s="517"/>
      <c r="CX315" s="517"/>
      <c r="CY315" s="517"/>
      <c r="CZ315" s="517"/>
      <c r="DA315" s="517"/>
      <c r="DB315" s="517"/>
      <c r="DC315" s="517"/>
      <c r="DD315" s="517"/>
      <c r="DE315" s="517"/>
      <c r="DF315" s="517"/>
      <c r="DG315" s="517"/>
      <c r="DH315" s="517"/>
      <c r="DI315" s="517"/>
      <c r="DJ315" s="517"/>
      <c r="DK315" s="517"/>
      <c r="DL315" s="517"/>
      <c r="DM315" s="517"/>
      <c r="DN315" s="517"/>
      <c r="DO315" s="517"/>
      <c r="DP315" s="517"/>
      <c r="DQ315" s="517"/>
      <c r="DR315" s="517"/>
      <c r="DS315" s="517"/>
      <c r="DT315" s="517"/>
      <c r="DU315" s="517"/>
      <c r="DV315" s="517"/>
      <c r="DW315" s="517"/>
      <c r="DX315" s="517"/>
      <c r="DY315" s="517"/>
      <c r="DZ315" s="517"/>
      <c r="EA315" s="517"/>
      <c r="EB315" s="517"/>
      <c r="EC315" s="517"/>
      <c r="ED315" s="517"/>
      <c r="EE315" s="517"/>
      <c r="EF315" s="517"/>
      <c r="EG315" s="517"/>
      <c r="EH315" s="517"/>
      <c r="EI315" s="517"/>
      <c r="EJ315" s="517"/>
      <c r="EK315" s="517"/>
      <c r="EL315" s="517"/>
      <c r="EM315" s="517"/>
      <c r="EN315" s="517"/>
      <c r="EO315" s="517"/>
      <c r="EP315" s="517"/>
      <c r="EQ315" s="517"/>
      <c r="ER315" s="517"/>
      <c r="ES315" s="627" t="s">
        <v>1140</v>
      </c>
    </row>
    <row r="316">
      <c r="A316" s="517"/>
      <c r="B316" s="517"/>
      <c r="C316" s="517"/>
      <c r="D316" s="517"/>
      <c r="E316" s="517"/>
      <c r="F316" s="517"/>
      <c r="G316" s="517"/>
      <c r="H316" s="517"/>
      <c r="I316" s="517"/>
      <c r="J316" s="517"/>
      <c r="K316" s="517"/>
      <c r="L316" s="517"/>
      <c r="M316" s="517"/>
      <c r="N316" s="517"/>
      <c r="O316" s="517"/>
      <c r="P316" s="517"/>
      <c r="Q316" s="517"/>
      <c r="R316" s="517"/>
      <c r="S316" s="517"/>
      <c r="T316" s="517"/>
      <c r="U316" s="517"/>
      <c r="V316" s="517"/>
      <c r="W316" s="517"/>
      <c r="X316" s="517"/>
      <c r="Y316" s="517"/>
      <c r="Z316" s="517"/>
      <c r="AA316" s="517"/>
      <c r="AB316" s="517"/>
      <c r="AC316" s="517"/>
      <c r="AD316" s="517"/>
      <c r="AE316" s="517"/>
      <c r="AF316" s="517"/>
      <c r="AG316" s="517"/>
      <c r="AH316" s="517"/>
      <c r="AI316" s="517"/>
      <c r="AJ316" s="517"/>
      <c r="AK316" s="517"/>
      <c r="AL316" s="517"/>
      <c r="AM316" s="517"/>
      <c r="AN316" s="517"/>
      <c r="AO316" s="517"/>
      <c r="AP316" s="517"/>
      <c r="AQ316" s="517"/>
      <c r="AR316" s="517"/>
      <c r="AS316" s="517"/>
      <c r="AT316" s="517"/>
      <c r="AU316" s="517"/>
      <c r="AV316" s="517"/>
      <c r="AW316" s="517"/>
      <c r="AX316" s="517"/>
      <c r="AY316" s="517"/>
      <c r="AZ316" s="517"/>
      <c r="BA316" s="517"/>
      <c r="BB316" s="517"/>
      <c r="BC316" s="517"/>
      <c r="BD316" s="517"/>
      <c r="BE316" s="517"/>
      <c r="BF316" s="517"/>
      <c r="BG316" s="517"/>
      <c r="BH316" s="517"/>
      <c r="BI316" s="517"/>
      <c r="BJ316" s="517"/>
      <c r="BK316" s="517"/>
      <c r="BL316" s="517"/>
      <c r="BM316" s="517"/>
      <c r="BN316" s="517"/>
      <c r="BO316" s="517"/>
      <c r="BP316" s="517"/>
      <c r="BQ316" s="517"/>
      <c r="BR316" s="517"/>
      <c r="BS316" s="517"/>
      <c r="BT316" s="517"/>
      <c r="BU316" s="517"/>
      <c r="BV316" s="517"/>
      <c r="BW316" s="517"/>
      <c r="BX316" s="517"/>
      <c r="BY316" s="517"/>
      <c r="BZ316" s="517"/>
      <c r="CA316" s="517"/>
      <c r="CB316" s="517"/>
      <c r="CC316" s="517"/>
      <c r="CD316" s="517"/>
      <c r="CE316" s="517"/>
      <c r="CF316" s="517"/>
      <c r="CG316" s="517"/>
      <c r="CH316" s="517"/>
      <c r="CI316" s="517"/>
      <c r="CJ316" s="517"/>
      <c r="CK316" s="517"/>
      <c r="CL316" s="517"/>
      <c r="CM316" s="517"/>
      <c r="CN316" s="517"/>
      <c r="CO316" s="517"/>
      <c r="CP316" s="517"/>
      <c r="CQ316" s="517"/>
      <c r="CR316" s="517"/>
      <c r="CS316" s="517"/>
      <c r="CT316" s="517"/>
      <c r="CU316" s="517"/>
      <c r="CV316" s="517"/>
      <c r="CW316" s="517"/>
      <c r="CX316" s="517"/>
      <c r="CY316" s="517"/>
      <c r="CZ316" s="517"/>
      <c r="DA316" s="517"/>
      <c r="DB316" s="517"/>
      <c r="DC316" s="517"/>
      <c r="DD316" s="517"/>
      <c r="DE316" s="517"/>
      <c r="DF316" s="517"/>
      <c r="DG316" s="517"/>
      <c r="DH316" s="517"/>
      <c r="DI316" s="517"/>
      <c r="DJ316" s="517"/>
      <c r="DK316" s="517"/>
      <c r="DL316" s="517"/>
      <c r="DM316" s="517"/>
      <c r="DN316" s="517"/>
      <c r="DO316" s="517"/>
      <c r="DP316" s="517"/>
      <c r="DQ316" s="517"/>
      <c r="DR316" s="517"/>
      <c r="DS316" s="517"/>
      <c r="DT316" s="517"/>
      <c r="DU316" s="517"/>
      <c r="DV316" s="517"/>
      <c r="DW316" s="517"/>
      <c r="DX316" s="517"/>
      <c r="DY316" s="517"/>
      <c r="DZ316" s="517"/>
      <c r="EA316" s="517"/>
      <c r="EB316" s="517"/>
      <c r="EC316" s="517"/>
      <c r="ED316" s="517"/>
      <c r="EE316" s="517"/>
      <c r="EF316" s="517"/>
      <c r="EG316" s="517"/>
      <c r="EH316" s="517"/>
      <c r="EI316" s="517"/>
      <c r="EJ316" s="517"/>
      <c r="EK316" s="517"/>
      <c r="EL316" s="517"/>
      <c r="EM316" s="517"/>
      <c r="EN316" s="517"/>
      <c r="EO316" s="517"/>
      <c r="EP316" s="517"/>
      <c r="EQ316" s="517"/>
      <c r="ER316" s="517"/>
      <c r="ES316" s="627" t="s">
        <v>1140</v>
      </c>
    </row>
    <row r="317">
      <c r="A317" s="517"/>
      <c r="B317" s="517"/>
      <c r="C317" s="517"/>
      <c r="D317" s="517"/>
      <c r="E317" s="517"/>
      <c r="F317" s="517"/>
      <c r="G317" s="517"/>
      <c r="H317" s="517"/>
      <c r="I317" s="517"/>
      <c r="J317" s="517"/>
      <c r="K317" s="517"/>
      <c r="L317" s="517"/>
      <c r="M317" s="517"/>
      <c r="N317" s="517"/>
      <c r="O317" s="517"/>
      <c r="P317" s="517"/>
      <c r="Q317" s="517"/>
      <c r="R317" s="517"/>
      <c r="S317" s="517"/>
      <c r="T317" s="517"/>
      <c r="U317" s="517"/>
      <c r="V317" s="517"/>
      <c r="W317" s="517"/>
      <c r="X317" s="517"/>
      <c r="Y317" s="517"/>
      <c r="Z317" s="517"/>
      <c r="AA317" s="517"/>
      <c r="AB317" s="517"/>
      <c r="AC317" s="517"/>
      <c r="AD317" s="517"/>
      <c r="AE317" s="517"/>
      <c r="AF317" s="517"/>
      <c r="AG317" s="517"/>
      <c r="AH317" s="517"/>
      <c r="AI317" s="517"/>
      <c r="AJ317" s="517"/>
      <c r="AK317" s="517"/>
      <c r="AL317" s="517"/>
      <c r="AM317" s="517"/>
      <c r="AN317" s="517"/>
      <c r="AO317" s="517"/>
      <c r="AP317" s="517"/>
      <c r="AQ317" s="517"/>
      <c r="AR317" s="517"/>
      <c r="AS317" s="517"/>
      <c r="AT317" s="517"/>
      <c r="AU317" s="517"/>
      <c r="AV317" s="517"/>
      <c r="AW317" s="517"/>
      <c r="AX317" s="517"/>
      <c r="AY317" s="517"/>
      <c r="AZ317" s="517"/>
      <c r="BA317" s="517"/>
      <c r="BB317" s="517"/>
      <c r="BC317" s="517"/>
      <c r="BD317" s="517"/>
      <c r="BE317" s="517"/>
      <c r="BF317" s="517"/>
      <c r="BG317" s="517"/>
      <c r="BH317" s="517"/>
      <c r="BI317" s="517"/>
      <c r="BJ317" s="517"/>
      <c r="BK317" s="517"/>
      <c r="BL317" s="517"/>
      <c r="BM317" s="517"/>
      <c r="BN317" s="517"/>
      <c r="BO317" s="517"/>
      <c r="BP317" s="517"/>
      <c r="BQ317" s="517"/>
      <c r="BR317" s="517"/>
      <c r="BS317" s="517"/>
      <c r="BT317" s="517"/>
      <c r="BU317" s="517"/>
      <c r="BV317" s="517"/>
      <c r="BW317" s="517"/>
      <c r="BX317" s="517"/>
      <c r="BY317" s="517"/>
      <c r="BZ317" s="517"/>
      <c r="CA317" s="517"/>
      <c r="CB317" s="517"/>
      <c r="CC317" s="517"/>
      <c r="CD317" s="517"/>
      <c r="CE317" s="517"/>
      <c r="CF317" s="517"/>
      <c r="CG317" s="517"/>
      <c r="CH317" s="517"/>
      <c r="CI317" s="517"/>
      <c r="CJ317" s="517"/>
      <c r="CK317" s="517"/>
      <c r="CL317" s="517"/>
      <c r="CM317" s="517"/>
      <c r="CN317" s="517"/>
      <c r="CO317" s="517"/>
      <c r="CP317" s="517"/>
      <c r="CQ317" s="517"/>
      <c r="CR317" s="517"/>
      <c r="CS317" s="517"/>
      <c r="CT317" s="517"/>
      <c r="CU317" s="517"/>
      <c r="CV317" s="517"/>
      <c r="CW317" s="517"/>
      <c r="CX317" s="517"/>
      <c r="CY317" s="517"/>
      <c r="CZ317" s="517"/>
      <c r="DA317" s="517"/>
      <c r="DB317" s="517"/>
      <c r="DC317" s="517"/>
      <c r="DD317" s="517"/>
      <c r="DE317" s="517"/>
      <c r="DF317" s="517"/>
      <c r="DG317" s="517"/>
      <c r="DH317" s="517"/>
      <c r="DI317" s="517"/>
      <c r="DJ317" s="517"/>
      <c r="DK317" s="517"/>
      <c r="DL317" s="517"/>
      <c r="DM317" s="517"/>
      <c r="DN317" s="517"/>
      <c r="DO317" s="517"/>
      <c r="DP317" s="517"/>
      <c r="DQ317" s="517"/>
      <c r="DR317" s="517"/>
      <c r="DS317" s="517"/>
      <c r="DT317" s="517"/>
      <c r="DU317" s="517"/>
      <c r="DV317" s="517"/>
      <c r="DW317" s="517"/>
      <c r="DX317" s="517"/>
      <c r="DY317" s="517"/>
      <c r="DZ317" s="517"/>
      <c r="EA317" s="517"/>
      <c r="EB317" s="517"/>
      <c r="EC317" s="517"/>
      <c r="ED317" s="517"/>
      <c r="EE317" s="517"/>
      <c r="EF317" s="517"/>
      <c r="EG317" s="517"/>
      <c r="EH317" s="517"/>
      <c r="EI317" s="517"/>
      <c r="EJ317" s="517"/>
      <c r="EK317" s="517"/>
      <c r="EL317" s="517"/>
      <c r="EM317" s="517"/>
      <c r="EN317" s="517"/>
      <c r="EO317" s="517"/>
      <c r="EP317" s="517"/>
      <c r="EQ317" s="517"/>
      <c r="ER317" s="517"/>
      <c r="ES317" s="627" t="s">
        <v>1140</v>
      </c>
    </row>
    <row r="318">
      <c r="A318" s="517"/>
      <c r="B318" s="517"/>
      <c r="C318" s="517"/>
      <c r="D318" s="517"/>
      <c r="E318" s="517"/>
      <c r="F318" s="517"/>
      <c r="G318" s="517"/>
      <c r="H318" s="517"/>
      <c r="I318" s="517"/>
      <c r="J318" s="517"/>
      <c r="K318" s="517"/>
      <c r="L318" s="517"/>
      <c r="M318" s="517"/>
      <c r="N318" s="517"/>
      <c r="O318" s="517"/>
      <c r="P318" s="517"/>
      <c r="Q318" s="517"/>
      <c r="R318" s="517"/>
      <c r="S318" s="517"/>
      <c r="T318" s="517"/>
      <c r="U318" s="517"/>
      <c r="V318" s="517"/>
      <c r="W318" s="517"/>
      <c r="X318" s="517"/>
      <c r="Y318" s="517"/>
      <c r="Z318" s="517"/>
      <c r="AA318" s="517"/>
      <c r="AB318" s="517"/>
      <c r="AC318" s="517"/>
      <c r="AD318" s="517"/>
      <c r="AE318" s="517"/>
      <c r="AF318" s="517"/>
      <c r="AG318" s="517"/>
      <c r="AH318" s="517"/>
      <c r="AI318" s="517"/>
      <c r="AJ318" s="517"/>
      <c r="AK318" s="517"/>
      <c r="AL318" s="517"/>
      <c r="AM318" s="517"/>
      <c r="AN318" s="517"/>
      <c r="AO318" s="517"/>
      <c r="AP318" s="517"/>
      <c r="AQ318" s="517"/>
      <c r="AR318" s="517"/>
      <c r="AS318" s="517"/>
      <c r="AT318" s="517"/>
      <c r="AU318" s="517"/>
      <c r="AV318" s="517"/>
      <c r="AW318" s="517"/>
      <c r="AX318" s="517"/>
      <c r="AY318" s="517"/>
      <c r="AZ318" s="517"/>
      <c r="BA318" s="517"/>
      <c r="BB318" s="517"/>
      <c r="BC318" s="517"/>
      <c r="BD318" s="517"/>
      <c r="BE318" s="517"/>
      <c r="BF318" s="517"/>
      <c r="BG318" s="517"/>
      <c r="BH318" s="517"/>
      <c r="BI318" s="517"/>
      <c r="BJ318" s="517"/>
      <c r="BK318" s="517"/>
      <c r="BL318" s="517"/>
      <c r="BM318" s="517"/>
      <c r="BN318" s="517"/>
      <c r="BO318" s="517"/>
      <c r="BP318" s="517"/>
      <c r="BQ318" s="517"/>
      <c r="BR318" s="517"/>
      <c r="BS318" s="517"/>
      <c r="BT318" s="517"/>
      <c r="BU318" s="517"/>
      <c r="BV318" s="517"/>
      <c r="BW318" s="517"/>
      <c r="BX318" s="517"/>
      <c r="BY318" s="517"/>
      <c r="BZ318" s="517"/>
      <c r="CA318" s="517"/>
      <c r="CB318" s="517"/>
      <c r="CC318" s="517"/>
      <c r="CD318" s="517"/>
      <c r="CE318" s="517"/>
      <c r="CF318" s="517"/>
      <c r="CG318" s="517"/>
      <c r="CH318" s="517"/>
      <c r="CI318" s="517"/>
      <c r="CJ318" s="517"/>
      <c r="CK318" s="517"/>
      <c r="CL318" s="517"/>
      <c r="CM318" s="517"/>
      <c r="CN318" s="517"/>
      <c r="CO318" s="517"/>
      <c r="CP318" s="517"/>
      <c r="CQ318" s="517"/>
      <c r="CR318" s="517"/>
      <c r="CS318" s="517"/>
      <c r="CT318" s="517"/>
      <c r="CU318" s="517"/>
      <c r="CV318" s="517"/>
      <c r="CW318" s="517"/>
      <c r="CX318" s="517"/>
      <c r="CY318" s="517"/>
      <c r="CZ318" s="517"/>
      <c r="DA318" s="517"/>
      <c r="DB318" s="517"/>
      <c r="DC318" s="517"/>
      <c r="DD318" s="517"/>
      <c r="DE318" s="517"/>
      <c r="DF318" s="517"/>
      <c r="DG318" s="517"/>
      <c r="DH318" s="517"/>
      <c r="DI318" s="517"/>
      <c r="DJ318" s="517"/>
      <c r="DK318" s="517"/>
      <c r="DL318" s="517"/>
      <c r="DM318" s="517"/>
      <c r="DN318" s="517"/>
      <c r="DO318" s="517"/>
      <c r="DP318" s="517"/>
      <c r="DQ318" s="517"/>
      <c r="DR318" s="517"/>
      <c r="DS318" s="517"/>
      <c r="DT318" s="517"/>
      <c r="DU318" s="517"/>
      <c r="DV318" s="517"/>
      <c r="DW318" s="517"/>
      <c r="DX318" s="517"/>
      <c r="DY318" s="517"/>
      <c r="DZ318" s="517"/>
      <c r="EA318" s="517"/>
      <c r="EB318" s="517"/>
      <c r="EC318" s="517"/>
      <c r="ED318" s="517"/>
      <c r="EE318" s="517"/>
      <c r="EF318" s="517"/>
      <c r="EG318" s="517"/>
      <c r="EH318" s="517"/>
      <c r="EI318" s="517"/>
      <c r="EJ318" s="517"/>
      <c r="EK318" s="517"/>
      <c r="EL318" s="517"/>
      <c r="EM318" s="517"/>
      <c r="EN318" s="517"/>
      <c r="EO318" s="517"/>
      <c r="EP318" s="517"/>
      <c r="EQ318" s="517"/>
      <c r="ER318" s="517"/>
      <c r="ES318" s="627" t="s">
        <v>1140</v>
      </c>
    </row>
    <row r="319">
      <c r="A319" s="517"/>
      <c r="B319" s="517"/>
      <c r="C319" s="517"/>
      <c r="D319" s="517"/>
      <c r="E319" s="517"/>
      <c r="F319" s="517"/>
      <c r="G319" s="517"/>
      <c r="H319" s="517"/>
      <c r="I319" s="517"/>
      <c r="J319" s="517"/>
      <c r="K319" s="517"/>
      <c r="L319" s="517"/>
      <c r="M319" s="517"/>
      <c r="N319" s="517"/>
      <c r="O319" s="517"/>
      <c r="P319" s="517"/>
      <c r="Q319" s="517"/>
      <c r="R319" s="517"/>
      <c r="S319" s="517"/>
      <c r="T319" s="517"/>
      <c r="U319" s="517"/>
      <c r="V319" s="517"/>
      <c r="W319" s="517"/>
      <c r="X319" s="517"/>
      <c r="Y319" s="517"/>
      <c r="Z319" s="517"/>
      <c r="AA319" s="517"/>
      <c r="AB319" s="517"/>
      <c r="AC319" s="517"/>
      <c r="AD319" s="517"/>
      <c r="AE319" s="517"/>
      <c r="AF319" s="517"/>
      <c r="AG319" s="517"/>
      <c r="AH319" s="517"/>
      <c r="AI319" s="517"/>
      <c r="AJ319" s="517"/>
      <c r="AK319" s="517"/>
      <c r="AL319" s="517"/>
      <c r="AM319" s="517"/>
      <c r="AN319" s="517"/>
      <c r="AO319" s="517"/>
      <c r="AP319" s="517"/>
      <c r="AQ319" s="517"/>
      <c r="AR319" s="517"/>
      <c r="AS319" s="517"/>
      <c r="AT319" s="517"/>
      <c r="AU319" s="517"/>
      <c r="AV319" s="517"/>
      <c r="AW319" s="517"/>
      <c r="AX319" s="517"/>
      <c r="AY319" s="517"/>
      <c r="AZ319" s="517"/>
      <c r="BA319" s="517"/>
      <c r="BB319" s="517"/>
      <c r="BC319" s="517"/>
      <c r="BD319" s="517"/>
      <c r="BE319" s="517"/>
      <c r="BF319" s="517"/>
      <c r="BG319" s="517"/>
      <c r="BH319" s="517"/>
      <c r="BI319" s="517"/>
      <c r="BJ319" s="517"/>
      <c r="BK319" s="517"/>
      <c r="BL319" s="517"/>
      <c r="BM319" s="517"/>
      <c r="BN319" s="517"/>
      <c r="BO319" s="517"/>
      <c r="BP319" s="517"/>
      <c r="BQ319" s="517"/>
      <c r="BR319" s="517"/>
      <c r="BS319" s="517"/>
      <c r="BT319" s="517"/>
      <c r="BU319" s="517"/>
      <c r="BV319" s="517"/>
      <c r="BW319" s="517"/>
      <c r="BX319" s="517"/>
      <c r="BY319" s="517"/>
      <c r="BZ319" s="517"/>
      <c r="CA319" s="517"/>
      <c r="CB319" s="517"/>
      <c r="CC319" s="517"/>
      <c r="CD319" s="517"/>
      <c r="CE319" s="517"/>
      <c r="CF319" s="517"/>
      <c r="CG319" s="517"/>
      <c r="CH319" s="517"/>
      <c r="CI319" s="517"/>
      <c r="CJ319" s="517"/>
      <c r="CK319" s="517"/>
      <c r="CL319" s="517"/>
      <c r="CM319" s="517"/>
      <c r="CN319" s="517"/>
      <c r="CO319" s="517"/>
      <c r="CP319" s="517"/>
      <c r="CQ319" s="517"/>
      <c r="CR319" s="517"/>
      <c r="CS319" s="517"/>
      <c r="CT319" s="517"/>
      <c r="CU319" s="517"/>
      <c r="CV319" s="517"/>
      <c r="CW319" s="517"/>
      <c r="CX319" s="517"/>
      <c r="CY319" s="517"/>
      <c r="CZ319" s="517"/>
      <c r="DA319" s="517"/>
      <c r="DB319" s="517"/>
      <c r="DC319" s="517"/>
      <c r="DD319" s="517"/>
      <c r="DE319" s="517"/>
      <c r="DF319" s="517"/>
      <c r="DG319" s="517"/>
      <c r="DH319" s="517"/>
      <c r="DI319" s="517"/>
      <c r="DJ319" s="517"/>
      <c r="DK319" s="517"/>
      <c r="DL319" s="517"/>
      <c r="DM319" s="517"/>
      <c r="DN319" s="517"/>
      <c r="DO319" s="517"/>
      <c r="DP319" s="517"/>
      <c r="DQ319" s="517"/>
      <c r="DR319" s="517"/>
      <c r="DS319" s="517"/>
      <c r="DT319" s="517"/>
      <c r="DU319" s="517"/>
      <c r="DV319" s="517"/>
      <c r="DW319" s="517"/>
      <c r="DX319" s="517"/>
      <c r="DY319" s="517"/>
      <c r="DZ319" s="517"/>
      <c r="EA319" s="517"/>
      <c r="EB319" s="517"/>
      <c r="EC319" s="517"/>
      <c r="ED319" s="517"/>
      <c r="EE319" s="517"/>
      <c r="EF319" s="517"/>
      <c r="EG319" s="517"/>
      <c r="EH319" s="517"/>
      <c r="EI319" s="517"/>
      <c r="EJ319" s="517"/>
      <c r="EK319" s="517"/>
      <c r="EL319" s="517"/>
      <c r="EM319" s="517"/>
      <c r="EN319" s="517"/>
      <c r="EO319" s="517"/>
      <c r="EP319" s="517"/>
      <c r="EQ319" s="517"/>
      <c r="ER319" s="517"/>
      <c r="ES319" s="627" t="s">
        <v>1140</v>
      </c>
    </row>
    <row r="320">
      <c r="A320" s="517"/>
      <c r="B320" s="517"/>
      <c r="C320" s="517"/>
      <c r="D320" s="517"/>
      <c r="E320" s="517"/>
      <c r="F320" s="517"/>
      <c r="G320" s="517"/>
      <c r="H320" s="517"/>
      <c r="I320" s="517"/>
      <c r="J320" s="517"/>
      <c r="K320" s="517"/>
      <c r="L320" s="517"/>
      <c r="M320" s="517"/>
      <c r="N320" s="517"/>
      <c r="O320" s="517"/>
      <c r="P320" s="517"/>
      <c r="Q320" s="517"/>
      <c r="R320" s="517"/>
      <c r="S320" s="517"/>
      <c r="T320" s="517"/>
      <c r="U320" s="517"/>
      <c r="V320" s="517"/>
      <c r="W320" s="517"/>
      <c r="X320" s="517"/>
      <c r="Y320" s="517"/>
      <c r="Z320" s="517"/>
      <c r="AA320" s="517"/>
      <c r="AB320" s="517"/>
      <c r="AC320" s="517"/>
      <c r="AD320" s="517"/>
      <c r="AE320" s="517"/>
      <c r="AF320" s="517"/>
      <c r="AG320" s="517"/>
      <c r="AH320" s="517"/>
      <c r="AI320" s="517"/>
      <c r="AJ320" s="517"/>
      <c r="AK320" s="517"/>
      <c r="AL320" s="517"/>
      <c r="AM320" s="517"/>
      <c r="AN320" s="517"/>
      <c r="AO320" s="517"/>
      <c r="AP320" s="517"/>
      <c r="AQ320" s="517"/>
      <c r="AR320" s="517"/>
      <c r="AS320" s="517"/>
      <c r="AT320" s="517"/>
      <c r="AU320" s="517"/>
      <c r="AV320" s="517"/>
      <c r="AW320" s="517"/>
      <c r="AX320" s="517"/>
      <c r="AY320" s="517"/>
      <c r="AZ320" s="517"/>
      <c r="BA320" s="517"/>
      <c r="BB320" s="517"/>
      <c r="BC320" s="517"/>
      <c r="BD320" s="517"/>
      <c r="BE320" s="517"/>
      <c r="BF320" s="517"/>
      <c r="BG320" s="517"/>
      <c r="BH320" s="517"/>
      <c r="BI320" s="517"/>
      <c r="BJ320" s="517"/>
      <c r="BK320" s="517"/>
      <c r="BL320" s="517"/>
      <c r="BM320" s="517"/>
      <c r="BN320" s="517"/>
      <c r="BO320" s="517"/>
      <c r="BP320" s="517"/>
      <c r="BQ320" s="517"/>
      <c r="BR320" s="517"/>
      <c r="BS320" s="517"/>
      <c r="BT320" s="517"/>
      <c r="BU320" s="517"/>
      <c r="BV320" s="517"/>
      <c r="BW320" s="517"/>
      <c r="BX320" s="517"/>
      <c r="BY320" s="517"/>
      <c r="BZ320" s="517"/>
      <c r="CA320" s="517"/>
      <c r="CB320" s="517"/>
      <c r="CC320" s="517"/>
      <c r="CD320" s="517"/>
      <c r="CE320" s="517"/>
      <c r="CF320" s="517"/>
      <c r="CG320" s="517"/>
      <c r="CH320" s="517"/>
      <c r="CI320" s="517"/>
      <c r="CJ320" s="517"/>
      <c r="CK320" s="517"/>
      <c r="CL320" s="517"/>
      <c r="CM320" s="517"/>
      <c r="CN320" s="517"/>
      <c r="CO320" s="517"/>
      <c r="CP320" s="517"/>
      <c r="CQ320" s="517"/>
      <c r="CR320" s="517"/>
      <c r="CS320" s="517"/>
      <c r="CT320" s="517"/>
      <c r="CU320" s="517"/>
      <c r="CV320" s="517"/>
      <c r="CW320" s="517"/>
      <c r="CX320" s="517"/>
      <c r="CY320" s="517"/>
      <c r="CZ320" s="517"/>
      <c r="DA320" s="517"/>
      <c r="DB320" s="517"/>
      <c r="DC320" s="517"/>
      <c r="DD320" s="517"/>
      <c r="DE320" s="517"/>
      <c r="DF320" s="517"/>
      <c r="DG320" s="517"/>
      <c r="DH320" s="517"/>
      <c r="DI320" s="517"/>
      <c r="DJ320" s="517"/>
      <c r="DK320" s="517"/>
      <c r="DL320" s="517"/>
      <c r="DM320" s="517"/>
      <c r="DN320" s="517"/>
      <c r="DO320" s="517"/>
      <c r="DP320" s="517"/>
      <c r="DQ320" s="517"/>
      <c r="DR320" s="517"/>
      <c r="DS320" s="517"/>
      <c r="DT320" s="517"/>
      <c r="DU320" s="517"/>
      <c r="DV320" s="517"/>
      <c r="DW320" s="517"/>
      <c r="DX320" s="517"/>
      <c r="DY320" s="517"/>
      <c r="DZ320" s="517"/>
      <c r="EA320" s="517"/>
      <c r="EB320" s="517"/>
      <c r="EC320" s="517"/>
      <c r="ED320" s="517"/>
      <c r="EE320" s="517"/>
      <c r="EF320" s="517"/>
      <c r="EG320" s="517"/>
      <c r="EH320" s="517"/>
      <c r="EI320" s="517"/>
      <c r="EJ320" s="517"/>
      <c r="EK320" s="517"/>
      <c r="EL320" s="517"/>
      <c r="EM320" s="517"/>
      <c r="EN320" s="517"/>
      <c r="EO320" s="517"/>
      <c r="EP320" s="517"/>
      <c r="EQ320" s="517"/>
      <c r="ER320" s="517"/>
      <c r="ES320" s="627" t="s">
        <v>1140</v>
      </c>
    </row>
    <row r="321">
      <c r="A321" s="517"/>
      <c r="B321" s="517"/>
      <c r="C321" s="517"/>
      <c r="D321" s="517"/>
      <c r="E321" s="517"/>
      <c r="F321" s="517"/>
      <c r="G321" s="517"/>
      <c r="H321" s="517"/>
      <c r="I321" s="517"/>
      <c r="J321" s="517"/>
      <c r="K321" s="517"/>
      <c r="L321" s="517"/>
      <c r="M321" s="517"/>
      <c r="N321" s="517"/>
      <c r="O321" s="517"/>
      <c r="P321" s="517"/>
      <c r="Q321" s="517"/>
      <c r="R321" s="517"/>
      <c r="S321" s="517"/>
      <c r="T321" s="517"/>
      <c r="U321" s="517"/>
      <c r="V321" s="517"/>
      <c r="W321" s="517"/>
      <c r="X321" s="517"/>
      <c r="Y321" s="517"/>
      <c r="Z321" s="517"/>
      <c r="AA321" s="517"/>
      <c r="AB321" s="517"/>
      <c r="AC321" s="517"/>
      <c r="AD321" s="517"/>
      <c r="AE321" s="517"/>
      <c r="AF321" s="517"/>
      <c r="AG321" s="517"/>
      <c r="AH321" s="517"/>
      <c r="AI321" s="517"/>
      <c r="AJ321" s="517"/>
      <c r="AK321" s="517"/>
      <c r="AL321" s="517"/>
      <c r="AM321" s="517"/>
      <c r="AN321" s="517"/>
      <c r="AO321" s="517"/>
      <c r="AP321" s="517"/>
      <c r="AQ321" s="517"/>
      <c r="AR321" s="517"/>
      <c r="AS321" s="517"/>
      <c r="AT321" s="517"/>
      <c r="AU321" s="517"/>
      <c r="AV321" s="517"/>
      <c r="AW321" s="517"/>
      <c r="AX321" s="517"/>
      <c r="AY321" s="517"/>
      <c r="AZ321" s="517"/>
      <c r="BA321" s="517"/>
      <c r="BB321" s="517"/>
      <c r="BC321" s="517"/>
      <c r="BD321" s="517"/>
      <c r="BE321" s="517"/>
      <c r="BF321" s="517"/>
      <c r="BG321" s="517"/>
      <c r="BH321" s="517"/>
      <c r="BI321" s="517"/>
      <c r="BJ321" s="517"/>
      <c r="BK321" s="517"/>
      <c r="BL321" s="517"/>
      <c r="BM321" s="517"/>
      <c r="BN321" s="517"/>
      <c r="BO321" s="517"/>
      <c r="BP321" s="517"/>
      <c r="BQ321" s="517"/>
      <c r="BR321" s="517"/>
      <c r="BS321" s="517"/>
      <c r="BT321" s="517"/>
      <c r="BU321" s="517"/>
      <c r="BV321" s="517"/>
      <c r="BW321" s="517"/>
      <c r="BX321" s="517"/>
      <c r="BY321" s="517"/>
      <c r="BZ321" s="517"/>
      <c r="CA321" s="517"/>
      <c r="CB321" s="517"/>
      <c r="CC321" s="517"/>
      <c r="CD321" s="517"/>
      <c r="CE321" s="517"/>
      <c r="CF321" s="517"/>
      <c r="CG321" s="517"/>
      <c r="CH321" s="517"/>
      <c r="CI321" s="517"/>
      <c r="CJ321" s="517"/>
      <c r="CK321" s="517"/>
      <c r="CL321" s="517"/>
      <c r="CM321" s="517"/>
      <c r="CN321" s="517"/>
      <c r="CO321" s="517"/>
      <c r="CP321" s="517"/>
      <c r="CQ321" s="517"/>
      <c r="CR321" s="517"/>
      <c r="CS321" s="517"/>
      <c r="CT321" s="517"/>
      <c r="CU321" s="517"/>
      <c r="CV321" s="517"/>
      <c r="CW321" s="517"/>
      <c r="CX321" s="517"/>
      <c r="CY321" s="517"/>
      <c r="CZ321" s="517"/>
      <c r="DA321" s="517"/>
      <c r="DB321" s="517"/>
      <c r="DC321" s="517"/>
      <c r="DD321" s="517"/>
      <c r="DE321" s="517"/>
      <c r="DF321" s="517"/>
      <c r="DG321" s="517"/>
      <c r="DH321" s="517"/>
      <c r="DI321" s="517"/>
      <c r="DJ321" s="517"/>
      <c r="DK321" s="517"/>
      <c r="DL321" s="517"/>
      <c r="DM321" s="517"/>
      <c r="DN321" s="517"/>
      <c r="DO321" s="517"/>
      <c r="DP321" s="517"/>
      <c r="DQ321" s="517"/>
      <c r="DR321" s="517"/>
      <c r="DS321" s="517"/>
      <c r="DT321" s="517"/>
      <c r="DU321" s="517"/>
      <c r="DV321" s="517"/>
      <c r="DW321" s="517"/>
      <c r="DX321" s="517"/>
      <c r="DY321" s="517"/>
      <c r="DZ321" s="517"/>
      <c r="EA321" s="517"/>
      <c r="EB321" s="517"/>
      <c r="EC321" s="517"/>
      <c r="ED321" s="517"/>
      <c r="EE321" s="517"/>
      <c r="EF321" s="517"/>
      <c r="EG321" s="517"/>
      <c r="EH321" s="517"/>
      <c r="EI321" s="517"/>
      <c r="EJ321" s="517"/>
      <c r="EK321" s="517"/>
      <c r="EL321" s="517"/>
      <c r="EM321" s="517"/>
      <c r="EN321" s="517"/>
      <c r="EO321" s="517"/>
      <c r="EP321" s="517"/>
      <c r="EQ321" s="517"/>
      <c r="ER321" s="517"/>
      <c r="ES321" s="627" t="s">
        <v>1140</v>
      </c>
    </row>
    <row r="322">
      <c r="A322" s="517"/>
      <c r="B322" s="517"/>
      <c r="C322" s="517"/>
      <c r="D322" s="517"/>
      <c r="E322" s="517"/>
      <c r="F322" s="517"/>
      <c r="G322" s="517"/>
      <c r="H322" s="517"/>
      <c r="I322" s="517"/>
      <c r="J322" s="517"/>
      <c r="K322" s="517"/>
      <c r="L322" s="517"/>
      <c r="M322" s="517"/>
      <c r="N322" s="517"/>
      <c r="O322" s="517"/>
      <c r="P322" s="517"/>
      <c r="Q322" s="517"/>
      <c r="R322" s="517"/>
      <c r="S322" s="517"/>
      <c r="T322" s="517"/>
      <c r="U322" s="517"/>
      <c r="V322" s="517"/>
      <c r="W322" s="517"/>
      <c r="X322" s="517"/>
      <c r="Y322" s="517"/>
      <c r="Z322" s="517"/>
      <c r="AA322" s="517"/>
      <c r="AB322" s="517"/>
      <c r="AC322" s="517"/>
      <c r="AD322" s="517"/>
      <c r="AE322" s="517"/>
      <c r="AF322" s="517"/>
      <c r="AG322" s="517"/>
      <c r="AH322" s="517"/>
      <c r="AI322" s="517"/>
      <c r="AJ322" s="517"/>
      <c r="AK322" s="517"/>
      <c r="AL322" s="517"/>
      <c r="AM322" s="517"/>
      <c r="AN322" s="517"/>
      <c r="AO322" s="517"/>
      <c r="AP322" s="517"/>
      <c r="AQ322" s="517"/>
      <c r="AR322" s="517"/>
      <c r="AS322" s="517"/>
      <c r="AT322" s="517"/>
      <c r="AU322" s="517"/>
      <c r="AV322" s="517"/>
      <c r="AW322" s="517"/>
      <c r="AX322" s="517"/>
      <c r="AY322" s="517"/>
      <c r="AZ322" s="517"/>
      <c r="BA322" s="517"/>
      <c r="BB322" s="517"/>
      <c r="BC322" s="517"/>
      <c r="BD322" s="517"/>
      <c r="BE322" s="517"/>
      <c r="BF322" s="517"/>
      <c r="BG322" s="517"/>
      <c r="BH322" s="517"/>
      <c r="BI322" s="517"/>
      <c r="BJ322" s="517"/>
      <c r="BK322" s="517"/>
      <c r="BL322" s="517"/>
      <c r="BM322" s="517"/>
      <c r="BN322" s="517"/>
      <c r="BO322" s="517"/>
      <c r="BP322" s="517"/>
      <c r="BQ322" s="517"/>
      <c r="BR322" s="517"/>
      <c r="BS322" s="517"/>
      <c r="BT322" s="517"/>
      <c r="BU322" s="517"/>
      <c r="BV322" s="517"/>
      <c r="BW322" s="517"/>
      <c r="BX322" s="517"/>
      <c r="BY322" s="517"/>
      <c r="BZ322" s="517"/>
      <c r="CA322" s="517"/>
      <c r="CB322" s="517"/>
      <c r="CC322" s="517"/>
      <c r="CD322" s="517"/>
      <c r="CE322" s="517"/>
      <c r="CF322" s="517"/>
      <c r="CG322" s="517"/>
      <c r="CH322" s="517"/>
      <c r="CI322" s="517"/>
      <c r="CJ322" s="517"/>
      <c r="CK322" s="517"/>
      <c r="CL322" s="517"/>
      <c r="CM322" s="517"/>
      <c r="CN322" s="517"/>
      <c r="CO322" s="517"/>
      <c r="CP322" s="517"/>
      <c r="CQ322" s="517"/>
      <c r="CR322" s="517"/>
      <c r="CS322" s="517"/>
      <c r="CT322" s="517"/>
      <c r="CU322" s="517"/>
      <c r="CV322" s="517"/>
      <c r="CW322" s="517"/>
      <c r="CX322" s="517"/>
      <c r="CY322" s="517"/>
      <c r="CZ322" s="517"/>
      <c r="DA322" s="517"/>
      <c r="DB322" s="517"/>
      <c r="DC322" s="517"/>
      <c r="DD322" s="517"/>
      <c r="DE322" s="517"/>
      <c r="DF322" s="517"/>
      <c r="DG322" s="517"/>
      <c r="DH322" s="517"/>
      <c r="DI322" s="517"/>
      <c r="DJ322" s="517"/>
      <c r="DK322" s="517"/>
      <c r="DL322" s="517"/>
      <c r="DM322" s="517"/>
      <c r="DN322" s="517"/>
      <c r="DO322" s="517"/>
      <c r="DP322" s="517"/>
      <c r="DQ322" s="517"/>
      <c r="DR322" s="517"/>
      <c r="DS322" s="517"/>
      <c r="DT322" s="517"/>
      <c r="DU322" s="517"/>
      <c r="DV322" s="517"/>
      <c r="DW322" s="517"/>
      <c r="DX322" s="517"/>
      <c r="DY322" s="517"/>
      <c r="DZ322" s="517"/>
      <c r="EA322" s="517"/>
      <c r="EB322" s="517"/>
      <c r="EC322" s="517"/>
      <c r="ED322" s="517"/>
      <c r="EE322" s="517"/>
      <c r="EF322" s="517"/>
      <c r="EG322" s="517"/>
      <c r="EH322" s="517"/>
      <c r="EI322" s="517"/>
      <c r="EJ322" s="517"/>
      <c r="EK322" s="517"/>
      <c r="EL322" s="517"/>
      <c r="EM322" s="517"/>
      <c r="EN322" s="517"/>
      <c r="EO322" s="517"/>
      <c r="EP322" s="517"/>
      <c r="EQ322" s="517"/>
      <c r="ER322" s="517"/>
      <c r="ES322" s="627" t="s">
        <v>1140</v>
      </c>
    </row>
    <row r="323">
      <c r="A323" s="517"/>
      <c r="B323" s="517"/>
      <c r="C323" s="517"/>
      <c r="D323" s="517"/>
      <c r="E323" s="517"/>
      <c r="F323" s="517"/>
      <c r="G323" s="517"/>
      <c r="H323" s="517"/>
      <c r="I323" s="517"/>
      <c r="J323" s="517"/>
      <c r="K323" s="517"/>
      <c r="L323" s="517"/>
      <c r="M323" s="517"/>
      <c r="N323" s="517"/>
      <c r="O323" s="517"/>
      <c r="P323" s="517"/>
      <c r="Q323" s="517"/>
      <c r="R323" s="517"/>
      <c r="S323" s="517"/>
      <c r="T323" s="517"/>
      <c r="U323" s="517"/>
      <c r="V323" s="517"/>
      <c r="W323" s="517"/>
      <c r="X323" s="517"/>
      <c r="Y323" s="517"/>
      <c r="Z323" s="517"/>
      <c r="AA323" s="517"/>
      <c r="AB323" s="517"/>
      <c r="AC323" s="517"/>
      <c r="AD323" s="517"/>
      <c r="AE323" s="517"/>
      <c r="AF323" s="517"/>
      <c r="AG323" s="517"/>
      <c r="AH323" s="517"/>
      <c r="AI323" s="517"/>
      <c r="AJ323" s="517"/>
      <c r="AK323" s="517"/>
      <c r="AL323" s="517"/>
      <c r="AM323" s="517"/>
      <c r="AN323" s="517"/>
      <c r="AO323" s="517"/>
      <c r="AP323" s="517"/>
      <c r="AQ323" s="517"/>
      <c r="AR323" s="517"/>
      <c r="AS323" s="517"/>
      <c r="AT323" s="517"/>
      <c r="AU323" s="517"/>
      <c r="AV323" s="517"/>
      <c r="AW323" s="517"/>
      <c r="AX323" s="517"/>
      <c r="AY323" s="517"/>
      <c r="AZ323" s="517"/>
      <c r="BA323" s="517"/>
      <c r="BB323" s="517"/>
      <c r="BC323" s="517"/>
      <c r="BD323" s="517"/>
      <c r="BE323" s="517"/>
      <c r="BF323" s="517"/>
      <c r="BG323" s="517"/>
      <c r="BH323" s="517"/>
      <c r="BI323" s="517"/>
      <c r="BJ323" s="517"/>
      <c r="BK323" s="517"/>
      <c r="BL323" s="517"/>
      <c r="BM323" s="517"/>
      <c r="BN323" s="517"/>
      <c r="BO323" s="517"/>
      <c r="BP323" s="517"/>
      <c r="BQ323" s="517"/>
      <c r="BR323" s="517"/>
      <c r="BS323" s="517"/>
      <c r="BT323" s="517"/>
      <c r="BU323" s="517"/>
      <c r="BV323" s="517"/>
      <c r="BW323" s="517"/>
      <c r="BX323" s="517"/>
      <c r="BY323" s="517"/>
      <c r="BZ323" s="517"/>
      <c r="CA323" s="517"/>
      <c r="CB323" s="517"/>
      <c r="CC323" s="517"/>
      <c r="CD323" s="517"/>
      <c r="CE323" s="517"/>
      <c r="CF323" s="517"/>
      <c r="CG323" s="517"/>
      <c r="CH323" s="517"/>
      <c r="CI323" s="517"/>
      <c r="CJ323" s="517"/>
      <c r="CK323" s="517"/>
      <c r="CL323" s="517"/>
      <c r="CM323" s="517"/>
      <c r="CN323" s="517"/>
      <c r="CO323" s="517"/>
      <c r="CP323" s="517"/>
      <c r="CQ323" s="517"/>
      <c r="CR323" s="517"/>
      <c r="CS323" s="517"/>
      <c r="CT323" s="517"/>
      <c r="CU323" s="517"/>
      <c r="CV323" s="517"/>
      <c r="CW323" s="517"/>
      <c r="CX323" s="517"/>
      <c r="CY323" s="517"/>
      <c r="CZ323" s="517"/>
      <c r="DA323" s="517"/>
      <c r="DB323" s="517"/>
      <c r="DC323" s="517"/>
      <c r="DD323" s="517"/>
      <c r="DE323" s="517"/>
      <c r="DF323" s="517"/>
      <c r="DG323" s="517"/>
      <c r="DH323" s="517"/>
      <c r="DI323" s="517"/>
      <c r="DJ323" s="517"/>
      <c r="DK323" s="517"/>
      <c r="DL323" s="517"/>
      <c r="DM323" s="517"/>
      <c r="DN323" s="517"/>
      <c r="DO323" s="517"/>
      <c r="DP323" s="517"/>
      <c r="DQ323" s="517"/>
      <c r="DR323" s="517"/>
      <c r="DS323" s="517"/>
      <c r="DT323" s="517"/>
      <c r="DU323" s="517"/>
      <c r="DV323" s="517"/>
      <c r="DW323" s="517"/>
      <c r="DX323" s="517"/>
      <c r="DY323" s="517"/>
      <c r="DZ323" s="517"/>
      <c r="EA323" s="517"/>
      <c r="EB323" s="517"/>
      <c r="EC323" s="517"/>
      <c r="ED323" s="517"/>
      <c r="EE323" s="517"/>
      <c r="EF323" s="517"/>
      <c r="EG323" s="517"/>
      <c r="EH323" s="517"/>
      <c r="EI323" s="517"/>
      <c r="EJ323" s="517"/>
      <c r="EK323" s="517"/>
      <c r="EL323" s="517"/>
      <c r="EM323" s="517"/>
      <c r="EN323" s="517"/>
      <c r="EO323" s="517"/>
      <c r="EP323" s="517"/>
      <c r="EQ323" s="517"/>
      <c r="ER323" s="517"/>
      <c r="ES323" s="627" t="s">
        <v>1140</v>
      </c>
    </row>
    <row r="324">
      <c r="A324" s="517"/>
      <c r="B324" s="517"/>
      <c r="C324" s="517"/>
      <c r="D324" s="517"/>
      <c r="E324" s="517"/>
      <c r="F324" s="517"/>
      <c r="G324" s="517"/>
      <c r="H324" s="517"/>
      <c r="I324" s="517"/>
      <c r="J324" s="517"/>
      <c r="K324" s="517"/>
      <c r="L324" s="517"/>
      <c r="M324" s="517"/>
      <c r="N324" s="517"/>
      <c r="O324" s="517"/>
      <c r="P324" s="517"/>
      <c r="Q324" s="517"/>
      <c r="R324" s="517"/>
      <c r="S324" s="517"/>
      <c r="T324" s="517"/>
      <c r="U324" s="517"/>
      <c r="V324" s="517"/>
      <c r="W324" s="517"/>
      <c r="X324" s="517"/>
      <c r="Y324" s="517"/>
      <c r="Z324" s="517"/>
      <c r="AA324" s="517"/>
      <c r="AB324" s="517"/>
      <c r="AC324" s="517"/>
      <c r="AD324" s="517"/>
      <c r="AE324" s="517"/>
      <c r="AF324" s="517"/>
      <c r="AG324" s="517"/>
      <c r="AH324" s="517"/>
      <c r="AI324" s="517"/>
      <c r="AJ324" s="517"/>
      <c r="AK324" s="517"/>
      <c r="AL324" s="517"/>
      <c r="AM324" s="517"/>
      <c r="AN324" s="517"/>
      <c r="AO324" s="517"/>
      <c r="AP324" s="517"/>
      <c r="AQ324" s="517"/>
      <c r="AR324" s="517"/>
      <c r="AS324" s="517"/>
      <c r="AT324" s="517"/>
      <c r="AU324" s="517"/>
      <c r="AV324" s="517"/>
      <c r="AW324" s="517"/>
      <c r="AX324" s="517"/>
      <c r="AY324" s="517"/>
      <c r="AZ324" s="517"/>
      <c r="BA324" s="517"/>
      <c r="BB324" s="517"/>
      <c r="BC324" s="517"/>
      <c r="BD324" s="517"/>
      <c r="BE324" s="517"/>
      <c r="BF324" s="517"/>
      <c r="BG324" s="517"/>
      <c r="BH324" s="517"/>
      <c r="BI324" s="517"/>
      <c r="BJ324" s="517"/>
      <c r="BK324" s="517"/>
      <c r="BL324" s="517"/>
      <c r="BM324" s="517"/>
      <c r="BN324" s="517"/>
      <c r="BO324" s="517"/>
      <c r="BP324" s="517"/>
      <c r="BQ324" s="517"/>
      <c r="BR324" s="517"/>
      <c r="BS324" s="517"/>
      <c r="BT324" s="517"/>
      <c r="BU324" s="517"/>
      <c r="BV324" s="517"/>
      <c r="BW324" s="517"/>
      <c r="BX324" s="517"/>
      <c r="BY324" s="517"/>
      <c r="BZ324" s="517"/>
      <c r="CA324" s="517"/>
      <c r="CB324" s="517"/>
      <c r="CC324" s="517"/>
      <c r="CD324" s="517"/>
      <c r="CE324" s="517"/>
      <c r="CF324" s="517"/>
      <c r="CG324" s="517"/>
      <c r="CH324" s="517"/>
      <c r="CI324" s="517"/>
      <c r="CJ324" s="517"/>
      <c r="CK324" s="517"/>
      <c r="CL324" s="517"/>
      <c r="CM324" s="517"/>
      <c r="CN324" s="517"/>
      <c r="CO324" s="517"/>
      <c r="CP324" s="517"/>
      <c r="CQ324" s="517"/>
      <c r="CR324" s="517"/>
      <c r="CS324" s="517"/>
      <c r="CT324" s="517"/>
      <c r="CU324" s="517"/>
      <c r="CV324" s="517"/>
      <c r="CW324" s="517"/>
      <c r="CX324" s="517"/>
      <c r="CY324" s="517"/>
      <c r="CZ324" s="517"/>
      <c r="DA324" s="517"/>
      <c r="DB324" s="517"/>
      <c r="DC324" s="517"/>
      <c r="DD324" s="517"/>
      <c r="DE324" s="517"/>
      <c r="DF324" s="517"/>
      <c r="DG324" s="517"/>
      <c r="DH324" s="517"/>
      <c r="DI324" s="517"/>
      <c r="DJ324" s="517"/>
      <c r="DK324" s="517"/>
      <c r="DL324" s="517"/>
      <c r="DM324" s="517"/>
      <c r="DN324" s="517"/>
      <c r="DO324" s="517"/>
      <c r="DP324" s="517"/>
      <c r="DQ324" s="517"/>
      <c r="DR324" s="517"/>
      <c r="DS324" s="517"/>
      <c r="DT324" s="517"/>
      <c r="DU324" s="517"/>
      <c r="DV324" s="517"/>
      <c r="DW324" s="517"/>
      <c r="DX324" s="517"/>
      <c r="DY324" s="517"/>
      <c r="DZ324" s="517"/>
      <c r="EA324" s="517"/>
      <c r="EB324" s="517"/>
      <c r="EC324" s="517"/>
      <c r="ED324" s="517"/>
      <c r="EE324" s="517"/>
      <c r="EF324" s="517"/>
      <c r="EG324" s="517"/>
      <c r="EH324" s="517"/>
      <c r="EI324" s="517"/>
      <c r="EJ324" s="517"/>
      <c r="EK324" s="517"/>
      <c r="EL324" s="517"/>
      <c r="EM324" s="517"/>
      <c r="EN324" s="517"/>
      <c r="EO324" s="517"/>
      <c r="EP324" s="517"/>
      <c r="EQ324" s="517"/>
      <c r="ER324" s="517"/>
      <c r="ES324" s="627" t="s">
        <v>1140</v>
      </c>
    </row>
    <row r="325">
      <c r="A325" s="517"/>
      <c r="B325" s="517"/>
      <c r="C325" s="517"/>
      <c r="D325" s="517"/>
      <c r="E325" s="517"/>
      <c r="F325" s="517"/>
      <c r="G325" s="517"/>
      <c r="H325" s="517"/>
      <c r="I325" s="517"/>
      <c r="J325" s="517"/>
      <c r="K325" s="517"/>
      <c r="L325" s="517"/>
      <c r="M325" s="517"/>
      <c r="N325" s="517"/>
      <c r="O325" s="517"/>
      <c r="P325" s="517"/>
      <c r="Q325" s="517"/>
      <c r="R325" s="517"/>
      <c r="S325" s="517"/>
      <c r="T325" s="517"/>
      <c r="U325" s="517"/>
      <c r="V325" s="517"/>
      <c r="W325" s="517"/>
      <c r="X325" s="517"/>
      <c r="Y325" s="517"/>
      <c r="Z325" s="517"/>
      <c r="AA325" s="517"/>
      <c r="AB325" s="517"/>
      <c r="AC325" s="517"/>
      <c r="AD325" s="517"/>
      <c r="AE325" s="517"/>
      <c r="AF325" s="517"/>
      <c r="AG325" s="517"/>
      <c r="AH325" s="517"/>
      <c r="AI325" s="517"/>
      <c r="AJ325" s="517"/>
      <c r="AK325" s="517"/>
      <c r="AL325" s="517"/>
      <c r="AM325" s="517"/>
      <c r="AN325" s="517"/>
      <c r="AO325" s="517"/>
      <c r="AP325" s="517"/>
      <c r="AQ325" s="517"/>
      <c r="AR325" s="517"/>
      <c r="AS325" s="517"/>
      <c r="AT325" s="517"/>
      <c r="AU325" s="517"/>
      <c r="AV325" s="517"/>
      <c r="AW325" s="517"/>
      <c r="AX325" s="517"/>
      <c r="AY325" s="517"/>
      <c r="AZ325" s="517"/>
      <c r="BA325" s="517"/>
      <c r="BB325" s="517"/>
      <c r="BC325" s="517"/>
      <c r="BD325" s="517"/>
      <c r="BE325" s="517"/>
      <c r="BF325" s="517"/>
      <c r="BG325" s="517"/>
      <c r="BH325" s="517"/>
      <c r="BI325" s="517"/>
      <c r="BJ325" s="517"/>
      <c r="BK325" s="517"/>
      <c r="BL325" s="517"/>
      <c r="BM325" s="517"/>
      <c r="BN325" s="517"/>
      <c r="BO325" s="517"/>
      <c r="BP325" s="517"/>
      <c r="BQ325" s="517"/>
      <c r="BR325" s="517"/>
      <c r="BS325" s="517"/>
      <c r="BT325" s="517"/>
      <c r="BU325" s="517"/>
      <c r="BV325" s="517"/>
      <c r="BW325" s="517"/>
      <c r="BX325" s="517"/>
      <c r="BY325" s="517"/>
      <c r="BZ325" s="517"/>
      <c r="CA325" s="517"/>
      <c r="CB325" s="517"/>
      <c r="CC325" s="517"/>
      <c r="CD325" s="517"/>
      <c r="CE325" s="517"/>
      <c r="CF325" s="517"/>
      <c r="CG325" s="517"/>
      <c r="CH325" s="517"/>
      <c r="CI325" s="517"/>
      <c r="CJ325" s="517"/>
      <c r="CK325" s="517"/>
      <c r="CL325" s="517"/>
      <c r="CM325" s="517"/>
      <c r="CN325" s="517"/>
      <c r="CO325" s="517"/>
      <c r="CP325" s="517"/>
      <c r="CQ325" s="517"/>
      <c r="CR325" s="517"/>
      <c r="CS325" s="517"/>
      <c r="CT325" s="517"/>
      <c r="CU325" s="517"/>
      <c r="CV325" s="517"/>
      <c r="CW325" s="517"/>
      <c r="CX325" s="517"/>
      <c r="CY325" s="517"/>
      <c r="CZ325" s="517"/>
      <c r="DA325" s="517"/>
      <c r="DB325" s="517"/>
      <c r="DC325" s="517"/>
      <c r="DD325" s="517"/>
      <c r="DE325" s="517"/>
      <c r="DF325" s="517"/>
      <c r="DG325" s="517"/>
      <c r="DH325" s="517"/>
      <c r="DI325" s="517"/>
      <c r="DJ325" s="517"/>
      <c r="DK325" s="517"/>
      <c r="DL325" s="517"/>
      <c r="DM325" s="517"/>
      <c r="DN325" s="517"/>
      <c r="DO325" s="517"/>
      <c r="DP325" s="517"/>
      <c r="DQ325" s="517"/>
      <c r="DR325" s="517"/>
      <c r="DS325" s="517"/>
      <c r="DT325" s="517"/>
      <c r="DU325" s="517"/>
      <c r="DV325" s="517"/>
      <c r="DW325" s="517"/>
      <c r="DX325" s="517"/>
      <c r="DY325" s="517"/>
      <c r="DZ325" s="517"/>
      <c r="EA325" s="517"/>
      <c r="EB325" s="517"/>
      <c r="EC325" s="517"/>
      <c r="ED325" s="517"/>
      <c r="EE325" s="517"/>
      <c r="EF325" s="517"/>
      <c r="EG325" s="517"/>
      <c r="EH325" s="517"/>
      <c r="EI325" s="517"/>
      <c r="EJ325" s="517"/>
      <c r="EK325" s="517"/>
      <c r="EL325" s="517"/>
      <c r="EM325" s="517"/>
      <c r="EN325" s="517"/>
      <c r="EO325" s="517"/>
      <c r="EP325" s="517"/>
      <c r="EQ325" s="517"/>
      <c r="ER325" s="517"/>
      <c r="ES325" s="627" t="s">
        <v>1140</v>
      </c>
    </row>
    <row r="326">
      <c r="A326" s="517"/>
      <c r="B326" s="517"/>
      <c r="C326" s="517"/>
      <c r="D326" s="517"/>
      <c r="E326" s="517"/>
      <c r="F326" s="517"/>
      <c r="G326" s="517"/>
      <c r="H326" s="517"/>
      <c r="I326" s="517"/>
      <c r="J326" s="517"/>
      <c r="K326" s="517"/>
      <c r="L326" s="517"/>
      <c r="M326" s="517"/>
      <c r="N326" s="517"/>
      <c r="O326" s="517"/>
      <c r="P326" s="517"/>
      <c r="Q326" s="517"/>
      <c r="R326" s="517"/>
      <c r="S326" s="517"/>
      <c r="T326" s="517"/>
      <c r="U326" s="517"/>
      <c r="V326" s="517"/>
      <c r="W326" s="517"/>
      <c r="X326" s="517"/>
      <c r="Y326" s="517"/>
      <c r="Z326" s="517"/>
      <c r="AA326" s="517"/>
      <c r="AB326" s="517"/>
      <c r="AC326" s="517"/>
      <c r="AD326" s="517"/>
      <c r="AE326" s="517"/>
      <c r="AF326" s="517"/>
      <c r="AG326" s="517"/>
      <c r="AH326" s="517"/>
      <c r="AI326" s="517"/>
      <c r="AJ326" s="517"/>
      <c r="AK326" s="517"/>
      <c r="AL326" s="517"/>
      <c r="AM326" s="517"/>
      <c r="AN326" s="517"/>
      <c r="AO326" s="517"/>
      <c r="AP326" s="517"/>
      <c r="AQ326" s="517"/>
      <c r="AR326" s="517"/>
      <c r="AS326" s="517"/>
      <c r="AT326" s="517"/>
      <c r="AU326" s="517"/>
      <c r="AV326" s="517"/>
      <c r="AW326" s="517"/>
      <c r="AX326" s="517"/>
      <c r="AY326" s="517"/>
      <c r="AZ326" s="517"/>
      <c r="BA326" s="517"/>
      <c r="BB326" s="517"/>
      <c r="BC326" s="517"/>
      <c r="BD326" s="517"/>
      <c r="BE326" s="517"/>
      <c r="BF326" s="517"/>
      <c r="BG326" s="517"/>
      <c r="BH326" s="517"/>
      <c r="BI326" s="517"/>
      <c r="BJ326" s="517"/>
      <c r="BK326" s="517"/>
      <c r="BL326" s="517"/>
      <c r="BM326" s="517"/>
      <c r="BN326" s="517"/>
      <c r="BO326" s="517"/>
      <c r="BP326" s="517"/>
      <c r="BQ326" s="517"/>
      <c r="BR326" s="517"/>
      <c r="BS326" s="517"/>
      <c r="BT326" s="517"/>
      <c r="BU326" s="517"/>
      <c r="BV326" s="517"/>
      <c r="BW326" s="517"/>
      <c r="BX326" s="517"/>
      <c r="BY326" s="517"/>
      <c r="BZ326" s="517"/>
      <c r="CA326" s="517"/>
      <c r="CB326" s="517"/>
      <c r="CC326" s="517"/>
      <c r="CD326" s="517"/>
      <c r="CE326" s="517"/>
      <c r="CF326" s="517"/>
      <c r="CG326" s="517"/>
      <c r="CH326" s="517"/>
      <c r="CI326" s="517"/>
      <c r="CJ326" s="517"/>
      <c r="CK326" s="517"/>
      <c r="CL326" s="517"/>
      <c r="CM326" s="517"/>
      <c r="CN326" s="517"/>
      <c r="CO326" s="517"/>
      <c r="CP326" s="517"/>
      <c r="CQ326" s="517"/>
      <c r="CR326" s="517"/>
      <c r="CS326" s="517"/>
      <c r="CT326" s="517"/>
      <c r="CU326" s="517"/>
      <c r="CV326" s="517"/>
      <c r="CW326" s="517"/>
      <c r="CX326" s="517"/>
      <c r="CY326" s="517"/>
      <c r="CZ326" s="517"/>
      <c r="DA326" s="517"/>
      <c r="DB326" s="517"/>
      <c r="DC326" s="517"/>
      <c r="DD326" s="517"/>
      <c r="DE326" s="517"/>
      <c r="DF326" s="517"/>
      <c r="DG326" s="517"/>
      <c r="DH326" s="517"/>
      <c r="DI326" s="517"/>
      <c r="DJ326" s="517"/>
      <c r="DK326" s="517"/>
      <c r="DL326" s="517"/>
      <c r="DM326" s="517"/>
      <c r="DN326" s="517"/>
      <c r="DO326" s="517"/>
      <c r="DP326" s="517"/>
      <c r="DQ326" s="517"/>
      <c r="DR326" s="517"/>
      <c r="DS326" s="517"/>
      <c r="DT326" s="517"/>
      <c r="DU326" s="517"/>
      <c r="DV326" s="517"/>
      <c r="DW326" s="517"/>
      <c r="DX326" s="517"/>
      <c r="DY326" s="517"/>
      <c r="DZ326" s="517"/>
      <c r="EA326" s="517"/>
      <c r="EB326" s="517"/>
      <c r="EC326" s="517"/>
      <c r="ED326" s="517"/>
      <c r="EE326" s="517"/>
      <c r="EF326" s="517"/>
      <c r="EG326" s="517"/>
      <c r="EH326" s="517"/>
      <c r="EI326" s="517"/>
      <c r="EJ326" s="517"/>
      <c r="EK326" s="517"/>
      <c r="EL326" s="517"/>
      <c r="EM326" s="517"/>
      <c r="EN326" s="517"/>
      <c r="EO326" s="517"/>
      <c r="EP326" s="517"/>
      <c r="EQ326" s="517"/>
      <c r="ER326" s="517"/>
      <c r="ES326" s="627" t="s">
        <v>1140</v>
      </c>
    </row>
    <row r="327">
      <c r="A327" s="517"/>
      <c r="B327" s="517"/>
      <c r="C327" s="517"/>
      <c r="D327" s="517"/>
      <c r="E327" s="517"/>
      <c r="F327" s="517"/>
      <c r="G327" s="517"/>
      <c r="H327" s="517"/>
      <c r="I327" s="517"/>
      <c r="J327" s="517"/>
      <c r="K327" s="517"/>
      <c r="L327" s="517"/>
      <c r="M327" s="517"/>
      <c r="N327" s="517"/>
      <c r="O327" s="517"/>
      <c r="P327" s="517"/>
      <c r="Q327" s="517"/>
      <c r="R327" s="517"/>
      <c r="S327" s="517"/>
      <c r="T327" s="517"/>
      <c r="U327" s="517"/>
      <c r="V327" s="517"/>
      <c r="W327" s="517"/>
      <c r="X327" s="517"/>
      <c r="Y327" s="517"/>
      <c r="Z327" s="517"/>
      <c r="AA327" s="517"/>
      <c r="AB327" s="517"/>
      <c r="AC327" s="517"/>
      <c r="AD327" s="517"/>
      <c r="AE327" s="517"/>
      <c r="AF327" s="517"/>
      <c r="AG327" s="517"/>
      <c r="AH327" s="517"/>
      <c r="AI327" s="517"/>
      <c r="AJ327" s="517"/>
      <c r="AK327" s="517"/>
      <c r="AL327" s="517"/>
      <c r="AM327" s="517"/>
      <c r="AN327" s="517"/>
      <c r="AO327" s="517"/>
      <c r="AP327" s="517"/>
      <c r="AQ327" s="517"/>
      <c r="AR327" s="517"/>
      <c r="AS327" s="517"/>
      <c r="AT327" s="517"/>
      <c r="AU327" s="517"/>
      <c r="AV327" s="517"/>
      <c r="AW327" s="517"/>
      <c r="AX327" s="517"/>
      <c r="AY327" s="517"/>
      <c r="AZ327" s="517"/>
      <c r="BA327" s="517"/>
      <c r="BB327" s="517"/>
      <c r="BC327" s="517"/>
      <c r="BD327" s="517"/>
      <c r="BE327" s="517"/>
      <c r="BF327" s="517"/>
      <c r="BG327" s="517"/>
      <c r="BH327" s="517"/>
      <c r="BI327" s="517"/>
      <c r="BJ327" s="517"/>
      <c r="BK327" s="517"/>
      <c r="BL327" s="517"/>
      <c r="BM327" s="517"/>
      <c r="BN327" s="517"/>
      <c r="BO327" s="517"/>
      <c r="BP327" s="517"/>
      <c r="BQ327" s="517"/>
      <c r="BR327" s="517"/>
      <c r="BS327" s="517"/>
      <c r="BT327" s="517"/>
      <c r="BU327" s="517"/>
      <c r="BV327" s="517"/>
      <c r="BW327" s="517"/>
      <c r="BX327" s="517"/>
      <c r="BY327" s="517"/>
      <c r="BZ327" s="517"/>
      <c r="CA327" s="517"/>
      <c r="CB327" s="517"/>
      <c r="CC327" s="517"/>
      <c r="CD327" s="517"/>
      <c r="CE327" s="517"/>
      <c r="CF327" s="517"/>
      <c r="CG327" s="517"/>
      <c r="CH327" s="517"/>
      <c r="CI327" s="517"/>
      <c r="CJ327" s="517"/>
      <c r="CK327" s="517"/>
      <c r="CL327" s="517"/>
      <c r="CM327" s="517"/>
      <c r="CN327" s="517"/>
      <c r="CO327" s="517"/>
      <c r="CP327" s="517"/>
      <c r="CQ327" s="517"/>
      <c r="CR327" s="517"/>
      <c r="CS327" s="517"/>
      <c r="CT327" s="517"/>
      <c r="CU327" s="517"/>
      <c r="CV327" s="517"/>
      <c r="CW327" s="517"/>
      <c r="CX327" s="517"/>
      <c r="CY327" s="517"/>
      <c r="CZ327" s="517"/>
      <c r="DA327" s="517"/>
      <c r="DB327" s="517"/>
      <c r="DC327" s="517"/>
      <c r="DD327" s="517"/>
      <c r="DE327" s="517"/>
      <c r="DF327" s="517"/>
      <c r="DG327" s="517"/>
      <c r="DH327" s="517"/>
      <c r="DI327" s="517"/>
      <c r="DJ327" s="517"/>
      <c r="DK327" s="517"/>
      <c r="DL327" s="517"/>
      <c r="DM327" s="517"/>
      <c r="DN327" s="517"/>
      <c r="DO327" s="517"/>
      <c r="DP327" s="517"/>
      <c r="DQ327" s="517"/>
      <c r="DR327" s="517"/>
      <c r="DS327" s="517"/>
      <c r="DT327" s="517"/>
      <c r="DU327" s="517"/>
      <c r="DV327" s="517"/>
      <c r="DW327" s="517"/>
      <c r="DX327" s="517"/>
      <c r="DY327" s="517"/>
      <c r="DZ327" s="517"/>
      <c r="EA327" s="517"/>
      <c r="EB327" s="517"/>
      <c r="EC327" s="517"/>
      <c r="ED327" s="517"/>
      <c r="EE327" s="517"/>
      <c r="EF327" s="517"/>
      <c r="EG327" s="517"/>
      <c r="EH327" s="517"/>
      <c r="EI327" s="517"/>
      <c r="EJ327" s="517"/>
      <c r="EK327" s="517"/>
      <c r="EL327" s="517"/>
      <c r="EM327" s="517"/>
      <c r="EN327" s="517"/>
      <c r="EO327" s="517"/>
      <c r="EP327" s="517"/>
      <c r="EQ327" s="517"/>
      <c r="ER327" s="517"/>
      <c r="ES327" s="627" t="s">
        <v>1140</v>
      </c>
    </row>
    <row r="328">
      <c r="A328" s="517"/>
      <c r="B328" s="517"/>
      <c r="C328" s="517"/>
      <c r="D328" s="517"/>
      <c r="E328" s="517"/>
      <c r="F328" s="517"/>
      <c r="G328" s="517"/>
      <c r="H328" s="517"/>
      <c r="I328" s="517"/>
      <c r="J328" s="517"/>
      <c r="K328" s="517"/>
      <c r="L328" s="517"/>
      <c r="M328" s="517"/>
      <c r="N328" s="517"/>
      <c r="O328" s="517"/>
      <c r="P328" s="517"/>
      <c r="Q328" s="517"/>
      <c r="R328" s="517"/>
      <c r="S328" s="517"/>
      <c r="T328" s="517"/>
      <c r="U328" s="517"/>
      <c r="V328" s="517"/>
      <c r="W328" s="517"/>
      <c r="X328" s="517"/>
      <c r="Y328" s="517"/>
      <c r="Z328" s="517"/>
      <c r="AA328" s="517"/>
      <c r="AB328" s="517"/>
      <c r="AC328" s="517"/>
      <c r="AD328" s="517"/>
      <c r="AE328" s="517"/>
      <c r="AF328" s="517"/>
      <c r="AG328" s="517"/>
      <c r="AH328" s="517"/>
      <c r="AI328" s="517"/>
      <c r="AJ328" s="517"/>
      <c r="AK328" s="517"/>
      <c r="AL328" s="517"/>
      <c r="AM328" s="517"/>
      <c r="AN328" s="517"/>
      <c r="AO328" s="517"/>
      <c r="AP328" s="517"/>
      <c r="AQ328" s="517"/>
      <c r="AR328" s="517"/>
      <c r="AS328" s="517"/>
      <c r="AT328" s="517"/>
      <c r="AU328" s="517"/>
      <c r="AV328" s="517"/>
      <c r="AW328" s="517"/>
      <c r="AX328" s="517"/>
      <c r="AY328" s="517"/>
      <c r="AZ328" s="517"/>
      <c r="BA328" s="517"/>
      <c r="BB328" s="517"/>
      <c r="BC328" s="517"/>
      <c r="BD328" s="517"/>
      <c r="BE328" s="517"/>
      <c r="BF328" s="517"/>
      <c r="BG328" s="517"/>
      <c r="BH328" s="517"/>
      <c r="BI328" s="517"/>
      <c r="BJ328" s="517"/>
      <c r="BK328" s="517"/>
      <c r="BL328" s="517"/>
      <c r="BM328" s="517"/>
      <c r="BN328" s="517"/>
      <c r="BO328" s="517"/>
      <c r="BP328" s="517"/>
      <c r="BQ328" s="517"/>
      <c r="BR328" s="517"/>
      <c r="BS328" s="517"/>
      <c r="BT328" s="517"/>
      <c r="BU328" s="517"/>
      <c r="BV328" s="517"/>
      <c r="BW328" s="517"/>
      <c r="BX328" s="517"/>
      <c r="BY328" s="517"/>
      <c r="BZ328" s="517"/>
      <c r="CA328" s="517"/>
      <c r="CB328" s="517"/>
      <c r="CC328" s="517"/>
      <c r="CD328" s="517"/>
      <c r="CE328" s="517"/>
      <c r="CF328" s="517"/>
      <c r="CG328" s="517"/>
      <c r="CH328" s="517"/>
      <c r="CI328" s="517"/>
      <c r="CJ328" s="517"/>
      <c r="CK328" s="517"/>
      <c r="CL328" s="517"/>
      <c r="CM328" s="517"/>
      <c r="CN328" s="517"/>
      <c r="CO328" s="517"/>
      <c r="CP328" s="517"/>
      <c r="CQ328" s="517"/>
      <c r="CR328" s="517"/>
      <c r="CS328" s="517"/>
      <c r="CT328" s="517"/>
      <c r="CU328" s="517"/>
      <c r="CV328" s="517"/>
      <c r="CW328" s="517"/>
      <c r="CX328" s="517"/>
      <c r="CY328" s="517"/>
      <c r="CZ328" s="517"/>
      <c r="DA328" s="517"/>
      <c r="DB328" s="517"/>
      <c r="DC328" s="517"/>
      <c r="DD328" s="517"/>
      <c r="DE328" s="517"/>
      <c r="DF328" s="517"/>
      <c r="DG328" s="517"/>
      <c r="DH328" s="517"/>
      <c r="DI328" s="517"/>
      <c r="DJ328" s="517"/>
      <c r="DK328" s="517"/>
      <c r="DL328" s="517"/>
      <c r="DM328" s="517"/>
      <c r="DN328" s="517"/>
      <c r="DO328" s="517"/>
      <c r="DP328" s="517"/>
      <c r="DQ328" s="517"/>
      <c r="DR328" s="517"/>
      <c r="DS328" s="517"/>
      <c r="DT328" s="517"/>
      <c r="DU328" s="517"/>
      <c r="DV328" s="517"/>
      <c r="DW328" s="517"/>
      <c r="DX328" s="517"/>
      <c r="DY328" s="517"/>
      <c r="DZ328" s="517"/>
      <c r="EA328" s="517"/>
      <c r="EB328" s="517"/>
      <c r="EC328" s="517"/>
      <c r="ED328" s="517"/>
      <c r="EE328" s="517"/>
      <c r="EF328" s="517"/>
      <c r="EG328" s="517"/>
      <c r="EH328" s="517"/>
      <c r="EI328" s="517"/>
      <c r="EJ328" s="517"/>
      <c r="EK328" s="517"/>
      <c r="EL328" s="517"/>
      <c r="EM328" s="517"/>
      <c r="EN328" s="517"/>
      <c r="EO328" s="517"/>
      <c r="EP328" s="517"/>
      <c r="EQ328" s="517"/>
      <c r="ER328" s="517"/>
      <c r="ES328" s="627" t="s">
        <v>1140</v>
      </c>
    </row>
    <row r="329">
      <c r="A329" s="517"/>
      <c r="B329" s="517"/>
      <c r="C329" s="517"/>
      <c r="D329" s="517"/>
      <c r="E329" s="517"/>
      <c r="F329" s="517"/>
      <c r="G329" s="517"/>
      <c r="H329" s="517"/>
      <c r="I329" s="517"/>
      <c r="J329" s="517"/>
      <c r="K329" s="517"/>
      <c r="L329" s="517"/>
      <c r="M329" s="517"/>
      <c r="N329" s="517"/>
      <c r="O329" s="517"/>
      <c r="P329" s="517"/>
      <c r="Q329" s="517"/>
      <c r="R329" s="517"/>
      <c r="S329" s="517"/>
      <c r="T329" s="517"/>
      <c r="U329" s="517"/>
      <c r="V329" s="517"/>
      <c r="W329" s="517"/>
      <c r="X329" s="517"/>
      <c r="Y329" s="517"/>
      <c r="Z329" s="517"/>
      <c r="AA329" s="517"/>
      <c r="AB329" s="517"/>
      <c r="AC329" s="517"/>
      <c r="AD329" s="517"/>
      <c r="AE329" s="517"/>
      <c r="AF329" s="517"/>
      <c r="AG329" s="517"/>
      <c r="AH329" s="517"/>
      <c r="AI329" s="517"/>
      <c r="AJ329" s="517"/>
      <c r="AK329" s="517"/>
      <c r="AL329" s="517"/>
      <c r="AM329" s="517"/>
      <c r="AN329" s="517"/>
      <c r="AO329" s="517"/>
      <c r="AP329" s="517"/>
      <c r="AQ329" s="517"/>
      <c r="AR329" s="517"/>
      <c r="AS329" s="517"/>
      <c r="AT329" s="517"/>
      <c r="AU329" s="517"/>
      <c r="AV329" s="517"/>
      <c r="AW329" s="517"/>
      <c r="AX329" s="517"/>
      <c r="AY329" s="517"/>
      <c r="AZ329" s="517"/>
      <c r="BA329" s="517"/>
      <c r="BB329" s="517"/>
      <c r="BC329" s="517"/>
      <c r="BD329" s="517"/>
      <c r="BE329" s="517"/>
      <c r="BF329" s="517"/>
      <c r="BG329" s="517"/>
      <c r="BH329" s="517"/>
      <c r="BI329" s="517"/>
      <c r="BJ329" s="517"/>
      <c r="BK329" s="517"/>
      <c r="BL329" s="517"/>
      <c r="BM329" s="517"/>
      <c r="BN329" s="517"/>
      <c r="BO329" s="517"/>
      <c r="BP329" s="517"/>
      <c r="BQ329" s="517"/>
      <c r="BR329" s="517"/>
      <c r="BS329" s="517"/>
      <c r="BT329" s="517"/>
      <c r="BU329" s="517"/>
      <c r="BV329" s="517"/>
      <c r="BW329" s="517"/>
      <c r="BX329" s="517"/>
      <c r="BY329" s="517"/>
      <c r="BZ329" s="517"/>
      <c r="CA329" s="517"/>
      <c r="CB329" s="517"/>
      <c r="CC329" s="517"/>
      <c r="CD329" s="517"/>
      <c r="CE329" s="517"/>
      <c r="CF329" s="517"/>
      <c r="CG329" s="517"/>
      <c r="CH329" s="517"/>
      <c r="CI329" s="517"/>
      <c r="CJ329" s="517"/>
      <c r="CK329" s="517"/>
      <c r="CL329" s="517"/>
      <c r="CM329" s="517"/>
      <c r="CN329" s="517"/>
      <c r="CO329" s="517"/>
      <c r="CP329" s="517"/>
      <c r="CQ329" s="517"/>
      <c r="CR329" s="517"/>
      <c r="CS329" s="517"/>
      <c r="CT329" s="517"/>
      <c r="CU329" s="517"/>
      <c r="CV329" s="517"/>
      <c r="CW329" s="517"/>
      <c r="CX329" s="517"/>
      <c r="CY329" s="517"/>
      <c r="CZ329" s="517"/>
      <c r="DA329" s="517"/>
      <c r="DB329" s="517"/>
      <c r="DC329" s="517"/>
      <c r="DD329" s="517"/>
      <c r="DE329" s="517"/>
      <c r="DF329" s="517"/>
      <c r="DG329" s="517"/>
      <c r="DH329" s="517"/>
      <c r="DI329" s="517"/>
      <c r="DJ329" s="517"/>
      <c r="DK329" s="517"/>
      <c r="DL329" s="517"/>
      <c r="DM329" s="517"/>
      <c r="DN329" s="517"/>
      <c r="DO329" s="517"/>
      <c r="DP329" s="517"/>
      <c r="DQ329" s="517"/>
      <c r="DR329" s="517"/>
      <c r="DS329" s="517"/>
      <c r="DT329" s="517"/>
      <c r="DU329" s="517"/>
      <c r="DV329" s="517"/>
      <c r="DW329" s="517"/>
      <c r="DX329" s="517"/>
      <c r="DY329" s="517"/>
      <c r="DZ329" s="517"/>
      <c r="EA329" s="517"/>
      <c r="EB329" s="517"/>
      <c r="EC329" s="517"/>
      <c r="ED329" s="517"/>
      <c r="EE329" s="517"/>
      <c r="EF329" s="517"/>
      <c r="EG329" s="517"/>
      <c r="EH329" s="517"/>
      <c r="EI329" s="517"/>
      <c r="EJ329" s="517"/>
      <c r="EK329" s="517"/>
      <c r="EL329" s="517"/>
      <c r="EM329" s="517"/>
      <c r="EN329" s="517"/>
      <c r="EO329" s="517"/>
      <c r="EP329" s="517"/>
      <c r="EQ329" s="517"/>
      <c r="ER329" s="517"/>
      <c r="ES329" s="627" t="s">
        <v>1140</v>
      </c>
    </row>
    <row r="330">
      <c r="A330" s="517"/>
      <c r="B330" s="517"/>
      <c r="C330" s="517"/>
      <c r="D330" s="517"/>
      <c r="E330" s="517"/>
      <c r="F330" s="517"/>
      <c r="G330" s="517"/>
      <c r="H330" s="517"/>
      <c r="I330" s="517"/>
      <c r="J330" s="517"/>
      <c r="K330" s="517"/>
      <c r="L330" s="517"/>
      <c r="M330" s="517"/>
      <c r="N330" s="517"/>
      <c r="O330" s="517"/>
      <c r="P330" s="517"/>
      <c r="Q330" s="517"/>
      <c r="R330" s="517"/>
      <c r="S330" s="517"/>
      <c r="T330" s="517"/>
      <c r="U330" s="517"/>
      <c r="V330" s="517"/>
      <c r="W330" s="517"/>
      <c r="X330" s="517"/>
      <c r="Y330" s="517"/>
      <c r="Z330" s="517"/>
      <c r="AA330" s="517"/>
      <c r="AB330" s="517"/>
      <c r="AC330" s="517"/>
      <c r="AD330" s="517"/>
      <c r="AE330" s="517"/>
      <c r="AF330" s="517"/>
      <c r="AG330" s="517"/>
      <c r="AH330" s="517"/>
      <c r="AI330" s="517"/>
      <c r="AJ330" s="517"/>
      <c r="AK330" s="517"/>
      <c r="AL330" s="517"/>
      <c r="AM330" s="517"/>
      <c r="AN330" s="517"/>
      <c r="AO330" s="517"/>
      <c r="AP330" s="517"/>
      <c r="AQ330" s="517"/>
      <c r="AR330" s="517"/>
      <c r="AS330" s="517"/>
      <c r="AT330" s="517"/>
      <c r="AU330" s="517"/>
      <c r="AV330" s="517"/>
      <c r="AW330" s="517"/>
      <c r="AX330" s="517"/>
      <c r="AY330" s="517"/>
      <c r="AZ330" s="517"/>
      <c r="BA330" s="517"/>
      <c r="BB330" s="517"/>
      <c r="BC330" s="517"/>
      <c r="BD330" s="517"/>
      <c r="BE330" s="517"/>
      <c r="BF330" s="517"/>
      <c r="BG330" s="517"/>
      <c r="BH330" s="517"/>
      <c r="BI330" s="517"/>
      <c r="BJ330" s="517"/>
      <c r="BK330" s="517"/>
      <c r="BL330" s="517"/>
      <c r="BM330" s="517"/>
      <c r="BN330" s="517"/>
      <c r="BO330" s="517"/>
      <c r="BP330" s="517"/>
      <c r="BQ330" s="517"/>
      <c r="BR330" s="517"/>
      <c r="BS330" s="517"/>
      <c r="BT330" s="517"/>
      <c r="BU330" s="517"/>
      <c r="BV330" s="517"/>
      <c r="BW330" s="517"/>
      <c r="BX330" s="517"/>
      <c r="BY330" s="517"/>
      <c r="BZ330" s="517"/>
      <c r="CA330" s="517"/>
      <c r="CB330" s="517"/>
      <c r="CC330" s="517"/>
      <c r="CD330" s="517"/>
      <c r="CE330" s="517"/>
      <c r="CF330" s="517"/>
      <c r="CG330" s="517"/>
      <c r="CH330" s="517"/>
      <c r="CI330" s="517"/>
      <c r="CJ330" s="517"/>
      <c r="CK330" s="517"/>
      <c r="CL330" s="517"/>
      <c r="CM330" s="517"/>
      <c r="CN330" s="517"/>
      <c r="CO330" s="517"/>
      <c r="CP330" s="517"/>
      <c r="CQ330" s="517"/>
      <c r="CR330" s="517"/>
      <c r="CS330" s="517"/>
      <c r="CT330" s="517"/>
      <c r="CU330" s="517"/>
      <c r="CV330" s="517"/>
      <c r="CW330" s="517"/>
      <c r="CX330" s="517"/>
      <c r="CY330" s="517"/>
      <c r="CZ330" s="517"/>
      <c r="DA330" s="517"/>
      <c r="DB330" s="517"/>
      <c r="DC330" s="517"/>
      <c r="DD330" s="517"/>
      <c r="DE330" s="517"/>
      <c r="DF330" s="517"/>
      <c r="DG330" s="517"/>
      <c r="DH330" s="517"/>
      <c r="DI330" s="517"/>
      <c r="DJ330" s="517"/>
      <c r="DK330" s="517"/>
      <c r="DL330" s="517"/>
      <c r="DM330" s="517"/>
      <c r="DN330" s="517"/>
      <c r="DO330" s="517"/>
      <c r="DP330" s="517"/>
      <c r="DQ330" s="517"/>
      <c r="DR330" s="517"/>
      <c r="DS330" s="517"/>
      <c r="DT330" s="517"/>
      <c r="DU330" s="517"/>
      <c r="DV330" s="517"/>
      <c r="DW330" s="517"/>
      <c r="DX330" s="517"/>
      <c r="DY330" s="517"/>
      <c r="DZ330" s="517"/>
      <c r="EA330" s="517"/>
      <c r="EB330" s="517"/>
      <c r="EC330" s="517"/>
      <c r="ED330" s="517"/>
      <c r="EE330" s="517"/>
      <c r="EF330" s="517"/>
      <c r="EG330" s="517"/>
      <c r="EH330" s="517"/>
      <c r="EI330" s="517"/>
      <c r="EJ330" s="517"/>
      <c r="EK330" s="517"/>
      <c r="EL330" s="517"/>
      <c r="EM330" s="517"/>
      <c r="EN330" s="517"/>
      <c r="EO330" s="517"/>
      <c r="EP330" s="517"/>
      <c r="EQ330" s="517"/>
      <c r="ER330" s="517"/>
      <c r="ES330" s="627" t="s">
        <v>1140</v>
      </c>
    </row>
    <row r="331">
      <c r="A331" s="517"/>
      <c r="B331" s="517"/>
      <c r="C331" s="517"/>
      <c r="D331" s="517"/>
      <c r="E331" s="517"/>
      <c r="F331" s="517"/>
      <c r="G331" s="517"/>
      <c r="H331" s="517"/>
      <c r="I331" s="517"/>
      <c r="J331" s="517"/>
      <c r="K331" s="517"/>
      <c r="L331" s="517"/>
      <c r="M331" s="517"/>
      <c r="N331" s="517"/>
      <c r="O331" s="517"/>
      <c r="P331" s="517"/>
      <c r="Q331" s="517"/>
      <c r="R331" s="517"/>
      <c r="S331" s="517"/>
      <c r="T331" s="517"/>
      <c r="U331" s="517"/>
      <c r="V331" s="517"/>
      <c r="W331" s="517"/>
      <c r="X331" s="517"/>
      <c r="Y331" s="517"/>
      <c r="Z331" s="517"/>
      <c r="AA331" s="517"/>
      <c r="AB331" s="517"/>
      <c r="AC331" s="517"/>
      <c r="AD331" s="517"/>
      <c r="AE331" s="517"/>
      <c r="AF331" s="517"/>
      <c r="AG331" s="517"/>
      <c r="AH331" s="517"/>
      <c r="AI331" s="517"/>
      <c r="AJ331" s="517"/>
      <c r="AK331" s="517"/>
      <c r="AL331" s="517"/>
      <c r="AM331" s="517"/>
      <c r="AN331" s="517"/>
      <c r="AO331" s="517"/>
      <c r="AP331" s="517"/>
      <c r="AQ331" s="517"/>
      <c r="AR331" s="517"/>
      <c r="AS331" s="517"/>
      <c r="AT331" s="517"/>
      <c r="AU331" s="517"/>
      <c r="AV331" s="517"/>
      <c r="AW331" s="517"/>
      <c r="AX331" s="517"/>
      <c r="AY331" s="517"/>
      <c r="AZ331" s="517"/>
      <c r="BA331" s="517"/>
      <c r="BB331" s="517"/>
      <c r="BC331" s="517"/>
      <c r="BD331" s="517"/>
      <c r="BE331" s="517"/>
      <c r="BF331" s="517"/>
      <c r="BG331" s="517"/>
      <c r="BH331" s="517"/>
      <c r="BI331" s="517"/>
      <c r="BJ331" s="517"/>
      <c r="BK331" s="517"/>
      <c r="BL331" s="517"/>
      <c r="BM331" s="517"/>
      <c r="BN331" s="517"/>
      <c r="BO331" s="517"/>
      <c r="BP331" s="517"/>
      <c r="BQ331" s="517"/>
      <c r="BR331" s="517"/>
      <c r="BS331" s="517"/>
      <c r="BT331" s="517"/>
      <c r="BU331" s="517"/>
      <c r="BV331" s="517"/>
      <c r="BW331" s="517"/>
      <c r="BX331" s="517"/>
      <c r="BY331" s="517"/>
      <c r="BZ331" s="517"/>
      <c r="CA331" s="517"/>
      <c r="CB331" s="517"/>
      <c r="CC331" s="517"/>
      <c r="CD331" s="517"/>
      <c r="CE331" s="517"/>
      <c r="CF331" s="517"/>
      <c r="CG331" s="517"/>
      <c r="CH331" s="517"/>
      <c r="CI331" s="517"/>
      <c r="CJ331" s="517"/>
      <c r="CK331" s="517"/>
      <c r="CL331" s="517"/>
      <c r="CM331" s="517"/>
      <c r="CN331" s="517"/>
      <c r="CO331" s="517"/>
      <c r="CP331" s="517"/>
      <c r="CQ331" s="517"/>
      <c r="CR331" s="517"/>
      <c r="CS331" s="517"/>
      <c r="CT331" s="517"/>
      <c r="CU331" s="517"/>
      <c r="CV331" s="517"/>
      <c r="CW331" s="517"/>
      <c r="CX331" s="517"/>
      <c r="CY331" s="517"/>
      <c r="CZ331" s="517"/>
      <c r="DA331" s="517"/>
      <c r="DB331" s="517"/>
      <c r="DC331" s="517"/>
      <c r="DD331" s="517"/>
      <c r="DE331" s="517"/>
      <c r="DF331" s="517"/>
      <c r="DG331" s="517"/>
      <c r="DH331" s="517"/>
      <c r="DI331" s="517"/>
      <c r="DJ331" s="517"/>
      <c r="DK331" s="517"/>
      <c r="DL331" s="517"/>
      <c r="DM331" s="517"/>
      <c r="DN331" s="517"/>
      <c r="DO331" s="517"/>
      <c r="DP331" s="517"/>
      <c r="DQ331" s="517"/>
      <c r="DR331" s="517"/>
      <c r="DS331" s="517"/>
      <c r="DT331" s="517"/>
      <c r="DU331" s="517"/>
      <c r="DV331" s="517"/>
      <c r="DW331" s="517"/>
      <c r="DX331" s="517"/>
      <c r="DY331" s="517"/>
      <c r="DZ331" s="517"/>
      <c r="EA331" s="517"/>
      <c r="EB331" s="517"/>
      <c r="EC331" s="517"/>
      <c r="ED331" s="517"/>
      <c r="EE331" s="517"/>
      <c r="EF331" s="517"/>
      <c r="EG331" s="517"/>
      <c r="EH331" s="517"/>
      <c r="EI331" s="517"/>
      <c r="EJ331" s="517"/>
      <c r="EK331" s="517"/>
      <c r="EL331" s="517"/>
      <c r="EM331" s="517"/>
      <c r="EN331" s="517"/>
      <c r="EO331" s="517"/>
      <c r="EP331" s="517"/>
      <c r="EQ331" s="517"/>
      <c r="ER331" s="517"/>
      <c r="ES331" s="627"/>
    </row>
    <row r="332">
      <c r="A332" s="517"/>
      <c r="B332" s="517"/>
      <c r="C332" s="517"/>
      <c r="D332" s="517"/>
      <c r="E332" s="517"/>
      <c r="F332" s="517"/>
      <c r="G332" s="517"/>
      <c r="H332" s="517"/>
      <c r="I332" s="517"/>
      <c r="J332" s="517"/>
      <c r="K332" s="517"/>
      <c r="L332" s="517"/>
      <c r="M332" s="517"/>
      <c r="N332" s="517"/>
      <c r="O332" s="517"/>
      <c r="P332" s="517"/>
      <c r="Q332" s="517"/>
      <c r="R332" s="517"/>
      <c r="S332" s="517"/>
      <c r="T332" s="517"/>
      <c r="U332" s="517"/>
      <c r="V332" s="517"/>
      <c r="W332" s="517"/>
      <c r="X332" s="517"/>
      <c r="Y332" s="517"/>
      <c r="Z332" s="517"/>
      <c r="AA332" s="517"/>
      <c r="AB332" s="517"/>
      <c r="AC332" s="517"/>
      <c r="AD332" s="517"/>
      <c r="AE332" s="517"/>
      <c r="AF332" s="517"/>
      <c r="AG332" s="517"/>
      <c r="AH332" s="517"/>
      <c r="AI332" s="517"/>
      <c r="AJ332" s="517"/>
      <c r="AK332" s="517"/>
      <c r="AL332" s="517"/>
      <c r="AM332" s="517"/>
      <c r="AN332" s="517"/>
      <c r="AO332" s="517"/>
      <c r="AP332" s="517"/>
      <c r="AQ332" s="517"/>
      <c r="AR332" s="517"/>
      <c r="AS332" s="517"/>
      <c r="AT332" s="517"/>
      <c r="AU332" s="517"/>
      <c r="AV332" s="517"/>
      <c r="AW332" s="517"/>
      <c r="AX332" s="517"/>
      <c r="AY332" s="517"/>
      <c r="AZ332" s="517"/>
      <c r="BA332" s="517"/>
      <c r="BB332" s="517"/>
      <c r="BC332" s="517"/>
      <c r="BD332" s="517"/>
      <c r="BE332" s="517"/>
      <c r="BF332" s="517"/>
      <c r="BG332" s="517"/>
      <c r="BH332" s="517"/>
      <c r="BI332" s="517"/>
      <c r="BJ332" s="517"/>
      <c r="BK332" s="517"/>
      <c r="BL332" s="517"/>
      <c r="BM332" s="517"/>
      <c r="BN332" s="517"/>
      <c r="BO332" s="517"/>
      <c r="BP332" s="517"/>
      <c r="BQ332" s="517"/>
      <c r="BR332" s="517"/>
      <c r="BS332" s="517"/>
      <c r="BT332" s="517"/>
      <c r="BU332" s="517"/>
      <c r="BV332" s="517"/>
      <c r="BW332" s="517"/>
      <c r="BX332" s="517"/>
      <c r="BY332" s="517"/>
      <c r="BZ332" s="517"/>
      <c r="CA332" s="517"/>
      <c r="CB332" s="517"/>
      <c r="CC332" s="517"/>
      <c r="CD332" s="517"/>
      <c r="CE332" s="517"/>
      <c r="CF332" s="517"/>
      <c r="CG332" s="517"/>
      <c r="CH332" s="517"/>
      <c r="CI332" s="517"/>
      <c r="CJ332" s="517"/>
      <c r="CK332" s="517"/>
      <c r="CL332" s="517"/>
      <c r="CM332" s="517"/>
      <c r="CN332" s="517"/>
      <c r="CO332" s="517"/>
      <c r="CP332" s="517"/>
      <c r="CQ332" s="517"/>
      <c r="CR332" s="517"/>
      <c r="CS332" s="517"/>
      <c r="CT332" s="517"/>
      <c r="CU332" s="517"/>
      <c r="CV332" s="517"/>
      <c r="CW332" s="517"/>
      <c r="CX332" s="517"/>
      <c r="CY332" s="517"/>
      <c r="CZ332" s="517"/>
      <c r="DA332" s="517"/>
      <c r="DB332" s="517"/>
      <c r="DC332" s="517"/>
      <c r="DD332" s="517"/>
      <c r="DE332" s="517"/>
      <c r="DF332" s="517"/>
      <c r="DG332" s="517"/>
      <c r="DH332" s="517"/>
      <c r="DI332" s="517"/>
      <c r="DJ332" s="517"/>
      <c r="DK332" s="517"/>
      <c r="DL332" s="517"/>
      <c r="DM332" s="517"/>
      <c r="DN332" s="517"/>
      <c r="DO332" s="517"/>
      <c r="DP332" s="517"/>
      <c r="DQ332" s="517"/>
      <c r="DR332" s="517"/>
      <c r="DS332" s="517"/>
      <c r="DT332" s="517"/>
      <c r="DU332" s="517"/>
      <c r="DV332" s="517"/>
      <c r="DW332" s="517"/>
      <c r="DX332" s="517"/>
      <c r="DY332" s="517"/>
      <c r="DZ332" s="517"/>
      <c r="EA332" s="517"/>
      <c r="EB332" s="517"/>
      <c r="EC332" s="517"/>
      <c r="ED332" s="517"/>
      <c r="EE332" s="517"/>
      <c r="EF332" s="517"/>
      <c r="EG332" s="517"/>
      <c r="EH332" s="517"/>
      <c r="EI332" s="517"/>
      <c r="EJ332" s="517"/>
      <c r="EK332" s="517"/>
      <c r="EL332" s="517"/>
      <c r="EM332" s="517"/>
      <c r="EN332" s="517"/>
      <c r="EO332" s="517"/>
      <c r="EP332" s="517"/>
      <c r="EQ332" s="517"/>
      <c r="ER332" s="517"/>
      <c r="ES332" s="627"/>
    </row>
    <row r="333">
      <c r="A333" s="517"/>
      <c r="B333" s="517"/>
      <c r="C333" s="517"/>
      <c r="D333" s="517"/>
      <c r="E333" s="517"/>
      <c r="F333" s="517"/>
      <c r="G333" s="517"/>
      <c r="H333" s="517"/>
      <c r="I333" s="517"/>
      <c r="J333" s="517"/>
      <c r="K333" s="517"/>
      <c r="L333" s="517"/>
      <c r="M333" s="517"/>
      <c r="N333" s="517"/>
      <c r="O333" s="517"/>
      <c r="P333" s="517"/>
      <c r="Q333" s="517"/>
      <c r="R333" s="517"/>
      <c r="S333" s="517"/>
      <c r="T333" s="517"/>
      <c r="U333" s="517"/>
      <c r="V333" s="517"/>
      <c r="W333" s="517"/>
      <c r="X333" s="517"/>
      <c r="Y333" s="517"/>
      <c r="Z333" s="517"/>
      <c r="AA333" s="517"/>
      <c r="AB333" s="517"/>
      <c r="AC333" s="517"/>
      <c r="AD333" s="517"/>
      <c r="AE333" s="517"/>
      <c r="AF333" s="517"/>
      <c r="AG333" s="517"/>
      <c r="AH333" s="517"/>
      <c r="AI333" s="517"/>
      <c r="AJ333" s="517"/>
      <c r="AK333" s="517"/>
      <c r="AL333" s="517"/>
      <c r="AM333" s="517"/>
      <c r="AN333" s="517"/>
      <c r="AO333" s="517"/>
      <c r="AP333" s="517"/>
      <c r="AQ333" s="517"/>
      <c r="AR333" s="517"/>
      <c r="AS333" s="517"/>
      <c r="AT333" s="517"/>
      <c r="AU333" s="517"/>
      <c r="AV333" s="517"/>
      <c r="AW333" s="517"/>
      <c r="AX333" s="517"/>
      <c r="AY333" s="517"/>
      <c r="AZ333" s="517"/>
      <c r="BA333" s="517"/>
      <c r="BB333" s="517"/>
      <c r="BC333" s="517"/>
      <c r="BD333" s="517"/>
      <c r="BE333" s="517"/>
      <c r="BF333" s="517"/>
      <c r="BG333" s="517"/>
      <c r="BH333" s="517"/>
      <c r="BI333" s="517"/>
      <c r="BJ333" s="517"/>
      <c r="BK333" s="517"/>
      <c r="BL333" s="517"/>
      <c r="BM333" s="517"/>
      <c r="BN333" s="517"/>
      <c r="BO333" s="517"/>
      <c r="BP333" s="517"/>
      <c r="BQ333" s="517"/>
      <c r="BR333" s="517"/>
      <c r="BS333" s="517"/>
      <c r="BT333" s="517"/>
      <c r="BU333" s="517"/>
      <c r="BV333" s="517"/>
      <c r="BW333" s="517"/>
      <c r="BX333" s="517"/>
      <c r="BY333" s="517"/>
      <c r="BZ333" s="517"/>
      <c r="CA333" s="517"/>
      <c r="CB333" s="517"/>
      <c r="CC333" s="517"/>
      <c r="CD333" s="517"/>
      <c r="CE333" s="517"/>
      <c r="CF333" s="517"/>
      <c r="CG333" s="517"/>
      <c r="CH333" s="517"/>
      <c r="CI333" s="517"/>
      <c r="CJ333" s="517"/>
      <c r="CK333" s="517"/>
      <c r="CL333" s="517"/>
      <c r="CM333" s="517"/>
      <c r="CN333" s="517"/>
      <c r="CO333" s="517"/>
      <c r="CP333" s="517"/>
      <c r="CQ333" s="517"/>
      <c r="CR333" s="517"/>
      <c r="CS333" s="517"/>
      <c r="CT333" s="517"/>
      <c r="CU333" s="517"/>
      <c r="CV333" s="517"/>
      <c r="CW333" s="517"/>
      <c r="CX333" s="517"/>
      <c r="CY333" s="517"/>
      <c r="CZ333" s="517"/>
      <c r="DA333" s="517"/>
      <c r="DB333" s="517"/>
      <c r="DC333" s="517"/>
      <c r="DD333" s="517"/>
      <c r="DE333" s="517"/>
      <c r="DF333" s="517"/>
      <c r="DG333" s="517"/>
      <c r="DH333" s="517"/>
      <c r="DI333" s="517"/>
      <c r="DJ333" s="517"/>
      <c r="DK333" s="517"/>
      <c r="DL333" s="517"/>
      <c r="DM333" s="517"/>
      <c r="DN333" s="517"/>
      <c r="DO333" s="517"/>
      <c r="DP333" s="517"/>
      <c r="DQ333" s="517"/>
      <c r="DR333" s="517"/>
      <c r="DS333" s="517"/>
      <c r="DT333" s="517"/>
      <c r="DU333" s="517"/>
      <c r="DV333" s="517"/>
      <c r="DW333" s="517"/>
      <c r="DX333" s="517"/>
      <c r="DY333" s="517"/>
      <c r="DZ333" s="517"/>
      <c r="EA333" s="517"/>
      <c r="EB333" s="517"/>
      <c r="EC333" s="517"/>
      <c r="ED333" s="517"/>
      <c r="EE333" s="517"/>
      <c r="EF333" s="517"/>
      <c r="EG333" s="517"/>
      <c r="EH333" s="517"/>
      <c r="EI333" s="517"/>
      <c r="EJ333" s="517"/>
      <c r="EK333" s="517"/>
      <c r="EL333" s="517"/>
      <c r="EM333" s="517"/>
      <c r="EN333" s="517"/>
      <c r="EO333" s="517"/>
      <c r="EP333" s="517"/>
      <c r="EQ333" s="517"/>
      <c r="ER333" s="517"/>
      <c r="ES333" s="627"/>
    </row>
    <row r="334">
      <c r="A334" s="517"/>
      <c r="B334" s="517"/>
      <c r="C334" s="517"/>
      <c r="D334" s="517"/>
      <c r="E334" s="517"/>
      <c r="F334" s="517"/>
      <c r="G334" s="517"/>
      <c r="H334" s="517"/>
      <c r="I334" s="517"/>
      <c r="J334" s="517"/>
      <c r="K334" s="517"/>
      <c r="L334" s="517"/>
      <c r="M334" s="517"/>
      <c r="N334" s="517"/>
      <c r="O334" s="517"/>
      <c r="P334" s="517"/>
      <c r="Q334" s="517"/>
      <c r="R334" s="517"/>
      <c r="S334" s="517"/>
      <c r="T334" s="517"/>
      <c r="U334" s="517"/>
      <c r="V334" s="517"/>
      <c r="W334" s="517"/>
      <c r="X334" s="517"/>
      <c r="Y334" s="517"/>
      <c r="Z334" s="517"/>
      <c r="AA334" s="517"/>
      <c r="AB334" s="517"/>
      <c r="AC334" s="517"/>
      <c r="AD334" s="517"/>
      <c r="AE334" s="517"/>
      <c r="AF334" s="517"/>
      <c r="AG334" s="517"/>
      <c r="AH334" s="517"/>
      <c r="AI334" s="517"/>
      <c r="AJ334" s="517"/>
      <c r="AK334" s="517"/>
      <c r="AL334" s="517"/>
      <c r="AM334" s="517"/>
      <c r="AN334" s="517"/>
      <c r="AO334" s="517"/>
      <c r="AP334" s="517"/>
      <c r="AQ334" s="517"/>
      <c r="AR334" s="517"/>
      <c r="AS334" s="517"/>
      <c r="AT334" s="517"/>
      <c r="AU334" s="517"/>
      <c r="AV334" s="517"/>
      <c r="AW334" s="517"/>
      <c r="AX334" s="517"/>
      <c r="AY334" s="517"/>
      <c r="AZ334" s="517"/>
      <c r="BA334" s="517"/>
      <c r="BB334" s="517"/>
      <c r="BC334" s="517"/>
      <c r="BD334" s="517"/>
      <c r="BE334" s="517"/>
      <c r="BF334" s="517"/>
      <c r="BG334" s="517"/>
      <c r="BH334" s="517"/>
      <c r="BI334" s="517"/>
      <c r="BJ334" s="517"/>
      <c r="BK334" s="517"/>
      <c r="BL334" s="517"/>
      <c r="BM334" s="517"/>
      <c r="BN334" s="517"/>
      <c r="BO334" s="517"/>
      <c r="BP334" s="517"/>
      <c r="BQ334" s="517"/>
      <c r="BR334" s="517"/>
      <c r="BS334" s="517"/>
      <c r="BT334" s="517"/>
      <c r="BU334" s="517"/>
      <c r="BV334" s="517"/>
      <c r="BW334" s="517"/>
      <c r="BX334" s="517"/>
      <c r="BY334" s="517"/>
      <c r="BZ334" s="517"/>
      <c r="CA334" s="517"/>
      <c r="CB334" s="517"/>
      <c r="CC334" s="517"/>
      <c r="CD334" s="517"/>
      <c r="CE334" s="517"/>
      <c r="CF334" s="517"/>
      <c r="CG334" s="517"/>
      <c r="CH334" s="517"/>
      <c r="CI334" s="517"/>
      <c r="CJ334" s="517"/>
      <c r="CK334" s="517"/>
      <c r="CL334" s="517"/>
      <c r="CM334" s="517"/>
      <c r="CN334" s="517"/>
      <c r="CO334" s="517"/>
      <c r="CP334" s="517"/>
      <c r="CQ334" s="517"/>
      <c r="CR334" s="517"/>
      <c r="CS334" s="517"/>
      <c r="CT334" s="517"/>
      <c r="CU334" s="517"/>
      <c r="CV334" s="517"/>
      <c r="CW334" s="517"/>
      <c r="CX334" s="517"/>
      <c r="CY334" s="517"/>
      <c r="CZ334" s="517"/>
      <c r="DA334" s="517"/>
      <c r="DB334" s="517"/>
      <c r="DC334" s="517"/>
      <c r="DD334" s="517"/>
      <c r="DE334" s="517"/>
      <c r="DF334" s="517"/>
      <c r="DG334" s="517"/>
      <c r="DH334" s="517"/>
      <c r="DI334" s="517"/>
      <c r="DJ334" s="517"/>
      <c r="DK334" s="517"/>
      <c r="DL334" s="517"/>
      <c r="DM334" s="517"/>
      <c r="DN334" s="517"/>
      <c r="DO334" s="517"/>
      <c r="DP334" s="517"/>
      <c r="DQ334" s="517"/>
      <c r="DR334" s="517"/>
      <c r="DS334" s="517"/>
      <c r="DT334" s="517"/>
      <c r="DU334" s="517"/>
      <c r="DV334" s="517"/>
      <c r="DW334" s="517"/>
      <c r="DX334" s="517"/>
      <c r="DY334" s="517"/>
      <c r="DZ334" s="517"/>
      <c r="EA334" s="517"/>
      <c r="EB334" s="517"/>
      <c r="EC334" s="517"/>
      <c r="ED334" s="517"/>
      <c r="EE334" s="517"/>
      <c r="EF334" s="517"/>
      <c r="EG334" s="517"/>
      <c r="EH334" s="517"/>
      <c r="EI334" s="517"/>
      <c r="EJ334" s="517"/>
      <c r="EK334" s="517"/>
      <c r="EL334" s="517"/>
      <c r="EM334" s="517"/>
      <c r="EN334" s="517"/>
      <c r="EO334" s="517"/>
      <c r="EP334" s="517"/>
      <c r="EQ334" s="517"/>
      <c r="ER334" s="517"/>
      <c r="ES334" s="627"/>
    </row>
    <row r="335">
      <c r="A335" s="517"/>
      <c r="B335" s="517"/>
      <c r="C335" s="517"/>
      <c r="D335" s="517"/>
      <c r="E335" s="517"/>
      <c r="F335" s="517"/>
      <c r="G335" s="517"/>
      <c r="H335" s="517"/>
      <c r="I335" s="517"/>
      <c r="J335" s="517"/>
      <c r="K335" s="517"/>
      <c r="L335" s="517"/>
      <c r="M335" s="517"/>
      <c r="N335" s="517"/>
      <c r="O335" s="517"/>
      <c r="P335" s="517"/>
      <c r="Q335" s="517"/>
      <c r="R335" s="517"/>
      <c r="S335" s="517"/>
      <c r="T335" s="517"/>
      <c r="U335" s="517"/>
      <c r="V335" s="517"/>
      <c r="W335" s="517"/>
      <c r="X335" s="517"/>
      <c r="Y335" s="517"/>
      <c r="Z335" s="517"/>
      <c r="AA335" s="517"/>
      <c r="AB335" s="517"/>
      <c r="AC335" s="517"/>
      <c r="AD335" s="517"/>
      <c r="AE335" s="517"/>
      <c r="AF335" s="517"/>
      <c r="AG335" s="517"/>
      <c r="AH335" s="517"/>
      <c r="AI335" s="517"/>
      <c r="AJ335" s="517"/>
      <c r="AK335" s="517"/>
      <c r="AL335" s="517"/>
      <c r="AM335" s="517"/>
      <c r="AN335" s="517"/>
      <c r="AO335" s="517"/>
      <c r="AP335" s="517"/>
      <c r="AQ335" s="517"/>
      <c r="AR335" s="517"/>
      <c r="AS335" s="517"/>
      <c r="AT335" s="517"/>
      <c r="AU335" s="517"/>
      <c r="AV335" s="517"/>
      <c r="AW335" s="517"/>
      <c r="AX335" s="517"/>
      <c r="AY335" s="517"/>
      <c r="AZ335" s="517"/>
      <c r="BA335" s="517"/>
      <c r="BB335" s="517"/>
      <c r="BC335" s="517"/>
      <c r="BD335" s="517"/>
      <c r="BE335" s="517"/>
      <c r="BF335" s="517"/>
      <c r="BG335" s="517"/>
      <c r="BH335" s="517"/>
      <c r="BI335" s="517"/>
      <c r="BJ335" s="517"/>
      <c r="BK335" s="517"/>
      <c r="BL335" s="517"/>
      <c r="BM335" s="517"/>
      <c r="BN335" s="517"/>
      <c r="BO335" s="517"/>
      <c r="BP335" s="517"/>
      <c r="BQ335" s="517"/>
      <c r="BR335" s="517"/>
      <c r="BS335" s="517"/>
      <c r="BT335" s="517"/>
      <c r="BU335" s="517"/>
      <c r="BV335" s="517"/>
      <c r="BW335" s="517"/>
      <c r="BX335" s="517"/>
      <c r="BY335" s="517"/>
      <c r="BZ335" s="517"/>
      <c r="CA335" s="517"/>
      <c r="CB335" s="517"/>
      <c r="CC335" s="517"/>
      <c r="CD335" s="517"/>
      <c r="CE335" s="517"/>
      <c r="CF335" s="517"/>
      <c r="CG335" s="517"/>
      <c r="CH335" s="517"/>
      <c r="CI335" s="517"/>
      <c r="CJ335" s="517"/>
      <c r="CK335" s="517"/>
      <c r="CL335" s="517"/>
      <c r="CM335" s="517"/>
      <c r="CN335" s="517"/>
      <c r="CO335" s="517"/>
      <c r="CP335" s="517"/>
      <c r="CQ335" s="517"/>
      <c r="CR335" s="517"/>
      <c r="CS335" s="517"/>
      <c r="CT335" s="517"/>
      <c r="CU335" s="517"/>
      <c r="CV335" s="517"/>
      <c r="CW335" s="517"/>
      <c r="CX335" s="517"/>
      <c r="CY335" s="517"/>
      <c r="CZ335" s="517"/>
      <c r="DA335" s="517"/>
      <c r="DB335" s="517"/>
      <c r="DC335" s="517"/>
      <c r="DD335" s="517"/>
      <c r="DE335" s="517"/>
      <c r="DF335" s="517"/>
      <c r="DG335" s="517"/>
      <c r="DH335" s="517"/>
      <c r="DI335" s="517"/>
      <c r="DJ335" s="517"/>
      <c r="DK335" s="517"/>
      <c r="DL335" s="517"/>
      <c r="DM335" s="517"/>
      <c r="DN335" s="517"/>
      <c r="DO335" s="517"/>
      <c r="DP335" s="517"/>
      <c r="DQ335" s="517"/>
      <c r="DR335" s="517"/>
      <c r="DS335" s="517"/>
      <c r="DT335" s="517"/>
      <c r="DU335" s="517"/>
      <c r="DV335" s="517"/>
      <c r="DW335" s="517"/>
      <c r="DX335" s="517"/>
      <c r="DY335" s="517"/>
      <c r="DZ335" s="517"/>
      <c r="EA335" s="517"/>
      <c r="EB335" s="517"/>
      <c r="EC335" s="517"/>
      <c r="ED335" s="517"/>
      <c r="EE335" s="517"/>
      <c r="EF335" s="517"/>
      <c r="EG335" s="517"/>
      <c r="EH335" s="517"/>
      <c r="EI335" s="517"/>
      <c r="EJ335" s="517"/>
      <c r="EK335" s="517"/>
      <c r="EL335" s="517"/>
      <c r="EM335" s="517"/>
      <c r="EN335" s="517"/>
      <c r="EO335" s="517"/>
      <c r="EP335" s="517"/>
      <c r="EQ335" s="517"/>
      <c r="ER335" s="517"/>
      <c r="ES335" s="627"/>
    </row>
    <row r="336">
      <c r="A336" s="517"/>
      <c r="B336" s="517"/>
      <c r="C336" s="517"/>
      <c r="D336" s="517"/>
      <c r="E336" s="517"/>
      <c r="F336" s="517"/>
      <c r="G336" s="517"/>
      <c r="H336" s="517"/>
      <c r="I336" s="517"/>
      <c r="J336" s="517"/>
      <c r="K336" s="517"/>
      <c r="L336" s="517"/>
      <c r="M336" s="517"/>
      <c r="N336" s="517"/>
      <c r="O336" s="517"/>
      <c r="P336" s="517"/>
      <c r="Q336" s="517"/>
      <c r="R336" s="517"/>
      <c r="S336" s="517"/>
      <c r="T336" s="517"/>
      <c r="U336" s="517"/>
      <c r="V336" s="517"/>
      <c r="W336" s="517"/>
      <c r="X336" s="517"/>
      <c r="Y336" s="517"/>
      <c r="Z336" s="517"/>
      <c r="AA336" s="517"/>
      <c r="AB336" s="517"/>
      <c r="AC336" s="517"/>
      <c r="AD336" s="517"/>
      <c r="AE336" s="517"/>
      <c r="AF336" s="517"/>
      <c r="AG336" s="517"/>
      <c r="AH336" s="517"/>
      <c r="AI336" s="517"/>
      <c r="AJ336" s="517"/>
      <c r="AK336" s="517"/>
      <c r="AL336" s="517"/>
      <c r="AM336" s="517"/>
      <c r="AN336" s="517"/>
      <c r="AO336" s="517"/>
      <c r="AP336" s="517"/>
      <c r="AQ336" s="517"/>
      <c r="AR336" s="517"/>
      <c r="AS336" s="517"/>
      <c r="AT336" s="517"/>
      <c r="AU336" s="517"/>
      <c r="AV336" s="517"/>
      <c r="AW336" s="517"/>
      <c r="AX336" s="517"/>
      <c r="AY336" s="517"/>
      <c r="AZ336" s="517"/>
      <c r="BA336" s="517"/>
      <c r="BB336" s="517"/>
      <c r="BC336" s="517"/>
      <c r="BD336" s="517"/>
      <c r="BE336" s="517"/>
      <c r="BF336" s="517"/>
      <c r="BG336" s="517"/>
      <c r="BH336" s="517"/>
      <c r="BI336" s="517"/>
      <c r="BJ336" s="517"/>
      <c r="BK336" s="517"/>
      <c r="BL336" s="517"/>
      <c r="BM336" s="517"/>
      <c r="BN336" s="517"/>
      <c r="BO336" s="517"/>
      <c r="BP336" s="517"/>
      <c r="BQ336" s="517"/>
      <c r="BR336" s="517"/>
      <c r="BS336" s="517"/>
      <c r="BT336" s="517"/>
      <c r="BU336" s="517"/>
      <c r="BV336" s="517"/>
      <c r="BW336" s="517"/>
      <c r="BX336" s="517"/>
      <c r="BY336" s="517"/>
      <c r="BZ336" s="517"/>
      <c r="CA336" s="517"/>
      <c r="CB336" s="517"/>
      <c r="CC336" s="517"/>
      <c r="CD336" s="517"/>
      <c r="CE336" s="517"/>
      <c r="CF336" s="517"/>
      <c r="CG336" s="517"/>
      <c r="CH336" s="517"/>
      <c r="CI336" s="517"/>
      <c r="CJ336" s="517"/>
      <c r="CK336" s="517"/>
      <c r="CL336" s="517"/>
      <c r="CM336" s="517"/>
      <c r="CN336" s="517"/>
      <c r="CO336" s="517"/>
      <c r="CP336" s="517"/>
      <c r="CQ336" s="517"/>
      <c r="CR336" s="517"/>
      <c r="CS336" s="517"/>
      <c r="CT336" s="517"/>
      <c r="CU336" s="517"/>
      <c r="CV336" s="517"/>
      <c r="CW336" s="517"/>
      <c r="CX336" s="517"/>
      <c r="CY336" s="517"/>
      <c r="CZ336" s="517"/>
      <c r="DA336" s="517"/>
      <c r="DB336" s="517"/>
      <c r="DC336" s="517"/>
      <c r="DD336" s="517"/>
      <c r="DE336" s="517"/>
      <c r="DF336" s="517"/>
      <c r="DG336" s="517"/>
      <c r="DH336" s="517"/>
      <c r="DI336" s="517"/>
      <c r="DJ336" s="517"/>
      <c r="DK336" s="517"/>
      <c r="DL336" s="517"/>
      <c r="DM336" s="517"/>
      <c r="DN336" s="517"/>
      <c r="DO336" s="517"/>
      <c r="DP336" s="517"/>
      <c r="DQ336" s="517"/>
      <c r="DR336" s="517"/>
      <c r="DS336" s="517"/>
      <c r="DT336" s="517"/>
      <c r="DU336" s="517"/>
      <c r="DV336" s="517"/>
      <c r="DW336" s="517"/>
      <c r="DX336" s="517"/>
      <c r="DY336" s="517"/>
      <c r="DZ336" s="517"/>
      <c r="EA336" s="517"/>
      <c r="EB336" s="517"/>
      <c r="EC336" s="517"/>
      <c r="ED336" s="517"/>
      <c r="EE336" s="517"/>
      <c r="EF336" s="517"/>
      <c r="EG336" s="517"/>
      <c r="EH336" s="517"/>
      <c r="EI336" s="517"/>
      <c r="EJ336" s="517"/>
      <c r="EK336" s="517"/>
      <c r="EL336" s="517"/>
      <c r="EM336" s="517"/>
      <c r="EN336" s="517"/>
      <c r="EO336" s="517"/>
      <c r="EP336" s="517"/>
      <c r="EQ336" s="517"/>
      <c r="ER336" s="517"/>
      <c r="ES336" s="627"/>
    </row>
    <row r="337">
      <c r="A337" s="517"/>
      <c r="B337" s="517"/>
      <c r="C337" s="517"/>
      <c r="D337" s="517"/>
      <c r="E337" s="517"/>
      <c r="F337" s="517"/>
      <c r="G337" s="517"/>
      <c r="H337" s="517"/>
      <c r="I337" s="517"/>
      <c r="J337" s="517"/>
      <c r="K337" s="517"/>
      <c r="L337" s="517"/>
      <c r="M337" s="517"/>
      <c r="N337" s="517"/>
      <c r="O337" s="517"/>
      <c r="P337" s="517"/>
      <c r="Q337" s="517"/>
      <c r="R337" s="517"/>
      <c r="S337" s="517"/>
      <c r="T337" s="517"/>
      <c r="U337" s="517"/>
      <c r="V337" s="517"/>
      <c r="W337" s="517"/>
      <c r="X337" s="517"/>
      <c r="Y337" s="517"/>
      <c r="Z337" s="517"/>
      <c r="AA337" s="517"/>
      <c r="AB337" s="517"/>
      <c r="AC337" s="517"/>
      <c r="AD337" s="517"/>
      <c r="AE337" s="517"/>
      <c r="AF337" s="517"/>
      <c r="AG337" s="517"/>
      <c r="AH337" s="517"/>
      <c r="AI337" s="517"/>
      <c r="AJ337" s="517"/>
      <c r="AK337" s="517"/>
      <c r="AL337" s="517"/>
      <c r="AM337" s="517"/>
      <c r="AN337" s="517"/>
      <c r="AO337" s="517"/>
      <c r="AP337" s="517"/>
      <c r="AQ337" s="517"/>
      <c r="AR337" s="517"/>
      <c r="AS337" s="517"/>
      <c r="AT337" s="517"/>
      <c r="AU337" s="517"/>
      <c r="AV337" s="517"/>
      <c r="AW337" s="517"/>
      <c r="AX337" s="517"/>
      <c r="AY337" s="517"/>
      <c r="AZ337" s="517"/>
      <c r="BA337" s="517"/>
      <c r="BB337" s="517"/>
      <c r="BC337" s="517"/>
      <c r="BD337" s="517"/>
      <c r="BE337" s="517"/>
      <c r="BF337" s="517"/>
      <c r="BG337" s="517"/>
      <c r="BH337" s="517"/>
      <c r="BI337" s="517"/>
      <c r="BJ337" s="517"/>
      <c r="BK337" s="517"/>
      <c r="BL337" s="517"/>
      <c r="BM337" s="517"/>
      <c r="BN337" s="517"/>
      <c r="BO337" s="517"/>
      <c r="BP337" s="517"/>
      <c r="BQ337" s="517"/>
      <c r="BR337" s="517"/>
      <c r="BS337" s="517"/>
      <c r="BT337" s="517"/>
      <c r="BU337" s="517"/>
      <c r="BV337" s="517"/>
      <c r="BW337" s="517"/>
      <c r="BX337" s="517"/>
      <c r="BY337" s="517"/>
      <c r="BZ337" s="517"/>
      <c r="CA337" s="517"/>
      <c r="CB337" s="517"/>
      <c r="CC337" s="517"/>
      <c r="CD337" s="517"/>
      <c r="CE337" s="517"/>
      <c r="CF337" s="517"/>
      <c r="CG337" s="517"/>
      <c r="CH337" s="517"/>
      <c r="CI337" s="517"/>
      <c r="CJ337" s="517"/>
      <c r="CK337" s="517"/>
      <c r="CL337" s="517"/>
      <c r="CM337" s="517"/>
      <c r="CN337" s="517"/>
      <c r="CO337" s="517"/>
      <c r="CP337" s="517"/>
      <c r="CQ337" s="517"/>
      <c r="CR337" s="517"/>
      <c r="CS337" s="517"/>
      <c r="CT337" s="517"/>
      <c r="CU337" s="517"/>
      <c r="CV337" s="517"/>
      <c r="CW337" s="517"/>
      <c r="CX337" s="517"/>
      <c r="CY337" s="517"/>
      <c r="CZ337" s="517"/>
      <c r="DA337" s="517"/>
      <c r="DB337" s="517"/>
      <c r="DC337" s="517"/>
      <c r="DD337" s="517"/>
      <c r="DE337" s="517"/>
      <c r="DF337" s="517"/>
      <c r="DG337" s="517"/>
      <c r="DH337" s="517"/>
      <c r="DI337" s="517"/>
      <c r="DJ337" s="517"/>
      <c r="DK337" s="517"/>
      <c r="DL337" s="517"/>
      <c r="DM337" s="517"/>
      <c r="DN337" s="517"/>
      <c r="DO337" s="517"/>
      <c r="DP337" s="517"/>
      <c r="DQ337" s="517"/>
      <c r="DR337" s="517"/>
      <c r="DS337" s="517"/>
      <c r="DT337" s="517"/>
      <c r="DU337" s="517"/>
      <c r="DV337" s="517"/>
      <c r="DW337" s="517"/>
      <c r="DX337" s="517"/>
      <c r="DY337" s="517"/>
      <c r="DZ337" s="517"/>
      <c r="EA337" s="517"/>
      <c r="EB337" s="517"/>
      <c r="EC337" s="517"/>
      <c r="ED337" s="517"/>
      <c r="EE337" s="517"/>
      <c r="EF337" s="517"/>
      <c r="EG337" s="517"/>
      <c r="EH337" s="517"/>
      <c r="EI337" s="517"/>
      <c r="EJ337" s="517"/>
      <c r="EK337" s="517"/>
      <c r="EL337" s="517"/>
      <c r="EM337" s="517"/>
      <c r="EN337" s="517"/>
      <c r="EO337" s="517"/>
      <c r="EP337" s="517"/>
      <c r="EQ337" s="517"/>
      <c r="ER337" s="517"/>
      <c r="ES337" s="627"/>
    </row>
    <row r="338">
      <c r="A338" s="517"/>
      <c r="B338" s="517"/>
      <c r="C338" s="517"/>
      <c r="D338" s="517"/>
      <c r="E338" s="517"/>
      <c r="F338" s="517"/>
      <c r="G338" s="517"/>
      <c r="H338" s="517"/>
      <c r="I338" s="517"/>
      <c r="J338" s="517"/>
      <c r="K338" s="517"/>
      <c r="L338" s="517"/>
      <c r="M338" s="517"/>
      <c r="N338" s="517"/>
      <c r="O338" s="517"/>
      <c r="P338" s="517"/>
      <c r="Q338" s="517"/>
      <c r="R338" s="517"/>
      <c r="S338" s="517"/>
      <c r="T338" s="517"/>
      <c r="U338" s="517"/>
      <c r="V338" s="517"/>
      <c r="W338" s="517"/>
      <c r="X338" s="517"/>
      <c r="Y338" s="517"/>
      <c r="Z338" s="517"/>
      <c r="AA338" s="517"/>
      <c r="AB338" s="517"/>
      <c r="AC338" s="517"/>
      <c r="AD338" s="517"/>
      <c r="AE338" s="517"/>
      <c r="AF338" s="517"/>
      <c r="AG338" s="517"/>
      <c r="AH338" s="517"/>
      <c r="AI338" s="517"/>
      <c r="AJ338" s="517"/>
      <c r="AK338" s="517"/>
      <c r="AL338" s="517"/>
      <c r="AM338" s="517"/>
      <c r="AN338" s="517"/>
      <c r="AO338" s="517"/>
      <c r="AP338" s="517"/>
      <c r="AQ338" s="517"/>
      <c r="AR338" s="517"/>
      <c r="AS338" s="517"/>
      <c r="AT338" s="517"/>
      <c r="AU338" s="517"/>
      <c r="AV338" s="517"/>
      <c r="AW338" s="517"/>
      <c r="AX338" s="517"/>
      <c r="AY338" s="517"/>
      <c r="AZ338" s="517"/>
      <c r="BA338" s="517"/>
      <c r="BB338" s="517"/>
      <c r="BC338" s="517"/>
      <c r="BD338" s="517"/>
      <c r="BE338" s="517"/>
      <c r="BF338" s="517"/>
      <c r="BG338" s="517"/>
      <c r="BH338" s="517"/>
      <c r="BI338" s="517"/>
      <c r="BJ338" s="517"/>
      <c r="BK338" s="517"/>
      <c r="BL338" s="517"/>
      <c r="BM338" s="517"/>
      <c r="BN338" s="517"/>
      <c r="BO338" s="517"/>
      <c r="BP338" s="517"/>
      <c r="BQ338" s="517"/>
      <c r="BR338" s="517"/>
      <c r="BS338" s="517"/>
      <c r="BT338" s="517"/>
      <c r="BU338" s="517"/>
      <c r="BV338" s="517"/>
      <c r="BW338" s="517"/>
      <c r="BX338" s="517"/>
      <c r="BY338" s="517"/>
      <c r="BZ338" s="517"/>
      <c r="CA338" s="517"/>
      <c r="CB338" s="517"/>
      <c r="CC338" s="517"/>
      <c r="CD338" s="517"/>
      <c r="CE338" s="517"/>
      <c r="CF338" s="517"/>
      <c r="CG338" s="517"/>
      <c r="CH338" s="517"/>
      <c r="CI338" s="517"/>
      <c r="CJ338" s="517"/>
      <c r="CK338" s="517"/>
      <c r="CL338" s="517"/>
      <c r="CM338" s="517"/>
      <c r="CN338" s="517"/>
      <c r="CO338" s="517"/>
      <c r="CP338" s="517"/>
      <c r="CQ338" s="517"/>
      <c r="CR338" s="517"/>
      <c r="CS338" s="517"/>
      <c r="CT338" s="517"/>
      <c r="CU338" s="517"/>
      <c r="CV338" s="517"/>
      <c r="CW338" s="517"/>
      <c r="CX338" s="517"/>
      <c r="CY338" s="517"/>
      <c r="CZ338" s="517"/>
      <c r="DA338" s="517"/>
      <c r="DB338" s="517"/>
      <c r="DC338" s="517"/>
      <c r="DD338" s="517"/>
      <c r="DE338" s="517"/>
      <c r="DF338" s="517"/>
      <c r="DG338" s="517"/>
      <c r="DH338" s="517"/>
      <c r="DI338" s="517"/>
      <c r="DJ338" s="517"/>
      <c r="DK338" s="517"/>
      <c r="DL338" s="517"/>
      <c r="DM338" s="517"/>
      <c r="DN338" s="517"/>
      <c r="DO338" s="517"/>
      <c r="DP338" s="517"/>
      <c r="DQ338" s="517"/>
      <c r="DR338" s="517"/>
      <c r="DS338" s="517"/>
      <c r="DT338" s="517"/>
      <c r="DU338" s="517"/>
      <c r="DV338" s="517"/>
      <c r="DW338" s="517"/>
      <c r="DX338" s="517"/>
      <c r="DY338" s="517"/>
      <c r="DZ338" s="517"/>
      <c r="EA338" s="517"/>
      <c r="EB338" s="517"/>
      <c r="EC338" s="517"/>
      <c r="ED338" s="517"/>
      <c r="EE338" s="517"/>
      <c r="EF338" s="517"/>
      <c r="EG338" s="517"/>
      <c r="EH338" s="517"/>
      <c r="EI338" s="517"/>
      <c r="EJ338" s="517"/>
      <c r="EK338" s="517"/>
      <c r="EL338" s="517"/>
      <c r="EM338" s="517"/>
      <c r="EN338" s="517"/>
      <c r="EO338" s="517"/>
      <c r="EP338" s="517"/>
      <c r="EQ338" s="517"/>
      <c r="ER338" s="517"/>
      <c r="ES338" s="627"/>
    </row>
    <row r="339">
      <c r="A339" s="517"/>
      <c r="B339" s="517"/>
      <c r="C339" s="517"/>
      <c r="D339" s="517"/>
      <c r="E339" s="517"/>
      <c r="F339" s="517"/>
      <c r="G339" s="517"/>
      <c r="H339" s="517"/>
      <c r="I339" s="517"/>
      <c r="J339" s="517"/>
      <c r="K339" s="517"/>
      <c r="L339" s="517"/>
      <c r="M339" s="517"/>
      <c r="N339" s="517"/>
      <c r="O339" s="517"/>
      <c r="P339" s="517"/>
      <c r="Q339" s="517"/>
      <c r="R339" s="517"/>
      <c r="S339" s="517"/>
      <c r="T339" s="517"/>
      <c r="U339" s="517"/>
      <c r="V339" s="517"/>
      <c r="W339" s="517"/>
      <c r="X339" s="517"/>
      <c r="Y339" s="517"/>
      <c r="Z339" s="517"/>
      <c r="AA339" s="517"/>
      <c r="AB339" s="517"/>
      <c r="AC339" s="517"/>
      <c r="AD339" s="517"/>
      <c r="AE339" s="517"/>
      <c r="AF339" s="517"/>
      <c r="AG339" s="517"/>
      <c r="AH339" s="517"/>
      <c r="AI339" s="517"/>
      <c r="AJ339" s="517"/>
      <c r="AK339" s="517"/>
      <c r="AL339" s="517"/>
      <c r="AM339" s="517"/>
      <c r="AN339" s="517"/>
      <c r="AO339" s="517"/>
      <c r="AP339" s="517"/>
      <c r="AQ339" s="517"/>
      <c r="AR339" s="517"/>
      <c r="AS339" s="517"/>
      <c r="AT339" s="517"/>
      <c r="AU339" s="517"/>
      <c r="AV339" s="517"/>
      <c r="AW339" s="517"/>
      <c r="AX339" s="517"/>
      <c r="AY339" s="517"/>
      <c r="AZ339" s="517"/>
      <c r="BA339" s="517"/>
      <c r="BB339" s="517"/>
      <c r="BC339" s="517"/>
      <c r="BD339" s="517"/>
      <c r="BE339" s="517"/>
      <c r="BF339" s="517"/>
      <c r="BG339" s="517"/>
      <c r="BH339" s="517"/>
      <c r="BI339" s="517"/>
      <c r="BJ339" s="517"/>
      <c r="BK339" s="517"/>
      <c r="BL339" s="517"/>
      <c r="BM339" s="517"/>
      <c r="BN339" s="517"/>
      <c r="BO339" s="517"/>
      <c r="BP339" s="517"/>
      <c r="BQ339" s="517"/>
      <c r="BR339" s="517"/>
      <c r="BS339" s="517"/>
      <c r="BT339" s="517"/>
      <c r="BU339" s="517"/>
      <c r="BV339" s="517"/>
      <c r="BW339" s="517"/>
      <c r="BX339" s="517"/>
      <c r="BY339" s="517"/>
      <c r="BZ339" s="517"/>
      <c r="CA339" s="517"/>
      <c r="CB339" s="517"/>
      <c r="CC339" s="517"/>
      <c r="CD339" s="517"/>
      <c r="CE339" s="517"/>
      <c r="CF339" s="517"/>
      <c r="CG339" s="517"/>
      <c r="CH339" s="517"/>
      <c r="CI339" s="517"/>
      <c r="CJ339" s="517"/>
      <c r="CK339" s="517"/>
      <c r="CL339" s="517"/>
      <c r="CM339" s="517"/>
      <c r="CN339" s="517"/>
      <c r="CO339" s="517"/>
      <c r="CP339" s="517"/>
      <c r="CQ339" s="517"/>
      <c r="CR339" s="517"/>
      <c r="CS339" s="517"/>
      <c r="CT339" s="517"/>
      <c r="CU339" s="517"/>
      <c r="CV339" s="517"/>
      <c r="CW339" s="517"/>
      <c r="CX339" s="517"/>
      <c r="CY339" s="517"/>
      <c r="CZ339" s="517"/>
      <c r="DA339" s="517"/>
      <c r="DB339" s="517"/>
      <c r="DC339" s="517"/>
      <c r="DD339" s="517"/>
      <c r="DE339" s="517"/>
      <c r="DF339" s="517"/>
      <c r="DG339" s="517"/>
      <c r="DH339" s="517"/>
      <c r="DI339" s="517"/>
      <c r="DJ339" s="517"/>
      <c r="DK339" s="517"/>
      <c r="DL339" s="517"/>
      <c r="DM339" s="517"/>
      <c r="DN339" s="517"/>
      <c r="DO339" s="517"/>
      <c r="DP339" s="517"/>
      <c r="DQ339" s="517"/>
      <c r="DR339" s="517"/>
      <c r="DS339" s="517"/>
      <c r="DT339" s="517"/>
      <c r="DU339" s="517"/>
      <c r="DV339" s="517"/>
      <c r="DW339" s="517"/>
      <c r="DX339" s="517"/>
      <c r="DY339" s="517"/>
      <c r="DZ339" s="517"/>
      <c r="EA339" s="517"/>
      <c r="EB339" s="517"/>
      <c r="EC339" s="517"/>
      <c r="ED339" s="517"/>
      <c r="EE339" s="517"/>
      <c r="EF339" s="517"/>
      <c r="EG339" s="517"/>
      <c r="EH339" s="517"/>
      <c r="EI339" s="517"/>
      <c r="EJ339" s="517"/>
      <c r="EK339" s="517"/>
      <c r="EL339" s="517"/>
      <c r="EM339" s="517"/>
      <c r="EN339" s="517"/>
      <c r="EO339" s="517"/>
      <c r="EP339" s="517"/>
      <c r="EQ339" s="517"/>
      <c r="ER339" s="517"/>
      <c r="ES339" s="627"/>
    </row>
    <row r="340">
      <c r="A340" s="517"/>
      <c r="B340" s="517"/>
      <c r="C340" s="517"/>
      <c r="D340" s="517"/>
      <c r="E340" s="517"/>
      <c r="F340" s="517"/>
      <c r="G340" s="517"/>
      <c r="H340" s="517"/>
      <c r="I340" s="517"/>
      <c r="J340" s="517"/>
      <c r="K340" s="517"/>
      <c r="L340" s="517"/>
      <c r="M340" s="517"/>
      <c r="N340" s="517"/>
      <c r="O340" s="517"/>
      <c r="P340" s="517"/>
      <c r="Q340" s="517"/>
      <c r="R340" s="517"/>
      <c r="S340" s="517"/>
      <c r="T340" s="517"/>
      <c r="U340" s="517"/>
      <c r="V340" s="517"/>
      <c r="W340" s="517"/>
      <c r="X340" s="517"/>
      <c r="Y340" s="517"/>
      <c r="Z340" s="517"/>
      <c r="AA340" s="517"/>
      <c r="AB340" s="517"/>
      <c r="AC340" s="517"/>
      <c r="AD340" s="517"/>
      <c r="AE340" s="517"/>
      <c r="AF340" s="517"/>
      <c r="AG340" s="517"/>
      <c r="AH340" s="517"/>
      <c r="AI340" s="517"/>
      <c r="AJ340" s="517"/>
      <c r="AK340" s="517"/>
      <c r="AL340" s="517"/>
      <c r="AM340" s="517"/>
      <c r="AN340" s="517"/>
      <c r="AO340" s="517"/>
      <c r="AP340" s="517"/>
      <c r="AQ340" s="517"/>
      <c r="AR340" s="517"/>
      <c r="AS340" s="517"/>
      <c r="AT340" s="517"/>
      <c r="AU340" s="517"/>
      <c r="AV340" s="517"/>
      <c r="AW340" s="517"/>
      <c r="AX340" s="517"/>
      <c r="AY340" s="517"/>
      <c r="AZ340" s="517"/>
      <c r="BA340" s="517"/>
      <c r="BB340" s="517"/>
      <c r="BC340" s="517"/>
      <c r="BD340" s="517"/>
      <c r="BE340" s="517"/>
      <c r="BF340" s="517"/>
      <c r="BG340" s="517"/>
      <c r="BH340" s="517"/>
      <c r="BI340" s="517"/>
      <c r="BJ340" s="517"/>
      <c r="BK340" s="517"/>
      <c r="BL340" s="517"/>
      <c r="BM340" s="517"/>
      <c r="BN340" s="517"/>
      <c r="BO340" s="517"/>
      <c r="BP340" s="517"/>
      <c r="BQ340" s="517"/>
      <c r="BR340" s="517"/>
      <c r="BS340" s="517"/>
      <c r="BT340" s="517"/>
      <c r="BU340" s="517"/>
      <c r="BV340" s="517"/>
      <c r="BW340" s="517"/>
      <c r="BX340" s="517"/>
      <c r="BY340" s="517"/>
      <c r="BZ340" s="517"/>
      <c r="CA340" s="517"/>
      <c r="CB340" s="517"/>
      <c r="CC340" s="517"/>
      <c r="CD340" s="517"/>
      <c r="CE340" s="517"/>
      <c r="CF340" s="517"/>
      <c r="CG340" s="517"/>
      <c r="CH340" s="517"/>
      <c r="CI340" s="517"/>
      <c r="CJ340" s="517"/>
      <c r="CK340" s="517"/>
      <c r="CL340" s="517"/>
      <c r="CM340" s="517"/>
      <c r="CN340" s="517"/>
      <c r="CO340" s="517"/>
      <c r="CP340" s="517"/>
      <c r="CQ340" s="517"/>
      <c r="CR340" s="517"/>
      <c r="CS340" s="517"/>
      <c r="CT340" s="517"/>
      <c r="CU340" s="517"/>
      <c r="CV340" s="517"/>
      <c r="CW340" s="517"/>
      <c r="CX340" s="517"/>
      <c r="CY340" s="517"/>
      <c r="CZ340" s="517"/>
      <c r="DA340" s="517"/>
      <c r="DB340" s="517"/>
      <c r="DC340" s="517"/>
      <c r="DD340" s="517"/>
      <c r="DE340" s="517"/>
      <c r="DF340" s="517"/>
      <c r="DG340" s="517"/>
      <c r="DH340" s="517"/>
      <c r="DI340" s="517"/>
      <c r="DJ340" s="517"/>
      <c r="DK340" s="517"/>
      <c r="DL340" s="517"/>
      <c r="DM340" s="517"/>
      <c r="DN340" s="517"/>
      <c r="DO340" s="517"/>
      <c r="DP340" s="517"/>
      <c r="DQ340" s="517"/>
      <c r="DR340" s="517"/>
      <c r="DS340" s="517"/>
      <c r="DT340" s="517"/>
      <c r="DU340" s="517"/>
      <c r="DV340" s="517"/>
      <c r="DW340" s="517"/>
      <c r="DX340" s="517"/>
      <c r="DY340" s="517"/>
      <c r="DZ340" s="517"/>
      <c r="EA340" s="517"/>
      <c r="EB340" s="517"/>
      <c r="EC340" s="517"/>
      <c r="ED340" s="517"/>
      <c r="EE340" s="517"/>
      <c r="EF340" s="517"/>
      <c r="EG340" s="517"/>
      <c r="EH340" s="517"/>
      <c r="EI340" s="517"/>
      <c r="EJ340" s="517"/>
      <c r="EK340" s="517"/>
      <c r="EL340" s="517"/>
      <c r="EM340" s="517"/>
      <c r="EN340" s="517"/>
      <c r="EO340" s="517"/>
      <c r="EP340" s="517"/>
      <c r="EQ340" s="517"/>
      <c r="ER340" s="517"/>
      <c r="ES340" s="627"/>
    </row>
    <row r="341">
      <c r="A341" s="517"/>
      <c r="B341" s="517"/>
      <c r="C341" s="517"/>
      <c r="D341" s="517"/>
      <c r="E341" s="517"/>
      <c r="F341" s="517"/>
      <c r="G341" s="517"/>
      <c r="H341" s="517"/>
      <c r="I341" s="517"/>
      <c r="J341" s="517"/>
      <c r="K341" s="517"/>
      <c r="L341" s="517"/>
      <c r="M341" s="517"/>
      <c r="N341" s="517"/>
      <c r="O341" s="517"/>
      <c r="P341" s="517"/>
      <c r="Q341" s="517"/>
      <c r="R341" s="517"/>
      <c r="S341" s="517"/>
      <c r="T341" s="517"/>
      <c r="U341" s="517"/>
      <c r="V341" s="517"/>
      <c r="W341" s="517"/>
      <c r="X341" s="517"/>
      <c r="Y341" s="517"/>
      <c r="Z341" s="517"/>
      <c r="AA341" s="517"/>
      <c r="AB341" s="517"/>
      <c r="AC341" s="517"/>
      <c r="AD341" s="517"/>
      <c r="AE341" s="517"/>
      <c r="AF341" s="517"/>
      <c r="AG341" s="517"/>
      <c r="AH341" s="517"/>
      <c r="AI341" s="517"/>
      <c r="AJ341" s="517"/>
      <c r="AK341" s="517"/>
      <c r="AL341" s="517"/>
      <c r="AM341" s="517"/>
      <c r="AN341" s="517"/>
      <c r="AO341" s="517"/>
      <c r="AP341" s="517"/>
      <c r="AQ341" s="517"/>
      <c r="AR341" s="517"/>
      <c r="AS341" s="517"/>
      <c r="AT341" s="517"/>
      <c r="AU341" s="517"/>
      <c r="AV341" s="517"/>
      <c r="AW341" s="517"/>
      <c r="AX341" s="517"/>
      <c r="AY341" s="517"/>
      <c r="AZ341" s="517"/>
      <c r="BA341" s="517"/>
      <c r="BB341" s="517"/>
      <c r="BC341" s="517"/>
      <c r="BD341" s="517"/>
      <c r="BE341" s="517"/>
      <c r="BF341" s="517"/>
      <c r="BG341" s="517"/>
      <c r="BH341" s="517"/>
      <c r="BI341" s="517"/>
      <c r="BJ341" s="517"/>
      <c r="BK341" s="517"/>
      <c r="BL341" s="517"/>
      <c r="BM341" s="517"/>
      <c r="BN341" s="517"/>
      <c r="BO341" s="517"/>
      <c r="BP341" s="517"/>
      <c r="BQ341" s="517"/>
      <c r="BR341" s="517"/>
      <c r="BS341" s="517"/>
      <c r="BT341" s="517"/>
      <c r="BU341" s="517"/>
      <c r="BV341" s="517"/>
      <c r="BW341" s="517"/>
      <c r="BX341" s="517"/>
      <c r="BY341" s="517"/>
      <c r="BZ341" s="517"/>
      <c r="CA341" s="517"/>
      <c r="CB341" s="517"/>
      <c r="CC341" s="517"/>
      <c r="CD341" s="517"/>
      <c r="CE341" s="517"/>
      <c r="CF341" s="517"/>
      <c r="CG341" s="517"/>
      <c r="CH341" s="517"/>
      <c r="CI341" s="517"/>
      <c r="CJ341" s="517"/>
      <c r="CK341" s="517"/>
      <c r="CL341" s="517"/>
      <c r="CM341" s="517"/>
      <c r="CN341" s="517"/>
      <c r="CO341" s="517"/>
      <c r="CP341" s="517"/>
      <c r="CQ341" s="517"/>
      <c r="CR341" s="517"/>
      <c r="CS341" s="517"/>
      <c r="CT341" s="517"/>
      <c r="CU341" s="517"/>
      <c r="CV341" s="517"/>
      <c r="CW341" s="517"/>
      <c r="CX341" s="517"/>
      <c r="CY341" s="517"/>
      <c r="CZ341" s="517"/>
      <c r="DA341" s="517"/>
      <c r="DB341" s="517"/>
      <c r="DC341" s="517"/>
      <c r="DD341" s="517"/>
      <c r="DE341" s="517"/>
      <c r="DF341" s="517"/>
      <c r="DG341" s="517"/>
      <c r="DH341" s="517"/>
      <c r="DI341" s="517"/>
      <c r="DJ341" s="517"/>
      <c r="DK341" s="517"/>
      <c r="DL341" s="517"/>
      <c r="DM341" s="517"/>
      <c r="DN341" s="517"/>
      <c r="DO341" s="517"/>
      <c r="DP341" s="517"/>
      <c r="DQ341" s="517"/>
      <c r="DR341" s="517"/>
      <c r="DS341" s="517"/>
      <c r="DT341" s="517"/>
      <c r="DU341" s="517"/>
      <c r="DV341" s="517"/>
      <c r="DW341" s="517"/>
      <c r="DX341" s="517"/>
      <c r="DY341" s="517"/>
      <c r="DZ341" s="517"/>
      <c r="EA341" s="517"/>
      <c r="EB341" s="517"/>
      <c r="EC341" s="517"/>
      <c r="ED341" s="517"/>
      <c r="EE341" s="517"/>
      <c r="EF341" s="517"/>
      <c r="EG341" s="517"/>
      <c r="EH341" s="517"/>
      <c r="EI341" s="517"/>
      <c r="EJ341" s="517"/>
      <c r="EK341" s="517"/>
      <c r="EL341" s="517"/>
      <c r="EM341" s="517"/>
      <c r="EN341" s="517"/>
      <c r="EO341" s="517"/>
      <c r="EP341" s="517"/>
      <c r="EQ341" s="517"/>
      <c r="ER341" s="517"/>
      <c r="ES341" s="627"/>
    </row>
    <row r="342">
      <c r="A342" s="517"/>
      <c r="B342" s="517"/>
      <c r="C342" s="517"/>
      <c r="D342" s="517"/>
      <c r="E342" s="517"/>
      <c r="F342" s="517"/>
      <c r="G342" s="517"/>
      <c r="H342" s="517"/>
      <c r="I342" s="517"/>
      <c r="J342" s="517"/>
      <c r="K342" s="517"/>
      <c r="L342" s="517"/>
      <c r="M342" s="517"/>
      <c r="N342" s="517"/>
      <c r="O342" s="517"/>
      <c r="P342" s="517"/>
      <c r="Q342" s="517"/>
      <c r="R342" s="517"/>
      <c r="S342" s="517"/>
      <c r="T342" s="517"/>
      <c r="U342" s="517"/>
      <c r="V342" s="517"/>
      <c r="W342" s="517"/>
      <c r="X342" s="517"/>
      <c r="Y342" s="517"/>
      <c r="Z342" s="517"/>
      <c r="AA342" s="517"/>
      <c r="AB342" s="517"/>
      <c r="AC342" s="517"/>
      <c r="AD342" s="517"/>
      <c r="AE342" s="517"/>
      <c r="AF342" s="517"/>
      <c r="AG342" s="517"/>
      <c r="AH342" s="517"/>
      <c r="AI342" s="517"/>
      <c r="AJ342" s="517"/>
      <c r="AK342" s="517"/>
      <c r="AL342" s="517"/>
      <c r="AM342" s="517"/>
      <c r="AN342" s="517"/>
      <c r="AO342" s="517"/>
      <c r="AP342" s="517"/>
      <c r="AQ342" s="517"/>
      <c r="AR342" s="517"/>
      <c r="AS342" s="517"/>
      <c r="AT342" s="517"/>
      <c r="AU342" s="517"/>
      <c r="AV342" s="517"/>
      <c r="AW342" s="517"/>
      <c r="AX342" s="517"/>
      <c r="AY342" s="517"/>
      <c r="AZ342" s="517"/>
      <c r="BA342" s="517"/>
      <c r="BB342" s="517"/>
      <c r="BC342" s="517"/>
      <c r="BD342" s="517"/>
      <c r="BE342" s="517"/>
      <c r="BF342" s="517"/>
      <c r="BG342" s="517"/>
      <c r="BH342" s="517"/>
      <c r="BI342" s="517"/>
      <c r="BJ342" s="517"/>
      <c r="BK342" s="517"/>
      <c r="BL342" s="517"/>
      <c r="BM342" s="517"/>
      <c r="BN342" s="517"/>
      <c r="BO342" s="517"/>
      <c r="BP342" s="517"/>
      <c r="BQ342" s="517"/>
      <c r="BR342" s="517"/>
      <c r="BS342" s="517"/>
      <c r="BT342" s="517"/>
      <c r="BU342" s="517"/>
      <c r="BV342" s="517"/>
      <c r="BW342" s="517"/>
      <c r="BX342" s="517"/>
      <c r="BY342" s="517"/>
      <c r="BZ342" s="517"/>
      <c r="CA342" s="517"/>
      <c r="CB342" s="517"/>
      <c r="CC342" s="517"/>
      <c r="CD342" s="517"/>
      <c r="CE342" s="517"/>
      <c r="CF342" s="517"/>
      <c r="CG342" s="517"/>
      <c r="CH342" s="517"/>
      <c r="CI342" s="517"/>
      <c r="CJ342" s="517"/>
      <c r="CK342" s="517"/>
      <c r="CL342" s="517"/>
      <c r="CM342" s="517"/>
      <c r="CN342" s="517"/>
      <c r="CO342" s="517"/>
      <c r="CP342" s="517"/>
      <c r="CQ342" s="517"/>
      <c r="CR342" s="517"/>
      <c r="CS342" s="517"/>
      <c r="CT342" s="517"/>
      <c r="CU342" s="517"/>
      <c r="CV342" s="517"/>
      <c r="CW342" s="517"/>
      <c r="CX342" s="517"/>
      <c r="CY342" s="517"/>
      <c r="CZ342" s="517"/>
      <c r="DA342" s="517"/>
      <c r="DB342" s="517"/>
      <c r="DC342" s="517"/>
      <c r="DD342" s="517"/>
      <c r="DE342" s="517"/>
      <c r="DF342" s="517"/>
      <c r="DG342" s="517"/>
      <c r="DH342" s="517"/>
      <c r="DI342" s="517"/>
      <c r="DJ342" s="517"/>
      <c r="DK342" s="517"/>
      <c r="DL342" s="517"/>
      <c r="DM342" s="517"/>
      <c r="DN342" s="517"/>
      <c r="DO342" s="517"/>
      <c r="DP342" s="517"/>
      <c r="DQ342" s="517"/>
      <c r="DR342" s="517"/>
      <c r="DS342" s="517"/>
      <c r="DT342" s="517"/>
      <c r="DU342" s="517"/>
      <c r="DV342" s="517"/>
      <c r="DW342" s="517"/>
      <c r="DX342" s="517"/>
      <c r="DY342" s="517"/>
      <c r="DZ342" s="517"/>
      <c r="EA342" s="517"/>
      <c r="EB342" s="517"/>
      <c r="EC342" s="517"/>
      <c r="ED342" s="517"/>
      <c r="EE342" s="517"/>
      <c r="EF342" s="517"/>
      <c r="EG342" s="517"/>
      <c r="EH342" s="517"/>
      <c r="EI342" s="517"/>
      <c r="EJ342" s="517"/>
      <c r="EK342" s="517"/>
      <c r="EL342" s="517"/>
      <c r="EM342" s="517"/>
      <c r="EN342" s="517"/>
      <c r="EO342" s="517"/>
      <c r="EP342" s="517"/>
      <c r="EQ342" s="517"/>
      <c r="ER342" s="517"/>
      <c r="ES342" s="627"/>
    </row>
    <row r="343">
      <c r="A343" s="517"/>
      <c r="B343" s="517"/>
      <c r="C343" s="517"/>
      <c r="D343" s="517"/>
      <c r="E343" s="517"/>
      <c r="F343" s="517"/>
      <c r="G343" s="517"/>
      <c r="H343" s="517"/>
      <c r="I343" s="517"/>
      <c r="J343" s="517"/>
      <c r="K343" s="517"/>
      <c r="L343" s="517"/>
      <c r="M343" s="517"/>
      <c r="N343" s="517"/>
      <c r="O343" s="517"/>
      <c r="P343" s="517"/>
      <c r="Q343" s="517"/>
      <c r="R343" s="517"/>
      <c r="S343" s="517"/>
      <c r="T343" s="517"/>
      <c r="U343" s="517"/>
      <c r="V343" s="517"/>
      <c r="W343" s="517"/>
      <c r="X343" s="517"/>
      <c r="Y343" s="517"/>
      <c r="Z343" s="517"/>
      <c r="AA343" s="517"/>
      <c r="AB343" s="517"/>
      <c r="AC343" s="517"/>
      <c r="AD343" s="517"/>
      <c r="AE343" s="517"/>
      <c r="AF343" s="517"/>
      <c r="AG343" s="517"/>
      <c r="AH343" s="517"/>
      <c r="AI343" s="517"/>
      <c r="AJ343" s="517"/>
      <c r="AK343" s="517"/>
      <c r="AL343" s="517"/>
      <c r="AM343" s="517"/>
      <c r="AN343" s="517"/>
      <c r="AO343" s="517"/>
      <c r="AP343" s="517"/>
      <c r="AQ343" s="517"/>
      <c r="AR343" s="517"/>
      <c r="AS343" s="517"/>
      <c r="AT343" s="517"/>
      <c r="AU343" s="517"/>
      <c r="AV343" s="517"/>
      <c r="AW343" s="517"/>
      <c r="AX343" s="517"/>
      <c r="AY343" s="517"/>
      <c r="AZ343" s="517"/>
      <c r="BA343" s="517"/>
      <c r="BB343" s="517"/>
      <c r="BC343" s="517"/>
      <c r="BD343" s="517"/>
      <c r="BE343" s="517"/>
      <c r="BF343" s="517"/>
      <c r="BG343" s="517"/>
      <c r="BH343" s="517"/>
      <c r="BI343" s="517"/>
      <c r="BJ343" s="517"/>
      <c r="BK343" s="517"/>
      <c r="BL343" s="517"/>
      <c r="BM343" s="517"/>
      <c r="BN343" s="517"/>
      <c r="BO343" s="517"/>
      <c r="BP343" s="517"/>
      <c r="BQ343" s="517"/>
      <c r="BR343" s="517"/>
      <c r="BS343" s="517"/>
      <c r="BT343" s="517"/>
      <c r="BU343" s="517"/>
      <c r="BV343" s="517"/>
      <c r="BW343" s="517"/>
      <c r="BX343" s="517"/>
      <c r="BY343" s="517"/>
      <c r="BZ343" s="517"/>
      <c r="CA343" s="517"/>
      <c r="CB343" s="517"/>
      <c r="CC343" s="517"/>
      <c r="CD343" s="517"/>
      <c r="CE343" s="517"/>
      <c r="CF343" s="517"/>
      <c r="CG343" s="517"/>
      <c r="CH343" s="517"/>
      <c r="CI343" s="517"/>
      <c r="CJ343" s="517"/>
      <c r="CK343" s="517"/>
      <c r="CL343" s="517"/>
      <c r="CM343" s="517"/>
      <c r="CN343" s="517"/>
      <c r="CO343" s="517"/>
      <c r="CP343" s="517"/>
      <c r="CQ343" s="517"/>
      <c r="CR343" s="517"/>
      <c r="CS343" s="517"/>
      <c r="CT343" s="517"/>
      <c r="CU343" s="517"/>
      <c r="CV343" s="517"/>
      <c r="CW343" s="517"/>
      <c r="CX343" s="517"/>
      <c r="CY343" s="517"/>
      <c r="CZ343" s="517"/>
      <c r="DA343" s="517"/>
      <c r="DB343" s="517"/>
      <c r="DC343" s="517"/>
      <c r="DD343" s="517"/>
      <c r="DE343" s="517"/>
      <c r="DF343" s="517"/>
      <c r="DG343" s="517"/>
      <c r="DH343" s="517"/>
      <c r="DI343" s="517"/>
      <c r="DJ343" s="517"/>
      <c r="DK343" s="517"/>
      <c r="DL343" s="517"/>
      <c r="DM343" s="517"/>
      <c r="DN343" s="517"/>
      <c r="DO343" s="517"/>
      <c r="DP343" s="517"/>
      <c r="DQ343" s="517"/>
      <c r="DR343" s="517"/>
      <c r="DS343" s="517"/>
      <c r="DT343" s="517"/>
      <c r="DU343" s="517"/>
      <c r="DV343" s="517"/>
      <c r="DW343" s="517"/>
      <c r="DX343" s="517"/>
      <c r="DY343" s="517"/>
      <c r="DZ343" s="517"/>
      <c r="EA343" s="517"/>
      <c r="EB343" s="517"/>
      <c r="EC343" s="517"/>
      <c r="ED343" s="517"/>
      <c r="EE343" s="517"/>
      <c r="EF343" s="517"/>
      <c r="EG343" s="517"/>
      <c r="EH343" s="517"/>
      <c r="EI343" s="517"/>
      <c r="EJ343" s="517"/>
      <c r="EK343" s="517"/>
      <c r="EL343" s="517"/>
      <c r="EM343" s="517"/>
      <c r="EN343" s="517"/>
      <c r="EO343" s="517"/>
      <c r="EP343" s="517"/>
      <c r="EQ343" s="517"/>
      <c r="ER343" s="517"/>
      <c r="ES343" s="627"/>
    </row>
    <row r="344">
      <c r="A344" s="517"/>
      <c r="B344" s="517"/>
      <c r="C344" s="517"/>
      <c r="D344" s="517"/>
      <c r="E344" s="517"/>
      <c r="F344" s="517"/>
      <c r="G344" s="517"/>
      <c r="H344" s="517"/>
      <c r="I344" s="517"/>
      <c r="J344" s="517"/>
      <c r="K344" s="517"/>
      <c r="L344" s="517"/>
      <c r="M344" s="517"/>
      <c r="N344" s="517"/>
      <c r="O344" s="517"/>
      <c r="P344" s="517"/>
      <c r="Q344" s="517"/>
      <c r="R344" s="517"/>
      <c r="S344" s="517"/>
      <c r="T344" s="517"/>
      <c r="U344" s="517"/>
      <c r="V344" s="517"/>
      <c r="W344" s="517"/>
      <c r="X344" s="517"/>
      <c r="Y344" s="517"/>
      <c r="Z344" s="517"/>
      <c r="AA344" s="517"/>
      <c r="AB344" s="517"/>
      <c r="AC344" s="517"/>
      <c r="AD344" s="517"/>
      <c r="AE344" s="517"/>
      <c r="AF344" s="517"/>
      <c r="AG344" s="517"/>
      <c r="AH344" s="517"/>
      <c r="AI344" s="517"/>
      <c r="AJ344" s="517"/>
      <c r="AK344" s="517"/>
      <c r="AL344" s="517"/>
      <c r="AM344" s="517"/>
      <c r="AN344" s="517"/>
      <c r="AO344" s="517"/>
      <c r="AP344" s="517"/>
      <c r="AQ344" s="517"/>
      <c r="AR344" s="517"/>
      <c r="AS344" s="517"/>
      <c r="AT344" s="517"/>
      <c r="AU344" s="517"/>
      <c r="AV344" s="517"/>
      <c r="AW344" s="517"/>
      <c r="AX344" s="517"/>
      <c r="AY344" s="517"/>
      <c r="AZ344" s="517"/>
      <c r="BA344" s="517"/>
      <c r="BB344" s="517"/>
      <c r="BC344" s="517"/>
      <c r="BD344" s="517"/>
      <c r="BE344" s="517"/>
      <c r="BF344" s="517"/>
      <c r="BG344" s="517"/>
      <c r="BH344" s="517"/>
      <c r="BI344" s="517"/>
      <c r="BJ344" s="517"/>
      <c r="BK344" s="517"/>
      <c r="BL344" s="517"/>
      <c r="BM344" s="517"/>
      <c r="BN344" s="517"/>
      <c r="BO344" s="517"/>
      <c r="BP344" s="517"/>
      <c r="BQ344" s="517"/>
      <c r="BR344" s="517"/>
      <c r="BS344" s="517"/>
      <c r="BT344" s="517"/>
      <c r="BU344" s="517"/>
      <c r="BV344" s="517"/>
      <c r="BW344" s="517"/>
      <c r="BX344" s="517"/>
      <c r="BY344" s="517"/>
      <c r="BZ344" s="517"/>
      <c r="CA344" s="517"/>
      <c r="CB344" s="517"/>
      <c r="CC344" s="517"/>
      <c r="CD344" s="517"/>
      <c r="CE344" s="517"/>
      <c r="CF344" s="517"/>
      <c r="CG344" s="517"/>
      <c r="CH344" s="517"/>
      <c r="CI344" s="517"/>
      <c r="CJ344" s="517"/>
      <c r="CK344" s="517"/>
      <c r="CL344" s="517"/>
      <c r="CM344" s="517"/>
      <c r="CN344" s="517"/>
      <c r="CO344" s="517"/>
      <c r="CP344" s="517"/>
      <c r="CQ344" s="517"/>
      <c r="CR344" s="517"/>
      <c r="CS344" s="517"/>
      <c r="CT344" s="517"/>
      <c r="CU344" s="517"/>
      <c r="CV344" s="517"/>
      <c r="CW344" s="517"/>
      <c r="CX344" s="517"/>
      <c r="CY344" s="517"/>
      <c r="CZ344" s="517"/>
      <c r="DA344" s="517"/>
      <c r="DB344" s="517"/>
      <c r="DC344" s="517"/>
      <c r="DD344" s="517"/>
      <c r="DE344" s="517"/>
      <c r="DF344" s="517"/>
      <c r="DG344" s="517"/>
      <c r="DH344" s="517"/>
      <c r="DI344" s="517"/>
      <c r="DJ344" s="517"/>
      <c r="DK344" s="517"/>
      <c r="DL344" s="517"/>
      <c r="DM344" s="517"/>
      <c r="DN344" s="517"/>
      <c r="DO344" s="517"/>
      <c r="DP344" s="517"/>
      <c r="DQ344" s="517"/>
      <c r="DR344" s="517"/>
      <c r="DS344" s="517"/>
      <c r="DT344" s="517"/>
      <c r="DU344" s="517"/>
      <c r="DV344" s="517"/>
      <c r="DW344" s="517"/>
      <c r="DX344" s="517"/>
      <c r="DY344" s="517"/>
      <c r="DZ344" s="517"/>
      <c r="EA344" s="517"/>
      <c r="EB344" s="517"/>
      <c r="EC344" s="517"/>
      <c r="ED344" s="517"/>
      <c r="EE344" s="517"/>
      <c r="EF344" s="517"/>
      <c r="EG344" s="517"/>
      <c r="EH344" s="517"/>
      <c r="EI344" s="517"/>
      <c r="EJ344" s="517"/>
      <c r="EK344" s="517"/>
      <c r="EL344" s="517"/>
      <c r="EM344" s="517"/>
      <c r="EN344" s="517"/>
      <c r="EO344" s="517"/>
      <c r="EP344" s="517"/>
      <c r="EQ344" s="517"/>
      <c r="ER344" s="517"/>
      <c r="ES344" s="627"/>
    </row>
    <row r="345">
      <c r="A345" s="517"/>
      <c r="B345" s="517"/>
      <c r="C345" s="517"/>
      <c r="D345" s="517"/>
      <c r="E345" s="517"/>
      <c r="F345" s="517"/>
      <c r="G345" s="517"/>
      <c r="H345" s="517"/>
      <c r="I345" s="517"/>
      <c r="J345" s="517"/>
      <c r="K345" s="517"/>
      <c r="L345" s="517"/>
      <c r="M345" s="517"/>
      <c r="N345" s="517"/>
      <c r="O345" s="517"/>
      <c r="P345" s="517"/>
      <c r="Q345" s="517"/>
      <c r="R345" s="517"/>
      <c r="S345" s="517"/>
      <c r="T345" s="517"/>
      <c r="U345" s="517"/>
      <c r="V345" s="517"/>
      <c r="W345" s="517"/>
      <c r="X345" s="517"/>
      <c r="Y345" s="517"/>
      <c r="Z345" s="517"/>
      <c r="AA345" s="517"/>
      <c r="AB345" s="517"/>
      <c r="AC345" s="517"/>
      <c r="AD345" s="517"/>
      <c r="AE345" s="517"/>
      <c r="AF345" s="517"/>
      <c r="AG345" s="517"/>
      <c r="AH345" s="517"/>
      <c r="AI345" s="517"/>
      <c r="AJ345" s="517"/>
      <c r="AK345" s="517"/>
      <c r="AL345" s="517"/>
      <c r="AM345" s="517"/>
      <c r="AN345" s="517"/>
      <c r="AO345" s="517"/>
      <c r="AP345" s="517"/>
      <c r="AQ345" s="517"/>
      <c r="AR345" s="517"/>
      <c r="AS345" s="517"/>
      <c r="AT345" s="517"/>
      <c r="AU345" s="517"/>
      <c r="AV345" s="517"/>
      <c r="AW345" s="517"/>
      <c r="AX345" s="517"/>
      <c r="AY345" s="517"/>
      <c r="AZ345" s="517"/>
      <c r="BA345" s="517"/>
      <c r="BB345" s="517"/>
      <c r="BC345" s="517"/>
      <c r="BD345" s="517"/>
      <c r="BE345" s="517"/>
      <c r="BF345" s="517"/>
      <c r="BG345" s="517"/>
      <c r="BH345" s="517"/>
      <c r="BI345" s="517"/>
      <c r="BJ345" s="517"/>
      <c r="BK345" s="517"/>
      <c r="BL345" s="517"/>
      <c r="BM345" s="517"/>
      <c r="BN345" s="517"/>
      <c r="BO345" s="517"/>
      <c r="BP345" s="517"/>
      <c r="BQ345" s="517"/>
      <c r="BR345" s="517"/>
      <c r="BS345" s="517"/>
      <c r="BT345" s="517"/>
      <c r="BU345" s="517"/>
      <c r="BV345" s="517"/>
      <c r="BW345" s="517"/>
      <c r="BX345" s="517"/>
      <c r="BY345" s="517"/>
      <c r="BZ345" s="517"/>
      <c r="CA345" s="517"/>
      <c r="CB345" s="517"/>
      <c r="CC345" s="517"/>
      <c r="CD345" s="517"/>
      <c r="CE345" s="517"/>
      <c r="CF345" s="517"/>
      <c r="CG345" s="517"/>
      <c r="CH345" s="517"/>
      <c r="CI345" s="517"/>
      <c r="CJ345" s="517"/>
      <c r="CK345" s="517"/>
      <c r="CL345" s="517"/>
      <c r="CM345" s="517"/>
      <c r="CN345" s="517"/>
      <c r="CO345" s="517"/>
      <c r="CP345" s="517"/>
      <c r="CQ345" s="517"/>
      <c r="CR345" s="517"/>
      <c r="CS345" s="517"/>
      <c r="CT345" s="517"/>
      <c r="CU345" s="517"/>
      <c r="CV345" s="517"/>
      <c r="CW345" s="517"/>
      <c r="CX345" s="517"/>
      <c r="CY345" s="517"/>
      <c r="CZ345" s="517"/>
      <c r="DA345" s="517"/>
      <c r="DB345" s="517"/>
      <c r="DC345" s="517"/>
      <c r="DD345" s="517"/>
      <c r="DE345" s="517"/>
      <c r="DF345" s="517"/>
      <c r="DG345" s="517"/>
      <c r="DH345" s="517"/>
      <c r="DI345" s="517"/>
      <c r="DJ345" s="517"/>
      <c r="DK345" s="517"/>
      <c r="DL345" s="517"/>
      <c r="DM345" s="517"/>
      <c r="DN345" s="517"/>
      <c r="DO345" s="517"/>
      <c r="DP345" s="517"/>
      <c r="DQ345" s="517"/>
      <c r="DR345" s="517"/>
      <c r="DS345" s="517"/>
      <c r="DT345" s="517"/>
      <c r="DU345" s="517"/>
      <c r="DV345" s="517"/>
      <c r="DW345" s="517"/>
      <c r="DX345" s="517"/>
      <c r="DY345" s="517"/>
      <c r="DZ345" s="517"/>
      <c r="EA345" s="517"/>
      <c r="EB345" s="517"/>
      <c r="EC345" s="517"/>
      <c r="ED345" s="517"/>
      <c r="EE345" s="517"/>
      <c r="EF345" s="517"/>
      <c r="EG345" s="517"/>
      <c r="EH345" s="517"/>
      <c r="EI345" s="517"/>
      <c r="EJ345" s="517"/>
      <c r="EK345" s="517"/>
      <c r="EL345" s="517"/>
      <c r="EM345" s="517"/>
      <c r="EN345" s="517"/>
      <c r="EO345" s="517"/>
      <c r="EP345" s="517"/>
      <c r="EQ345" s="517"/>
      <c r="ER345" s="517"/>
      <c r="ES345" s="627"/>
    </row>
    <row r="346">
      <c r="A346" s="517"/>
      <c r="B346" s="517"/>
      <c r="C346" s="517"/>
      <c r="D346" s="517"/>
      <c r="E346" s="517"/>
      <c r="F346" s="517"/>
      <c r="G346" s="517"/>
      <c r="H346" s="517"/>
      <c r="I346" s="517"/>
      <c r="J346" s="517"/>
      <c r="K346" s="517"/>
      <c r="L346" s="517"/>
      <c r="M346" s="517"/>
      <c r="N346" s="517"/>
      <c r="O346" s="517"/>
      <c r="P346" s="517"/>
      <c r="Q346" s="517"/>
      <c r="R346" s="517"/>
      <c r="S346" s="517"/>
      <c r="T346" s="517"/>
      <c r="U346" s="517"/>
      <c r="V346" s="517"/>
      <c r="W346" s="517"/>
      <c r="X346" s="517"/>
      <c r="Y346" s="517"/>
      <c r="Z346" s="517"/>
      <c r="AA346" s="517"/>
      <c r="AB346" s="517"/>
      <c r="AC346" s="517"/>
      <c r="AD346" s="517"/>
      <c r="AE346" s="517"/>
      <c r="AF346" s="517"/>
      <c r="AG346" s="517"/>
      <c r="AH346" s="517"/>
      <c r="AI346" s="517"/>
      <c r="AJ346" s="517"/>
      <c r="AK346" s="517"/>
      <c r="AL346" s="517"/>
      <c r="AM346" s="517"/>
      <c r="AN346" s="517"/>
      <c r="AO346" s="517"/>
      <c r="AP346" s="517"/>
      <c r="AQ346" s="517"/>
      <c r="AR346" s="517"/>
      <c r="AS346" s="517"/>
      <c r="AT346" s="517"/>
      <c r="AU346" s="517"/>
      <c r="AV346" s="517"/>
      <c r="AW346" s="517"/>
      <c r="AX346" s="517"/>
      <c r="AY346" s="517"/>
      <c r="AZ346" s="517"/>
      <c r="BA346" s="517"/>
      <c r="BB346" s="517"/>
      <c r="BC346" s="517"/>
      <c r="BD346" s="517"/>
      <c r="BE346" s="517"/>
      <c r="BF346" s="517"/>
      <c r="BG346" s="517"/>
      <c r="BH346" s="517"/>
      <c r="BI346" s="517"/>
      <c r="BJ346" s="517"/>
      <c r="BK346" s="517"/>
      <c r="BL346" s="517"/>
      <c r="BM346" s="517"/>
      <c r="BN346" s="517"/>
      <c r="BO346" s="517"/>
      <c r="BP346" s="517"/>
      <c r="BQ346" s="517"/>
      <c r="BR346" s="517"/>
      <c r="BS346" s="517"/>
      <c r="BT346" s="517"/>
      <c r="BU346" s="517"/>
      <c r="BV346" s="517"/>
      <c r="BW346" s="517"/>
      <c r="BX346" s="517"/>
      <c r="BY346" s="517"/>
      <c r="BZ346" s="517"/>
      <c r="CA346" s="517"/>
      <c r="CB346" s="517"/>
      <c r="CC346" s="517"/>
      <c r="CD346" s="517"/>
      <c r="CE346" s="517"/>
      <c r="CF346" s="517"/>
      <c r="CG346" s="517"/>
      <c r="CH346" s="517"/>
      <c r="CI346" s="517"/>
      <c r="CJ346" s="517"/>
      <c r="CK346" s="517"/>
      <c r="CL346" s="517"/>
      <c r="CM346" s="517"/>
      <c r="CN346" s="517"/>
      <c r="CO346" s="517"/>
      <c r="CP346" s="517"/>
      <c r="CQ346" s="517"/>
      <c r="CR346" s="517"/>
      <c r="CS346" s="517"/>
      <c r="CT346" s="517"/>
      <c r="CU346" s="517"/>
      <c r="CV346" s="517"/>
      <c r="CW346" s="517"/>
      <c r="CX346" s="517"/>
      <c r="CY346" s="517"/>
      <c r="CZ346" s="517"/>
      <c r="DA346" s="517"/>
      <c r="DB346" s="517"/>
      <c r="DC346" s="517"/>
      <c r="DD346" s="517"/>
      <c r="DE346" s="517"/>
      <c r="DF346" s="517"/>
      <c r="DG346" s="517"/>
      <c r="DH346" s="517"/>
      <c r="DI346" s="517"/>
      <c r="DJ346" s="517"/>
      <c r="DK346" s="517"/>
      <c r="DL346" s="517"/>
      <c r="DM346" s="517"/>
      <c r="DN346" s="517"/>
      <c r="DO346" s="517"/>
      <c r="DP346" s="517"/>
      <c r="DQ346" s="517"/>
      <c r="DR346" s="517"/>
      <c r="DS346" s="517"/>
      <c r="DT346" s="517"/>
      <c r="DU346" s="517"/>
      <c r="DV346" s="517"/>
      <c r="DW346" s="517"/>
      <c r="DX346" s="517"/>
      <c r="DY346" s="517"/>
      <c r="DZ346" s="517"/>
      <c r="EA346" s="517"/>
      <c r="EB346" s="517"/>
      <c r="EC346" s="517"/>
      <c r="ED346" s="517"/>
      <c r="EE346" s="517"/>
      <c r="EF346" s="517"/>
      <c r="EG346" s="517"/>
      <c r="EH346" s="517"/>
      <c r="EI346" s="517"/>
      <c r="EJ346" s="517"/>
      <c r="EK346" s="517"/>
      <c r="EL346" s="517"/>
      <c r="EM346" s="517"/>
      <c r="EN346" s="517"/>
      <c r="EO346" s="517"/>
      <c r="EP346" s="517"/>
      <c r="EQ346" s="517"/>
      <c r="ER346" s="517"/>
      <c r="ES346" s="627"/>
    </row>
    <row r="347">
      <c r="A347" s="517"/>
      <c r="B347" s="517"/>
      <c r="C347" s="517"/>
      <c r="D347" s="517"/>
      <c r="E347" s="517"/>
      <c r="F347" s="517"/>
      <c r="G347" s="517"/>
      <c r="H347" s="517"/>
      <c r="I347" s="517"/>
      <c r="J347" s="517"/>
      <c r="K347" s="517"/>
      <c r="L347" s="517"/>
      <c r="M347" s="517"/>
      <c r="N347" s="517"/>
      <c r="O347" s="517"/>
      <c r="P347" s="517"/>
      <c r="Q347" s="517"/>
      <c r="R347" s="517"/>
      <c r="S347" s="517"/>
      <c r="T347" s="517"/>
      <c r="U347" s="517"/>
      <c r="V347" s="517"/>
      <c r="W347" s="517"/>
      <c r="X347" s="517"/>
      <c r="Y347" s="517"/>
      <c r="Z347" s="517"/>
      <c r="AA347" s="517"/>
      <c r="AB347" s="517"/>
      <c r="AC347" s="517"/>
      <c r="AD347" s="517"/>
      <c r="AE347" s="517"/>
      <c r="AF347" s="517"/>
      <c r="AG347" s="517"/>
      <c r="AH347" s="517"/>
      <c r="AI347" s="517"/>
      <c r="AJ347" s="517"/>
      <c r="AK347" s="517"/>
      <c r="AL347" s="517"/>
      <c r="AM347" s="517"/>
      <c r="AN347" s="517"/>
      <c r="AO347" s="517"/>
      <c r="AP347" s="517"/>
      <c r="AQ347" s="517"/>
      <c r="AR347" s="517"/>
      <c r="AS347" s="517"/>
      <c r="AT347" s="517"/>
      <c r="AU347" s="517"/>
      <c r="AV347" s="517"/>
      <c r="AW347" s="517"/>
      <c r="AX347" s="517"/>
      <c r="AY347" s="517"/>
      <c r="AZ347" s="517"/>
      <c r="BA347" s="517"/>
      <c r="BB347" s="517"/>
      <c r="BC347" s="517"/>
      <c r="BD347" s="517"/>
      <c r="BE347" s="517"/>
      <c r="BF347" s="517"/>
      <c r="BG347" s="517"/>
      <c r="BH347" s="517"/>
      <c r="BI347" s="517"/>
      <c r="BJ347" s="517"/>
      <c r="BK347" s="517"/>
      <c r="BL347" s="517"/>
      <c r="BM347" s="517"/>
      <c r="BN347" s="517"/>
      <c r="BO347" s="517"/>
      <c r="BP347" s="517"/>
      <c r="BQ347" s="517"/>
      <c r="BR347" s="517"/>
      <c r="BS347" s="517"/>
      <c r="BT347" s="517"/>
      <c r="BU347" s="517"/>
      <c r="BV347" s="517"/>
      <c r="BW347" s="517"/>
      <c r="BX347" s="517"/>
      <c r="BY347" s="517"/>
      <c r="BZ347" s="517"/>
      <c r="CA347" s="517"/>
      <c r="CB347" s="517"/>
      <c r="CC347" s="517"/>
      <c r="CD347" s="517"/>
      <c r="CE347" s="517"/>
      <c r="CF347" s="517"/>
      <c r="CG347" s="517"/>
      <c r="CH347" s="517"/>
      <c r="CI347" s="517"/>
      <c r="CJ347" s="517"/>
      <c r="CK347" s="517"/>
      <c r="CL347" s="517"/>
      <c r="CM347" s="517"/>
      <c r="CN347" s="517"/>
      <c r="CO347" s="517"/>
      <c r="CP347" s="517"/>
      <c r="CQ347" s="517"/>
      <c r="CR347" s="517"/>
      <c r="CS347" s="517"/>
      <c r="CT347" s="517"/>
      <c r="CU347" s="517"/>
      <c r="CV347" s="517"/>
      <c r="CW347" s="517"/>
      <c r="CX347" s="517"/>
      <c r="CY347" s="517"/>
      <c r="CZ347" s="517"/>
      <c r="DA347" s="517"/>
      <c r="DB347" s="517"/>
      <c r="DC347" s="517"/>
      <c r="DD347" s="517"/>
      <c r="DE347" s="517"/>
      <c r="DF347" s="517"/>
      <c r="DG347" s="517"/>
      <c r="DH347" s="517"/>
      <c r="DI347" s="517"/>
      <c r="DJ347" s="517"/>
      <c r="DK347" s="517"/>
      <c r="DL347" s="517"/>
      <c r="DM347" s="517"/>
      <c r="DN347" s="517"/>
      <c r="DO347" s="517"/>
      <c r="DP347" s="517"/>
      <c r="DQ347" s="517"/>
      <c r="DR347" s="517"/>
      <c r="DS347" s="517"/>
      <c r="DT347" s="517"/>
      <c r="DU347" s="517"/>
      <c r="DV347" s="517"/>
      <c r="DW347" s="517"/>
      <c r="DX347" s="517"/>
      <c r="DY347" s="517"/>
      <c r="DZ347" s="517"/>
      <c r="EA347" s="517"/>
      <c r="EB347" s="517"/>
      <c r="EC347" s="517"/>
      <c r="ED347" s="517"/>
      <c r="EE347" s="517"/>
      <c r="EF347" s="517"/>
      <c r="EG347" s="517"/>
      <c r="EH347" s="517"/>
      <c r="EI347" s="517"/>
      <c r="EJ347" s="517"/>
      <c r="EK347" s="517"/>
      <c r="EL347" s="517"/>
      <c r="EM347" s="517"/>
      <c r="EN347" s="517"/>
      <c r="EO347" s="517"/>
      <c r="EP347" s="517"/>
      <c r="EQ347" s="517"/>
      <c r="ER347" s="517"/>
      <c r="ES347" s="627"/>
    </row>
    <row r="348">
      <c r="A348" s="517"/>
      <c r="B348" s="517"/>
      <c r="C348" s="517"/>
      <c r="D348" s="517"/>
      <c r="E348" s="517"/>
      <c r="F348" s="517"/>
      <c r="G348" s="517"/>
      <c r="H348" s="517"/>
      <c r="I348" s="517"/>
      <c r="J348" s="517"/>
      <c r="K348" s="517"/>
      <c r="L348" s="517"/>
      <c r="M348" s="517"/>
      <c r="N348" s="517"/>
      <c r="O348" s="517"/>
      <c r="P348" s="517"/>
      <c r="Q348" s="517"/>
      <c r="R348" s="517"/>
      <c r="S348" s="517"/>
      <c r="T348" s="517"/>
      <c r="U348" s="517"/>
      <c r="V348" s="517"/>
      <c r="W348" s="517"/>
      <c r="X348" s="517"/>
      <c r="Y348" s="517"/>
      <c r="Z348" s="517"/>
      <c r="AA348" s="517"/>
      <c r="AB348" s="517"/>
      <c r="AC348" s="517"/>
      <c r="AD348" s="517"/>
      <c r="AE348" s="517"/>
      <c r="AF348" s="517"/>
      <c r="AG348" s="517"/>
      <c r="AH348" s="517"/>
      <c r="AI348" s="517"/>
      <c r="AJ348" s="517"/>
      <c r="AK348" s="517"/>
      <c r="AL348" s="517"/>
      <c r="AM348" s="517"/>
      <c r="AN348" s="517"/>
      <c r="AO348" s="517"/>
      <c r="AP348" s="517"/>
      <c r="AQ348" s="517"/>
      <c r="AR348" s="517"/>
      <c r="AS348" s="517"/>
      <c r="AT348" s="517"/>
      <c r="AU348" s="517"/>
      <c r="AV348" s="517"/>
      <c r="AW348" s="517"/>
      <c r="AX348" s="517"/>
      <c r="AY348" s="517"/>
      <c r="AZ348" s="517"/>
      <c r="BA348" s="517"/>
      <c r="BB348" s="517"/>
      <c r="BC348" s="517"/>
      <c r="BD348" s="517"/>
      <c r="BE348" s="517"/>
      <c r="BF348" s="517"/>
      <c r="BG348" s="517"/>
      <c r="BH348" s="517"/>
      <c r="BI348" s="517"/>
      <c r="BJ348" s="517"/>
      <c r="BK348" s="517"/>
      <c r="BL348" s="517"/>
      <c r="BM348" s="517"/>
      <c r="BN348" s="517"/>
      <c r="BO348" s="517"/>
      <c r="BP348" s="517"/>
      <c r="BQ348" s="517"/>
      <c r="BR348" s="517"/>
      <c r="BS348" s="517"/>
      <c r="BT348" s="517"/>
      <c r="BU348" s="517"/>
      <c r="BV348" s="517"/>
      <c r="BW348" s="517"/>
      <c r="BX348" s="517"/>
      <c r="BY348" s="517"/>
      <c r="BZ348" s="517"/>
      <c r="CA348" s="517"/>
      <c r="CB348" s="517"/>
      <c r="CC348" s="517"/>
      <c r="CD348" s="517"/>
      <c r="CE348" s="517"/>
      <c r="CF348" s="517"/>
      <c r="CG348" s="517"/>
      <c r="CH348" s="517"/>
      <c r="CI348" s="517"/>
      <c r="CJ348" s="517"/>
      <c r="CK348" s="517"/>
      <c r="CL348" s="517"/>
      <c r="CM348" s="517"/>
      <c r="CN348" s="517"/>
      <c r="CO348" s="517"/>
      <c r="CP348" s="517"/>
      <c r="CQ348" s="517"/>
      <c r="CR348" s="517"/>
      <c r="CS348" s="517"/>
      <c r="CT348" s="517"/>
      <c r="CU348" s="517"/>
      <c r="CV348" s="517"/>
      <c r="CW348" s="517"/>
      <c r="CX348" s="517"/>
      <c r="CY348" s="517"/>
      <c r="CZ348" s="517"/>
      <c r="DA348" s="517"/>
      <c r="DB348" s="517"/>
      <c r="DC348" s="517"/>
      <c r="DD348" s="517"/>
      <c r="DE348" s="517"/>
      <c r="DF348" s="517"/>
      <c r="DG348" s="517"/>
      <c r="DH348" s="517"/>
      <c r="DI348" s="517"/>
      <c r="DJ348" s="517"/>
      <c r="DK348" s="517"/>
      <c r="DL348" s="517"/>
      <c r="DM348" s="517"/>
      <c r="DN348" s="517"/>
      <c r="DO348" s="517"/>
      <c r="DP348" s="517"/>
      <c r="DQ348" s="517"/>
      <c r="DR348" s="517"/>
      <c r="DS348" s="517"/>
      <c r="DT348" s="517"/>
      <c r="DU348" s="517"/>
      <c r="DV348" s="517"/>
      <c r="DW348" s="517"/>
      <c r="DX348" s="517"/>
      <c r="DY348" s="517"/>
      <c r="DZ348" s="517"/>
      <c r="EA348" s="517"/>
      <c r="EB348" s="517"/>
      <c r="EC348" s="517"/>
      <c r="ED348" s="517"/>
      <c r="EE348" s="517"/>
      <c r="EF348" s="517"/>
      <c r="EG348" s="517"/>
      <c r="EH348" s="517"/>
      <c r="EI348" s="517"/>
      <c r="EJ348" s="517"/>
      <c r="EK348" s="517"/>
      <c r="EL348" s="517"/>
      <c r="EM348" s="517"/>
      <c r="EN348" s="517"/>
      <c r="EO348" s="517"/>
      <c r="EP348" s="517"/>
      <c r="EQ348" s="517"/>
      <c r="ER348" s="517"/>
      <c r="ES348" s="627"/>
    </row>
    <row r="349">
      <c r="A349" s="517"/>
      <c r="B349" s="517"/>
      <c r="C349" s="517"/>
      <c r="D349" s="517"/>
      <c r="E349" s="517"/>
      <c r="F349" s="517"/>
      <c r="G349" s="517"/>
      <c r="H349" s="517"/>
      <c r="I349" s="517"/>
      <c r="J349" s="517"/>
      <c r="K349" s="517"/>
      <c r="L349" s="517"/>
      <c r="M349" s="517"/>
      <c r="N349" s="517"/>
      <c r="O349" s="517"/>
      <c r="P349" s="517"/>
      <c r="Q349" s="517"/>
      <c r="R349" s="517"/>
      <c r="S349" s="517"/>
      <c r="T349" s="517"/>
      <c r="U349" s="517"/>
      <c r="V349" s="517"/>
      <c r="W349" s="517"/>
      <c r="X349" s="517"/>
      <c r="Y349" s="517"/>
      <c r="Z349" s="517"/>
      <c r="AA349" s="517"/>
      <c r="AB349" s="517"/>
      <c r="AC349" s="517"/>
      <c r="AD349" s="517"/>
      <c r="AE349" s="517"/>
      <c r="AF349" s="517"/>
      <c r="AG349" s="517"/>
      <c r="AH349" s="517"/>
      <c r="AI349" s="517"/>
      <c r="AJ349" s="517"/>
      <c r="AK349" s="517"/>
      <c r="AL349" s="517"/>
      <c r="AM349" s="517"/>
      <c r="AN349" s="517"/>
      <c r="AO349" s="517"/>
      <c r="AP349" s="517"/>
      <c r="AQ349" s="517"/>
      <c r="AR349" s="517"/>
      <c r="AS349" s="517"/>
      <c r="AT349" s="517"/>
      <c r="AU349" s="517"/>
      <c r="AV349" s="517"/>
      <c r="AW349" s="517"/>
      <c r="AX349" s="517"/>
      <c r="AY349" s="517"/>
      <c r="AZ349" s="517"/>
      <c r="BA349" s="517"/>
      <c r="BB349" s="517"/>
      <c r="BC349" s="517"/>
      <c r="BD349" s="517"/>
      <c r="BE349" s="517"/>
      <c r="BF349" s="517"/>
      <c r="BG349" s="517"/>
      <c r="BH349" s="517"/>
      <c r="BI349" s="517"/>
      <c r="BJ349" s="517"/>
      <c r="BK349" s="517"/>
      <c r="BL349" s="517"/>
      <c r="BM349" s="517"/>
      <c r="BN349" s="517"/>
      <c r="BO349" s="517"/>
      <c r="BP349" s="517"/>
      <c r="BQ349" s="517"/>
      <c r="BR349" s="517"/>
      <c r="BS349" s="517"/>
      <c r="BT349" s="517"/>
      <c r="BU349" s="517"/>
      <c r="BV349" s="517"/>
      <c r="BW349" s="517"/>
      <c r="BX349" s="517"/>
      <c r="BY349" s="517"/>
      <c r="BZ349" s="517"/>
      <c r="CA349" s="517"/>
      <c r="CB349" s="517"/>
      <c r="CC349" s="517"/>
      <c r="CD349" s="517"/>
      <c r="CE349" s="517"/>
      <c r="CF349" s="517"/>
      <c r="CG349" s="517"/>
      <c r="CH349" s="517"/>
      <c r="CI349" s="517"/>
      <c r="CJ349" s="517"/>
      <c r="CK349" s="517"/>
      <c r="CL349" s="517"/>
      <c r="CM349" s="517"/>
      <c r="CN349" s="517"/>
      <c r="CO349" s="517"/>
      <c r="CP349" s="517"/>
      <c r="CQ349" s="517"/>
      <c r="CR349" s="517"/>
      <c r="CS349" s="517"/>
      <c r="CT349" s="517"/>
      <c r="CU349" s="517"/>
      <c r="CV349" s="517"/>
      <c r="CW349" s="517"/>
      <c r="CX349" s="517"/>
      <c r="CY349" s="517"/>
      <c r="CZ349" s="517"/>
      <c r="DA349" s="517"/>
      <c r="DB349" s="517"/>
      <c r="DC349" s="517"/>
      <c r="DD349" s="517"/>
      <c r="DE349" s="517"/>
      <c r="DF349" s="517"/>
      <c r="DG349" s="517"/>
      <c r="DH349" s="517"/>
      <c r="DI349" s="517"/>
      <c r="DJ349" s="517"/>
      <c r="DK349" s="517"/>
      <c r="DL349" s="517"/>
      <c r="DM349" s="517"/>
      <c r="DN349" s="517"/>
      <c r="DO349" s="517"/>
      <c r="DP349" s="517"/>
      <c r="DQ349" s="517"/>
      <c r="DR349" s="517"/>
      <c r="DS349" s="517"/>
      <c r="DT349" s="517"/>
      <c r="DU349" s="517"/>
      <c r="DV349" s="517"/>
      <c r="DW349" s="517"/>
      <c r="DX349" s="517"/>
      <c r="DY349" s="517"/>
      <c r="DZ349" s="517"/>
      <c r="EA349" s="517"/>
      <c r="EB349" s="517"/>
      <c r="EC349" s="517"/>
      <c r="ED349" s="517"/>
      <c r="EE349" s="517"/>
      <c r="EF349" s="517"/>
      <c r="EG349" s="517"/>
      <c r="EH349" s="517"/>
      <c r="EI349" s="517"/>
      <c r="EJ349" s="517"/>
      <c r="EK349" s="517"/>
      <c r="EL349" s="517"/>
      <c r="EM349" s="517"/>
      <c r="EN349" s="517"/>
      <c r="EO349" s="517"/>
      <c r="EP349" s="517"/>
      <c r="EQ349" s="517"/>
      <c r="ER349" s="517"/>
      <c r="ES349" s="627"/>
    </row>
    <row r="350">
      <c r="A350" s="517"/>
      <c r="B350" s="517"/>
      <c r="C350" s="517"/>
      <c r="D350" s="517"/>
      <c r="E350" s="517"/>
      <c r="F350" s="517"/>
      <c r="G350" s="517"/>
      <c r="H350" s="517"/>
      <c r="I350" s="517"/>
      <c r="J350" s="517"/>
      <c r="K350" s="517"/>
      <c r="L350" s="517"/>
      <c r="M350" s="517"/>
      <c r="N350" s="517"/>
      <c r="O350" s="517"/>
      <c r="P350" s="517"/>
      <c r="Q350" s="517"/>
      <c r="R350" s="517"/>
      <c r="S350" s="517"/>
      <c r="T350" s="517"/>
      <c r="U350" s="517"/>
      <c r="V350" s="517"/>
      <c r="W350" s="517"/>
      <c r="X350" s="517"/>
      <c r="Y350" s="517"/>
      <c r="Z350" s="517"/>
      <c r="AA350" s="517"/>
      <c r="AB350" s="517"/>
      <c r="AC350" s="517"/>
      <c r="AD350" s="517"/>
      <c r="AE350" s="517"/>
      <c r="AF350" s="517"/>
      <c r="AG350" s="517"/>
      <c r="AH350" s="517"/>
      <c r="AI350" s="517"/>
      <c r="AJ350" s="517"/>
      <c r="AK350" s="517"/>
      <c r="AL350" s="517"/>
      <c r="AM350" s="517"/>
      <c r="AN350" s="517"/>
      <c r="AO350" s="517"/>
      <c r="AP350" s="517"/>
      <c r="AQ350" s="517"/>
      <c r="AR350" s="517"/>
      <c r="AS350" s="517"/>
      <c r="AT350" s="517"/>
      <c r="AU350" s="517"/>
      <c r="AV350" s="517"/>
      <c r="AW350" s="517"/>
      <c r="AX350" s="517"/>
      <c r="AY350" s="517"/>
      <c r="AZ350" s="517"/>
      <c r="BA350" s="517"/>
      <c r="BB350" s="517"/>
      <c r="BC350" s="517"/>
      <c r="BD350" s="517"/>
      <c r="BE350" s="517"/>
      <c r="BF350" s="517"/>
      <c r="BG350" s="517"/>
      <c r="BH350" s="517"/>
      <c r="BI350" s="517"/>
      <c r="BJ350" s="517"/>
      <c r="BK350" s="517"/>
      <c r="BL350" s="517"/>
      <c r="BM350" s="517"/>
      <c r="BN350" s="517"/>
      <c r="BO350" s="517"/>
      <c r="BP350" s="517"/>
      <c r="BQ350" s="517"/>
      <c r="BR350" s="517"/>
      <c r="BS350" s="517"/>
      <c r="BT350" s="517"/>
      <c r="BU350" s="517"/>
      <c r="BV350" s="517"/>
      <c r="BW350" s="517"/>
      <c r="BX350" s="517"/>
      <c r="BY350" s="517"/>
      <c r="BZ350" s="517"/>
      <c r="CA350" s="517"/>
      <c r="CB350" s="517"/>
      <c r="CC350" s="517"/>
      <c r="CD350" s="517"/>
      <c r="CE350" s="517"/>
      <c r="CF350" s="517"/>
      <c r="CG350" s="517"/>
      <c r="CH350" s="517"/>
      <c r="CI350" s="517"/>
      <c r="CJ350" s="517"/>
      <c r="CK350" s="517"/>
      <c r="CL350" s="517"/>
      <c r="CM350" s="517"/>
      <c r="CN350" s="517"/>
      <c r="CO350" s="517"/>
      <c r="CP350" s="517"/>
      <c r="CQ350" s="517"/>
      <c r="CR350" s="517"/>
      <c r="CS350" s="517"/>
      <c r="CT350" s="517"/>
      <c r="CU350" s="517"/>
      <c r="CV350" s="517"/>
      <c r="CW350" s="517"/>
      <c r="CX350" s="517"/>
      <c r="CY350" s="517"/>
      <c r="CZ350" s="517"/>
      <c r="DA350" s="517"/>
      <c r="DB350" s="517"/>
      <c r="DC350" s="517"/>
      <c r="DD350" s="517"/>
      <c r="DE350" s="517"/>
      <c r="DF350" s="517"/>
      <c r="DG350" s="517"/>
      <c r="DH350" s="517"/>
      <c r="DI350" s="517"/>
      <c r="DJ350" s="517"/>
      <c r="DK350" s="517"/>
      <c r="DL350" s="517"/>
      <c r="DM350" s="517"/>
      <c r="DN350" s="517"/>
      <c r="DO350" s="517"/>
      <c r="DP350" s="517"/>
      <c r="DQ350" s="517"/>
      <c r="DR350" s="517"/>
      <c r="DS350" s="517"/>
      <c r="DT350" s="517"/>
      <c r="DU350" s="517"/>
      <c r="DV350" s="517"/>
      <c r="DW350" s="517"/>
      <c r="DX350" s="517"/>
      <c r="DY350" s="517"/>
      <c r="DZ350" s="517"/>
      <c r="EA350" s="517"/>
      <c r="EB350" s="517"/>
      <c r="EC350" s="517"/>
      <c r="ED350" s="517"/>
      <c r="EE350" s="517"/>
      <c r="EF350" s="517"/>
      <c r="EG350" s="517"/>
      <c r="EH350" s="517"/>
      <c r="EI350" s="517"/>
      <c r="EJ350" s="517"/>
      <c r="EK350" s="517"/>
      <c r="EL350" s="517"/>
      <c r="EM350" s="517"/>
      <c r="EN350" s="517"/>
      <c r="EO350" s="517"/>
      <c r="EP350" s="517"/>
      <c r="EQ350" s="517"/>
      <c r="ER350" s="517"/>
      <c r="ES350" s="627"/>
    </row>
    <row r="351">
      <c r="A351" s="517"/>
      <c r="B351" s="517"/>
      <c r="C351" s="517"/>
      <c r="D351" s="517"/>
      <c r="E351" s="517"/>
      <c r="F351" s="517"/>
      <c r="G351" s="517"/>
      <c r="H351" s="517"/>
      <c r="I351" s="517"/>
      <c r="J351" s="517"/>
      <c r="K351" s="517"/>
      <c r="L351" s="517"/>
      <c r="M351" s="517"/>
      <c r="N351" s="517"/>
      <c r="O351" s="517"/>
      <c r="P351" s="517"/>
      <c r="Q351" s="517"/>
      <c r="R351" s="517"/>
      <c r="S351" s="517"/>
      <c r="T351" s="517"/>
      <c r="U351" s="517"/>
      <c r="V351" s="517"/>
      <c r="W351" s="517"/>
      <c r="X351" s="517"/>
      <c r="Y351" s="517"/>
      <c r="Z351" s="517"/>
      <c r="AA351" s="517"/>
      <c r="AB351" s="517"/>
      <c r="AC351" s="517"/>
      <c r="AD351" s="517"/>
      <c r="AE351" s="517"/>
      <c r="AF351" s="517"/>
      <c r="AG351" s="517"/>
      <c r="AH351" s="517"/>
      <c r="AI351" s="517"/>
      <c r="AJ351" s="517"/>
      <c r="AK351" s="517"/>
      <c r="AL351" s="517"/>
      <c r="AM351" s="517"/>
      <c r="AN351" s="517"/>
      <c r="AO351" s="517"/>
      <c r="AP351" s="517"/>
      <c r="AQ351" s="517"/>
      <c r="AR351" s="517"/>
      <c r="AS351" s="517"/>
      <c r="AT351" s="517"/>
      <c r="AU351" s="517"/>
      <c r="AV351" s="517"/>
      <c r="AW351" s="517"/>
      <c r="AX351" s="517"/>
      <c r="AY351" s="517"/>
      <c r="AZ351" s="517"/>
      <c r="BA351" s="517"/>
      <c r="BB351" s="517"/>
      <c r="BC351" s="517"/>
      <c r="BD351" s="517"/>
      <c r="BE351" s="517"/>
      <c r="BF351" s="517"/>
      <c r="BG351" s="517"/>
      <c r="BH351" s="517"/>
      <c r="BI351" s="517"/>
      <c r="BJ351" s="517"/>
      <c r="BK351" s="517"/>
      <c r="BL351" s="517"/>
      <c r="BM351" s="517"/>
      <c r="BN351" s="517"/>
      <c r="BO351" s="517"/>
      <c r="BP351" s="517"/>
      <c r="BQ351" s="517"/>
      <c r="BR351" s="517"/>
      <c r="BS351" s="517"/>
      <c r="BT351" s="517"/>
      <c r="BU351" s="517"/>
      <c r="BV351" s="517"/>
      <c r="BW351" s="517"/>
      <c r="BX351" s="517"/>
      <c r="BY351" s="517"/>
      <c r="BZ351" s="517"/>
      <c r="CA351" s="517"/>
      <c r="CB351" s="517"/>
      <c r="CC351" s="517"/>
      <c r="CD351" s="517"/>
      <c r="CE351" s="517"/>
      <c r="CF351" s="517"/>
      <c r="CG351" s="517"/>
      <c r="CH351" s="517"/>
      <c r="CI351" s="517"/>
      <c r="CJ351" s="517"/>
      <c r="CK351" s="517"/>
      <c r="CL351" s="517"/>
      <c r="CM351" s="517"/>
      <c r="CN351" s="517"/>
      <c r="CO351" s="517"/>
      <c r="CP351" s="517"/>
      <c r="CQ351" s="517"/>
      <c r="CR351" s="517"/>
      <c r="CS351" s="517"/>
      <c r="CT351" s="517"/>
      <c r="CU351" s="517"/>
      <c r="CV351" s="517"/>
      <c r="CW351" s="517"/>
      <c r="CX351" s="517"/>
      <c r="CY351" s="517"/>
      <c r="CZ351" s="517"/>
      <c r="DA351" s="517"/>
      <c r="DB351" s="517"/>
      <c r="DC351" s="517"/>
      <c r="DD351" s="517"/>
      <c r="DE351" s="517"/>
      <c r="DF351" s="517"/>
      <c r="DG351" s="517"/>
      <c r="DH351" s="517"/>
      <c r="DI351" s="517"/>
      <c r="DJ351" s="517"/>
      <c r="DK351" s="517"/>
      <c r="DL351" s="517"/>
      <c r="DM351" s="517"/>
      <c r="DN351" s="517"/>
      <c r="DO351" s="517"/>
      <c r="DP351" s="517"/>
      <c r="DQ351" s="517"/>
      <c r="DR351" s="517"/>
      <c r="DS351" s="517"/>
      <c r="DT351" s="517"/>
      <c r="DU351" s="517"/>
      <c r="DV351" s="517"/>
      <c r="DW351" s="517"/>
      <c r="DX351" s="517"/>
      <c r="DY351" s="517"/>
      <c r="DZ351" s="517"/>
      <c r="EA351" s="517"/>
      <c r="EB351" s="517"/>
      <c r="EC351" s="517"/>
      <c r="ED351" s="517"/>
      <c r="EE351" s="517"/>
      <c r="EF351" s="517"/>
      <c r="EG351" s="517"/>
      <c r="EH351" s="517"/>
      <c r="EI351" s="517"/>
      <c r="EJ351" s="517"/>
      <c r="EK351" s="517"/>
      <c r="EL351" s="517"/>
      <c r="EM351" s="517"/>
      <c r="EN351" s="517"/>
      <c r="EO351" s="517"/>
      <c r="EP351" s="517"/>
      <c r="EQ351" s="517"/>
      <c r="ER351" s="517"/>
      <c r="ES351" s="627"/>
    </row>
    <row r="352">
      <c r="A352" s="517"/>
      <c r="B352" s="517"/>
      <c r="C352" s="517"/>
      <c r="D352" s="517"/>
      <c r="E352" s="517"/>
      <c r="F352" s="517"/>
      <c r="G352" s="517"/>
      <c r="H352" s="517"/>
      <c r="I352" s="517"/>
      <c r="J352" s="517"/>
      <c r="K352" s="517"/>
      <c r="L352" s="517"/>
      <c r="M352" s="517"/>
      <c r="N352" s="517"/>
      <c r="O352" s="517"/>
      <c r="P352" s="517"/>
      <c r="Q352" s="517"/>
      <c r="R352" s="517"/>
      <c r="S352" s="517"/>
      <c r="T352" s="517"/>
      <c r="U352" s="517"/>
      <c r="V352" s="517"/>
      <c r="W352" s="517"/>
      <c r="X352" s="517"/>
      <c r="Y352" s="517"/>
      <c r="Z352" s="517"/>
      <c r="AA352" s="517"/>
      <c r="AB352" s="517"/>
      <c r="AC352" s="517"/>
      <c r="AD352" s="517"/>
      <c r="AE352" s="517"/>
      <c r="AF352" s="517"/>
      <c r="AG352" s="517"/>
      <c r="AH352" s="517"/>
      <c r="AI352" s="517"/>
      <c r="AJ352" s="517"/>
      <c r="AK352" s="517"/>
      <c r="AL352" s="517"/>
      <c r="AM352" s="517"/>
      <c r="AN352" s="517"/>
      <c r="AO352" s="517"/>
      <c r="AP352" s="517"/>
      <c r="AQ352" s="517"/>
      <c r="AR352" s="517"/>
      <c r="AS352" s="517"/>
      <c r="AT352" s="517"/>
      <c r="AU352" s="517"/>
      <c r="AV352" s="517"/>
      <c r="AW352" s="517"/>
      <c r="AX352" s="517"/>
      <c r="AY352" s="517"/>
      <c r="AZ352" s="517"/>
      <c r="BA352" s="517"/>
      <c r="BB352" s="517"/>
      <c r="BC352" s="517"/>
      <c r="BD352" s="517"/>
      <c r="BE352" s="517"/>
      <c r="BF352" s="517"/>
      <c r="BG352" s="517"/>
      <c r="BH352" s="517"/>
      <c r="BI352" s="517"/>
      <c r="BJ352" s="517"/>
      <c r="BK352" s="517"/>
      <c r="BL352" s="517"/>
      <c r="BM352" s="517"/>
      <c r="BN352" s="517"/>
      <c r="BO352" s="517"/>
      <c r="BP352" s="517"/>
      <c r="BQ352" s="517"/>
      <c r="BR352" s="517"/>
      <c r="BS352" s="517"/>
      <c r="BT352" s="517"/>
      <c r="BU352" s="517"/>
      <c r="BV352" s="517"/>
      <c r="BW352" s="517"/>
      <c r="BX352" s="517"/>
      <c r="BY352" s="517"/>
      <c r="BZ352" s="517"/>
      <c r="CA352" s="517"/>
      <c r="CB352" s="517"/>
      <c r="CC352" s="517"/>
      <c r="CD352" s="517"/>
      <c r="CE352" s="517"/>
      <c r="CF352" s="517"/>
      <c r="CG352" s="517"/>
      <c r="CH352" s="517"/>
      <c r="CI352" s="517"/>
      <c r="CJ352" s="517"/>
      <c r="CK352" s="517"/>
      <c r="CL352" s="517"/>
      <c r="CM352" s="517"/>
      <c r="CN352" s="517"/>
      <c r="CO352" s="517"/>
      <c r="CP352" s="517"/>
      <c r="CQ352" s="517"/>
      <c r="CR352" s="517"/>
      <c r="CS352" s="517"/>
      <c r="CT352" s="517"/>
      <c r="CU352" s="517"/>
      <c r="CV352" s="517"/>
      <c r="CW352" s="517"/>
      <c r="CX352" s="517"/>
      <c r="CY352" s="517"/>
      <c r="CZ352" s="517"/>
      <c r="DA352" s="517"/>
      <c r="DB352" s="517"/>
      <c r="DC352" s="517"/>
      <c r="DD352" s="517"/>
      <c r="DE352" s="517"/>
      <c r="DF352" s="517"/>
      <c r="DG352" s="517"/>
      <c r="DH352" s="517"/>
      <c r="DI352" s="517"/>
      <c r="DJ352" s="517"/>
      <c r="DK352" s="517"/>
      <c r="DL352" s="517"/>
      <c r="DM352" s="517"/>
      <c r="DN352" s="517"/>
      <c r="DO352" s="517"/>
      <c r="DP352" s="517"/>
      <c r="DQ352" s="517"/>
      <c r="DR352" s="517"/>
      <c r="DS352" s="517"/>
      <c r="DT352" s="517"/>
      <c r="DU352" s="517"/>
      <c r="DV352" s="517"/>
      <c r="DW352" s="517"/>
      <c r="DX352" s="517"/>
      <c r="DY352" s="517"/>
      <c r="DZ352" s="517"/>
      <c r="EA352" s="517"/>
      <c r="EB352" s="517"/>
      <c r="EC352" s="517"/>
      <c r="ED352" s="517"/>
      <c r="EE352" s="517"/>
      <c r="EF352" s="517"/>
      <c r="EG352" s="517"/>
      <c r="EH352" s="517"/>
      <c r="EI352" s="517"/>
      <c r="EJ352" s="517"/>
      <c r="EK352" s="517"/>
      <c r="EL352" s="517"/>
      <c r="EM352" s="517"/>
      <c r="EN352" s="517"/>
      <c r="EO352" s="517"/>
      <c r="EP352" s="517"/>
      <c r="EQ352" s="517"/>
      <c r="ER352" s="517"/>
      <c r="ES352" s="627"/>
    </row>
    <row r="353">
      <c r="A353" s="517"/>
      <c r="B353" s="517"/>
      <c r="C353" s="517"/>
      <c r="D353" s="517"/>
      <c r="E353" s="517"/>
      <c r="F353" s="517"/>
      <c r="G353" s="517"/>
      <c r="H353" s="517"/>
      <c r="I353" s="517"/>
      <c r="J353" s="517"/>
      <c r="K353" s="517"/>
      <c r="L353" s="517"/>
      <c r="M353" s="517"/>
      <c r="N353" s="517"/>
      <c r="O353" s="517"/>
      <c r="P353" s="517"/>
      <c r="Q353" s="517"/>
      <c r="R353" s="517"/>
      <c r="S353" s="517"/>
      <c r="T353" s="517"/>
      <c r="U353" s="517"/>
      <c r="V353" s="517"/>
      <c r="W353" s="517"/>
      <c r="X353" s="517"/>
      <c r="Y353" s="517"/>
      <c r="Z353" s="517"/>
      <c r="AA353" s="517"/>
      <c r="AB353" s="517"/>
      <c r="AC353" s="517"/>
      <c r="AD353" s="517"/>
      <c r="AE353" s="517"/>
      <c r="AF353" s="517"/>
      <c r="AG353" s="517"/>
      <c r="AH353" s="517"/>
      <c r="AI353" s="517"/>
      <c r="AJ353" s="517"/>
      <c r="AK353" s="517"/>
      <c r="AL353" s="517"/>
      <c r="AM353" s="517"/>
      <c r="AN353" s="517"/>
      <c r="AO353" s="517"/>
      <c r="AP353" s="517"/>
      <c r="AQ353" s="517"/>
      <c r="AR353" s="517"/>
      <c r="AS353" s="517"/>
      <c r="AT353" s="517"/>
      <c r="AU353" s="517"/>
      <c r="AV353" s="517"/>
      <c r="AW353" s="517"/>
      <c r="AX353" s="517"/>
      <c r="AY353" s="517"/>
      <c r="AZ353" s="517"/>
      <c r="BA353" s="517"/>
      <c r="BB353" s="517"/>
      <c r="BC353" s="517"/>
      <c r="BD353" s="517"/>
      <c r="BE353" s="517"/>
      <c r="BF353" s="517"/>
      <c r="BG353" s="517"/>
      <c r="BH353" s="517"/>
      <c r="BI353" s="517"/>
      <c r="BJ353" s="517"/>
      <c r="BK353" s="517"/>
      <c r="BL353" s="517"/>
      <c r="BM353" s="517"/>
      <c r="BN353" s="517"/>
      <c r="BO353" s="517"/>
      <c r="BP353" s="517"/>
      <c r="BQ353" s="517"/>
      <c r="BR353" s="517"/>
      <c r="BS353" s="517"/>
      <c r="BT353" s="517"/>
      <c r="BU353" s="517"/>
      <c r="BV353" s="517"/>
      <c r="BW353" s="517"/>
      <c r="BX353" s="517"/>
      <c r="BY353" s="517"/>
      <c r="BZ353" s="517"/>
      <c r="CA353" s="517"/>
      <c r="CB353" s="517"/>
      <c r="CC353" s="517"/>
      <c r="CD353" s="517"/>
      <c r="CE353" s="517"/>
      <c r="CF353" s="517"/>
      <c r="CG353" s="517"/>
      <c r="CH353" s="517"/>
      <c r="CI353" s="517"/>
      <c r="CJ353" s="517"/>
      <c r="CK353" s="517"/>
      <c r="CL353" s="517"/>
      <c r="CM353" s="517"/>
      <c r="CN353" s="517"/>
      <c r="CO353" s="517"/>
      <c r="CP353" s="517"/>
      <c r="CQ353" s="517"/>
      <c r="CR353" s="517"/>
      <c r="CS353" s="517"/>
      <c r="CT353" s="517"/>
      <c r="CU353" s="517"/>
      <c r="CV353" s="517"/>
      <c r="CW353" s="517"/>
      <c r="CX353" s="517"/>
      <c r="CY353" s="517"/>
      <c r="CZ353" s="517"/>
      <c r="DA353" s="517"/>
      <c r="DB353" s="517"/>
      <c r="DC353" s="517"/>
      <c r="DD353" s="517"/>
      <c r="DE353" s="517"/>
      <c r="DF353" s="517"/>
      <c r="DG353" s="517"/>
      <c r="DH353" s="517"/>
      <c r="DI353" s="517"/>
      <c r="DJ353" s="517"/>
      <c r="DK353" s="517"/>
      <c r="DL353" s="517"/>
      <c r="DM353" s="517"/>
      <c r="DN353" s="517"/>
      <c r="DO353" s="517"/>
      <c r="DP353" s="517"/>
      <c r="DQ353" s="517"/>
      <c r="DR353" s="517"/>
      <c r="DS353" s="517"/>
      <c r="DT353" s="517"/>
      <c r="DU353" s="517"/>
      <c r="DV353" s="517"/>
      <c r="DW353" s="517"/>
      <c r="DX353" s="517"/>
      <c r="DY353" s="517"/>
      <c r="DZ353" s="517"/>
      <c r="EA353" s="517"/>
      <c r="EB353" s="517"/>
      <c r="EC353" s="517"/>
      <c r="ED353" s="517"/>
      <c r="EE353" s="517"/>
      <c r="EF353" s="517"/>
      <c r="EG353" s="517"/>
      <c r="EH353" s="517"/>
      <c r="EI353" s="517"/>
      <c r="EJ353" s="517"/>
      <c r="EK353" s="517"/>
      <c r="EL353" s="517"/>
      <c r="EM353" s="517"/>
      <c r="EN353" s="517"/>
      <c r="EO353" s="517"/>
      <c r="EP353" s="517"/>
      <c r="EQ353" s="517"/>
      <c r="ER353" s="517"/>
      <c r="ES353" s="627"/>
    </row>
    <row r="354">
      <c r="A354" s="517"/>
      <c r="B354" s="517"/>
      <c r="C354" s="517"/>
      <c r="D354" s="517"/>
      <c r="E354" s="517"/>
      <c r="F354" s="517"/>
      <c r="G354" s="517"/>
      <c r="H354" s="517"/>
      <c r="I354" s="517"/>
      <c r="J354" s="517"/>
      <c r="K354" s="517"/>
      <c r="L354" s="517"/>
      <c r="M354" s="517"/>
      <c r="N354" s="517"/>
      <c r="O354" s="517"/>
      <c r="P354" s="517"/>
      <c r="Q354" s="517"/>
      <c r="R354" s="517"/>
      <c r="S354" s="517"/>
      <c r="T354" s="517"/>
      <c r="U354" s="517"/>
      <c r="V354" s="517"/>
      <c r="W354" s="517"/>
      <c r="X354" s="517"/>
      <c r="Y354" s="517"/>
      <c r="Z354" s="517"/>
      <c r="AA354" s="517"/>
      <c r="AB354" s="517"/>
      <c r="AC354" s="517"/>
      <c r="AD354" s="517"/>
      <c r="AE354" s="517"/>
      <c r="AF354" s="517"/>
      <c r="AG354" s="517"/>
      <c r="AH354" s="517"/>
      <c r="AI354" s="517"/>
      <c r="AJ354" s="517"/>
      <c r="AK354" s="517"/>
      <c r="AL354" s="517"/>
      <c r="AM354" s="517"/>
      <c r="AN354" s="517"/>
      <c r="AO354" s="517"/>
      <c r="AP354" s="517"/>
      <c r="AQ354" s="517"/>
      <c r="AR354" s="517"/>
      <c r="AS354" s="517"/>
      <c r="AT354" s="517"/>
      <c r="AU354" s="517"/>
      <c r="AV354" s="517"/>
      <c r="AW354" s="517"/>
      <c r="AX354" s="517"/>
      <c r="AY354" s="517"/>
      <c r="AZ354" s="517"/>
      <c r="BA354" s="517"/>
      <c r="BB354" s="517"/>
      <c r="BC354" s="517"/>
      <c r="BD354" s="517"/>
      <c r="BE354" s="517"/>
      <c r="BF354" s="517"/>
      <c r="BG354" s="517"/>
      <c r="BH354" s="517"/>
      <c r="BI354" s="517"/>
      <c r="BJ354" s="517"/>
      <c r="BK354" s="517"/>
      <c r="BL354" s="517"/>
      <c r="BM354" s="517"/>
      <c r="BN354" s="517"/>
      <c r="BO354" s="517"/>
      <c r="BP354" s="517"/>
      <c r="BQ354" s="517"/>
      <c r="BR354" s="517"/>
      <c r="BS354" s="517"/>
      <c r="BT354" s="517"/>
      <c r="BU354" s="517"/>
      <c r="BV354" s="517"/>
      <c r="BW354" s="517"/>
      <c r="BX354" s="517"/>
      <c r="BY354" s="517"/>
      <c r="BZ354" s="517"/>
      <c r="CA354" s="517"/>
      <c r="CB354" s="517"/>
      <c r="CC354" s="517"/>
      <c r="CD354" s="517"/>
      <c r="CE354" s="517"/>
      <c r="CF354" s="517"/>
      <c r="CG354" s="517"/>
      <c r="CH354" s="517"/>
      <c r="CI354" s="517"/>
      <c r="CJ354" s="517"/>
      <c r="CK354" s="517"/>
      <c r="CL354" s="517"/>
      <c r="CM354" s="517"/>
      <c r="CN354" s="517"/>
      <c r="CO354" s="517"/>
      <c r="CP354" s="517"/>
      <c r="CQ354" s="517"/>
      <c r="CR354" s="517"/>
      <c r="CS354" s="517"/>
      <c r="CT354" s="517"/>
      <c r="CU354" s="517"/>
      <c r="CV354" s="517"/>
      <c r="CW354" s="517"/>
      <c r="CX354" s="517"/>
      <c r="CY354" s="517"/>
      <c r="CZ354" s="517"/>
      <c r="DA354" s="517"/>
      <c r="DB354" s="517"/>
      <c r="DC354" s="517"/>
      <c r="DD354" s="517"/>
      <c r="DE354" s="517"/>
      <c r="DF354" s="517"/>
      <c r="DG354" s="517"/>
      <c r="DH354" s="517"/>
      <c r="DI354" s="517"/>
      <c r="DJ354" s="517"/>
      <c r="DK354" s="517"/>
      <c r="DL354" s="517"/>
      <c r="DM354" s="517"/>
      <c r="DN354" s="517"/>
      <c r="DO354" s="517"/>
      <c r="DP354" s="517"/>
      <c r="DQ354" s="517"/>
      <c r="DR354" s="517"/>
      <c r="DS354" s="517"/>
      <c r="DT354" s="517"/>
      <c r="DU354" s="517"/>
      <c r="DV354" s="517"/>
      <c r="DW354" s="517"/>
      <c r="DX354" s="517"/>
      <c r="DY354" s="517"/>
      <c r="DZ354" s="517"/>
      <c r="EA354" s="517"/>
      <c r="EB354" s="517"/>
      <c r="EC354" s="517"/>
      <c r="ED354" s="517"/>
      <c r="EE354" s="517"/>
      <c r="EF354" s="517"/>
      <c r="EG354" s="517"/>
      <c r="EH354" s="517"/>
      <c r="EI354" s="517"/>
      <c r="EJ354" s="517"/>
      <c r="EK354" s="517"/>
      <c r="EL354" s="517"/>
      <c r="EM354" s="517"/>
      <c r="EN354" s="517"/>
      <c r="EO354" s="517"/>
      <c r="EP354" s="517"/>
      <c r="EQ354" s="517"/>
      <c r="ER354" s="517"/>
      <c r="ES354" s="627"/>
    </row>
    <row r="355">
      <c r="A355" s="517"/>
      <c r="B355" s="517"/>
      <c r="C355" s="517"/>
      <c r="D355" s="517"/>
      <c r="E355" s="517"/>
      <c r="F355" s="517"/>
      <c r="G355" s="517"/>
      <c r="H355" s="517"/>
      <c r="I355" s="517"/>
      <c r="J355" s="517"/>
      <c r="K355" s="517"/>
      <c r="L355" s="517"/>
      <c r="M355" s="517"/>
      <c r="N355" s="517"/>
      <c r="O355" s="517"/>
      <c r="P355" s="517"/>
      <c r="Q355" s="517"/>
      <c r="R355" s="517"/>
      <c r="S355" s="517"/>
      <c r="T355" s="517"/>
      <c r="U355" s="517"/>
      <c r="V355" s="517"/>
      <c r="W355" s="517"/>
      <c r="X355" s="517"/>
      <c r="Y355" s="517"/>
      <c r="Z355" s="517"/>
      <c r="AA355" s="517"/>
      <c r="AB355" s="517"/>
      <c r="AC355" s="517"/>
      <c r="AD355" s="517"/>
      <c r="AE355" s="517"/>
      <c r="AF355" s="517"/>
      <c r="AG355" s="517"/>
      <c r="AH355" s="517"/>
      <c r="AI355" s="517"/>
      <c r="AJ355" s="517"/>
      <c r="AK355" s="517"/>
      <c r="AL355" s="517"/>
      <c r="AM355" s="517"/>
      <c r="AN355" s="517"/>
      <c r="AO355" s="517"/>
      <c r="AP355" s="517"/>
      <c r="AQ355" s="517"/>
      <c r="AR355" s="517"/>
      <c r="AS355" s="517"/>
      <c r="AT355" s="517"/>
      <c r="AU355" s="517"/>
      <c r="AV355" s="517"/>
      <c r="AW355" s="517"/>
      <c r="AX355" s="517"/>
      <c r="AY355" s="517"/>
      <c r="AZ355" s="517"/>
      <c r="BA355" s="517"/>
      <c r="BB355" s="517"/>
      <c r="BC355" s="517"/>
      <c r="BD355" s="517"/>
      <c r="BE355" s="517"/>
      <c r="BF355" s="517"/>
      <c r="BG355" s="517"/>
      <c r="BH355" s="517"/>
      <c r="BI355" s="517"/>
      <c r="BJ355" s="517"/>
      <c r="BK355" s="517"/>
      <c r="BL355" s="517"/>
      <c r="BM355" s="517"/>
      <c r="BN355" s="517"/>
      <c r="BO355" s="517"/>
      <c r="BP355" s="517"/>
      <c r="BQ355" s="517"/>
      <c r="BR355" s="517"/>
      <c r="BS355" s="517"/>
      <c r="BT355" s="517"/>
      <c r="BU355" s="517"/>
      <c r="BV355" s="517"/>
      <c r="BW355" s="517"/>
      <c r="BX355" s="517"/>
      <c r="BY355" s="517"/>
      <c r="BZ355" s="517"/>
      <c r="CA355" s="517"/>
      <c r="CB355" s="517"/>
      <c r="CC355" s="517"/>
      <c r="CD355" s="517"/>
      <c r="CE355" s="517"/>
      <c r="CF355" s="517"/>
      <c r="CG355" s="517"/>
      <c r="CH355" s="517"/>
      <c r="CI355" s="517"/>
      <c r="CJ355" s="517"/>
      <c r="CK355" s="517"/>
      <c r="CL355" s="517"/>
      <c r="CM355" s="517"/>
      <c r="CN355" s="517"/>
      <c r="CO355" s="517"/>
      <c r="CP355" s="517"/>
      <c r="CQ355" s="517"/>
      <c r="CR355" s="517"/>
      <c r="CS355" s="517"/>
      <c r="CT355" s="517"/>
      <c r="CU355" s="517"/>
      <c r="CV355" s="517"/>
      <c r="CW355" s="517"/>
      <c r="CX355" s="517"/>
      <c r="CY355" s="517"/>
      <c r="CZ355" s="517"/>
      <c r="DA355" s="517"/>
      <c r="DB355" s="517"/>
      <c r="DC355" s="517"/>
      <c r="DD355" s="517"/>
      <c r="DE355" s="517"/>
      <c r="DF355" s="517"/>
      <c r="DG355" s="517"/>
      <c r="DH355" s="517"/>
      <c r="DI355" s="517"/>
      <c r="DJ355" s="517"/>
      <c r="DK355" s="517"/>
      <c r="DL355" s="517"/>
      <c r="DM355" s="517"/>
      <c r="DN355" s="517"/>
      <c r="DO355" s="517"/>
      <c r="DP355" s="517"/>
      <c r="DQ355" s="517"/>
      <c r="DR355" s="517"/>
      <c r="DS355" s="517"/>
      <c r="DT355" s="517"/>
      <c r="DU355" s="517"/>
      <c r="DV355" s="517"/>
      <c r="DW355" s="517"/>
      <c r="DX355" s="517"/>
      <c r="DY355" s="517"/>
      <c r="DZ355" s="517"/>
      <c r="EA355" s="517"/>
      <c r="EB355" s="517"/>
      <c r="EC355" s="517"/>
      <c r="ED355" s="517"/>
      <c r="EE355" s="517"/>
      <c r="EF355" s="517"/>
      <c r="EG355" s="517"/>
      <c r="EH355" s="517"/>
      <c r="EI355" s="517"/>
      <c r="EJ355" s="517"/>
      <c r="EK355" s="517"/>
      <c r="EL355" s="517"/>
      <c r="EM355" s="517"/>
      <c r="EN355" s="517"/>
      <c r="EO355" s="517"/>
      <c r="EP355" s="517"/>
      <c r="EQ355" s="517"/>
      <c r="ER355" s="517"/>
      <c r="ES355" s="627"/>
    </row>
    <row r="356">
      <c r="A356" s="517"/>
      <c r="B356" s="517"/>
      <c r="C356" s="517"/>
      <c r="D356" s="517"/>
      <c r="E356" s="517"/>
      <c r="F356" s="517"/>
      <c r="G356" s="517"/>
      <c r="H356" s="517"/>
      <c r="I356" s="517"/>
      <c r="J356" s="517"/>
      <c r="K356" s="517"/>
      <c r="L356" s="517"/>
      <c r="M356" s="517"/>
      <c r="N356" s="517"/>
      <c r="O356" s="517"/>
      <c r="P356" s="517"/>
      <c r="Q356" s="517"/>
      <c r="R356" s="517"/>
      <c r="S356" s="517"/>
      <c r="T356" s="517"/>
      <c r="U356" s="517"/>
      <c r="V356" s="517"/>
      <c r="W356" s="517"/>
      <c r="X356" s="517"/>
      <c r="Y356" s="517"/>
      <c r="Z356" s="517"/>
      <c r="AA356" s="517"/>
      <c r="AB356" s="517"/>
      <c r="AC356" s="517"/>
      <c r="AD356" s="517"/>
      <c r="AE356" s="517"/>
      <c r="AF356" s="517"/>
      <c r="AG356" s="517"/>
      <c r="AH356" s="517"/>
      <c r="AI356" s="517"/>
      <c r="AJ356" s="517"/>
      <c r="AK356" s="517"/>
      <c r="AL356" s="517"/>
      <c r="AM356" s="517"/>
      <c r="AN356" s="517"/>
      <c r="AO356" s="517"/>
      <c r="AP356" s="517"/>
      <c r="AQ356" s="517"/>
      <c r="AR356" s="517"/>
      <c r="AS356" s="517"/>
      <c r="AT356" s="517"/>
      <c r="AU356" s="517"/>
      <c r="AV356" s="517"/>
      <c r="AW356" s="517"/>
      <c r="AX356" s="517"/>
      <c r="AY356" s="517"/>
      <c r="AZ356" s="517"/>
      <c r="BA356" s="517"/>
      <c r="BB356" s="517"/>
      <c r="BC356" s="517"/>
      <c r="BD356" s="517"/>
      <c r="BE356" s="517"/>
      <c r="BF356" s="517"/>
      <c r="BG356" s="517"/>
      <c r="BH356" s="517"/>
      <c r="BI356" s="517"/>
      <c r="BJ356" s="517"/>
      <c r="BK356" s="517"/>
      <c r="BL356" s="517"/>
      <c r="BM356" s="517"/>
      <c r="BN356" s="517"/>
      <c r="BO356" s="517"/>
      <c r="BP356" s="517"/>
      <c r="BQ356" s="517"/>
      <c r="BR356" s="517"/>
      <c r="BS356" s="517"/>
      <c r="BT356" s="517"/>
      <c r="BU356" s="517"/>
      <c r="BV356" s="517"/>
      <c r="BW356" s="517"/>
      <c r="BX356" s="517"/>
      <c r="BY356" s="517"/>
      <c r="BZ356" s="517"/>
      <c r="CA356" s="517"/>
      <c r="CB356" s="517"/>
      <c r="CC356" s="517"/>
      <c r="CD356" s="517"/>
      <c r="CE356" s="517"/>
      <c r="CF356" s="517"/>
      <c r="CG356" s="517"/>
      <c r="CH356" s="517"/>
      <c r="CI356" s="517"/>
      <c r="CJ356" s="517"/>
      <c r="CK356" s="517"/>
      <c r="CL356" s="517"/>
      <c r="CM356" s="517"/>
      <c r="CN356" s="517"/>
      <c r="CO356" s="517"/>
      <c r="CP356" s="517"/>
      <c r="CQ356" s="517"/>
      <c r="CR356" s="517"/>
      <c r="CS356" s="517"/>
      <c r="CT356" s="517"/>
      <c r="CU356" s="517"/>
      <c r="CV356" s="517"/>
      <c r="CW356" s="517"/>
      <c r="CX356" s="517"/>
      <c r="CY356" s="517"/>
      <c r="CZ356" s="517"/>
      <c r="DA356" s="517"/>
      <c r="DB356" s="517"/>
      <c r="DC356" s="517"/>
      <c r="DD356" s="517"/>
      <c r="DE356" s="517"/>
      <c r="DF356" s="517"/>
      <c r="DG356" s="517"/>
      <c r="DH356" s="517"/>
      <c r="DI356" s="517"/>
      <c r="DJ356" s="517"/>
      <c r="DK356" s="517"/>
      <c r="DL356" s="517"/>
      <c r="DM356" s="517"/>
      <c r="DN356" s="517"/>
      <c r="DO356" s="517"/>
      <c r="DP356" s="517"/>
      <c r="DQ356" s="517"/>
      <c r="DR356" s="517"/>
      <c r="DS356" s="517"/>
      <c r="DT356" s="517"/>
      <c r="DU356" s="517"/>
      <c r="DV356" s="517"/>
      <c r="DW356" s="517"/>
      <c r="DX356" s="517"/>
      <c r="DY356" s="517"/>
      <c r="DZ356" s="517"/>
      <c r="EA356" s="517"/>
      <c r="EB356" s="517"/>
      <c r="EC356" s="517"/>
      <c r="ED356" s="517"/>
      <c r="EE356" s="517"/>
      <c r="EF356" s="517"/>
      <c r="EG356" s="517"/>
      <c r="EH356" s="517"/>
      <c r="EI356" s="517"/>
      <c r="EJ356" s="517"/>
      <c r="EK356" s="517"/>
      <c r="EL356" s="517"/>
      <c r="EM356" s="517"/>
      <c r="EN356" s="517"/>
      <c r="EO356" s="517"/>
      <c r="EP356" s="517"/>
      <c r="EQ356" s="517"/>
      <c r="ER356" s="517"/>
      <c r="ES356" s="627"/>
    </row>
    <row r="357">
      <c r="A357" s="517"/>
      <c r="B357" s="517"/>
      <c r="C357" s="517"/>
      <c r="D357" s="517"/>
      <c r="E357" s="517"/>
      <c r="F357" s="517"/>
      <c r="G357" s="517"/>
      <c r="H357" s="517"/>
      <c r="I357" s="517"/>
      <c r="J357" s="517"/>
      <c r="K357" s="517"/>
      <c r="L357" s="517"/>
      <c r="M357" s="517"/>
      <c r="N357" s="517"/>
      <c r="O357" s="517"/>
      <c r="P357" s="517"/>
      <c r="Q357" s="517"/>
      <c r="R357" s="517"/>
      <c r="S357" s="517"/>
      <c r="T357" s="517"/>
      <c r="U357" s="517"/>
      <c r="V357" s="517"/>
      <c r="W357" s="517"/>
      <c r="X357" s="517"/>
      <c r="Y357" s="517"/>
      <c r="Z357" s="517"/>
      <c r="AA357" s="517"/>
      <c r="AB357" s="517"/>
      <c r="AC357" s="517"/>
      <c r="AD357" s="517"/>
      <c r="AE357" s="517"/>
      <c r="AF357" s="517"/>
      <c r="AG357" s="517"/>
      <c r="AH357" s="517"/>
      <c r="AI357" s="517"/>
      <c r="AJ357" s="517"/>
      <c r="AK357" s="517"/>
      <c r="AL357" s="517"/>
      <c r="AM357" s="517"/>
      <c r="AN357" s="517"/>
      <c r="AO357" s="517"/>
      <c r="AP357" s="517"/>
      <c r="AQ357" s="517"/>
      <c r="AR357" s="517"/>
      <c r="AS357" s="517"/>
      <c r="AT357" s="517"/>
      <c r="AU357" s="517"/>
      <c r="AV357" s="517"/>
      <c r="AW357" s="517"/>
      <c r="AX357" s="517"/>
      <c r="AY357" s="517"/>
      <c r="AZ357" s="517"/>
      <c r="BA357" s="517"/>
      <c r="BB357" s="517"/>
      <c r="BC357" s="517"/>
      <c r="BD357" s="517"/>
      <c r="BE357" s="517"/>
      <c r="BF357" s="517"/>
      <c r="BG357" s="517"/>
      <c r="BH357" s="517"/>
      <c r="BI357" s="517"/>
      <c r="BJ357" s="517"/>
      <c r="BK357" s="517"/>
      <c r="BL357" s="517"/>
      <c r="BM357" s="517"/>
      <c r="BN357" s="517"/>
      <c r="BO357" s="517"/>
      <c r="BP357" s="517"/>
      <c r="BQ357" s="517"/>
      <c r="BR357" s="517"/>
      <c r="BS357" s="517"/>
      <c r="BT357" s="517"/>
      <c r="BU357" s="517"/>
      <c r="BV357" s="517"/>
      <c r="BW357" s="517"/>
      <c r="BX357" s="517"/>
      <c r="BY357" s="517"/>
      <c r="BZ357" s="517"/>
      <c r="CA357" s="517"/>
      <c r="CB357" s="517"/>
      <c r="CC357" s="517"/>
      <c r="CD357" s="517"/>
      <c r="CE357" s="517"/>
      <c r="CF357" s="517"/>
      <c r="CG357" s="517"/>
      <c r="CH357" s="517"/>
      <c r="CI357" s="517"/>
      <c r="CJ357" s="517"/>
      <c r="CK357" s="517"/>
      <c r="CL357" s="517"/>
      <c r="CM357" s="517"/>
      <c r="CN357" s="517"/>
      <c r="CO357" s="517"/>
      <c r="CP357" s="517"/>
      <c r="CQ357" s="517"/>
      <c r="CR357" s="517"/>
      <c r="CS357" s="517"/>
      <c r="CT357" s="517"/>
      <c r="CU357" s="517"/>
      <c r="CV357" s="517"/>
      <c r="CW357" s="517"/>
      <c r="CX357" s="517"/>
      <c r="CY357" s="517"/>
      <c r="CZ357" s="517"/>
      <c r="DA357" s="517"/>
      <c r="DB357" s="517"/>
      <c r="DC357" s="517"/>
      <c r="DD357" s="517"/>
      <c r="DE357" s="517"/>
      <c r="DF357" s="517"/>
      <c r="DG357" s="517"/>
      <c r="DH357" s="517"/>
      <c r="DI357" s="517"/>
      <c r="DJ357" s="517"/>
      <c r="DK357" s="517"/>
      <c r="DL357" s="517"/>
      <c r="DM357" s="517"/>
      <c r="DN357" s="517"/>
      <c r="DO357" s="517"/>
      <c r="DP357" s="517"/>
      <c r="DQ357" s="517"/>
      <c r="DR357" s="517"/>
      <c r="DS357" s="517"/>
      <c r="DT357" s="517"/>
      <c r="DU357" s="517"/>
      <c r="DV357" s="517"/>
      <c r="DW357" s="517"/>
      <c r="DX357" s="517"/>
      <c r="DY357" s="517"/>
      <c r="DZ357" s="517"/>
      <c r="EA357" s="517"/>
      <c r="EB357" s="517"/>
      <c r="EC357" s="517"/>
      <c r="ED357" s="517"/>
      <c r="EE357" s="517"/>
      <c r="EF357" s="517"/>
      <c r="EG357" s="517"/>
      <c r="EH357" s="517"/>
      <c r="EI357" s="517"/>
      <c r="EJ357" s="517"/>
      <c r="EK357" s="517"/>
      <c r="EL357" s="517"/>
      <c r="EM357" s="517"/>
      <c r="EN357" s="517"/>
      <c r="EO357" s="517"/>
      <c r="EP357" s="517"/>
      <c r="EQ357" s="517"/>
      <c r="ER357" s="517"/>
      <c r="ES357" s="627"/>
    </row>
    <row r="358">
      <c r="A358" s="517"/>
      <c r="B358" s="517"/>
      <c r="C358" s="517"/>
      <c r="D358" s="517"/>
      <c r="E358" s="517"/>
      <c r="F358" s="517"/>
      <c r="G358" s="517"/>
      <c r="H358" s="517"/>
      <c r="I358" s="517"/>
      <c r="J358" s="517"/>
      <c r="K358" s="517"/>
      <c r="L358" s="517"/>
      <c r="M358" s="517"/>
      <c r="N358" s="517"/>
      <c r="O358" s="517"/>
      <c r="P358" s="517"/>
      <c r="Q358" s="517"/>
      <c r="R358" s="517"/>
      <c r="S358" s="517"/>
      <c r="T358" s="517"/>
      <c r="U358" s="517"/>
      <c r="V358" s="517"/>
      <c r="W358" s="517"/>
      <c r="X358" s="517"/>
      <c r="Y358" s="517"/>
      <c r="Z358" s="517"/>
      <c r="AA358" s="517"/>
      <c r="AB358" s="517"/>
      <c r="AC358" s="517"/>
      <c r="AD358" s="517"/>
      <c r="AE358" s="517"/>
      <c r="AF358" s="517"/>
      <c r="AG358" s="517"/>
      <c r="AH358" s="517"/>
      <c r="AI358" s="517"/>
      <c r="AJ358" s="517"/>
      <c r="AK358" s="517"/>
      <c r="AL358" s="517"/>
      <c r="AM358" s="517"/>
      <c r="AN358" s="517"/>
      <c r="AO358" s="517"/>
      <c r="AP358" s="517"/>
      <c r="AQ358" s="517"/>
      <c r="AR358" s="517"/>
      <c r="AS358" s="517"/>
      <c r="AT358" s="517"/>
      <c r="AU358" s="517"/>
      <c r="AV358" s="517"/>
      <c r="AW358" s="517"/>
      <c r="AX358" s="517"/>
      <c r="AY358" s="517"/>
      <c r="AZ358" s="517"/>
      <c r="BA358" s="517"/>
      <c r="BB358" s="517"/>
      <c r="BC358" s="517"/>
      <c r="BD358" s="517"/>
      <c r="BE358" s="517"/>
      <c r="BF358" s="517"/>
      <c r="BG358" s="517"/>
      <c r="BH358" s="517"/>
      <c r="BI358" s="517"/>
      <c r="BJ358" s="517"/>
      <c r="BK358" s="517"/>
      <c r="BL358" s="517"/>
      <c r="BM358" s="517"/>
      <c r="BN358" s="517"/>
      <c r="BO358" s="517"/>
      <c r="BP358" s="517"/>
      <c r="BQ358" s="517"/>
      <c r="BR358" s="517"/>
      <c r="BS358" s="517"/>
      <c r="BT358" s="517"/>
      <c r="BU358" s="517"/>
      <c r="BV358" s="517"/>
      <c r="BW358" s="517"/>
      <c r="BX358" s="517"/>
      <c r="BY358" s="517"/>
      <c r="BZ358" s="517"/>
      <c r="CA358" s="517"/>
      <c r="CB358" s="517"/>
      <c r="CC358" s="517"/>
      <c r="CD358" s="517"/>
      <c r="CE358" s="517"/>
      <c r="CF358" s="517"/>
      <c r="CG358" s="517"/>
      <c r="CH358" s="517"/>
      <c r="CI358" s="517"/>
      <c r="CJ358" s="517"/>
      <c r="CK358" s="517"/>
      <c r="CL358" s="517"/>
      <c r="CM358" s="517"/>
      <c r="CN358" s="517"/>
      <c r="CO358" s="517"/>
      <c r="CP358" s="517"/>
      <c r="CQ358" s="517"/>
      <c r="CR358" s="517"/>
      <c r="CS358" s="517"/>
      <c r="CT358" s="517"/>
      <c r="CU358" s="517"/>
      <c r="CV358" s="517"/>
      <c r="CW358" s="517"/>
      <c r="CX358" s="517"/>
      <c r="CY358" s="517"/>
      <c r="CZ358" s="517"/>
      <c r="DA358" s="517"/>
      <c r="DB358" s="517"/>
      <c r="DC358" s="517"/>
      <c r="DD358" s="517"/>
      <c r="DE358" s="517"/>
      <c r="DF358" s="517"/>
      <c r="DG358" s="517"/>
      <c r="DH358" s="517"/>
      <c r="DI358" s="517"/>
      <c r="DJ358" s="517"/>
      <c r="DK358" s="517"/>
      <c r="DL358" s="517"/>
      <c r="DM358" s="517"/>
      <c r="DN358" s="517"/>
      <c r="DO358" s="517"/>
      <c r="DP358" s="517"/>
      <c r="DQ358" s="517"/>
      <c r="DR358" s="517"/>
      <c r="DS358" s="517"/>
      <c r="DT358" s="517"/>
      <c r="DU358" s="517"/>
      <c r="DV358" s="517"/>
      <c r="DW358" s="517"/>
      <c r="DX358" s="517"/>
      <c r="DY358" s="517"/>
      <c r="DZ358" s="517"/>
      <c r="EA358" s="517"/>
      <c r="EB358" s="517"/>
      <c r="EC358" s="517"/>
      <c r="ED358" s="517"/>
      <c r="EE358" s="517"/>
      <c r="EF358" s="517"/>
      <c r="EG358" s="517"/>
      <c r="EH358" s="517"/>
      <c r="EI358" s="517"/>
      <c r="EJ358" s="517"/>
      <c r="EK358" s="517"/>
      <c r="EL358" s="517"/>
      <c r="EM358" s="517"/>
      <c r="EN358" s="517"/>
      <c r="EO358" s="517"/>
      <c r="EP358" s="517"/>
      <c r="EQ358" s="517"/>
      <c r="ER358" s="517"/>
      <c r="ES358" s="627"/>
    </row>
    <row r="359">
      <c r="A359" s="517"/>
      <c r="B359" s="517"/>
      <c r="C359" s="517"/>
      <c r="D359" s="517"/>
      <c r="E359" s="517"/>
      <c r="F359" s="517"/>
      <c r="G359" s="517"/>
      <c r="H359" s="517"/>
      <c r="I359" s="517"/>
      <c r="J359" s="517"/>
      <c r="K359" s="517"/>
      <c r="L359" s="517"/>
      <c r="M359" s="517"/>
      <c r="N359" s="517"/>
      <c r="O359" s="517"/>
      <c r="P359" s="517"/>
      <c r="Q359" s="517"/>
      <c r="R359" s="517"/>
      <c r="S359" s="517"/>
      <c r="T359" s="517"/>
      <c r="U359" s="517"/>
      <c r="V359" s="517"/>
      <c r="W359" s="517"/>
      <c r="X359" s="517"/>
      <c r="Y359" s="517"/>
      <c r="Z359" s="517"/>
      <c r="AA359" s="517"/>
      <c r="AB359" s="517"/>
      <c r="AC359" s="517"/>
      <c r="AD359" s="517"/>
      <c r="AE359" s="517"/>
      <c r="AF359" s="517"/>
      <c r="AG359" s="517"/>
      <c r="AH359" s="517"/>
      <c r="AI359" s="517"/>
      <c r="AJ359" s="517"/>
      <c r="AK359" s="517"/>
      <c r="AL359" s="517"/>
      <c r="AM359" s="517"/>
      <c r="AN359" s="517"/>
      <c r="AO359" s="517"/>
      <c r="AP359" s="517"/>
      <c r="AQ359" s="517"/>
      <c r="AR359" s="517"/>
      <c r="AS359" s="517"/>
      <c r="AT359" s="517"/>
      <c r="AU359" s="517"/>
      <c r="AV359" s="517"/>
      <c r="AW359" s="517"/>
      <c r="AX359" s="517"/>
      <c r="AY359" s="517"/>
      <c r="AZ359" s="517"/>
      <c r="BA359" s="517"/>
      <c r="BB359" s="517"/>
      <c r="BC359" s="517"/>
      <c r="BD359" s="517"/>
      <c r="BE359" s="517"/>
      <c r="BF359" s="517"/>
      <c r="BG359" s="517"/>
      <c r="BH359" s="517"/>
      <c r="BI359" s="517"/>
      <c r="BJ359" s="517"/>
      <c r="BK359" s="517"/>
      <c r="BL359" s="517"/>
      <c r="BM359" s="517"/>
      <c r="BN359" s="517"/>
      <c r="BO359" s="517"/>
      <c r="BP359" s="517"/>
      <c r="BQ359" s="517"/>
      <c r="BR359" s="517"/>
      <c r="BS359" s="517"/>
      <c r="BT359" s="517"/>
      <c r="BU359" s="517"/>
      <c r="BV359" s="517"/>
      <c r="BW359" s="517"/>
      <c r="BX359" s="517"/>
      <c r="BY359" s="517"/>
      <c r="BZ359" s="517"/>
      <c r="CA359" s="517"/>
      <c r="CB359" s="517"/>
      <c r="CC359" s="517"/>
      <c r="CD359" s="517"/>
      <c r="CE359" s="517"/>
      <c r="CF359" s="517"/>
      <c r="CG359" s="517"/>
      <c r="CH359" s="517"/>
      <c r="CI359" s="517"/>
      <c r="CJ359" s="517"/>
      <c r="CK359" s="517"/>
      <c r="CL359" s="517"/>
      <c r="CM359" s="517"/>
      <c r="CN359" s="517"/>
      <c r="CO359" s="517"/>
      <c r="CP359" s="517"/>
      <c r="CQ359" s="517"/>
      <c r="CR359" s="517"/>
      <c r="CS359" s="517"/>
      <c r="CT359" s="517"/>
      <c r="CU359" s="517"/>
      <c r="CV359" s="517"/>
      <c r="CW359" s="517"/>
      <c r="CX359" s="517"/>
      <c r="CY359" s="517"/>
      <c r="CZ359" s="517"/>
      <c r="DA359" s="517"/>
      <c r="DB359" s="517"/>
      <c r="DC359" s="517"/>
      <c r="DD359" s="517"/>
      <c r="DE359" s="517"/>
      <c r="DF359" s="517"/>
      <c r="DG359" s="517"/>
      <c r="DH359" s="517"/>
      <c r="DI359" s="517"/>
      <c r="DJ359" s="517"/>
      <c r="DK359" s="517"/>
      <c r="DL359" s="517"/>
      <c r="DM359" s="517"/>
      <c r="DN359" s="517"/>
      <c r="DO359" s="517"/>
      <c r="DP359" s="517"/>
      <c r="DQ359" s="517"/>
      <c r="DR359" s="517"/>
      <c r="DS359" s="517"/>
      <c r="DT359" s="517"/>
      <c r="DU359" s="517"/>
      <c r="DV359" s="517"/>
      <c r="DW359" s="517"/>
      <c r="DX359" s="517"/>
      <c r="DY359" s="517"/>
      <c r="DZ359" s="517"/>
      <c r="EA359" s="517"/>
      <c r="EB359" s="517"/>
      <c r="EC359" s="517"/>
      <c r="ED359" s="517"/>
      <c r="EE359" s="517"/>
      <c r="EF359" s="517"/>
      <c r="EG359" s="517"/>
      <c r="EH359" s="517"/>
      <c r="EI359" s="517"/>
      <c r="EJ359" s="517"/>
      <c r="EK359" s="517"/>
      <c r="EL359" s="517"/>
      <c r="EM359" s="517"/>
      <c r="EN359" s="517"/>
      <c r="EO359" s="517"/>
      <c r="EP359" s="517"/>
      <c r="EQ359" s="517"/>
      <c r="ER359" s="517"/>
      <c r="ES359" s="627"/>
    </row>
    <row r="360">
      <c r="A360" s="517"/>
      <c r="B360" s="517"/>
      <c r="C360" s="517"/>
      <c r="D360" s="517"/>
      <c r="E360" s="517"/>
      <c r="F360" s="517"/>
      <c r="G360" s="517"/>
      <c r="H360" s="517"/>
      <c r="I360" s="517"/>
      <c r="J360" s="517"/>
      <c r="K360" s="517"/>
      <c r="L360" s="517"/>
      <c r="M360" s="517"/>
      <c r="N360" s="517"/>
      <c r="O360" s="517"/>
      <c r="P360" s="517"/>
      <c r="Q360" s="517"/>
      <c r="R360" s="517"/>
      <c r="S360" s="517"/>
      <c r="T360" s="517"/>
      <c r="U360" s="517"/>
      <c r="V360" s="517"/>
      <c r="W360" s="517"/>
      <c r="X360" s="517"/>
      <c r="Y360" s="517"/>
      <c r="Z360" s="517"/>
      <c r="AA360" s="517"/>
      <c r="AB360" s="517"/>
      <c r="AC360" s="517"/>
      <c r="AD360" s="517"/>
      <c r="AE360" s="517"/>
      <c r="AF360" s="517"/>
      <c r="AG360" s="517"/>
      <c r="AH360" s="517"/>
      <c r="AI360" s="517"/>
      <c r="AJ360" s="517"/>
      <c r="AK360" s="517"/>
      <c r="AL360" s="517"/>
      <c r="AM360" s="517"/>
      <c r="AN360" s="517"/>
      <c r="AO360" s="517"/>
      <c r="AP360" s="517"/>
      <c r="AQ360" s="517"/>
      <c r="AR360" s="517"/>
      <c r="AS360" s="517"/>
      <c r="AT360" s="517"/>
      <c r="AU360" s="517"/>
      <c r="AV360" s="517"/>
      <c r="AW360" s="517"/>
      <c r="AX360" s="517"/>
      <c r="AY360" s="517"/>
      <c r="AZ360" s="517"/>
      <c r="BA360" s="517"/>
      <c r="BB360" s="517"/>
      <c r="BC360" s="517"/>
      <c r="BD360" s="517"/>
      <c r="BE360" s="517"/>
      <c r="BF360" s="517"/>
      <c r="BG360" s="517"/>
      <c r="BH360" s="517"/>
      <c r="BI360" s="517"/>
      <c r="BJ360" s="517"/>
      <c r="BK360" s="517"/>
      <c r="BL360" s="517"/>
      <c r="BM360" s="517"/>
      <c r="BN360" s="517"/>
      <c r="BO360" s="517"/>
      <c r="BP360" s="517"/>
      <c r="BQ360" s="517"/>
      <c r="BR360" s="517"/>
      <c r="BS360" s="517"/>
      <c r="BT360" s="517"/>
      <c r="BU360" s="517"/>
      <c r="BV360" s="517"/>
      <c r="BW360" s="517"/>
      <c r="BX360" s="517"/>
      <c r="BY360" s="517"/>
      <c r="BZ360" s="517"/>
      <c r="CA360" s="517"/>
      <c r="CB360" s="517"/>
      <c r="CC360" s="517"/>
      <c r="CD360" s="517"/>
      <c r="CE360" s="517"/>
      <c r="CF360" s="517"/>
      <c r="CG360" s="517"/>
      <c r="CH360" s="517"/>
      <c r="CI360" s="517"/>
      <c r="CJ360" s="517"/>
      <c r="CK360" s="517"/>
      <c r="CL360" s="517"/>
      <c r="CM360" s="517"/>
      <c r="CN360" s="517"/>
      <c r="CO360" s="517"/>
      <c r="CP360" s="517"/>
      <c r="CQ360" s="517"/>
      <c r="CR360" s="517"/>
      <c r="CS360" s="517"/>
      <c r="CT360" s="517"/>
      <c r="CU360" s="517"/>
      <c r="CV360" s="517"/>
      <c r="CW360" s="517"/>
      <c r="CX360" s="517"/>
      <c r="CY360" s="517"/>
      <c r="CZ360" s="517"/>
      <c r="DA360" s="517"/>
      <c r="DB360" s="517"/>
      <c r="DC360" s="517"/>
      <c r="DD360" s="517"/>
      <c r="DE360" s="517"/>
      <c r="DF360" s="517"/>
      <c r="DG360" s="517"/>
      <c r="DH360" s="517"/>
      <c r="DI360" s="517"/>
      <c r="DJ360" s="517"/>
      <c r="DK360" s="517"/>
      <c r="DL360" s="517"/>
      <c r="DM360" s="517"/>
      <c r="DN360" s="517"/>
      <c r="DO360" s="517"/>
      <c r="DP360" s="517"/>
      <c r="DQ360" s="517"/>
      <c r="DR360" s="517"/>
      <c r="DS360" s="517"/>
      <c r="DT360" s="517"/>
      <c r="DU360" s="517"/>
      <c r="DV360" s="517"/>
      <c r="DW360" s="517"/>
      <c r="DX360" s="517"/>
      <c r="DY360" s="517"/>
      <c r="DZ360" s="517"/>
      <c r="EA360" s="517"/>
      <c r="EB360" s="517"/>
      <c r="EC360" s="517"/>
      <c r="ED360" s="517"/>
      <c r="EE360" s="517"/>
      <c r="EF360" s="517"/>
      <c r="EG360" s="517"/>
      <c r="EH360" s="517"/>
      <c r="EI360" s="517"/>
      <c r="EJ360" s="517"/>
      <c r="EK360" s="517"/>
      <c r="EL360" s="517"/>
      <c r="EM360" s="517"/>
      <c r="EN360" s="517"/>
      <c r="EO360" s="517"/>
      <c r="EP360" s="517"/>
      <c r="EQ360" s="517"/>
      <c r="ER360" s="517"/>
      <c r="ES360" s="627"/>
    </row>
    <row r="361">
      <c r="A361" s="517"/>
      <c r="B361" s="517"/>
      <c r="C361" s="517"/>
      <c r="D361" s="517"/>
      <c r="E361" s="517"/>
      <c r="F361" s="517"/>
      <c r="G361" s="517"/>
      <c r="H361" s="517"/>
      <c r="I361" s="517"/>
      <c r="J361" s="517"/>
      <c r="K361" s="517"/>
      <c r="L361" s="517"/>
      <c r="M361" s="517"/>
      <c r="N361" s="517"/>
      <c r="O361" s="517"/>
      <c r="P361" s="517"/>
      <c r="Q361" s="517"/>
      <c r="R361" s="517"/>
      <c r="S361" s="517"/>
      <c r="T361" s="517"/>
      <c r="U361" s="517"/>
      <c r="V361" s="517"/>
      <c r="W361" s="517"/>
      <c r="X361" s="517"/>
      <c r="Y361" s="517"/>
      <c r="Z361" s="517"/>
      <c r="AA361" s="517"/>
      <c r="AB361" s="517"/>
      <c r="AC361" s="517"/>
      <c r="AD361" s="517"/>
      <c r="AE361" s="517"/>
      <c r="AF361" s="517"/>
      <c r="AG361" s="517"/>
      <c r="AH361" s="517"/>
      <c r="AI361" s="517"/>
      <c r="AJ361" s="517"/>
      <c r="AK361" s="517"/>
      <c r="AL361" s="517"/>
      <c r="AM361" s="517"/>
      <c r="AN361" s="517"/>
      <c r="AO361" s="517"/>
      <c r="AP361" s="517"/>
      <c r="AQ361" s="517"/>
      <c r="AR361" s="517"/>
      <c r="AS361" s="517"/>
      <c r="AT361" s="517"/>
      <c r="AU361" s="517"/>
      <c r="AV361" s="517"/>
      <c r="AW361" s="517"/>
      <c r="AX361" s="517"/>
      <c r="AY361" s="517"/>
      <c r="AZ361" s="517"/>
      <c r="BA361" s="517"/>
      <c r="BB361" s="517"/>
      <c r="BC361" s="517"/>
      <c r="BD361" s="517"/>
      <c r="BE361" s="517"/>
      <c r="BF361" s="517"/>
      <c r="BG361" s="517"/>
      <c r="BH361" s="517"/>
      <c r="BI361" s="517"/>
      <c r="BJ361" s="517"/>
      <c r="BK361" s="517"/>
      <c r="BL361" s="517"/>
      <c r="BM361" s="517"/>
      <c r="BN361" s="517"/>
      <c r="BO361" s="517"/>
      <c r="BP361" s="517"/>
      <c r="BQ361" s="517"/>
      <c r="BR361" s="517"/>
      <c r="BS361" s="517"/>
      <c r="BT361" s="517"/>
      <c r="BU361" s="517"/>
      <c r="BV361" s="517"/>
      <c r="BW361" s="517"/>
      <c r="BX361" s="517"/>
      <c r="BY361" s="517"/>
      <c r="BZ361" s="517"/>
      <c r="CA361" s="517"/>
      <c r="CB361" s="517"/>
      <c r="CC361" s="517"/>
      <c r="CD361" s="517"/>
      <c r="CE361" s="517"/>
      <c r="CF361" s="517"/>
      <c r="CG361" s="517"/>
      <c r="CH361" s="517"/>
      <c r="CI361" s="517"/>
      <c r="CJ361" s="517"/>
      <c r="CK361" s="517"/>
      <c r="CL361" s="517"/>
      <c r="CM361" s="517"/>
      <c r="CN361" s="517"/>
      <c r="CO361" s="517"/>
      <c r="CP361" s="517"/>
      <c r="CQ361" s="517"/>
      <c r="CR361" s="517"/>
      <c r="CS361" s="517"/>
      <c r="CT361" s="517"/>
      <c r="CU361" s="517"/>
      <c r="CV361" s="517"/>
      <c r="CW361" s="517"/>
      <c r="CX361" s="517"/>
      <c r="CY361" s="517"/>
      <c r="CZ361" s="517"/>
      <c r="DA361" s="517"/>
      <c r="DB361" s="517"/>
      <c r="DC361" s="517"/>
      <c r="DD361" s="517"/>
      <c r="DE361" s="517"/>
      <c r="DF361" s="517"/>
      <c r="DG361" s="517"/>
      <c r="DH361" s="517"/>
      <c r="DI361" s="517"/>
      <c r="DJ361" s="517"/>
      <c r="DK361" s="517"/>
      <c r="DL361" s="517"/>
      <c r="DM361" s="517"/>
      <c r="DN361" s="517"/>
      <c r="DO361" s="517"/>
      <c r="DP361" s="517"/>
      <c r="DQ361" s="517"/>
      <c r="DR361" s="517"/>
      <c r="DS361" s="517"/>
      <c r="DT361" s="517"/>
      <c r="DU361" s="517"/>
      <c r="DV361" s="517"/>
      <c r="DW361" s="517"/>
      <c r="DX361" s="517"/>
      <c r="DY361" s="517"/>
      <c r="DZ361" s="517"/>
      <c r="EA361" s="517"/>
      <c r="EB361" s="517"/>
      <c r="EC361" s="517"/>
      <c r="ED361" s="517"/>
      <c r="EE361" s="517"/>
      <c r="EF361" s="517"/>
      <c r="EG361" s="517"/>
      <c r="EH361" s="517"/>
      <c r="EI361" s="517"/>
      <c r="EJ361" s="517"/>
      <c r="EK361" s="517"/>
      <c r="EL361" s="517"/>
      <c r="EM361" s="517"/>
      <c r="EN361" s="517"/>
      <c r="EO361" s="517"/>
      <c r="EP361" s="517"/>
      <c r="EQ361" s="517"/>
      <c r="ER361" s="517"/>
      <c r="ES361" s="627"/>
    </row>
    <row r="362">
      <c r="A362" s="517"/>
      <c r="B362" s="517"/>
      <c r="C362" s="517"/>
      <c r="D362" s="517"/>
      <c r="E362" s="517"/>
      <c r="F362" s="517"/>
      <c r="G362" s="517"/>
      <c r="H362" s="517"/>
      <c r="I362" s="517"/>
      <c r="J362" s="517"/>
      <c r="K362" s="517"/>
      <c r="L362" s="517"/>
      <c r="M362" s="517"/>
      <c r="N362" s="517"/>
      <c r="O362" s="517"/>
      <c r="P362" s="517"/>
      <c r="Q362" s="517"/>
      <c r="R362" s="517"/>
      <c r="S362" s="517"/>
      <c r="T362" s="517"/>
      <c r="U362" s="517"/>
      <c r="V362" s="517"/>
      <c r="W362" s="517"/>
      <c r="X362" s="517"/>
      <c r="Y362" s="517"/>
      <c r="Z362" s="517"/>
      <c r="AA362" s="517"/>
      <c r="AB362" s="517"/>
      <c r="AC362" s="517"/>
      <c r="AD362" s="517"/>
      <c r="AE362" s="517"/>
      <c r="AF362" s="517"/>
      <c r="AG362" s="517"/>
      <c r="AH362" s="517"/>
      <c r="AI362" s="517"/>
      <c r="AJ362" s="517"/>
      <c r="AK362" s="517"/>
      <c r="AL362" s="517"/>
      <c r="AM362" s="517"/>
      <c r="AN362" s="517"/>
      <c r="AO362" s="517"/>
      <c r="AP362" s="517"/>
      <c r="AQ362" s="517"/>
      <c r="AR362" s="517"/>
      <c r="AS362" s="517"/>
      <c r="AT362" s="517"/>
      <c r="AU362" s="517"/>
      <c r="AV362" s="517"/>
      <c r="AW362" s="517"/>
      <c r="AX362" s="517"/>
      <c r="AY362" s="517"/>
      <c r="AZ362" s="517"/>
      <c r="BA362" s="517"/>
      <c r="BB362" s="517"/>
      <c r="BC362" s="517"/>
      <c r="BD362" s="517"/>
      <c r="BE362" s="517"/>
      <c r="BF362" s="517"/>
      <c r="BG362" s="517"/>
      <c r="BH362" s="517"/>
      <c r="BI362" s="517"/>
      <c r="BJ362" s="517"/>
      <c r="BK362" s="517"/>
      <c r="BL362" s="517"/>
      <c r="BM362" s="517"/>
      <c r="BN362" s="517"/>
      <c r="BO362" s="517"/>
      <c r="BP362" s="517"/>
      <c r="BQ362" s="517"/>
      <c r="BR362" s="517"/>
      <c r="BS362" s="517"/>
      <c r="BT362" s="517"/>
      <c r="BU362" s="517"/>
      <c r="BV362" s="517"/>
      <c r="BW362" s="517"/>
      <c r="BX362" s="517"/>
      <c r="BY362" s="517"/>
      <c r="BZ362" s="517"/>
      <c r="CA362" s="517"/>
      <c r="CB362" s="517"/>
      <c r="CC362" s="517"/>
      <c r="CD362" s="517"/>
      <c r="CE362" s="517"/>
      <c r="CF362" s="517"/>
      <c r="CG362" s="517"/>
      <c r="CH362" s="517"/>
      <c r="CI362" s="517"/>
      <c r="CJ362" s="517"/>
      <c r="CK362" s="517"/>
      <c r="CL362" s="517"/>
      <c r="CM362" s="517"/>
      <c r="CN362" s="517"/>
      <c r="CO362" s="517"/>
      <c r="CP362" s="517"/>
      <c r="CQ362" s="517"/>
      <c r="CR362" s="517"/>
      <c r="CS362" s="517"/>
      <c r="CT362" s="517"/>
      <c r="CU362" s="517"/>
      <c r="CV362" s="517"/>
      <c r="CW362" s="517"/>
      <c r="CX362" s="517"/>
      <c r="CY362" s="517"/>
      <c r="CZ362" s="517"/>
      <c r="DA362" s="517"/>
      <c r="DB362" s="517"/>
      <c r="DC362" s="517"/>
      <c r="DD362" s="517"/>
      <c r="DE362" s="517"/>
      <c r="DF362" s="517"/>
      <c r="DG362" s="517"/>
      <c r="DH362" s="517"/>
      <c r="DI362" s="517"/>
      <c r="DJ362" s="517"/>
      <c r="DK362" s="517"/>
      <c r="DL362" s="517"/>
      <c r="DM362" s="517"/>
      <c r="DN362" s="517"/>
      <c r="DO362" s="517"/>
      <c r="DP362" s="517"/>
      <c r="DQ362" s="517"/>
      <c r="DR362" s="517"/>
      <c r="DS362" s="517"/>
      <c r="DT362" s="517"/>
      <c r="DU362" s="517"/>
      <c r="DV362" s="517"/>
      <c r="DW362" s="517"/>
      <c r="DX362" s="517"/>
      <c r="DY362" s="517"/>
      <c r="DZ362" s="517"/>
      <c r="EA362" s="517"/>
      <c r="EB362" s="517"/>
      <c r="EC362" s="517"/>
      <c r="ED362" s="517"/>
      <c r="EE362" s="517"/>
      <c r="EF362" s="517"/>
      <c r="EG362" s="517"/>
      <c r="EH362" s="517"/>
      <c r="EI362" s="517"/>
      <c r="EJ362" s="517"/>
      <c r="EK362" s="517"/>
      <c r="EL362" s="517"/>
      <c r="EM362" s="517"/>
      <c r="EN362" s="517"/>
      <c r="EO362" s="517"/>
      <c r="EP362" s="517"/>
      <c r="EQ362" s="517"/>
      <c r="ER362" s="517"/>
      <c r="ES362" s="627"/>
    </row>
    <row r="363">
      <c r="A363" s="517"/>
      <c r="B363" s="517"/>
      <c r="C363" s="517"/>
      <c r="D363" s="517"/>
      <c r="E363" s="517"/>
      <c r="F363" s="517"/>
      <c r="G363" s="517"/>
      <c r="H363" s="517"/>
      <c r="I363" s="517"/>
      <c r="J363" s="517"/>
      <c r="K363" s="517"/>
      <c r="L363" s="517"/>
      <c r="M363" s="517"/>
      <c r="N363" s="517"/>
      <c r="O363" s="517"/>
      <c r="P363" s="517"/>
      <c r="Q363" s="517"/>
      <c r="R363" s="517"/>
      <c r="S363" s="517"/>
      <c r="T363" s="517"/>
      <c r="U363" s="517"/>
      <c r="V363" s="517"/>
      <c r="W363" s="517"/>
      <c r="X363" s="517"/>
      <c r="Y363" s="517"/>
      <c r="Z363" s="517"/>
      <c r="AA363" s="517"/>
      <c r="AB363" s="517"/>
      <c r="AC363" s="517"/>
      <c r="AD363" s="517"/>
      <c r="AE363" s="517"/>
      <c r="AF363" s="517"/>
      <c r="AG363" s="517"/>
      <c r="AH363" s="517"/>
      <c r="AI363" s="517"/>
      <c r="AJ363" s="517"/>
      <c r="AK363" s="517"/>
      <c r="AL363" s="517"/>
      <c r="AM363" s="517"/>
      <c r="AN363" s="517"/>
      <c r="AO363" s="517"/>
      <c r="AP363" s="517"/>
      <c r="AQ363" s="517"/>
      <c r="AR363" s="517"/>
      <c r="AS363" s="517"/>
      <c r="AT363" s="517"/>
      <c r="AU363" s="517"/>
      <c r="AV363" s="517"/>
      <c r="AW363" s="517"/>
      <c r="AX363" s="517"/>
      <c r="AY363" s="517"/>
      <c r="AZ363" s="517"/>
      <c r="BA363" s="517"/>
      <c r="BB363" s="517"/>
      <c r="BC363" s="517"/>
      <c r="BD363" s="517"/>
      <c r="BE363" s="517"/>
      <c r="BF363" s="517"/>
      <c r="BG363" s="517"/>
      <c r="BH363" s="517"/>
      <c r="BI363" s="517"/>
      <c r="BJ363" s="517"/>
      <c r="BK363" s="517"/>
      <c r="BL363" s="517"/>
      <c r="BM363" s="517"/>
      <c r="BN363" s="517"/>
      <c r="BO363" s="517"/>
      <c r="BP363" s="517"/>
      <c r="BQ363" s="517"/>
      <c r="BR363" s="517"/>
      <c r="BS363" s="517"/>
      <c r="BT363" s="517"/>
      <c r="BU363" s="517"/>
      <c r="BV363" s="517"/>
      <c r="BW363" s="517"/>
      <c r="BX363" s="517"/>
      <c r="BY363" s="517"/>
      <c r="BZ363" s="517"/>
      <c r="CA363" s="517"/>
      <c r="CB363" s="517"/>
      <c r="CC363" s="517"/>
      <c r="CD363" s="517"/>
      <c r="CE363" s="517"/>
      <c r="CF363" s="517"/>
      <c r="CG363" s="517"/>
      <c r="CH363" s="517"/>
      <c r="CI363" s="517"/>
      <c r="CJ363" s="517"/>
      <c r="CK363" s="517"/>
      <c r="CL363" s="517"/>
      <c r="CM363" s="517"/>
      <c r="CN363" s="517"/>
      <c r="CO363" s="517"/>
      <c r="CP363" s="517"/>
      <c r="CQ363" s="517"/>
      <c r="CR363" s="517"/>
      <c r="CS363" s="517"/>
      <c r="CT363" s="517"/>
      <c r="CU363" s="517"/>
      <c r="CV363" s="517"/>
      <c r="CW363" s="517"/>
      <c r="CX363" s="517"/>
      <c r="CY363" s="517"/>
      <c r="CZ363" s="517"/>
      <c r="DA363" s="517"/>
      <c r="DB363" s="517"/>
      <c r="DC363" s="517"/>
      <c r="DD363" s="517"/>
      <c r="DE363" s="517"/>
      <c r="DF363" s="517"/>
      <c r="DG363" s="517"/>
      <c r="DH363" s="517"/>
      <c r="DI363" s="517"/>
      <c r="DJ363" s="517"/>
      <c r="DK363" s="517"/>
      <c r="DL363" s="517"/>
      <c r="DM363" s="517"/>
      <c r="DN363" s="517"/>
      <c r="DO363" s="517"/>
      <c r="DP363" s="517"/>
      <c r="DQ363" s="517"/>
      <c r="DR363" s="517"/>
      <c r="DS363" s="517"/>
      <c r="DT363" s="517"/>
      <c r="DU363" s="517"/>
      <c r="DV363" s="517"/>
      <c r="DW363" s="517"/>
      <c r="DX363" s="517"/>
      <c r="DY363" s="517"/>
      <c r="DZ363" s="517"/>
      <c r="EA363" s="517"/>
      <c r="EB363" s="517"/>
      <c r="EC363" s="517"/>
      <c r="ED363" s="517"/>
      <c r="EE363" s="517"/>
      <c r="EF363" s="517"/>
      <c r="EG363" s="517"/>
      <c r="EH363" s="517"/>
      <c r="EI363" s="517"/>
      <c r="EJ363" s="517"/>
      <c r="EK363" s="517"/>
      <c r="EL363" s="517"/>
      <c r="EM363" s="517"/>
      <c r="EN363" s="517"/>
      <c r="EO363" s="517"/>
      <c r="EP363" s="517"/>
      <c r="EQ363" s="517"/>
      <c r="ER363" s="517"/>
      <c r="ES363" s="627"/>
    </row>
    <row r="364">
      <c r="A364" s="517"/>
      <c r="B364" s="517"/>
      <c r="C364" s="517"/>
      <c r="D364" s="517"/>
      <c r="E364" s="517"/>
      <c r="F364" s="517"/>
      <c r="G364" s="517"/>
      <c r="H364" s="517"/>
      <c r="I364" s="517"/>
      <c r="J364" s="517"/>
      <c r="K364" s="517"/>
      <c r="L364" s="517"/>
      <c r="M364" s="517"/>
      <c r="N364" s="517"/>
      <c r="O364" s="517"/>
      <c r="P364" s="517"/>
      <c r="Q364" s="517"/>
      <c r="R364" s="517"/>
      <c r="S364" s="517"/>
      <c r="T364" s="517"/>
      <c r="U364" s="517"/>
      <c r="V364" s="517"/>
      <c r="W364" s="517"/>
      <c r="X364" s="517"/>
      <c r="Y364" s="517"/>
      <c r="Z364" s="517"/>
      <c r="AA364" s="517"/>
      <c r="AB364" s="517"/>
      <c r="AC364" s="517"/>
      <c r="AD364" s="517"/>
      <c r="AE364" s="517"/>
      <c r="AF364" s="517"/>
      <c r="AG364" s="517"/>
      <c r="AH364" s="517"/>
      <c r="AI364" s="517"/>
      <c r="AJ364" s="517"/>
      <c r="AK364" s="517"/>
      <c r="AL364" s="517"/>
      <c r="AM364" s="517"/>
      <c r="AN364" s="517"/>
      <c r="AO364" s="517"/>
      <c r="AP364" s="517"/>
      <c r="AQ364" s="517"/>
      <c r="AR364" s="517"/>
      <c r="AS364" s="517"/>
      <c r="AT364" s="517"/>
      <c r="AU364" s="517"/>
      <c r="AV364" s="517"/>
      <c r="AW364" s="517"/>
      <c r="AX364" s="517"/>
      <c r="AY364" s="517"/>
      <c r="AZ364" s="517"/>
      <c r="BA364" s="517"/>
      <c r="BB364" s="517"/>
      <c r="BC364" s="517"/>
      <c r="BD364" s="517"/>
      <c r="BE364" s="517"/>
      <c r="BF364" s="517"/>
      <c r="BG364" s="517"/>
      <c r="BH364" s="517"/>
      <c r="BI364" s="517"/>
      <c r="BJ364" s="517"/>
      <c r="BK364" s="517"/>
      <c r="BL364" s="517"/>
      <c r="BM364" s="517"/>
      <c r="BN364" s="517"/>
      <c r="BO364" s="517"/>
      <c r="BP364" s="517"/>
      <c r="BQ364" s="517"/>
      <c r="BR364" s="517"/>
      <c r="BS364" s="517"/>
      <c r="BT364" s="517"/>
      <c r="BU364" s="517"/>
      <c r="BV364" s="517"/>
      <c r="BW364" s="517"/>
      <c r="BX364" s="517"/>
      <c r="BY364" s="517"/>
      <c r="BZ364" s="517"/>
      <c r="CA364" s="517"/>
      <c r="CB364" s="517"/>
      <c r="CC364" s="517"/>
      <c r="CD364" s="517"/>
      <c r="CE364" s="517"/>
      <c r="CF364" s="517"/>
      <c r="CG364" s="517"/>
      <c r="CH364" s="517"/>
      <c r="CI364" s="517"/>
      <c r="CJ364" s="517"/>
      <c r="CK364" s="517"/>
      <c r="CL364" s="517"/>
      <c r="CM364" s="517"/>
      <c r="CN364" s="517"/>
      <c r="CO364" s="517"/>
      <c r="CP364" s="517"/>
      <c r="CQ364" s="517"/>
      <c r="CR364" s="517"/>
      <c r="CS364" s="517"/>
      <c r="CT364" s="517"/>
      <c r="CU364" s="517"/>
      <c r="CV364" s="517"/>
      <c r="CW364" s="517"/>
      <c r="CX364" s="517"/>
      <c r="CY364" s="517"/>
      <c r="CZ364" s="517"/>
      <c r="DA364" s="517"/>
      <c r="DB364" s="517"/>
      <c r="DC364" s="517"/>
      <c r="DD364" s="517"/>
      <c r="DE364" s="517"/>
      <c r="DF364" s="517"/>
      <c r="DG364" s="517"/>
      <c r="DH364" s="517"/>
      <c r="DI364" s="517"/>
      <c r="DJ364" s="517"/>
      <c r="DK364" s="517"/>
      <c r="DL364" s="517"/>
      <c r="DM364" s="517"/>
      <c r="DN364" s="517"/>
      <c r="DO364" s="517"/>
      <c r="DP364" s="517"/>
      <c r="DQ364" s="517"/>
      <c r="DR364" s="517"/>
      <c r="DS364" s="517"/>
      <c r="DT364" s="517"/>
      <c r="DU364" s="517"/>
      <c r="DV364" s="517"/>
      <c r="DW364" s="517"/>
      <c r="DX364" s="517"/>
      <c r="DY364" s="517"/>
      <c r="DZ364" s="517"/>
      <c r="EA364" s="517"/>
      <c r="EB364" s="517"/>
      <c r="EC364" s="517"/>
      <c r="ED364" s="517"/>
      <c r="EE364" s="517"/>
      <c r="EF364" s="517"/>
      <c r="EG364" s="517"/>
      <c r="EH364" s="517"/>
      <c r="EI364" s="517"/>
      <c r="EJ364" s="517"/>
      <c r="EK364" s="517"/>
      <c r="EL364" s="517"/>
      <c r="EM364" s="517"/>
      <c r="EN364" s="517"/>
      <c r="EO364" s="517"/>
      <c r="EP364" s="517"/>
      <c r="EQ364" s="517"/>
      <c r="ER364" s="517"/>
      <c r="ES364" s="627"/>
    </row>
    <row r="365">
      <c r="A365" s="517"/>
      <c r="B365" s="517"/>
      <c r="C365" s="517"/>
      <c r="D365" s="517"/>
      <c r="E365" s="517"/>
      <c r="F365" s="517"/>
      <c r="G365" s="517"/>
      <c r="H365" s="517"/>
      <c r="I365" s="517"/>
      <c r="J365" s="517"/>
      <c r="K365" s="517"/>
      <c r="L365" s="517"/>
      <c r="M365" s="517"/>
      <c r="N365" s="517"/>
      <c r="O365" s="517"/>
      <c r="P365" s="517"/>
      <c r="Q365" s="517"/>
      <c r="R365" s="517"/>
      <c r="S365" s="517"/>
      <c r="T365" s="517"/>
      <c r="U365" s="517"/>
      <c r="V365" s="517"/>
      <c r="W365" s="517"/>
      <c r="X365" s="517"/>
      <c r="Y365" s="517"/>
      <c r="Z365" s="517"/>
      <c r="AA365" s="517"/>
      <c r="AB365" s="517"/>
      <c r="AC365" s="517"/>
      <c r="AD365" s="517"/>
      <c r="AE365" s="517"/>
      <c r="AF365" s="517"/>
      <c r="AG365" s="517"/>
      <c r="AH365" s="517"/>
      <c r="AI365" s="517"/>
      <c r="AJ365" s="517"/>
      <c r="AK365" s="517"/>
      <c r="AL365" s="517"/>
      <c r="AM365" s="517"/>
      <c r="AN365" s="517"/>
      <c r="AO365" s="517"/>
      <c r="AP365" s="517"/>
      <c r="AQ365" s="517"/>
      <c r="AR365" s="517"/>
      <c r="AS365" s="517"/>
      <c r="AT365" s="517"/>
      <c r="AU365" s="517"/>
      <c r="AV365" s="517"/>
      <c r="AW365" s="517"/>
      <c r="AX365" s="517"/>
      <c r="AY365" s="517"/>
      <c r="AZ365" s="517"/>
      <c r="BA365" s="517"/>
      <c r="BB365" s="517"/>
      <c r="BC365" s="517"/>
      <c r="BD365" s="517"/>
      <c r="BE365" s="517"/>
      <c r="BF365" s="517"/>
      <c r="BG365" s="517"/>
      <c r="BH365" s="517"/>
      <c r="BI365" s="517"/>
      <c r="BJ365" s="517"/>
      <c r="BK365" s="517"/>
      <c r="BL365" s="517"/>
      <c r="BM365" s="517"/>
      <c r="BN365" s="517"/>
      <c r="BO365" s="517"/>
      <c r="BP365" s="517"/>
      <c r="BQ365" s="517"/>
      <c r="BR365" s="517"/>
      <c r="BS365" s="517"/>
      <c r="BT365" s="517"/>
      <c r="BU365" s="517"/>
      <c r="BV365" s="517"/>
      <c r="BW365" s="517"/>
      <c r="BX365" s="517"/>
      <c r="BY365" s="517"/>
      <c r="BZ365" s="517"/>
      <c r="CA365" s="517"/>
      <c r="CB365" s="517"/>
      <c r="CC365" s="517"/>
      <c r="CD365" s="517"/>
      <c r="CE365" s="517"/>
      <c r="CF365" s="517"/>
      <c r="CG365" s="517"/>
      <c r="CH365" s="517"/>
      <c r="CI365" s="517"/>
      <c r="CJ365" s="517"/>
      <c r="CK365" s="517"/>
      <c r="CL365" s="517"/>
      <c r="CM365" s="517"/>
      <c r="CN365" s="517"/>
      <c r="CO365" s="517"/>
      <c r="CP365" s="517"/>
      <c r="CQ365" s="517"/>
      <c r="CR365" s="517"/>
      <c r="CS365" s="517"/>
      <c r="CT365" s="517"/>
      <c r="CU365" s="517"/>
      <c r="CV365" s="517"/>
      <c r="CW365" s="517"/>
      <c r="CX365" s="517"/>
      <c r="CY365" s="517"/>
      <c r="CZ365" s="517"/>
      <c r="DA365" s="517"/>
      <c r="DB365" s="517"/>
      <c r="DC365" s="517"/>
      <c r="DD365" s="517"/>
      <c r="DE365" s="517"/>
      <c r="DF365" s="517"/>
      <c r="DG365" s="517"/>
      <c r="DH365" s="517"/>
      <c r="DI365" s="517"/>
      <c r="DJ365" s="517"/>
      <c r="DK365" s="517"/>
      <c r="DL365" s="517"/>
      <c r="DM365" s="517"/>
      <c r="DN365" s="517"/>
      <c r="DO365" s="517"/>
      <c r="DP365" s="517"/>
      <c r="DQ365" s="517"/>
      <c r="DR365" s="517"/>
      <c r="DS365" s="517"/>
      <c r="DT365" s="517"/>
      <c r="DU365" s="517"/>
      <c r="DV365" s="517"/>
      <c r="DW365" s="517"/>
      <c r="DX365" s="517"/>
      <c r="DY365" s="517"/>
      <c r="DZ365" s="517"/>
      <c r="EA365" s="517"/>
      <c r="EB365" s="517"/>
      <c r="EC365" s="517"/>
      <c r="ED365" s="517"/>
      <c r="EE365" s="517"/>
      <c r="EF365" s="517"/>
      <c r="EG365" s="517"/>
      <c r="EH365" s="517"/>
      <c r="EI365" s="517"/>
      <c r="EJ365" s="517"/>
      <c r="EK365" s="517"/>
      <c r="EL365" s="517"/>
      <c r="EM365" s="517"/>
      <c r="EN365" s="517"/>
      <c r="EO365" s="517"/>
      <c r="EP365" s="517"/>
      <c r="EQ365" s="517"/>
      <c r="ER365" s="517"/>
      <c r="ES365" s="627"/>
    </row>
    <row r="366">
      <c r="A366" s="517"/>
      <c r="B366" s="517"/>
      <c r="C366" s="517"/>
      <c r="D366" s="517"/>
      <c r="E366" s="517"/>
      <c r="F366" s="517"/>
      <c r="G366" s="517"/>
      <c r="H366" s="517"/>
      <c r="I366" s="517"/>
      <c r="J366" s="517"/>
      <c r="K366" s="517"/>
      <c r="L366" s="517"/>
      <c r="M366" s="517"/>
      <c r="N366" s="517"/>
      <c r="O366" s="517"/>
      <c r="P366" s="517"/>
      <c r="Q366" s="517"/>
      <c r="R366" s="517"/>
      <c r="S366" s="517"/>
      <c r="T366" s="517"/>
      <c r="U366" s="517"/>
      <c r="V366" s="517"/>
      <c r="W366" s="517"/>
      <c r="X366" s="517"/>
      <c r="Y366" s="517"/>
      <c r="Z366" s="517"/>
      <c r="AA366" s="517"/>
      <c r="AB366" s="517"/>
      <c r="AC366" s="517"/>
      <c r="AD366" s="517"/>
      <c r="AE366" s="517"/>
      <c r="AF366" s="517"/>
      <c r="AG366" s="517"/>
      <c r="AH366" s="517"/>
      <c r="AI366" s="517"/>
      <c r="AJ366" s="517"/>
      <c r="AK366" s="517"/>
      <c r="AL366" s="517"/>
      <c r="AM366" s="517"/>
      <c r="AN366" s="517"/>
      <c r="AO366" s="517"/>
      <c r="AP366" s="517"/>
      <c r="AQ366" s="517"/>
      <c r="AR366" s="517"/>
      <c r="AS366" s="517"/>
      <c r="AT366" s="517"/>
      <c r="AU366" s="517"/>
      <c r="AV366" s="517"/>
      <c r="AW366" s="517"/>
      <c r="AX366" s="517"/>
      <c r="AY366" s="517"/>
      <c r="AZ366" s="517"/>
      <c r="BA366" s="517"/>
      <c r="BB366" s="517"/>
      <c r="BC366" s="517"/>
      <c r="BD366" s="517"/>
      <c r="BE366" s="517"/>
      <c r="BF366" s="517"/>
      <c r="BG366" s="517"/>
      <c r="BH366" s="517"/>
      <c r="BI366" s="517"/>
      <c r="BJ366" s="517"/>
      <c r="BK366" s="517"/>
      <c r="BL366" s="517"/>
      <c r="BM366" s="517"/>
      <c r="BN366" s="517"/>
      <c r="BO366" s="517"/>
      <c r="BP366" s="517"/>
      <c r="BQ366" s="517"/>
      <c r="BR366" s="517"/>
      <c r="BS366" s="517"/>
      <c r="BT366" s="517"/>
      <c r="BU366" s="517"/>
      <c r="BV366" s="517"/>
      <c r="BW366" s="517"/>
      <c r="BX366" s="517"/>
      <c r="BY366" s="517"/>
      <c r="BZ366" s="517"/>
      <c r="CA366" s="517"/>
      <c r="CB366" s="517"/>
      <c r="CC366" s="517"/>
      <c r="CD366" s="517"/>
      <c r="CE366" s="517"/>
      <c r="CF366" s="517"/>
      <c r="CG366" s="517"/>
      <c r="CH366" s="517"/>
      <c r="CI366" s="517"/>
      <c r="CJ366" s="517"/>
      <c r="CK366" s="517"/>
      <c r="CL366" s="517"/>
      <c r="CM366" s="517"/>
      <c r="CN366" s="517"/>
      <c r="CO366" s="517"/>
      <c r="CP366" s="517"/>
      <c r="CQ366" s="517"/>
      <c r="CR366" s="517"/>
      <c r="CS366" s="517"/>
      <c r="CT366" s="517"/>
      <c r="CU366" s="517"/>
      <c r="CV366" s="517"/>
      <c r="CW366" s="517"/>
      <c r="CX366" s="517"/>
      <c r="CY366" s="517"/>
      <c r="CZ366" s="517"/>
      <c r="DA366" s="517"/>
      <c r="DB366" s="517"/>
      <c r="DC366" s="517"/>
      <c r="DD366" s="517"/>
      <c r="DE366" s="517"/>
      <c r="DF366" s="517"/>
      <c r="DG366" s="517"/>
      <c r="DH366" s="517"/>
      <c r="DI366" s="517"/>
      <c r="DJ366" s="517"/>
      <c r="DK366" s="517"/>
      <c r="DL366" s="517"/>
      <c r="DM366" s="517"/>
      <c r="DN366" s="517"/>
      <c r="DO366" s="517"/>
      <c r="DP366" s="517"/>
      <c r="DQ366" s="517"/>
      <c r="DR366" s="517"/>
      <c r="DS366" s="517"/>
      <c r="DT366" s="517"/>
      <c r="DU366" s="517"/>
      <c r="DV366" s="517"/>
      <c r="DW366" s="517"/>
      <c r="DX366" s="517"/>
      <c r="DY366" s="517"/>
      <c r="DZ366" s="517"/>
      <c r="EA366" s="517"/>
      <c r="EB366" s="517"/>
      <c r="EC366" s="517"/>
      <c r="ED366" s="517"/>
      <c r="EE366" s="517"/>
      <c r="EF366" s="517"/>
      <c r="EG366" s="517"/>
      <c r="EH366" s="517"/>
      <c r="EI366" s="517"/>
      <c r="EJ366" s="517"/>
      <c r="EK366" s="517"/>
      <c r="EL366" s="517"/>
      <c r="EM366" s="517"/>
      <c r="EN366" s="517"/>
      <c r="EO366" s="517"/>
      <c r="EP366" s="517"/>
      <c r="EQ366" s="517"/>
      <c r="ER366" s="517"/>
      <c r="ES366" s="627"/>
    </row>
    <row r="367">
      <c r="A367" s="517"/>
      <c r="B367" s="517"/>
      <c r="C367" s="517"/>
      <c r="D367" s="517"/>
      <c r="E367" s="517"/>
      <c r="F367" s="517"/>
      <c r="G367" s="517"/>
      <c r="H367" s="517"/>
      <c r="I367" s="517"/>
      <c r="J367" s="517"/>
      <c r="K367" s="517"/>
      <c r="L367" s="517"/>
      <c r="M367" s="517"/>
      <c r="N367" s="517"/>
      <c r="O367" s="517"/>
      <c r="P367" s="517"/>
      <c r="Q367" s="517"/>
      <c r="R367" s="517"/>
      <c r="S367" s="517"/>
      <c r="T367" s="517"/>
      <c r="U367" s="517"/>
      <c r="V367" s="517"/>
      <c r="W367" s="517"/>
      <c r="X367" s="517"/>
      <c r="Y367" s="517"/>
      <c r="Z367" s="517"/>
      <c r="AA367" s="517"/>
      <c r="AB367" s="517"/>
      <c r="AC367" s="517"/>
      <c r="AD367" s="517"/>
      <c r="AE367" s="517"/>
      <c r="AF367" s="517"/>
      <c r="AG367" s="517"/>
      <c r="AH367" s="517"/>
      <c r="AI367" s="517"/>
      <c r="AJ367" s="517"/>
      <c r="AK367" s="517"/>
      <c r="AL367" s="517"/>
      <c r="AM367" s="517"/>
      <c r="AN367" s="517"/>
      <c r="AO367" s="517"/>
      <c r="AP367" s="517"/>
      <c r="AQ367" s="517"/>
      <c r="AR367" s="517"/>
      <c r="AS367" s="517"/>
      <c r="AT367" s="517"/>
      <c r="AU367" s="517"/>
      <c r="AV367" s="517"/>
      <c r="AW367" s="517"/>
      <c r="AX367" s="517"/>
      <c r="AY367" s="517"/>
      <c r="AZ367" s="517"/>
      <c r="BA367" s="517"/>
      <c r="BB367" s="517"/>
      <c r="BC367" s="517"/>
      <c r="BD367" s="517"/>
      <c r="BE367" s="517"/>
      <c r="BF367" s="517"/>
      <c r="BG367" s="517"/>
      <c r="BH367" s="517"/>
      <c r="BI367" s="517"/>
      <c r="BJ367" s="517"/>
      <c r="BK367" s="517"/>
      <c r="BL367" s="517"/>
      <c r="BM367" s="517"/>
      <c r="BN367" s="517"/>
      <c r="BO367" s="517"/>
      <c r="BP367" s="517"/>
      <c r="BQ367" s="517"/>
      <c r="BR367" s="517"/>
      <c r="BS367" s="517"/>
      <c r="BT367" s="517"/>
      <c r="BU367" s="517"/>
      <c r="BV367" s="517"/>
      <c r="BW367" s="517"/>
      <c r="BX367" s="517"/>
      <c r="BY367" s="517"/>
      <c r="BZ367" s="517"/>
      <c r="CA367" s="517"/>
      <c r="CB367" s="517"/>
      <c r="CC367" s="517"/>
      <c r="CD367" s="517"/>
      <c r="CE367" s="517"/>
      <c r="CF367" s="517"/>
      <c r="CG367" s="517"/>
      <c r="CH367" s="517"/>
      <c r="CI367" s="517"/>
      <c r="CJ367" s="517"/>
      <c r="CK367" s="517"/>
      <c r="CL367" s="517"/>
      <c r="CM367" s="517"/>
      <c r="CN367" s="517"/>
      <c r="CO367" s="517"/>
      <c r="CP367" s="517"/>
      <c r="CQ367" s="517"/>
      <c r="CR367" s="517"/>
      <c r="CS367" s="517"/>
      <c r="CT367" s="517"/>
      <c r="CU367" s="517"/>
      <c r="CV367" s="517"/>
      <c r="CW367" s="517"/>
      <c r="CX367" s="517"/>
      <c r="CY367" s="517"/>
      <c r="CZ367" s="517"/>
      <c r="DA367" s="517"/>
      <c r="DB367" s="517"/>
      <c r="DC367" s="517"/>
      <c r="DD367" s="517"/>
      <c r="DE367" s="517"/>
      <c r="DF367" s="517"/>
      <c r="DG367" s="517"/>
      <c r="DH367" s="517"/>
      <c r="DI367" s="517"/>
      <c r="DJ367" s="517"/>
      <c r="DK367" s="517"/>
      <c r="DL367" s="517"/>
      <c r="DM367" s="517"/>
      <c r="DN367" s="517"/>
      <c r="DO367" s="517"/>
      <c r="DP367" s="517"/>
      <c r="DQ367" s="517"/>
      <c r="DR367" s="517"/>
      <c r="DS367" s="517"/>
      <c r="DT367" s="517"/>
      <c r="DU367" s="517"/>
      <c r="DV367" s="517"/>
      <c r="DW367" s="517"/>
      <c r="DX367" s="517"/>
      <c r="DY367" s="517"/>
      <c r="DZ367" s="517"/>
      <c r="EA367" s="517"/>
      <c r="EB367" s="517"/>
      <c r="EC367" s="517"/>
      <c r="ED367" s="517"/>
      <c r="EE367" s="517"/>
      <c r="EF367" s="517"/>
      <c r="EG367" s="517"/>
      <c r="EH367" s="517"/>
      <c r="EI367" s="517"/>
      <c r="EJ367" s="517"/>
      <c r="EK367" s="517"/>
      <c r="EL367" s="517"/>
      <c r="EM367" s="517"/>
      <c r="EN367" s="517"/>
      <c r="EO367" s="517"/>
      <c r="EP367" s="517"/>
      <c r="EQ367" s="517"/>
      <c r="ER367" s="517"/>
      <c r="ES367" s="627"/>
    </row>
    <row r="368">
      <c r="A368" s="517"/>
      <c r="B368" s="517"/>
      <c r="C368" s="517"/>
      <c r="D368" s="517"/>
      <c r="E368" s="517"/>
      <c r="F368" s="517"/>
      <c r="G368" s="517"/>
      <c r="H368" s="517"/>
      <c r="I368" s="517"/>
      <c r="J368" s="517"/>
      <c r="K368" s="517"/>
      <c r="L368" s="517"/>
      <c r="M368" s="517"/>
      <c r="N368" s="517"/>
      <c r="O368" s="517"/>
      <c r="P368" s="517"/>
      <c r="Q368" s="517"/>
      <c r="R368" s="517"/>
      <c r="S368" s="517"/>
      <c r="T368" s="517"/>
      <c r="U368" s="517"/>
      <c r="V368" s="517"/>
      <c r="W368" s="517"/>
      <c r="X368" s="517"/>
      <c r="Y368" s="517"/>
      <c r="Z368" s="517"/>
      <c r="AA368" s="517"/>
      <c r="AB368" s="517"/>
      <c r="AC368" s="517"/>
      <c r="AD368" s="517"/>
      <c r="AE368" s="517"/>
      <c r="AF368" s="517"/>
      <c r="AG368" s="517"/>
      <c r="AH368" s="517"/>
      <c r="AI368" s="517"/>
      <c r="AJ368" s="517"/>
      <c r="AK368" s="517"/>
      <c r="AL368" s="517"/>
      <c r="AM368" s="517"/>
      <c r="AN368" s="517"/>
      <c r="AO368" s="517"/>
      <c r="AP368" s="517"/>
      <c r="AQ368" s="517"/>
      <c r="AR368" s="517"/>
      <c r="AS368" s="517"/>
      <c r="AT368" s="517"/>
      <c r="AU368" s="517"/>
      <c r="AV368" s="517"/>
      <c r="AW368" s="517"/>
      <c r="AX368" s="517"/>
      <c r="AY368" s="517"/>
      <c r="AZ368" s="517"/>
      <c r="BA368" s="517"/>
      <c r="BB368" s="517"/>
      <c r="BC368" s="517"/>
      <c r="BD368" s="517"/>
      <c r="BE368" s="517"/>
      <c r="BF368" s="517"/>
      <c r="BG368" s="517"/>
      <c r="BH368" s="517"/>
      <c r="BI368" s="517"/>
      <c r="BJ368" s="517"/>
      <c r="BK368" s="517"/>
      <c r="BL368" s="517"/>
      <c r="BM368" s="517"/>
      <c r="BN368" s="517"/>
      <c r="BO368" s="517"/>
      <c r="BP368" s="517"/>
      <c r="BQ368" s="517"/>
      <c r="BR368" s="517"/>
      <c r="BS368" s="517"/>
      <c r="BT368" s="517"/>
      <c r="BU368" s="517"/>
      <c r="BV368" s="517"/>
      <c r="BW368" s="517"/>
      <c r="BX368" s="517"/>
      <c r="BY368" s="517"/>
      <c r="BZ368" s="517"/>
      <c r="CA368" s="517"/>
      <c r="CB368" s="517"/>
      <c r="CC368" s="517"/>
      <c r="CD368" s="517"/>
      <c r="CE368" s="517"/>
      <c r="CF368" s="517"/>
      <c r="CG368" s="517"/>
      <c r="CH368" s="517"/>
      <c r="CI368" s="517"/>
      <c r="CJ368" s="517"/>
      <c r="CK368" s="517"/>
      <c r="CL368" s="517"/>
      <c r="CM368" s="517"/>
      <c r="CN368" s="517"/>
      <c r="CO368" s="517"/>
      <c r="CP368" s="517"/>
      <c r="CQ368" s="517"/>
      <c r="CR368" s="517"/>
      <c r="CS368" s="517"/>
      <c r="CT368" s="517"/>
      <c r="CU368" s="517"/>
      <c r="CV368" s="517"/>
      <c r="CW368" s="517"/>
      <c r="CX368" s="517"/>
      <c r="CY368" s="517"/>
      <c r="CZ368" s="517"/>
      <c r="DA368" s="517"/>
      <c r="DB368" s="517"/>
      <c r="DC368" s="517"/>
      <c r="DD368" s="517"/>
      <c r="DE368" s="517"/>
      <c r="DF368" s="517"/>
      <c r="DG368" s="517"/>
      <c r="DH368" s="517"/>
      <c r="DI368" s="517"/>
      <c r="DJ368" s="517"/>
      <c r="DK368" s="517"/>
      <c r="DL368" s="517"/>
      <c r="DM368" s="517"/>
      <c r="DN368" s="517"/>
      <c r="DO368" s="517"/>
      <c r="DP368" s="517"/>
      <c r="DQ368" s="517"/>
      <c r="DR368" s="517"/>
      <c r="DS368" s="517"/>
      <c r="DT368" s="517"/>
      <c r="DU368" s="517"/>
      <c r="DV368" s="517"/>
      <c r="DW368" s="517"/>
      <c r="DX368" s="517"/>
      <c r="DY368" s="517"/>
      <c r="DZ368" s="517"/>
      <c r="EA368" s="517"/>
      <c r="EB368" s="517"/>
      <c r="EC368" s="517"/>
      <c r="ED368" s="517"/>
      <c r="EE368" s="517"/>
      <c r="EF368" s="517"/>
      <c r="EG368" s="517"/>
      <c r="EH368" s="517"/>
      <c r="EI368" s="517"/>
      <c r="EJ368" s="517"/>
      <c r="EK368" s="517"/>
      <c r="EL368" s="517"/>
      <c r="EM368" s="517"/>
      <c r="EN368" s="517"/>
      <c r="EO368" s="517"/>
      <c r="EP368" s="517"/>
      <c r="EQ368" s="517"/>
      <c r="ER368" s="517"/>
      <c r="ES368" s="627"/>
    </row>
    <row r="369">
      <c r="A369" s="517"/>
      <c r="B369" s="517"/>
      <c r="C369" s="517"/>
      <c r="D369" s="517"/>
      <c r="E369" s="517"/>
      <c r="F369" s="517"/>
      <c r="G369" s="517"/>
      <c r="H369" s="517"/>
      <c r="I369" s="517"/>
      <c r="J369" s="517"/>
      <c r="K369" s="517"/>
      <c r="L369" s="517"/>
      <c r="M369" s="517"/>
      <c r="N369" s="517"/>
      <c r="O369" s="517"/>
      <c r="P369" s="517"/>
      <c r="Q369" s="517"/>
      <c r="R369" s="517"/>
      <c r="S369" s="517"/>
      <c r="T369" s="517"/>
      <c r="U369" s="517"/>
      <c r="V369" s="517"/>
      <c r="W369" s="517"/>
      <c r="X369" s="517"/>
      <c r="Y369" s="517"/>
      <c r="Z369" s="517"/>
      <c r="AA369" s="517"/>
      <c r="AB369" s="517"/>
      <c r="AC369" s="517"/>
      <c r="AD369" s="517"/>
      <c r="AE369" s="517"/>
      <c r="AF369" s="517"/>
      <c r="AG369" s="517"/>
      <c r="AH369" s="517"/>
      <c r="AI369" s="517"/>
      <c r="AJ369" s="517"/>
      <c r="AK369" s="517"/>
      <c r="AL369" s="517"/>
      <c r="AM369" s="517"/>
      <c r="AN369" s="517"/>
      <c r="AO369" s="517"/>
      <c r="AP369" s="517"/>
      <c r="AQ369" s="517"/>
      <c r="AR369" s="517"/>
      <c r="AS369" s="517"/>
      <c r="AT369" s="517"/>
      <c r="AU369" s="517"/>
      <c r="AV369" s="517"/>
      <c r="AW369" s="517"/>
      <c r="AX369" s="517"/>
      <c r="AY369" s="517"/>
      <c r="AZ369" s="517"/>
      <c r="BA369" s="517"/>
      <c r="BB369" s="517"/>
      <c r="BC369" s="517"/>
      <c r="BD369" s="517"/>
      <c r="BE369" s="517"/>
      <c r="BF369" s="517"/>
      <c r="BG369" s="517"/>
      <c r="BH369" s="517"/>
      <c r="BI369" s="517"/>
      <c r="BJ369" s="517"/>
      <c r="BK369" s="517"/>
      <c r="BL369" s="517"/>
      <c r="BM369" s="517"/>
      <c r="BN369" s="517"/>
      <c r="BO369" s="517"/>
      <c r="BP369" s="517"/>
      <c r="BQ369" s="517"/>
      <c r="BR369" s="517"/>
      <c r="BS369" s="517"/>
      <c r="BT369" s="517"/>
      <c r="BU369" s="517"/>
      <c r="BV369" s="517"/>
      <c r="BW369" s="517"/>
      <c r="BX369" s="517"/>
      <c r="BY369" s="517"/>
      <c r="BZ369" s="517"/>
      <c r="CA369" s="517"/>
      <c r="CB369" s="517"/>
      <c r="CC369" s="517"/>
      <c r="CD369" s="517"/>
      <c r="CE369" s="517"/>
      <c r="CF369" s="517"/>
      <c r="CG369" s="517"/>
      <c r="CH369" s="517"/>
      <c r="CI369" s="517"/>
      <c r="CJ369" s="517"/>
      <c r="CK369" s="517"/>
      <c r="CL369" s="517"/>
      <c r="CM369" s="517"/>
      <c r="CN369" s="517"/>
      <c r="CO369" s="517"/>
      <c r="CP369" s="517"/>
      <c r="CQ369" s="517"/>
      <c r="CR369" s="517"/>
      <c r="CS369" s="517"/>
      <c r="CT369" s="517"/>
      <c r="CU369" s="517"/>
      <c r="CV369" s="517"/>
      <c r="CW369" s="517"/>
      <c r="CX369" s="517"/>
      <c r="CY369" s="517"/>
      <c r="CZ369" s="517"/>
      <c r="DA369" s="517"/>
      <c r="DB369" s="517"/>
      <c r="DC369" s="517"/>
      <c r="DD369" s="517"/>
      <c r="DE369" s="517"/>
      <c r="DF369" s="517"/>
      <c r="DG369" s="517"/>
      <c r="DH369" s="517"/>
      <c r="DI369" s="517"/>
      <c r="DJ369" s="517"/>
      <c r="DK369" s="517"/>
      <c r="DL369" s="517"/>
      <c r="DM369" s="517"/>
      <c r="DN369" s="517"/>
      <c r="DO369" s="517"/>
      <c r="DP369" s="517"/>
      <c r="DQ369" s="517"/>
      <c r="DR369" s="517"/>
      <c r="DS369" s="517"/>
      <c r="DT369" s="517"/>
      <c r="DU369" s="517"/>
      <c r="DV369" s="517"/>
      <c r="DW369" s="517"/>
      <c r="DX369" s="517"/>
      <c r="DY369" s="517"/>
      <c r="DZ369" s="517"/>
      <c r="EA369" s="517"/>
      <c r="EB369" s="517"/>
      <c r="EC369" s="517"/>
      <c r="ED369" s="517"/>
      <c r="EE369" s="517"/>
      <c r="EF369" s="517"/>
      <c r="EG369" s="517"/>
      <c r="EH369" s="517"/>
      <c r="EI369" s="517"/>
      <c r="EJ369" s="517"/>
      <c r="EK369" s="517"/>
      <c r="EL369" s="517"/>
      <c r="EM369" s="517"/>
      <c r="EN369" s="517"/>
      <c r="EO369" s="517"/>
      <c r="EP369" s="517"/>
      <c r="EQ369" s="517"/>
      <c r="ER369" s="517"/>
      <c r="ES369" s="627"/>
    </row>
    <row r="370">
      <c r="A370" s="517"/>
      <c r="B370" s="517"/>
      <c r="C370" s="517"/>
      <c r="D370" s="517"/>
      <c r="E370" s="517"/>
      <c r="F370" s="517"/>
      <c r="G370" s="517"/>
      <c r="H370" s="517"/>
      <c r="I370" s="517"/>
      <c r="J370" s="517"/>
      <c r="K370" s="517"/>
      <c r="L370" s="517"/>
      <c r="M370" s="517"/>
      <c r="N370" s="517"/>
      <c r="O370" s="517"/>
      <c r="P370" s="517"/>
      <c r="Q370" s="517"/>
      <c r="R370" s="517"/>
      <c r="S370" s="517"/>
      <c r="T370" s="517"/>
      <c r="U370" s="517"/>
      <c r="V370" s="517"/>
      <c r="W370" s="517"/>
      <c r="X370" s="517"/>
      <c r="Y370" s="517"/>
      <c r="Z370" s="517"/>
      <c r="AA370" s="517"/>
      <c r="AB370" s="517"/>
      <c r="AC370" s="517"/>
      <c r="AD370" s="517"/>
      <c r="AE370" s="517"/>
      <c r="AF370" s="517"/>
      <c r="AG370" s="517"/>
      <c r="AH370" s="517"/>
      <c r="AI370" s="517"/>
      <c r="AJ370" s="517"/>
      <c r="AK370" s="517"/>
      <c r="AL370" s="517"/>
      <c r="AM370" s="517"/>
      <c r="AN370" s="517"/>
      <c r="AO370" s="517"/>
      <c r="AP370" s="517"/>
      <c r="AQ370" s="517"/>
      <c r="AR370" s="517"/>
      <c r="AS370" s="517"/>
      <c r="AT370" s="517"/>
      <c r="AU370" s="517"/>
      <c r="AV370" s="517"/>
      <c r="AW370" s="517"/>
      <c r="AX370" s="517"/>
      <c r="AY370" s="517"/>
      <c r="AZ370" s="517"/>
      <c r="BA370" s="517"/>
      <c r="BB370" s="517"/>
      <c r="BC370" s="517"/>
      <c r="BD370" s="517"/>
      <c r="BE370" s="517"/>
      <c r="BF370" s="517"/>
      <c r="BG370" s="517"/>
      <c r="BH370" s="517"/>
      <c r="BI370" s="517"/>
      <c r="BJ370" s="517"/>
      <c r="BK370" s="517"/>
      <c r="BL370" s="517"/>
      <c r="BM370" s="517"/>
      <c r="BN370" s="517"/>
      <c r="BO370" s="517"/>
      <c r="BP370" s="517"/>
      <c r="BQ370" s="517"/>
      <c r="BR370" s="517"/>
      <c r="BS370" s="517"/>
      <c r="BT370" s="517"/>
      <c r="BU370" s="517"/>
      <c r="BV370" s="517"/>
      <c r="BW370" s="517"/>
      <c r="BX370" s="517"/>
      <c r="BY370" s="517"/>
      <c r="BZ370" s="517"/>
      <c r="CA370" s="517"/>
      <c r="CB370" s="517"/>
      <c r="CC370" s="517"/>
      <c r="CD370" s="517"/>
      <c r="CE370" s="517"/>
      <c r="CF370" s="517"/>
      <c r="CG370" s="517"/>
      <c r="CH370" s="517"/>
      <c r="CI370" s="517"/>
      <c r="CJ370" s="517"/>
      <c r="CK370" s="517"/>
      <c r="CL370" s="517"/>
      <c r="CM370" s="517"/>
      <c r="CN370" s="517"/>
      <c r="CO370" s="517"/>
      <c r="CP370" s="517"/>
      <c r="CQ370" s="517"/>
      <c r="CR370" s="517"/>
      <c r="CS370" s="517"/>
      <c r="CT370" s="517"/>
      <c r="CU370" s="517"/>
      <c r="CV370" s="517"/>
      <c r="CW370" s="517"/>
      <c r="CX370" s="517"/>
      <c r="CY370" s="517"/>
      <c r="CZ370" s="517"/>
      <c r="DA370" s="517"/>
      <c r="DB370" s="517"/>
      <c r="DC370" s="517"/>
      <c r="DD370" s="517"/>
      <c r="DE370" s="517"/>
      <c r="DF370" s="517"/>
      <c r="DG370" s="517"/>
      <c r="DH370" s="517"/>
      <c r="DI370" s="517"/>
      <c r="DJ370" s="517"/>
      <c r="DK370" s="517"/>
      <c r="DL370" s="517"/>
      <c r="DM370" s="517"/>
      <c r="DN370" s="517"/>
      <c r="DO370" s="517"/>
      <c r="DP370" s="517"/>
      <c r="DQ370" s="517"/>
      <c r="DR370" s="517"/>
      <c r="DS370" s="517"/>
      <c r="DT370" s="517"/>
      <c r="DU370" s="517"/>
      <c r="DV370" s="517"/>
      <c r="DW370" s="517"/>
      <c r="DX370" s="517"/>
      <c r="DY370" s="517"/>
      <c r="DZ370" s="517"/>
      <c r="EA370" s="517"/>
      <c r="EB370" s="517"/>
      <c r="EC370" s="517"/>
      <c r="ED370" s="517"/>
      <c r="EE370" s="517"/>
      <c r="EF370" s="517"/>
      <c r="EG370" s="517"/>
      <c r="EH370" s="517"/>
      <c r="EI370" s="517"/>
      <c r="EJ370" s="517"/>
      <c r="EK370" s="517"/>
      <c r="EL370" s="517"/>
      <c r="EM370" s="517"/>
      <c r="EN370" s="517"/>
      <c r="EO370" s="517"/>
      <c r="EP370" s="517"/>
      <c r="EQ370" s="517"/>
      <c r="ER370" s="517"/>
      <c r="ES370" s="627"/>
    </row>
    <row r="371">
      <c r="A371" s="517"/>
      <c r="B371" s="517"/>
      <c r="C371" s="517"/>
      <c r="D371" s="517"/>
      <c r="E371" s="517"/>
      <c r="F371" s="517"/>
      <c r="G371" s="517"/>
      <c r="H371" s="517"/>
      <c r="I371" s="517"/>
      <c r="J371" s="517"/>
      <c r="K371" s="517"/>
      <c r="L371" s="517"/>
      <c r="M371" s="517"/>
      <c r="N371" s="517"/>
      <c r="O371" s="517"/>
      <c r="P371" s="517"/>
      <c r="Q371" s="517"/>
      <c r="R371" s="517"/>
      <c r="S371" s="517"/>
      <c r="T371" s="517"/>
      <c r="U371" s="517"/>
      <c r="V371" s="517"/>
      <c r="W371" s="517"/>
      <c r="X371" s="517"/>
      <c r="Y371" s="517"/>
      <c r="Z371" s="517"/>
      <c r="AA371" s="517"/>
      <c r="AB371" s="517"/>
      <c r="AC371" s="517"/>
      <c r="AD371" s="517"/>
      <c r="AE371" s="517"/>
      <c r="AF371" s="517"/>
      <c r="AG371" s="517"/>
      <c r="AH371" s="517"/>
      <c r="AI371" s="517"/>
      <c r="AJ371" s="517"/>
      <c r="AK371" s="517"/>
      <c r="AL371" s="517"/>
      <c r="AM371" s="517"/>
      <c r="AN371" s="517"/>
      <c r="AO371" s="517"/>
      <c r="AP371" s="517"/>
      <c r="AQ371" s="517"/>
      <c r="AR371" s="517"/>
      <c r="AS371" s="517"/>
      <c r="AT371" s="517"/>
      <c r="AU371" s="517"/>
      <c r="AV371" s="517"/>
      <c r="AW371" s="517"/>
      <c r="AX371" s="517"/>
      <c r="AY371" s="517"/>
      <c r="AZ371" s="517"/>
      <c r="BA371" s="517"/>
      <c r="BB371" s="517"/>
      <c r="BC371" s="517"/>
      <c r="BD371" s="517"/>
      <c r="BE371" s="517"/>
      <c r="BF371" s="517"/>
      <c r="BG371" s="517"/>
      <c r="BH371" s="517"/>
      <c r="BI371" s="517"/>
      <c r="BJ371" s="517"/>
      <c r="BK371" s="517"/>
      <c r="BL371" s="517"/>
      <c r="BM371" s="517"/>
      <c r="BN371" s="517"/>
      <c r="BO371" s="517"/>
      <c r="BP371" s="517"/>
      <c r="BQ371" s="517"/>
      <c r="BR371" s="517"/>
      <c r="BS371" s="517"/>
      <c r="BT371" s="517"/>
      <c r="BU371" s="517"/>
      <c r="BV371" s="517"/>
      <c r="BW371" s="517"/>
      <c r="BX371" s="517"/>
      <c r="BY371" s="517"/>
      <c r="BZ371" s="517"/>
      <c r="CA371" s="517"/>
      <c r="CB371" s="517"/>
      <c r="CC371" s="517"/>
      <c r="CD371" s="517"/>
      <c r="CE371" s="517"/>
      <c r="CF371" s="517"/>
      <c r="CG371" s="517"/>
      <c r="CH371" s="517"/>
      <c r="CI371" s="517"/>
      <c r="CJ371" s="517"/>
      <c r="CK371" s="517"/>
      <c r="CL371" s="517"/>
      <c r="CM371" s="517"/>
      <c r="CN371" s="517"/>
      <c r="CO371" s="517"/>
      <c r="CP371" s="517"/>
      <c r="CQ371" s="517"/>
      <c r="CR371" s="517"/>
      <c r="CS371" s="517"/>
      <c r="CT371" s="517"/>
      <c r="CU371" s="517"/>
      <c r="CV371" s="517"/>
      <c r="CW371" s="517"/>
      <c r="CX371" s="517"/>
      <c r="CY371" s="517"/>
      <c r="CZ371" s="517"/>
      <c r="DA371" s="517"/>
      <c r="DB371" s="517"/>
      <c r="DC371" s="517"/>
      <c r="DD371" s="517"/>
      <c r="DE371" s="517"/>
      <c r="DF371" s="517"/>
      <c r="DG371" s="517"/>
      <c r="DH371" s="517"/>
      <c r="DI371" s="517"/>
      <c r="DJ371" s="517"/>
      <c r="DK371" s="517"/>
      <c r="DL371" s="517"/>
      <c r="DM371" s="517"/>
      <c r="DN371" s="517"/>
      <c r="DO371" s="517"/>
      <c r="DP371" s="517"/>
      <c r="DQ371" s="517"/>
      <c r="DR371" s="517"/>
      <c r="DS371" s="517"/>
      <c r="DT371" s="517"/>
      <c r="DU371" s="517"/>
      <c r="DV371" s="517"/>
      <c r="DW371" s="517"/>
      <c r="DX371" s="517"/>
      <c r="DY371" s="517"/>
      <c r="DZ371" s="517"/>
      <c r="EA371" s="517"/>
      <c r="EB371" s="517"/>
      <c r="EC371" s="517"/>
      <c r="ED371" s="517"/>
      <c r="EE371" s="517"/>
      <c r="EF371" s="517"/>
      <c r="EG371" s="517"/>
      <c r="EH371" s="517"/>
      <c r="EI371" s="517"/>
      <c r="EJ371" s="517"/>
      <c r="EK371" s="517"/>
      <c r="EL371" s="517"/>
      <c r="EM371" s="517"/>
      <c r="EN371" s="517"/>
      <c r="EO371" s="517"/>
      <c r="EP371" s="517"/>
      <c r="EQ371" s="517"/>
      <c r="ER371" s="517"/>
      <c r="ES371" s="627"/>
    </row>
    <row r="372">
      <c r="A372" s="517"/>
      <c r="B372" s="517"/>
      <c r="C372" s="517"/>
      <c r="D372" s="517"/>
      <c r="E372" s="517"/>
      <c r="F372" s="517"/>
      <c r="G372" s="517"/>
      <c r="H372" s="517"/>
      <c r="I372" s="517"/>
      <c r="J372" s="517"/>
      <c r="K372" s="517"/>
      <c r="L372" s="517"/>
      <c r="M372" s="517"/>
      <c r="N372" s="517"/>
      <c r="O372" s="517"/>
      <c r="P372" s="517"/>
      <c r="Q372" s="517"/>
      <c r="R372" s="517"/>
      <c r="S372" s="517"/>
      <c r="T372" s="517"/>
      <c r="U372" s="517"/>
      <c r="V372" s="517"/>
      <c r="W372" s="517"/>
      <c r="X372" s="517"/>
      <c r="Y372" s="517"/>
      <c r="Z372" s="517"/>
      <c r="AA372" s="517"/>
      <c r="AB372" s="517"/>
      <c r="AC372" s="517"/>
      <c r="AD372" s="517"/>
      <c r="AE372" s="517"/>
      <c r="AF372" s="517"/>
      <c r="AG372" s="517"/>
      <c r="AH372" s="517"/>
      <c r="AI372" s="517"/>
      <c r="AJ372" s="517"/>
      <c r="AK372" s="517"/>
      <c r="AL372" s="517"/>
      <c r="AM372" s="517"/>
      <c r="AN372" s="517"/>
      <c r="AO372" s="517"/>
      <c r="AP372" s="517"/>
      <c r="AQ372" s="517"/>
      <c r="AR372" s="517"/>
      <c r="AS372" s="517"/>
      <c r="AT372" s="517"/>
      <c r="AU372" s="517"/>
      <c r="AV372" s="517"/>
      <c r="AW372" s="517"/>
      <c r="AX372" s="517"/>
      <c r="AY372" s="517"/>
      <c r="AZ372" s="517"/>
      <c r="BA372" s="517"/>
      <c r="BB372" s="517"/>
      <c r="BC372" s="517"/>
      <c r="BD372" s="517"/>
      <c r="BE372" s="517"/>
      <c r="BF372" s="517"/>
      <c r="BG372" s="517"/>
      <c r="BH372" s="517"/>
      <c r="BI372" s="517"/>
      <c r="BJ372" s="517"/>
      <c r="BK372" s="517"/>
      <c r="BL372" s="517"/>
      <c r="BM372" s="517"/>
      <c r="BN372" s="517"/>
      <c r="BO372" s="517"/>
      <c r="BP372" s="517"/>
      <c r="BQ372" s="517"/>
      <c r="BR372" s="517"/>
      <c r="BS372" s="517"/>
      <c r="BT372" s="517"/>
      <c r="BU372" s="517"/>
      <c r="BV372" s="517"/>
      <c r="BW372" s="517"/>
      <c r="BX372" s="517"/>
      <c r="BY372" s="517"/>
      <c r="BZ372" s="517"/>
      <c r="CA372" s="517"/>
      <c r="CB372" s="517"/>
      <c r="CC372" s="517"/>
      <c r="CD372" s="517"/>
      <c r="CE372" s="517"/>
      <c r="CF372" s="517"/>
      <c r="CG372" s="517"/>
      <c r="CH372" s="517"/>
      <c r="CI372" s="517"/>
      <c r="CJ372" s="517"/>
      <c r="CK372" s="517"/>
      <c r="CL372" s="517"/>
      <c r="CM372" s="517"/>
      <c r="CN372" s="517"/>
      <c r="CO372" s="517"/>
      <c r="CP372" s="517"/>
      <c r="CQ372" s="517"/>
      <c r="CR372" s="517"/>
      <c r="CS372" s="517"/>
      <c r="CT372" s="517"/>
      <c r="CU372" s="517"/>
      <c r="CV372" s="517"/>
      <c r="CW372" s="517"/>
      <c r="CX372" s="517"/>
      <c r="CY372" s="517"/>
      <c r="CZ372" s="517"/>
      <c r="DA372" s="517"/>
      <c r="DB372" s="517"/>
      <c r="DC372" s="517"/>
      <c r="DD372" s="517"/>
      <c r="DE372" s="517"/>
      <c r="DF372" s="517"/>
      <c r="DG372" s="517"/>
      <c r="DH372" s="517"/>
      <c r="DI372" s="517"/>
      <c r="DJ372" s="517"/>
      <c r="DK372" s="517"/>
      <c r="DL372" s="517"/>
      <c r="DM372" s="517"/>
      <c r="DN372" s="517"/>
      <c r="DO372" s="517"/>
      <c r="DP372" s="517"/>
      <c r="DQ372" s="517"/>
      <c r="DR372" s="517"/>
      <c r="DS372" s="517"/>
      <c r="DT372" s="517"/>
      <c r="DU372" s="517"/>
      <c r="DV372" s="517"/>
      <c r="DW372" s="517"/>
      <c r="DX372" s="517"/>
      <c r="DY372" s="517"/>
      <c r="DZ372" s="517"/>
      <c r="EA372" s="517"/>
      <c r="EB372" s="517"/>
      <c r="EC372" s="517"/>
      <c r="ED372" s="517"/>
      <c r="EE372" s="517"/>
      <c r="EF372" s="517"/>
      <c r="EG372" s="517"/>
      <c r="EH372" s="517"/>
      <c r="EI372" s="517"/>
      <c r="EJ372" s="517"/>
      <c r="EK372" s="517"/>
      <c r="EL372" s="517"/>
      <c r="EM372" s="517"/>
      <c r="EN372" s="517"/>
      <c r="EO372" s="517"/>
      <c r="EP372" s="517"/>
      <c r="EQ372" s="517"/>
      <c r="ER372" s="517"/>
      <c r="ES372" s="627"/>
    </row>
    <row r="373">
      <c r="A373" s="517"/>
      <c r="B373" s="517"/>
      <c r="C373" s="517"/>
      <c r="D373" s="517"/>
      <c r="E373" s="517"/>
      <c r="F373" s="517"/>
      <c r="G373" s="517"/>
      <c r="H373" s="517"/>
      <c r="I373" s="517"/>
      <c r="J373" s="517"/>
      <c r="K373" s="517"/>
      <c r="L373" s="517"/>
      <c r="M373" s="517"/>
      <c r="N373" s="517"/>
      <c r="O373" s="517"/>
      <c r="P373" s="517"/>
      <c r="Q373" s="517"/>
      <c r="R373" s="517"/>
      <c r="S373" s="517"/>
      <c r="T373" s="517"/>
      <c r="U373" s="517"/>
      <c r="V373" s="517"/>
      <c r="W373" s="517"/>
      <c r="X373" s="517"/>
      <c r="Y373" s="517"/>
      <c r="Z373" s="517"/>
      <c r="AA373" s="517"/>
      <c r="AB373" s="517"/>
      <c r="AC373" s="517"/>
      <c r="AD373" s="517"/>
      <c r="AE373" s="517"/>
      <c r="AF373" s="517"/>
      <c r="AG373" s="517"/>
      <c r="AH373" s="517"/>
      <c r="AI373" s="517"/>
      <c r="AJ373" s="517"/>
      <c r="AK373" s="517"/>
      <c r="AL373" s="517"/>
      <c r="AM373" s="517"/>
      <c r="AN373" s="517"/>
      <c r="AO373" s="517"/>
      <c r="AP373" s="517"/>
      <c r="AQ373" s="517"/>
      <c r="AR373" s="517"/>
      <c r="AS373" s="517"/>
      <c r="AT373" s="517"/>
      <c r="AU373" s="517"/>
      <c r="AV373" s="517"/>
      <c r="AW373" s="517"/>
      <c r="AX373" s="517"/>
      <c r="AY373" s="517"/>
      <c r="AZ373" s="517"/>
      <c r="BA373" s="517"/>
      <c r="BB373" s="517"/>
      <c r="BC373" s="517"/>
      <c r="BD373" s="517"/>
      <c r="BE373" s="517"/>
      <c r="BF373" s="517"/>
      <c r="BG373" s="517"/>
      <c r="BH373" s="517"/>
      <c r="BI373" s="517"/>
      <c r="BJ373" s="517"/>
      <c r="BK373" s="517"/>
      <c r="BL373" s="517"/>
      <c r="BM373" s="517"/>
      <c r="BN373" s="517"/>
      <c r="BO373" s="517"/>
      <c r="BP373" s="517"/>
      <c r="BQ373" s="517"/>
      <c r="BR373" s="517"/>
      <c r="BS373" s="517"/>
      <c r="BT373" s="517"/>
      <c r="BU373" s="517"/>
      <c r="BV373" s="517"/>
      <c r="BW373" s="517"/>
      <c r="BX373" s="517"/>
      <c r="BY373" s="517"/>
      <c r="BZ373" s="517"/>
      <c r="CA373" s="517"/>
      <c r="CB373" s="517"/>
      <c r="CC373" s="517"/>
      <c r="CD373" s="517"/>
      <c r="CE373" s="517"/>
      <c r="CF373" s="517"/>
      <c r="CG373" s="517"/>
      <c r="CH373" s="517"/>
      <c r="CI373" s="517"/>
      <c r="CJ373" s="517"/>
      <c r="CK373" s="517"/>
      <c r="CL373" s="517"/>
      <c r="CM373" s="517"/>
      <c r="CN373" s="517"/>
      <c r="CO373" s="517"/>
      <c r="CP373" s="517"/>
      <c r="CQ373" s="517"/>
      <c r="CR373" s="517"/>
      <c r="CS373" s="517"/>
      <c r="CT373" s="517"/>
      <c r="CU373" s="517"/>
      <c r="CV373" s="517"/>
      <c r="CW373" s="517"/>
      <c r="CX373" s="517"/>
      <c r="CY373" s="517"/>
      <c r="CZ373" s="517"/>
      <c r="DA373" s="517"/>
      <c r="DB373" s="517"/>
      <c r="DC373" s="517"/>
      <c r="DD373" s="517"/>
      <c r="DE373" s="517"/>
      <c r="DF373" s="517"/>
      <c r="DG373" s="517"/>
      <c r="DH373" s="517"/>
      <c r="DI373" s="517"/>
      <c r="DJ373" s="517"/>
      <c r="DK373" s="517"/>
      <c r="DL373" s="517"/>
      <c r="DM373" s="517"/>
      <c r="DN373" s="517"/>
      <c r="DO373" s="517"/>
      <c r="DP373" s="517"/>
      <c r="DQ373" s="517"/>
      <c r="DR373" s="517"/>
      <c r="DS373" s="517"/>
      <c r="DT373" s="517"/>
      <c r="DU373" s="517"/>
      <c r="DV373" s="517"/>
      <c r="DW373" s="517"/>
      <c r="DX373" s="517"/>
      <c r="DY373" s="517"/>
      <c r="DZ373" s="517"/>
      <c r="EA373" s="517"/>
      <c r="EB373" s="517"/>
      <c r="EC373" s="517"/>
      <c r="ED373" s="517"/>
      <c r="EE373" s="517"/>
      <c r="EF373" s="517"/>
      <c r="EG373" s="517"/>
      <c r="EH373" s="517"/>
      <c r="EI373" s="517"/>
      <c r="EJ373" s="517"/>
      <c r="EK373" s="517"/>
      <c r="EL373" s="517"/>
      <c r="EM373" s="517"/>
      <c r="EN373" s="517"/>
      <c r="EO373" s="517"/>
      <c r="EP373" s="517"/>
      <c r="EQ373" s="517"/>
      <c r="ER373" s="517"/>
      <c r="ES373" s="627"/>
    </row>
    <row r="374">
      <c r="A374" s="517"/>
      <c r="B374" s="517"/>
      <c r="C374" s="517"/>
      <c r="D374" s="517"/>
      <c r="E374" s="517"/>
      <c r="F374" s="517"/>
      <c r="G374" s="517"/>
      <c r="H374" s="517"/>
      <c r="I374" s="517"/>
      <c r="J374" s="517"/>
      <c r="K374" s="517"/>
      <c r="L374" s="517"/>
      <c r="M374" s="517"/>
      <c r="N374" s="517"/>
      <c r="O374" s="517"/>
      <c r="P374" s="517"/>
      <c r="Q374" s="517"/>
      <c r="R374" s="517"/>
      <c r="S374" s="517"/>
      <c r="T374" s="517"/>
      <c r="U374" s="517"/>
      <c r="V374" s="517"/>
      <c r="W374" s="517"/>
      <c r="X374" s="517"/>
      <c r="Y374" s="517"/>
      <c r="Z374" s="517"/>
      <c r="AA374" s="517"/>
      <c r="AB374" s="517"/>
      <c r="AC374" s="517"/>
      <c r="AD374" s="517"/>
      <c r="AE374" s="517"/>
      <c r="AF374" s="517"/>
      <c r="AG374" s="517"/>
      <c r="AH374" s="517"/>
      <c r="AI374" s="517"/>
      <c r="AJ374" s="517"/>
      <c r="AK374" s="517"/>
      <c r="AL374" s="517"/>
      <c r="AM374" s="517"/>
      <c r="AN374" s="517"/>
      <c r="AO374" s="517"/>
      <c r="AP374" s="517"/>
      <c r="AQ374" s="517"/>
      <c r="AR374" s="517"/>
      <c r="AS374" s="517"/>
      <c r="AT374" s="517"/>
      <c r="AU374" s="517"/>
      <c r="AV374" s="517"/>
      <c r="AW374" s="517"/>
      <c r="AX374" s="517"/>
      <c r="AY374" s="517"/>
      <c r="AZ374" s="517"/>
      <c r="BA374" s="517"/>
      <c r="BB374" s="517"/>
      <c r="BC374" s="517"/>
      <c r="BD374" s="517"/>
      <c r="BE374" s="517"/>
      <c r="BF374" s="517"/>
      <c r="BG374" s="517"/>
      <c r="BH374" s="517"/>
      <c r="BI374" s="517"/>
      <c r="BJ374" s="517"/>
      <c r="BK374" s="517"/>
      <c r="BL374" s="517"/>
      <c r="BM374" s="517"/>
      <c r="BN374" s="517"/>
      <c r="BO374" s="517"/>
      <c r="BP374" s="517"/>
      <c r="BQ374" s="517"/>
      <c r="BR374" s="517"/>
      <c r="BS374" s="517"/>
      <c r="BT374" s="517"/>
      <c r="BU374" s="517"/>
      <c r="BV374" s="517"/>
      <c r="BW374" s="517"/>
      <c r="BX374" s="517"/>
      <c r="BY374" s="517"/>
      <c r="BZ374" s="517"/>
      <c r="CA374" s="517"/>
      <c r="CB374" s="517"/>
      <c r="CC374" s="517"/>
      <c r="CD374" s="517"/>
      <c r="CE374" s="517"/>
      <c r="CF374" s="517"/>
      <c r="CG374" s="517"/>
      <c r="CH374" s="517"/>
      <c r="CI374" s="517"/>
      <c r="CJ374" s="517"/>
      <c r="CK374" s="517"/>
      <c r="CL374" s="517"/>
      <c r="CM374" s="517"/>
      <c r="CN374" s="517"/>
      <c r="CO374" s="517"/>
      <c r="CP374" s="517"/>
      <c r="CQ374" s="517"/>
      <c r="CR374" s="517"/>
      <c r="CS374" s="517"/>
      <c r="CT374" s="517"/>
      <c r="CU374" s="517"/>
      <c r="CV374" s="517"/>
      <c r="CW374" s="517"/>
      <c r="CX374" s="517"/>
      <c r="CY374" s="517"/>
      <c r="CZ374" s="517"/>
      <c r="DA374" s="517"/>
      <c r="DB374" s="517"/>
      <c r="DC374" s="517"/>
      <c r="DD374" s="517"/>
      <c r="DE374" s="517"/>
      <c r="DF374" s="517"/>
      <c r="DG374" s="517"/>
      <c r="DH374" s="517"/>
      <c r="DI374" s="517"/>
      <c r="DJ374" s="517"/>
      <c r="DK374" s="517"/>
      <c r="DL374" s="517"/>
      <c r="DM374" s="517"/>
      <c r="DN374" s="517"/>
      <c r="DO374" s="517"/>
      <c r="DP374" s="517"/>
      <c r="DQ374" s="517"/>
      <c r="DR374" s="517"/>
      <c r="DS374" s="517"/>
      <c r="DT374" s="517"/>
      <c r="DU374" s="517"/>
      <c r="DV374" s="517"/>
      <c r="DW374" s="517"/>
      <c r="DX374" s="517"/>
      <c r="DY374" s="517"/>
      <c r="DZ374" s="517"/>
      <c r="EA374" s="517"/>
      <c r="EB374" s="517"/>
      <c r="EC374" s="517"/>
      <c r="ED374" s="517"/>
      <c r="EE374" s="517"/>
      <c r="EF374" s="517"/>
      <c r="EG374" s="517"/>
      <c r="EH374" s="517"/>
      <c r="EI374" s="517"/>
      <c r="EJ374" s="517"/>
      <c r="EK374" s="517"/>
      <c r="EL374" s="517"/>
      <c r="EM374" s="517"/>
      <c r="EN374" s="517"/>
      <c r="EO374" s="517"/>
      <c r="EP374" s="517"/>
      <c r="EQ374" s="517"/>
      <c r="ER374" s="517"/>
      <c r="ES374" s="627"/>
    </row>
    <row r="375">
      <c r="A375" s="517"/>
      <c r="B375" s="517"/>
      <c r="C375" s="517"/>
      <c r="D375" s="517"/>
      <c r="E375" s="517"/>
      <c r="F375" s="517"/>
      <c r="G375" s="517"/>
      <c r="H375" s="517"/>
      <c r="I375" s="517"/>
      <c r="J375" s="517"/>
      <c r="K375" s="517"/>
      <c r="L375" s="517"/>
      <c r="M375" s="517"/>
      <c r="N375" s="517"/>
      <c r="O375" s="517"/>
      <c r="P375" s="517"/>
      <c r="Q375" s="517"/>
      <c r="R375" s="517"/>
      <c r="S375" s="517"/>
      <c r="T375" s="517"/>
      <c r="U375" s="517"/>
      <c r="V375" s="517"/>
      <c r="W375" s="517"/>
      <c r="X375" s="517"/>
      <c r="Y375" s="517"/>
      <c r="Z375" s="517"/>
      <c r="AA375" s="517"/>
      <c r="AB375" s="517"/>
      <c r="AC375" s="517"/>
      <c r="AD375" s="517"/>
      <c r="AE375" s="517"/>
      <c r="AF375" s="517"/>
      <c r="AG375" s="517"/>
      <c r="AH375" s="517"/>
      <c r="AI375" s="517"/>
      <c r="AJ375" s="517"/>
      <c r="AK375" s="517"/>
      <c r="AL375" s="517"/>
      <c r="AM375" s="517"/>
      <c r="AN375" s="517"/>
      <c r="AO375" s="517"/>
      <c r="AP375" s="517"/>
      <c r="AQ375" s="517"/>
      <c r="AR375" s="517"/>
      <c r="AS375" s="517"/>
      <c r="AT375" s="517"/>
      <c r="AU375" s="517"/>
      <c r="AV375" s="517"/>
      <c r="AW375" s="517"/>
      <c r="AX375" s="517"/>
      <c r="AY375" s="517"/>
      <c r="AZ375" s="517"/>
      <c r="BA375" s="517"/>
      <c r="BB375" s="517"/>
      <c r="BC375" s="517"/>
      <c r="BD375" s="517"/>
      <c r="BE375" s="517"/>
      <c r="BF375" s="517"/>
      <c r="BG375" s="517"/>
      <c r="BH375" s="517"/>
      <c r="BI375" s="517"/>
      <c r="BJ375" s="517"/>
      <c r="BK375" s="517"/>
      <c r="BL375" s="517"/>
      <c r="BM375" s="517"/>
      <c r="BN375" s="517"/>
      <c r="BO375" s="517"/>
      <c r="BP375" s="517"/>
      <c r="BQ375" s="517"/>
      <c r="BR375" s="517"/>
      <c r="BS375" s="517"/>
      <c r="BT375" s="517"/>
      <c r="BU375" s="517"/>
      <c r="BV375" s="517"/>
      <c r="BW375" s="517"/>
      <c r="BX375" s="517"/>
      <c r="BY375" s="517"/>
      <c r="BZ375" s="517"/>
      <c r="CA375" s="517"/>
      <c r="CB375" s="517"/>
      <c r="CC375" s="517"/>
      <c r="CD375" s="517"/>
      <c r="CE375" s="517"/>
      <c r="CF375" s="517"/>
      <c r="CG375" s="517"/>
      <c r="CH375" s="517"/>
      <c r="CI375" s="517"/>
      <c r="CJ375" s="517"/>
      <c r="CK375" s="517"/>
      <c r="CL375" s="517"/>
      <c r="CM375" s="517"/>
      <c r="CN375" s="517"/>
      <c r="CO375" s="517"/>
      <c r="CP375" s="517"/>
      <c r="CQ375" s="517"/>
      <c r="CR375" s="517"/>
      <c r="CS375" s="517"/>
      <c r="CT375" s="517"/>
      <c r="CU375" s="517"/>
      <c r="CV375" s="517"/>
      <c r="CW375" s="517"/>
      <c r="CX375" s="517"/>
      <c r="CY375" s="517"/>
      <c r="CZ375" s="517"/>
      <c r="DA375" s="517"/>
      <c r="DB375" s="517"/>
      <c r="DC375" s="517"/>
      <c r="DD375" s="517"/>
      <c r="DE375" s="517"/>
      <c r="DF375" s="517"/>
      <c r="DG375" s="517"/>
      <c r="DH375" s="517"/>
      <c r="DI375" s="517"/>
      <c r="DJ375" s="517"/>
      <c r="DK375" s="517"/>
      <c r="DL375" s="517"/>
      <c r="DM375" s="517"/>
      <c r="DN375" s="517"/>
      <c r="DO375" s="517"/>
      <c r="DP375" s="517"/>
      <c r="DQ375" s="517"/>
      <c r="DR375" s="517"/>
      <c r="DS375" s="517"/>
      <c r="DT375" s="517"/>
      <c r="DU375" s="517"/>
      <c r="DV375" s="517"/>
      <c r="DW375" s="517"/>
      <c r="DX375" s="517"/>
      <c r="DY375" s="517"/>
      <c r="DZ375" s="517"/>
      <c r="EA375" s="517"/>
      <c r="EB375" s="517"/>
      <c r="EC375" s="517"/>
      <c r="ED375" s="517"/>
      <c r="EE375" s="517"/>
      <c r="EF375" s="517"/>
      <c r="EG375" s="517"/>
      <c r="EH375" s="517"/>
      <c r="EI375" s="517"/>
      <c r="EJ375" s="517"/>
      <c r="EK375" s="517"/>
      <c r="EL375" s="517"/>
      <c r="EM375" s="517"/>
      <c r="EN375" s="517"/>
      <c r="EO375" s="517"/>
      <c r="EP375" s="517"/>
      <c r="EQ375" s="517"/>
      <c r="ER375" s="517"/>
      <c r="ES375" s="627"/>
    </row>
    <row r="376">
      <c r="A376" s="517"/>
      <c r="B376" s="517"/>
      <c r="C376" s="517"/>
      <c r="D376" s="517"/>
      <c r="E376" s="517"/>
      <c r="F376" s="517"/>
      <c r="G376" s="517"/>
      <c r="H376" s="517"/>
      <c r="I376" s="517"/>
      <c r="J376" s="517"/>
      <c r="K376" s="517"/>
      <c r="L376" s="517"/>
      <c r="M376" s="517"/>
      <c r="N376" s="517"/>
      <c r="O376" s="517"/>
      <c r="P376" s="517"/>
      <c r="Q376" s="517"/>
      <c r="R376" s="517"/>
      <c r="S376" s="517"/>
      <c r="T376" s="517"/>
      <c r="U376" s="517"/>
      <c r="V376" s="517"/>
      <c r="W376" s="517"/>
      <c r="X376" s="517"/>
      <c r="Y376" s="517"/>
      <c r="Z376" s="517"/>
      <c r="AA376" s="517"/>
      <c r="AB376" s="517"/>
      <c r="AC376" s="517"/>
      <c r="AD376" s="517"/>
      <c r="AE376" s="517"/>
      <c r="AF376" s="517"/>
      <c r="AG376" s="517"/>
      <c r="AH376" s="517"/>
      <c r="AI376" s="517"/>
      <c r="AJ376" s="517"/>
      <c r="AK376" s="517"/>
      <c r="AL376" s="517"/>
      <c r="AM376" s="517"/>
      <c r="AN376" s="517"/>
      <c r="AO376" s="517"/>
      <c r="AP376" s="517"/>
      <c r="AQ376" s="517"/>
      <c r="AR376" s="517"/>
      <c r="AS376" s="517"/>
      <c r="AT376" s="517"/>
      <c r="AU376" s="517"/>
      <c r="AV376" s="517"/>
      <c r="AW376" s="517"/>
      <c r="AX376" s="517"/>
      <c r="AY376" s="517"/>
      <c r="AZ376" s="517"/>
      <c r="BA376" s="517"/>
      <c r="BB376" s="517"/>
      <c r="BC376" s="517"/>
      <c r="BD376" s="517"/>
      <c r="BE376" s="517"/>
      <c r="BF376" s="517"/>
      <c r="BG376" s="517"/>
      <c r="BH376" s="517"/>
      <c r="BI376" s="517"/>
      <c r="BJ376" s="517"/>
      <c r="BK376" s="517"/>
      <c r="BL376" s="517"/>
      <c r="BM376" s="517"/>
      <c r="BN376" s="517"/>
      <c r="BO376" s="517"/>
      <c r="BP376" s="517"/>
      <c r="BQ376" s="517"/>
      <c r="BR376" s="517"/>
      <c r="BS376" s="517"/>
      <c r="BT376" s="517"/>
      <c r="BU376" s="517"/>
      <c r="BV376" s="517"/>
      <c r="BW376" s="517"/>
      <c r="BX376" s="517"/>
      <c r="BY376" s="517"/>
      <c r="BZ376" s="517"/>
      <c r="CA376" s="517"/>
      <c r="CB376" s="517"/>
      <c r="CC376" s="517"/>
      <c r="CD376" s="517"/>
      <c r="CE376" s="517"/>
      <c r="CF376" s="517"/>
      <c r="CG376" s="517"/>
      <c r="CH376" s="517"/>
      <c r="CI376" s="517"/>
      <c r="CJ376" s="517"/>
      <c r="CK376" s="517"/>
      <c r="CL376" s="517"/>
      <c r="CM376" s="517"/>
      <c r="CN376" s="517"/>
      <c r="CO376" s="517"/>
      <c r="CP376" s="517"/>
      <c r="CQ376" s="517"/>
      <c r="CR376" s="517"/>
      <c r="CS376" s="517"/>
      <c r="CT376" s="517"/>
      <c r="CU376" s="517"/>
      <c r="CV376" s="517"/>
      <c r="CW376" s="517"/>
      <c r="CX376" s="517"/>
      <c r="CY376" s="517"/>
      <c r="CZ376" s="517"/>
      <c r="DA376" s="517"/>
      <c r="DB376" s="517"/>
      <c r="DC376" s="517"/>
      <c r="DD376" s="517"/>
      <c r="DE376" s="517"/>
      <c r="DF376" s="517"/>
      <c r="DG376" s="517"/>
      <c r="DH376" s="517"/>
      <c r="DI376" s="517"/>
      <c r="DJ376" s="517"/>
      <c r="DK376" s="517"/>
      <c r="DL376" s="517"/>
      <c r="DM376" s="517"/>
      <c r="DN376" s="517"/>
      <c r="DO376" s="517"/>
      <c r="DP376" s="517"/>
      <c r="DQ376" s="517"/>
      <c r="DR376" s="517"/>
      <c r="DS376" s="517"/>
      <c r="DT376" s="517"/>
      <c r="DU376" s="517"/>
      <c r="DV376" s="517"/>
      <c r="DW376" s="517"/>
      <c r="DX376" s="517"/>
      <c r="DY376" s="517"/>
      <c r="DZ376" s="517"/>
      <c r="EA376" s="517"/>
      <c r="EB376" s="517"/>
      <c r="EC376" s="517"/>
      <c r="ED376" s="517"/>
      <c r="EE376" s="517"/>
      <c r="EF376" s="517"/>
      <c r="EG376" s="517"/>
      <c r="EH376" s="517"/>
      <c r="EI376" s="517"/>
      <c r="EJ376" s="517"/>
      <c r="EK376" s="517"/>
      <c r="EL376" s="517"/>
      <c r="EM376" s="517"/>
      <c r="EN376" s="517"/>
      <c r="EO376" s="517"/>
      <c r="EP376" s="517"/>
      <c r="EQ376" s="517"/>
      <c r="ER376" s="517"/>
      <c r="ES376" s="627"/>
    </row>
    <row r="377">
      <c r="A377" s="517"/>
      <c r="B377" s="517"/>
      <c r="C377" s="517"/>
      <c r="D377" s="517"/>
      <c r="E377" s="517"/>
      <c r="F377" s="517"/>
      <c r="G377" s="517"/>
      <c r="H377" s="517"/>
      <c r="I377" s="517"/>
      <c r="J377" s="517"/>
      <c r="K377" s="517"/>
      <c r="L377" s="517"/>
      <c r="M377" s="517"/>
      <c r="N377" s="517"/>
      <c r="O377" s="517"/>
      <c r="P377" s="517"/>
      <c r="Q377" s="517"/>
      <c r="R377" s="517"/>
      <c r="S377" s="517"/>
      <c r="T377" s="517"/>
      <c r="U377" s="517"/>
      <c r="V377" s="517"/>
      <c r="W377" s="517"/>
      <c r="X377" s="517"/>
      <c r="Y377" s="517"/>
      <c r="Z377" s="517"/>
      <c r="AA377" s="517"/>
      <c r="AB377" s="517"/>
      <c r="AC377" s="517"/>
      <c r="AD377" s="517"/>
      <c r="AE377" s="517"/>
      <c r="AF377" s="517"/>
      <c r="AG377" s="517"/>
      <c r="AH377" s="517"/>
      <c r="AI377" s="517"/>
      <c r="AJ377" s="517"/>
      <c r="AK377" s="517"/>
      <c r="AL377" s="517"/>
      <c r="AM377" s="517"/>
      <c r="AN377" s="517"/>
      <c r="AO377" s="517"/>
      <c r="AP377" s="517"/>
      <c r="AQ377" s="517"/>
      <c r="AR377" s="517"/>
      <c r="AS377" s="517"/>
      <c r="AT377" s="517"/>
      <c r="AU377" s="517"/>
      <c r="AV377" s="517"/>
      <c r="AW377" s="517"/>
      <c r="AX377" s="517"/>
      <c r="AY377" s="517"/>
      <c r="AZ377" s="517"/>
      <c r="BA377" s="517"/>
      <c r="BB377" s="517"/>
      <c r="BC377" s="517"/>
      <c r="BD377" s="517"/>
      <c r="BE377" s="517"/>
      <c r="BF377" s="517"/>
      <c r="BG377" s="517"/>
      <c r="BH377" s="517"/>
      <c r="BI377" s="517"/>
      <c r="BJ377" s="517"/>
      <c r="BK377" s="517"/>
      <c r="BL377" s="517"/>
      <c r="BM377" s="517"/>
      <c r="BN377" s="517"/>
      <c r="BO377" s="517"/>
      <c r="BP377" s="517"/>
      <c r="BQ377" s="517"/>
      <c r="BR377" s="517"/>
      <c r="BS377" s="517"/>
      <c r="BT377" s="517"/>
      <c r="BU377" s="517"/>
      <c r="BV377" s="517"/>
      <c r="BW377" s="517"/>
      <c r="BX377" s="517"/>
      <c r="BY377" s="517"/>
      <c r="BZ377" s="517"/>
      <c r="CA377" s="517"/>
      <c r="CB377" s="517"/>
      <c r="CC377" s="517"/>
      <c r="CD377" s="517"/>
      <c r="CE377" s="517"/>
      <c r="CF377" s="517"/>
      <c r="CG377" s="517"/>
      <c r="CH377" s="517"/>
      <c r="CI377" s="517"/>
      <c r="CJ377" s="517"/>
      <c r="CK377" s="517"/>
      <c r="CL377" s="517"/>
      <c r="CM377" s="517"/>
      <c r="CN377" s="517"/>
      <c r="CO377" s="517"/>
      <c r="CP377" s="517"/>
      <c r="CQ377" s="517"/>
      <c r="CR377" s="517"/>
      <c r="CS377" s="517"/>
      <c r="CT377" s="517"/>
      <c r="CU377" s="517"/>
      <c r="CV377" s="517"/>
      <c r="CW377" s="517"/>
      <c r="CX377" s="517"/>
      <c r="CY377" s="517"/>
      <c r="CZ377" s="517"/>
      <c r="DA377" s="517"/>
      <c r="DB377" s="517"/>
      <c r="DC377" s="517"/>
      <c r="DD377" s="517"/>
      <c r="DE377" s="517"/>
      <c r="DF377" s="517"/>
      <c r="DG377" s="517"/>
      <c r="DH377" s="517"/>
      <c r="DI377" s="517"/>
      <c r="DJ377" s="517"/>
      <c r="DK377" s="517"/>
      <c r="DL377" s="517"/>
      <c r="DM377" s="517"/>
      <c r="DN377" s="517"/>
      <c r="DO377" s="517"/>
      <c r="DP377" s="517"/>
      <c r="DQ377" s="517"/>
      <c r="DR377" s="517"/>
      <c r="DS377" s="517"/>
      <c r="DT377" s="517"/>
      <c r="DU377" s="517"/>
      <c r="DV377" s="517"/>
      <c r="DW377" s="517"/>
      <c r="DX377" s="517"/>
      <c r="DY377" s="517"/>
      <c r="DZ377" s="517"/>
      <c r="EA377" s="517"/>
      <c r="EB377" s="517"/>
      <c r="EC377" s="517"/>
      <c r="ED377" s="517"/>
      <c r="EE377" s="517"/>
      <c r="EF377" s="517"/>
      <c r="EG377" s="517"/>
      <c r="EH377" s="517"/>
      <c r="EI377" s="517"/>
      <c r="EJ377" s="517"/>
      <c r="EK377" s="517"/>
      <c r="EL377" s="517"/>
      <c r="EM377" s="517"/>
      <c r="EN377" s="517"/>
      <c r="EO377" s="517"/>
      <c r="EP377" s="517"/>
      <c r="EQ377" s="517"/>
      <c r="ER377" s="517"/>
      <c r="ES377" s="627"/>
    </row>
    <row r="378">
      <c r="A378" s="517"/>
      <c r="B378" s="517"/>
      <c r="C378" s="517"/>
      <c r="D378" s="517"/>
      <c r="E378" s="517"/>
      <c r="F378" s="517"/>
      <c r="G378" s="517"/>
      <c r="H378" s="517"/>
      <c r="I378" s="517"/>
      <c r="J378" s="517"/>
      <c r="K378" s="517"/>
      <c r="L378" s="517"/>
      <c r="M378" s="517"/>
      <c r="N378" s="517"/>
      <c r="O378" s="517"/>
      <c r="P378" s="517"/>
      <c r="Q378" s="517"/>
      <c r="R378" s="517"/>
      <c r="S378" s="517"/>
      <c r="T378" s="517"/>
      <c r="U378" s="517"/>
      <c r="V378" s="517"/>
      <c r="W378" s="517"/>
      <c r="X378" s="517"/>
      <c r="Y378" s="517"/>
      <c r="Z378" s="517"/>
      <c r="AA378" s="517"/>
      <c r="AB378" s="517"/>
      <c r="AC378" s="517"/>
      <c r="AD378" s="517"/>
      <c r="AE378" s="517"/>
      <c r="AF378" s="517"/>
      <c r="AG378" s="517"/>
      <c r="AH378" s="517"/>
      <c r="AI378" s="517"/>
      <c r="AJ378" s="517"/>
      <c r="AK378" s="517"/>
      <c r="AL378" s="517"/>
      <c r="AM378" s="517"/>
      <c r="AN378" s="517"/>
      <c r="AO378" s="517"/>
      <c r="AP378" s="517"/>
      <c r="AQ378" s="517"/>
      <c r="AR378" s="517"/>
      <c r="AS378" s="517"/>
      <c r="AT378" s="517"/>
      <c r="AU378" s="517"/>
      <c r="AV378" s="517"/>
      <c r="AW378" s="517"/>
      <c r="AX378" s="517"/>
      <c r="AY378" s="517"/>
      <c r="AZ378" s="517"/>
      <c r="BA378" s="517"/>
      <c r="BB378" s="517"/>
      <c r="BC378" s="517"/>
      <c r="BD378" s="517"/>
      <c r="BE378" s="517"/>
      <c r="BF378" s="517"/>
      <c r="BG378" s="517"/>
      <c r="BH378" s="517"/>
      <c r="BI378" s="517"/>
      <c r="BJ378" s="517"/>
      <c r="BK378" s="517"/>
      <c r="BL378" s="517"/>
      <c r="BM378" s="517"/>
      <c r="BN378" s="517"/>
      <c r="BO378" s="517"/>
      <c r="BP378" s="517"/>
      <c r="BQ378" s="517"/>
      <c r="BR378" s="517"/>
      <c r="BS378" s="517"/>
      <c r="BT378" s="517"/>
      <c r="BU378" s="517"/>
      <c r="BV378" s="517"/>
      <c r="BW378" s="517"/>
      <c r="BX378" s="517"/>
      <c r="BY378" s="517"/>
      <c r="BZ378" s="517"/>
      <c r="CA378" s="517"/>
      <c r="CB378" s="517"/>
      <c r="CC378" s="517"/>
      <c r="CD378" s="517"/>
      <c r="CE378" s="517"/>
      <c r="CF378" s="517"/>
      <c r="CG378" s="517"/>
      <c r="CH378" s="517"/>
      <c r="CI378" s="517"/>
      <c r="CJ378" s="517"/>
      <c r="CK378" s="517"/>
      <c r="CL378" s="517"/>
      <c r="CM378" s="517"/>
      <c r="CN378" s="517"/>
      <c r="CO378" s="517"/>
      <c r="CP378" s="517"/>
      <c r="CQ378" s="517"/>
      <c r="CR378" s="517"/>
      <c r="CS378" s="517"/>
      <c r="CT378" s="517"/>
      <c r="CU378" s="517"/>
      <c r="CV378" s="517"/>
      <c r="CW378" s="517"/>
      <c r="CX378" s="517"/>
      <c r="CY378" s="517"/>
      <c r="CZ378" s="517"/>
      <c r="DA378" s="517"/>
      <c r="DB378" s="517"/>
      <c r="DC378" s="517"/>
      <c r="DD378" s="517"/>
      <c r="DE378" s="517"/>
      <c r="DF378" s="517"/>
      <c r="DG378" s="517"/>
      <c r="DH378" s="517"/>
      <c r="DI378" s="517"/>
      <c r="DJ378" s="517"/>
      <c r="DK378" s="517"/>
      <c r="DL378" s="517"/>
      <c r="DM378" s="517"/>
      <c r="DN378" s="517"/>
      <c r="DO378" s="517"/>
      <c r="DP378" s="517"/>
      <c r="DQ378" s="517"/>
      <c r="DR378" s="517"/>
      <c r="DS378" s="517"/>
      <c r="DT378" s="517"/>
      <c r="DU378" s="517"/>
      <c r="DV378" s="517"/>
      <c r="DW378" s="517"/>
      <c r="DX378" s="517"/>
      <c r="DY378" s="517"/>
      <c r="DZ378" s="517"/>
      <c r="EA378" s="517"/>
      <c r="EB378" s="517"/>
      <c r="EC378" s="517"/>
      <c r="ED378" s="517"/>
      <c r="EE378" s="517"/>
      <c r="EF378" s="517"/>
      <c r="EG378" s="517"/>
      <c r="EH378" s="517"/>
      <c r="EI378" s="517"/>
      <c r="EJ378" s="517"/>
      <c r="EK378" s="517"/>
      <c r="EL378" s="517"/>
      <c r="EM378" s="517"/>
      <c r="EN378" s="517"/>
      <c r="EO378" s="517"/>
      <c r="EP378" s="517"/>
      <c r="EQ378" s="517"/>
      <c r="ER378" s="517"/>
      <c r="ES378" s="627"/>
    </row>
    <row r="379">
      <c r="A379" s="517"/>
      <c r="B379" s="517"/>
      <c r="C379" s="517"/>
      <c r="D379" s="517"/>
      <c r="E379" s="517"/>
      <c r="F379" s="517"/>
      <c r="G379" s="517"/>
      <c r="H379" s="517"/>
      <c r="I379" s="517"/>
      <c r="J379" s="517"/>
      <c r="K379" s="517"/>
      <c r="L379" s="517"/>
      <c r="M379" s="517"/>
      <c r="N379" s="517"/>
      <c r="O379" s="517"/>
      <c r="P379" s="517"/>
      <c r="Q379" s="517"/>
      <c r="R379" s="517"/>
      <c r="S379" s="517"/>
      <c r="T379" s="517"/>
      <c r="U379" s="517"/>
      <c r="V379" s="517"/>
      <c r="W379" s="517"/>
      <c r="X379" s="517"/>
      <c r="Y379" s="517"/>
      <c r="Z379" s="517"/>
      <c r="AA379" s="517"/>
      <c r="AB379" s="517"/>
      <c r="AC379" s="517"/>
      <c r="AD379" s="517"/>
      <c r="AE379" s="517"/>
      <c r="AF379" s="517"/>
      <c r="AG379" s="517"/>
      <c r="AH379" s="517"/>
      <c r="AI379" s="517"/>
      <c r="AJ379" s="517"/>
      <c r="AK379" s="517"/>
      <c r="AL379" s="517"/>
      <c r="AM379" s="517"/>
      <c r="AN379" s="517"/>
      <c r="AO379" s="517"/>
      <c r="AP379" s="517"/>
      <c r="AQ379" s="517"/>
      <c r="AR379" s="517"/>
      <c r="AS379" s="517"/>
      <c r="AT379" s="517"/>
      <c r="AU379" s="517"/>
      <c r="AV379" s="517"/>
      <c r="AW379" s="517"/>
      <c r="AX379" s="517"/>
      <c r="AY379" s="517"/>
      <c r="AZ379" s="517"/>
      <c r="BA379" s="517"/>
      <c r="BB379" s="517"/>
      <c r="BC379" s="517"/>
      <c r="BD379" s="517"/>
      <c r="BE379" s="517"/>
      <c r="BF379" s="517"/>
      <c r="BG379" s="517"/>
      <c r="BH379" s="517"/>
      <c r="BI379" s="517"/>
      <c r="BJ379" s="517"/>
      <c r="BK379" s="517"/>
      <c r="BL379" s="517"/>
      <c r="BM379" s="517"/>
      <c r="BN379" s="517"/>
      <c r="BO379" s="517"/>
      <c r="BP379" s="517"/>
      <c r="BQ379" s="517"/>
      <c r="BR379" s="517"/>
      <c r="BS379" s="517"/>
      <c r="BT379" s="517"/>
      <c r="BU379" s="517"/>
      <c r="BV379" s="517"/>
      <c r="BW379" s="517"/>
      <c r="BX379" s="517"/>
      <c r="BY379" s="517"/>
      <c r="BZ379" s="517"/>
      <c r="CA379" s="517"/>
      <c r="CB379" s="517"/>
      <c r="CC379" s="517"/>
      <c r="CD379" s="517"/>
      <c r="CE379" s="517"/>
      <c r="CF379" s="517"/>
      <c r="CG379" s="517"/>
      <c r="CH379" s="517"/>
      <c r="CI379" s="517"/>
      <c r="CJ379" s="517"/>
      <c r="CK379" s="517"/>
      <c r="CL379" s="517"/>
      <c r="CM379" s="517"/>
      <c r="CN379" s="517"/>
      <c r="CO379" s="517"/>
      <c r="CP379" s="517"/>
      <c r="CQ379" s="517"/>
      <c r="CR379" s="517"/>
      <c r="CS379" s="517"/>
      <c r="CT379" s="517"/>
      <c r="CU379" s="517"/>
      <c r="CV379" s="517"/>
      <c r="CW379" s="517"/>
      <c r="CX379" s="517"/>
      <c r="CY379" s="517"/>
      <c r="CZ379" s="517"/>
      <c r="DA379" s="517"/>
      <c r="DB379" s="517"/>
      <c r="DC379" s="517"/>
      <c r="DD379" s="517"/>
      <c r="DE379" s="517"/>
      <c r="DF379" s="517"/>
      <c r="DG379" s="517"/>
      <c r="DH379" s="517"/>
      <c r="DI379" s="517"/>
      <c r="DJ379" s="517"/>
      <c r="DK379" s="517"/>
      <c r="DL379" s="517"/>
      <c r="DM379" s="517"/>
      <c r="DN379" s="517"/>
      <c r="DO379" s="517"/>
      <c r="DP379" s="517"/>
      <c r="DQ379" s="517"/>
      <c r="DR379" s="517"/>
      <c r="DS379" s="517"/>
      <c r="DT379" s="517"/>
      <c r="DU379" s="517"/>
      <c r="DV379" s="517"/>
      <c r="DW379" s="517"/>
      <c r="DX379" s="517"/>
      <c r="DY379" s="517"/>
      <c r="DZ379" s="517"/>
      <c r="EA379" s="517"/>
      <c r="EB379" s="517"/>
      <c r="EC379" s="517"/>
      <c r="ED379" s="517"/>
      <c r="EE379" s="517"/>
      <c r="EF379" s="517"/>
      <c r="EG379" s="517"/>
      <c r="EH379" s="517"/>
      <c r="EI379" s="517"/>
      <c r="EJ379" s="517"/>
      <c r="EK379" s="517"/>
      <c r="EL379" s="517"/>
      <c r="EM379" s="517"/>
      <c r="EN379" s="517"/>
      <c r="EO379" s="517"/>
      <c r="EP379" s="517"/>
      <c r="EQ379" s="517"/>
      <c r="ER379" s="517"/>
      <c r="ES379" s="627"/>
    </row>
    <row r="380">
      <c r="A380" s="517"/>
      <c r="B380" s="517"/>
      <c r="C380" s="517"/>
      <c r="D380" s="517"/>
      <c r="E380" s="517"/>
      <c r="F380" s="517"/>
      <c r="G380" s="517"/>
      <c r="H380" s="517"/>
      <c r="I380" s="517"/>
      <c r="J380" s="517"/>
      <c r="K380" s="517"/>
      <c r="L380" s="517"/>
      <c r="M380" s="517"/>
      <c r="N380" s="517"/>
      <c r="O380" s="517"/>
      <c r="P380" s="517"/>
      <c r="Q380" s="517"/>
      <c r="R380" s="517"/>
      <c r="S380" s="517"/>
      <c r="T380" s="517"/>
      <c r="U380" s="517"/>
      <c r="V380" s="517"/>
      <c r="W380" s="517"/>
      <c r="X380" s="517"/>
      <c r="Y380" s="517"/>
      <c r="Z380" s="517"/>
      <c r="AA380" s="517"/>
      <c r="AB380" s="517"/>
      <c r="AC380" s="517"/>
      <c r="AD380" s="517"/>
      <c r="AE380" s="517"/>
      <c r="AF380" s="517"/>
      <c r="AG380" s="517"/>
      <c r="AH380" s="517"/>
      <c r="AI380" s="517"/>
      <c r="AJ380" s="517"/>
      <c r="AK380" s="517"/>
      <c r="AL380" s="517"/>
      <c r="AM380" s="517"/>
      <c r="AN380" s="517"/>
      <c r="AO380" s="517"/>
      <c r="AP380" s="517"/>
      <c r="AQ380" s="517"/>
      <c r="AR380" s="517"/>
      <c r="AS380" s="517"/>
      <c r="AT380" s="517"/>
      <c r="AU380" s="517"/>
      <c r="AV380" s="517"/>
      <c r="AW380" s="517"/>
      <c r="AX380" s="517"/>
      <c r="AY380" s="517"/>
      <c r="AZ380" s="517"/>
      <c r="BA380" s="517"/>
      <c r="BB380" s="517"/>
      <c r="BC380" s="517"/>
      <c r="BD380" s="517"/>
      <c r="BE380" s="517"/>
      <c r="BF380" s="517"/>
      <c r="BG380" s="517"/>
      <c r="BH380" s="517"/>
      <c r="BI380" s="517"/>
      <c r="BJ380" s="517"/>
      <c r="BK380" s="517"/>
      <c r="BL380" s="517"/>
      <c r="BM380" s="517"/>
      <c r="BN380" s="517"/>
      <c r="BO380" s="517"/>
      <c r="BP380" s="517"/>
      <c r="BQ380" s="517"/>
      <c r="BR380" s="517"/>
      <c r="BS380" s="517"/>
      <c r="BT380" s="517"/>
      <c r="BU380" s="517"/>
      <c r="BV380" s="517"/>
      <c r="BW380" s="517"/>
      <c r="BX380" s="517"/>
      <c r="BY380" s="517"/>
      <c r="BZ380" s="517"/>
      <c r="CA380" s="517"/>
      <c r="CB380" s="517"/>
      <c r="CC380" s="517"/>
      <c r="CD380" s="517"/>
      <c r="CE380" s="517"/>
      <c r="CF380" s="517"/>
      <c r="CG380" s="517"/>
      <c r="CH380" s="517"/>
      <c r="CI380" s="517"/>
      <c r="CJ380" s="517"/>
      <c r="CK380" s="517"/>
      <c r="CL380" s="517"/>
      <c r="CM380" s="517"/>
      <c r="CN380" s="517"/>
      <c r="CO380" s="517"/>
      <c r="CP380" s="517"/>
      <c r="CQ380" s="517"/>
      <c r="CR380" s="517"/>
      <c r="CS380" s="517"/>
      <c r="CT380" s="517"/>
      <c r="CU380" s="517"/>
      <c r="CV380" s="517"/>
      <c r="CW380" s="517"/>
      <c r="CX380" s="517"/>
      <c r="CY380" s="517"/>
      <c r="CZ380" s="517"/>
      <c r="DA380" s="517"/>
      <c r="DB380" s="517"/>
      <c r="DC380" s="517"/>
      <c r="DD380" s="517"/>
      <c r="DE380" s="517"/>
      <c r="DF380" s="517"/>
      <c r="DG380" s="517"/>
      <c r="DH380" s="517"/>
      <c r="DI380" s="517"/>
      <c r="DJ380" s="517"/>
      <c r="DK380" s="517"/>
      <c r="DL380" s="517"/>
      <c r="DM380" s="517"/>
      <c r="DN380" s="517"/>
      <c r="DO380" s="517"/>
      <c r="DP380" s="517"/>
      <c r="DQ380" s="517"/>
      <c r="DR380" s="517"/>
      <c r="DS380" s="517"/>
      <c r="DT380" s="517"/>
      <c r="DU380" s="517"/>
      <c r="DV380" s="517"/>
      <c r="DW380" s="517"/>
      <c r="DX380" s="517"/>
      <c r="DY380" s="517"/>
      <c r="DZ380" s="517"/>
      <c r="EA380" s="517"/>
      <c r="EB380" s="517"/>
      <c r="EC380" s="517"/>
      <c r="ED380" s="517"/>
      <c r="EE380" s="517"/>
      <c r="EF380" s="517"/>
      <c r="EG380" s="517"/>
      <c r="EH380" s="517"/>
      <c r="EI380" s="517"/>
      <c r="EJ380" s="517"/>
      <c r="EK380" s="517"/>
      <c r="EL380" s="517"/>
      <c r="EM380" s="517"/>
      <c r="EN380" s="517"/>
      <c r="EO380" s="517"/>
      <c r="EP380" s="517"/>
      <c r="EQ380" s="517"/>
      <c r="ER380" s="517"/>
      <c r="ES380" s="627"/>
    </row>
    <row r="381">
      <c r="A381" s="517"/>
      <c r="B381" s="517"/>
      <c r="C381" s="517"/>
      <c r="D381" s="517"/>
      <c r="E381" s="517"/>
      <c r="F381" s="517"/>
      <c r="G381" s="517"/>
      <c r="H381" s="517"/>
      <c r="I381" s="517"/>
      <c r="J381" s="517"/>
      <c r="K381" s="517"/>
      <c r="L381" s="517"/>
      <c r="M381" s="517"/>
      <c r="N381" s="517"/>
      <c r="O381" s="517"/>
      <c r="P381" s="517"/>
      <c r="Q381" s="517"/>
      <c r="R381" s="517"/>
      <c r="S381" s="517"/>
      <c r="T381" s="517"/>
      <c r="U381" s="517"/>
      <c r="V381" s="517"/>
      <c r="W381" s="517"/>
      <c r="X381" s="517"/>
      <c r="Y381" s="517"/>
      <c r="Z381" s="517"/>
      <c r="AA381" s="517"/>
      <c r="AB381" s="517"/>
      <c r="AC381" s="517"/>
      <c r="AD381" s="517"/>
      <c r="AE381" s="517"/>
      <c r="AF381" s="517"/>
      <c r="AG381" s="517"/>
      <c r="AH381" s="517"/>
      <c r="AI381" s="517"/>
      <c r="AJ381" s="517"/>
      <c r="AK381" s="517"/>
      <c r="AL381" s="517"/>
      <c r="AM381" s="517"/>
      <c r="AN381" s="517"/>
      <c r="AO381" s="517"/>
      <c r="AP381" s="517"/>
      <c r="AQ381" s="517"/>
      <c r="AR381" s="517"/>
      <c r="AS381" s="517"/>
      <c r="AT381" s="517"/>
      <c r="AU381" s="517"/>
      <c r="AV381" s="517"/>
      <c r="AW381" s="517"/>
      <c r="AX381" s="517"/>
      <c r="AY381" s="517"/>
      <c r="AZ381" s="517"/>
      <c r="BA381" s="517"/>
      <c r="BB381" s="517"/>
      <c r="BC381" s="517"/>
      <c r="BD381" s="517"/>
      <c r="BE381" s="517"/>
      <c r="BF381" s="517"/>
      <c r="BG381" s="517"/>
      <c r="BH381" s="517"/>
      <c r="BI381" s="517"/>
      <c r="BJ381" s="517"/>
      <c r="BK381" s="517"/>
      <c r="BL381" s="517"/>
      <c r="BM381" s="517"/>
      <c r="BN381" s="517"/>
      <c r="BO381" s="517"/>
      <c r="BP381" s="517"/>
      <c r="BQ381" s="517"/>
      <c r="BR381" s="517"/>
      <c r="BS381" s="517"/>
      <c r="BT381" s="517"/>
      <c r="BU381" s="517"/>
      <c r="BV381" s="517"/>
      <c r="BW381" s="517"/>
      <c r="BX381" s="517"/>
      <c r="BY381" s="517"/>
      <c r="BZ381" s="517"/>
      <c r="CA381" s="517"/>
      <c r="CB381" s="517"/>
      <c r="CC381" s="517"/>
      <c r="CD381" s="517"/>
      <c r="CE381" s="517"/>
      <c r="CF381" s="517"/>
      <c r="CG381" s="517"/>
      <c r="CH381" s="517"/>
      <c r="CI381" s="517"/>
      <c r="CJ381" s="517"/>
      <c r="CK381" s="517"/>
      <c r="CL381" s="517"/>
      <c r="CM381" s="517"/>
      <c r="CN381" s="517"/>
      <c r="CO381" s="517"/>
      <c r="CP381" s="517"/>
      <c r="CQ381" s="517"/>
      <c r="CR381" s="517"/>
      <c r="CS381" s="517"/>
      <c r="CT381" s="517"/>
      <c r="CU381" s="517"/>
      <c r="CV381" s="517"/>
      <c r="CW381" s="517"/>
      <c r="CX381" s="517"/>
      <c r="CY381" s="517"/>
      <c r="CZ381" s="517"/>
      <c r="DA381" s="517"/>
      <c r="DB381" s="517"/>
      <c r="DC381" s="517"/>
      <c r="DD381" s="517"/>
      <c r="DE381" s="517"/>
      <c r="DF381" s="517"/>
      <c r="DG381" s="517"/>
      <c r="DH381" s="517"/>
      <c r="DI381" s="517"/>
      <c r="DJ381" s="517"/>
      <c r="DK381" s="517"/>
      <c r="DL381" s="517"/>
      <c r="DM381" s="517"/>
      <c r="DN381" s="517"/>
      <c r="DO381" s="517"/>
      <c r="DP381" s="517"/>
      <c r="DQ381" s="517"/>
      <c r="DR381" s="517"/>
      <c r="DS381" s="517"/>
      <c r="DT381" s="517"/>
      <c r="DU381" s="517"/>
      <c r="DV381" s="517"/>
      <c r="DW381" s="517"/>
      <c r="DX381" s="517"/>
      <c r="DY381" s="517"/>
      <c r="DZ381" s="517"/>
      <c r="EA381" s="517"/>
      <c r="EB381" s="517"/>
      <c r="EC381" s="517"/>
      <c r="ED381" s="517"/>
      <c r="EE381" s="517"/>
      <c r="EF381" s="517"/>
      <c r="EG381" s="517"/>
      <c r="EH381" s="517"/>
      <c r="EI381" s="517"/>
      <c r="EJ381" s="517"/>
      <c r="EK381" s="517"/>
      <c r="EL381" s="517"/>
      <c r="EM381" s="517"/>
      <c r="EN381" s="517"/>
      <c r="EO381" s="517"/>
      <c r="EP381" s="517"/>
      <c r="EQ381" s="517"/>
      <c r="ER381" s="517"/>
      <c r="ES381" s="627"/>
    </row>
    <row r="382">
      <c r="A382" s="517"/>
      <c r="B382" s="517"/>
      <c r="C382" s="517"/>
      <c r="D382" s="517"/>
      <c r="E382" s="517"/>
      <c r="F382" s="517"/>
      <c r="G382" s="517"/>
      <c r="H382" s="517"/>
      <c r="I382" s="517"/>
      <c r="J382" s="517"/>
      <c r="K382" s="517"/>
      <c r="L382" s="517"/>
      <c r="M382" s="517"/>
      <c r="N382" s="517"/>
      <c r="O382" s="517"/>
      <c r="P382" s="517"/>
      <c r="Q382" s="517"/>
      <c r="R382" s="517"/>
      <c r="S382" s="517"/>
      <c r="T382" s="517"/>
      <c r="U382" s="517"/>
      <c r="V382" s="517"/>
      <c r="W382" s="517"/>
      <c r="X382" s="517"/>
      <c r="Y382" s="517"/>
      <c r="Z382" s="517"/>
      <c r="AA382" s="517"/>
      <c r="AB382" s="517"/>
      <c r="AC382" s="517"/>
      <c r="AD382" s="517"/>
      <c r="AE382" s="517"/>
      <c r="AF382" s="517"/>
      <c r="AG382" s="517"/>
      <c r="AH382" s="517"/>
      <c r="AI382" s="517"/>
      <c r="AJ382" s="517"/>
      <c r="AK382" s="517"/>
      <c r="AL382" s="517"/>
      <c r="AM382" s="517"/>
      <c r="AN382" s="517"/>
      <c r="AO382" s="517"/>
      <c r="AP382" s="517"/>
      <c r="AQ382" s="517"/>
      <c r="AR382" s="517"/>
      <c r="AS382" s="517"/>
      <c r="AT382" s="517"/>
      <c r="AU382" s="517"/>
      <c r="AV382" s="517"/>
      <c r="AW382" s="517"/>
      <c r="AX382" s="517"/>
      <c r="AY382" s="517"/>
      <c r="AZ382" s="517"/>
      <c r="BA382" s="517"/>
      <c r="BB382" s="517"/>
      <c r="BC382" s="517"/>
      <c r="BD382" s="517"/>
      <c r="BE382" s="517"/>
      <c r="BF382" s="517"/>
      <c r="BG382" s="517"/>
      <c r="BH382" s="517"/>
      <c r="BI382" s="517"/>
      <c r="BJ382" s="517"/>
      <c r="BK382" s="517"/>
      <c r="BL382" s="517"/>
      <c r="BM382" s="517"/>
      <c r="BN382" s="517"/>
      <c r="BO382" s="517"/>
      <c r="BP382" s="517"/>
      <c r="BQ382" s="517"/>
      <c r="BR382" s="517"/>
      <c r="BS382" s="517"/>
      <c r="BT382" s="517"/>
      <c r="BU382" s="517"/>
      <c r="BV382" s="517"/>
      <c r="BW382" s="517"/>
      <c r="BX382" s="517"/>
      <c r="BY382" s="517"/>
      <c r="BZ382" s="517"/>
      <c r="CA382" s="517"/>
      <c r="CB382" s="517"/>
      <c r="CC382" s="517"/>
      <c r="CD382" s="517"/>
      <c r="CE382" s="517"/>
      <c r="CF382" s="517"/>
      <c r="CG382" s="517"/>
      <c r="CH382" s="517"/>
      <c r="CI382" s="517"/>
      <c r="CJ382" s="517"/>
      <c r="CK382" s="517"/>
      <c r="CL382" s="517"/>
      <c r="CM382" s="517"/>
      <c r="CN382" s="517"/>
      <c r="CO382" s="517"/>
      <c r="CP382" s="517"/>
      <c r="CQ382" s="517"/>
      <c r="CR382" s="517"/>
      <c r="CS382" s="517"/>
      <c r="CT382" s="517"/>
      <c r="CU382" s="517"/>
      <c r="CV382" s="517"/>
      <c r="CW382" s="517"/>
      <c r="CX382" s="517"/>
      <c r="CY382" s="517"/>
      <c r="CZ382" s="517"/>
      <c r="DA382" s="517"/>
      <c r="DB382" s="517"/>
      <c r="DC382" s="517"/>
      <c r="DD382" s="517"/>
      <c r="DE382" s="517"/>
      <c r="DF382" s="517"/>
      <c r="DG382" s="517"/>
      <c r="DH382" s="517"/>
      <c r="DI382" s="517"/>
      <c r="DJ382" s="517"/>
      <c r="DK382" s="517"/>
      <c r="DL382" s="517"/>
      <c r="DM382" s="517"/>
      <c r="DN382" s="517"/>
      <c r="DO382" s="517"/>
      <c r="DP382" s="517"/>
      <c r="DQ382" s="517"/>
      <c r="DR382" s="517"/>
      <c r="DS382" s="517"/>
      <c r="DT382" s="517"/>
      <c r="DU382" s="517"/>
      <c r="DV382" s="517"/>
      <c r="DW382" s="517"/>
      <c r="DX382" s="517"/>
      <c r="DY382" s="517"/>
      <c r="DZ382" s="517"/>
      <c r="EA382" s="517"/>
      <c r="EB382" s="517"/>
      <c r="EC382" s="517"/>
      <c r="ED382" s="517"/>
      <c r="EE382" s="517"/>
      <c r="EF382" s="517"/>
      <c r="EG382" s="517"/>
      <c r="EH382" s="517"/>
      <c r="EI382" s="517"/>
      <c r="EJ382" s="517"/>
      <c r="EK382" s="517"/>
      <c r="EL382" s="517"/>
      <c r="EM382" s="517"/>
      <c r="EN382" s="517"/>
      <c r="EO382" s="517"/>
      <c r="EP382" s="517"/>
      <c r="EQ382" s="517"/>
      <c r="ER382" s="517"/>
      <c r="ES382" s="627"/>
    </row>
    <row r="383">
      <c r="A383" s="517"/>
      <c r="B383" s="517"/>
      <c r="C383" s="517"/>
      <c r="D383" s="517"/>
      <c r="E383" s="517"/>
      <c r="F383" s="517"/>
      <c r="G383" s="517"/>
      <c r="H383" s="517"/>
      <c r="I383" s="517"/>
      <c r="J383" s="517"/>
      <c r="K383" s="517"/>
      <c r="L383" s="517"/>
      <c r="M383" s="517"/>
      <c r="N383" s="517"/>
      <c r="O383" s="517"/>
      <c r="P383" s="517"/>
      <c r="Q383" s="517"/>
      <c r="R383" s="517"/>
      <c r="S383" s="517"/>
      <c r="T383" s="517"/>
      <c r="U383" s="517"/>
      <c r="V383" s="517"/>
      <c r="W383" s="517"/>
      <c r="X383" s="517"/>
      <c r="Y383" s="517"/>
      <c r="Z383" s="517"/>
      <c r="AA383" s="517"/>
      <c r="AB383" s="517"/>
      <c r="AC383" s="517"/>
      <c r="AD383" s="517"/>
      <c r="AE383" s="517"/>
      <c r="AF383" s="517"/>
      <c r="AG383" s="517"/>
      <c r="AH383" s="517"/>
      <c r="AI383" s="517"/>
      <c r="AJ383" s="517"/>
      <c r="AK383" s="517"/>
      <c r="AL383" s="517"/>
      <c r="AM383" s="517"/>
      <c r="AN383" s="517"/>
      <c r="AO383" s="517"/>
      <c r="AP383" s="517"/>
      <c r="AQ383" s="517"/>
      <c r="AR383" s="517"/>
      <c r="AS383" s="517"/>
      <c r="AT383" s="517"/>
      <c r="AU383" s="517"/>
      <c r="AV383" s="517"/>
      <c r="AW383" s="517"/>
      <c r="AX383" s="517"/>
      <c r="AY383" s="517"/>
      <c r="AZ383" s="517"/>
      <c r="BA383" s="517"/>
      <c r="BB383" s="517"/>
      <c r="BC383" s="517"/>
      <c r="BD383" s="517"/>
      <c r="BE383" s="517"/>
      <c r="BF383" s="517"/>
      <c r="BG383" s="517"/>
      <c r="BH383" s="517"/>
      <c r="BI383" s="517"/>
      <c r="BJ383" s="517"/>
      <c r="BK383" s="517"/>
      <c r="BL383" s="517"/>
      <c r="BM383" s="517"/>
      <c r="BN383" s="517"/>
      <c r="BO383" s="517"/>
      <c r="BP383" s="517"/>
      <c r="BQ383" s="517"/>
      <c r="BR383" s="517"/>
      <c r="BS383" s="517"/>
      <c r="BT383" s="517"/>
      <c r="BU383" s="517"/>
      <c r="BV383" s="517"/>
      <c r="BW383" s="517"/>
      <c r="BX383" s="517"/>
      <c r="BY383" s="517"/>
      <c r="BZ383" s="517"/>
      <c r="CA383" s="517"/>
      <c r="CB383" s="517"/>
      <c r="CC383" s="517"/>
      <c r="CD383" s="517"/>
      <c r="CE383" s="517"/>
      <c r="CF383" s="517"/>
      <c r="CG383" s="517"/>
      <c r="CH383" s="517"/>
      <c r="CI383" s="517"/>
      <c r="CJ383" s="517"/>
      <c r="CK383" s="517"/>
      <c r="CL383" s="517"/>
      <c r="CM383" s="517"/>
      <c r="CN383" s="517"/>
      <c r="CO383" s="517"/>
      <c r="CP383" s="517"/>
      <c r="CQ383" s="517"/>
      <c r="CR383" s="517"/>
      <c r="CS383" s="517"/>
      <c r="CT383" s="517"/>
      <c r="CU383" s="517"/>
      <c r="CV383" s="517"/>
      <c r="CW383" s="517"/>
      <c r="CX383" s="517"/>
      <c r="CY383" s="517"/>
      <c r="CZ383" s="517"/>
      <c r="DA383" s="517"/>
      <c r="DB383" s="517"/>
      <c r="DC383" s="517"/>
      <c r="DD383" s="517"/>
      <c r="DE383" s="517"/>
      <c r="DF383" s="517"/>
      <c r="DG383" s="517"/>
      <c r="DH383" s="517"/>
      <c r="DI383" s="517"/>
      <c r="DJ383" s="517"/>
      <c r="DK383" s="517"/>
      <c r="DL383" s="517"/>
      <c r="DM383" s="517"/>
      <c r="DN383" s="517"/>
      <c r="DO383" s="517"/>
      <c r="DP383" s="517"/>
      <c r="DQ383" s="517"/>
      <c r="DR383" s="517"/>
      <c r="DS383" s="517"/>
      <c r="DT383" s="517"/>
      <c r="DU383" s="517"/>
      <c r="DV383" s="517"/>
      <c r="DW383" s="517"/>
      <c r="DX383" s="517"/>
      <c r="DY383" s="517"/>
      <c r="DZ383" s="517"/>
      <c r="EA383" s="517"/>
      <c r="EB383" s="517"/>
      <c r="EC383" s="517"/>
      <c r="ED383" s="517"/>
      <c r="EE383" s="517"/>
      <c r="EF383" s="517"/>
      <c r="EG383" s="517"/>
      <c r="EH383" s="517"/>
      <c r="EI383" s="517"/>
      <c r="EJ383" s="517"/>
      <c r="EK383" s="517"/>
      <c r="EL383" s="517"/>
      <c r="EM383" s="517"/>
      <c r="EN383" s="517"/>
      <c r="EO383" s="517"/>
      <c r="EP383" s="517"/>
      <c r="EQ383" s="517"/>
      <c r="ER383" s="517"/>
      <c r="ES383" s="627"/>
    </row>
    <row r="384">
      <c r="A384" s="517"/>
      <c r="B384" s="517"/>
      <c r="C384" s="517"/>
      <c r="D384" s="517"/>
      <c r="E384" s="517"/>
      <c r="F384" s="517"/>
      <c r="G384" s="517"/>
      <c r="H384" s="517"/>
      <c r="I384" s="517"/>
      <c r="J384" s="517"/>
      <c r="K384" s="517"/>
      <c r="L384" s="517"/>
      <c r="M384" s="517"/>
      <c r="N384" s="517"/>
      <c r="O384" s="517"/>
      <c r="P384" s="517"/>
      <c r="Q384" s="517"/>
      <c r="R384" s="517"/>
      <c r="S384" s="517"/>
      <c r="T384" s="517"/>
      <c r="U384" s="517"/>
      <c r="V384" s="517"/>
      <c r="W384" s="517"/>
      <c r="X384" s="517"/>
      <c r="Y384" s="517"/>
      <c r="Z384" s="517"/>
      <c r="AA384" s="517"/>
      <c r="AB384" s="517"/>
      <c r="AC384" s="517"/>
      <c r="AD384" s="517"/>
      <c r="AE384" s="517"/>
      <c r="AF384" s="517"/>
      <c r="AG384" s="517"/>
      <c r="AH384" s="517"/>
      <c r="AI384" s="517"/>
      <c r="AJ384" s="517"/>
      <c r="AK384" s="517"/>
      <c r="AL384" s="517"/>
      <c r="AM384" s="517"/>
      <c r="AN384" s="517"/>
      <c r="AO384" s="517"/>
      <c r="AP384" s="517"/>
      <c r="AQ384" s="517"/>
      <c r="AR384" s="517"/>
      <c r="AS384" s="517"/>
      <c r="AT384" s="517"/>
      <c r="AU384" s="517"/>
      <c r="AV384" s="517"/>
      <c r="AW384" s="517"/>
      <c r="AX384" s="517"/>
      <c r="AY384" s="517"/>
      <c r="AZ384" s="517"/>
      <c r="BA384" s="517"/>
      <c r="BB384" s="517"/>
      <c r="BC384" s="517"/>
      <c r="BD384" s="517"/>
      <c r="BE384" s="517"/>
      <c r="BF384" s="517"/>
      <c r="BG384" s="517"/>
      <c r="BH384" s="517"/>
      <c r="BI384" s="517"/>
      <c r="BJ384" s="517"/>
      <c r="BK384" s="517"/>
      <c r="BL384" s="517"/>
      <c r="BM384" s="517"/>
      <c r="BN384" s="517"/>
      <c r="BO384" s="517"/>
      <c r="BP384" s="517"/>
      <c r="BQ384" s="517"/>
      <c r="BR384" s="517"/>
      <c r="BS384" s="517"/>
      <c r="BT384" s="517"/>
      <c r="BU384" s="517"/>
      <c r="BV384" s="517"/>
      <c r="BW384" s="517"/>
      <c r="BX384" s="517"/>
      <c r="BY384" s="517"/>
      <c r="BZ384" s="517"/>
      <c r="CA384" s="517"/>
      <c r="CB384" s="517"/>
      <c r="CC384" s="517"/>
      <c r="CD384" s="517"/>
      <c r="CE384" s="517"/>
      <c r="CF384" s="517"/>
      <c r="CG384" s="517"/>
      <c r="CH384" s="517"/>
      <c r="CI384" s="517"/>
      <c r="CJ384" s="517"/>
      <c r="CK384" s="517"/>
      <c r="CL384" s="517"/>
      <c r="CM384" s="517"/>
      <c r="CN384" s="517"/>
      <c r="CO384" s="517"/>
      <c r="CP384" s="517"/>
      <c r="CQ384" s="517"/>
      <c r="CR384" s="517"/>
      <c r="CS384" s="517"/>
      <c r="CT384" s="517"/>
      <c r="CU384" s="517"/>
      <c r="CV384" s="517"/>
      <c r="CW384" s="517"/>
      <c r="CX384" s="517"/>
      <c r="CY384" s="517"/>
      <c r="CZ384" s="517"/>
      <c r="DA384" s="517"/>
      <c r="DB384" s="517"/>
      <c r="DC384" s="517"/>
      <c r="DD384" s="517"/>
      <c r="DE384" s="517"/>
      <c r="DF384" s="517"/>
      <c r="DG384" s="517"/>
      <c r="DH384" s="517"/>
      <c r="DI384" s="517"/>
      <c r="DJ384" s="517"/>
      <c r="DK384" s="517"/>
      <c r="DL384" s="517"/>
      <c r="DM384" s="517"/>
      <c r="DN384" s="517"/>
      <c r="DO384" s="517"/>
      <c r="DP384" s="517"/>
      <c r="DQ384" s="517"/>
      <c r="DR384" s="517"/>
      <c r="DS384" s="517"/>
      <c r="DT384" s="517"/>
      <c r="DU384" s="517"/>
      <c r="DV384" s="517"/>
      <c r="DW384" s="517"/>
      <c r="DX384" s="517"/>
      <c r="DY384" s="517"/>
      <c r="DZ384" s="517"/>
      <c r="EA384" s="517"/>
      <c r="EB384" s="517"/>
      <c r="EC384" s="517"/>
      <c r="ED384" s="517"/>
      <c r="EE384" s="517"/>
      <c r="EF384" s="517"/>
      <c r="EG384" s="517"/>
      <c r="EH384" s="517"/>
      <c r="EI384" s="517"/>
      <c r="EJ384" s="517"/>
      <c r="EK384" s="517"/>
      <c r="EL384" s="517"/>
      <c r="EM384" s="517"/>
      <c r="EN384" s="517"/>
      <c r="EO384" s="517"/>
      <c r="EP384" s="517"/>
      <c r="EQ384" s="517"/>
      <c r="ER384" s="517"/>
      <c r="ES384" s="627"/>
    </row>
    <row r="385">
      <c r="A385" s="517"/>
      <c r="B385" s="517"/>
      <c r="C385" s="517"/>
      <c r="D385" s="517"/>
      <c r="E385" s="517"/>
      <c r="F385" s="517"/>
      <c r="G385" s="517"/>
      <c r="H385" s="517"/>
      <c r="I385" s="517"/>
      <c r="J385" s="517"/>
      <c r="K385" s="517"/>
      <c r="L385" s="517"/>
      <c r="M385" s="517"/>
      <c r="N385" s="517"/>
      <c r="O385" s="517"/>
      <c r="P385" s="517"/>
      <c r="Q385" s="517"/>
      <c r="R385" s="517"/>
      <c r="S385" s="517"/>
      <c r="T385" s="517"/>
      <c r="U385" s="517"/>
      <c r="V385" s="517"/>
      <c r="W385" s="517"/>
      <c r="X385" s="517"/>
      <c r="Y385" s="517"/>
      <c r="Z385" s="517"/>
      <c r="AA385" s="517"/>
      <c r="AB385" s="517"/>
      <c r="AC385" s="517"/>
      <c r="AD385" s="517"/>
      <c r="AE385" s="517"/>
      <c r="AF385" s="517"/>
      <c r="AG385" s="517"/>
      <c r="AH385" s="517"/>
      <c r="AI385" s="517"/>
      <c r="AJ385" s="517"/>
      <c r="AK385" s="517"/>
      <c r="AL385" s="517"/>
      <c r="AM385" s="517"/>
      <c r="AN385" s="517"/>
      <c r="AO385" s="517"/>
      <c r="AP385" s="517"/>
      <c r="AQ385" s="517"/>
      <c r="AR385" s="517"/>
      <c r="AS385" s="517"/>
      <c r="AT385" s="517"/>
      <c r="AU385" s="517"/>
      <c r="AV385" s="517"/>
      <c r="AW385" s="517"/>
      <c r="AX385" s="517"/>
      <c r="AY385" s="517"/>
      <c r="AZ385" s="517"/>
      <c r="BA385" s="517"/>
      <c r="BB385" s="517"/>
      <c r="BC385" s="517"/>
      <c r="BD385" s="517"/>
      <c r="BE385" s="517"/>
      <c r="BF385" s="517"/>
      <c r="BG385" s="517"/>
      <c r="BH385" s="517"/>
      <c r="BI385" s="517"/>
      <c r="BJ385" s="517"/>
      <c r="BK385" s="517"/>
      <c r="BL385" s="517"/>
      <c r="BM385" s="517"/>
      <c r="BN385" s="517"/>
      <c r="BO385" s="517"/>
      <c r="BP385" s="517"/>
      <c r="BQ385" s="517"/>
      <c r="BR385" s="517"/>
      <c r="BS385" s="517"/>
      <c r="BT385" s="517"/>
      <c r="BU385" s="517"/>
      <c r="BV385" s="517"/>
      <c r="BW385" s="517"/>
      <c r="BX385" s="517"/>
      <c r="BY385" s="517"/>
      <c r="BZ385" s="517"/>
      <c r="CA385" s="517"/>
      <c r="CB385" s="517"/>
      <c r="CC385" s="517"/>
      <c r="CD385" s="517"/>
      <c r="CE385" s="517"/>
      <c r="CF385" s="517"/>
      <c r="CG385" s="517"/>
      <c r="CH385" s="517"/>
      <c r="CI385" s="517"/>
      <c r="CJ385" s="517"/>
      <c r="CK385" s="517"/>
      <c r="CL385" s="517"/>
      <c r="CM385" s="517"/>
      <c r="CN385" s="517"/>
      <c r="CO385" s="517"/>
      <c r="CP385" s="517"/>
      <c r="CQ385" s="517"/>
      <c r="CR385" s="517"/>
      <c r="CS385" s="517"/>
      <c r="CT385" s="517"/>
      <c r="CU385" s="517"/>
      <c r="CV385" s="517"/>
      <c r="CW385" s="517"/>
      <c r="CX385" s="517"/>
      <c r="CY385" s="517"/>
      <c r="CZ385" s="517"/>
      <c r="DA385" s="517"/>
      <c r="DB385" s="517"/>
      <c r="DC385" s="517"/>
      <c r="DD385" s="517"/>
      <c r="DE385" s="517"/>
      <c r="DF385" s="517"/>
      <c r="DG385" s="517"/>
      <c r="DH385" s="517"/>
      <c r="DI385" s="517"/>
      <c r="DJ385" s="517"/>
      <c r="DK385" s="517"/>
      <c r="DL385" s="517"/>
      <c r="DM385" s="517"/>
      <c r="DN385" s="517"/>
      <c r="DO385" s="517"/>
      <c r="DP385" s="517"/>
      <c r="DQ385" s="517"/>
      <c r="DR385" s="517"/>
      <c r="DS385" s="517"/>
      <c r="DT385" s="517"/>
      <c r="DU385" s="517"/>
      <c r="DV385" s="517"/>
      <c r="DW385" s="517"/>
      <c r="DX385" s="517"/>
      <c r="DY385" s="517"/>
      <c r="DZ385" s="517"/>
      <c r="EA385" s="517"/>
      <c r="EB385" s="517"/>
      <c r="EC385" s="517"/>
      <c r="ED385" s="517"/>
      <c r="EE385" s="517"/>
      <c r="EF385" s="517"/>
      <c r="EG385" s="517"/>
      <c r="EH385" s="517"/>
      <c r="EI385" s="517"/>
      <c r="EJ385" s="517"/>
      <c r="EK385" s="517"/>
      <c r="EL385" s="517"/>
      <c r="EM385" s="517"/>
      <c r="EN385" s="517"/>
      <c r="EO385" s="517"/>
      <c r="EP385" s="517"/>
      <c r="EQ385" s="517"/>
      <c r="ER385" s="517"/>
      <c r="ES385" s="627"/>
    </row>
    <row r="386">
      <c r="A386" s="517"/>
      <c r="B386" s="517"/>
      <c r="C386" s="517"/>
      <c r="D386" s="517"/>
      <c r="E386" s="517"/>
      <c r="F386" s="517"/>
      <c r="G386" s="517"/>
      <c r="H386" s="517"/>
      <c r="I386" s="517"/>
      <c r="J386" s="517"/>
      <c r="K386" s="517"/>
      <c r="L386" s="517"/>
      <c r="M386" s="517"/>
      <c r="N386" s="517"/>
      <c r="O386" s="517"/>
      <c r="P386" s="517"/>
      <c r="Q386" s="517"/>
      <c r="R386" s="517"/>
      <c r="S386" s="517"/>
      <c r="T386" s="517"/>
      <c r="U386" s="517"/>
      <c r="V386" s="517"/>
      <c r="W386" s="517"/>
      <c r="X386" s="517"/>
      <c r="Y386" s="517"/>
      <c r="Z386" s="517"/>
      <c r="AA386" s="517"/>
      <c r="AB386" s="517"/>
      <c r="AC386" s="517"/>
      <c r="AD386" s="517"/>
      <c r="AE386" s="517"/>
      <c r="AF386" s="517"/>
      <c r="AG386" s="517"/>
      <c r="AH386" s="517"/>
      <c r="AI386" s="517"/>
      <c r="AJ386" s="517"/>
      <c r="AK386" s="517"/>
      <c r="AL386" s="517"/>
      <c r="AM386" s="517"/>
      <c r="AN386" s="517"/>
      <c r="AO386" s="517"/>
      <c r="AP386" s="517"/>
      <c r="AQ386" s="517"/>
      <c r="AR386" s="517"/>
      <c r="AS386" s="517"/>
      <c r="AT386" s="517"/>
      <c r="AU386" s="517"/>
      <c r="AV386" s="517"/>
      <c r="AW386" s="517"/>
      <c r="AX386" s="517"/>
      <c r="AY386" s="517"/>
      <c r="AZ386" s="517"/>
      <c r="BA386" s="517"/>
      <c r="BB386" s="517"/>
      <c r="BC386" s="517"/>
      <c r="BD386" s="517"/>
      <c r="BE386" s="517"/>
      <c r="BF386" s="517"/>
      <c r="BG386" s="517"/>
      <c r="BH386" s="517"/>
      <c r="BI386" s="517"/>
      <c r="BJ386" s="517"/>
      <c r="BK386" s="517"/>
      <c r="BL386" s="517"/>
      <c r="BM386" s="517"/>
      <c r="BN386" s="517"/>
      <c r="BO386" s="517"/>
      <c r="BP386" s="517"/>
      <c r="BQ386" s="517"/>
      <c r="BR386" s="517"/>
      <c r="BS386" s="517"/>
      <c r="BT386" s="517"/>
      <c r="BU386" s="517"/>
      <c r="BV386" s="517"/>
      <c r="BW386" s="517"/>
      <c r="BX386" s="517"/>
      <c r="BY386" s="517"/>
      <c r="BZ386" s="517"/>
      <c r="CA386" s="517"/>
      <c r="CB386" s="517"/>
      <c r="CC386" s="517"/>
      <c r="CD386" s="517"/>
      <c r="CE386" s="517"/>
      <c r="CF386" s="517"/>
      <c r="CG386" s="517"/>
      <c r="CH386" s="517"/>
      <c r="CI386" s="517"/>
      <c r="CJ386" s="517"/>
      <c r="CK386" s="517"/>
      <c r="CL386" s="517"/>
      <c r="CM386" s="517"/>
      <c r="CN386" s="517"/>
      <c r="CO386" s="517"/>
      <c r="CP386" s="517"/>
      <c r="CQ386" s="517"/>
      <c r="CR386" s="517"/>
      <c r="CS386" s="517"/>
      <c r="CT386" s="517"/>
      <c r="CU386" s="517"/>
      <c r="CV386" s="517"/>
      <c r="CW386" s="517"/>
      <c r="CX386" s="517"/>
      <c r="CY386" s="517"/>
      <c r="CZ386" s="517"/>
      <c r="DA386" s="517"/>
      <c r="DB386" s="517"/>
      <c r="DC386" s="517"/>
      <c r="DD386" s="517"/>
      <c r="DE386" s="517"/>
      <c r="DF386" s="517"/>
      <c r="DG386" s="517"/>
      <c r="DH386" s="517"/>
      <c r="DI386" s="517"/>
      <c r="DJ386" s="517"/>
      <c r="DK386" s="517"/>
      <c r="DL386" s="517"/>
      <c r="DM386" s="517"/>
      <c r="DN386" s="517"/>
      <c r="DO386" s="517"/>
      <c r="DP386" s="517"/>
      <c r="DQ386" s="517"/>
      <c r="DR386" s="517"/>
      <c r="DS386" s="517"/>
      <c r="DT386" s="517"/>
      <c r="DU386" s="517"/>
      <c r="DV386" s="517"/>
      <c r="DW386" s="517"/>
      <c r="DX386" s="517"/>
      <c r="DY386" s="517"/>
      <c r="DZ386" s="517"/>
      <c r="EA386" s="517"/>
      <c r="EB386" s="517"/>
      <c r="EC386" s="517"/>
      <c r="ED386" s="517"/>
      <c r="EE386" s="517"/>
      <c r="EF386" s="517"/>
      <c r="EG386" s="517"/>
      <c r="EH386" s="517"/>
      <c r="EI386" s="517"/>
      <c r="EJ386" s="517"/>
      <c r="EK386" s="517"/>
      <c r="EL386" s="517"/>
      <c r="EM386" s="517"/>
      <c r="EN386" s="517"/>
      <c r="EO386" s="517"/>
      <c r="EP386" s="517"/>
      <c r="EQ386" s="517"/>
      <c r="ER386" s="517"/>
      <c r="ES386" s="627"/>
    </row>
    <row r="387">
      <c r="A387" s="517"/>
      <c r="B387" s="517"/>
      <c r="C387" s="517"/>
      <c r="D387" s="517"/>
      <c r="E387" s="517"/>
      <c r="F387" s="517"/>
      <c r="G387" s="517"/>
      <c r="H387" s="517"/>
      <c r="I387" s="517"/>
      <c r="J387" s="517"/>
      <c r="K387" s="517"/>
      <c r="L387" s="517"/>
      <c r="M387" s="517"/>
      <c r="N387" s="517"/>
      <c r="O387" s="517"/>
      <c r="P387" s="517"/>
      <c r="Q387" s="517"/>
      <c r="R387" s="517"/>
      <c r="S387" s="517"/>
      <c r="T387" s="517"/>
      <c r="U387" s="517"/>
      <c r="V387" s="517"/>
      <c r="W387" s="517"/>
      <c r="X387" s="517"/>
      <c r="Y387" s="517"/>
      <c r="Z387" s="517"/>
      <c r="AA387" s="517"/>
      <c r="AB387" s="517"/>
      <c r="AC387" s="517"/>
      <c r="AD387" s="517"/>
      <c r="AE387" s="517"/>
      <c r="AF387" s="517"/>
      <c r="AG387" s="517"/>
      <c r="AH387" s="517"/>
      <c r="AI387" s="517"/>
      <c r="AJ387" s="517"/>
      <c r="AK387" s="517"/>
      <c r="AL387" s="517"/>
      <c r="AM387" s="517"/>
      <c r="AN387" s="517"/>
      <c r="AO387" s="517"/>
      <c r="AP387" s="517"/>
      <c r="AQ387" s="517"/>
      <c r="AR387" s="517"/>
      <c r="AS387" s="517"/>
      <c r="AT387" s="517"/>
      <c r="AU387" s="517"/>
      <c r="AV387" s="517"/>
      <c r="AW387" s="517"/>
      <c r="AX387" s="517"/>
      <c r="AY387" s="517"/>
      <c r="AZ387" s="517"/>
      <c r="BA387" s="517"/>
      <c r="BB387" s="517"/>
      <c r="BC387" s="517"/>
      <c r="BD387" s="517"/>
      <c r="BE387" s="517"/>
      <c r="BF387" s="517"/>
      <c r="BG387" s="517"/>
      <c r="BH387" s="517"/>
      <c r="BI387" s="517"/>
      <c r="BJ387" s="517"/>
      <c r="BK387" s="517"/>
      <c r="BL387" s="517"/>
      <c r="BM387" s="517"/>
      <c r="BN387" s="517"/>
      <c r="BO387" s="517"/>
      <c r="BP387" s="517"/>
      <c r="BQ387" s="517"/>
      <c r="BR387" s="517"/>
      <c r="BS387" s="517"/>
      <c r="BT387" s="517"/>
      <c r="BU387" s="517"/>
      <c r="BV387" s="517"/>
      <c r="BW387" s="517"/>
      <c r="BX387" s="517"/>
      <c r="BY387" s="517"/>
      <c r="BZ387" s="517"/>
      <c r="CA387" s="517"/>
      <c r="CB387" s="517"/>
      <c r="CC387" s="517"/>
      <c r="CD387" s="517"/>
      <c r="CE387" s="517"/>
      <c r="CF387" s="517"/>
      <c r="CG387" s="517"/>
      <c r="CH387" s="517"/>
      <c r="CI387" s="517"/>
      <c r="CJ387" s="517"/>
      <c r="CK387" s="517"/>
      <c r="CL387" s="517"/>
      <c r="CM387" s="517"/>
      <c r="CN387" s="517"/>
      <c r="CO387" s="517"/>
      <c r="CP387" s="517"/>
      <c r="CQ387" s="517"/>
      <c r="CR387" s="517"/>
      <c r="CS387" s="517"/>
      <c r="CT387" s="517"/>
      <c r="CU387" s="517"/>
      <c r="CV387" s="517"/>
      <c r="CW387" s="517"/>
      <c r="CX387" s="517"/>
      <c r="CY387" s="517"/>
      <c r="CZ387" s="517"/>
      <c r="DA387" s="517"/>
      <c r="DB387" s="517"/>
      <c r="DC387" s="517"/>
      <c r="DD387" s="517"/>
      <c r="DE387" s="517"/>
      <c r="DF387" s="517"/>
      <c r="DG387" s="517"/>
      <c r="DH387" s="517"/>
      <c r="DI387" s="517"/>
      <c r="DJ387" s="517"/>
      <c r="DK387" s="517"/>
      <c r="DL387" s="517"/>
      <c r="DM387" s="517"/>
      <c r="DN387" s="517"/>
      <c r="DO387" s="517"/>
      <c r="DP387" s="517"/>
      <c r="DQ387" s="517"/>
      <c r="DR387" s="517"/>
      <c r="DS387" s="517"/>
      <c r="DT387" s="517"/>
      <c r="DU387" s="517"/>
      <c r="DV387" s="517"/>
      <c r="DW387" s="517"/>
      <c r="DX387" s="517"/>
      <c r="DY387" s="517"/>
      <c r="DZ387" s="517"/>
      <c r="EA387" s="517"/>
      <c r="EB387" s="517"/>
      <c r="EC387" s="517"/>
      <c r="ED387" s="517"/>
      <c r="EE387" s="517"/>
      <c r="EF387" s="517"/>
      <c r="EG387" s="517"/>
      <c r="EH387" s="517"/>
      <c r="EI387" s="517"/>
      <c r="EJ387" s="517"/>
      <c r="EK387" s="517"/>
      <c r="EL387" s="517"/>
      <c r="EM387" s="517"/>
      <c r="EN387" s="517"/>
      <c r="EO387" s="517"/>
      <c r="EP387" s="517"/>
      <c r="EQ387" s="517"/>
      <c r="ER387" s="517"/>
      <c r="ES387" s="627"/>
    </row>
    <row r="388">
      <c r="A388" s="517"/>
      <c r="B388" s="517"/>
      <c r="C388" s="517"/>
      <c r="D388" s="517"/>
      <c r="E388" s="517"/>
      <c r="F388" s="517"/>
      <c r="G388" s="517"/>
      <c r="H388" s="517"/>
      <c r="I388" s="517"/>
      <c r="J388" s="517"/>
      <c r="K388" s="517"/>
      <c r="L388" s="517"/>
      <c r="M388" s="517"/>
      <c r="N388" s="517"/>
      <c r="O388" s="517"/>
      <c r="P388" s="517"/>
      <c r="Q388" s="517"/>
      <c r="R388" s="517"/>
      <c r="S388" s="517"/>
      <c r="T388" s="517"/>
      <c r="U388" s="517"/>
      <c r="V388" s="517"/>
      <c r="W388" s="517"/>
      <c r="X388" s="517"/>
      <c r="Y388" s="517"/>
      <c r="Z388" s="517"/>
      <c r="AA388" s="517"/>
      <c r="AB388" s="517"/>
      <c r="AC388" s="517"/>
      <c r="AD388" s="517"/>
      <c r="AE388" s="517"/>
      <c r="AF388" s="517"/>
      <c r="AG388" s="517"/>
      <c r="AH388" s="517"/>
      <c r="AI388" s="517"/>
      <c r="AJ388" s="517"/>
      <c r="AK388" s="517"/>
      <c r="AL388" s="517"/>
      <c r="AM388" s="517"/>
      <c r="AN388" s="517"/>
      <c r="AO388" s="517"/>
      <c r="AP388" s="517"/>
      <c r="AQ388" s="517"/>
      <c r="AR388" s="517"/>
      <c r="AS388" s="517"/>
      <c r="AT388" s="517"/>
      <c r="AU388" s="517"/>
      <c r="AV388" s="517"/>
      <c r="AW388" s="517"/>
      <c r="AX388" s="517"/>
      <c r="AY388" s="517"/>
      <c r="AZ388" s="517"/>
      <c r="BA388" s="517"/>
      <c r="BB388" s="517"/>
      <c r="BC388" s="517"/>
      <c r="BD388" s="517"/>
      <c r="BE388" s="517"/>
      <c r="BF388" s="517"/>
      <c r="BG388" s="517"/>
      <c r="BH388" s="517"/>
      <c r="BI388" s="517"/>
      <c r="BJ388" s="517"/>
      <c r="BK388" s="517"/>
      <c r="BL388" s="517"/>
      <c r="BM388" s="517"/>
      <c r="BN388" s="517"/>
      <c r="BO388" s="517"/>
      <c r="BP388" s="517"/>
      <c r="BQ388" s="517"/>
      <c r="BR388" s="517"/>
      <c r="BS388" s="517"/>
      <c r="BT388" s="517"/>
      <c r="BU388" s="517"/>
      <c r="BV388" s="517"/>
      <c r="BW388" s="517"/>
      <c r="BX388" s="517"/>
      <c r="BY388" s="517"/>
      <c r="BZ388" s="517"/>
      <c r="CA388" s="517"/>
      <c r="CB388" s="517"/>
      <c r="CC388" s="517"/>
      <c r="CD388" s="517"/>
      <c r="CE388" s="517"/>
      <c r="CF388" s="517"/>
      <c r="CG388" s="517"/>
      <c r="CH388" s="517"/>
      <c r="CI388" s="517"/>
      <c r="CJ388" s="517"/>
      <c r="CK388" s="517"/>
      <c r="CL388" s="517"/>
      <c r="CM388" s="517"/>
      <c r="CN388" s="517"/>
      <c r="CO388" s="517"/>
      <c r="CP388" s="517"/>
      <c r="CQ388" s="517"/>
      <c r="CR388" s="517"/>
      <c r="CS388" s="517"/>
      <c r="CT388" s="517"/>
      <c r="CU388" s="517"/>
      <c r="CV388" s="517"/>
      <c r="CW388" s="517"/>
      <c r="CX388" s="517"/>
      <c r="CY388" s="517"/>
      <c r="CZ388" s="517"/>
      <c r="DA388" s="517"/>
      <c r="DB388" s="517"/>
      <c r="DC388" s="517"/>
      <c r="DD388" s="517"/>
      <c r="DE388" s="517"/>
      <c r="DF388" s="517"/>
      <c r="DG388" s="517"/>
      <c r="DH388" s="517"/>
      <c r="DI388" s="517"/>
      <c r="DJ388" s="517"/>
      <c r="DK388" s="517"/>
      <c r="DL388" s="517"/>
      <c r="DM388" s="517"/>
      <c r="DN388" s="517"/>
      <c r="DO388" s="517"/>
      <c r="DP388" s="517"/>
      <c r="DQ388" s="517"/>
      <c r="DR388" s="517"/>
      <c r="DS388" s="517"/>
      <c r="DT388" s="517"/>
      <c r="DU388" s="517"/>
      <c r="DV388" s="517"/>
      <c r="DW388" s="517"/>
      <c r="DX388" s="517"/>
      <c r="DY388" s="517"/>
      <c r="DZ388" s="517"/>
      <c r="EA388" s="517"/>
      <c r="EB388" s="517"/>
      <c r="EC388" s="517"/>
      <c r="ED388" s="517"/>
      <c r="EE388" s="517"/>
      <c r="EF388" s="517"/>
      <c r="EG388" s="517"/>
      <c r="EH388" s="517"/>
      <c r="EI388" s="517"/>
      <c r="EJ388" s="517"/>
      <c r="EK388" s="517"/>
      <c r="EL388" s="517"/>
      <c r="EM388" s="517"/>
      <c r="EN388" s="517"/>
      <c r="EO388" s="517"/>
      <c r="EP388" s="517"/>
      <c r="EQ388" s="517"/>
      <c r="ER388" s="517"/>
      <c r="ES388" s="627"/>
    </row>
    <row r="389">
      <c r="A389" s="517"/>
      <c r="B389" s="517"/>
      <c r="C389" s="517"/>
      <c r="D389" s="517"/>
      <c r="E389" s="517"/>
      <c r="F389" s="517"/>
      <c r="G389" s="517"/>
      <c r="H389" s="517"/>
      <c r="I389" s="517"/>
      <c r="J389" s="517"/>
      <c r="K389" s="517"/>
      <c r="L389" s="517"/>
      <c r="M389" s="517"/>
      <c r="N389" s="517"/>
      <c r="O389" s="517"/>
      <c r="P389" s="517"/>
      <c r="Q389" s="517"/>
      <c r="R389" s="517"/>
      <c r="S389" s="517"/>
      <c r="T389" s="517"/>
      <c r="U389" s="517"/>
      <c r="V389" s="517"/>
      <c r="W389" s="517"/>
      <c r="X389" s="517"/>
      <c r="Y389" s="517"/>
      <c r="Z389" s="517"/>
      <c r="AA389" s="517"/>
      <c r="AB389" s="517"/>
      <c r="AC389" s="517"/>
      <c r="AD389" s="517"/>
      <c r="AE389" s="517"/>
      <c r="AF389" s="517"/>
      <c r="AG389" s="517"/>
      <c r="AH389" s="517"/>
      <c r="AI389" s="517"/>
      <c r="AJ389" s="517"/>
      <c r="AK389" s="517"/>
      <c r="AL389" s="517"/>
      <c r="AM389" s="517"/>
      <c r="AN389" s="517"/>
      <c r="AO389" s="517"/>
      <c r="AP389" s="517"/>
      <c r="AQ389" s="517"/>
      <c r="AR389" s="517"/>
      <c r="AS389" s="517"/>
      <c r="AT389" s="517"/>
      <c r="AU389" s="517"/>
      <c r="AV389" s="517"/>
      <c r="AW389" s="517"/>
      <c r="AX389" s="517"/>
      <c r="AY389" s="517"/>
      <c r="AZ389" s="517"/>
      <c r="BA389" s="517"/>
      <c r="BB389" s="517"/>
      <c r="BC389" s="517"/>
      <c r="BD389" s="517"/>
      <c r="BE389" s="517"/>
      <c r="BF389" s="517"/>
      <c r="BG389" s="517"/>
      <c r="BH389" s="517"/>
      <c r="BI389" s="517"/>
      <c r="BJ389" s="517"/>
      <c r="BK389" s="517"/>
      <c r="BL389" s="517"/>
      <c r="BM389" s="517"/>
      <c r="BN389" s="517"/>
      <c r="BO389" s="517"/>
      <c r="BP389" s="517"/>
      <c r="BQ389" s="517"/>
      <c r="BR389" s="517"/>
      <c r="BS389" s="517"/>
      <c r="BT389" s="517"/>
      <c r="BU389" s="517"/>
      <c r="BV389" s="517"/>
      <c r="BW389" s="517"/>
      <c r="BX389" s="517"/>
      <c r="BY389" s="517"/>
      <c r="BZ389" s="517"/>
      <c r="CA389" s="517"/>
      <c r="CB389" s="517"/>
      <c r="CC389" s="517"/>
      <c r="CD389" s="517"/>
      <c r="CE389" s="517"/>
      <c r="CF389" s="517"/>
      <c r="CG389" s="517"/>
      <c r="CH389" s="517"/>
      <c r="CI389" s="517"/>
      <c r="CJ389" s="517"/>
      <c r="CK389" s="517"/>
      <c r="CL389" s="517"/>
      <c r="CM389" s="517"/>
      <c r="CN389" s="517"/>
      <c r="CO389" s="517"/>
      <c r="CP389" s="517"/>
      <c r="CQ389" s="517"/>
      <c r="CR389" s="517"/>
      <c r="CS389" s="517"/>
      <c r="CT389" s="517"/>
      <c r="CU389" s="517"/>
      <c r="CV389" s="517"/>
      <c r="CW389" s="517"/>
      <c r="CX389" s="517"/>
      <c r="CY389" s="517"/>
      <c r="CZ389" s="517"/>
      <c r="DA389" s="517"/>
      <c r="DB389" s="517"/>
      <c r="DC389" s="517"/>
      <c r="DD389" s="517"/>
      <c r="DE389" s="517"/>
      <c r="DF389" s="517"/>
      <c r="DG389" s="517"/>
      <c r="DH389" s="517"/>
      <c r="DI389" s="517"/>
      <c r="DJ389" s="517"/>
      <c r="DK389" s="517"/>
      <c r="DL389" s="517"/>
      <c r="DM389" s="517"/>
      <c r="DN389" s="517"/>
      <c r="DO389" s="517"/>
      <c r="DP389" s="517"/>
      <c r="DQ389" s="517"/>
      <c r="DR389" s="517"/>
      <c r="DS389" s="517"/>
      <c r="DT389" s="517"/>
      <c r="DU389" s="517"/>
      <c r="DV389" s="517"/>
      <c r="DW389" s="517"/>
      <c r="DX389" s="517"/>
      <c r="DY389" s="517"/>
      <c r="DZ389" s="517"/>
      <c r="EA389" s="517"/>
      <c r="EB389" s="517"/>
      <c r="EC389" s="517"/>
      <c r="ED389" s="517"/>
      <c r="EE389" s="517"/>
      <c r="EF389" s="517"/>
      <c r="EG389" s="517"/>
      <c r="EH389" s="517"/>
      <c r="EI389" s="517"/>
      <c r="EJ389" s="517"/>
      <c r="EK389" s="517"/>
      <c r="EL389" s="517"/>
      <c r="EM389" s="517"/>
      <c r="EN389" s="517"/>
      <c r="EO389" s="517"/>
      <c r="EP389" s="517"/>
      <c r="EQ389" s="517"/>
      <c r="ER389" s="517"/>
      <c r="ES389" s="627"/>
    </row>
    <row r="390">
      <c r="A390" s="517"/>
      <c r="B390" s="517"/>
      <c r="C390" s="517"/>
      <c r="D390" s="517"/>
      <c r="E390" s="517"/>
      <c r="F390" s="517"/>
      <c r="G390" s="517"/>
      <c r="H390" s="517"/>
      <c r="I390" s="517"/>
      <c r="J390" s="517"/>
      <c r="K390" s="517"/>
      <c r="L390" s="517"/>
      <c r="M390" s="517"/>
      <c r="N390" s="517"/>
      <c r="O390" s="517"/>
      <c r="P390" s="517"/>
      <c r="Q390" s="517"/>
      <c r="R390" s="517"/>
      <c r="S390" s="517"/>
      <c r="T390" s="517"/>
      <c r="U390" s="517"/>
      <c r="V390" s="517"/>
      <c r="W390" s="517"/>
      <c r="X390" s="517"/>
      <c r="Y390" s="517"/>
      <c r="Z390" s="517"/>
      <c r="AA390" s="517"/>
      <c r="AB390" s="517"/>
      <c r="AC390" s="517"/>
      <c r="AD390" s="517"/>
      <c r="AE390" s="517"/>
      <c r="AF390" s="517"/>
      <c r="AG390" s="517"/>
      <c r="AH390" s="517"/>
      <c r="AI390" s="517"/>
      <c r="AJ390" s="517"/>
      <c r="AK390" s="517"/>
      <c r="AL390" s="517"/>
      <c r="AM390" s="517"/>
      <c r="AN390" s="517"/>
      <c r="AO390" s="517"/>
      <c r="AP390" s="517"/>
      <c r="AQ390" s="517"/>
      <c r="AR390" s="517"/>
      <c r="AS390" s="517"/>
      <c r="AT390" s="517"/>
      <c r="AU390" s="517"/>
      <c r="AV390" s="517"/>
      <c r="AW390" s="517"/>
      <c r="AX390" s="517"/>
      <c r="AY390" s="517"/>
      <c r="AZ390" s="517"/>
      <c r="BA390" s="517"/>
      <c r="BB390" s="517"/>
      <c r="BC390" s="517"/>
      <c r="BD390" s="517"/>
      <c r="BE390" s="517"/>
      <c r="BF390" s="517"/>
      <c r="BG390" s="517"/>
      <c r="BH390" s="517"/>
      <c r="BI390" s="517"/>
      <c r="BJ390" s="517"/>
      <c r="BK390" s="517"/>
      <c r="BL390" s="517"/>
      <c r="BM390" s="517"/>
      <c r="BN390" s="517"/>
      <c r="BO390" s="517"/>
      <c r="BP390" s="517"/>
      <c r="BQ390" s="517"/>
      <c r="BR390" s="517"/>
      <c r="BS390" s="517"/>
      <c r="BT390" s="517"/>
      <c r="BU390" s="517"/>
      <c r="BV390" s="517"/>
      <c r="BW390" s="517"/>
      <c r="BX390" s="517"/>
      <c r="BY390" s="517"/>
      <c r="BZ390" s="517"/>
      <c r="CA390" s="517"/>
      <c r="CB390" s="517"/>
      <c r="CC390" s="517"/>
      <c r="CD390" s="517"/>
      <c r="CE390" s="517"/>
      <c r="CF390" s="517"/>
      <c r="CG390" s="517"/>
      <c r="CH390" s="517"/>
      <c r="CI390" s="517"/>
      <c r="CJ390" s="517"/>
      <c r="CK390" s="517"/>
      <c r="CL390" s="517"/>
      <c r="CM390" s="517"/>
      <c r="CN390" s="517"/>
      <c r="CO390" s="517"/>
      <c r="CP390" s="517"/>
      <c r="CQ390" s="517"/>
      <c r="CR390" s="517"/>
      <c r="CS390" s="517"/>
      <c r="CT390" s="517"/>
      <c r="CU390" s="517"/>
      <c r="CV390" s="517"/>
      <c r="CW390" s="517"/>
      <c r="CX390" s="517"/>
      <c r="CY390" s="517"/>
      <c r="CZ390" s="517"/>
      <c r="DA390" s="517"/>
      <c r="DB390" s="517"/>
      <c r="DC390" s="517"/>
      <c r="DD390" s="517"/>
      <c r="DE390" s="517"/>
      <c r="DF390" s="517"/>
      <c r="DG390" s="517"/>
      <c r="DH390" s="517"/>
      <c r="DI390" s="517"/>
      <c r="DJ390" s="517"/>
      <c r="DK390" s="517"/>
      <c r="DL390" s="517"/>
      <c r="DM390" s="517"/>
      <c r="DN390" s="517"/>
      <c r="DO390" s="517"/>
      <c r="DP390" s="517"/>
      <c r="DQ390" s="517"/>
      <c r="DR390" s="517"/>
      <c r="DS390" s="517"/>
      <c r="DT390" s="517"/>
      <c r="DU390" s="517"/>
      <c r="DV390" s="517"/>
      <c r="DW390" s="517"/>
      <c r="DX390" s="517"/>
      <c r="DY390" s="517"/>
      <c r="DZ390" s="517"/>
      <c r="EA390" s="517"/>
      <c r="EB390" s="517"/>
      <c r="EC390" s="517"/>
      <c r="ED390" s="517"/>
      <c r="EE390" s="517"/>
      <c r="EF390" s="517"/>
      <c r="EG390" s="517"/>
      <c r="EH390" s="517"/>
      <c r="EI390" s="517"/>
      <c r="EJ390" s="517"/>
      <c r="EK390" s="517"/>
      <c r="EL390" s="517"/>
      <c r="EM390" s="517"/>
      <c r="EN390" s="517"/>
      <c r="EO390" s="517"/>
      <c r="EP390" s="517"/>
      <c r="EQ390" s="517"/>
      <c r="ER390" s="517"/>
      <c r="ES390" s="627"/>
    </row>
    <row r="391">
      <c r="A391" s="517"/>
      <c r="B391" s="517"/>
      <c r="C391" s="517"/>
      <c r="D391" s="517"/>
      <c r="E391" s="517"/>
      <c r="F391" s="517"/>
      <c r="G391" s="517"/>
      <c r="H391" s="517"/>
      <c r="I391" s="517"/>
      <c r="J391" s="517"/>
      <c r="K391" s="517"/>
      <c r="L391" s="517"/>
      <c r="M391" s="517"/>
      <c r="N391" s="517"/>
      <c r="O391" s="517"/>
      <c r="P391" s="517"/>
      <c r="Q391" s="517"/>
      <c r="R391" s="517"/>
      <c r="S391" s="517"/>
      <c r="T391" s="517"/>
      <c r="U391" s="517"/>
      <c r="V391" s="517"/>
      <c r="W391" s="517"/>
      <c r="X391" s="517"/>
      <c r="Y391" s="517"/>
      <c r="Z391" s="517"/>
      <c r="AA391" s="517"/>
      <c r="AB391" s="517"/>
      <c r="AC391" s="517"/>
      <c r="AD391" s="517"/>
      <c r="AE391" s="517"/>
      <c r="AF391" s="517"/>
      <c r="AG391" s="517"/>
      <c r="AH391" s="517"/>
      <c r="AI391" s="517"/>
      <c r="AJ391" s="517"/>
      <c r="AK391" s="517"/>
      <c r="AL391" s="517"/>
      <c r="AM391" s="517"/>
      <c r="AN391" s="517"/>
      <c r="AO391" s="517"/>
      <c r="AP391" s="517"/>
      <c r="AQ391" s="517"/>
      <c r="AR391" s="517"/>
      <c r="AS391" s="517"/>
      <c r="AT391" s="517"/>
      <c r="AU391" s="517"/>
      <c r="AV391" s="517"/>
      <c r="AW391" s="517"/>
      <c r="AX391" s="517"/>
      <c r="AY391" s="517"/>
      <c r="AZ391" s="517"/>
      <c r="BA391" s="517"/>
      <c r="BB391" s="517"/>
      <c r="BC391" s="517"/>
      <c r="BD391" s="517"/>
      <c r="BE391" s="517"/>
      <c r="BF391" s="517"/>
      <c r="BG391" s="517"/>
      <c r="BH391" s="517"/>
      <c r="BI391" s="517"/>
      <c r="BJ391" s="517"/>
      <c r="BK391" s="517"/>
      <c r="BL391" s="517"/>
      <c r="BM391" s="517"/>
      <c r="BN391" s="517"/>
      <c r="BO391" s="517"/>
      <c r="BP391" s="517"/>
      <c r="BQ391" s="517"/>
      <c r="BR391" s="517"/>
      <c r="BS391" s="517"/>
      <c r="BT391" s="517"/>
      <c r="BU391" s="517"/>
      <c r="BV391" s="517"/>
      <c r="BW391" s="517"/>
      <c r="BX391" s="517"/>
      <c r="BY391" s="517"/>
      <c r="BZ391" s="517"/>
      <c r="CA391" s="517"/>
      <c r="CB391" s="517"/>
      <c r="CC391" s="517"/>
      <c r="CD391" s="517"/>
      <c r="CE391" s="517"/>
      <c r="CF391" s="517"/>
      <c r="CG391" s="517"/>
      <c r="CH391" s="517"/>
      <c r="CI391" s="517"/>
      <c r="CJ391" s="517"/>
      <c r="CK391" s="517"/>
      <c r="CL391" s="517"/>
      <c r="CM391" s="517"/>
      <c r="CN391" s="517"/>
      <c r="CO391" s="517"/>
      <c r="CP391" s="517"/>
      <c r="CQ391" s="517"/>
      <c r="CR391" s="517"/>
      <c r="CS391" s="517"/>
      <c r="CT391" s="517"/>
      <c r="CU391" s="517"/>
      <c r="CV391" s="517"/>
      <c r="CW391" s="517"/>
      <c r="CX391" s="517"/>
      <c r="CY391" s="517"/>
      <c r="CZ391" s="517"/>
      <c r="DA391" s="517"/>
      <c r="DB391" s="517"/>
      <c r="DC391" s="517"/>
      <c r="DD391" s="517"/>
      <c r="DE391" s="517"/>
      <c r="DF391" s="517"/>
      <c r="DG391" s="517"/>
      <c r="DH391" s="517"/>
      <c r="DI391" s="517"/>
      <c r="DJ391" s="517"/>
      <c r="DK391" s="517"/>
      <c r="DL391" s="517"/>
      <c r="DM391" s="517"/>
      <c r="DN391" s="517"/>
      <c r="DO391" s="517"/>
      <c r="DP391" s="517"/>
      <c r="DQ391" s="517"/>
      <c r="DR391" s="517"/>
      <c r="DS391" s="517"/>
      <c r="DT391" s="517"/>
      <c r="DU391" s="517"/>
      <c r="DV391" s="517"/>
      <c r="DW391" s="517"/>
      <c r="DX391" s="517"/>
      <c r="DY391" s="517"/>
      <c r="DZ391" s="517"/>
      <c r="EA391" s="517"/>
      <c r="EB391" s="517"/>
      <c r="EC391" s="517"/>
      <c r="ED391" s="517"/>
      <c r="EE391" s="517"/>
      <c r="EF391" s="517"/>
      <c r="EG391" s="517"/>
      <c r="EH391" s="517"/>
      <c r="EI391" s="517"/>
      <c r="EJ391" s="517"/>
      <c r="EK391" s="517"/>
      <c r="EL391" s="517"/>
      <c r="EM391" s="517"/>
      <c r="EN391" s="517"/>
      <c r="EO391" s="517"/>
      <c r="EP391" s="517"/>
      <c r="EQ391" s="517"/>
      <c r="ER391" s="517"/>
      <c r="ES391" s="627"/>
    </row>
    <row r="392">
      <c r="A392" s="517"/>
      <c r="B392" s="517"/>
      <c r="C392" s="517"/>
      <c r="D392" s="517"/>
      <c r="E392" s="517"/>
      <c r="F392" s="517"/>
      <c r="G392" s="517"/>
      <c r="H392" s="517"/>
      <c r="I392" s="517"/>
      <c r="J392" s="517"/>
      <c r="K392" s="517"/>
      <c r="L392" s="517"/>
      <c r="M392" s="517"/>
      <c r="N392" s="517"/>
      <c r="O392" s="517"/>
      <c r="P392" s="517"/>
      <c r="Q392" s="517"/>
      <c r="R392" s="517"/>
      <c r="S392" s="517"/>
      <c r="T392" s="517"/>
      <c r="U392" s="517"/>
      <c r="V392" s="517"/>
      <c r="W392" s="517"/>
      <c r="X392" s="517"/>
      <c r="Y392" s="517"/>
      <c r="Z392" s="517"/>
      <c r="AA392" s="517"/>
      <c r="AB392" s="517"/>
      <c r="AC392" s="517"/>
      <c r="AD392" s="517"/>
      <c r="AE392" s="517"/>
      <c r="AF392" s="517"/>
      <c r="AG392" s="517"/>
      <c r="AH392" s="517"/>
      <c r="AI392" s="517"/>
      <c r="AJ392" s="517"/>
      <c r="AK392" s="517"/>
      <c r="AL392" s="517"/>
      <c r="AM392" s="517"/>
      <c r="AN392" s="517"/>
      <c r="AO392" s="517"/>
      <c r="AP392" s="517"/>
      <c r="AQ392" s="517"/>
      <c r="AR392" s="517"/>
      <c r="AS392" s="517"/>
      <c r="AT392" s="517"/>
      <c r="AU392" s="517"/>
      <c r="AV392" s="517"/>
      <c r="AW392" s="517"/>
      <c r="AX392" s="517"/>
      <c r="AY392" s="517"/>
      <c r="AZ392" s="517"/>
      <c r="BA392" s="517"/>
      <c r="BB392" s="517"/>
      <c r="BC392" s="517"/>
      <c r="BD392" s="517"/>
      <c r="BE392" s="517"/>
      <c r="BF392" s="517"/>
      <c r="BG392" s="517"/>
      <c r="BH392" s="517"/>
      <c r="BI392" s="517"/>
      <c r="BJ392" s="517"/>
      <c r="BK392" s="517"/>
      <c r="BL392" s="517"/>
      <c r="BM392" s="517"/>
      <c r="BN392" s="517"/>
      <c r="BO392" s="517"/>
      <c r="BP392" s="517"/>
      <c r="BQ392" s="517"/>
      <c r="BR392" s="517"/>
      <c r="BS392" s="517"/>
      <c r="BT392" s="517"/>
      <c r="BU392" s="517"/>
      <c r="BV392" s="517"/>
      <c r="BW392" s="517"/>
      <c r="BX392" s="517"/>
      <c r="BY392" s="517"/>
      <c r="BZ392" s="517"/>
      <c r="CA392" s="517"/>
      <c r="CB392" s="517"/>
      <c r="CC392" s="517"/>
      <c r="CD392" s="517"/>
      <c r="CE392" s="517"/>
      <c r="CF392" s="517"/>
      <c r="CG392" s="517"/>
      <c r="CH392" s="517"/>
      <c r="CI392" s="517"/>
      <c r="CJ392" s="517"/>
      <c r="CK392" s="517"/>
      <c r="CL392" s="517"/>
      <c r="CM392" s="517"/>
      <c r="CN392" s="517"/>
      <c r="CO392" s="517"/>
      <c r="CP392" s="517"/>
      <c r="CQ392" s="517"/>
      <c r="CR392" s="517"/>
      <c r="CS392" s="517"/>
      <c r="CT392" s="517"/>
      <c r="CU392" s="517"/>
      <c r="CV392" s="517"/>
      <c r="CW392" s="517"/>
      <c r="CX392" s="517"/>
      <c r="CY392" s="517"/>
      <c r="CZ392" s="517"/>
      <c r="DA392" s="517"/>
      <c r="DB392" s="517"/>
      <c r="DC392" s="517"/>
      <c r="DD392" s="517"/>
      <c r="DE392" s="517"/>
      <c r="DF392" s="517"/>
      <c r="DG392" s="517"/>
      <c r="DH392" s="517"/>
      <c r="DI392" s="517"/>
      <c r="DJ392" s="517"/>
      <c r="DK392" s="517"/>
      <c r="DL392" s="517"/>
      <c r="DM392" s="517"/>
      <c r="DN392" s="517"/>
      <c r="DO392" s="517"/>
      <c r="DP392" s="517"/>
      <c r="DQ392" s="517"/>
      <c r="DR392" s="517"/>
      <c r="DS392" s="517"/>
      <c r="DT392" s="517"/>
      <c r="DU392" s="517"/>
      <c r="DV392" s="517"/>
      <c r="DW392" s="517"/>
      <c r="DX392" s="517"/>
      <c r="DY392" s="517"/>
      <c r="DZ392" s="517"/>
      <c r="EA392" s="517"/>
      <c r="EB392" s="517"/>
      <c r="EC392" s="517"/>
      <c r="ED392" s="517"/>
      <c r="EE392" s="517"/>
      <c r="EF392" s="517"/>
      <c r="EG392" s="517"/>
      <c r="EH392" s="517"/>
      <c r="EI392" s="517"/>
      <c r="EJ392" s="517"/>
      <c r="EK392" s="517"/>
      <c r="EL392" s="517"/>
      <c r="EM392" s="517"/>
      <c r="EN392" s="517"/>
      <c r="EO392" s="517"/>
      <c r="EP392" s="517"/>
      <c r="EQ392" s="517"/>
      <c r="ER392" s="517"/>
      <c r="ES392" s="627"/>
    </row>
    <row r="393">
      <c r="A393" s="517"/>
      <c r="B393" s="517"/>
      <c r="C393" s="517"/>
      <c r="D393" s="517"/>
      <c r="E393" s="517"/>
      <c r="F393" s="517"/>
      <c r="G393" s="517"/>
      <c r="H393" s="517"/>
      <c r="I393" s="517"/>
      <c r="J393" s="517"/>
      <c r="K393" s="517"/>
      <c r="L393" s="517"/>
      <c r="M393" s="517"/>
      <c r="N393" s="517"/>
      <c r="O393" s="517"/>
      <c r="P393" s="517"/>
      <c r="Q393" s="517"/>
      <c r="R393" s="517"/>
      <c r="S393" s="517"/>
      <c r="T393" s="517"/>
      <c r="U393" s="517"/>
      <c r="V393" s="517"/>
      <c r="W393" s="517"/>
      <c r="X393" s="517"/>
      <c r="Y393" s="517"/>
      <c r="Z393" s="517"/>
      <c r="AA393" s="517"/>
      <c r="AB393" s="517"/>
      <c r="AC393" s="517"/>
      <c r="AD393" s="517"/>
      <c r="AE393" s="517"/>
      <c r="AF393" s="517"/>
      <c r="AG393" s="517"/>
      <c r="AH393" s="517"/>
      <c r="AI393" s="517"/>
      <c r="AJ393" s="517"/>
      <c r="AK393" s="517"/>
      <c r="AL393" s="517"/>
      <c r="AM393" s="517"/>
      <c r="AN393" s="517"/>
      <c r="AO393" s="517"/>
      <c r="AP393" s="517"/>
      <c r="AQ393" s="517"/>
      <c r="AR393" s="517"/>
      <c r="AS393" s="517"/>
      <c r="AT393" s="517"/>
      <c r="AU393" s="517"/>
      <c r="AV393" s="517"/>
      <c r="AW393" s="517"/>
      <c r="AX393" s="517"/>
      <c r="AY393" s="517"/>
      <c r="AZ393" s="517"/>
      <c r="BA393" s="517"/>
      <c r="BB393" s="517"/>
      <c r="BC393" s="517"/>
      <c r="BD393" s="517"/>
      <c r="BE393" s="517"/>
      <c r="BF393" s="517"/>
      <c r="BG393" s="517"/>
      <c r="BH393" s="517"/>
      <c r="BI393" s="517"/>
      <c r="BJ393" s="517"/>
      <c r="BK393" s="517"/>
      <c r="BL393" s="517"/>
      <c r="BM393" s="517"/>
      <c r="BN393" s="517"/>
      <c r="BO393" s="517"/>
      <c r="BP393" s="517"/>
      <c r="BQ393" s="517"/>
      <c r="BR393" s="517"/>
      <c r="BS393" s="517"/>
      <c r="BT393" s="517"/>
      <c r="BU393" s="517"/>
      <c r="BV393" s="517"/>
      <c r="BW393" s="517"/>
      <c r="BX393" s="517"/>
      <c r="BY393" s="517"/>
      <c r="BZ393" s="517"/>
      <c r="CA393" s="517"/>
      <c r="CB393" s="517"/>
      <c r="CC393" s="517"/>
      <c r="CD393" s="517"/>
      <c r="CE393" s="517"/>
      <c r="CF393" s="517"/>
      <c r="CG393" s="517"/>
      <c r="CH393" s="517"/>
      <c r="CI393" s="517"/>
      <c r="CJ393" s="517"/>
      <c r="CK393" s="517"/>
      <c r="CL393" s="517"/>
      <c r="CM393" s="517"/>
      <c r="CN393" s="517"/>
      <c r="CO393" s="517"/>
      <c r="CP393" s="517"/>
      <c r="CQ393" s="517"/>
      <c r="CR393" s="517"/>
      <c r="CS393" s="517"/>
      <c r="CT393" s="517"/>
      <c r="CU393" s="517"/>
      <c r="CV393" s="517"/>
      <c r="CW393" s="517"/>
      <c r="CX393" s="517"/>
      <c r="CY393" s="517"/>
      <c r="CZ393" s="517"/>
      <c r="DA393" s="517"/>
      <c r="DB393" s="517"/>
      <c r="DC393" s="517"/>
      <c r="DD393" s="517"/>
      <c r="DE393" s="517"/>
      <c r="DF393" s="517"/>
      <c r="DG393" s="517"/>
      <c r="DH393" s="517"/>
      <c r="DI393" s="517"/>
      <c r="DJ393" s="517"/>
      <c r="DK393" s="517"/>
      <c r="DL393" s="517"/>
      <c r="DM393" s="517"/>
      <c r="DN393" s="517"/>
      <c r="DO393" s="517"/>
      <c r="DP393" s="517"/>
      <c r="DQ393" s="517"/>
      <c r="DR393" s="517"/>
      <c r="DS393" s="517"/>
      <c r="DT393" s="517"/>
      <c r="DU393" s="517"/>
      <c r="DV393" s="517"/>
      <c r="DW393" s="517"/>
      <c r="DX393" s="517"/>
      <c r="DY393" s="517"/>
      <c r="DZ393" s="517"/>
      <c r="EA393" s="517"/>
      <c r="EB393" s="517"/>
      <c r="EC393" s="517"/>
      <c r="ED393" s="517"/>
      <c r="EE393" s="517"/>
      <c r="EF393" s="517"/>
      <c r="EG393" s="517"/>
      <c r="EH393" s="517"/>
      <c r="EI393" s="517"/>
      <c r="EJ393" s="517"/>
      <c r="EK393" s="517"/>
      <c r="EL393" s="517"/>
      <c r="EM393" s="517"/>
      <c r="EN393" s="517"/>
      <c r="EO393" s="517"/>
      <c r="EP393" s="517"/>
      <c r="EQ393" s="517"/>
      <c r="ER393" s="517"/>
      <c r="ES393" s="627"/>
    </row>
    <row r="394">
      <c r="A394" s="517"/>
      <c r="B394" s="517"/>
      <c r="C394" s="517"/>
      <c r="D394" s="517"/>
      <c r="E394" s="517"/>
      <c r="F394" s="517"/>
      <c r="G394" s="517"/>
      <c r="H394" s="517"/>
      <c r="I394" s="517"/>
      <c r="J394" s="517"/>
      <c r="K394" s="517"/>
      <c r="L394" s="517"/>
      <c r="M394" s="517"/>
      <c r="N394" s="517"/>
      <c r="O394" s="517"/>
      <c r="P394" s="517"/>
      <c r="Q394" s="517"/>
      <c r="R394" s="517"/>
      <c r="S394" s="517"/>
      <c r="T394" s="517"/>
      <c r="U394" s="517"/>
      <c r="V394" s="517"/>
      <c r="W394" s="517"/>
      <c r="X394" s="517"/>
      <c r="Y394" s="517"/>
      <c r="Z394" s="517"/>
      <c r="AA394" s="517"/>
      <c r="AB394" s="517"/>
      <c r="AC394" s="517"/>
      <c r="AD394" s="517"/>
      <c r="AE394" s="517"/>
      <c r="AF394" s="517"/>
      <c r="AG394" s="517"/>
      <c r="AH394" s="517"/>
      <c r="AI394" s="517"/>
      <c r="AJ394" s="517"/>
      <c r="AK394" s="517"/>
      <c r="AL394" s="517"/>
      <c r="AM394" s="517"/>
      <c r="AN394" s="517"/>
      <c r="AO394" s="517"/>
      <c r="AP394" s="517"/>
      <c r="AQ394" s="517"/>
      <c r="AR394" s="517"/>
      <c r="AS394" s="517"/>
      <c r="AT394" s="517"/>
      <c r="AU394" s="517"/>
      <c r="AV394" s="517"/>
      <c r="AW394" s="517"/>
      <c r="AX394" s="517"/>
      <c r="AY394" s="517"/>
      <c r="AZ394" s="517"/>
      <c r="BA394" s="517"/>
      <c r="BB394" s="517"/>
      <c r="BC394" s="517"/>
      <c r="BD394" s="517"/>
      <c r="BE394" s="517"/>
      <c r="BF394" s="517"/>
      <c r="BG394" s="517"/>
      <c r="BH394" s="517"/>
      <c r="BI394" s="517"/>
      <c r="BJ394" s="517"/>
      <c r="BK394" s="517"/>
      <c r="BL394" s="517"/>
      <c r="BM394" s="517"/>
      <c r="BN394" s="517"/>
      <c r="BO394" s="517"/>
      <c r="BP394" s="517"/>
      <c r="BQ394" s="517"/>
      <c r="BR394" s="517"/>
      <c r="BS394" s="517"/>
      <c r="BT394" s="517"/>
      <c r="BU394" s="517"/>
      <c r="BV394" s="517"/>
      <c r="BW394" s="517"/>
      <c r="BX394" s="517"/>
      <c r="BY394" s="517"/>
      <c r="BZ394" s="517"/>
      <c r="CA394" s="517"/>
      <c r="CB394" s="517"/>
      <c r="CC394" s="517"/>
      <c r="CD394" s="517"/>
      <c r="CE394" s="517"/>
      <c r="CF394" s="517"/>
      <c r="CG394" s="517"/>
      <c r="CH394" s="517"/>
      <c r="CI394" s="517"/>
      <c r="CJ394" s="517"/>
      <c r="CK394" s="517"/>
      <c r="CL394" s="517"/>
      <c r="CM394" s="517"/>
      <c r="CN394" s="517"/>
      <c r="CO394" s="517"/>
      <c r="CP394" s="517"/>
      <c r="CQ394" s="517"/>
      <c r="CR394" s="517"/>
      <c r="CS394" s="517"/>
      <c r="CT394" s="517"/>
      <c r="CU394" s="517"/>
      <c r="CV394" s="517"/>
      <c r="CW394" s="517"/>
      <c r="CX394" s="517"/>
      <c r="CY394" s="517"/>
      <c r="CZ394" s="517"/>
      <c r="DA394" s="517"/>
      <c r="DB394" s="517"/>
      <c r="DC394" s="517"/>
      <c r="DD394" s="517"/>
      <c r="DE394" s="517"/>
      <c r="DF394" s="517"/>
      <c r="DG394" s="517"/>
      <c r="DH394" s="517"/>
      <c r="DI394" s="517"/>
      <c r="DJ394" s="517"/>
      <c r="DK394" s="517"/>
      <c r="DL394" s="517"/>
      <c r="DM394" s="517"/>
      <c r="DN394" s="517"/>
      <c r="DO394" s="517"/>
      <c r="DP394" s="517"/>
      <c r="DQ394" s="517"/>
      <c r="DR394" s="517"/>
      <c r="DS394" s="517"/>
      <c r="DT394" s="517"/>
      <c r="DU394" s="517"/>
      <c r="DV394" s="517"/>
      <c r="DW394" s="517"/>
      <c r="DX394" s="517"/>
      <c r="DY394" s="517"/>
      <c r="DZ394" s="517"/>
      <c r="EA394" s="517"/>
      <c r="EB394" s="517"/>
      <c r="EC394" s="517"/>
      <c r="ED394" s="517"/>
      <c r="EE394" s="517"/>
      <c r="EF394" s="517"/>
      <c r="EG394" s="517"/>
      <c r="EH394" s="517"/>
      <c r="EI394" s="517"/>
      <c r="EJ394" s="517"/>
      <c r="EK394" s="517"/>
      <c r="EL394" s="517"/>
      <c r="EM394" s="517"/>
      <c r="EN394" s="517"/>
      <c r="EO394" s="517"/>
      <c r="EP394" s="517"/>
      <c r="EQ394" s="517"/>
      <c r="ER394" s="517"/>
      <c r="ES394" s="627"/>
    </row>
    <row r="395">
      <c r="A395" s="517"/>
      <c r="B395" s="517"/>
      <c r="C395" s="517"/>
      <c r="D395" s="517"/>
      <c r="E395" s="517"/>
      <c r="F395" s="517"/>
      <c r="G395" s="517"/>
      <c r="H395" s="517"/>
      <c r="I395" s="517"/>
      <c r="J395" s="517"/>
      <c r="K395" s="517"/>
      <c r="L395" s="517"/>
      <c r="M395" s="517"/>
      <c r="N395" s="517"/>
      <c r="O395" s="517"/>
      <c r="P395" s="517"/>
      <c r="Q395" s="517"/>
      <c r="R395" s="517"/>
      <c r="S395" s="517"/>
      <c r="T395" s="517"/>
      <c r="U395" s="517"/>
      <c r="V395" s="517"/>
      <c r="W395" s="517"/>
      <c r="X395" s="517"/>
      <c r="Y395" s="517"/>
      <c r="Z395" s="517"/>
      <c r="AA395" s="517"/>
      <c r="AB395" s="517"/>
      <c r="AC395" s="517"/>
      <c r="AD395" s="517"/>
      <c r="AE395" s="517"/>
      <c r="AF395" s="517"/>
      <c r="AG395" s="517"/>
      <c r="AH395" s="517"/>
      <c r="AI395" s="517"/>
      <c r="AJ395" s="517"/>
      <c r="AK395" s="517"/>
      <c r="AL395" s="517"/>
      <c r="AM395" s="517"/>
      <c r="AN395" s="517"/>
      <c r="AO395" s="517"/>
      <c r="AP395" s="517"/>
      <c r="AQ395" s="517"/>
      <c r="AR395" s="517"/>
      <c r="AS395" s="517"/>
      <c r="AT395" s="517"/>
      <c r="AU395" s="517"/>
      <c r="AV395" s="517"/>
      <c r="AW395" s="517"/>
      <c r="AX395" s="517"/>
      <c r="AY395" s="517"/>
      <c r="AZ395" s="517"/>
      <c r="BA395" s="517"/>
      <c r="BB395" s="517"/>
      <c r="BC395" s="517"/>
      <c r="BD395" s="517"/>
      <c r="BE395" s="517"/>
      <c r="BF395" s="517"/>
      <c r="BG395" s="517"/>
      <c r="BH395" s="517"/>
      <c r="BI395" s="517"/>
      <c r="BJ395" s="517"/>
      <c r="BK395" s="517"/>
      <c r="BL395" s="517"/>
      <c r="BM395" s="517"/>
      <c r="BN395" s="517"/>
      <c r="BO395" s="517"/>
      <c r="BP395" s="517"/>
      <c r="BQ395" s="517"/>
      <c r="BR395" s="517"/>
      <c r="BS395" s="517"/>
      <c r="BT395" s="517"/>
      <c r="BU395" s="517"/>
      <c r="BV395" s="517"/>
      <c r="BW395" s="517"/>
      <c r="BX395" s="517"/>
      <c r="BY395" s="517"/>
      <c r="BZ395" s="517"/>
      <c r="CA395" s="517"/>
      <c r="CB395" s="517"/>
      <c r="CC395" s="517"/>
      <c r="CD395" s="517"/>
      <c r="CE395" s="517"/>
      <c r="CF395" s="517"/>
      <c r="CG395" s="517"/>
      <c r="CH395" s="517"/>
      <c r="CI395" s="517"/>
      <c r="CJ395" s="517"/>
      <c r="CK395" s="517"/>
      <c r="CL395" s="517"/>
      <c r="CM395" s="517"/>
      <c r="CN395" s="517"/>
      <c r="CO395" s="517"/>
      <c r="CP395" s="517"/>
      <c r="CQ395" s="517"/>
      <c r="CR395" s="517"/>
      <c r="CS395" s="517"/>
      <c r="CT395" s="517"/>
      <c r="CU395" s="517"/>
      <c r="CV395" s="517"/>
      <c r="CW395" s="517"/>
      <c r="CX395" s="517"/>
      <c r="CY395" s="517"/>
      <c r="CZ395" s="517"/>
      <c r="DA395" s="517"/>
      <c r="DB395" s="517"/>
      <c r="DC395" s="517"/>
      <c r="DD395" s="517"/>
      <c r="DE395" s="517"/>
      <c r="DF395" s="517"/>
      <c r="DG395" s="517"/>
      <c r="DH395" s="517"/>
      <c r="DI395" s="517"/>
      <c r="DJ395" s="517"/>
      <c r="DK395" s="517"/>
      <c r="DL395" s="517"/>
      <c r="DM395" s="517"/>
      <c r="DN395" s="517"/>
      <c r="DO395" s="517"/>
      <c r="DP395" s="517"/>
      <c r="DQ395" s="517"/>
      <c r="DR395" s="517"/>
      <c r="DS395" s="517"/>
      <c r="DT395" s="517"/>
      <c r="DU395" s="517"/>
      <c r="DV395" s="517"/>
      <c r="DW395" s="517"/>
      <c r="DX395" s="517"/>
      <c r="DY395" s="517"/>
      <c r="DZ395" s="517"/>
      <c r="EA395" s="517"/>
      <c r="EB395" s="517"/>
      <c r="EC395" s="517"/>
      <c r="ED395" s="517"/>
      <c r="EE395" s="517"/>
      <c r="EF395" s="517"/>
      <c r="EG395" s="517"/>
      <c r="EH395" s="517"/>
      <c r="EI395" s="517"/>
      <c r="EJ395" s="517"/>
      <c r="EK395" s="517"/>
      <c r="EL395" s="517"/>
      <c r="EM395" s="517"/>
      <c r="EN395" s="517"/>
      <c r="EO395" s="517"/>
      <c r="EP395" s="517"/>
      <c r="EQ395" s="517"/>
      <c r="ER395" s="517"/>
      <c r="ES395" s="627"/>
    </row>
    <row r="396">
      <c r="A396" s="517"/>
      <c r="B396" s="517"/>
      <c r="C396" s="517"/>
      <c r="D396" s="517"/>
      <c r="E396" s="517"/>
      <c r="F396" s="517"/>
      <c r="G396" s="517"/>
      <c r="H396" s="517"/>
      <c r="I396" s="517"/>
      <c r="J396" s="517"/>
      <c r="K396" s="517"/>
      <c r="L396" s="517"/>
      <c r="M396" s="517"/>
      <c r="N396" s="517"/>
      <c r="O396" s="517"/>
      <c r="P396" s="517"/>
      <c r="Q396" s="517"/>
      <c r="R396" s="517"/>
      <c r="S396" s="517"/>
      <c r="T396" s="517"/>
      <c r="U396" s="517"/>
      <c r="V396" s="517"/>
      <c r="W396" s="517"/>
      <c r="X396" s="517"/>
      <c r="Y396" s="517"/>
      <c r="Z396" s="517"/>
      <c r="AA396" s="517"/>
      <c r="AB396" s="517"/>
      <c r="AC396" s="517"/>
      <c r="AD396" s="517"/>
      <c r="AE396" s="517"/>
      <c r="AF396" s="517"/>
      <c r="AG396" s="517"/>
      <c r="AH396" s="517"/>
      <c r="AI396" s="517"/>
      <c r="AJ396" s="517"/>
      <c r="AK396" s="517"/>
      <c r="AL396" s="517"/>
      <c r="AM396" s="517"/>
      <c r="AN396" s="517"/>
      <c r="AO396" s="517"/>
      <c r="AP396" s="517"/>
      <c r="AQ396" s="517"/>
      <c r="AR396" s="517"/>
      <c r="AS396" s="517"/>
      <c r="AT396" s="517"/>
      <c r="AU396" s="517"/>
      <c r="AV396" s="517"/>
      <c r="AW396" s="517"/>
      <c r="AX396" s="517"/>
      <c r="AY396" s="517"/>
      <c r="AZ396" s="517"/>
      <c r="BA396" s="517"/>
      <c r="BB396" s="517"/>
      <c r="BC396" s="517"/>
      <c r="BD396" s="517"/>
      <c r="BE396" s="517"/>
      <c r="BF396" s="517"/>
      <c r="BG396" s="517"/>
      <c r="BH396" s="517"/>
      <c r="BI396" s="517"/>
      <c r="BJ396" s="517"/>
      <c r="BK396" s="517"/>
      <c r="BL396" s="517"/>
      <c r="BM396" s="517"/>
      <c r="BN396" s="517"/>
      <c r="BO396" s="517"/>
      <c r="BP396" s="517"/>
      <c r="BQ396" s="517"/>
      <c r="BR396" s="517"/>
      <c r="BS396" s="517"/>
      <c r="BT396" s="517"/>
      <c r="BU396" s="517"/>
      <c r="BV396" s="517"/>
      <c r="BW396" s="517"/>
      <c r="BX396" s="517"/>
      <c r="BY396" s="517"/>
      <c r="BZ396" s="517"/>
      <c r="CA396" s="517"/>
      <c r="CB396" s="517"/>
      <c r="CC396" s="517"/>
      <c r="CD396" s="517"/>
      <c r="CE396" s="517"/>
      <c r="CF396" s="517"/>
      <c r="CG396" s="517"/>
      <c r="CH396" s="517"/>
      <c r="CI396" s="517"/>
      <c r="CJ396" s="517"/>
      <c r="CK396" s="517"/>
      <c r="CL396" s="517"/>
      <c r="CM396" s="517"/>
      <c r="CN396" s="517"/>
      <c r="CO396" s="517"/>
      <c r="CP396" s="517"/>
      <c r="CQ396" s="517"/>
      <c r="CR396" s="517"/>
      <c r="CS396" s="517"/>
      <c r="CT396" s="517"/>
      <c r="CU396" s="517"/>
      <c r="CV396" s="517"/>
      <c r="CW396" s="517"/>
      <c r="CX396" s="517"/>
      <c r="CY396" s="517"/>
      <c r="CZ396" s="517"/>
      <c r="DA396" s="517"/>
      <c r="DB396" s="517"/>
      <c r="DC396" s="517"/>
      <c r="DD396" s="517"/>
      <c r="DE396" s="517"/>
      <c r="DF396" s="517"/>
      <c r="DG396" s="517"/>
      <c r="DH396" s="517"/>
      <c r="DI396" s="517"/>
      <c r="DJ396" s="517"/>
      <c r="DK396" s="517"/>
      <c r="DL396" s="517"/>
      <c r="DM396" s="517"/>
      <c r="DN396" s="517"/>
      <c r="DO396" s="517"/>
      <c r="DP396" s="517"/>
      <c r="DQ396" s="517"/>
      <c r="DR396" s="517"/>
      <c r="DS396" s="517"/>
      <c r="DT396" s="517"/>
      <c r="DU396" s="517"/>
      <c r="DV396" s="517"/>
      <c r="DW396" s="517"/>
      <c r="DX396" s="517"/>
      <c r="DY396" s="517"/>
      <c r="DZ396" s="517"/>
      <c r="EA396" s="517"/>
      <c r="EB396" s="517"/>
      <c r="EC396" s="517"/>
      <c r="ED396" s="517"/>
      <c r="EE396" s="517"/>
      <c r="EF396" s="517"/>
      <c r="EG396" s="517"/>
      <c r="EH396" s="517"/>
      <c r="EI396" s="517"/>
      <c r="EJ396" s="517"/>
      <c r="EK396" s="517"/>
      <c r="EL396" s="517"/>
      <c r="EM396" s="517"/>
      <c r="EN396" s="517"/>
      <c r="EO396" s="517"/>
      <c r="EP396" s="517"/>
      <c r="EQ396" s="517"/>
      <c r="ER396" s="517"/>
      <c r="ES396" s="627"/>
    </row>
    <row r="397">
      <c r="A397" s="517"/>
      <c r="B397" s="517"/>
      <c r="C397" s="517"/>
      <c r="D397" s="517"/>
      <c r="E397" s="517"/>
      <c r="F397" s="517"/>
      <c r="G397" s="517"/>
      <c r="H397" s="517"/>
      <c r="I397" s="517"/>
      <c r="J397" s="517"/>
      <c r="K397" s="517"/>
      <c r="L397" s="517"/>
      <c r="M397" s="517"/>
      <c r="N397" s="517"/>
      <c r="O397" s="517"/>
      <c r="P397" s="517"/>
      <c r="Q397" s="517"/>
      <c r="R397" s="517"/>
      <c r="S397" s="517"/>
      <c r="T397" s="517"/>
      <c r="U397" s="517"/>
      <c r="V397" s="517"/>
      <c r="W397" s="517"/>
      <c r="X397" s="517"/>
      <c r="Y397" s="517"/>
      <c r="Z397" s="517"/>
      <c r="AA397" s="517"/>
      <c r="AB397" s="517"/>
      <c r="AC397" s="517"/>
      <c r="AD397" s="517"/>
      <c r="AE397" s="517"/>
      <c r="AF397" s="517"/>
      <c r="AG397" s="517"/>
      <c r="AH397" s="517"/>
      <c r="AI397" s="517"/>
      <c r="AJ397" s="517"/>
      <c r="AK397" s="517"/>
      <c r="AL397" s="517"/>
      <c r="AM397" s="517"/>
      <c r="AN397" s="517"/>
      <c r="AO397" s="517"/>
      <c r="AP397" s="517"/>
      <c r="AQ397" s="517"/>
      <c r="AR397" s="517"/>
      <c r="AS397" s="517"/>
      <c r="AT397" s="517"/>
      <c r="AU397" s="517"/>
      <c r="AV397" s="517"/>
      <c r="AW397" s="517"/>
      <c r="AX397" s="517"/>
      <c r="AY397" s="517"/>
      <c r="AZ397" s="517"/>
      <c r="BA397" s="517"/>
      <c r="BB397" s="517"/>
      <c r="BC397" s="517"/>
      <c r="BD397" s="517"/>
      <c r="BE397" s="517"/>
      <c r="BF397" s="517"/>
      <c r="BG397" s="517"/>
      <c r="BH397" s="517"/>
      <c r="BI397" s="517"/>
      <c r="BJ397" s="517"/>
      <c r="BK397" s="517"/>
      <c r="BL397" s="517"/>
      <c r="BM397" s="517"/>
      <c r="BN397" s="517"/>
      <c r="BO397" s="517"/>
      <c r="BP397" s="517"/>
      <c r="BQ397" s="517"/>
      <c r="BR397" s="517"/>
      <c r="BS397" s="517"/>
      <c r="BT397" s="517"/>
      <c r="BU397" s="517"/>
      <c r="BV397" s="517"/>
      <c r="BW397" s="517"/>
      <c r="BX397" s="517"/>
      <c r="BY397" s="517"/>
      <c r="BZ397" s="517"/>
      <c r="CA397" s="517"/>
      <c r="CB397" s="517"/>
      <c r="CC397" s="517"/>
      <c r="CD397" s="517"/>
      <c r="CE397" s="517"/>
      <c r="CF397" s="517"/>
      <c r="CG397" s="517"/>
      <c r="CH397" s="517"/>
      <c r="CI397" s="517"/>
      <c r="CJ397" s="517"/>
      <c r="CK397" s="517"/>
      <c r="CL397" s="517"/>
      <c r="CM397" s="517"/>
      <c r="CN397" s="517"/>
      <c r="CO397" s="517"/>
      <c r="CP397" s="517"/>
      <c r="CQ397" s="517"/>
      <c r="CR397" s="517"/>
      <c r="CS397" s="517"/>
      <c r="CT397" s="517"/>
      <c r="CU397" s="517"/>
      <c r="CV397" s="517"/>
      <c r="CW397" s="517"/>
      <c r="CX397" s="517"/>
      <c r="CY397" s="517"/>
      <c r="CZ397" s="517"/>
      <c r="DA397" s="517"/>
      <c r="DB397" s="517"/>
      <c r="DC397" s="517"/>
      <c r="DD397" s="517"/>
      <c r="DE397" s="517"/>
      <c r="DF397" s="517"/>
      <c r="DG397" s="517"/>
      <c r="DH397" s="517"/>
      <c r="DI397" s="517"/>
      <c r="DJ397" s="517"/>
      <c r="DK397" s="517"/>
      <c r="DL397" s="517"/>
      <c r="DM397" s="517"/>
      <c r="DN397" s="517"/>
      <c r="DO397" s="517"/>
      <c r="DP397" s="517"/>
      <c r="DQ397" s="517"/>
      <c r="DR397" s="517"/>
      <c r="DS397" s="517"/>
      <c r="DT397" s="517"/>
      <c r="DU397" s="517"/>
      <c r="DV397" s="517"/>
      <c r="DW397" s="517"/>
      <c r="DX397" s="517"/>
      <c r="DY397" s="517"/>
      <c r="DZ397" s="517"/>
      <c r="EA397" s="517"/>
      <c r="EB397" s="517"/>
      <c r="EC397" s="517"/>
      <c r="ED397" s="517"/>
      <c r="EE397" s="517"/>
      <c r="EF397" s="517"/>
      <c r="EG397" s="517"/>
      <c r="EH397" s="517"/>
      <c r="EI397" s="517"/>
      <c r="EJ397" s="517"/>
      <c r="EK397" s="517"/>
      <c r="EL397" s="517"/>
      <c r="EM397" s="517"/>
      <c r="EN397" s="517"/>
      <c r="EO397" s="517"/>
      <c r="EP397" s="517"/>
      <c r="EQ397" s="517"/>
      <c r="ER397" s="517"/>
      <c r="ES397" s="627"/>
    </row>
    <row r="398">
      <c r="A398" s="517"/>
      <c r="B398" s="517"/>
      <c r="C398" s="517"/>
      <c r="D398" s="517"/>
      <c r="E398" s="517"/>
      <c r="F398" s="517"/>
      <c r="G398" s="517"/>
      <c r="H398" s="517"/>
      <c r="I398" s="517"/>
      <c r="J398" s="517"/>
      <c r="K398" s="517"/>
      <c r="L398" s="517"/>
      <c r="M398" s="517"/>
      <c r="N398" s="517"/>
      <c r="O398" s="517"/>
      <c r="P398" s="517"/>
      <c r="Q398" s="517"/>
      <c r="R398" s="517"/>
      <c r="S398" s="517"/>
      <c r="T398" s="517"/>
      <c r="U398" s="517"/>
      <c r="V398" s="517"/>
      <c r="W398" s="517"/>
      <c r="X398" s="517"/>
      <c r="Y398" s="517"/>
      <c r="Z398" s="517"/>
      <c r="AA398" s="517"/>
      <c r="AB398" s="517"/>
      <c r="AC398" s="517"/>
      <c r="AD398" s="517"/>
      <c r="AE398" s="517"/>
      <c r="AF398" s="517"/>
      <c r="AG398" s="517"/>
      <c r="AH398" s="517"/>
      <c r="AI398" s="517"/>
      <c r="AJ398" s="517"/>
      <c r="AK398" s="517"/>
      <c r="AL398" s="517"/>
      <c r="AM398" s="517"/>
      <c r="AN398" s="517"/>
      <c r="AO398" s="517"/>
      <c r="AP398" s="517"/>
      <c r="AQ398" s="517"/>
      <c r="AR398" s="517"/>
      <c r="AS398" s="517"/>
      <c r="AT398" s="517"/>
      <c r="AU398" s="517"/>
      <c r="AV398" s="517"/>
      <c r="AW398" s="517"/>
      <c r="AX398" s="517"/>
      <c r="AY398" s="517"/>
      <c r="AZ398" s="517"/>
      <c r="BA398" s="517"/>
      <c r="BB398" s="517"/>
      <c r="BC398" s="517"/>
      <c r="BD398" s="517"/>
      <c r="BE398" s="517"/>
      <c r="BF398" s="517"/>
      <c r="BG398" s="517"/>
      <c r="BH398" s="517"/>
      <c r="BI398" s="517"/>
      <c r="BJ398" s="517"/>
      <c r="BK398" s="517"/>
      <c r="BL398" s="517"/>
      <c r="BM398" s="517"/>
      <c r="BN398" s="517"/>
      <c r="BO398" s="517"/>
      <c r="BP398" s="517"/>
      <c r="BQ398" s="517"/>
      <c r="BR398" s="517"/>
      <c r="BS398" s="517"/>
      <c r="BT398" s="517"/>
      <c r="BU398" s="517"/>
      <c r="BV398" s="517"/>
      <c r="BW398" s="517"/>
      <c r="BX398" s="517"/>
      <c r="BY398" s="517"/>
      <c r="BZ398" s="517"/>
      <c r="CA398" s="517"/>
      <c r="CB398" s="517"/>
      <c r="CC398" s="517"/>
      <c r="CD398" s="517"/>
      <c r="CE398" s="517"/>
      <c r="CF398" s="517"/>
      <c r="CG398" s="517"/>
      <c r="CH398" s="517"/>
      <c r="CI398" s="517"/>
      <c r="CJ398" s="517"/>
      <c r="CK398" s="517"/>
      <c r="CL398" s="517"/>
      <c r="CM398" s="517"/>
      <c r="CN398" s="517"/>
      <c r="CO398" s="517"/>
      <c r="CP398" s="517"/>
      <c r="CQ398" s="517"/>
      <c r="CR398" s="517"/>
      <c r="CS398" s="517"/>
      <c r="CT398" s="517"/>
      <c r="CU398" s="517"/>
      <c r="CV398" s="517"/>
      <c r="CW398" s="517"/>
      <c r="CX398" s="517"/>
      <c r="CY398" s="517"/>
      <c r="CZ398" s="517"/>
      <c r="DA398" s="517"/>
      <c r="DB398" s="517"/>
      <c r="DC398" s="517"/>
      <c r="DD398" s="517"/>
      <c r="DE398" s="517"/>
      <c r="DF398" s="517"/>
      <c r="DG398" s="517"/>
      <c r="DH398" s="517"/>
      <c r="DI398" s="517"/>
      <c r="DJ398" s="517"/>
      <c r="DK398" s="517"/>
      <c r="DL398" s="517"/>
      <c r="DM398" s="517"/>
      <c r="DN398" s="517"/>
      <c r="DO398" s="517"/>
      <c r="DP398" s="517"/>
      <c r="DQ398" s="517"/>
      <c r="DR398" s="517"/>
      <c r="DS398" s="517"/>
      <c r="DT398" s="517"/>
      <c r="DU398" s="517"/>
      <c r="DV398" s="517"/>
      <c r="DW398" s="517"/>
      <c r="DX398" s="517"/>
      <c r="DY398" s="517"/>
      <c r="DZ398" s="517"/>
      <c r="EA398" s="517"/>
      <c r="EB398" s="517"/>
      <c r="EC398" s="517"/>
      <c r="ED398" s="517"/>
      <c r="EE398" s="517"/>
      <c r="EF398" s="517"/>
      <c r="EG398" s="517"/>
      <c r="EH398" s="517"/>
      <c r="EI398" s="517"/>
      <c r="EJ398" s="517"/>
      <c r="EK398" s="517"/>
      <c r="EL398" s="517"/>
      <c r="EM398" s="517"/>
      <c r="EN398" s="517"/>
      <c r="EO398" s="517"/>
      <c r="EP398" s="517"/>
      <c r="EQ398" s="517"/>
      <c r="ER398" s="517"/>
      <c r="ES398" s="627"/>
    </row>
    <row r="399">
      <c r="A399" s="517"/>
      <c r="B399" s="517"/>
      <c r="C399" s="517"/>
      <c r="D399" s="517"/>
      <c r="E399" s="517"/>
      <c r="F399" s="517"/>
      <c r="G399" s="517"/>
      <c r="H399" s="517"/>
      <c r="I399" s="517"/>
      <c r="J399" s="517"/>
      <c r="K399" s="517"/>
      <c r="L399" s="517"/>
      <c r="M399" s="517"/>
      <c r="N399" s="517"/>
      <c r="O399" s="517"/>
      <c r="P399" s="517"/>
      <c r="Q399" s="517"/>
      <c r="R399" s="517"/>
      <c r="S399" s="517"/>
      <c r="T399" s="517"/>
      <c r="U399" s="517"/>
      <c r="V399" s="517"/>
      <c r="W399" s="517"/>
      <c r="X399" s="517"/>
      <c r="Y399" s="517"/>
      <c r="Z399" s="517"/>
      <c r="AA399" s="517"/>
      <c r="AB399" s="517"/>
      <c r="AC399" s="517"/>
      <c r="AD399" s="517"/>
      <c r="AE399" s="517"/>
      <c r="AF399" s="517"/>
      <c r="AG399" s="517"/>
      <c r="AH399" s="517"/>
      <c r="AI399" s="517"/>
      <c r="AJ399" s="517"/>
      <c r="AK399" s="517"/>
      <c r="AL399" s="517"/>
      <c r="AM399" s="517"/>
      <c r="AN399" s="517"/>
      <c r="AO399" s="517"/>
      <c r="AP399" s="517"/>
      <c r="AQ399" s="517"/>
      <c r="AR399" s="517"/>
      <c r="AS399" s="517"/>
      <c r="AT399" s="517"/>
      <c r="AU399" s="517"/>
      <c r="AV399" s="517"/>
      <c r="AW399" s="517"/>
      <c r="AX399" s="517"/>
      <c r="AY399" s="517"/>
      <c r="AZ399" s="517"/>
      <c r="BA399" s="517"/>
      <c r="BB399" s="517"/>
      <c r="BC399" s="517"/>
      <c r="BD399" s="517"/>
      <c r="BE399" s="517"/>
      <c r="BF399" s="517"/>
      <c r="BG399" s="517"/>
      <c r="BH399" s="517"/>
      <c r="BI399" s="517"/>
      <c r="BJ399" s="517"/>
      <c r="BK399" s="517"/>
      <c r="BL399" s="517"/>
      <c r="BM399" s="517"/>
      <c r="BN399" s="517"/>
      <c r="BO399" s="517"/>
      <c r="BP399" s="517"/>
      <c r="BQ399" s="517"/>
      <c r="BR399" s="517"/>
      <c r="BS399" s="517"/>
      <c r="BT399" s="517"/>
      <c r="BU399" s="517"/>
      <c r="BV399" s="517"/>
      <c r="BW399" s="517"/>
      <c r="BX399" s="517"/>
      <c r="BY399" s="517"/>
      <c r="BZ399" s="517"/>
      <c r="CA399" s="517"/>
      <c r="CB399" s="517"/>
      <c r="CC399" s="517"/>
      <c r="CD399" s="517"/>
      <c r="CE399" s="517"/>
      <c r="CF399" s="517"/>
      <c r="CG399" s="517"/>
      <c r="CH399" s="517"/>
      <c r="CI399" s="517"/>
      <c r="CJ399" s="517"/>
      <c r="CK399" s="517"/>
      <c r="CL399" s="517"/>
      <c r="CM399" s="517"/>
      <c r="CN399" s="517"/>
      <c r="CO399" s="517"/>
      <c r="CP399" s="517"/>
      <c r="CQ399" s="517"/>
      <c r="CR399" s="517"/>
      <c r="CS399" s="517"/>
      <c r="CT399" s="517"/>
      <c r="CU399" s="517"/>
      <c r="CV399" s="517"/>
      <c r="CW399" s="517"/>
      <c r="CX399" s="517"/>
      <c r="CY399" s="517"/>
      <c r="CZ399" s="517"/>
      <c r="DA399" s="517"/>
      <c r="DB399" s="517"/>
      <c r="DC399" s="517"/>
      <c r="DD399" s="517"/>
      <c r="DE399" s="517"/>
      <c r="DF399" s="517"/>
      <c r="DG399" s="517"/>
      <c r="DH399" s="517"/>
      <c r="DI399" s="517"/>
      <c r="DJ399" s="517"/>
      <c r="DK399" s="517"/>
      <c r="DL399" s="517"/>
      <c r="DM399" s="517"/>
      <c r="DN399" s="517"/>
      <c r="DO399" s="517"/>
      <c r="DP399" s="517"/>
      <c r="DQ399" s="517"/>
      <c r="DR399" s="517"/>
      <c r="DS399" s="517"/>
      <c r="DT399" s="517"/>
      <c r="DU399" s="517"/>
      <c r="DV399" s="517"/>
      <c r="DW399" s="517"/>
      <c r="DX399" s="517"/>
      <c r="DY399" s="517"/>
      <c r="DZ399" s="517"/>
      <c r="EA399" s="517"/>
      <c r="EB399" s="517"/>
      <c r="EC399" s="517"/>
      <c r="ED399" s="517"/>
      <c r="EE399" s="517"/>
      <c r="EF399" s="517"/>
      <c r="EG399" s="517"/>
      <c r="EH399" s="517"/>
      <c r="EI399" s="517"/>
      <c r="EJ399" s="517"/>
      <c r="EK399" s="517"/>
      <c r="EL399" s="517"/>
      <c r="EM399" s="517"/>
      <c r="EN399" s="517"/>
      <c r="EO399" s="517"/>
      <c r="EP399" s="517"/>
      <c r="EQ399" s="517"/>
      <c r="ER399" s="517"/>
      <c r="ES399" s="627"/>
    </row>
    <row r="400">
      <c r="A400" s="517"/>
      <c r="B400" s="517"/>
      <c r="C400" s="517"/>
      <c r="D400" s="517"/>
      <c r="E400" s="517"/>
      <c r="F400" s="517"/>
      <c r="G400" s="517"/>
      <c r="H400" s="517"/>
      <c r="I400" s="517"/>
      <c r="J400" s="517"/>
      <c r="K400" s="517"/>
      <c r="L400" s="517"/>
      <c r="M400" s="517"/>
      <c r="N400" s="517"/>
      <c r="O400" s="517"/>
      <c r="P400" s="517"/>
      <c r="Q400" s="517"/>
      <c r="R400" s="517"/>
      <c r="S400" s="517"/>
      <c r="T400" s="517"/>
      <c r="U400" s="517"/>
      <c r="V400" s="517"/>
      <c r="W400" s="517"/>
      <c r="X400" s="517"/>
      <c r="Y400" s="517"/>
      <c r="Z400" s="517"/>
      <c r="AA400" s="517"/>
      <c r="AB400" s="517"/>
      <c r="AC400" s="517"/>
      <c r="AD400" s="517"/>
      <c r="AE400" s="517"/>
      <c r="AF400" s="517"/>
      <c r="AG400" s="517"/>
      <c r="AH400" s="517"/>
      <c r="AI400" s="517"/>
      <c r="AJ400" s="517"/>
      <c r="AK400" s="517"/>
      <c r="AL400" s="517"/>
      <c r="AM400" s="517"/>
      <c r="AN400" s="517"/>
      <c r="AO400" s="517"/>
      <c r="AP400" s="517"/>
      <c r="AQ400" s="517"/>
      <c r="AR400" s="517"/>
      <c r="AS400" s="517"/>
      <c r="AT400" s="517"/>
      <c r="AU400" s="517"/>
      <c r="AV400" s="517"/>
      <c r="AW400" s="517"/>
      <c r="AX400" s="517"/>
      <c r="AY400" s="517"/>
      <c r="AZ400" s="517"/>
      <c r="BA400" s="517"/>
      <c r="BB400" s="517"/>
      <c r="BC400" s="517"/>
      <c r="BD400" s="517"/>
      <c r="BE400" s="517"/>
      <c r="BF400" s="517"/>
      <c r="BG400" s="517"/>
      <c r="BH400" s="517"/>
      <c r="BI400" s="517"/>
      <c r="BJ400" s="517"/>
      <c r="BK400" s="517"/>
      <c r="BL400" s="517"/>
      <c r="BM400" s="517"/>
      <c r="BN400" s="517"/>
      <c r="BO400" s="517"/>
      <c r="BP400" s="517"/>
      <c r="BQ400" s="517"/>
      <c r="BR400" s="517"/>
      <c r="BS400" s="517"/>
      <c r="BT400" s="517"/>
      <c r="BU400" s="517"/>
      <c r="BV400" s="517"/>
      <c r="BW400" s="517"/>
      <c r="BX400" s="517"/>
      <c r="BY400" s="517"/>
      <c r="BZ400" s="517"/>
      <c r="CA400" s="517"/>
      <c r="CB400" s="517"/>
      <c r="CC400" s="517"/>
      <c r="CD400" s="517"/>
      <c r="CE400" s="517"/>
      <c r="CF400" s="517"/>
      <c r="CG400" s="517"/>
      <c r="CH400" s="517"/>
      <c r="CI400" s="517"/>
      <c r="CJ400" s="517"/>
      <c r="CK400" s="517"/>
      <c r="CL400" s="517"/>
      <c r="CM400" s="517"/>
      <c r="CN400" s="517"/>
      <c r="CO400" s="517"/>
      <c r="CP400" s="517"/>
      <c r="CQ400" s="517"/>
      <c r="CR400" s="517"/>
      <c r="CS400" s="517"/>
      <c r="CT400" s="517"/>
      <c r="CU400" s="517"/>
      <c r="CV400" s="517"/>
      <c r="CW400" s="517"/>
      <c r="CX400" s="517"/>
      <c r="CY400" s="517"/>
      <c r="CZ400" s="517"/>
      <c r="DA400" s="517"/>
      <c r="DB400" s="517"/>
      <c r="DC400" s="517"/>
      <c r="DD400" s="517"/>
      <c r="DE400" s="517"/>
      <c r="DF400" s="517"/>
      <c r="DG400" s="517"/>
      <c r="DH400" s="517"/>
      <c r="DI400" s="517"/>
      <c r="DJ400" s="517"/>
      <c r="DK400" s="517"/>
      <c r="DL400" s="517"/>
      <c r="DM400" s="517"/>
      <c r="DN400" s="517"/>
      <c r="DO400" s="517"/>
      <c r="DP400" s="517"/>
      <c r="DQ400" s="517"/>
      <c r="DR400" s="517"/>
      <c r="DS400" s="517"/>
      <c r="DT400" s="517"/>
      <c r="DU400" s="517"/>
      <c r="DV400" s="517"/>
      <c r="DW400" s="517"/>
      <c r="DX400" s="517"/>
      <c r="DY400" s="517"/>
      <c r="DZ400" s="517"/>
      <c r="EA400" s="517"/>
      <c r="EB400" s="517"/>
      <c r="EC400" s="517"/>
      <c r="ED400" s="517"/>
      <c r="EE400" s="517"/>
      <c r="EF400" s="517"/>
      <c r="EG400" s="517"/>
      <c r="EH400" s="517"/>
      <c r="EI400" s="517"/>
      <c r="EJ400" s="517"/>
      <c r="EK400" s="517"/>
      <c r="EL400" s="517"/>
      <c r="EM400" s="517"/>
      <c r="EN400" s="517"/>
      <c r="EO400" s="517"/>
      <c r="EP400" s="517"/>
      <c r="EQ400" s="517"/>
      <c r="ER400" s="517"/>
      <c r="ES400" s="627"/>
    </row>
    <row r="401">
      <c r="ES401" s="627"/>
    </row>
    <row r="402">
      <c r="ES402" s="627"/>
    </row>
    <row r="403">
      <c r="ES403" s="627"/>
    </row>
    <row r="404">
      <c r="ES404" s="627"/>
    </row>
    <row r="405">
      <c r="ES405" s="627"/>
    </row>
    <row r="406">
      <c r="ES406" s="627"/>
    </row>
    <row r="407">
      <c r="ES407" s="627"/>
    </row>
    <row r="408">
      <c r="ES408" s="627"/>
    </row>
    <row r="409">
      <c r="ES409" s="627"/>
    </row>
    <row r="410">
      <c r="ES410" s="627"/>
    </row>
    <row r="411">
      <c r="ES411" s="627"/>
    </row>
    <row r="412">
      <c r="ES412" s="627"/>
    </row>
    <row r="413">
      <c r="ES413" s="627"/>
    </row>
    <row r="414">
      <c r="ES414" s="627"/>
    </row>
    <row r="415">
      <c r="ES415" s="627"/>
    </row>
    <row r="416">
      <c r="ES416" s="627"/>
    </row>
    <row r="417">
      <c r="ES417" s="627"/>
    </row>
    <row r="418">
      <c r="ES418" s="627"/>
    </row>
    <row r="419">
      <c r="ES419" s="627"/>
    </row>
    <row r="420">
      <c r="ES420" s="627"/>
    </row>
    <row r="421">
      <c r="ES421" s="627"/>
    </row>
    <row r="422">
      <c r="ES422" s="627"/>
    </row>
    <row r="423">
      <c r="ES423" s="627"/>
    </row>
    <row r="424">
      <c r="ES424" s="627"/>
    </row>
    <row r="425">
      <c r="ES425" s="627"/>
    </row>
    <row r="426">
      <c r="ES426" s="627"/>
    </row>
    <row r="427">
      <c r="ES427" s="627"/>
    </row>
    <row r="428">
      <c r="ES428" s="627"/>
    </row>
    <row r="429">
      <c r="ES429" s="627"/>
    </row>
    <row r="430">
      <c r="ES430" s="627"/>
    </row>
    <row r="431">
      <c r="ES431" s="627"/>
    </row>
    <row r="432">
      <c r="ES432" s="627"/>
    </row>
    <row r="433">
      <c r="ES433" s="627"/>
    </row>
    <row r="434">
      <c r="ES434" s="627"/>
    </row>
    <row r="435">
      <c r="ES435" s="627"/>
    </row>
    <row r="436">
      <c r="ES436" s="627"/>
    </row>
    <row r="437">
      <c r="ES437" s="627"/>
    </row>
    <row r="438">
      <c r="ES438" s="627"/>
    </row>
    <row r="439">
      <c r="ES439" s="627"/>
    </row>
    <row r="440">
      <c r="ES440" s="627"/>
    </row>
    <row r="441">
      <c r="ES441" s="627"/>
    </row>
    <row r="442">
      <c r="ES442" s="627"/>
    </row>
    <row r="443">
      <c r="ES443" s="627"/>
    </row>
    <row r="444">
      <c r="ES444" s="627"/>
    </row>
    <row r="445">
      <c r="ES445" s="627"/>
    </row>
    <row r="446">
      <c r="ES446" s="627"/>
    </row>
    <row r="447">
      <c r="ES447" s="627"/>
    </row>
    <row r="448">
      <c r="ES448" s="627"/>
    </row>
    <row r="449">
      <c r="ES449" s="627"/>
    </row>
    <row r="450">
      <c r="ES450" s="627"/>
    </row>
    <row r="451">
      <c r="ES451" s="627"/>
    </row>
    <row r="452">
      <c r="ES452" s="627"/>
    </row>
    <row r="453">
      <c r="ES453" s="627"/>
    </row>
    <row r="454">
      <c r="ES454" s="627"/>
    </row>
    <row r="455">
      <c r="ES455" s="627"/>
    </row>
    <row r="456">
      <c r="ES456" s="627"/>
    </row>
    <row r="457">
      <c r="ES457" s="627"/>
    </row>
    <row r="458">
      <c r="ES458" s="627"/>
    </row>
    <row r="459">
      <c r="ES459" s="627"/>
    </row>
    <row r="460">
      <c r="ES460" s="627"/>
    </row>
    <row r="461">
      <c r="ES461" s="627"/>
    </row>
    <row r="462">
      <c r="ES462" s="627"/>
    </row>
    <row r="463">
      <c r="ES463" s="627"/>
    </row>
    <row r="464">
      <c r="ES464" s="627"/>
    </row>
    <row r="465">
      <c r="ES465" s="627"/>
    </row>
    <row r="466">
      <c r="ES466" s="627"/>
    </row>
    <row r="467">
      <c r="ES467" s="627"/>
    </row>
    <row r="468">
      <c r="ES468" s="627"/>
    </row>
    <row r="469">
      <c r="ES469" s="627"/>
    </row>
    <row r="470">
      <c r="ES470" s="627"/>
    </row>
    <row r="471">
      <c r="ES471" s="627"/>
    </row>
    <row r="472">
      <c r="ES472" s="627"/>
    </row>
    <row r="473">
      <c r="ES473" s="627"/>
    </row>
    <row r="474">
      <c r="ES474" s="627"/>
    </row>
    <row r="475">
      <c r="ES475" s="627"/>
    </row>
    <row r="476">
      <c r="ES476" s="627"/>
    </row>
    <row r="477">
      <c r="ES477" s="627"/>
    </row>
    <row r="478">
      <c r="ES478" s="627"/>
    </row>
    <row r="479">
      <c r="ES479" s="627"/>
    </row>
    <row r="480">
      <c r="ES480" s="627"/>
    </row>
    <row r="481">
      <c r="ES481" s="627"/>
    </row>
    <row r="482">
      <c r="ES482" s="627"/>
    </row>
    <row r="483">
      <c r="ES483" s="627"/>
    </row>
    <row r="484">
      <c r="ES484" s="627"/>
    </row>
    <row r="485">
      <c r="ES485" s="627"/>
    </row>
    <row r="486">
      <c r="ES486" s="627"/>
    </row>
    <row r="487">
      <c r="ES487" s="627"/>
    </row>
    <row r="488">
      <c r="ES488" s="627"/>
    </row>
    <row r="489">
      <c r="ES489" s="627"/>
    </row>
    <row r="490">
      <c r="ES490" s="627"/>
    </row>
    <row r="491">
      <c r="ES491" s="627"/>
    </row>
    <row r="492">
      <c r="ES492" s="627"/>
    </row>
    <row r="493">
      <c r="ES493" s="627"/>
    </row>
    <row r="494">
      <c r="ES494" s="627"/>
    </row>
    <row r="495">
      <c r="ES495" s="627"/>
    </row>
    <row r="496">
      <c r="ES496" s="627"/>
    </row>
    <row r="497">
      <c r="ES497" s="627"/>
    </row>
    <row r="498">
      <c r="ES498" s="627"/>
    </row>
    <row r="499">
      <c r="ES499" s="627"/>
    </row>
    <row r="500">
      <c r="ES500" s="627"/>
    </row>
    <row r="501">
      <c r="ES501" s="627"/>
    </row>
    <row r="502">
      <c r="ES502" s="627"/>
    </row>
    <row r="503">
      <c r="ES503" s="627"/>
    </row>
    <row r="504">
      <c r="ES504" s="627"/>
    </row>
    <row r="505">
      <c r="ES505" s="627"/>
    </row>
    <row r="506">
      <c r="ES506" s="627"/>
    </row>
    <row r="507">
      <c r="ES507" s="627"/>
    </row>
    <row r="508">
      <c r="ES508" s="627"/>
    </row>
    <row r="509">
      <c r="ES509" s="627"/>
    </row>
    <row r="510">
      <c r="ES510" s="627"/>
    </row>
    <row r="511">
      <c r="ES511" s="627"/>
    </row>
    <row r="512">
      <c r="ES512" s="627"/>
    </row>
    <row r="513">
      <c r="ES513" s="627"/>
    </row>
    <row r="514">
      <c r="ES514" s="627"/>
    </row>
    <row r="515">
      <c r="ES515" s="627"/>
    </row>
    <row r="516">
      <c r="ES516" s="627"/>
    </row>
    <row r="517">
      <c r="ES517" s="627"/>
    </row>
    <row r="518">
      <c r="ES518" s="627"/>
    </row>
    <row r="519">
      <c r="ES519" s="627"/>
    </row>
    <row r="520">
      <c r="ES520" s="627"/>
    </row>
    <row r="521">
      <c r="ES521" s="627"/>
    </row>
    <row r="522">
      <c r="ES522" s="627"/>
    </row>
    <row r="523">
      <c r="ES523" s="627"/>
    </row>
    <row r="524">
      <c r="ES524" s="627"/>
    </row>
    <row r="525">
      <c r="ES525" s="627"/>
    </row>
    <row r="526">
      <c r="ES526" s="627"/>
    </row>
    <row r="527">
      <c r="ES527" s="627"/>
    </row>
    <row r="528">
      <c r="ES528" s="627"/>
    </row>
    <row r="529">
      <c r="ES529" s="627"/>
    </row>
    <row r="530">
      <c r="ES530" s="627"/>
    </row>
    <row r="531">
      <c r="ES531" s="627"/>
    </row>
    <row r="532">
      <c r="ES532" s="627"/>
    </row>
    <row r="533">
      <c r="ES533" s="627"/>
    </row>
    <row r="534">
      <c r="ES534" s="627"/>
    </row>
    <row r="535">
      <c r="ES535" s="627"/>
    </row>
    <row r="536">
      <c r="ES536" s="627"/>
    </row>
    <row r="537">
      <c r="ES537" s="627"/>
    </row>
    <row r="538">
      <c r="ES538" s="627"/>
    </row>
    <row r="539">
      <c r="ES539" s="627"/>
    </row>
    <row r="540">
      <c r="ES540" s="627"/>
    </row>
    <row r="541">
      <c r="ES541" s="627"/>
    </row>
    <row r="542">
      <c r="ES542" s="627"/>
    </row>
    <row r="543">
      <c r="ES543" s="627"/>
    </row>
    <row r="544">
      <c r="ES544" s="627"/>
    </row>
    <row r="545">
      <c r="ES545" s="627"/>
    </row>
    <row r="546">
      <c r="ES546" s="627"/>
    </row>
    <row r="547">
      <c r="ES547" s="627"/>
    </row>
    <row r="548">
      <c r="ES548" s="627"/>
    </row>
    <row r="549">
      <c r="ES549" s="627"/>
    </row>
    <row r="550">
      <c r="ES550" s="627"/>
    </row>
    <row r="551">
      <c r="ES551" s="627"/>
    </row>
    <row r="552">
      <c r="ES552" s="627"/>
    </row>
    <row r="553">
      <c r="ES553" s="627"/>
    </row>
    <row r="554">
      <c r="ES554" s="627"/>
    </row>
    <row r="555">
      <c r="ES555" s="627"/>
    </row>
    <row r="556">
      <c r="ES556" s="627"/>
    </row>
    <row r="557">
      <c r="ES557" s="627"/>
    </row>
    <row r="558">
      <c r="ES558" s="627"/>
    </row>
    <row r="559">
      <c r="ES559" s="627"/>
    </row>
    <row r="560">
      <c r="ES560" s="627"/>
    </row>
    <row r="561">
      <c r="ES561" s="627"/>
    </row>
    <row r="562">
      <c r="ES562" s="627"/>
    </row>
    <row r="563">
      <c r="ES563" s="627"/>
    </row>
    <row r="564">
      <c r="ES564" s="627"/>
    </row>
    <row r="565">
      <c r="ES565" s="627"/>
    </row>
    <row r="566">
      <c r="ES566" s="627"/>
    </row>
    <row r="567">
      <c r="ES567" s="627"/>
    </row>
    <row r="568">
      <c r="ES568" s="627"/>
    </row>
    <row r="569">
      <c r="ES569" s="627"/>
    </row>
    <row r="570">
      <c r="ES570" s="627"/>
    </row>
    <row r="571">
      <c r="ES571" s="627"/>
    </row>
    <row r="572">
      <c r="ES572" s="627"/>
    </row>
    <row r="573">
      <c r="ES573" s="627"/>
    </row>
    <row r="574">
      <c r="ES574" s="627"/>
    </row>
    <row r="575">
      <c r="ES575" s="627"/>
    </row>
    <row r="576">
      <c r="ES576" s="627"/>
    </row>
    <row r="577">
      <c r="ES577" s="627"/>
    </row>
    <row r="578">
      <c r="ES578" s="627"/>
    </row>
    <row r="579">
      <c r="ES579" s="627"/>
    </row>
    <row r="580">
      <c r="ES580" s="627"/>
    </row>
    <row r="581">
      <c r="ES581" s="627"/>
    </row>
    <row r="582">
      <c r="ES582" s="627"/>
    </row>
    <row r="583">
      <c r="ES583" s="627"/>
    </row>
    <row r="584">
      <c r="ES584" s="627"/>
    </row>
    <row r="585">
      <c r="ES585" s="627"/>
    </row>
    <row r="586">
      <c r="ES586" s="627"/>
    </row>
    <row r="587">
      <c r="ES587" s="627"/>
    </row>
    <row r="588">
      <c r="ES588" s="627"/>
    </row>
    <row r="589">
      <c r="ES589" s="627"/>
    </row>
    <row r="590">
      <c r="ES590" s="627"/>
    </row>
    <row r="591">
      <c r="ES591" s="627"/>
    </row>
    <row r="592">
      <c r="ES592" s="627"/>
    </row>
    <row r="593">
      <c r="ES593" s="627"/>
    </row>
    <row r="594">
      <c r="ES594" s="627"/>
    </row>
    <row r="595">
      <c r="ES595" s="627"/>
    </row>
    <row r="596">
      <c r="ES596" s="627"/>
    </row>
    <row r="597">
      <c r="ES597" s="627"/>
    </row>
    <row r="598">
      <c r="ES598" s="627"/>
    </row>
    <row r="599">
      <c r="ES599" s="627"/>
    </row>
    <row r="600">
      <c r="ES600" s="627"/>
    </row>
    <row r="601">
      <c r="ES601" s="627"/>
    </row>
    <row r="602">
      <c r="ES602" s="627"/>
    </row>
    <row r="603">
      <c r="ES603" s="627"/>
    </row>
    <row r="604">
      <c r="ES604" s="627"/>
    </row>
    <row r="605">
      <c r="ES605" s="627"/>
    </row>
    <row r="606">
      <c r="ES606" s="627"/>
    </row>
    <row r="607">
      <c r="ES607" s="627"/>
    </row>
    <row r="608">
      <c r="ES608" s="627"/>
    </row>
    <row r="609">
      <c r="ES609" s="627"/>
    </row>
    <row r="610">
      <c r="ES610" s="627"/>
    </row>
    <row r="611">
      <c r="ES611" s="627"/>
    </row>
    <row r="612">
      <c r="ES612" s="627"/>
    </row>
    <row r="613">
      <c r="ES613" s="627"/>
    </row>
    <row r="614">
      <c r="ES614" s="627"/>
    </row>
    <row r="615">
      <c r="ES615" s="627"/>
    </row>
    <row r="616">
      <c r="ES616" s="627"/>
    </row>
    <row r="617">
      <c r="ES617" s="627"/>
    </row>
    <row r="618">
      <c r="ES618" s="627"/>
    </row>
    <row r="619">
      <c r="ES619" s="627"/>
    </row>
    <row r="620">
      <c r="ES620" s="627"/>
    </row>
    <row r="621">
      <c r="ES621" s="627"/>
    </row>
    <row r="622">
      <c r="ES622" s="627"/>
    </row>
    <row r="623">
      <c r="ES623" s="627"/>
    </row>
    <row r="624">
      <c r="ES624" s="627"/>
    </row>
    <row r="625">
      <c r="ES625" s="627"/>
    </row>
    <row r="626">
      <c r="ES626" s="627"/>
    </row>
    <row r="627">
      <c r="ES627" s="627"/>
    </row>
    <row r="628">
      <c r="ES628" s="627"/>
    </row>
    <row r="629">
      <c r="ES629" s="627"/>
    </row>
    <row r="630">
      <c r="ES630" s="627"/>
    </row>
    <row r="631">
      <c r="ES631" s="627"/>
    </row>
    <row r="632">
      <c r="ES632" s="627"/>
    </row>
    <row r="633">
      <c r="ES633" s="627"/>
    </row>
    <row r="634">
      <c r="ES634" s="627"/>
    </row>
    <row r="635">
      <c r="ES635" s="627"/>
    </row>
    <row r="636">
      <c r="ES636" s="627"/>
    </row>
    <row r="637">
      <c r="ES637" s="627"/>
    </row>
    <row r="638">
      <c r="ES638" s="627"/>
    </row>
    <row r="639">
      <c r="ES639" s="627"/>
    </row>
    <row r="640">
      <c r="ES640" s="627"/>
    </row>
    <row r="641">
      <c r="ES641" s="627"/>
    </row>
    <row r="642">
      <c r="ES642" s="627"/>
    </row>
    <row r="643">
      <c r="ES643" s="627"/>
    </row>
    <row r="644">
      <c r="ES644" s="627"/>
    </row>
    <row r="645">
      <c r="ES645" s="627"/>
    </row>
    <row r="646">
      <c r="ES646" s="627"/>
    </row>
    <row r="647">
      <c r="ES647" s="627"/>
    </row>
    <row r="648">
      <c r="ES648" s="627"/>
    </row>
    <row r="649">
      <c r="ES649" s="627"/>
    </row>
    <row r="650">
      <c r="ES650" s="627"/>
    </row>
    <row r="651">
      <c r="ES651" s="627"/>
    </row>
    <row r="652">
      <c r="ES652" s="627"/>
    </row>
    <row r="653">
      <c r="ES653" s="627"/>
    </row>
    <row r="654">
      <c r="ES654" s="627"/>
    </row>
    <row r="655">
      <c r="ES655" s="627"/>
    </row>
    <row r="656">
      <c r="ES656" s="627"/>
    </row>
    <row r="657">
      <c r="ES657" s="627"/>
    </row>
    <row r="658">
      <c r="ES658" s="627"/>
    </row>
    <row r="659">
      <c r="ES659" s="627"/>
    </row>
    <row r="660">
      <c r="ES660" s="627"/>
    </row>
    <row r="661">
      <c r="ES661" s="627"/>
    </row>
    <row r="662">
      <c r="ES662" s="627"/>
    </row>
    <row r="663">
      <c r="ES663" s="627"/>
    </row>
    <row r="664">
      <c r="ES664" s="627"/>
    </row>
    <row r="665">
      <c r="ES665" s="627"/>
    </row>
    <row r="666">
      <c r="ES666" s="627"/>
    </row>
    <row r="667">
      <c r="ES667" s="627"/>
    </row>
    <row r="668">
      <c r="ES668" s="627"/>
    </row>
    <row r="669">
      <c r="ES669" s="627"/>
    </row>
    <row r="670">
      <c r="ES670" s="627"/>
    </row>
    <row r="671">
      <c r="ES671" s="627"/>
    </row>
    <row r="672">
      <c r="ES672" s="627"/>
    </row>
    <row r="673">
      <c r="ES673" s="627"/>
    </row>
    <row r="674">
      <c r="ES674" s="627"/>
    </row>
    <row r="675">
      <c r="ES675" s="627"/>
    </row>
    <row r="676">
      <c r="ES676" s="627"/>
    </row>
    <row r="677">
      <c r="ES677" s="627"/>
    </row>
    <row r="678">
      <c r="ES678" s="627"/>
    </row>
    <row r="679">
      <c r="ES679" s="627"/>
    </row>
    <row r="680">
      <c r="ES680" s="627"/>
    </row>
    <row r="681">
      <c r="ES681" s="627"/>
    </row>
    <row r="682">
      <c r="ES682" s="627"/>
    </row>
    <row r="683">
      <c r="ES683" s="627"/>
    </row>
    <row r="684">
      <c r="ES684" s="627"/>
    </row>
    <row r="685">
      <c r="ES685" s="627"/>
    </row>
    <row r="686">
      <c r="ES686" s="627"/>
    </row>
    <row r="687">
      <c r="ES687" s="627"/>
    </row>
    <row r="688">
      <c r="ES688" s="627"/>
    </row>
    <row r="689">
      <c r="ES689" s="627"/>
    </row>
    <row r="690">
      <c r="ES690" s="627"/>
    </row>
    <row r="691">
      <c r="ES691" s="627"/>
    </row>
    <row r="692">
      <c r="ES692" s="627"/>
    </row>
    <row r="693">
      <c r="ES693" s="627"/>
    </row>
    <row r="694">
      <c r="ES694" s="627"/>
    </row>
    <row r="695">
      <c r="ES695" s="627"/>
    </row>
    <row r="696">
      <c r="ES696" s="627"/>
    </row>
    <row r="697">
      <c r="ES697" s="627"/>
    </row>
    <row r="698">
      <c r="ES698" s="627"/>
    </row>
    <row r="699">
      <c r="ES699" s="627"/>
    </row>
    <row r="700">
      <c r="ES700" s="627"/>
    </row>
    <row r="701">
      <c r="ES701" s="627"/>
    </row>
    <row r="702">
      <c r="ES702" s="627"/>
    </row>
    <row r="703">
      <c r="ES703" s="627"/>
    </row>
    <row r="704">
      <c r="ES704" s="627"/>
    </row>
    <row r="705">
      <c r="ES705" s="627"/>
    </row>
    <row r="706">
      <c r="ES706" s="627"/>
    </row>
    <row r="707">
      <c r="ES707" s="627"/>
    </row>
    <row r="708">
      <c r="ES708" s="627"/>
    </row>
    <row r="709">
      <c r="ES709" s="627"/>
    </row>
    <row r="710">
      <c r="ES710" s="627"/>
    </row>
    <row r="711">
      <c r="ES711" s="627"/>
    </row>
    <row r="712">
      <c r="ES712" s="627"/>
    </row>
    <row r="713">
      <c r="ES713" s="627"/>
    </row>
    <row r="714">
      <c r="ES714" s="627"/>
    </row>
    <row r="715">
      <c r="ES715" s="627"/>
    </row>
    <row r="716">
      <c r="ES716" s="627"/>
    </row>
    <row r="717">
      <c r="ES717" s="627"/>
    </row>
    <row r="718">
      <c r="ES718" s="627"/>
    </row>
    <row r="719">
      <c r="ES719" s="627"/>
    </row>
    <row r="720">
      <c r="ES720" s="627"/>
    </row>
    <row r="721">
      <c r="ES721" s="627"/>
    </row>
    <row r="722">
      <c r="ES722" s="627"/>
    </row>
    <row r="723">
      <c r="ES723" s="627"/>
    </row>
    <row r="724">
      <c r="ES724" s="627"/>
    </row>
    <row r="725">
      <c r="ES725" s="627"/>
    </row>
    <row r="726">
      <c r="ES726" s="627"/>
    </row>
    <row r="727">
      <c r="ES727" s="627"/>
    </row>
    <row r="728">
      <c r="ES728" s="627"/>
    </row>
    <row r="729">
      <c r="ES729" s="627"/>
    </row>
    <row r="730">
      <c r="ES730" s="627"/>
    </row>
    <row r="731">
      <c r="ES731" s="627"/>
    </row>
    <row r="732">
      <c r="ES732" s="627"/>
    </row>
    <row r="733">
      <c r="ES733" s="627"/>
    </row>
    <row r="734">
      <c r="ES734" s="627"/>
    </row>
    <row r="735">
      <c r="ES735" s="627"/>
    </row>
    <row r="736">
      <c r="ES736" s="627"/>
    </row>
    <row r="737">
      <c r="ES737" s="627"/>
    </row>
    <row r="738">
      <c r="ES738" s="627"/>
    </row>
    <row r="739">
      <c r="ES739" s="627"/>
    </row>
    <row r="740">
      <c r="ES740" s="627"/>
    </row>
    <row r="741">
      <c r="ES741" s="627"/>
    </row>
    <row r="742">
      <c r="ES742" s="627"/>
    </row>
    <row r="743">
      <c r="ES743" s="627"/>
    </row>
    <row r="744">
      <c r="ES744" s="627"/>
    </row>
    <row r="745">
      <c r="ES745" s="627"/>
    </row>
    <row r="746">
      <c r="ES746" s="627"/>
    </row>
    <row r="747">
      <c r="ES747" s="627"/>
    </row>
    <row r="748">
      <c r="ES748" s="627"/>
    </row>
    <row r="749">
      <c r="ES749" s="627"/>
    </row>
    <row r="750">
      <c r="ES750" s="627"/>
    </row>
    <row r="751">
      <c r="ES751" s="627"/>
    </row>
    <row r="752">
      <c r="ES752" s="627"/>
    </row>
    <row r="753">
      <c r="ES753" s="627"/>
    </row>
    <row r="754">
      <c r="ES754" s="627"/>
    </row>
    <row r="755">
      <c r="ES755" s="627"/>
    </row>
    <row r="756">
      <c r="ES756" s="627"/>
    </row>
    <row r="757">
      <c r="ES757" s="627"/>
    </row>
    <row r="758">
      <c r="ES758" s="627"/>
    </row>
    <row r="759">
      <c r="ES759" s="627"/>
    </row>
    <row r="760">
      <c r="ES760" s="627"/>
    </row>
    <row r="761">
      <c r="ES761" s="627"/>
    </row>
    <row r="762">
      <c r="ES762" s="627"/>
    </row>
    <row r="763">
      <c r="ES763" s="627"/>
    </row>
    <row r="764">
      <c r="ES764" s="627"/>
    </row>
    <row r="765">
      <c r="ES765" s="627"/>
    </row>
    <row r="766">
      <c r="ES766" s="627"/>
    </row>
    <row r="767">
      <c r="ES767" s="627"/>
    </row>
    <row r="768">
      <c r="ES768" s="627"/>
    </row>
    <row r="769">
      <c r="ES769" s="627"/>
    </row>
    <row r="770">
      <c r="ES770" s="627"/>
    </row>
    <row r="771">
      <c r="ES771" s="627"/>
    </row>
    <row r="772">
      <c r="ES772" s="627"/>
    </row>
    <row r="773">
      <c r="ES773" s="627"/>
    </row>
    <row r="774">
      <c r="ES774" s="627"/>
    </row>
    <row r="775">
      <c r="ES775" s="627"/>
    </row>
    <row r="776">
      <c r="ES776" s="627"/>
    </row>
    <row r="777">
      <c r="ES777" s="627"/>
    </row>
    <row r="778">
      <c r="ES778" s="627"/>
    </row>
    <row r="779">
      <c r="ES779" s="627"/>
    </row>
    <row r="780">
      <c r="ES780" s="627"/>
    </row>
    <row r="781">
      <c r="ES781" s="627"/>
    </row>
    <row r="782">
      <c r="ES782" s="627"/>
    </row>
    <row r="783">
      <c r="ES783" s="627"/>
    </row>
    <row r="784">
      <c r="ES784" s="627"/>
    </row>
    <row r="785">
      <c r="ES785" s="627"/>
    </row>
    <row r="786">
      <c r="ES786" s="627"/>
    </row>
    <row r="787">
      <c r="ES787" s="627"/>
    </row>
    <row r="788">
      <c r="ES788" s="627"/>
    </row>
    <row r="789">
      <c r="ES789" s="627"/>
    </row>
    <row r="790">
      <c r="ES790" s="627"/>
    </row>
    <row r="791">
      <c r="ES791" s="627"/>
    </row>
    <row r="792">
      <c r="ES792" s="627"/>
    </row>
    <row r="793">
      <c r="ES793" s="627"/>
    </row>
    <row r="794">
      <c r="ES794" s="627"/>
    </row>
    <row r="795">
      <c r="ES795" s="627"/>
    </row>
    <row r="796">
      <c r="ES796" s="627"/>
    </row>
    <row r="797">
      <c r="ES797" s="627"/>
    </row>
    <row r="798">
      <c r="ES798" s="627"/>
    </row>
    <row r="799">
      <c r="ES799" s="627"/>
    </row>
    <row r="800">
      <c r="ES800" s="627"/>
    </row>
    <row r="801">
      <c r="ES801" s="627"/>
    </row>
    <row r="802">
      <c r="ES802" s="627"/>
    </row>
    <row r="803">
      <c r="ES803" s="627"/>
    </row>
    <row r="804">
      <c r="ES804" s="627"/>
    </row>
    <row r="805">
      <c r="ES805" s="627"/>
    </row>
    <row r="806">
      <c r="ES806" s="627"/>
    </row>
    <row r="807">
      <c r="ES807" s="627"/>
    </row>
    <row r="808">
      <c r="ES808" s="627"/>
    </row>
    <row r="809">
      <c r="ES809" s="627"/>
    </row>
    <row r="810">
      <c r="ES810" s="627"/>
    </row>
    <row r="811">
      <c r="ES811" s="627"/>
    </row>
    <row r="812">
      <c r="ES812" s="627"/>
    </row>
    <row r="813">
      <c r="ES813" s="627"/>
    </row>
    <row r="814">
      <c r="ES814" s="627"/>
    </row>
    <row r="815">
      <c r="ES815" s="627"/>
    </row>
    <row r="816">
      <c r="ES816" s="627"/>
    </row>
    <row r="817">
      <c r="ES817" s="627"/>
    </row>
    <row r="818">
      <c r="ES818" s="627"/>
    </row>
    <row r="819">
      <c r="ES819" s="627"/>
    </row>
    <row r="820">
      <c r="ES820" s="627"/>
    </row>
    <row r="821">
      <c r="ES821" s="627"/>
    </row>
    <row r="822">
      <c r="ES822" s="627"/>
    </row>
    <row r="823">
      <c r="ES823" s="627"/>
    </row>
    <row r="824">
      <c r="ES824" s="627"/>
    </row>
    <row r="825">
      <c r="ES825" s="627"/>
    </row>
    <row r="826">
      <c r="ES826" s="627"/>
    </row>
    <row r="827">
      <c r="ES827" s="627"/>
    </row>
    <row r="828">
      <c r="ES828" s="627"/>
    </row>
    <row r="829">
      <c r="ES829" s="627"/>
    </row>
    <row r="830">
      <c r="ES830" s="627"/>
    </row>
    <row r="831">
      <c r="ES831" s="627"/>
    </row>
    <row r="832">
      <c r="ES832" s="627"/>
    </row>
    <row r="833">
      <c r="ES833" s="627"/>
    </row>
    <row r="834">
      <c r="ES834" s="627"/>
    </row>
    <row r="835">
      <c r="ES835" s="627"/>
    </row>
    <row r="836">
      <c r="ES836" s="627"/>
    </row>
    <row r="837">
      <c r="ES837" s="627"/>
    </row>
    <row r="838">
      <c r="ES838" s="627"/>
    </row>
    <row r="839">
      <c r="ES839" s="627"/>
    </row>
    <row r="840">
      <c r="ES840" s="627"/>
    </row>
    <row r="841">
      <c r="ES841" s="627"/>
    </row>
    <row r="842">
      <c r="ES842" s="627"/>
    </row>
    <row r="843">
      <c r="ES843" s="627"/>
    </row>
    <row r="844">
      <c r="ES844" s="627"/>
    </row>
    <row r="845">
      <c r="ES845" s="627"/>
    </row>
    <row r="846">
      <c r="ES846" s="627"/>
    </row>
    <row r="847">
      <c r="ES847" s="627"/>
    </row>
    <row r="848">
      <c r="ES848" s="627"/>
    </row>
    <row r="849">
      <c r="ES849" s="627"/>
    </row>
    <row r="850">
      <c r="ES850" s="627"/>
    </row>
    <row r="851">
      <c r="ES851" s="627"/>
    </row>
    <row r="852">
      <c r="ES852" s="627"/>
    </row>
    <row r="853">
      <c r="ES853" s="627"/>
    </row>
    <row r="854">
      <c r="ES854" s="627"/>
    </row>
    <row r="855">
      <c r="ES855" s="627"/>
    </row>
    <row r="856">
      <c r="ES856" s="627"/>
    </row>
    <row r="857">
      <c r="ES857" s="627"/>
    </row>
    <row r="858">
      <c r="ES858" s="627"/>
    </row>
    <row r="859">
      <c r="ES859" s="627"/>
    </row>
    <row r="860">
      <c r="ES860" s="627"/>
    </row>
    <row r="861">
      <c r="ES861" s="627"/>
    </row>
    <row r="862">
      <c r="ES862" s="627"/>
    </row>
    <row r="863">
      <c r="ES863" s="627"/>
    </row>
    <row r="864">
      <c r="ES864" s="627"/>
    </row>
    <row r="865">
      <c r="ES865" s="627"/>
    </row>
    <row r="866">
      <c r="ES866" s="627"/>
    </row>
    <row r="867">
      <c r="ES867" s="627"/>
    </row>
    <row r="868">
      <c r="ES868" s="627"/>
    </row>
    <row r="869">
      <c r="ES869" s="627"/>
    </row>
    <row r="870">
      <c r="ES870" s="627"/>
    </row>
    <row r="871">
      <c r="ES871" s="627"/>
    </row>
    <row r="872">
      <c r="ES872" s="627"/>
    </row>
    <row r="873">
      <c r="ES873" s="627"/>
    </row>
    <row r="874">
      <c r="ES874" s="627"/>
    </row>
    <row r="875">
      <c r="ES875" s="627"/>
    </row>
    <row r="876">
      <c r="ES876" s="627"/>
    </row>
    <row r="877">
      <c r="ES877" s="627"/>
    </row>
    <row r="878">
      <c r="ES878" s="627"/>
    </row>
    <row r="879">
      <c r="ES879" s="627"/>
    </row>
    <row r="880">
      <c r="ES880" s="627"/>
    </row>
    <row r="881">
      <c r="ES881" s="627"/>
    </row>
    <row r="882">
      <c r="ES882" s="627"/>
    </row>
    <row r="883">
      <c r="ES883" s="627"/>
    </row>
    <row r="884">
      <c r="ES884" s="627"/>
    </row>
    <row r="885">
      <c r="ES885" s="627"/>
    </row>
    <row r="886">
      <c r="ES886" s="627"/>
    </row>
    <row r="887">
      <c r="ES887" s="627"/>
    </row>
    <row r="888">
      <c r="ES888" s="627"/>
    </row>
    <row r="889">
      <c r="ES889" s="627"/>
    </row>
    <row r="890">
      <c r="ES890" s="627"/>
    </row>
    <row r="891">
      <c r="ES891" s="627"/>
    </row>
    <row r="892">
      <c r="ES892" s="627"/>
    </row>
    <row r="893">
      <c r="ES893" s="627"/>
    </row>
    <row r="894">
      <c r="ES894" s="627"/>
    </row>
    <row r="895">
      <c r="ES895" s="627"/>
    </row>
    <row r="896">
      <c r="ES896" s="627"/>
    </row>
    <row r="897">
      <c r="ES897" s="627"/>
    </row>
    <row r="898">
      <c r="ES898" s="627"/>
    </row>
    <row r="899">
      <c r="ES899" s="627"/>
    </row>
    <row r="900">
      <c r="ES900" s="627"/>
    </row>
    <row r="901">
      <c r="ES901" s="627"/>
    </row>
    <row r="902">
      <c r="ES902" s="627"/>
    </row>
    <row r="903">
      <c r="ES903" s="627"/>
    </row>
    <row r="904">
      <c r="ES904" s="627"/>
    </row>
    <row r="905">
      <c r="ES905" s="627"/>
    </row>
    <row r="906">
      <c r="ES906" s="627"/>
    </row>
    <row r="907">
      <c r="ES907" s="627"/>
    </row>
    <row r="908">
      <c r="ES908" s="627"/>
    </row>
    <row r="909">
      <c r="ES909" s="627"/>
    </row>
    <row r="910">
      <c r="ES910" s="627"/>
    </row>
    <row r="911">
      <c r="ES911" s="627"/>
    </row>
    <row r="912">
      <c r="ES912" s="627"/>
    </row>
    <row r="913">
      <c r="ES913" s="627"/>
    </row>
    <row r="914">
      <c r="ES914" s="627"/>
    </row>
    <row r="915">
      <c r="ES915" s="627"/>
    </row>
    <row r="916">
      <c r="ES916" s="627"/>
    </row>
    <row r="917">
      <c r="ES917" s="627"/>
    </row>
    <row r="918">
      <c r="ES918" s="627"/>
    </row>
    <row r="919">
      <c r="ES919" s="627"/>
    </row>
    <row r="920">
      <c r="ES920" s="627"/>
    </row>
    <row r="921">
      <c r="ES921" s="627"/>
    </row>
    <row r="922">
      <c r="ES922" s="627"/>
    </row>
    <row r="923">
      <c r="ES923" s="627"/>
    </row>
    <row r="924">
      <c r="ES924" s="627"/>
    </row>
    <row r="925">
      <c r="ES925" s="627"/>
    </row>
    <row r="926">
      <c r="ES926" s="627"/>
    </row>
    <row r="927">
      <c r="ES927" s="627"/>
    </row>
    <row r="928">
      <c r="ES928" s="627"/>
    </row>
    <row r="929">
      <c r="ES929" s="627"/>
    </row>
    <row r="930">
      <c r="ES930" s="627"/>
    </row>
    <row r="931">
      <c r="ES931" s="627"/>
    </row>
    <row r="932">
      <c r="ES932" s="627"/>
    </row>
    <row r="933">
      <c r="ES933" s="627"/>
    </row>
    <row r="934">
      <c r="ES934" s="627"/>
    </row>
    <row r="935">
      <c r="ES935" s="627"/>
    </row>
    <row r="936">
      <c r="ES936" s="627"/>
    </row>
    <row r="937">
      <c r="ES937" s="627"/>
    </row>
    <row r="938">
      <c r="ES938" s="627"/>
    </row>
    <row r="939">
      <c r="ES939" s="627"/>
    </row>
    <row r="940">
      <c r="ES940" s="627"/>
    </row>
    <row r="941">
      <c r="ES941" s="627"/>
    </row>
    <row r="942">
      <c r="ES942" s="627"/>
    </row>
    <row r="943">
      <c r="ES943" s="627"/>
    </row>
    <row r="944">
      <c r="ES944" s="627"/>
    </row>
    <row r="945">
      <c r="ES945" s="627"/>
    </row>
    <row r="946">
      <c r="ES946" s="627"/>
    </row>
    <row r="947">
      <c r="ES947" s="627"/>
    </row>
    <row r="948">
      <c r="ES948" s="627"/>
    </row>
    <row r="949">
      <c r="ES949" s="627"/>
    </row>
    <row r="950">
      <c r="ES950" s="627"/>
    </row>
    <row r="951">
      <c r="ES951" s="627"/>
    </row>
    <row r="952">
      <c r="ES952" s="627"/>
    </row>
    <row r="953">
      <c r="ES953" s="627"/>
    </row>
    <row r="954">
      <c r="ES954" s="627"/>
    </row>
    <row r="955">
      <c r="ES955" s="627"/>
    </row>
    <row r="956">
      <c r="ES956" s="627"/>
    </row>
    <row r="957">
      <c r="ES957" s="627"/>
    </row>
    <row r="958">
      <c r="ES958" s="627"/>
    </row>
    <row r="959">
      <c r="ES959" s="627"/>
    </row>
    <row r="960">
      <c r="ES960" s="627"/>
    </row>
    <row r="961">
      <c r="ES961" s="627"/>
    </row>
    <row r="962">
      <c r="ES962" s="627"/>
    </row>
    <row r="963">
      <c r="ES963" s="627"/>
    </row>
    <row r="964">
      <c r="ES964" s="627"/>
    </row>
    <row r="965">
      <c r="ES965" s="627"/>
    </row>
    <row r="966">
      <c r="ES966" s="627"/>
    </row>
    <row r="967">
      <c r="ES967" s="627"/>
    </row>
    <row r="968">
      <c r="ES968" s="627"/>
    </row>
    <row r="969">
      <c r="ES969" s="627"/>
    </row>
    <row r="970">
      <c r="ES970" s="627"/>
    </row>
    <row r="971">
      <c r="ES971" s="627"/>
    </row>
    <row r="972">
      <c r="ES972" s="627"/>
    </row>
    <row r="973">
      <c r="ES973" s="627"/>
    </row>
    <row r="974">
      <c r="ES974" s="627"/>
    </row>
    <row r="975">
      <c r="ES975" s="627"/>
    </row>
    <row r="976">
      <c r="ES976" s="627"/>
    </row>
    <row r="977">
      <c r="ES977" s="627"/>
    </row>
    <row r="978">
      <c r="ES978" s="627"/>
    </row>
    <row r="979">
      <c r="ES979" s="627"/>
    </row>
    <row r="980">
      <c r="ES980" s="627"/>
    </row>
    <row r="981">
      <c r="ES981" s="627"/>
    </row>
    <row r="982">
      <c r="ES982" s="627"/>
    </row>
    <row r="983">
      <c r="ES983" s="627"/>
    </row>
    <row r="984">
      <c r="ES984" s="627"/>
    </row>
    <row r="985">
      <c r="ES985" s="627"/>
    </row>
    <row r="986">
      <c r="ES986" s="627"/>
    </row>
    <row r="987">
      <c r="ES987" s="627"/>
    </row>
    <row r="988">
      <c r="ES988" s="627"/>
    </row>
    <row r="989">
      <c r="ES989" s="627"/>
    </row>
    <row r="990">
      <c r="ES990" s="627"/>
    </row>
    <row r="991">
      <c r="ES991" s="627"/>
    </row>
    <row r="992">
      <c r="ES992" s="627"/>
    </row>
    <row r="993">
      <c r="ES993" s="627"/>
    </row>
    <row r="994">
      <c r="ES994" s="627"/>
    </row>
    <row r="995">
      <c r="ES995" s="627"/>
    </row>
    <row r="996">
      <c r="ES996" s="627"/>
    </row>
    <row r="997">
      <c r="ES997" s="627"/>
    </row>
    <row r="998">
      <c r="ES998" s="627"/>
    </row>
    <row r="999">
      <c r="ES999" s="627"/>
    </row>
    <row r="1000">
      <c r="ES1000" s="627"/>
    </row>
  </sheetData>
  <autoFilter ref="$A$7:$FA$327"/>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7.0" topLeftCell="H8" activePane="bottomRight" state="frozen"/>
      <selection activeCell="H1" sqref="H1" pane="topRight"/>
      <selection activeCell="A8" sqref="A8" pane="bottomLeft"/>
      <selection activeCell="H8" sqref="H8" pane="bottomRight"/>
    </sheetView>
  </sheetViews>
  <sheetFormatPr customHeight="1" defaultColWidth="12.63" defaultRowHeight="15.75" outlineLevelCol="1"/>
  <cols>
    <col collapsed="1" min="76" max="76" width="12.63"/>
    <col hidden="1" min="77" max="83" width="12.63" outlineLevel="1"/>
    <col collapsed="1" min="84" max="84" width="12.63"/>
    <col hidden="1" min="85" max="147" width="12.63" outlineLevel="1"/>
  </cols>
  <sheetData>
    <row r="2">
      <c r="A2" s="628">
        <v>1.0</v>
      </c>
      <c r="B2" s="628">
        <v>2.0</v>
      </c>
      <c r="C2" s="628">
        <v>3.0</v>
      </c>
      <c r="D2" s="628">
        <v>4.0</v>
      </c>
      <c r="E2" s="628">
        <v>5.0</v>
      </c>
      <c r="F2" s="628">
        <v>6.0</v>
      </c>
      <c r="G2" s="628">
        <v>7.0</v>
      </c>
      <c r="H2" s="628">
        <v>8.0</v>
      </c>
      <c r="I2" s="628">
        <v>9.0</v>
      </c>
      <c r="J2" s="628">
        <v>10.0</v>
      </c>
      <c r="K2" s="628">
        <v>11.0</v>
      </c>
      <c r="L2" s="628">
        <v>12.0</v>
      </c>
      <c r="M2" s="628">
        <v>13.0</v>
      </c>
      <c r="N2" s="628">
        <v>14.0</v>
      </c>
      <c r="O2" s="628">
        <v>15.0</v>
      </c>
      <c r="P2" s="628">
        <v>16.0</v>
      </c>
      <c r="Q2" s="628">
        <v>17.0</v>
      </c>
      <c r="R2" s="628">
        <v>18.0</v>
      </c>
      <c r="S2" s="628">
        <v>19.0</v>
      </c>
      <c r="T2" s="628">
        <v>20.0</v>
      </c>
      <c r="U2" s="628">
        <v>21.0</v>
      </c>
      <c r="V2" s="628">
        <v>22.0</v>
      </c>
      <c r="W2" s="628">
        <v>23.0</v>
      </c>
      <c r="X2" s="628">
        <v>24.0</v>
      </c>
      <c r="Y2" s="628">
        <v>25.0</v>
      </c>
      <c r="Z2" s="628">
        <v>26.0</v>
      </c>
      <c r="AA2" s="628">
        <v>27.0</v>
      </c>
      <c r="AB2" s="628">
        <v>28.0</v>
      </c>
      <c r="AC2" s="628">
        <v>29.0</v>
      </c>
      <c r="AD2" s="628">
        <v>30.0</v>
      </c>
      <c r="AE2" s="628">
        <v>31.0</v>
      </c>
      <c r="AF2" s="628">
        <v>32.0</v>
      </c>
      <c r="AG2" s="628">
        <v>33.0</v>
      </c>
      <c r="AH2" s="628">
        <v>34.0</v>
      </c>
      <c r="AI2" s="628">
        <v>35.0</v>
      </c>
      <c r="AJ2" s="628">
        <v>36.0</v>
      </c>
      <c r="AK2" s="628">
        <v>37.0</v>
      </c>
      <c r="AL2" s="628">
        <v>38.0</v>
      </c>
      <c r="AM2" s="628">
        <v>39.0</v>
      </c>
      <c r="AN2" s="628">
        <v>40.0</v>
      </c>
      <c r="AO2" s="628">
        <v>41.0</v>
      </c>
      <c r="AP2" s="628">
        <v>42.0</v>
      </c>
      <c r="AQ2" s="628">
        <v>43.0</v>
      </c>
      <c r="AR2" s="628">
        <v>44.0</v>
      </c>
      <c r="AS2" s="628">
        <v>45.0</v>
      </c>
      <c r="AT2" s="628">
        <v>46.0</v>
      </c>
      <c r="AU2" s="628">
        <v>47.0</v>
      </c>
      <c r="AV2" s="628">
        <v>48.0</v>
      </c>
      <c r="AW2" s="628">
        <v>49.0</v>
      </c>
      <c r="AX2" s="628">
        <v>50.0</v>
      </c>
      <c r="AY2" s="628">
        <v>51.0</v>
      </c>
      <c r="AZ2" s="628">
        <v>52.0</v>
      </c>
      <c r="BA2" s="628">
        <v>53.0</v>
      </c>
      <c r="BB2" s="628">
        <v>54.0</v>
      </c>
      <c r="BC2" s="628">
        <v>55.0</v>
      </c>
      <c r="BD2" s="628">
        <v>56.0</v>
      </c>
      <c r="BE2" s="628">
        <v>57.0</v>
      </c>
      <c r="BF2" s="628">
        <v>58.0</v>
      </c>
      <c r="BG2" s="628">
        <v>59.0</v>
      </c>
      <c r="BH2" s="628">
        <v>60.0</v>
      </c>
      <c r="BI2" s="628">
        <v>61.0</v>
      </c>
      <c r="BJ2" s="628">
        <v>62.0</v>
      </c>
      <c r="BK2" s="628">
        <v>63.0</v>
      </c>
      <c r="BL2" s="628">
        <v>64.0</v>
      </c>
      <c r="BM2" s="628">
        <v>65.0</v>
      </c>
      <c r="BN2" s="628">
        <v>66.0</v>
      </c>
      <c r="BO2" s="628">
        <v>67.0</v>
      </c>
      <c r="BP2" s="628">
        <v>68.0</v>
      </c>
      <c r="BQ2" s="628">
        <v>69.0</v>
      </c>
      <c r="BR2" s="628">
        <v>70.0</v>
      </c>
      <c r="BS2" s="628">
        <v>71.0</v>
      </c>
      <c r="BT2" s="628">
        <v>72.0</v>
      </c>
      <c r="BU2" s="628">
        <v>73.0</v>
      </c>
      <c r="BV2" s="628">
        <v>74.0</v>
      </c>
      <c r="BW2" s="628">
        <v>75.0</v>
      </c>
      <c r="BX2" s="628">
        <v>76.0</v>
      </c>
      <c r="BY2" s="628">
        <v>77.0</v>
      </c>
      <c r="BZ2" s="628">
        <v>78.0</v>
      </c>
      <c r="CA2" s="628">
        <v>79.0</v>
      </c>
      <c r="CB2" s="628">
        <v>80.0</v>
      </c>
      <c r="CC2" s="628">
        <v>81.0</v>
      </c>
      <c r="CD2" s="628">
        <v>82.0</v>
      </c>
      <c r="CE2" s="628">
        <v>83.0</v>
      </c>
      <c r="CF2" s="628">
        <v>84.0</v>
      </c>
      <c r="CG2" s="628">
        <v>85.0</v>
      </c>
      <c r="CH2" s="628">
        <v>86.0</v>
      </c>
      <c r="CI2" s="628">
        <v>87.0</v>
      </c>
      <c r="CJ2" s="628">
        <v>88.0</v>
      </c>
      <c r="CK2" s="628">
        <v>89.0</v>
      </c>
      <c r="CL2" s="628">
        <v>90.0</v>
      </c>
      <c r="CM2" s="628">
        <v>91.0</v>
      </c>
      <c r="CN2" s="628">
        <v>92.0</v>
      </c>
      <c r="CO2" s="628">
        <v>93.0</v>
      </c>
      <c r="CP2" s="628">
        <v>94.0</v>
      </c>
      <c r="CQ2" s="628">
        <v>95.0</v>
      </c>
      <c r="CR2" s="628">
        <v>96.0</v>
      </c>
      <c r="CS2" s="628">
        <v>97.0</v>
      </c>
      <c r="CT2" s="628">
        <v>98.0</v>
      </c>
      <c r="CU2" s="628">
        <v>99.0</v>
      </c>
      <c r="CV2" s="628">
        <v>100.0</v>
      </c>
      <c r="CW2" s="628">
        <v>101.0</v>
      </c>
      <c r="CX2" s="628">
        <v>102.0</v>
      </c>
      <c r="CY2" s="628">
        <v>103.0</v>
      </c>
      <c r="CZ2" s="628">
        <v>104.0</v>
      </c>
      <c r="DA2" s="628">
        <v>105.0</v>
      </c>
      <c r="DB2" s="628">
        <v>106.0</v>
      </c>
      <c r="DC2" s="628">
        <v>107.0</v>
      </c>
      <c r="DD2" s="628">
        <v>108.0</v>
      </c>
      <c r="DE2" s="628">
        <v>109.0</v>
      </c>
      <c r="DF2" s="628">
        <v>110.0</v>
      </c>
      <c r="DG2" s="628">
        <v>111.0</v>
      </c>
      <c r="DH2" s="628">
        <v>112.0</v>
      </c>
      <c r="DI2" s="628">
        <v>113.0</v>
      </c>
      <c r="DJ2" s="628">
        <v>114.0</v>
      </c>
      <c r="DK2" s="628">
        <v>115.0</v>
      </c>
      <c r="DL2" s="628">
        <v>116.0</v>
      </c>
      <c r="DM2" s="628">
        <v>117.0</v>
      </c>
      <c r="DN2" s="628">
        <v>118.0</v>
      </c>
      <c r="DO2" s="628">
        <v>119.0</v>
      </c>
      <c r="DP2" s="628">
        <v>120.0</v>
      </c>
      <c r="DQ2" s="628">
        <v>121.0</v>
      </c>
      <c r="DR2" s="628">
        <v>122.0</v>
      </c>
      <c r="DS2" s="628">
        <v>123.0</v>
      </c>
      <c r="DT2" s="628">
        <v>124.0</v>
      </c>
      <c r="DU2" s="628">
        <v>125.0</v>
      </c>
      <c r="DV2" s="628">
        <v>126.0</v>
      </c>
      <c r="DW2" s="628">
        <v>127.0</v>
      </c>
      <c r="DX2" s="628">
        <v>128.0</v>
      </c>
      <c r="DY2" s="628">
        <v>129.0</v>
      </c>
      <c r="DZ2" s="628">
        <v>130.0</v>
      </c>
      <c r="EA2" s="628">
        <v>131.0</v>
      </c>
      <c r="EB2" s="628">
        <v>132.0</v>
      </c>
      <c r="EC2" s="628">
        <v>133.0</v>
      </c>
      <c r="ED2" s="628">
        <v>134.0</v>
      </c>
      <c r="EE2" s="628">
        <v>135.0</v>
      </c>
      <c r="EF2" s="628">
        <v>136.0</v>
      </c>
      <c r="EG2" s="628">
        <v>137.0</v>
      </c>
      <c r="EH2" s="628">
        <v>138.0</v>
      </c>
      <c r="EI2" s="628">
        <v>139.0</v>
      </c>
      <c r="EJ2" s="628">
        <v>140.0</v>
      </c>
      <c r="EK2" s="628">
        <v>141.0</v>
      </c>
      <c r="EL2" s="628">
        <v>142.0</v>
      </c>
      <c r="EM2" s="628">
        <v>143.0</v>
      </c>
      <c r="EN2" s="628">
        <v>144.0</v>
      </c>
      <c r="EO2" s="628">
        <v>145.0</v>
      </c>
      <c r="EP2" s="628">
        <v>146.0</v>
      </c>
      <c r="EQ2" s="628">
        <v>147.0</v>
      </c>
      <c r="ER2" s="628">
        <v>148.0</v>
      </c>
      <c r="ES2" s="628">
        <v>149.0</v>
      </c>
    </row>
    <row r="4">
      <c r="A4" s="516" t="str">
        <f>IFERROR(__xludf.DUMMYFUNCTION("importrange(""https://docs.google.com/spreadsheets/d/1d21IsXdWbUjO2z7Y1PEw8bmbTqq6V8fe_5fnQ4VqjJk/edit?resourcekey=0-RgBTiowB7KN1PYNNASu-kQ&amp;gid=93886256#gid=93886256"",""[POR] FL5 MPS 06.20.25!A1:EQ400"")"),"#REF!")</f>
        <v>#REF!</v>
      </c>
    </row>
    <row r="7">
      <c r="A7" s="536"/>
      <c r="B7" s="536"/>
      <c r="C7" s="536"/>
      <c r="D7" s="536"/>
      <c r="E7" s="536"/>
      <c r="F7" s="536"/>
      <c r="G7" s="536"/>
      <c r="H7" s="536"/>
      <c r="I7" s="536"/>
      <c r="J7" s="536"/>
      <c r="K7" s="536"/>
      <c r="L7" s="536"/>
      <c r="M7" s="536"/>
      <c r="N7" s="536"/>
      <c r="O7" s="536"/>
      <c r="P7" s="536"/>
      <c r="Q7" s="536"/>
      <c r="R7" s="536"/>
      <c r="S7" s="536"/>
      <c r="T7" s="536"/>
      <c r="U7" s="536"/>
      <c r="V7" s="536"/>
      <c r="W7" s="536"/>
      <c r="X7" s="536"/>
      <c r="Y7" s="536"/>
      <c r="Z7" s="536"/>
      <c r="AA7" s="536"/>
      <c r="AB7" s="536"/>
      <c r="AC7" s="536"/>
      <c r="AD7" s="536"/>
      <c r="AE7" s="536"/>
      <c r="AF7" s="536"/>
      <c r="AG7" s="536"/>
      <c r="AH7" s="536"/>
      <c r="AI7" s="536"/>
      <c r="AJ7" s="536"/>
      <c r="AK7" s="536"/>
      <c r="AL7" s="536"/>
      <c r="AM7" s="536"/>
      <c r="AN7" s="536"/>
      <c r="AO7" s="536"/>
      <c r="AP7" s="536"/>
      <c r="AQ7" s="536"/>
      <c r="AR7" s="536"/>
      <c r="AS7" s="536"/>
      <c r="AT7" s="536"/>
      <c r="AU7" s="536"/>
      <c r="AV7" s="536"/>
      <c r="AW7" s="536"/>
      <c r="AX7" s="536"/>
      <c r="AY7" s="536"/>
      <c r="AZ7" s="536"/>
      <c r="BA7" s="536"/>
      <c r="BB7" s="536"/>
      <c r="BC7" s="536"/>
      <c r="BD7" s="536"/>
      <c r="BE7" s="536"/>
      <c r="BF7" s="536"/>
      <c r="BG7" s="536"/>
      <c r="BH7" s="536"/>
      <c r="BI7" s="536"/>
      <c r="BJ7" s="536"/>
      <c r="BK7" s="536"/>
      <c r="BL7" s="536"/>
      <c r="BM7" s="536"/>
      <c r="BN7" s="536"/>
      <c r="BO7" s="536"/>
      <c r="BP7" s="536"/>
      <c r="BQ7" s="536"/>
      <c r="BR7" s="536"/>
      <c r="BS7" s="536"/>
      <c r="BT7" s="536"/>
      <c r="BU7" s="536"/>
      <c r="BV7" s="536"/>
      <c r="BW7" s="536"/>
      <c r="BX7" s="536"/>
      <c r="BY7" s="536"/>
      <c r="BZ7" s="536"/>
      <c r="CA7" s="536"/>
      <c r="CB7" s="536"/>
      <c r="CC7" s="536"/>
      <c r="CD7" s="536"/>
      <c r="CE7" s="536"/>
      <c r="CF7" s="536"/>
      <c r="CG7" s="536"/>
      <c r="CH7" s="536"/>
      <c r="CI7" s="536"/>
      <c r="CJ7" s="536"/>
      <c r="CK7" s="536"/>
      <c r="CL7" s="536"/>
      <c r="CM7" s="536"/>
      <c r="CN7" s="536"/>
      <c r="CO7" s="536"/>
      <c r="CP7" s="536"/>
      <c r="CQ7" s="536"/>
      <c r="CR7" s="536"/>
      <c r="CS7" s="536"/>
      <c r="CT7" s="536"/>
      <c r="CU7" s="536"/>
      <c r="CV7" s="536"/>
      <c r="CW7" s="536"/>
      <c r="CX7" s="536"/>
      <c r="CY7" s="536"/>
      <c r="CZ7" s="536"/>
      <c r="DA7" s="536"/>
      <c r="DB7" s="536"/>
      <c r="DC7" s="536"/>
      <c r="DD7" s="536"/>
      <c r="DE7" s="536"/>
      <c r="DF7" s="536"/>
      <c r="DG7" s="536"/>
      <c r="DH7" s="536"/>
      <c r="DI7" s="536"/>
      <c r="DJ7" s="536"/>
      <c r="DK7" s="536"/>
      <c r="DL7" s="536"/>
      <c r="DM7" s="536"/>
      <c r="DN7" s="536"/>
      <c r="DO7" s="536"/>
      <c r="DP7" s="536"/>
      <c r="DQ7" s="536"/>
      <c r="DR7" s="536"/>
      <c r="DS7" s="536"/>
      <c r="DT7" s="536"/>
      <c r="DU7" s="536"/>
      <c r="DV7" s="536"/>
      <c r="DW7" s="536"/>
      <c r="DX7" s="536"/>
      <c r="DY7" s="536"/>
      <c r="DZ7" s="536"/>
      <c r="EA7" s="536"/>
      <c r="EB7" s="536"/>
      <c r="EC7" s="536"/>
      <c r="ED7" s="536"/>
      <c r="EE7" s="536"/>
      <c r="EF7" s="536"/>
      <c r="EG7" s="536"/>
      <c r="EH7" s="536"/>
      <c r="EI7" s="536"/>
      <c r="EJ7" s="536"/>
      <c r="EK7" s="536"/>
      <c r="EL7" s="536"/>
      <c r="EM7" s="536"/>
      <c r="EN7" s="536"/>
      <c r="EO7" s="536"/>
      <c r="EP7" s="536"/>
      <c r="EQ7" s="536"/>
      <c r="ER7" s="536"/>
      <c r="ES7" s="639" t="s">
        <v>2014</v>
      </c>
      <c r="EU7" s="536"/>
      <c r="EV7" s="536"/>
      <c r="EW7" s="536"/>
      <c r="EX7" s="536"/>
      <c r="EY7" s="536"/>
      <c r="EZ7" s="536"/>
      <c r="FA7" s="536"/>
    </row>
    <row r="8" hidden="1">
      <c r="ES8" s="627" t="str">
        <f t="shared" ref="ES8:ES330" si="1">IF(isblank(F8),"",iferror(index($J$7:$BW$7,1,match(true,J8:BW8&gt;0,0)),"No Demand"))</f>
        <v/>
      </c>
    </row>
    <row r="9" hidden="1">
      <c r="ES9" s="627" t="str">
        <f t="shared" si="1"/>
        <v/>
      </c>
    </row>
    <row r="10" hidden="1">
      <c r="ES10" s="627" t="str">
        <f t="shared" si="1"/>
        <v/>
      </c>
    </row>
    <row r="11" hidden="1">
      <c r="ES11" s="627" t="str">
        <f t="shared" si="1"/>
        <v/>
      </c>
    </row>
    <row r="12" hidden="1">
      <c r="ES12" s="627" t="str">
        <f t="shared" si="1"/>
        <v/>
      </c>
    </row>
    <row r="13" hidden="1">
      <c r="ES13" s="627" t="str">
        <f t="shared" si="1"/>
        <v/>
      </c>
    </row>
    <row r="14" hidden="1">
      <c r="ES14" s="627" t="str">
        <f t="shared" si="1"/>
        <v/>
      </c>
    </row>
    <row r="15" hidden="1">
      <c r="ES15" s="627" t="str">
        <f t="shared" si="1"/>
        <v/>
      </c>
    </row>
    <row r="16" hidden="1">
      <c r="ES16" s="627" t="str">
        <f t="shared" si="1"/>
        <v/>
      </c>
    </row>
    <row r="17" hidden="1">
      <c r="ES17" s="627" t="str">
        <f t="shared" si="1"/>
        <v/>
      </c>
    </row>
    <row r="18" hidden="1">
      <c r="ES18" s="627" t="str">
        <f t="shared" si="1"/>
        <v/>
      </c>
    </row>
    <row r="19" hidden="1">
      <c r="ES19" s="627" t="str">
        <f t="shared" si="1"/>
        <v/>
      </c>
    </row>
    <row r="20" hidden="1">
      <c r="ES20" s="627" t="str">
        <f t="shared" si="1"/>
        <v/>
      </c>
    </row>
    <row r="21" hidden="1">
      <c r="ES21" s="627" t="str">
        <f t="shared" si="1"/>
        <v/>
      </c>
    </row>
    <row r="22" hidden="1">
      <c r="ES22" s="627" t="str">
        <f t="shared" si="1"/>
        <v/>
      </c>
    </row>
    <row r="23" hidden="1">
      <c r="ES23" s="627" t="str">
        <f t="shared" si="1"/>
        <v/>
      </c>
    </row>
    <row r="24" hidden="1">
      <c r="ES24" s="627" t="str">
        <f t="shared" si="1"/>
        <v/>
      </c>
    </row>
    <row r="25" hidden="1">
      <c r="ES25" s="627" t="str">
        <f t="shared" si="1"/>
        <v/>
      </c>
    </row>
    <row r="26" hidden="1">
      <c r="ES26" s="627" t="str">
        <f t="shared" si="1"/>
        <v/>
      </c>
    </row>
    <row r="27" hidden="1">
      <c r="ES27" s="627" t="str">
        <f t="shared" si="1"/>
        <v/>
      </c>
    </row>
    <row r="28" hidden="1">
      <c r="ES28" s="627" t="str">
        <f t="shared" si="1"/>
        <v/>
      </c>
    </row>
    <row r="29" hidden="1">
      <c r="ES29" s="627" t="str">
        <f t="shared" si="1"/>
        <v/>
      </c>
    </row>
    <row r="30" hidden="1">
      <c r="ES30" s="627" t="str">
        <f t="shared" si="1"/>
        <v/>
      </c>
    </row>
    <row r="31" hidden="1">
      <c r="ES31" s="627" t="str">
        <f t="shared" si="1"/>
        <v/>
      </c>
    </row>
    <row r="32" hidden="1">
      <c r="ES32" s="627" t="str">
        <f t="shared" si="1"/>
        <v/>
      </c>
    </row>
    <row r="33" hidden="1">
      <c r="ES33" s="627" t="str">
        <f t="shared" si="1"/>
        <v/>
      </c>
    </row>
    <row r="34" hidden="1">
      <c r="ES34" s="627" t="str">
        <f t="shared" si="1"/>
        <v/>
      </c>
    </row>
    <row r="35" hidden="1">
      <c r="ES35" s="627" t="str">
        <f t="shared" si="1"/>
        <v/>
      </c>
    </row>
    <row r="36" hidden="1">
      <c r="ES36" s="627" t="str">
        <f t="shared" si="1"/>
        <v/>
      </c>
    </row>
    <row r="37" hidden="1">
      <c r="ES37" s="627" t="str">
        <f t="shared" si="1"/>
        <v/>
      </c>
    </row>
    <row r="38" hidden="1">
      <c r="ES38" s="627" t="str">
        <f t="shared" si="1"/>
        <v/>
      </c>
    </row>
    <row r="39" hidden="1">
      <c r="ES39" s="627" t="str">
        <f t="shared" si="1"/>
        <v/>
      </c>
    </row>
    <row r="40" hidden="1">
      <c r="ES40" s="627" t="str">
        <f t="shared" si="1"/>
        <v/>
      </c>
    </row>
    <row r="41" hidden="1">
      <c r="ES41" s="627" t="str">
        <f t="shared" si="1"/>
        <v/>
      </c>
    </row>
    <row r="42" hidden="1">
      <c r="ES42" s="627" t="str">
        <f t="shared" si="1"/>
        <v/>
      </c>
    </row>
    <row r="43" hidden="1">
      <c r="ES43" s="627" t="str">
        <f t="shared" si="1"/>
        <v/>
      </c>
    </row>
    <row r="44" hidden="1">
      <c r="ES44" s="627" t="str">
        <f t="shared" si="1"/>
        <v/>
      </c>
    </row>
    <row r="45" hidden="1">
      <c r="ES45" s="627" t="str">
        <f t="shared" si="1"/>
        <v/>
      </c>
    </row>
    <row r="46" hidden="1">
      <c r="ES46" s="627" t="str">
        <f t="shared" si="1"/>
        <v/>
      </c>
    </row>
    <row r="47" hidden="1">
      <c r="ES47" s="627" t="str">
        <f t="shared" si="1"/>
        <v/>
      </c>
    </row>
    <row r="48" hidden="1">
      <c r="ES48" s="627" t="str">
        <f t="shared" si="1"/>
        <v/>
      </c>
    </row>
    <row r="49" hidden="1">
      <c r="ES49" s="627" t="str">
        <f t="shared" si="1"/>
        <v/>
      </c>
    </row>
    <row r="50" hidden="1">
      <c r="ES50" s="627" t="str">
        <f t="shared" si="1"/>
        <v/>
      </c>
    </row>
    <row r="51" hidden="1">
      <c r="ES51" s="627" t="str">
        <f t="shared" si="1"/>
        <v/>
      </c>
    </row>
    <row r="52" hidden="1">
      <c r="ES52" s="627" t="str">
        <f t="shared" si="1"/>
        <v/>
      </c>
    </row>
    <row r="53" hidden="1">
      <c r="ES53" s="627" t="str">
        <f t="shared" si="1"/>
        <v/>
      </c>
    </row>
    <row r="54" hidden="1">
      <c r="ES54" s="627" t="str">
        <f t="shared" si="1"/>
        <v/>
      </c>
    </row>
    <row r="55" hidden="1">
      <c r="ES55" s="627" t="str">
        <f t="shared" si="1"/>
        <v/>
      </c>
    </row>
    <row r="56" hidden="1">
      <c r="ES56" s="627" t="str">
        <f t="shared" si="1"/>
        <v/>
      </c>
    </row>
    <row r="57" hidden="1">
      <c r="ES57" s="627" t="str">
        <f t="shared" si="1"/>
        <v/>
      </c>
    </row>
    <row r="58" hidden="1">
      <c r="ES58" s="627" t="str">
        <f t="shared" si="1"/>
        <v/>
      </c>
    </row>
    <row r="59" hidden="1">
      <c r="ES59" s="627" t="str">
        <f t="shared" si="1"/>
        <v/>
      </c>
    </row>
    <row r="60" hidden="1">
      <c r="ES60" s="627" t="str">
        <f t="shared" si="1"/>
        <v/>
      </c>
    </row>
    <row r="61" hidden="1">
      <c r="ES61" s="627" t="str">
        <f t="shared" si="1"/>
        <v/>
      </c>
    </row>
    <row r="62" hidden="1">
      <c r="ES62" s="627" t="str">
        <f t="shared" si="1"/>
        <v/>
      </c>
    </row>
    <row r="63" hidden="1">
      <c r="ES63" s="627" t="str">
        <f t="shared" si="1"/>
        <v/>
      </c>
    </row>
    <row r="64" hidden="1">
      <c r="ES64" s="627" t="str">
        <f t="shared" si="1"/>
        <v/>
      </c>
    </row>
    <row r="65" hidden="1">
      <c r="ES65" s="627" t="str">
        <f t="shared" si="1"/>
        <v/>
      </c>
    </row>
    <row r="66" hidden="1">
      <c r="ES66" s="627" t="str">
        <f t="shared" si="1"/>
        <v/>
      </c>
    </row>
    <row r="67" hidden="1">
      <c r="ES67" s="627" t="str">
        <f t="shared" si="1"/>
        <v/>
      </c>
    </row>
    <row r="68" hidden="1">
      <c r="ES68" s="627" t="str">
        <f t="shared" si="1"/>
        <v/>
      </c>
    </row>
    <row r="69" hidden="1">
      <c r="ES69" s="627" t="str">
        <f t="shared" si="1"/>
        <v/>
      </c>
    </row>
    <row r="70" hidden="1">
      <c r="ES70" s="627" t="str">
        <f t="shared" si="1"/>
        <v/>
      </c>
    </row>
    <row r="71" hidden="1">
      <c r="ES71" s="627" t="str">
        <f t="shared" si="1"/>
        <v/>
      </c>
    </row>
    <row r="72" hidden="1">
      <c r="ES72" s="627" t="str">
        <f t="shared" si="1"/>
        <v/>
      </c>
    </row>
    <row r="73" hidden="1">
      <c r="ES73" s="627" t="str">
        <f t="shared" si="1"/>
        <v/>
      </c>
    </row>
    <row r="74" hidden="1">
      <c r="ES74" s="627" t="str">
        <f t="shared" si="1"/>
        <v/>
      </c>
    </row>
    <row r="75" hidden="1">
      <c r="ES75" s="627" t="str">
        <f t="shared" si="1"/>
        <v/>
      </c>
    </row>
    <row r="76" hidden="1">
      <c r="ES76" s="627" t="str">
        <f t="shared" si="1"/>
        <v/>
      </c>
    </row>
    <row r="77" hidden="1">
      <c r="ES77" s="627" t="str">
        <f t="shared" si="1"/>
        <v/>
      </c>
    </row>
    <row r="78" hidden="1">
      <c r="ES78" s="627" t="str">
        <f t="shared" si="1"/>
        <v/>
      </c>
    </row>
    <row r="79" hidden="1">
      <c r="ES79" s="627" t="str">
        <f t="shared" si="1"/>
        <v/>
      </c>
    </row>
    <row r="80" hidden="1">
      <c r="ES80" s="627" t="str">
        <f t="shared" si="1"/>
        <v/>
      </c>
    </row>
    <row r="81" hidden="1">
      <c r="ES81" s="627" t="str">
        <f t="shared" si="1"/>
        <v/>
      </c>
    </row>
    <row r="82" hidden="1">
      <c r="ES82" s="627" t="str">
        <f t="shared" si="1"/>
        <v/>
      </c>
    </row>
    <row r="83" hidden="1">
      <c r="ES83" s="627" t="str">
        <f t="shared" si="1"/>
        <v/>
      </c>
    </row>
    <row r="84" hidden="1">
      <c r="ES84" s="627" t="str">
        <f t="shared" si="1"/>
        <v/>
      </c>
    </row>
    <row r="85" hidden="1">
      <c r="ES85" s="627" t="str">
        <f t="shared" si="1"/>
        <v/>
      </c>
    </row>
    <row r="86" hidden="1">
      <c r="ES86" s="627" t="str">
        <f t="shared" si="1"/>
        <v/>
      </c>
    </row>
    <row r="87" hidden="1">
      <c r="ES87" s="627" t="str">
        <f t="shared" si="1"/>
        <v/>
      </c>
    </row>
    <row r="88" hidden="1">
      <c r="ES88" s="627" t="str">
        <f t="shared" si="1"/>
        <v/>
      </c>
    </row>
    <row r="89" hidden="1">
      <c r="ES89" s="627" t="str">
        <f t="shared" si="1"/>
        <v/>
      </c>
    </row>
    <row r="90" hidden="1">
      <c r="ES90" s="627" t="str">
        <f t="shared" si="1"/>
        <v/>
      </c>
    </row>
    <row r="91" hidden="1">
      <c r="ES91" s="627" t="str">
        <f t="shared" si="1"/>
        <v/>
      </c>
    </row>
    <row r="92" hidden="1">
      <c r="ES92" s="627" t="str">
        <f t="shared" si="1"/>
        <v/>
      </c>
    </row>
    <row r="93" hidden="1">
      <c r="ES93" s="627" t="str">
        <f t="shared" si="1"/>
        <v/>
      </c>
    </row>
    <row r="94" hidden="1">
      <c r="ES94" s="627" t="str">
        <f t="shared" si="1"/>
        <v/>
      </c>
    </row>
    <row r="95" hidden="1">
      <c r="ES95" s="627" t="str">
        <f t="shared" si="1"/>
        <v/>
      </c>
    </row>
    <row r="96" hidden="1">
      <c r="ES96" s="627" t="str">
        <f t="shared" si="1"/>
        <v/>
      </c>
    </row>
    <row r="97" hidden="1">
      <c r="ES97" s="627" t="str">
        <f t="shared" si="1"/>
        <v/>
      </c>
    </row>
    <row r="98" hidden="1">
      <c r="ES98" s="627" t="str">
        <f t="shared" si="1"/>
        <v/>
      </c>
    </row>
    <row r="99" hidden="1">
      <c r="ES99" s="627" t="str">
        <f t="shared" si="1"/>
        <v/>
      </c>
    </row>
    <row r="100" hidden="1">
      <c r="ES100" s="627" t="str">
        <f t="shared" si="1"/>
        <v/>
      </c>
    </row>
    <row r="101" hidden="1">
      <c r="ES101" s="627" t="str">
        <f t="shared" si="1"/>
        <v/>
      </c>
    </row>
    <row r="102" hidden="1">
      <c r="ES102" s="627" t="str">
        <f t="shared" si="1"/>
        <v/>
      </c>
    </row>
    <row r="103" hidden="1">
      <c r="ES103" s="627" t="str">
        <f t="shared" si="1"/>
        <v/>
      </c>
    </row>
    <row r="104" hidden="1">
      <c r="ES104" s="627" t="str">
        <f t="shared" si="1"/>
        <v/>
      </c>
    </row>
    <row r="105" hidden="1">
      <c r="ES105" s="627" t="str">
        <f t="shared" si="1"/>
        <v/>
      </c>
    </row>
    <row r="106" hidden="1">
      <c r="ES106" s="627" t="str">
        <f t="shared" si="1"/>
        <v/>
      </c>
    </row>
    <row r="107" hidden="1">
      <c r="ES107" s="627" t="str">
        <f t="shared" si="1"/>
        <v/>
      </c>
    </row>
    <row r="108" hidden="1">
      <c r="ES108" s="627" t="str">
        <f t="shared" si="1"/>
        <v/>
      </c>
    </row>
    <row r="109" hidden="1">
      <c r="ES109" s="627" t="str">
        <f t="shared" si="1"/>
        <v/>
      </c>
    </row>
    <row r="110" hidden="1">
      <c r="ES110" s="627" t="str">
        <f t="shared" si="1"/>
        <v/>
      </c>
    </row>
    <row r="111" hidden="1">
      <c r="ES111" s="627" t="str">
        <f t="shared" si="1"/>
        <v/>
      </c>
    </row>
    <row r="112" hidden="1">
      <c r="ES112" s="627" t="str">
        <f t="shared" si="1"/>
        <v/>
      </c>
    </row>
    <row r="113" hidden="1">
      <c r="ES113" s="627" t="str">
        <f t="shared" si="1"/>
        <v/>
      </c>
    </row>
    <row r="114" hidden="1">
      <c r="ES114" s="627" t="str">
        <f t="shared" si="1"/>
        <v/>
      </c>
    </row>
    <row r="115" hidden="1">
      <c r="ES115" s="627" t="str">
        <f t="shared" si="1"/>
        <v/>
      </c>
    </row>
    <row r="116" hidden="1">
      <c r="ES116" s="627" t="str">
        <f t="shared" si="1"/>
        <v/>
      </c>
    </row>
    <row r="117" hidden="1">
      <c r="ES117" s="627" t="str">
        <f t="shared" si="1"/>
        <v/>
      </c>
    </row>
    <row r="118" hidden="1">
      <c r="ES118" s="627" t="str">
        <f t="shared" si="1"/>
        <v/>
      </c>
    </row>
    <row r="119">
      <c r="ES119" s="627" t="str">
        <f t="shared" si="1"/>
        <v/>
      </c>
    </row>
    <row r="120" hidden="1">
      <c r="ES120" s="627" t="str">
        <f t="shared" si="1"/>
        <v/>
      </c>
    </row>
    <row r="121" hidden="1">
      <c r="ES121" s="627" t="str">
        <f t="shared" si="1"/>
        <v/>
      </c>
    </row>
    <row r="122" hidden="1">
      <c r="ES122" s="627" t="str">
        <f t="shared" si="1"/>
        <v/>
      </c>
    </row>
    <row r="123" hidden="1">
      <c r="ES123" s="627" t="str">
        <f t="shared" si="1"/>
        <v/>
      </c>
    </row>
    <row r="124" hidden="1">
      <c r="ES124" s="627" t="str">
        <f t="shared" si="1"/>
        <v/>
      </c>
    </row>
    <row r="125" hidden="1">
      <c r="ES125" s="627" t="str">
        <f t="shared" si="1"/>
        <v/>
      </c>
    </row>
    <row r="126" hidden="1">
      <c r="ES126" s="627" t="str">
        <f t="shared" si="1"/>
        <v/>
      </c>
    </row>
    <row r="127" hidden="1">
      <c r="ES127" s="627" t="str">
        <f t="shared" si="1"/>
        <v/>
      </c>
    </row>
    <row r="128" hidden="1">
      <c r="ES128" s="627" t="str">
        <f t="shared" si="1"/>
        <v/>
      </c>
    </row>
    <row r="129" hidden="1">
      <c r="ES129" s="627" t="str">
        <f t="shared" si="1"/>
        <v/>
      </c>
    </row>
    <row r="130" hidden="1">
      <c r="ES130" s="627" t="str">
        <f t="shared" si="1"/>
        <v/>
      </c>
    </row>
    <row r="131" hidden="1">
      <c r="ES131" s="627" t="str">
        <f t="shared" si="1"/>
        <v/>
      </c>
    </row>
    <row r="132" hidden="1">
      <c r="ES132" s="627" t="str">
        <f t="shared" si="1"/>
        <v/>
      </c>
    </row>
    <row r="133" hidden="1">
      <c r="ES133" s="627" t="str">
        <f t="shared" si="1"/>
        <v/>
      </c>
    </row>
    <row r="134" hidden="1">
      <c r="ES134" s="627" t="str">
        <f t="shared" si="1"/>
        <v/>
      </c>
    </row>
    <row r="135" hidden="1">
      <c r="ES135" s="627" t="str">
        <f t="shared" si="1"/>
        <v/>
      </c>
    </row>
    <row r="136" hidden="1">
      <c r="ES136" s="627" t="str">
        <f t="shared" si="1"/>
        <v/>
      </c>
    </row>
    <row r="137" hidden="1">
      <c r="ES137" s="627" t="str">
        <f t="shared" si="1"/>
        <v/>
      </c>
    </row>
    <row r="138" hidden="1">
      <c r="ES138" s="627" t="str">
        <f t="shared" si="1"/>
        <v/>
      </c>
    </row>
    <row r="139" hidden="1">
      <c r="ES139" s="627" t="str">
        <f t="shared" si="1"/>
        <v/>
      </c>
    </row>
    <row r="140" hidden="1">
      <c r="ES140" s="627" t="str">
        <f t="shared" si="1"/>
        <v/>
      </c>
    </row>
    <row r="141" hidden="1">
      <c r="ES141" s="627" t="str">
        <f t="shared" si="1"/>
        <v/>
      </c>
    </row>
    <row r="142" hidden="1">
      <c r="ES142" s="627" t="str">
        <f t="shared" si="1"/>
        <v/>
      </c>
    </row>
    <row r="143" hidden="1">
      <c r="ES143" s="627" t="str">
        <f t="shared" si="1"/>
        <v/>
      </c>
    </row>
    <row r="144" hidden="1">
      <c r="ES144" s="627" t="str">
        <f t="shared" si="1"/>
        <v/>
      </c>
    </row>
    <row r="145" hidden="1">
      <c r="ES145" s="627" t="str">
        <f t="shared" si="1"/>
        <v/>
      </c>
    </row>
    <row r="146" hidden="1">
      <c r="ES146" s="627" t="str">
        <f t="shared" si="1"/>
        <v/>
      </c>
    </row>
    <row r="147" hidden="1">
      <c r="ES147" s="627" t="str">
        <f t="shared" si="1"/>
        <v/>
      </c>
    </row>
    <row r="148" hidden="1">
      <c r="ES148" s="627" t="str">
        <f t="shared" si="1"/>
        <v/>
      </c>
    </row>
    <row r="149" hidden="1">
      <c r="ES149" s="627" t="str">
        <f t="shared" si="1"/>
        <v/>
      </c>
    </row>
    <row r="150" hidden="1">
      <c r="ES150" s="627" t="str">
        <f t="shared" si="1"/>
        <v/>
      </c>
    </row>
    <row r="151" hidden="1">
      <c r="ES151" s="627" t="str">
        <f t="shared" si="1"/>
        <v/>
      </c>
    </row>
    <row r="152" hidden="1">
      <c r="ES152" s="627" t="str">
        <f t="shared" si="1"/>
        <v/>
      </c>
    </row>
    <row r="153" hidden="1">
      <c r="ES153" s="627" t="str">
        <f t="shared" si="1"/>
        <v/>
      </c>
    </row>
    <row r="154" hidden="1">
      <c r="ES154" s="627" t="str">
        <f t="shared" si="1"/>
        <v/>
      </c>
    </row>
    <row r="155" hidden="1">
      <c r="ES155" s="627" t="str">
        <f t="shared" si="1"/>
        <v/>
      </c>
    </row>
    <row r="156" hidden="1">
      <c r="ES156" s="627" t="str">
        <f t="shared" si="1"/>
        <v/>
      </c>
    </row>
    <row r="157" hidden="1">
      <c r="ES157" s="627" t="str">
        <f t="shared" si="1"/>
        <v/>
      </c>
    </row>
    <row r="158" hidden="1">
      <c r="ES158" s="627" t="str">
        <f t="shared" si="1"/>
        <v/>
      </c>
    </row>
    <row r="159" hidden="1">
      <c r="ES159" s="627" t="str">
        <f t="shared" si="1"/>
        <v/>
      </c>
    </row>
    <row r="160" hidden="1">
      <c r="ES160" s="627" t="str">
        <f t="shared" si="1"/>
        <v/>
      </c>
    </row>
    <row r="161" hidden="1">
      <c r="ES161" s="627" t="str">
        <f t="shared" si="1"/>
        <v/>
      </c>
    </row>
    <row r="162" hidden="1">
      <c r="ES162" s="627" t="str">
        <f t="shared" si="1"/>
        <v/>
      </c>
    </row>
    <row r="163" hidden="1">
      <c r="ES163" s="627" t="str">
        <f t="shared" si="1"/>
        <v/>
      </c>
    </row>
    <row r="164" hidden="1">
      <c r="ES164" s="627" t="str">
        <f t="shared" si="1"/>
        <v/>
      </c>
    </row>
    <row r="165" hidden="1">
      <c r="ES165" s="627" t="str">
        <f t="shared" si="1"/>
        <v/>
      </c>
    </row>
    <row r="166" hidden="1">
      <c r="ES166" s="627" t="str">
        <f t="shared" si="1"/>
        <v/>
      </c>
    </row>
    <row r="167" hidden="1">
      <c r="ES167" s="627" t="str">
        <f t="shared" si="1"/>
        <v/>
      </c>
    </row>
    <row r="168" hidden="1">
      <c r="ES168" s="627" t="str">
        <f t="shared" si="1"/>
        <v/>
      </c>
    </row>
    <row r="169" hidden="1">
      <c r="ES169" s="627" t="str">
        <f t="shared" si="1"/>
        <v/>
      </c>
    </row>
    <row r="170" hidden="1">
      <c r="ES170" s="627" t="str">
        <f t="shared" si="1"/>
        <v/>
      </c>
    </row>
    <row r="171" hidden="1">
      <c r="ES171" s="627" t="str">
        <f t="shared" si="1"/>
        <v/>
      </c>
    </row>
    <row r="172" hidden="1">
      <c r="ES172" s="627" t="str">
        <f t="shared" si="1"/>
        <v/>
      </c>
    </row>
    <row r="173" hidden="1">
      <c r="ES173" s="627" t="str">
        <f t="shared" si="1"/>
        <v/>
      </c>
    </row>
    <row r="174" hidden="1">
      <c r="ES174" s="627" t="str">
        <f t="shared" si="1"/>
        <v/>
      </c>
    </row>
    <row r="175" hidden="1">
      <c r="ES175" s="627" t="str">
        <f t="shared" si="1"/>
        <v/>
      </c>
    </row>
    <row r="176" hidden="1">
      <c r="ES176" s="627" t="str">
        <f t="shared" si="1"/>
        <v/>
      </c>
    </row>
    <row r="177" hidden="1">
      <c r="ES177" s="627" t="str">
        <f t="shared" si="1"/>
        <v/>
      </c>
    </row>
    <row r="178" hidden="1">
      <c r="ES178" s="627" t="str">
        <f t="shared" si="1"/>
        <v/>
      </c>
    </row>
    <row r="179" hidden="1">
      <c r="ES179" s="627" t="str">
        <f t="shared" si="1"/>
        <v/>
      </c>
    </row>
    <row r="180" hidden="1">
      <c r="ES180" s="627" t="str">
        <f t="shared" si="1"/>
        <v/>
      </c>
    </row>
    <row r="181" hidden="1">
      <c r="ES181" s="627" t="str">
        <f t="shared" si="1"/>
        <v/>
      </c>
    </row>
    <row r="182" hidden="1">
      <c r="ES182" s="627" t="str">
        <f t="shared" si="1"/>
        <v/>
      </c>
    </row>
    <row r="183" hidden="1">
      <c r="ES183" s="627" t="str">
        <f t="shared" si="1"/>
        <v/>
      </c>
    </row>
    <row r="184" hidden="1">
      <c r="ES184" s="627" t="str">
        <f t="shared" si="1"/>
        <v/>
      </c>
    </row>
    <row r="185" hidden="1">
      <c r="ES185" s="627" t="str">
        <f t="shared" si="1"/>
        <v/>
      </c>
    </row>
    <row r="186" hidden="1">
      <c r="ES186" s="627" t="str">
        <f t="shared" si="1"/>
        <v/>
      </c>
    </row>
    <row r="187" hidden="1">
      <c r="ES187" s="627" t="str">
        <f t="shared" si="1"/>
        <v/>
      </c>
    </row>
    <row r="188" hidden="1">
      <c r="ES188" s="627" t="str">
        <f t="shared" si="1"/>
        <v/>
      </c>
    </row>
    <row r="189" hidden="1">
      <c r="ES189" s="627" t="str">
        <f t="shared" si="1"/>
        <v/>
      </c>
    </row>
    <row r="190" hidden="1">
      <c r="ES190" s="627" t="str">
        <f t="shared" si="1"/>
        <v/>
      </c>
    </row>
    <row r="191" hidden="1">
      <c r="ES191" s="627" t="str">
        <f t="shared" si="1"/>
        <v/>
      </c>
    </row>
    <row r="192" hidden="1">
      <c r="ES192" s="627" t="str">
        <f t="shared" si="1"/>
        <v/>
      </c>
    </row>
    <row r="193" hidden="1">
      <c r="ES193" s="627" t="str">
        <f t="shared" si="1"/>
        <v/>
      </c>
    </row>
    <row r="194" hidden="1">
      <c r="ES194" s="627" t="str">
        <f t="shared" si="1"/>
        <v/>
      </c>
    </row>
    <row r="195" hidden="1">
      <c r="ES195" s="627" t="str">
        <f t="shared" si="1"/>
        <v/>
      </c>
    </row>
    <row r="196" hidden="1">
      <c r="ES196" s="627" t="str">
        <f t="shared" si="1"/>
        <v/>
      </c>
    </row>
    <row r="197" hidden="1">
      <c r="ES197" s="627" t="str">
        <f t="shared" si="1"/>
        <v/>
      </c>
    </row>
    <row r="198" hidden="1">
      <c r="ES198" s="627" t="str">
        <f t="shared" si="1"/>
        <v/>
      </c>
    </row>
    <row r="199" hidden="1">
      <c r="ES199" s="627" t="str">
        <f t="shared" si="1"/>
        <v/>
      </c>
    </row>
    <row r="200" hidden="1">
      <c r="ES200" s="627" t="str">
        <f t="shared" si="1"/>
        <v/>
      </c>
    </row>
    <row r="201" hidden="1">
      <c r="ES201" s="627" t="str">
        <f t="shared" si="1"/>
        <v/>
      </c>
    </row>
    <row r="202" hidden="1">
      <c r="ES202" s="627" t="str">
        <f t="shared" si="1"/>
        <v/>
      </c>
    </row>
    <row r="203" hidden="1">
      <c r="ES203" s="627" t="str">
        <f t="shared" si="1"/>
        <v/>
      </c>
    </row>
    <row r="204" hidden="1">
      <c r="ES204" s="627" t="str">
        <f t="shared" si="1"/>
        <v/>
      </c>
    </row>
    <row r="205">
      <c r="ES205" s="627" t="str">
        <f t="shared" si="1"/>
        <v/>
      </c>
    </row>
    <row r="206" hidden="1">
      <c r="ES206" s="627" t="str">
        <f t="shared" si="1"/>
        <v/>
      </c>
    </row>
    <row r="207" hidden="1">
      <c r="ES207" s="627" t="str">
        <f t="shared" si="1"/>
        <v/>
      </c>
    </row>
    <row r="208" hidden="1">
      <c r="ES208" s="627" t="str">
        <f t="shared" si="1"/>
        <v/>
      </c>
    </row>
    <row r="209" hidden="1">
      <c r="ES209" s="627" t="str">
        <f t="shared" si="1"/>
        <v/>
      </c>
    </row>
    <row r="210" hidden="1">
      <c r="ES210" s="627" t="str">
        <f t="shared" si="1"/>
        <v/>
      </c>
    </row>
    <row r="211" hidden="1">
      <c r="ES211" s="627" t="str">
        <f t="shared" si="1"/>
        <v/>
      </c>
    </row>
    <row r="212" hidden="1">
      <c r="ES212" s="627" t="str">
        <f t="shared" si="1"/>
        <v/>
      </c>
    </row>
    <row r="213" hidden="1">
      <c r="ES213" s="627" t="str">
        <f t="shared" si="1"/>
        <v/>
      </c>
    </row>
    <row r="214" hidden="1">
      <c r="ES214" s="627" t="str">
        <f t="shared" si="1"/>
        <v/>
      </c>
    </row>
    <row r="215" hidden="1">
      <c r="ES215" s="627" t="str">
        <f t="shared" si="1"/>
        <v/>
      </c>
    </row>
    <row r="216" hidden="1">
      <c r="ES216" s="627" t="str">
        <f t="shared" si="1"/>
        <v/>
      </c>
    </row>
    <row r="217" hidden="1">
      <c r="ES217" s="627" t="str">
        <f t="shared" si="1"/>
        <v/>
      </c>
    </row>
    <row r="218" hidden="1">
      <c r="ES218" s="627" t="str">
        <f t="shared" si="1"/>
        <v/>
      </c>
    </row>
    <row r="219" hidden="1">
      <c r="ES219" s="627" t="str">
        <f t="shared" si="1"/>
        <v/>
      </c>
    </row>
    <row r="220" hidden="1">
      <c r="ES220" s="627" t="str">
        <f t="shared" si="1"/>
        <v/>
      </c>
    </row>
    <row r="221" hidden="1">
      <c r="ES221" s="627" t="str">
        <f t="shared" si="1"/>
        <v/>
      </c>
    </row>
    <row r="222">
      <c r="ES222" s="627" t="str">
        <f t="shared" si="1"/>
        <v/>
      </c>
    </row>
    <row r="223" hidden="1">
      <c r="ES223" s="627" t="str">
        <f t="shared" si="1"/>
        <v/>
      </c>
    </row>
    <row r="224" hidden="1">
      <c r="ES224" s="627" t="str">
        <f t="shared" si="1"/>
        <v/>
      </c>
    </row>
    <row r="225" hidden="1">
      <c r="ES225" s="627" t="str">
        <f t="shared" si="1"/>
        <v/>
      </c>
    </row>
    <row r="226" hidden="1">
      <c r="ES226" s="627" t="str">
        <f t="shared" si="1"/>
        <v/>
      </c>
    </row>
    <row r="227" hidden="1">
      <c r="ES227" s="627" t="str">
        <f t="shared" si="1"/>
        <v/>
      </c>
    </row>
    <row r="228" hidden="1">
      <c r="ES228" s="627" t="str">
        <f t="shared" si="1"/>
        <v/>
      </c>
    </row>
    <row r="229" hidden="1">
      <c r="ES229" s="627" t="str">
        <f t="shared" si="1"/>
        <v/>
      </c>
    </row>
    <row r="230" hidden="1">
      <c r="ES230" s="627" t="str">
        <f t="shared" si="1"/>
        <v/>
      </c>
    </row>
    <row r="231" hidden="1">
      <c r="ES231" s="627" t="str">
        <f t="shared" si="1"/>
        <v/>
      </c>
    </row>
    <row r="232" hidden="1">
      <c r="ES232" s="627" t="str">
        <f t="shared" si="1"/>
        <v/>
      </c>
    </row>
    <row r="233" hidden="1">
      <c r="ES233" s="627" t="str">
        <f t="shared" si="1"/>
        <v/>
      </c>
    </row>
    <row r="234" hidden="1">
      <c r="ES234" s="627" t="str">
        <f t="shared" si="1"/>
        <v/>
      </c>
    </row>
    <row r="235" hidden="1">
      <c r="ES235" s="627" t="str">
        <f t="shared" si="1"/>
        <v/>
      </c>
    </row>
    <row r="236" hidden="1">
      <c r="ES236" s="627" t="str">
        <f t="shared" si="1"/>
        <v/>
      </c>
    </row>
    <row r="237" hidden="1">
      <c r="ES237" s="627" t="str">
        <f t="shared" si="1"/>
        <v/>
      </c>
    </row>
    <row r="238" hidden="1">
      <c r="ES238" s="627" t="str">
        <f t="shared" si="1"/>
        <v/>
      </c>
    </row>
    <row r="239">
      <c r="ES239" s="627" t="str">
        <f t="shared" si="1"/>
        <v/>
      </c>
    </row>
    <row r="240" hidden="1">
      <c r="ES240" s="627" t="str">
        <f t="shared" si="1"/>
        <v/>
      </c>
    </row>
    <row r="241" hidden="1">
      <c r="ES241" s="627" t="str">
        <f t="shared" si="1"/>
        <v/>
      </c>
    </row>
    <row r="242" hidden="1">
      <c r="ES242" s="627" t="str">
        <f t="shared" si="1"/>
        <v/>
      </c>
    </row>
    <row r="243" hidden="1">
      <c r="ES243" s="627" t="str">
        <f t="shared" si="1"/>
        <v/>
      </c>
    </row>
    <row r="244" hidden="1">
      <c r="ES244" s="627" t="str">
        <f t="shared" si="1"/>
        <v/>
      </c>
    </row>
    <row r="245" hidden="1">
      <c r="ES245" s="627" t="str">
        <f t="shared" si="1"/>
        <v/>
      </c>
    </row>
    <row r="246" hidden="1">
      <c r="ES246" s="627" t="str">
        <f t="shared" si="1"/>
        <v/>
      </c>
    </row>
    <row r="247" hidden="1">
      <c r="ES247" s="627" t="str">
        <f t="shared" si="1"/>
        <v/>
      </c>
    </row>
    <row r="248" hidden="1">
      <c r="ES248" s="627" t="str">
        <f t="shared" si="1"/>
        <v/>
      </c>
    </row>
    <row r="249" hidden="1">
      <c r="ES249" s="627" t="str">
        <f t="shared" si="1"/>
        <v/>
      </c>
    </row>
    <row r="250" hidden="1">
      <c r="ES250" s="627" t="str">
        <f t="shared" si="1"/>
        <v/>
      </c>
    </row>
    <row r="251" hidden="1">
      <c r="ES251" s="627" t="str">
        <f t="shared" si="1"/>
        <v/>
      </c>
    </row>
    <row r="252" hidden="1">
      <c r="ES252" s="627" t="str">
        <f t="shared" si="1"/>
        <v/>
      </c>
    </row>
    <row r="253" hidden="1">
      <c r="ES253" s="627" t="str">
        <f t="shared" si="1"/>
        <v/>
      </c>
    </row>
    <row r="254" hidden="1">
      <c r="ES254" s="627" t="str">
        <f t="shared" si="1"/>
        <v/>
      </c>
    </row>
    <row r="255" hidden="1">
      <c r="ES255" s="627" t="str">
        <f t="shared" si="1"/>
        <v/>
      </c>
    </row>
    <row r="256" hidden="1">
      <c r="ES256" s="627" t="str">
        <f t="shared" si="1"/>
        <v/>
      </c>
    </row>
    <row r="257" hidden="1">
      <c r="ES257" s="627" t="str">
        <f t="shared" si="1"/>
        <v/>
      </c>
    </row>
    <row r="258" hidden="1">
      <c r="ES258" s="627" t="str">
        <f t="shared" si="1"/>
        <v/>
      </c>
    </row>
    <row r="259" hidden="1">
      <c r="ES259" s="627" t="str">
        <f t="shared" si="1"/>
        <v/>
      </c>
    </row>
    <row r="260" hidden="1">
      <c r="ES260" s="627" t="str">
        <f t="shared" si="1"/>
        <v/>
      </c>
    </row>
    <row r="261" hidden="1">
      <c r="ES261" s="627" t="str">
        <f t="shared" si="1"/>
        <v/>
      </c>
    </row>
    <row r="262" hidden="1">
      <c r="ES262" s="627" t="str">
        <f t="shared" si="1"/>
        <v/>
      </c>
    </row>
    <row r="263" hidden="1">
      <c r="ES263" s="627" t="str">
        <f t="shared" si="1"/>
        <v/>
      </c>
    </row>
    <row r="264" hidden="1">
      <c r="ES264" s="627" t="str">
        <f t="shared" si="1"/>
        <v/>
      </c>
    </row>
    <row r="265" hidden="1">
      <c r="ES265" s="627" t="str">
        <f t="shared" si="1"/>
        <v/>
      </c>
    </row>
    <row r="266" hidden="1">
      <c r="ES266" s="627" t="str">
        <f t="shared" si="1"/>
        <v/>
      </c>
    </row>
    <row r="267" hidden="1">
      <c r="ES267" s="627" t="str">
        <f t="shared" si="1"/>
        <v/>
      </c>
    </row>
    <row r="268" hidden="1">
      <c r="ES268" s="627" t="str">
        <f t="shared" si="1"/>
        <v/>
      </c>
    </row>
    <row r="269" hidden="1">
      <c r="ES269" s="627" t="str">
        <f t="shared" si="1"/>
        <v/>
      </c>
    </row>
    <row r="270" hidden="1">
      <c r="ES270" s="627" t="str">
        <f t="shared" si="1"/>
        <v/>
      </c>
    </row>
    <row r="271" hidden="1">
      <c r="ES271" s="627" t="str">
        <f t="shared" si="1"/>
        <v/>
      </c>
    </row>
    <row r="272" hidden="1">
      <c r="ES272" s="627" t="str">
        <f t="shared" si="1"/>
        <v/>
      </c>
    </row>
    <row r="273" hidden="1">
      <c r="ES273" s="627" t="str">
        <f t="shared" si="1"/>
        <v/>
      </c>
    </row>
    <row r="274" hidden="1">
      <c r="ES274" s="627" t="str">
        <f t="shared" si="1"/>
        <v/>
      </c>
    </row>
    <row r="275" hidden="1">
      <c r="ES275" s="627" t="str">
        <f t="shared" si="1"/>
        <v/>
      </c>
    </row>
    <row r="276" hidden="1">
      <c r="ES276" s="627" t="str">
        <f t="shared" si="1"/>
        <v/>
      </c>
    </row>
    <row r="277" hidden="1">
      <c r="ES277" s="627" t="str">
        <f t="shared" si="1"/>
        <v/>
      </c>
    </row>
    <row r="278" hidden="1">
      <c r="ES278" s="627" t="str">
        <f t="shared" si="1"/>
        <v/>
      </c>
    </row>
    <row r="279" hidden="1">
      <c r="ES279" s="627" t="str">
        <f t="shared" si="1"/>
        <v/>
      </c>
    </row>
    <row r="280" hidden="1">
      <c r="ES280" s="627" t="str">
        <f t="shared" si="1"/>
        <v/>
      </c>
    </row>
    <row r="281" hidden="1">
      <c r="ES281" s="627" t="str">
        <f t="shared" si="1"/>
        <v/>
      </c>
    </row>
    <row r="282" hidden="1">
      <c r="ES282" s="627" t="str">
        <f t="shared" si="1"/>
        <v/>
      </c>
    </row>
    <row r="283" hidden="1">
      <c r="ES283" s="627" t="str">
        <f t="shared" si="1"/>
        <v/>
      </c>
    </row>
    <row r="284" hidden="1">
      <c r="ES284" s="627" t="str">
        <f t="shared" si="1"/>
        <v/>
      </c>
    </row>
    <row r="285" hidden="1">
      <c r="ES285" s="627" t="str">
        <f t="shared" si="1"/>
        <v/>
      </c>
    </row>
    <row r="286" hidden="1">
      <c r="ES286" s="627" t="str">
        <f t="shared" si="1"/>
        <v/>
      </c>
    </row>
    <row r="287" hidden="1">
      <c r="ES287" s="627" t="str">
        <f t="shared" si="1"/>
        <v/>
      </c>
    </row>
    <row r="288" hidden="1">
      <c r="ES288" s="627" t="str">
        <f t="shared" si="1"/>
        <v/>
      </c>
    </row>
    <row r="289" hidden="1">
      <c r="ES289" s="627" t="str">
        <f t="shared" si="1"/>
        <v/>
      </c>
    </row>
    <row r="290" hidden="1">
      <c r="ES290" s="627" t="str">
        <f t="shared" si="1"/>
        <v/>
      </c>
    </row>
    <row r="291" hidden="1">
      <c r="ES291" s="627" t="str">
        <f t="shared" si="1"/>
        <v/>
      </c>
    </row>
    <row r="292" hidden="1">
      <c r="ES292" s="627" t="str">
        <f t="shared" si="1"/>
        <v/>
      </c>
    </row>
    <row r="293" hidden="1">
      <c r="ES293" s="627" t="str">
        <f t="shared" si="1"/>
        <v/>
      </c>
    </row>
    <row r="294" hidden="1">
      <c r="ES294" s="627" t="str">
        <f t="shared" si="1"/>
        <v/>
      </c>
    </row>
    <row r="295" hidden="1">
      <c r="ES295" s="627" t="str">
        <f t="shared" si="1"/>
        <v/>
      </c>
    </row>
    <row r="296" hidden="1">
      <c r="ES296" s="627" t="str">
        <f t="shared" si="1"/>
        <v/>
      </c>
    </row>
    <row r="297" hidden="1">
      <c r="ES297" s="627" t="str">
        <f t="shared" si="1"/>
        <v/>
      </c>
    </row>
    <row r="298" hidden="1">
      <c r="ES298" s="627" t="str">
        <f t="shared" si="1"/>
        <v/>
      </c>
    </row>
    <row r="299" hidden="1">
      <c r="ES299" s="627" t="str">
        <f t="shared" si="1"/>
        <v/>
      </c>
    </row>
    <row r="300" hidden="1">
      <c r="ES300" s="627" t="str">
        <f t="shared" si="1"/>
        <v/>
      </c>
    </row>
    <row r="301" hidden="1">
      <c r="ES301" s="627" t="str">
        <f t="shared" si="1"/>
        <v/>
      </c>
    </row>
    <row r="302" hidden="1">
      <c r="ES302" s="627" t="str">
        <f t="shared" si="1"/>
        <v/>
      </c>
    </row>
    <row r="303" hidden="1">
      <c r="ES303" s="627" t="str">
        <f t="shared" si="1"/>
        <v/>
      </c>
    </row>
    <row r="304" hidden="1">
      <c r="ES304" s="627" t="str">
        <f t="shared" si="1"/>
        <v/>
      </c>
    </row>
    <row r="305" hidden="1">
      <c r="ES305" s="627" t="str">
        <f t="shared" si="1"/>
        <v/>
      </c>
    </row>
    <row r="306" hidden="1">
      <c r="ES306" s="627" t="str">
        <f t="shared" si="1"/>
        <v/>
      </c>
    </row>
    <row r="307" hidden="1">
      <c r="ES307" s="627" t="str">
        <f t="shared" si="1"/>
        <v/>
      </c>
    </row>
    <row r="308" hidden="1">
      <c r="ES308" s="627" t="str">
        <f t="shared" si="1"/>
        <v/>
      </c>
    </row>
    <row r="309" hidden="1">
      <c r="ES309" s="627" t="str">
        <f t="shared" si="1"/>
        <v/>
      </c>
    </row>
    <row r="310" hidden="1">
      <c r="ES310" s="627" t="str">
        <f t="shared" si="1"/>
        <v/>
      </c>
    </row>
    <row r="311" hidden="1">
      <c r="ES311" s="627" t="str">
        <f t="shared" si="1"/>
        <v/>
      </c>
    </row>
    <row r="312" hidden="1">
      <c r="ES312" s="627" t="str">
        <f t="shared" si="1"/>
        <v/>
      </c>
    </row>
    <row r="313" hidden="1">
      <c r="ES313" s="627" t="str">
        <f t="shared" si="1"/>
        <v/>
      </c>
    </row>
    <row r="314" hidden="1">
      <c r="ES314" s="627" t="str">
        <f t="shared" si="1"/>
        <v/>
      </c>
    </row>
    <row r="315" hidden="1">
      <c r="ES315" s="627" t="str">
        <f t="shared" si="1"/>
        <v/>
      </c>
    </row>
    <row r="316" hidden="1">
      <c r="ES316" s="627" t="str">
        <f t="shared" si="1"/>
        <v/>
      </c>
    </row>
    <row r="317" hidden="1">
      <c r="ES317" s="627" t="str">
        <f t="shared" si="1"/>
        <v/>
      </c>
    </row>
    <row r="318" hidden="1">
      <c r="ES318" s="627" t="str">
        <f t="shared" si="1"/>
        <v/>
      </c>
    </row>
    <row r="319" hidden="1">
      <c r="ES319" s="627" t="str">
        <f t="shared" si="1"/>
        <v/>
      </c>
    </row>
    <row r="320" hidden="1">
      <c r="ES320" s="627" t="str">
        <f t="shared" si="1"/>
        <v/>
      </c>
    </row>
    <row r="321" hidden="1">
      <c r="ES321" s="627" t="str">
        <f t="shared" si="1"/>
        <v/>
      </c>
    </row>
    <row r="322" hidden="1">
      <c r="ES322" s="627" t="str">
        <f t="shared" si="1"/>
        <v/>
      </c>
    </row>
    <row r="323" hidden="1">
      <c r="ES323" s="627" t="str">
        <f t="shared" si="1"/>
        <v/>
      </c>
    </row>
    <row r="324" hidden="1">
      <c r="ES324" s="627" t="str">
        <f t="shared" si="1"/>
        <v/>
      </c>
    </row>
    <row r="325" hidden="1">
      <c r="ES325" s="627" t="str">
        <f t="shared" si="1"/>
        <v/>
      </c>
    </row>
    <row r="326" hidden="1">
      <c r="ES326" s="627" t="str">
        <f t="shared" si="1"/>
        <v/>
      </c>
    </row>
    <row r="327" hidden="1">
      <c r="ES327" s="627" t="str">
        <f t="shared" si="1"/>
        <v/>
      </c>
    </row>
    <row r="328" hidden="1">
      <c r="ES328" s="627" t="str">
        <f t="shared" si="1"/>
        <v/>
      </c>
    </row>
    <row r="329" hidden="1">
      <c r="ES329" s="627" t="str">
        <f t="shared" si="1"/>
        <v/>
      </c>
    </row>
    <row r="330" hidden="1">
      <c r="ES330" s="627" t="str">
        <f t="shared" si="1"/>
        <v/>
      </c>
    </row>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sheetData>
  <autoFilter ref="$A$7:$FA$348">
    <filterColumn colId="4">
      <filters blank="1"/>
    </filterColumn>
  </autoFil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pane xSplit="11.0" topLeftCell="L1" activePane="topRight" state="frozen"/>
      <selection activeCell="M2" sqref="M2" pane="topRight"/>
    </sheetView>
  </sheetViews>
  <sheetFormatPr customHeight="1" defaultColWidth="12.63" defaultRowHeight="15.75"/>
  <cols>
    <col customWidth="1" min="1" max="1" width="1.75"/>
    <col customWidth="1" min="2" max="2" width="6.38"/>
    <col customWidth="1" min="3" max="4" width="10.0"/>
    <col customWidth="1" min="5" max="5" width="10.25"/>
    <col customWidth="1" min="6" max="6" width="16.38"/>
    <col customWidth="1" min="7" max="7" width="10.25"/>
    <col customWidth="1" min="8" max="8" width="17.5"/>
    <col customWidth="1" min="10" max="10" width="19.38"/>
    <col customWidth="1" min="15" max="15" width="10.38"/>
    <col customWidth="1" min="16" max="16" width="10.13"/>
    <col customWidth="1" hidden="1" min="17" max="17" width="14.63"/>
    <col customWidth="1" min="18" max="18" width="18.75"/>
    <col customWidth="1" min="19" max="19" width="31.88"/>
    <col customWidth="1" min="20" max="20" width="24.38"/>
    <col customWidth="1" min="21" max="21" width="27.38"/>
    <col customWidth="1" min="22" max="22" width="8.5"/>
    <col customWidth="1" min="23" max="23" width="15.5"/>
  </cols>
  <sheetData>
    <row r="1">
      <c r="A1" s="87"/>
      <c r="B1" s="640" t="s">
        <v>2015</v>
      </c>
      <c r="C1" s="195"/>
      <c r="D1" s="87"/>
      <c r="E1" s="195"/>
      <c r="F1" s="641"/>
      <c r="G1" s="87"/>
      <c r="H1" s="87"/>
      <c r="I1" s="87"/>
      <c r="J1" s="87"/>
      <c r="K1" s="87"/>
      <c r="L1" s="87"/>
      <c r="M1" s="87"/>
      <c r="N1" s="642"/>
      <c r="O1" s="87"/>
      <c r="P1" s="87"/>
      <c r="Q1" s="643"/>
      <c r="R1" s="641"/>
      <c r="S1" s="180"/>
      <c r="T1" s="641"/>
      <c r="U1" s="87"/>
      <c r="V1" s="87"/>
      <c r="W1" s="87"/>
      <c r="X1" s="87"/>
      <c r="Y1" s="644"/>
      <c r="Z1" s="87"/>
      <c r="AA1" s="645"/>
      <c r="AB1" s="645"/>
      <c r="AC1" s="645"/>
      <c r="AD1" s="645"/>
      <c r="AE1" s="87"/>
      <c r="AF1" s="87"/>
      <c r="AG1" s="195"/>
      <c r="AH1" s="87"/>
      <c r="AI1" s="87"/>
      <c r="AJ1" s="87"/>
      <c r="AK1" s="87"/>
      <c r="AL1" s="87"/>
      <c r="AM1" s="87"/>
    </row>
    <row r="2">
      <c r="A2" s="87"/>
      <c r="B2" s="173" t="s">
        <v>2016</v>
      </c>
      <c r="C2" s="87"/>
      <c r="D2" s="87"/>
      <c r="E2" s="87"/>
      <c r="F2" s="195"/>
      <c r="G2" s="87"/>
      <c r="H2" s="195"/>
      <c r="I2" s="646" t="s">
        <v>1362</v>
      </c>
      <c r="J2" s="647">
        <f t="shared" ref="J2:J3" si="1">countif(E:E,I2)</f>
        <v>6</v>
      </c>
      <c r="K2" s="648">
        <f>J2/(J2+J3)</f>
        <v>1</v>
      </c>
      <c r="L2" s="87"/>
      <c r="M2" s="87"/>
      <c r="N2" s="642"/>
      <c r="O2" s="87"/>
      <c r="P2" s="87"/>
      <c r="Q2" s="643"/>
      <c r="R2" s="641"/>
      <c r="S2" s="180"/>
      <c r="T2" s="641"/>
      <c r="U2" s="87"/>
      <c r="V2" s="649"/>
      <c r="W2" s="87"/>
      <c r="X2" s="87"/>
      <c r="Y2" s="644"/>
      <c r="Z2" s="87"/>
      <c r="AA2" s="645"/>
      <c r="AB2" s="645"/>
      <c r="AC2" s="645"/>
      <c r="AD2" s="645"/>
      <c r="AE2" s="650"/>
      <c r="AF2" s="87"/>
      <c r="AG2" s="87"/>
      <c r="AH2" s="87"/>
      <c r="AI2" s="87"/>
      <c r="AJ2" s="87"/>
      <c r="AK2" s="87"/>
      <c r="AL2" s="87"/>
      <c r="AM2" s="87"/>
    </row>
    <row r="3">
      <c r="A3" s="87"/>
      <c r="B3" s="87"/>
      <c r="C3" s="87"/>
      <c r="D3" s="87"/>
      <c r="E3" s="87"/>
      <c r="F3" s="641"/>
      <c r="G3" s="87"/>
      <c r="H3" s="651"/>
      <c r="I3" s="652" t="s">
        <v>2017</v>
      </c>
      <c r="J3" s="647">
        <f t="shared" si="1"/>
        <v>0</v>
      </c>
      <c r="K3" s="653">
        <f>J3/(J2+J3)</f>
        <v>0</v>
      </c>
      <c r="L3" s="87"/>
      <c r="M3" s="87"/>
      <c r="N3" s="642"/>
      <c r="O3" s="87"/>
      <c r="P3" s="87"/>
      <c r="Q3" s="643"/>
      <c r="R3" s="641"/>
      <c r="S3" s="180"/>
      <c r="T3" s="641"/>
      <c r="U3" s="87"/>
      <c r="V3" s="87"/>
      <c r="W3" s="87"/>
      <c r="X3" s="87"/>
      <c r="Y3" s="644"/>
      <c r="Z3" s="87"/>
      <c r="AA3" s="645"/>
      <c r="AB3" s="645"/>
      <c r="AC3" s="645"/>
      <c r="AD3" s="645"/>
      <c r="AE3" s="87"/>
      <c r="AF3" s="87"/>
      <c r="AG3" s="87"/>
      <c r="AH3" s="87"/>
      <c r="AI3" s="87"/>
      <c r="AJ3" s="87"/>
      <c r="AK3" s="87"/>
      <c r="AL3" s="87"/>
      <c r="AM3" s="87"/>
    </row>
    <row r="4">
      <c r="A4" s="87"/>
      <c r="B4" s="87"/>
      <c r="C4" s="87"/>
      <c r="D4" s="87"/>
      <c r="E4" s="87"/>
      <c r="F4" s="654"/>
      <c r="G4" s="655"/>
      <c r="H4" s="124"/>
      <c r="I4" s="124"/>
      <c r="J4" s="87"/>
      <c r="K4" s="87"/>
      <c r="L4" s="87"/>
      <c r="M4" s="87"/>
      <c r="N4" s="656"/>
      <c r="O4" s="87"/>
      <c r="P4" s="87"/>
      <c r="Q4" s="657"/>
      <c r="R4" s="641"/>
      <c r="S4" s="180"/>
      <c r="T4" s="641"/>
      <c r="U4" s="87"/>
      <c r="V4" s="87"/>
      <c r="W4" s="87"/>
      <c r="X4" s="87"/>
      <c r="Y4" s="644"/>
      <c r="Z4" s="87"/>
      <c r="AA4" s="645"/>
      <c r="AB4" s="645"/>
      <c r="AC4" s="645"/>
      <c r="AD4" s="645"/>
      <c r="AE4" s="650"/>
      <c r="AF4" s="87"/>
      <c r="AG4" s="87"/>
      <c r="AH4" s="87"/>
      <c r="AI4" s="87"/>
      <c r="AJ4" s="87"/>
      <c r="AK4" s="87"/>
      <c r="AL4" s="87"/>
      <c r="AM4" s="87"/>
    </row>
    <row r="5">
      <c r="A5" s="87"/>
      <c r="B5" s="658"/>
      <c r="C5" s="659" t="s">
        <v>2018</v>
      </c>
      <c r="D5" s="660" t="s">
        <v>2018</v>
      </c>
      <c r="E5" s="659" t="s">
        <v>2018</v>
      </c>
      <c r="F5" s="661" t="s">
        <v>2019</v>
      </c>
      <c r="G5" s="659" t="s">
        <v>2018</v>
      </c>
      <c r="H5" s="659" t="s">
        <v>2018</v>
      </c>
      <c r="I5" s="659" t="s">
        <v>2018</v>
      </c>
      <c r="J5" s="659" t="s">
        <v>2018</v>
      </c>
      <c r="K5" s="659" t="s">
        <v>2018</v>
      </c>
      <c r="L5" s="659" t="s">
        <v>2018</v>
      </c>
      <c r="M5" s="659" t="s">
        <v>2018</v>
      </c>
      <c r="N5" s="662" t="s">
        <v>2018</v>
      </c>
      <c r="O5" s="663" t="s">
        <v>2018</v>
      </c>
      <c r="P5" s="663" t="s">
        <v>2018</v>
      </c>
      <c r="Q5" s="663" t="s">
        <v>2018</v>
      </c>
      <c r="R5" s="664" t="s">
        <v>2018</v>
      </c>
      <c r="S5" s="664" t="s">
        <v>2018</v>
      </c>
      <c r="T5" s="664" t="s">
        <v>2018</v>
      </c>
      <c r="U5" s="659" t="s">
        <v>2018</v>
      </c>
      <c r="V5" s="659" t="s">
        <v>2018</v>
      </c>
      <c r="W5" s="661" t="s">
        <v>2019</v>
      </c>
      <c r="X5" s="661" t="s">
        <v>2019</v>
      </c>
      <c r="Y5" s="665" t="s">
        <v>2020</v>
      </c>
      <c r="Z5" s="659" t="s">
        <v>2018</v>
      </c>
      <c r="AA5" s="666"/>
      <c r="AB5" s="666"/>
      <c r="AC5" s="666"/>
      <c r="AD5" s="666"/>
      <c r="AE5" s="87"/>
      <c r="AF5" s="87"/>
      <c r="AG5" s="87"/>
      <c r="AH5" s="87"/>
      <c r="AI5" s="87"/>
      <c r="AJ5" s="87"/>
      <c r="AK5" s="87"/>
      <c r="AL5" s="87"/>
      <c r="AM5" s="87"/>
    </row>
    <row r="6">
      <c r="A6" s="1"/>
      <c r="B6" s="667" t="s">
        <v>1858</v>
      </c>
      <c r="C6" s="667" t="s">
        <v>2021</v>
      </c>
      <c r="D6" s="667" t="s">
        <v>2022</v>
      </c>
      <c r="E6" s="667" t="s">
        <v>2023</v>
      </c>
      <c r="F6" s="668" t="s">
        <v>2024</v>
      </c>
      <c r="G6" s="668" t="s">
        <v>280</v>
      </c>
      <c r="H6" s="669" t="s">
        <v>2025</v>
      </c>
      <c r="I6" s="668" t="s">
        <v>2026</v>
      </c>
      <c r="J6" s="668" t="s">
        <v>1425</v>
      </c>
      <c r="K6" s="667" t="s">
        <v>2027</v>
      </c>
      <c r="L6" s="667" t="s">
        <v>1427</v>
      </c>
      <c r="M6" s="667" t="s">
        <v>2028</v>
      </c>
      <c r="N6" s="670" t="s">
        <v>2029</v>
      </c>
      <c r="O6" s="667" t="s">
        <v>2030</v>
      </c>
      <c r="P6" s="671" t="s">
        <v>2031</v>
      </c>
      <c r="Q6" s="671" t="s">
        <v>2032</v>
      </c>
      <c r="R6" s="667" t="s">
        <v>2033</v>
      </c>
      <c r="S6" s="667" t="s">
        <v>2034</v>
      </c>
      <c r="T6" s="669" t="s">
        <v>2035</v>
      </c>
      <c r="U6" s="667" t="s">
        <v>1429</v>
      </c>
      <c r="V6" s="667" t="s">
        <v>2036</v>
      </c>
      <c r="W6" s="672" t="s">
        <v>1430</v>
      </c>
      <c r="X6" s="667" t="s">
        <v>2037</v>
      </c>
      <c r="Y6" s="667" t="s">
        <v>2038</v>
      </c>
      <c r="Z6" s="667" t="s">
        <v>2039</v>
      </c>
      <c r="AA6" s="668" t="s">
        <v>2040</v>
      </c>
      <c r="AB6" s="673" t="s">
        <v>383</v>
      </c>
      <c r="AC6" s="673" t="s">
        <v>2041</v>
      </c>
      <c r="AD6" s="673" t="s">
        <v>2042</v>
      </c>
      <c r="AE6" s="1"/>
      <c r="AF6" s="1"/>
      <c r="AG6" s="1"/>
      <c r="AH6" s="1"/>
      <c r="AI6" s="1"/>
      <c r="AJ6" s="1"/>
      <c r="AK6" s="1"/>
      <c r="AL6" s="1"/>
      <c r="AM6" s="1"/>
    </row>
    <row r="7" ht="28.5" customHeight="1">
      <c r="A7" s="1"/>
      <c r="B7" s="674">
        <v>1.0</v>
      </c>
      <c r="C7" s="675" t="s">
        <v>277</v>
      </c>
      <c r="D7" s="676" t="s">
        <v>2043</v>
      </c>
      <c r="E7" s="677" t="str">
        <f t="shared" ref="E7:E43" si="2">if(isblank(F7),"",IFs(ISBLANK(W7),"Open",X7="Finish","Close",ISBLANK(Y7),"Open",ISBLANK(Y7)=FALSE,"Close"))</f>
        <v>Close</v>
      </c>
      <c r="F7" s="678" t="s">
        <v>2044</v>
      </c>
      <c r="G7" s="675" t="s">
        <v>1440</v>
      </c>
      <c r="H7" s="679" t="s">
        <v>2044</v>
      </c>
      <c r="I7" s="680" t="s">
        <v>2044</v>
      </c>
      <c r="J7" s="676" t="s">
        <v>1441</v>
      </c>
      <c r="K7" s="681"/>
      <c r="L7" s="676" t="s">
        <v>1443</v>
      </c>
      <c r="M7" s="676" t="s">
        <v>2045</v>
      </c>
      <c r="N7" s="682" t="s">
        <v>2045</v>
      </c>
      <c r="O7" s="683" t="s">
        <v>2046</v>
      </c>
      <c r="P7" s="684">
        <v>4.47E-5</v>
      </c>
      <c r="Q7" s="685">
        <v>1.5</v>
      </c>
      <c r="R7" s="686" t="s">
        <v>1445</v>
      </c>
      <c r="S7" s="687" t="s">
        <v>2047</v>
      </c>
      <c r="T7" s="688" t="s">
        <v>1447</v>
      </c>
      <c r="U7" s="680" t="s">
        <v>1445</v>
      </c>
      <c r="V7" s="676" t="s">
        <v>2048</v>
      </c>
      <c r="W7" s="676" t="s">
        <v>1446</v>
      </c>
      <c r="X7" s="676" t="s">
        <v>2049</v>
      </c>
      <c r="Y7" s="689">
        <v>45762.0</v>
      </c>
      <c r="Z7" s="690">
        <v>45764.0</v>
      </c>
      <c r="AA7" s="690">
        <v>45768.0</v>
      </c>
      <c r="AB7" s="691"/>
      <c r="AC7" s="691"/>
      <c r="AD7" s="692">
        <v>2698.0</v>
      </c>
      <c r="AE7" s="1"/>
      <c r="AF7" s="1"/>
      <c r="AG7" s="1"/>
      <c r="AH7" s="1"/>
      <c r="AI7" s="1"/>
      <c r="AJ7" s="1"/>
      <c r="AK7" s="1"/>
      <c r="AL7" s="1"/>
      <c r="AM7" s="1"/>
    </row>
    <row r="8" ht="28.5" customHeight="1">
      <c r="A8" s="1"/>
      <c r="B8" s="693">
        <v>2.0</v>
      </c>
      <c r="C8" s="694" t="s">
        <v>277</v>
      </c>
      <c r="D8" s="695" t="s">
        <v>2043</v>
      </c>
      <c r="E8" s="677" t="str">
        <f t="shared" si="2"/>
        <v>Close</v>
      </c>
      <c r="F8" s="696" t="s">
        <v>1347</v>
      </c>
      <c r="G8" s="694" t="s">
        <v>1460</v>
      </c>
      <c r="H8" s="697" t="s">
        <v>1347</v>
      </c>
      <c r="I8" s="698" t="s">
        <v>1347</v>
      </c>
      <c r="J8" s="695" t="s">
        <v>1441</v>
      </c>
      <c r="K8" s="699"/>
      <c r="L8" s="695" t="s">
        <v>1443</v>
      </c>
      <c r="M8" s="695" t="s">
        <v>2045</v>
      </c>
      <c r="N8" s="700" t="s">
        <v>2045</v>
      </c>
      <c r="O8" s="701" t="s">
        <v>2046</v>
      </c>
      <c r="P8" s="702">
        <v>0.0023179</v>
      </c>
      <c r="Q8" s="703">
        <v>12.29</v>
      </c>
      <c r="R8" s="704" t="s">
        <v>1445</v>
      </c>
      <c r="S8" s="705" t="s">
        <v>2050</v>
      </c>
      <c r="T8" s="706" t="s">
        <v>1462</v>
      </c>
      <c r="U8" s="698" t="s">
        <v>1445</v>
      </c>
      <c r="V8" s="695" t="s">
        <v>2048</v>
      </c>
      <c r="W8" s="695" t="s">
        <v>1461</v>
      </c>
      <c r="X8" s="695" t="s">
        <v>2049</v>
      </c>
      <c r="Y8" s="707">
        <v>45762.0</v>
      </c>
      <c r="Z8" s="708">
        <v>45764.0</v>
      </c>
      <c r="AA8" s="708">
        <v>45768.0</v>
      </c>
      <c r="AB8" s="691"/>
      <c r="AC8" s="691"/>
      <c r="AD8" s="692">
        <v>2699.0</v>
      </c>
      <c r="AE8" s="1"/>
      <c r="AF8" s="1"/>
      <c r="AG8" s="1"/>
      <c r="AH8" s="1"/>
      <c r="AI8" s="1"/>
      <c r="AJ8" s="1"/>
      <c r="AK8" s="1"/>
      <c r="AL8" s="1"/>
      <c r="AM8" s="1"/>
    </row>
    <row r="9" ht="28.5" customHeight="1">
      <c r="A9" s="1"/>
      <c r="B9" s="674">
        <v>3.0</v>
      </c>
      <c r="C9" s="694" t="s">
        <v>277</v>
      </c>
      <c r="D9" s="695" t="s">
        <v>2043</v>
      </c>
      <c r="E9" s="677" t="str">
        <f t="shared" si="2"/>
        <v>Close</v>
      </c>
      <c r="F9" s="696" t="s">
        <v>1390</v>
      </c>
      <c r="G9" s="694" t="s">
        <v>373</v>
      </c>
      <c r="H9" s="697" t="s">
        <v>1390</v>
      </c>
      <c r="I9" s="698" t="s">
        <v>1390</v>
      </c>
      <c r="J9" s="695" t="s">
        <v>2051</v>
      </c>
      <c r="K9" s="695">
        <v>8.517799E9</v>
      </c>
      <c r="L9" s="695" t="s">
        <v>1475</v>
      </c>
      <c r="M9" s="695" t="s">
        <v>2045</v>
      </c>
      <c r="N9" s="700" t="s">
        <v>2045</v>
      </c>
      <c r="O9" s="701" t="s">
        <v>2046</v>
      </c>
      <c r="P9" s="702">
        <v>0.017018</v>
      </c>
      <c r="Q9" s="703">
        <v>257.53</v>
      </c>
      <c r="R9" s="704" t="s">
        <v>1445</v>
      </c>
      <c r="S9" s="705" t="s">
        <v>2052</v>
      </c>
      <c r="T9" s="706" t="s">
        <v>1477</v>
      </c>
      <c r="U9" s="698" t="s">
        <v>1445</v>
      </c>
      <c r="V9" s="695" t="s">
        <v>2048</v>
      </c>
      <c r="W9" s="695" t="s">
        <v>1476</v>
      </c>
      <c r="X9" s="695" t="s">
        <v>2049</v>
      </c>
      <c r="Y9" s="709">
        <v>45762.0</v>
      </c>
      <c r="Z9" s="708">
        <v>45764.0</v>
      </c>
      <c r="AA9" s="708">
        <v>45768.0</v>
      </c>
      <c r="AB9" s="692" t="s">
        <v>419</v>
      </c>
      <c r="AC9" s="691"/>
      <c r="AD9" s="692">
        <v>2697.0</v>
      </c>
      <c r="AE9" s="1"/>
      <c r="AF9" s="1"/>
      <c r="AG9" s="1"/>
      <c r="AH9" s="1"/>
      <c r="AI9" s="1"/>
      <c r="AJ9" s="1"/>
      <c r="AK9" s="1"/>
      <c r="AL9" s="1"/>
      <c r="AM9" s="1"/>
    </row>
    <row r="10" ht="28.5" customHeight="1">
      <c r="A10" s="1"/>
      <c r="B10" s="693">
        <v>4.0</v>
      </c>
      <c r="C10" s="694" t="s">
        <v>277</v>
      </c>
      <c r="D10" s="695" t="s">
        <v>2043</v>
      </c>
      <c r="E10" s="677" t="str">
        <f t="shared" si="2"/>
        <v>Close</v>
      </c>
      <c r="F10" s="696" t="s">
        <v>1346</v>
      </c>
      <c r="G10" s="694" t="s">
        <v>373</v>
      </c>
      <c r="H10" s="697" t="s">
        <v>1346</v>
      </c>
      <c r="I10" s="698" t="s">
        <v>1346</v>
      </c>
      <c r="J10" s="695" t="s">
        <v>2051</v>
      </c>
      <c r="K10" s="695">
        <v>8.517799E9</v>
      </c>
      <c r="L10" s="695" t="s">
        <v>1475</v>
      </c>
      <c r="M10" s="695" t="s">
        <v>2045</v>
      </c>
      <c r="N10" s="700" t="s">
        <v>2045</v>
      </c>
      <c r="O10" s="701" t="s">
        <v>2046</v>
      </c>
      <c r="P10" s="702">
        <v>0.017018</v>
      </c>
      <c r="Q10" s="703">
        <v>268.61</v>
      </c>
      <c r="R10" s="704" t="s">
        <v>1445</v>
      </c>
      <c r="S10" s="705" t="s">
        <v>2053</v>
      </c>
      <c r="T10" s="706" t="s">
        <v>1477</v>
      </c>
      <c r="U10" s="698" t="s">
        <v>1445</v>
      </c>
      <c r="V10" s="695" t="s">
        <v>2048</v>
      </c>
      <c r="W10" s="695" t="s">
        <v>1476</v>
      </c>
      <c r="X10" s="695" t="s">
        <v>2049</v>
      </c>
      <c r="Y10" s="709">
        <v>45762.0</v>
      </c>
      <c r="Z10" s="708">
        <v>45764.0</v>
      </c>
      <c r="AA10" s="708">
        <v>45768.0</v>
      </c>
      <c r="AB10" s="692" t="s">
        <v>419</v>
      </c>
      <c r="AC10" s="691"/>
      <c r="AD10" s="692">
        <v>2696.0</v>
      </c>
      <c r="AE10" s="1"/>
      <c r="AF10" s="1"/>
      <c r="AG10" s="1"/>
      <c r="AH10" s="1"/>
      <c r="AI10" s="1"/>
      <c r="AJ10" s="1"/>
      <c r="AK10" s="1"/>
      <c r="AL10" s="1"/>
      <c r="AM10" s="1"/>
    </row>
    <row r="11" ht="28.5" customHeight="1">
      <c r="A11" s="1"/>
      <c r="B11" s="674">
        <v>5.0</v>
      </c>
      <c r="C11" s="694" t="s">
        <v>277</v>
      </c>
      <c r="D11" s="695" t="s">
        <v>2043</v>
      </c>
      <c r="E11" s="677" t="str">
        <f t="shared" si="2"/>
        <v>Close</v>
      </c>
      <c r="F11" s="696" t="s">
        <v>1410</v>
      </c>
      <c r="G11" s="694" t="s">
        <v>373</v>
      </c>
      <c r="H11" s="697" t="s">
        <v>1410</v>
      </c>
      <c r="I11" s="698" t="s">
        <v>1410</v>
      </c>
      <c r="J11" s="695" t="s">
        <v>2051</v>
      </c>
      <c r="K11" s="695">
        <v>8.517799E9</v>
      </c>
      <c r="L11" s="695" t="s">
        <v>1475</v>
      </c>
      <c r="M11" s="695" t="s">
        <v>2045</v>
      </c>
      <c r="N11" s="700" t="s">
        <v>2045</v>
      </c>
      <c r="O11" s="701" t="s">
        <v>2046</v>
      </c>
      <c r="P11" s="702">
        <v>0.017018</v>
      </c>
      <c r="Q11" s="703">
        <v>263.75</v>
      </c>
      <c r="R11" s="704" t="s">
        <v>1445</v>
      </c>
      <c r="S11" s="705" t="s">
        <v>2054</v>
      </c>
      <c r="T11" s="706" t="s">
        <v>1477</v>
      </c>
      <c r="U11" s="698" t="s">
        <v>1445</v>
      </c>
      <c r="V11" s="695" t="s">
        <v>2048</v>
      </c>
      <c r="W11" s="695" t="s">
        <v>1476</v>
      </c>
      <c r="X11" s="695" t="s">
        <v>2049</v>
      </c>
      <c r="Y11" s="710">
        <v>45762.0</v>
      </c>
      <c r="Z11" s="708">
        <v>45764.0</v>
      </c>
      <c r="AA11" s="708">
        <v>45768.0</v>
      </c>
      <c r="AB11" s="692" t="s">
        <v>596</v>
      </c>
      <c r="AC11" s="691"/>
      <c r="AD11" s="692">
        <v>2693.0</v>
      </c>
      <c r="AE11" s="1"/>
      <c r="AF11" s="1"/>
      <c r="AG11" s="1"/>
      <c r="AH11" s="1"/>
      <c r="AI11" s="1"/>
      <c r="AJ11" s="1"/>
      <c r="AK11" s="1"/>
      <c r="AL11" s="1"/>
      <c r="AM11" s="1"/>
    </row>
    <row r="12" ht="28.5" customHeight="1">
      <c r="A12" s="711"/>
      <c r="B12" s="693">
        <v>6.0</v>
      </c>
      <c r="C12" s="694" t="s">
        <v>277</v>
      </c>
      <c r="D12" s="695" t="s">
        <v>2043</v>
      </c>
      <c r="E12" s="677" t="str">
        <f t="shared" si="2"/>
        <v>Close</v>
      </c>
      <c r="F12" s="696" t="s">
        <v>2055</v>
      </c>
      <c r="G12" s="694" t="s">
        <v>373</v>
      </c>
      <c r="H12" s="697" t="s">
        <v>2055</v>
      </c>
      <c r="I12" s="698" t="s">
        <v>2055</v>
      </c>
      <c r="J12" s="695" t="s">
        <v>2051</v>
      </c>
      <c r="K12" s="695">
        <v>8.517799E9</v>
      </c>
      <c r="L12" s="695" t="s">
        <v>1475</v>
      </c>
      <c r="M12" s="695" t="s">
        <v>2045</v>
      </c>
      <c r="N12" s="700" t="s">
        <v>2045</v>
      </c>
      <c r="O12" s="701" t="s">
        <v>2046</v>
      </c>
      <c r="P12" s="702">
        <v>0.017018</v>
      </c>
      <c r="Q12" s="703">
        <v>273.73</v>
      </c>
      <c r="R12" s="704" t="s">
        <v>1445</v>
      </c>
      <c r="S12" s="705" t="s">
        <v>2056</v>
      </c>
      <c r="T12" s="706" t="s">
        <v>1477</v>
      </c>
      <c r="U12" s="698" t="s">
        <v>1445</v>
      </c>
      <c r="V12" s="695" t="s">
        <v>2048</v>
      </c>
      <c r="W12" s="695" t="s">
        <v>1476</v>
      </c>
      <c r="X12" s="695" t="s">
        <v>2049</v>
      </c>
      <c r="Y12" s="712">
        <v>45762.0</v>
      </c>
      <c r="Z12" s="708">
        <v>45764.0</v>
      </c>
      <c r="AA12" s="708">
        <v>45768.0</v>
      </c>
      <c r="AB12" s="692" t="s">
        <v>596</v>
      </c>
      <c r="AC12" s="691"/>
      <c r="AD12" s="692">
        <v>2692.0</v>
      </c>
      <c r="AE12" s="1"/>
      <c r="AF12" s="1"/>
      <c r="AG12" s="1"/>
      <c r="AH12" s="1"/>
      <c r="AI12" s="1"/>
      <c r="AJ12" s="1"/>
      <c r="AK12" s="1"/>
      <c r="AL12" s="1"/>
      <c r="AM12" s="1"/>
    </row>
    <row r="13">
      <c r="A13" s="87"/>
      <c r="B13" s="713"/>
      <c r="C13" s="713"/>
      <c r="D13" s="166"/>
      <c r="E13" s="677" t="str">
        <f t="shared" si="2"/>
        <v/>
      </c>
      <c r="F13" s="714"/>
      <c r="G13" s="166"/>
      <c r="H13" s="166"/>
      <c r="I13" s="166"/>
      <c r="J13" s="166"/>
      <c r="K13" s="166"/>
      <c r="L13" s="166"/>
      <c r="M13" s="166"/>
      <c r="N13" s="715"/>
      <c r="O13" s="166"/>
      <c r="P13" s="166"/>
      <c r="Q13" s="716"/>
      <c r="R13" s="714"/>
      <c r="S13" s="717"/>
      <c r="T13" s="714"/>
      <c r="U13" s="166"/>
      <c r="V13" s="166"/>
      <c r="W13" s="166"/>
      <c r="X13" s="166"/>
      <c r="Y13" s="718"/>
      <c r="Z13" s="719"/>
      <c r="AA13" s="719"/>
      <c r="AB13" s="166"/>
      <c r="AC13" s="166"/>
      <c r="AD13" s="166"/>
      <c r="AE13" s="87"/>
      <c r="AF13" s="87"/>
      <c r="AG13" s="87"/>
      <c r="AH13" s="87"/>
      <c r="AI13" s="87"/>
      <c r="AJ13" s="87"/>
      <c r="AK13" s="87"/>
      <c r="AL13" s="87"/>
      <c r="AM13" s="87"/>
    </row>
    <row r="14">
      <c r="A14" s="87"/>
      <c r="B14" s="713"/>
      <c r="C14" s="713"/>
      <c r="D14" s="166"/>
      <c r="E14" s="677" t="str">
        <f t="shared" si="2"/>
        <v/>
      </c>
      <c r="F14" s="714"/>
      <c r="G14" s="166"/>
      <c r="H14" s="166"/>
      <c r="I14" s="166"/>
      <c r="J14" s="166"/>
      <c r="K14" s="166"/>
      <c r="L14" s="166"/>
      <c r="M14" s="166"/>
      <c r="N14" s="715"/>
      <c r="O14" s="166"/>
      <c r="P14" s="166"/>
      <c r="Q14" s="716"/>
      <c r="R14" s="714"/>
      <c r="S14" s="717"/>
      <c r="T14" s="714"/>
      <c r="U14" s="166"/>
      <c r="V14" s="166"/>
      <c r="W14" s="166"/>
      <c r="X14" s="166"/>
      <c r="Y14" s="718"/>
      <c r="Z14" s="719"/>
      <c r="AA14" s="719"/>
      <c r="AB14" s="166"/>
      <c r="AC14" s="166"/>
      <c r="AD14" s="166"/>
      <c r="AE14" s="87"/>
      <c r="AF14" s="87"/>
      <c r="AG14" s="87"/>
      <c r="AH14" s="87"/>
      <c r="AI14" s="87"/>
      <c r="AJ14" s="87"/>
      <c r="AK14" s="87"/>
      <c r="AL14" s="87"/>
      <c r="AM14" s="87"/>
    </row>
    <row r="15">
      <c r="A15" s="87"/>
      <c r="B15" s="713"/>
      <c r="C15" s="713"/>
      <c r="D15" s="166"/>
      <c r="E15" s="677" t="str">
        <f t="shared" si="2"/>
        <v/>
      </c>
      <c r="F15" s="714"/>
      <c r="G15" s="166"/>
      <c r="H15" s="149"/>
      <c r="I15" s="166"/>
      <c r="J15" s="166"/>
      <c r="K15" s="166"/>
      <c r="L15" s="166"/>
      <c r="M15" s="166"/>
      <c r="N15" s="715"/>
      <c r="O15" s="166"/>
      <c r="P15" s="166"/>
      <c r="Q15" s="716"/>
      <c r="R15" s="714"/>
      <c r="S15" s="717"/>
      <c r="T15" s="714"/>
      <c r="U15" s="166"/>
      <c r="V15" s="166"/>
      <c r="W15" s="166"/>
      <c r="X15" s="166"/>
      <c r="Y15" s="718"/>
      <c r="Z15" s="719"/>
      <c r="AA15" s="719"/>
      <c r="AB15" s="166"/>
      <c r="AC15" s="166"/>
      <c r="AD15" s="166"/>
      <c r="AE15" s="87"/>
      <c r="AF15" s="87"/>
      <c r="AG15" s="87"/>
      <c r="AH15" s="87"/>
      <c r="AI15" s="87"/>
      <c r="AJ15" s="87"/>
      <c r="AK15" s="87"/>
      <c r="AL15" s="87"/>
      <c r="AM15" s="87"/>
    </row>
    <row r="16">
      <c r="A16" s="87"/>
      <c r="B16" s="713"/>
      <c r="C16" s="713"/>
      <c r="D16" s="166"/>
      <c r="E16" s="677" t="str">
        <f t="shared" si="2"/>
        <v/>
      </c>
      <c r="F16" s="714"/>
      <c r="G16" s="166"/>
      <c r="H16" s="149"/>
      <c r="I16" s="166"/>
      <c r="J16" s="166"/>
      <c r="K16" s="166"/>
      <c r="L16" s="166"/>
      <c r="M16" s="166"/>
      <c r="N16" s="715"/>
      <c r="O16" s="166"/>
      <c r="P16" s="166"/>
      <c r="Q16" s="716"/>
      <c r="R16" s="714"/>
      <c r="S16" s="717"/>
      <c r="T16" s="714"/>
      <c r="U16" s="166"/>
      <c r="V16" s="166"/>
      <c r="W16" s="166"/>
      <c r="X16" s="166"/>
      <c r="Y16" s="718"/>
      <c r="Z16" s="719"/>
      <c r="AA16" s="719"/>
      <c r="AB16" s="166"/>
      <c r="AC16" s="166"/>
      <c r="AD16" s="166"/>
      <c r="AE16" s="87"/>
      <c r="AF16" s="87"/>
      <c r="AG16" s="87"/>
      <c r="AH16" s="87"/>
      <c r="AI16" s="87"/>
      <c r="AJ16" s="87"/>
      <c r="AK16" s="87"/>
      <c r="AL16" s="87"/>
      <c r="AM16" s="87"/>
    </row>
    <row r="17">
      <c r="A17" s="87"/>
      <c r="B17" s="713"/>
      <c r="C17" s="713"/>
      <c r="D17" s="166"/>
      <c r="E17" s="677" t="str">
        <f t="shared" si="2"/>
        <v/>
      </c>
      <c r="F17" s="714"/>
      <c r="G17" s="166"/>
      <c r="H17" s="149"/>
      <c r="I17" s="166"/>
      <c r="J17" s="166"/>
      <c r="K17" s="166"/>
      <c r="L17" s="166"/>
      <c r="M17" s="166"/>
      <c r="N17" s="715"/>
      <c r="O17" s="166"/>
      <c r="P17" s="166"/>
      <c r="Q17" s="716"/>
      <c r="R17" s="714"/>
      <c r="S17" s="717"/>
      <c r="T17" s="714"/>
      <c r="U17" s="166"/>
      <c r="V17" s="166"/>
      <c r="W17" s="166"/>
      <c r="X17" s="166"/>
      <c r="Y17" s="718"/>
      <c r="Z17" s="719"/>
      <c r="AA17" s="719"/>
      <c r="AB17" s="166"/>
      <c r="AC17" s="166"/>
      <c r="AD17" s="166"/>
      <c r="AE17" s="87"/>
      <c r="AF17" s="87"/>
      <c r="AG17" s="87"/>
      <c r="AH17" s="87"/>
      <c r="AI17" s="87"/>
      <c r="AJ17" s="87"/>
      <c r="AK17" s="87"/>
      <c r="AL17" s="87"/>
      <c r="AM17" s="87"/>
    </row>
    <row r="18">
      <c r="A18" s="87"/>
      <c r="B18" s="713"/>
      <c r="C18" s="713"/>
      <c r="D18" s="166"/>
      <c r="E18" s="677" t="str">
        <f t="shared" si="2"/>
        <v/>
      </c>
      <c r="F18" s="714"/>
      <c r="G18" s="166"/>
      <c r="H18" s="149"/>
      <c r="I18" s="166"/>
      <c r="J18" s="166"/>
      <c r="K18" s="166"/>
      <c r="L18" s="166"/>
      <c r="M18" s="166"/>
      <c r="N18" s="715"/>
      <c r="O18" s="166"/>
      <c r="P18" s="166"/>
      <c r="Q18" s="716"/>
      <c r="R18" s="714"/>
      <c r="S18" s="717"/>
      <c r="T18" s="714"/>
      <c r="U18" s="166"/>
      <c r="V18" s="166"/>
      <c r="W18" s="166"/>
      <c r="X18" s="166"/>
      <c r="Y18" s="718"/>
      <c r="Z18" s="719"/>
      <c r="AA18" s="719"/>
      <c r="AB18" s="166"/>
      <c r="AC18" s="166"/>
      <c r="AD18" s="166"/>
      <c r="AE18" s="87"/>
      <c r="AF18" s="87"/>
      <c r="AG18" s="87"/>
      <c r="AH18" s="87"/>
      <c r="AI18" s="87"/>
      <c r="AJ18" s="87"/>
      <c r="AK18" s="87"/>
      <c r="AL18" s="87"/>
      <c r="AM18" s="87"/>
    </row>
    <row r="19">
      <c r="A19" s="87"/>
      <c r="B19" s="713"/>
      <c r="C19" s="713"/>
      <c r="D19" s="166"/>
      <c r="E19" s="677" t="str">
        <f t="shared" si="2"/>
        <v/>
      </c>
      <c r="F19" s="714"/>
      <c r="G19" s="166"/>
      <c r="H19" s="149"/>
      <c r="I19" s="166"/>
      <c r="J19" s="166"/>
      <c r="K19" s="166"/>
      <c r="L19" s="166"/>
      <c r="M19" s="166"/>
      <c r="N19" s="715"/>
      <c r="O19" s="166"/>
      <c r="P19" s="166"/>
      <c r="Q19" s="716"/>
      <c r="R19" s="714"/>
      <c r="S19" s="717"/>
      <c r="T19" s="714"/>
      <c r="U19" s="166"/>
      <c r="V19" s="166"/>
      <c r="W19" s="166"/>
      <c r="X19" s="166"/>
      <c r="Y19" s="718"/>
      <c r="Z19" s="719"/>
      <c r="AA19" s="719"/>
      <c r="AB19" s="166"/>
      <c r="AC19" s="166"/>
      <c r="AD19" s="166"/>
      <c r="AE19" s="87"/>
      <c r="AF19" s="87"/>
      <c r="AG19" s="87"/>
      <c r="AH19" s="87"/>
      <c r="AI19" s="87"/>
      <c r="AJ19" s="87"/>
      <c r="AK19" s="87"/>
      <c r="AL19" s="87"/>
      <c r="AM19" s="87"/>
    </row>
    <row r="20">
      <c r="A20" s="87"/>
      <c r="B20" s="713"/>
      <c r="C20" s="713"/>
      <c r="D20" s="166"/>
      <c r="E20" s="677" t="str">
        <f t="shared" si="2"/>
        <v/>
      </c>
      <c r="F20" s="714"/>
      <c r="G20" s="166"/>
      <c r="H20" s="166"/>
      <c r="I20" s="166"/>
      <c r="J20" s="166"/>
      <c r="K20" s="166"/>
      <c r="L20" s="166"/>
      <c r="M20" s="166"/>
      <c r="N20" s="715"/>
      <c r="O20" s="166"/>
      <c r="P20" s="166"/>
      <c r="Q20" s="716"/>
      <c r="R20" s="714"/>
      <c r="S20" s="717"/>
      <c r="T20" s="714"/>
      <c r="U20" s="166"/>
      <c r="V20" s="166"/>
      <c r="W20" s="166"/>
      <c r="X20" s="166"/>
      <c r="Y20" s="718"/>
      <c r="Z20" s="719"/>
      <c r="AA20" s="719"/>
      <c r="AB20" s="166"/>
      <c r="AC20" s="166"/>
      <c r="AD20" s="166"/>
      <c r="AE20" s="87"/>
      <c r="AF20" s="87"/>
      <c r="AG20" s="87"/>
      <c r="AH20" s="87"/>
      <c r="AI20" s="87"/>
      <c r="AJ20" s="87"/>
      <c r="AK20" s="87"/>
      <c r="AL20" s="87"/>
      <c r="AM20" s="87"/>
    </row>
    <row r="21">
      <c r="A21" s="87"/>
      <c r="B21" s="713"/>
      <c r="C21" s="713"/>
      <c r="D21" s="166"/>
      <c r="E21" s="677" t="str">
        <f t="shared" si="2"/>
        <v/>
      </c>
      <c r="F21" s="714"/>
      <c r="G21" s="166"/>
      <c r="H21" s="166"/>
      <c r="I21" s="166"/>
      <c r="J21" s="166"/>
      <c r="K21" s="166"/>
      <c r="L21" s="166"/>
      <c r="M21" s="166"/>
      <c r="N21" s="715"/>
      <c r="O21" s="166"/>
      <c r="P21" s="166"/>
      <c r="Q21" s="716"/>
      <c r="R21" s="714"/>
      <c r="S21" s="717"/>
      <c r="T21" s="714"/>
      <c r="U21" s="166"/>
      <c r="V21" s="166"/>
      <c r="W21" s="166"/>
      <c r="X21" s="166"/>
      <c r="Y21" s="718"/>
      <c r="Z21" s="719"/>
      <c r="AA21" s="719"/>
      <c r="AB21" s="166"/>
      <c r="AC21" s="166"/>
      <c r="AD21" s="166"/>
      <c r="AE21" s="87"/>
      <c r="AF21" s="87"/>
      <c r="AG21" s="87"/>
      <c r="AH21" s="87"/>
      <c r="AI21" s="87"/>
      <c r="AJ21" s="87"/>
      <c r="AK21" s="87"/>
      <c r="AL21" s="87"/>
      <c r="AM21" s="87"/>
    </row>
    <row r="22">
      <c r="A22" s="87"/>
      <c r="B22" s="713"/>
      <c r="C22" s="713"/>
      <c r="D22" s="166"/>
      <c r="E22" s="677" t="str">
        <f t="shared" si="2"/>
        <v/>
      </c>
      <c r="F22" s="714"/>
      <c r="G22" s="166"/>
      <c r="H22" s="166"/>
      <c r="I22" s="166"/>
      <c r="J22" s="166"/>
      <c r="K22" s="166"/>
      <c r="L22" s="166"/>
      <c r="M22" s="166"/>
      <c r="N22" s="715"/>
      <c r="O22" s="166"/>
      <c r="P22" s="166"/>
      <c r="Q22" s="716"/>
      <c r="R22" s="714"/>
      <c r="S22" s="717"/>
      <c r="T22" s="714"/>
      <c r="U22" s="166"/>
      <c r="V22" s="166"/>
      <c r="W22" s="166"/>
      <c r="X22" s="166"/>
      <c r="Y22" s="718"/>
      <c r="Z22" s="719"/>
      <c r="AA22" s="719"/>
      <c r="AB22" s="166"/>
      <c r="AC22" s="166"/>
      <c r="AD22" s="166"/>
      <c r="AE22" s="87"/>
      <c r="AF22" s="87"/>
      <c r="AG22" s="87"/>
      <c r="AH22" s="87"/>
      <c r="AI22" s="87"/>
      <c r="AJ22" s="87"/>
      <c r="AK22" s="87"/>
      <c r="AL22" s="87"/>
      <c r="AM22" s="87"/>
    </row>
    <row r="23">
      <c r="A23" s="87"/>
      <c r="B23" s="713"/>
      <c r="C23" s="713"/>
      <c r="D23" s="166"/>
      <c r="E23" s="677" t="str">
        <f t="shared" si="2"/>
        <v/>
      </c>
      <c r="F23" s="714"/>
      <c r="G23" s="166"/>
      <c r="H23" s="166"/>
      <c r="I23" s="166"/>
      <c r="J23" s="166"/>
      <c r="K23" s="166"/>
      <c r="L23" s="166"/>
      <c r="M23" s="166"/>
      <c r="N23" s="715"/>
      <c r="O23" s="166"/>
      <c r="P23" s="166"/>
      <c r="Q23" s="716"/>
      <c r="R23" s="714"/>
      <c r="S23" s="717"/>
      <c r="T23" s="714"/>
      <c r="U23" s="166"/>
      <c r="V23" s="166"/>
      <c r="W23" s="166"/>
      <c r="X23" s="166"/>
      <c r="Y23" s="718"/>
      <c r="Z23" s="719"/>
      <c r="AA23" s="719"/>
      <c r="AB23" s="166"/>
      <c r="AC23" s="166"/>
      <c r="AD23" s="166"/>
      <c r="AE23" s="87"/>
      <c r="AF23" s="87"/>
      <c r="AG23" s="87"/>
      <c r="AH23" s="87"/>
      <c r="AI23" s="87"/>
      <c r="AJ23" s="87"/>
      <c r="AK23" s="87"/>
      <c r="AL23" s="87"/>
      <c r="AM23" s="87"/>
    </row>
    <row r="24">
      <c r="A24" s="87"/>
      <c r="B24" s="713"/>
      <c r="C24" s="713"/>
      <c r="D24" s="166"/>
      <c r="E24" s="677" t="str">
        <f t="shared" si="2"/>
        <v/>
      </c>
      <c r="F24" s="714"/>
      <c r="G24" s="166"/>
      <c r="H24" s="166"/>
      <c r="I24" s="166"/>
      <c r="J24" s="166"/>
      <c r="K24" s="166"/>
      <c r="L24" s="166"/>
      <c r="M24" s="166"/>
      <c r="N24" s="715"/>
      <c r="O24" s="166"/>
      <c r="P24" s="166"/>
      <c r="Q24" s="716"/>
      <c r="R24" s="714"/>
      <c r="S24" s="717"/>
      <c r="T24" s="714"/>
      <c r="U24" s="166"/>
      <c r="V24" s="166"/>
      <c r="W24" s="166"/>
      <c r="X24" s="166"/>
      <c r="Y24" s="718"/>
      <c r="Z24" s="719"/>
      <c r="AA24" s="719"/>
      <c r="AB24" s="166"/>
      <c r="AC24" s="166"/>
      <c r="AD24" s="166"/>
      <c r="AE24" s="87"/>
      <c r="AF24" s="87"/>
      <c r="AG24" s="87"/>
      <c r="AH24" s="87"/>
      <c r="AI24" s="87"/>
      <c r="AJ24" s="87"/>
      <c r="AK24" s="87"/>
      <c r="AL24" s="87"/>
      <c r="AM24" s="87"/>
    </row>
    <row r="25">
      <c r="A25" s="87"/>
      <c r="B25" s="713"/>
      <c r="C25" s="166"/>
      <c r="D25" s="166"/>
      <c r="E25" s="677" t="str">
        <f t="shared" si="2"/>
        <v/>
      </c>
      <c r="F25" s="714"/>
      <c r="G25" s="166"/>
      <c r="H25" s="166"/>
      <c r="I25" s="166"/>
      <c r="J25" s="166"/>
      <c r="K25" s="166"/>
      <c r="L25" s="166"/>
      <c r="M25" s="166"/>
      <c r="N25" s="715"/>
      <c r="O25" s="166"/>
      <c r="P25" s="166"/>
      <c r="Q25" s="716"/>
      <c r="R25" s="714"/>
      <c r="S25" s="717"/>
      <c r="T25" s="714"/>
      <c r="U25" s="166"/>
      <c r="V25" s="166"/>
      <c r="W25" s="166"/>
      <c r="X25" s="166"/>
      <c r="Y25" s="718"/>
      <c r="Z25" s="719"/>
      <c r="AA25" s="719"/>
      <c r="AB25" s="166"/>
      <c r="AC25" s="166"/>
      <c r="AD25" s="166"/>
      <c r="AE25" s="87"/>
      <c r="AF25" s="87"/>
      <c r="AG25" s="87"/>
      <c r="AH25" s="87"/>
      <c r="AI25" s="87"/>
      <c r="AJ25" s="87"/>
      <c r="AK25" s="87"/>
      <c r="AL25" s="87"/>
      <c r="AM25" s="87"/>
    </row>
    <row r="26">
      <c r="A26" s="87"/>
      <c r="B26" s="713"/>
      <c r="C26" s="166"/>
      <c r="D26" s="166"/>
      <c r="E26" s="677" t="str">
        <f t="shared" si="2"/>
        <v/>
      </c>
      <c r="F26" s="714"/>
      <c r="G26" s="166"/>
      <c r="H26" s="166"/>
      <c r="I26" s="166"/>
      <c r="J26" s="166"/>
      <c r="K26" s="166"/>
      <c r="L26" s="166"/>
      <c r="M26" s="166"/>
      <c r="N26" s="715"/>
      <c r="O26" s="166"/>
      <c r="P26" s="166"/>
      <c r="Q26" s="716"/>
      <c r="R26" s="714"/>
      <c r="S26" s="717"/>
      <c r="T26" s="714"/>
      <c r="U26" s="166"/>
      <c r="V26" s="166"/>
      <c r="W26" s="166"/>
      <c r="X26" s="166"/>
      <c r="Y26" s="718"/>
      <c r="Z26" s="719"/>
      <c r="AA26" s="719"/>
      <c r="AB26" s="166"/>
      <c r="AC26" s="166"/>
      <c r="AD26" s="166"/>
      <c r="AE26" s="87"/>
      <c r="AF26" s="87"/>
      <c r="AG26" s="87"/>
      <c r="AH26" s="87"/>
      <c r="AI26" s="87"/>
      <c r="AJ26" s="87"/>
      <c r="AK26" s="87"/>
      <c r="AL26" s="87"/>
      <c r="AM26" s="87"/>
    </row>
    <row r="27">
      <c r="A27" s="87"/>
      <c r="B27" s="713"/>
      <c r="C27" s="166"/>
      <c r="D27" s="166"/>
      <c r="E27" s="677" t="str">
        <f t="shared" si="2"/>
        <v/>
      </c>
      <c r="F27" s="714"/>
      <c r="G27" s="166"/>
      <c r="H27" s="166"/>
      <c r="I27" s="166"/>
      <c r="J27" s="166"/>
      <c r="K27" s="166"/>
      <c r="L27" s="166"/>
      <c r="M27" s="166"/>
      <c r="N27" s="715"/>
      <c r="O27" s="166"/>
      <c r="P27" s="166"/>
      <c r="Q27" s="716"/>
      <c r="R27" s="714"/>
      <c r="S27" s="717"/>
      <c r="T27" s="714"/>
      <c r="U27" s="166"/>
      <c r="V27" s="166"/>
      <c r="W27" s="166"/>
      <c r="X27" s="166"/>
      <c r="Y27" s="718"/>
      <c r="Z27" s="719"/>
      <c r="AA27" s="719"/>
      <c r="AB27" s="166"/>
      <c r="AC27" s="166"/>
      <c r="AD27" s="166"/>
      <c r="AE27" s="87"/>
      <c r="AF27" s="87"/>
      <c r="AG27" s="87"/>
      <c r="AH27" s="87"/>
      <c r="AI27" s="87"/>
      <c r="AJ27" s="87"/>
      <c r="AK27" s="87"/>
      <c r="AL27" s="87"/>
      <c r="AM27" s="87"/>
    </row>
    <row r="28">
      <c r="A28" s="87"/>
      <c r="B28" s="713"/>
      <c r="C28" s="166"/>
      <c r="D28" s="166"/>
      <c r="E28" s="677" t="str">
        <f t="shared" si="2"/>
        <v/>
      </c>
      <c r="F28" s="714"/>
      <c r="G28" s="166"/>
      <c r="H28" s="166"/>
      <c r="I28" s="166"/>
      <c r="J28" s="166"/>
      <c r="K28" s="166"/>
      <c r="L28" s="166"/>
      <c r="M28" s="166"/>
      <c r="N28" s="715"/>
      <c r="O28" s="166"/>
      <c r="P28" s="166"/>
      <c r="Q28" s="716"/>
      <c r="R28" s="714"/>
      <c r="S28" s="717"/>
      <c r="T28" s="714"/>
      <c r="U28" s="166"/>
      <c r="V28" s="166"/>
      <c r="W28" s="166"/>
      <c r="X28" s="166"/>
      <c r="Y28" s="718"/>
      <c r="Z28" s="719"/>
      <c r="AA28" s="719"/>
      <c r="AB28" s="166"/>
      <c r="AC28" s="166"/>
      <c r="AD28" s="166"/>
      <c r="AE28" s="87"/>
      <c r="AF28" s="87"/>
      <c r="AG28" s="87"/>
      <c r="AH28" s="87"/>
      <c r="AI28" s="87"/>
      <c r="AJ28" s="87"/>
      <c r="AK28" s="87"/>
      <c r="AL28" s="87"/>
      <c r="AM28" s="87"/>
    </row>
    <row r="29">
      <c r="A29" s="87"/>
      <c r="B29" s="713"/>
      <c r="C29" s="166"/>
      <c r="D29" s="166"/>
      <c r="E29" s="677" t="str">
        <f t="shared" si="2"/>
        <v/>
      </c>
      <c r="F29" s="714"/>
      <c r="G29" s="166"/>
      <c r="H29" s="166"/>
      <c r="I29" s="166"/>
      <c r="J29" s="166"/>
      <c r="K29" s="166"/>
      <c r="L29" s="166"/>
      <c r="M29" s="166"/>
      <c r="N29" s="715"/>
      <c r="O29" s="166"/>
      <c r="P29" s="166"/>
      <c r="Q29" s="716"/>
      <c r="R29" s="714"/>
      <c r="S29" s="717"/>
      <c r="T29" s="714"/>
      <c r="U29" s="166"/>
      <c r="V29" s="166"/>
      <c r="W29" s="166"/>
      <c r="X29" s="166"/>
      <c r="Y29" s="718"/>
      <c r="Z29" s="719"/>
      <c r="AA29" s="719"/>
      <c r="AB29" s="166"/>
      <c r="AC29" s="166"/>
      <c r="AD29" s="166"/>
      <c r="AE29" s="87"/>
      <c r="AF29" s="87"/>
      <c r="AG29" s="87"/>
      <c r="AH29" s="87"/>
      <c r="AI29" s="87"/>
      <c r="AJ29" s="87"/>
      <c r="AK29" s="87"/>
      <c r="AL29" s="87"/>
      <c r="AM29" s="87"/>
    </row>
    <row r="30">
      <c r="A30" s="87"/>
      <c r="B30" s="713"/>
      <c r="C30" s="166"/>
      <c r="D30" s="166"/>
      <c r="E30" s="677" t="str">
        <f t="shared" si="2"/>
        <v/>
      </c>
      <c r="F30" s="714"/>
      <c r="G30" s="166"/>
      <c r="H30" s="166"/>
      <c r="I30" s="166"/>
      <c r="J30" s="166"/>
      <c r="K30" s="166"/>
      <c r="L30" s="166"/>
      <c r="M30" s="166"/>
      <c r="N30" s="715"/>
      <c r="O30" s="166"/>
      <c r="P30" s="166"/>
      <c r="Q30" s="716"/>
      <c r="R30" s="714"/>
      <c r="S30" s="717"/>
      <c r="T30" s="714"/>
      <c r="U30" s="166"/>
      <c r="V30" s="166"/>
      <c r="W30" s="166"/>
      <c r="X30" s="166"/>
      <c r="Y30" s="718"/>
      <c r="Z30" s="719"/>
      <c r="AA30" s="719"/>
      <c r="AB30" s="166"/>
      <c r="AC30" s="166"/>
      <c r="AD30" s="166"/>
      <c r="AE30" s="87"/>
      <c r="AF30" s="87"/>
      <c r="AG30" s="87"/>
      <c r="AH30" s="87"/>
      <c r="AI30" s="87"/>
      <c r="AJ30" s="87"/>
      <c r="AK30" s="87"/>
      <c r="AL30" s="87"/>
      <c r="AM30" s="87"/>
    </row>
    <row r="31">
      <c r="A31" s="87"/>
      <c r="B31" s="713"/>
      <c r="C31" s="166"/>
      <c r="D31" s="166"/>
      <c r="E31" s="677" t="str">
        <f t="shared" si="2"/>
        <v/>
      </c>
      <c r="F31" s="714"/>
      <c r="G31" s="166"/>
      <c r="H31" s="166"/>
      <c r="I31" s="166"/>
      <c r="J31" s="166"/>
      <c r="K31" s="166"/>
      <c r="L31" s="166"/>
      <c r="M31" s="166"/>
      <c r="N31" s="715"/>
      <c r="O31" s="166"/>
      <c r="P31" s="166"/>
      <c r="Q31" s="716"/>
      <c r="R31" s="714"/>
      <c r="S31" s="717"/>
      <c r="T31" s="714"/>
      <c r="U31" s="166"/>
      <c r="V31" s="166"/>
      <c r="W31" s="166"/>
      <c r="X31" s="166"/>
      <c r="Y31" s="718"/>
      <c r="Z31" s="719"/>
      <c r="AA31" s="719"/>
      <c r="AB31" s="166"/>
      <c r="AC31" s="166"/>
      <c r="AD31" s="166"/>
      <c r="AE31" s="87"/>
      <c r="AF31" s="87"/>
      <c r="AG31" s="87"/>
      <c r="AH31" s="87"/>
      <c r="AI31" s="87"/>
      <c r="AJ31" s="87"/>
      <c r="AK31" s="87"/>
      <c r="AL31" s="87"/>
      <c r="AM31" s="87"/>
    </row>
    <row r="32">
      <c r="A32" s="87"/>
      <c r="B32" s="713"/>
      <c r="C32" s="166"/>
      <c r="D32" s="166"/>
      <c r="E32" s="677" t="str">
        <f t="shared" si="2"/>
        <v/>
      </c>
      <c r="F32" s="714"/>
      <c r="G32" s="166"/>
      <c r="H32" s="166"/>
      <c r="I32" s="166"/>
      <c r="J32" s="166"/>
      <c r="K32" s="166"/>
      <c r="L32" s="166"/>
      <c r="M32" s="166"/>
      <c r="N32" s="715"/>
      <c r="O32" s="166"/>
      <c r="P32" s="166"/>
      <c r="Q32" s="716"/>
      <c r="R32" s="714"/>
      <c r="S32" s="717"/>
      <c r="T32" s="714"/>
      <c r="U32" s="166"/>
      <c r="V32" s="166"/>
      <c r="W32" s="166"/>
      <c r="X32" s="166"/>
      <c r="Y32" s="718"/>
      <c r="Z32" s="719"/>
      <c r="AA32" s="719"/>
      <c r="AB32" s="166"/>
      <c r="AC32" s="166"/>
      <c r="AD32" s="166"/>
      <c r="AE32" s="87"/>
      <c r="AF32" s="87"/>
      <c r="AG32" s="87"/>
      <c r="AH32" s="87"/>
      <c r="AI32" s="87"/>
      <c r="AJ32" s="87"/>
      <c r="AK32" s="87"/>
      <c r="AL32" s="87"/>
      <c r="AM32" s="87"/>
    </row>
    <row r="33">
      <c r="A33" s="87"/>
      <c r="B33" s="713"/>
      <c r="C33" s="166"/>
      <c r="D33" s="166"/>
      <c r="E33" s="677" t="str">
        <f t="shared" si="2"/>
        <v/>
      </c>
      <c r="F33" s="714"/>
      <c r="G33" s="166"/>
      <c r="H33" s="166"/>
      <c r="I33" s="166"/>
      <c r="J33" s="166"/>
      <c r="K33" s="166"/>
      <c r="L33" s="166"/>
      <c r="M33" s="166"/>
      <c r="N33" s="715"/>
      <c r="O33" s="166"/>
      <c r="P33" s="166"/>
      <c r="Q33" s="716"/>
      <c r="R33" s="714"/>
      <c r="S33" s="717"/>
      <c r="T33" s="714"/>
      <c r="U33" s="166"/>
      <c r="V33" s="166"/>
      <c r="W33" s="166"/>
      <c r="X33" s="166"/>
      <c r="Y33" s="718"/>
      <c r="Z33" s="719"/>
      <c r="AA33" s="719"/>
      <c r="AB33" s="166"/>
      <c r="AC33" s="166"/>
      <c r="AD33" s="166"/>
      <c r="AE33" s="87"/>
      <c r="AF33" s="87"/>
      <c r="AG33" s="87"/>
      <c r="AH33" s="87"/>
      <c r="AI33" s="87"/>
      <c r="AJ33" s="87"/>
      <c r="AK33" s="87"/>
      <c r="AL33" s="87"/>
      <c r="AM33" s="87"/>
    </row>
    <row r="34">
      <c r="A34" s="87"/>
      <c r="B34" s="713"/>
      <c r="C34" s="166"/>
      <c r="D34" s="166"/>
      <c r="E34" s="677" t="str">
        <f t="shared" si="2"/>
        <v/>
      </c>
      <c r="F34" s="714"/>
      <c r="G34" s="166"/>
      <c r="H34" s="166"/>
      <c r="I34" s="166"/>
      <c r="J34" s="166"/>
      <c r="K34" s="166"/>
      <c r="L34" s="166"/>
      <c r="M34" s="166"/>
      <c r="N34" s="715"/>
      <c r="O34" s="166"/>
      <c r="P34" s="166"/>
      <c r="Q34" s="716"/>
      <c r="R34" s="714"/>
      <c r="S34" s="717"/>
      <c r="T34" s="714"/>
      <c r="U34" s="166"/>
      <c r="V34" s="166"/>
      <c r="W34" s="166"/>
      <c r="X34" s="166"/>
      <c r="Y34" s="718"/>
      <c r="Z34" s="719"/>
      <c r="AA34" s="719"/>
      <c r="AB34" s="166"/>
      <c r="AC34" s="166"/>
      <c r="AD34" s="166"/>
      <c r="AE34" s="87"/>
      <c r="AF34" s="87"/>
      <c r="AG34" s="87"/>
      <c r="AH34" s="87"/>
      <c r="AI34" s="87"/>
      <c r="AJ34" s="87"/>
      <c r="AK34" s="87"/>
      <c r="AL34" s="87"/>
      <c r="AM34" s="87"/>
    </row>
    <row r="35">
      <c r="A35" s="87"/>
      <c r="B35" s="713"/>
      <c r="C35" s="166"/>
      <c r="D35" s="166"/>
      <c r="E35" s="677" t="str">
        <f t="shared" si="2"/>
        <v/>
      </c>
      <c r="F35" s="714"/>
      <c r="G35" s="166"/>
      <c r="H35" s="166"/>
      <c r="I35" s="166"/>
      <c r="J35" s="166"/>
      <c r="K35" s="166"/>
      <c r="L35" s="166"/>
      <c r="M35" s="166"/>
      <c r="N35" s="715"/>
      <c r="O35" s="166"/>
      <c r="P35" s="166"/>
      <c r="Q35" s="716"/>
      <c r="R35" s="714"/>
      <c r="S35" s="717"/>
      <c r="T35" s="714"/>
      <c r="U35" s="166"/>
      <c r="V35" s="166"/>
      <c r="W35" s="166"/>
      <c r="X35" s="166"/>
      <c r="Y35" s="718"/>
      <c r="Z35" s="719"/>
      <c r="AA35" s="719"/>
      <c r="AB35" s="166"/>
      <c r="AC35" s="166"/>
      <c r="AD35" s="166"/>
      <c r="AE35" s="87"/>
      <c r="AF35" s="87"/>
      <c r="AG35" s="87"/>
      <c r="AH35" s="87"/>
      <c r="AI35" s="87"/>
      <c r="AJ35" s="87"/>
      <c r="AK35" s="87"/>
      <c r="AL35" s="87"/>
      <c r="AM35" s="87"/>
    </row>
    <row r="36">
      <c r="A36" s="87"/>
      <c r="B36" s="713"/>
      <c r="C36" s="166"/>
      <c r="D36" s="166"/>
      <c r="E36" s="677" t="str">
        <f t="shared" si="2"/>
        <v/>
      </c>
      <c r="F36" s="714"/>
      <c r="G36" s="166"/>
      <c r="H36" s="166"/>
      <c r="I36" s="166"/>
      <c r="J36" s="166"/>
      <c r="K36" s="166"/>
      <c r="L36" s="166"/>
      <c r="M36" s="166"/>
      <c r="N36" s="715"/>
      <c r="O36" s="166"/>
      <c r="P36" s="166"/>
      <c r="Q36" s="716"/>
      <c r="R36" s="714"/>
      <c r="S36" s="717"/>
      <c r="T36" s="714"/>
      <c r="U36" s="166"/>
      <c r="V36" s="166"/>
      <c r="W36" s="166"/>
      <c r="X36" s="166"/>
      <c r="Y36" s="718"/>
      <c r="Z36" s="719"/>
      <c r="AA36" s="719"/>
      <c r="AB36" s="166"/>
      <c r="AC36" s="166"/>
      <c r="AD36" s="166"/>
      <c r="AE36" s="87"/>
      <c r="AF36" s="87"/>
      <c r="AG36" s="87"/>
      <c r="AH36" s="87"/>
      <c r="AI36" s="87"/>
      <c r="AJ36" s="87"/>
      <c r="AK36" s="87"/>
      <c r="AL36" s="87"/>
      <c r="AM36" s="87"/>
    </row>
    <row r="37">
      <c r="A37" s="87"/>
      <c r="B37" s="713"/>
      <c r="C37" s="166"/>
      <c r="D37" s="166"/>
      <c r="E37" s="677" t="str">
        <f t="shared" si="2"/>
        <v/>
      </c>
      <c r="F37" s="714"/>
      <c r="G37" s="166"/>
      <c r="H37" s="166"/>
      <c r="I37" s="166"/>
      <c r="J37" s="166"/>
      <c r="K37" s="166"/>
      <c r="L37" s="166"/>
      <c r="M37" s="166"/>
      <c r="N37" s="715"/>
      <c r="O37" s="166"/>
      <c r="P37" s="166"/>
      <c r="Q37" s="716"/>
      <c r="R37" s="714"/>
      <c r="S37" s="717"/>
      <c r="T37" s="714"/>
      <c r="U37" s="166"/>
      <c r="V37" s="166"/>
      <c r="W37" s="166"/>
      <c r="X37" s="166"/>
      <c r="Y37" s="718"/>
      <c r="Z37" s="719"/>
      <c r="AA37" s="719"/>
      <c r="AB37" s="166"/>
      <c r="AC37" s="166"/>
      <c r="AD37" s="166"/>
      <c r="AE37" s="87"/>
      <c r="AF37" s="87"/>
      <c r="AG37" s="87"/>
      <c r="AH37" s="87"/>
      <c r="AI37" s="87"/>
      <c r="AJ37" s="87"/>
      <c r="AK37" s="87"/>
      <c r="AL37" s="87"/>
      <c r="AM37" s="87"/>
    </row>
    <row r="38">
      <c r="A38" s="87"/>
      <c r="B38" s="713"/>
      <c r="C38" s="166"/>
      <c r="D38" s="166"/>
      <c r="E38" s="677" t="str">
        <f t="shared" si="2"/>
        <v/>
      </c>
      <c r="F38" s="714"/>
      <c r="G38" s="166"/>
      <c r="H38" s="166"/>
      <c r="I38" s="166"/>
      <c r="J38" s="166"/>
      <c r="K38" s="166"/>
      <c r="L38" s="166"/>
      <c r="M38" s="166"/>
      <c r="N38" s="715"/>
      <c r="O38" s="166"/>
      <c r="P38" s="166"/>
      <c r="Q38" s="716"/>
      <c r="R38" s="714"/>
      <c r="S38" s="717"/>
      <c r="T38" s="714"/>
      <c r="U38" s="166"/>
      <c r="V38" s="166"/>
      <c r="W38" s="166"/>
      <c r="X38" s="166"/>
      <c r="Y38" s="718"/>
      <c r="Z38" s="719"/>
      <c r="AA38" s="719"/>
      <c r="AB38" s="166"/>
      <c r="AC38" s="166"/>
      <c r="AD38" s="166"/>
      <c r="AE38" s="87"/>
      <c r="AF38" s="87"/>
      <c r="AG38" s="87"/>
      <c r="AH38" s="87"/>
      <c r="AI38" s="87"/>
      <c r="AJ38" s="87"/>
      <c r="AK38" s="87"/>
      <c r="AL38" s="87"/>
      <c r="AM38" s="87"/>
    </row>
    <row r="39">
      <c r="A39" s="87"/>
      <c r="B39" s="713"/>
      <c r="C39" s="166"/>
      <c r="D39" s="166"/>
      <c r="E39" s="677" t="str">
        <f t="shared" si="2"/>
        <v/>
      </c>
      <c r="F39" s="714"/>
      <c r="G39" s="166"/>
      <c r="H39" s="166"/>
      <c r="I39" s="166"/>
      <c r="J39" s="166"/>
      <c r="K39" s="166"/>
      <c r="L39" s="166"/>
      <c r="M39" s="166"/>
      <c r="N39" s="715"/>
      <c r="O39" s="166"/>
      <c r="P39" s="166"/>
      <c r="Q39" s="716"/>
      <c r="R39" s="714"/>
      <c r="S39" s="717"/>
      <c r="T39" s="714"/>
      <c r="U39" s="166"/>
      <c r="V39" s="166"/>
      <c r="W39" s="166"/>
      <c r="X39" s="166"/>
      <c r="Y39" s="718"/>
      <c r="Z39" s="719"/>
      <c r="AA39" s="719"/>
      <c r="AB39" s="166"/>
      <c r="AC39" s="166"/>
      <c r="AD39" s="166"/>
      <c r="AE39" s="87"/>
      <c r="AF39" s="87"/>
      <c r="AG39" s="87"/>
      <c r="AH39" s="87"/>
      <c r="AI39" s="87"/>
      <c r="AJ39" s="87"/>
      <c r="AK39" s="87"/>
      <c r="AL39" s="87"/>
      <c r="AM39" s="87"/>
    </row>
    <row r="40">
      <c r="A40" s="87"/>
      <c r="B40" s="713"/>
      <c r="C40" s="166"/>
      <c r="D40" s="166"/>
      <c r="E40" s="677" t="str">
        <f t="shared" si="2"/>
        <v/>
      </c>
      <c r="F40" s="714"/>
      <c r="G40" s="166"/>
      <c r="H40" s="166"/>
      <c r="I40" s="166"/>
      <c r="J40" s="166"/>
      <c r="K40" s="166"/>
      <c r="L40" s="166"/>
      <c r="M40" s="166"/>
      <c r="N40" s="715"/>
      <c r="O40" s="166"/>
      <c r="P40" s="166"/>
      <c r="Q40" s="716"/>
      <c r="R40" s="714"/>
      <c r="S40" s="717"/>
      <c r="T40" s="714"/>
      <c r="U40" s="166"/>
      <c r="V40" s="166"/>
      <c r="W40" s="166"/>
      <c r="X40" s="166"/>
      <c r="Y40" s="718"/>
      <c r="Z40" s="719"/>
      <c r="AA40" s="719"/>
      <c r="AB40" s="166"/>
      <c r="AC40" s="166"/>
      <c r="AD40" s="166"/>
      <c r="AE40" s="87"/>
      <c r="AF40" s="87"/>
      <c r="AG40" s="87"/>
      <c r="AH40" s="87"/>
      <c r="AI40" s="87"/>
      <c r="AJ40" s="87"/>
      <c r="AK40" s="87"/>
      <c r="AL40" s="87"/>
      <c r="AM40" s="87"/>
    </row>
    <row r="41">
      <c r="A41" s="87"/>
      <c r="B41" s="713"/>
      <c r="C41" s="166"/>
      <c r="D41" s="166"/>
      <c r="E41" s="677" t="str">
        <f t="shared" si="2"/>
        <v/>
      </c>
      <c r="F41" s="714"/>
      <c r="G41" s="166"/>
      <c r="H41" s="166"/>
      <c r="I41" s="166"/>
      <c r="J41" s="166"/>
      <c r="K41" s="166"/>
      <c r="L41" s="166"/>
      <c r="M41" s="166"/>
      <c r="N41" s="715"/>
      <c r="O41" s="166"/>
      <c r="P41" s="166"/>
      <c r="Q41" s="716"/>
      <c r="R41" s="714"/>
      <c r="S41" s="717"/>
      <c r="T41" s="714"/>
      <c r="U41" s="166"/>
      <c r="V41" s="166"/>
      <c r="W41" s="166"/>
      <c r="X41" s="166"/>
      <c r="Y41" s="718"/>
      <c r="Z41" s="719"/>
      <c r="AA41" s="719"/>
      <c r="AB41" s="166"/>
      <c r="AC41" s="166"/>
      <c r="AD41" s="166"/>
      <c r="AE41" s="87"/>
      <c r="AF41" s="87"/>
      <c r="AG41" s="87"/>
      <c r="AH41" s="87"/>
      <c r="AI41" s="87"/>
      <c r="AJ41" s="87"/>
      <c r="AK41" s="87"/>
      <c r="AL41" s="87"/>
      <c r="AM41" s="87"/>
    </row>
    <row r="42">
      <c r="A42" s="87"/>
      <c r="B42" s="713"/>
      <c r="C42" s="166"/>
      <c r="D42" s="166"/>
      <c r="E42" s="677" t="str">
        <f t="shared" si="2"/>
        <v/>
      </c>
      <c r="F42" s="714"/>
      <c r="G42" s="166"/>
      <c r="H42" s="166"/>
      <c r="I42" s="166"/>
      <c r="J42" s="166"/>
      <c r="K42" s="166"/>
      <c r="L42" s="166"/>
      <c r="M42" s="166"/>
      <c r="N42" s="715"/>
      <c r="O42" s="166"/>
      <c r="P42" s="166"/>
      <c r="Q42" s="716"/>
      <c r="R42" s="714"/>
      <c r="S42" s="717"/>
      <c r="T42" s="714"/>
      <c r="U42" s="166"/>
      <c r="V42" s="166"/>
      <c r="W42" s="166"/>
      <c r="X42" s="166"/>
      <c r="Y42" s="718"/>
      <c r="Z42" s="719"/>
      <c r="AA42" s="719"/>
      <c r="AB42" s="166"/>
      <c r="AC42" s="166"/>
      <c r="AD42" s="166"/>
      <c r="AE42" s="87"/>
      <c r="AF42" s="87"/>
      <c r="AG42" s="87"/>
      <c r="AH42" s="87"/>
      <c r="AI42" s="87"/>
      <c r="AJ42" s="87"/>
      <c r="AK42" s="87"/>
      <c r="AL42" s="87"/>
      <c r="AM42" s="87"/>
    </row>
    <row r="43">
      <c r="A43" s="87"/>
      <c r="B43" s="720"/>
      <c r="C43" s="720"/>
      <c r="D43" s="720"/>
      <c r="E43" s="677" t="str">
        <f t="shared" si="2"/>
        <v/>
      </c>
      <c r="F43" s="720"/>
      <c r="G43" s="720"/>
      <c r="H43" s="720"/>
      <c r="I43" s="720"/>
      <c r="J43" s="720"/>
      <c r="K43" s="720"/>
      <c r="L43" s="720"/>
      <c r="M43" s="720"/>
      <c r="N43" s="721"/>
      <c r="O43" s="720"/>
      <c r="P43" s="720"/>
      <c r="Q43" s="722"/>
      <c r="R43" s="723"/>
      <c r="S43" s="724"/>
      <c r="T43" s="723"/>
      <c r="U43" s="720"/>
      <c r="V43" s="720"/>
      <c r="W43" s="720"/>
      <c r="X43" s="720"/>
      <c r="Y43" s="725"/>
      <c r="Z43" s="726"/>
      <c r="AA43" s="726"/>
      <c r="AB43" s="166"/>
      <c r="AC43" s="166"/>
      <c r="AD43" s="166"/>
      <c r="AE43" s="87"/>
      <c r="AF43" s="87"/>
      <c r="AG43" s="87"/>
      <c r="AH43" s="87"/>
      <c r="AI43" s="87"/>
      <c r="AJ43" s="87"/>
      <c r="AK43" s="87"/>
      <c r="AL43" s="87"/>
      <c r="AM43" s="87"/>
    </row>
    <row r="44">
      <c r="A44" s="87"/>
      <c r="B44" s="166"/>
      <c r="C44" s="166"/>
      <c r="D44" s="166"/>
      <c r="E44" s="677" t="str">
        <f t="shared" ref="E44:E45" si="3">if(isblank(F44),"",IFs(ISBLANK(AE44),"Open",AF44="Finish","Close",ISBLANK(AG44),"Open",ISBLANK(AG44)=FALSE,"Close"))</f>
        <v/>
      </c>
      <c r="F44" s="714"/>
      <c r="G44" s="166"/>
      <c r="H44" s="166"/>
      <c r="I44" s="166"/>
      <c r="J44" s="166"/>
      <c r="K44" s="166"/>
      <c r="L44" s="166"/>
      <c r="M44" s="166"/>
      <c r="N44" s="715"/>
      <c r="O44" s="166"/>
      <c r="P44" s="166"/>
      <c r="Q44" s="716"/>
      <c r="R44" s="714"/>
      <c r="S44" s="717"/>
      <c r="T44" s="714"/>
      <c r="U44" s="166"/>
      <c r="V44" s="166"/>
      <c r="W44" s="166"/>
      <c r="X44" s="166"/>
      <c r="Y44" s="718"/>
      <c r="Z44" s="719"/>
      <c r="AA44" s="719"/>
      <c r="AB44" s="166"/>
      <c r="AC44" s="166"/>
      <c r="AD44" s="166"/>
      <c r="AE44" s="87"/>
      <c r="AF44" s="87"/>
      <c r="AG44" s="87"/>
      <c r="AH44" s="87"/>
      <c r="AI44" s="87"/>
      <c r="AJ44" s="87"/>
      <c r="AK44" s="87"/>
      <c r="AL44" s="87"/>
      <c r="AM44" s="87"/>
    </row>
    <row r="45">
      <c r="A45" s="87"/>
      <c r="B45" s="166"/>
      <c r="C45" s="166"/>
      <c r="D45" s="166"/>
      <c r="E45" s="677" t="str">
        <f t="shared" si="3"/>
        <v/>
      </c>
      <c r="F45" s="714"/>
      <c r="G45" s="166"/>
      <c r="H45" s="166"/>
      <c r="I45" s="166"/>
      <c r="J45" s="166"/>
      <c r="K45" s="166"/>
      <c r="L45" s="166"/>
      <c r="M45" s="166"/>
      <c r="N45" s="715"/>
      <c r="O45" s="166"/>
      <c r="P45" s="166"/>
      <c r="Q45" s="716"/>
      <c r="R45" s="714"/>
      <c r="S45" s="717"/>
      <c r="T45" s="714"/>
      <c r="U45" s="166"/>
      <c r="V45" s="166"/>
      <c r="W45" s="166"/>
      <c r="X45" s="166"/>
      <c r="Y45" s="718"/>
      <c r="Z45" s="719"/>
      <c r="AA45" s="719"/>
      <c r="AB45" s="166"/>
      <c r="AC45" s="166"/>
      <c r="AD45" s="166"/>
      <c r="AE45" s="87"/>
      <c r="AF45" s="87"/>
      <c r="AG45" s="87"/>
      <c r="AH45" s="87"/>
      <c r="AI45" s="87"/>
      <c r="AJ45" s="87"/>
      <c r="AK45" s="87"/>
      <c r="AL45" s="87"/>
      <c r="AM45" s="87"/>
    </row>
    <row r="46">
      <c r="A46" s="87"/>
      <c r="B46" s="166"/>
      <c r="C46" s="166"/>
      <c r="D46" s="166"/>
      <c r="E46" s="166"/>
      <c r="F46" s="714"/>
      <c r="G46" s="166"/>
      <c r="H46" s="166"/>
      <c r="I46" s="166"/>
      <c r="J46" s="166"/>
      <c r="K46" s="166"/>
      <c r="L46" s="166"/>
      <c r="M46" s="166"/>
      <c r="N46" s="715"/>
      <c r="O46" s="166"/>
      <c r="P46" s="166"/>
      <c r="Q46" s="716"/>
      <c r="R46" s="714"/>
      <c r="S46" s="717"/>
      <c r="T46" s="714"/>
      <c r="U46" s="166"/>
      <c r="V46" s="166"/>
      <c r="W46" s="166"/>
      <c r="X46" s="166"/>
      <c r="Y46" s="718"/>
      <c r="Z46" s="719"/>
      <c r="AA46" s="719"/>
      <c r="AB46" s="166"/>
      <c r="AC46" s="166"/>
      <c r="AD46" s="166"/>
      <c r="AE46" s="87"/>
      <c r="AF46" s="87"/>
      <c r="AG46" s="87"/>
      <c r="AH46" s="87"/>
      <c r="AI46" s="87"/>
      <c r="AJ46" s="87"/>
      <c r="AK46" s="87"/>
      <c r="AL46" s="87"/>
      <c r="AM46" s="87"/>
    </row>
    <row r="47">
      <c r="A47" s="87"/>
      <c r="B47" s="166"/>
      <c r="C47" s="166"/>
      <c r="D47" s="166"/>
      <c r="E47" s="166"/>
      <c r="F47" s="714"/>
      <c r="G47" s="166"/>
      <c r="H47" s="166"/>
      <c r="I47" s="166"/>
      <c r="J47" s="166"/>
      <c r="K47" s="166"/>
      <c r="L47" s="166"/>
      <c r="M47" s="166"/>
      <c r="N47" s="715"/>
      <c r="O47" s="166"/>
      <c r="P47" s="166"/>
      <c r="Q47" s="716"/>
      <c r="R47" s="714"/>
      <c r="S47" s="717"/>
      <c r="T47" s="714"/>
      <c r="U47" s="166"/>
      <c r="V47" s="166"/>
      <c r="W47" s="166"/>
      <c r="X47" s="166"/>
      <c r="Y47" s="718"/>
      <c r="Z47" s="719"/>
      <c r="AA47" s="719"/>
      <c r="AB47" s="166"/>
      <c r="AC47" s="166"/>
      <c r="AD47" s="166"/>
      <c r="AE47" s="87"/>
      <c r="AF47" s="87"/>
      <c r="AG47" s="87"/>
      <c r="AH47" s="87"/>
      <c r="AI47" s="87"/>
      <c r="AJ47" s="87"/>
      <c r="AK47" s="87"/>
      <c r="AL47" s="87"/>
      <c r="AM47" s="87"/>
    </row>
    <row r="48">
      <c r="A48" s="87"/>
      <c r="B48" s="166"/>
      <c r="C48" s="166"/>
      <c r="D48" s="166"/>
      <c r="E48" s="166"/>
      <c r="F48" s="714"/>
      <c r="G48" s="166"/>
      <c r="H48" s="166"/>
      <c r="I48" s="166"/>
      <c r="J48" s="166"/>
      <c r="K48" s="166"/>
      <c r="L48" s="166"/>
      <c r="M48" s="166"/>
      <c r="N48" s="715"/>
      <c r="O48" s="166"/>
      <c r="P48" s="166"/>
      <c r="Q48" s="716"/>
      <c r="R48" s="714"/>
      <c r="S48" s="717"/>
      <c r="T48" s="714"/>
      <c r="U48" s="166"/>
      <c r="V48" s="166"/>
      <c r="W48" s="166"/>
      <c r="X48" s="166"/>
      <c r="Y48" s="718"/>
      <c r="Z48" s="719"/>
      <c r="AA48" s="719"/>
      <c r="AB48" s="166"/>
      <c r="AC48" s="166"/>
      <c r="AD48" s="166"/>
      <c r="AE48" s="87"/>
      <c r="AF48" s="87"/>
      <c r="AG48" s="87"/>
      <c r="AH48" s="87"/>
      <c r="AI48" s="87"/>
      <c r="AJ48" s="87"/>
      <c r="AK48" s="87"/>
      <c r="AL48" s="87"/>
      <c r="AM48" s="87"/>
    </row>
    <row r="49">
      <c r="A49" s="87"/>
      <c r="B49" s="166"/>
      <c r="C49" s="166"/>
      <c r="D49" s="166"/>
      <c r="E49" s="166"/>
      <c r="F49" s="714"/>
      <c r="G49" s="166"/>
      <c r="H49" s="166"/>
      <c r="I49" s="166"/>
      <c r="J49" s="166"/>
      <c r="K49" s="166"/>
      <c r="L49" s="166"/>
      <c r="M49" s="166"/>
      <c r="N49" s="715"/>
      <c r="O49" s="166"/>
      <c r="P49" s="166"/>
      <c r="Q49" s="716"/>
      <c r="R49" s="714"/>
      <c r="S49" s="717"/>
      <c r="T49" s="714"/>
      <c r="U49" s="166"/>
      <c r="V49" s="166"/>
      <c r="W49" s="166"/>
      <c r="X49" s="166"/>
      <c r="Y49" s="718"/>
      <c r="Z49" s="719"/>
      <c r="AA49" s="719"/>
      <c r="AB49" s="166"/>
      <c r="AC49" s="166"/>
      <c r="AD49" s="166"/>
      <c r="AE49" s="87"/>
      <c r="AF49" s="87"/>
      <c r="AG49" s="87"/>
      <c r="AH49" s="87"/>
      <c r="AI49" s="87"/>
      <c r="AJ49" s="87"/>
      <c r="AK49" s="87"/>
      <c r="AL49" s="87"/>
      <c r="AM49" s="87"/>
    </row>
    <row r="50">
      <c r="A50" s="87"/>
      <c r="B50" s="166"/>
      <c r="C50" s="166"/>
      <c r="D50" s="166"/>
      <c r="E50" s="166"/>
      <c r="F50" s="714"/>
      <c r="G50" s="166"/>
      <c r="H50" s="166"/>
      <c r="I50" s="166"/>
      <c r="J50" s="166"/>
      <c r="K50" s="166"/>
      <c r="L50" s="166"/>
      <c r="M50" s="166"/>
      <c r="N50" s="715"/>
      <c r="O50" s="166"/>
      <c r="P50" s="166"/>
      <c r="Q50" s="716"/>
      <c r="R50" s="714"/>
      <c r="S50" s="717"/>
      <c r="T50" s="714"/>
      <c r="U50" s="166"/>
      <c r="V50" s="166"/>
      <c r="W50" s="166"/>
      <c r="X50" s="166"/>
      <c r="Y50" s="718"/>
      <c r="Z50" s="719"/>
      <c r="AA50" s="719"/>
      <c r="AB50" s="166"/>
      <c r="AC50" s="166"/>
      <c r="AD50" s="166"/>
      <c r="AE50" s="87"/>
      <c r="AF50" s="87"/>
      <c r="AG50" s="87"/>
      <c r="AH50" s="87"/>
      <c r="AI50" s="87"/>
      <c r="AJ50" s="87"/>
      <c r="AK50" s="87"/>
      <c r="AL50" s="87"/>
      <c r="AM50" s="87"/>
    </row>
    <row r="51">
      <c r="A51" s="87"/>
      <c r="B51" s="166"/>
      <c r="C51" s="166"/>
      <c r="D51" s="166"/>
      <c r="E51" s="166"/>
      <c r="F51" s="714"/>
      <c r="G51" s="166"/>
      <c r="H51" s="166"/>
      <c r="I51" s="166"/>
      <c r="J51" s="166"/>
      <c r="K51" s="166"/>
      <c r="L51" s="166"/>
      <c r="M51" s="166"/>
      <c r="N51" s="715"/>
      <c r="O51" s="166"/>
      <c r="P51" s="166"/>
      <c r="Q51" s="716"/>
      <c r="R51" s="714"/>
      <c r="S51" s="717"/>
      <c r="T51" s="714"/>
      <c r="U51" s="166"/>
      <c r="V51" s="166"/>
      <c r="W51" s="166"/>
      <c r="X51" s="166"/>
      <c r="Y51" s="718"/>
      <c r="Z51" s="719"/>
      <c r="AA51" s="719"/>
      <c r="AB51" s="166"/>
      <c r="AC51" s="166"/>
      <c r="AD51" s="166"/>
      <c r="AE51" s="87"/>
      <c r="AF51" s="87"/>
      <c r="AG51" s="87"/>
      <c r="AH51" s="87"/>
      <c r="AI51" s="87"/>
      <c r="AJ51" s="87"/>
      <c r="AK51" s="87"/>
      <c r="AL51" s="87"/>
      <c r="AM51" s="87"/>
    </row>
    <row r="52">
      <c r="A52" s="87"/>
      <c r="B52" s="166"/>
      <c r="C52" s="166"/>
      <c r="D52" s="166"/>
      <c r="E52" s="166"/>
      <c r="F52" s="714"/>
      <c r="G52" s="166"/>
      <c r="H52" s="166"/>
      <c r="I52" s="166"/>
      <c r="J52" s="166"/>
      <c r="K52" s="166"/>
      <c r="L52" s="166"/>
      <c r="M52" s="166"/>
      <c r="N52" s="715"/>
      <c r="O52" s="166"/>
      <c r="P52" s="166"/>
      <c r="Q52" s="716"/>
      <c r="R52" s="714"/>
      <c r="S52" s="717"/>
      <c r="T52" s="714"/>
      <c r="U52" s="166"/>
      <c r="V52" s="166"/>
      <c r="W52" s="166"/>
      <c r="X52" s="166"/>
      <c r="Y52" s="718"/>
      <c r="Z52" s="719"/>
      <c r="AA52" s="719"/>
      <c r="AB52" s="166"/>
      <c r="AC52" s="166"/>
      <c r="AD52" s="166"/>
      <c r="AE52" s="87"/>
      <c r="AF52" s="87"/>
      <c r="AG52" s="87"/>
      <c r="AH52" s="87"/>
      <c r="AI52" s="87"/>
      <c r="AJ52" s="87"/>
      <c r="AK52" s="87"/>
      <c r="AL52" s="87"/>
      <c r="AM52" s="87"/>
    </row>
    <row r="53">
      <c r="A53" s="87"/>
      <c r="B53" s="166"/>
      <c r="C53" s="166"/>
      <c r="D53" s="166"/>
      <c r="E53" s="166"/>
      <c r="F53" s="714"/>
      <c r="G53" s="166"/>
      <c r="H53" s="166"/>
      <c r="I53" s="166"/>
      <c r="J53" s="166"/>
      <c r="K53" s="166"/>
      <c r="L53" s="166"/>
      <c r="M53" s="166"/>
      <c r="N53" s="715"/>
      <c r="O53" s="166"/>
      <c r="P53" s="166"/>
      <c r="Q53" s="716"/>
      <c r="R53" s="714"/>
      <c r="S53" s="717"/>
      <c r="T53" s="714"/>
      <c r="U53" s="166"/>
      <c r="V53" s="166"/>
      <c r="W53" s="166"/>
      <c r="X53" s="166"/>
      <c r="Y53" s="718"/>
      <c r="Z53" s="719"/>
      <c r="AA53" s="719"/>
      <c r="AB53" s="166"/>
      <c r="AC53" s="166"/>
      <c r="AD53" s="166"/>
      <c r="AE53" s="87"/>
      <c r="AF53" s="87"/>
      <c r="AG53" s="87"/>
      <c r="AH53" s="87"/>
      <c r="AI53" s="87"/>
      <c r="AJ53" s="87"/>
      <c r="AK53" s="87"/>
      <c r="AL53" s="87"/>
      <c r="AM53" s="87"/>
    </row>
    <row r="54">
      <c r="A54" s="87"/>
      <c r="B54" s="166"/>
      <c r="C54" s="166"/>
      <c r="D54" s="166"/>
      <c r="E54" s="166"/>
      <c r="F54" s="714"/>
      <c r="G54" s="166"/>
      <c r="H54" s="166"/>
      <c r="I54" s="166"/>
      <c r="J54" s="166"/>
      <c r="K54" s="166"/>
      <c r="L54" s="166"/>
      <c r="M54" s="166"/>
      <c r="N54" s="715"/>
      <c r="O54" s="166"/>
      <c r="P54" s="166"/>
      <c r="Q54" s="716"/>
      <c r="R54" s="714"/>
      <c r="S54" s="717"/>
      <c r="T54" s="714"/>
      <c r="U54" s="166"/>
      <c r="V54" s="166"/>
      <c r="W54" s="166"/>
      <c r="X54" s="166"/>
      <c r="Y54" s="718"/>
      <c r="Z54" s="719"/>
      <c r="AA54" s="719"/>
      <c r="AB54" s="166"/>
      <c r="AC54" s="166"/>
      <c r="AD54" s="166"/>
      <c r="AE54" s="87"/>
      <c r="AF54" s="87"/>
      <c r="AG54" s="87"/>
      <c r="AH54" s="87"/>
      <c r="AI54" s="87"/>
      <c r="AJ54" s="87"/>
      <c r="AK54" s="87"/>
      <c r="AL54" s="87"/>
      <c r="AM54" s="87"/>
    </row>
    <row r="55">
      <c r="A55" s="87"/>
      <c r="B55" s="166"/>
      <c r="C55" s="166"/>
      <c r="D55" s="166"/>
      <c r="E55" s="166"/>
      <c r="F55" s="714"/>
      <c r="G55" s="166"/>
      <c r="H55" s="166"/>
      <c r="I55" s="166"/>
      <c r="J55" s="166"/>
      <c r="K55" s="166"/>
      <c r="L55" s="166"/>
      <c r="M55" s="166"/>
      <c r="N55" s="715"/>
      <c r="O55" s="166"/>
      <c r="P55" s="166"/>
      <c r="Q55" s="716"/>
      <c r="R55" s="714"/>
      <c r="S55" s="717"/>
      <c r="T55" s="714"/>
      <c r="U55" s="166"/>
      <c r="V55" s="166"/>
      <c r="W55" s="166"/>
      <c r="X55" s="166"/>
      <c r="Y55" s="718"/>
      <c r="Z55" s="719"/>
      <c r="AA55" s="719"/>
      <c r="AB55" s="166"/>
      <c r="AC55" s="166"/>
      <c r="AD55" s="166"/>
      <c r="AE55" s="87"/>
      <c r="AF55" s="87"/>
      <c r="AG55" s="87"/>
      <c r="AH55" s="87"/>
      <c r="AI55" s="87"/>
      <c r="AJ55" s="87"/>
      <c r="AK55" s="87"/>
      <c r="AL55" s="87"/>
      <c r="AM55" s="87"/>
    </row>
    <row r="56">
      <c r="A56" s="87"/>
      <c r="B56" s="166"/>
      <c r="C56" s="166"/>
      <c r="D56" s="166"/>
      <c r="E56" s="166"/>
      <c r="F56" s="714"/>
      <c r="G56" s="166"/>
      <c r="H56" s="166"/>
      <c r="I56" s="166"/>
      <c r="J56" s="166"/>
      <c r="K56" s="166"/>
      <c r="L56" s="166"/>
      <c r="M56" s="166"/>
      <c r="N56" s="715"/>
      <c r="O56" s="166"/>
      <c r="P56" s="166"/>
      <c r="Q56" s="716"/>
      <c r="R56" s="714"/>
      <c r="S56" s="717"/>
      <c r="T56" s="714"/>
      <c r="U56" s="166"/>
      <c r="V56" s="166"/>
      <c r="W56" s="166"/>
      <c r="X56" s="166"/>
      <c r="Y56" s="718"/>
      <c r="Z56" s="719"/>
      <c r="AA56" s="719"/>
      <c r="AB56" s="166"/>
      <c r="AC56" s="166"/>
      <c r="AD56" s="166"/>
      <c r="AE56" s="87"/>
      <c r="AF56" s="87"/>
      <c r="AG56" s="87"/>
      <c r="AH56" s="87"/>
      <c r="AI56" s="87"/>
      <c r="AJ56" s="87"/>
      <c r="AK56" s="87"/>
      <c r="AL56" s="87"/>
      <c r="AM56" s="87"/>
    </row>
    <row r="57">
      <c r="A57" s="87"/>
      <c r="B57" s="166"/>
      <c r="C57" s="166"/>
      <c r="D57" s="166"/>
      <c r="E57" s="166"/>
      <c r="F57" s="714"/>
      <c r="G57" s="166"/>
      <c r="H57" s="166"/>
      <c r="I57" s="166"/>
      <c r="J57" s="166"/>
      <c r="K57" s="166"/>
      <c r="L57" s="166"/>
      <c r="M57" s="166"/>
      <c r="N57" s="715"/>
      <c r="O57" s="166"/>
      <c r="P57" s="166"/>
      <c r="Q57" s="716"/>
      <c r="R57" s="714"/>
      <c r="S57" s="717"/>
      <c r="T57" s="714"/>
      <c r="U57" s="166"/>
      <c r="V57" s="166"/>
      <c r="W57" s="166"/>
      <c r="X57" s="166"/>
      <c r="Y57" s="718"/>
      <c r="Z57" s="719"/>
      <c r="AA57" s="719"/>
      <c r="AB57" s="166"/>
      <c r="AC57" s="166"/>
      <c r="AD57" s="166"/>
      <c r="AE57" s="87"/>
      <c r="AF57" s="87"/>
      <c r="AG57" s="87"/>
      <c r="AH57" s="87"/>
      <c r="AI57" s="87"/>
      <c r="AJ57" s="87"/>
      <c r="AK57" s="87"/>
      <c r="AL57" s="87"/>
      <c r="AM57" s="87"/>
    </row>
    <row r="58">
      <c r="A58" s="87"/>
      <c r="B58" s="166"/>
      <c r="C58" s="166"/>
      <c r="D58" s="166"/>
      <c r="E58" s="166"/>
      <c r="F58" s="714"/>
      <c r="G58" s="166"/>
      <c r="H58" s="166"/>
      <c r="I58" s="166"/>
      <c r="J58" s="166"/>
      <c r="K58" s="166"/>
      <c r="L58" s="166"/>
      <c r="M58" s="166"/>
      <c r="N58" s="715"/>
      <c r="O58" s="166"/>
      <c r="P58" s="166"/>
      <c r="Q58" s="716"/>
      <c r="R58" s="714"/>
      <c r="S58" s="717"/>
      <c r="T58" s="714"/>
      <c r="U58" s="166"/>
      <c r="V58" s="166"/>
      <c r="W58" s="166"/>
      <c r="X58" s="166"/>
      <c r="Y58" s="718"/>
      <c r="Z58" s="719"/>
      <c r="AA58" s="719"/>
      <c r="AB58" s="166"/>
      <c r="AC58" s="166"/>
      <c r="AD58" s="166"/>
      <c r="AE58" s="87"/>
      <c r="AF58" s="87"/>
      <c r="AG58" s="87"/>
      <c r="AH58" s="87"/>
      <c r="AI58" s="87"/>
      <c r="AJ58" s="87"/>
      <c r="AK58" s="87"/>
      <c r="AL58" s="87"/>
      <c r="AM58" s="87"/>
    </row>
    <row r="59">
      <c r="A59" s="87"/>
      <c r="B59" s="166"/>
      <c r="C59" s="166"/>
      <c r="D59" s="166"/>
      <c r="E59" s="166"/>
      <c r="F59" s="714"/>
      <c r="G59" s="166"/>
      <c r="H59" s="166"/>
      <c r="I59" s="166"/>
      <c r="J59" s="166"/>
      <c r="K59" s="166"/>
      <c r="L59" s="166"/>
      <c r="M59" s="166"/>
      <c r="N59" s="715"/>
      <c r="O59" s="166"/>
      <c r="P59" s="166"/>
      <c r="Q59" s="716"/>
      <c r="R59" s="714"/>
      <c r="S59" s="717"/>
      <c r="T59" s="714"/>
      <c r="U59" s="166"/>
      <c r="V59" s="166"/>
      <c r="W59" s="166"/>
      <c r="X59" s="166"/>
      <c r="Y59" s="718"/>
      <c r="Z59" s="719"/>
      <c r="AA59" s="719"/>
      <c r="AB59" s="166"/>
      <c r="AC59" s="166"/>
      <c r="AD59" s="166"/>
      <c r="AE59" s="87"/>
      <c r="AF59" s="87"/>
      <c r="AG59" s="87"/>
      <c r="AH59" s="87"/>
      <c r="AI59" s="87"/>
      <c r="AJ59" s="87"/>
      <c r="AK59" s="87"/>
      <c r="AL59" s="87"/>
      <c r="AM59" s="87"/>
    </row>
    <row r="60">
      <c r="A60" s="87"/>
      <c r="B60" s="166"/>
      <c r="C60" s="166"/>
      <c r="D60" s="166"/>
      <c r="E60" s="166"/>
      <c r="F60" s="714"/>
      <c r="G60" s="166"/>
      <c r="H60" s="166"/>
      <c r="I60" s="166"/>
      <c r="J60" s="166"/>
      <c r="K60" s="166"/>
      <c r="L60" s="166"/>
      <c r="M60" s="166"/>
      <c r="N60" s="715"/>
      <c r="O60" s="166"/>
      <c r="P60" s="166"/>
      <c r="Q60" s="716"/>
      <c r="R60" s="714"/>
      <c r="S60" s="717"/>
      <c r="T60" s="714"/>
      <c r="U60" s="166"/>
      <c r="V60" s="166"/>
      <c r="W60" s="166"/>
      <c r="X60" s="166"/>
      <c r="Y60" s="718"/>
      <c r="Z60" s="719"/>
      <c r="AA60" s="719"/>
      <c r="AB60" s="166"/>
      <c r="AC60" s="166"/>
      <c r="AD60" s="166"/>
      <c r="AE60" s="87"/>
      <c r="AF60" s="87"/>
      <c r="AG60" s="87"/>
      <c r="AH60" s="87"/>
      <c r="AI60" s="87"/>
      <c r="AJ60" s="87"/>
      <c r="AK60" s="87"/>
      <c r="AL60" s="87"/>
      <c r="AM60" s="87"/>
    </row>
    <row r="61">
      <c r="A61" s="87"/>
      <c r="B61" s="166"/>
      <c r="C61" s="166"/>
      <c r="D61" s="166"/>
      <c r="E61" s="166"/>
      <c r="F61" s="714"/>
      <c r="G61" s="166"/>
      <c r="H61" s="166"/>
      <c r="I61" s="166"/>
      <c r="J61" s="166"/>
      <c r="K61" s="166"/>
      <c r="L61" s="166"/>
      <c r="M61" s="166"/>
      <c r="N61" s="715"/>
      <c r="O61" s="166"/>
      <c r="P61" s="166"/>
      <c r="Q61" s="716"/>
      <c r="R61" s="714"/>
      <c r="S61" s="717"/>
      <c r="T61" s="714"/>
      <c r="U61" s="166"/>
      <c r="V61" s="166"/>
      <c r="W61" s="166"/>
      <c r="X61" s="166"/>
      <c r="Y61" s="718"/>
      <c r="Z61" s="719"/>
      <c r="AA61" s="719"/>
      <c r="AB61" s="166"/>
      <c r="AC61" s="166"/>
      <c r="AD61" s="166"/>
      <c r="AE61" s="87"/>
      <c r="AF61" s="87"/>
      <c r="AG61" s="87"/>
      <c r="AH61" s="87"/>
      <c r="AI61" s="87"/>
      <c r="AJ61" s="87"/>
      <c r="AK61" s="87"/>
      <c r="AL61" s="87"/>
      <c r="AM61" s="87"/>
    </row>
    <row r="62">
      <c r="A62" s="87"/>
      <c r="B62" s="166"/>
      <c r="C62" s="166"/>
      <c r="D62" s="166"/>
      <c r="E62" s="166"/>
      <c r="F62" s="714"/>
      <c r="G62" s="166"/>
      <c r="H62" s="166"/>
      <c r="I62" s="166"/>
      <c r="J62" s="166"/>
      <c r="K62" s="166"/>
      <c r="L62" s="166"/>
      <c r="M62" s="166"/>
      <c r="N62" s="715"/>
      <c r="O62" s="166"/>
      <c r="P62" s="166"/>
      <c r="Q62" s="716"/>
      <c r="R62" s="714"/>
      <c r="S62" s="717"/>
      <c r="T62" s="714"/>
      <c r="U62" s="166"/>
      <c r="V62" s="166"/>
      <c r="W62" s="166"/>
      <c r="X62" s="166"/>
      <c r="Y62" s="718"/>
      <c r="Z62" s="719"/>
      <c r="AA62" s="719"/>
      <c r="AB62" s="166"/>
      <c r="AC62" s="166"/>
      <c r="AD62" s="166"/>
      <c r="AE62" s="87"/>
      <c r="AF62" s="87"/>
      <c r="AG62" s="87"/>
      <c r="AH62" s="87"/>
      <c r="AI62" s="87"/>
      <c r="AJ62" s="87"/>
      <c r="AK62" s="87"/>
      <c r="AL62" s="87"/>
      <c r="AM62" s="87"/>
    </row>
    <row r="63">
      <c r="A63" s="87"/>
      <c r="B63" s="166"/>
      <c r="C63" s="166"/>
      <c r="D63" s="166"/>
      <c r="E63" s="166"/>
      <c r="F63" s="714"/>
      <c r="G63" s="166"/>
      <c r="H63" s="166"/>
      <c r="I63" s="166"/>
      <c r="J63" s="166"/>
      <c r="K63" s="166"/>
      <c r="L63" s="166"/>
      <c r="M63" s="166"/>
      <c r="N63" s="715"/>
      <c r="O63" s="166"/>
      <c r="P63" s="166"/>
      <c r="Q63" s="716"/>
      <c r="R63" s="714"/>
      <c r="S63" s="717"/>
      <c r="T63" s="714"/>
      <c r="U63" s="166"/>
      <c r="V63" s="166"/>
      <c r="W63" s="166"/>
      <c r="X63" s="166"/>
      <c r="Y63" s="718"/>
      <c r="Z63" s="719"/>
      <c r="AA63" s="719"/>
      <c r="AB63" s="166"/>
      <c r="AC63" s="166"/>
      <c r="AD63" s="166"/>
      <c r="AE63" s="87"/>
      <c r="AF63" s="87"/>
      <c r="AG63" s="87"/>
      <c r="AH63" s="87"/>
      <c r="AI63" s="87"/>
      <c r="AJ63" s="87"/>
      <c r="AK63" s="87"/>
      <c r="AL63" s="87"/>
      <c r="AM63" s="87"/>
    </row>
    <row r="64">
      <c r="A64" s="87"/>
      <c r="B64" s="166"/>
      <c r="C64" s="166"/>
      <c r="D64" s="166"/>
      <c r="E64" s="166"/>
      <c r="F64" s="714"/>
      <c r="G64" s="166"/>
      <c r="H64" s="166"/>
      <c r="I64" s="166"/>
      <c r="J64" s="166"/>
      <c r="K64" s="166"/>
      <c r="L64" s="166"/>
      <c r="M64" s="166"/>
      <c r="N64" s="715"/>
      <c r="O64" s="166"/>
      <c r="P64" s="166"/>
      <c r="Q64" s="716"/>
      <c r="R64" s="714"/>
      <c r="S64" s="717"/>
      <c r="T64" s="714"/>
      <c r="U64" s="166"/>
      <c r="V64" s="166"/>
      <c r="W64" s="166"/>
      <c r="X64" s="166"/>
      <c r="Y64" s="718"/>
      <c r="Z64" s="719"/>
      <c r="AA64" s="719"/>
      <c r="AB64" s="166"/>
      <c r="AC64" s="166"/>
      <c r="AD64" s="166"/>
      <c r="AE64" s="87"/>
      <c r="AF64" s="87"/>
      <c r="AG64" s="87"/>
      <c r="AH64" s="87"/>
      <c r="AI64" s="87"/>
      <c r="AJ64" s="87"/>
      <c r="AK64" s="87"/>
      <c r="AL64" s="87"/>
      <c r="AM64" s="87"/>
    </row>
    <row r="65">
      <c r="A65" s="87"/>
      <c r="B65" s="166"/>
      <c r="C65" s="166"/>
      <c r="D65" s="166"/>
      <c r="E65" s="166"/>
      <c r="F65" s="714"/>
      <c r="G65" s="166"/>
      <c r="H65" s="166"/>
      <c r="I65" s="166"/>
      <c r="J65" s="166"/>
      <c r="K65" s="166"/>
      <c r="L65" s="166"/>
      <c r="M65" s="166"/>
      <c r="N65" s="715"/>
      <c r="O65" s="166"/>
      <c r="P65" s="166"/>
      <c r="Q65" s="716"/>
      <c r="R65" s="714"/>
      <c r="S65" s="717"/>
      <c r="T65" s="714"/>
      <c r="U65" s="166"/>
      <c r="V65" s="166"/>
      <c r="W65" s="166"/>
      <c r="X65" s="166"/>
      <c r="Y65" s="718"/>
      <c r="Z65" s="719"/>
      <c r="AA65" s="719"/>
      <c r="AB65" s="166"/>
      <c r="AC65" s="166"/>
      <c r="AD65" s="166"/>
      <c r="AE65" s="87"/>
      <c r="AF65" s="87"/>
      <c r="AG65" s="87"/>
      <c r="AH65" s="87"/>
      <c r="AI65" s="87"/>
      <c r="AJ65" s="87"/>
      <c r="AK65" s="87"/>
      <c r="AL65" s="87"/>
      <c r="AM65" s="87"/>
    </row>
    <row r="66">
      <c r="A66" s="87"/>
      <c r="B66" s="166"/>
      <c r="C66" s="166"/>
      <c r="D66" s="166"/>
      <c r="E66" s="166"/>
      <c r="F66" s="714"/>
      <c r="G66" s="166"/>
      <c r="H66" s="166"/>
      <c r="I66" s="166"/>
      <c r="J66" s="166"/>
      <c r="K66" s="166"/>
      <c r="L66" s="166"/>
      <c r="M66" s="166"/>
      <c r="N66" s="715"/>
      <c r="O66" s="166"/>
      <c r="P66" s="166"/>
      <c r="Q66" s="716"/>
      <c r="R66" s="714"/>
      <c r="S66" s="717"/>
      <c r="T66" s="714"/>
      <c r="U66" s="166"/>
      <c r="V66" s="166"/>
      <c r="W66" s="166"/>
      <c r="X66" s="166"/>
      <c r="Y66" s="718"/>
      <c r="Z66" s="719"/>
      <c r="AA66" s="719"/>
      <c r="AB66" s="166"/>
      <c r="AC66" s="166"/>
      <c r="AD66" s="166"/>
      <c r="AE66" s="87"/>
      <c r="AF66" s="87"/>
      <c r="AG66" s="87"/>
      <c r="AH66" s="87"/>
      <c r="AI66" s="87"/>
      <c r="AJ66" s="87"/>
      <c r="AK66" s="87"/>
      <c r="AL66" s="87"/>
      <c r="AM66" s="87"/>
    </row>
    <row r="67">
      <c r="A67" s="87"/>
      <c r="B67" s="166"/>
      <c r="C67" s="166"/>
      <c r="D67" s="166"/>
      <c r="E67" s="166"/>
      <c r="F67" s="714"/>
      <c r="G67" s="166"/>
      <c r="H67" s="166"/>
      <c r="I67" s="166"/>
      <c r="J67" s="166"/>
      <c r="K67" s="166"/>
      <c r="L67" s="166"/>
      <c r="M67" s="166"/>
      <c r="N67" s="715"/>
      <c r="O67" s="166"/>
      <c r="P67" s="166"/>
      <c r="Q67" s="716"/>
      <c r="R67" s="714"/>
      <c r="S67" s="717"/>
      <c r="T67" s="714"/>
      <c r="U67" s="166"/>
      <c r="V67" s="166"/>
      <c r="W67" s="166"/>
      <c r="X67" s="166"/>
      <c r="Y67" s="718"/>
      <c r="Z67" s="719"/>
      <c r="AA67" s="719"/>
      <c r="AB67" s="166"/>
      <c r="AC67" s="166"/>
      <c r="AD67" s="166"/>
      <c r="AE67" s="87"/>
      <c r="AF67" s="87"/>
      <c r="AG67" s="87"/>
      <c r="AH67" s="87"/>
      <c r="AI67" s="87"/>
      <c r="AJ67" s="87"/>
      <c r="AK67" s="87"/>
      <c r="AL67" s="87"/>
      <c r="AM67" s="87"/>
    </row>
    <row r="68">
      <c r="A68" s="87"/>
      <c r="B68" s="166"/>
      <c r="C68" s="166"/>
      <c r="D68" s="166"/>
      <c r="E68" s="166"/>
      <c r="F68" s="714"/>
      <c r="G68" s="166"/>
      <c r="H68" s="166"/>
      <c r="I68" s="166"/>
      <c r="J68" s="166"/>
      <c r="K68" s="166"/>
      <c r="L68" s="166"/>
      <c r="M68" s="166"/>
      <c r="N68" s="715"/>
      <c r="O68" s="166"/>
      <c r="P68" s="166"/>
      <c r="Q68" s="716"/>
      <c r="R68" s="714"/>
      <c r="S68" s="717"/>
      <c r="T68" s="714"/>
      <c r="U68" s="166"/>
      <c r="V68" s="166"/>
      <c r="W68" s="166"/>
      <c r="X68" s="166"/>
      <c r="Y68" s="718"/>
      <c r="Z68" s="719"/>
      <c r="AA68" s="719"/>
      <c r="AB68" s="166"/>
      <c r="AC68" s="166"/>
      <c r="AD68" s="166"/>
      <c r="AE68" s="87"/>
      <c r="AF68" s="87"/>
      <c r="AG68" s="87"/>
      <c r="AH68" s="87"/>
      <c r="AI68" s="87"/>
      <c r="AJ68" s="87"/>
      <c r="AK68" s="87"/>
      <c r="AL68" s="87"/>
      <c r="AM68" s="87"/>
    </row>
    <row r="69">
      <c r="A69" s="87"/>
      <c r="B69" s="166"/>
      <c r="C69" s="166"/>
      <c r="D69" s="166"/>
      <c r="E69" s="166"/>
      <c r="F69" s="714"/>
      <c r="G69" s="166"/>
      <c r="H69" s="166"/>
      <c r="I69" s="166"/>
      <c r="J69" s="166"/>
      <c r="K69" s="166"/>
      <c r="L69" s="166"/>
      <c r="M69" s="166"/>
      <c r="N69" s="715"/>
      <c r="O69" s="166"/>
      <c r="P69" s="166"/>
      <c r="Q69" s="716"/>
      <c r="R69" s="714"/>
      <c r="S69" s="717"/>
      <c r="T69" s="714"/>
      <c r="U69" s="166"/>
      <c r="V69" s="166"/>
      <c r="W69" s="166"/>
      <c r="X69" s="166"/>
      <c r="Y69" s="718"/>
      <c r="Z69" s="719"/>
      <c r="AA69" s="719"/>
      <c r="AB69" s="166"/>
      <c r="AC69" s="166"/>
      <c r="AD69" s="166"/>
      <c r="AE69" s="87"/>
      <c r="AF69" s="87"/>
      <c r="AG69" s="87"/>
      <c r="AH69" s="87"/>
      <c r="AI69" s="87"/>
      <c r="AJ69" s="87"/>
      <c r="AK69" s="87"/>
      <c r="AL69" s="87"/>
      <c r="AM69" s="87"/>
    </row>
    <row r="70">
      <c r="A70" s="87"/>
      <c r="B70" s="166"/>
      <c r="C70" s="166"/>
      <c r="D70" s="166"/>
      <c r="E70" s="166"/>
      <c r="F70" s="714"/>
      <c r="G70" s="166"/>
      <c r="H70" s="166"/>
      <c r="I70" s="166"/>
      <c r="J70" s="166"/>
      <c r="K70" s="166"/>
      <c r="L70" s="166"/>
      <c r="M70" s="166"/>
      <c r="N70" s="715"/>
      <c r="O70" s="166"/>
      <c r="P70" s="166"/>
      <c r="Q70" s="716"/>
      <c r="R70" s="714"/>
      <c r="S70" s="717"/>
      <c r="T70" s="714"/>
      <c r="U70" s="166"/>
      <c r="V70" s="166"/>
      <c r="W70" s="166"/>
      <c r="X70" s="166"/>
      <c r="Y70" s="718"/>
      <c r="Z70" s="719"/>
      <c r="AA70" s="719"/>
      <c r="AB70" s="166"/>
      <c r="AC70" s="166"/>
      <c r="AD70" s="166"/>
      <c r="AE70" s="87"/>
      <c r="AF70" s="87"/>
      <c r="AG70" s="87"/>
      <c r="AH70" s="87"/>
      <c r="AI70" s="87"/>
      <c r="AJ70" s="87"/>
      <c r="AK70" s="87"/>
      <c r="AL70" s="87"/>
      <c r="AM70" s="87"/>
    </row>
    <row r="71">
      <c r="A71" s="87"/>
      <c r="B71" s="166"/>
      <c r="C71" s="166"/>
      <c r="D71" s="166"/>
      <c r="E71" s="166"/>
      <c r="F71" s="714"/>
      <c r="G71" s="166"/>
      <c r="H71" s="166"/>
      <c r="I71" s="166"/>
      <c r="J71" s="166"/>
      <c r="K71" s="166"/>
      <c r="L71" s="166"/>
      <c r="M71" s="166"/>
      <c r="N71" s="715"/>
      <c r="O71" s="166"/>
      <c r="P71" s="166"/>
      <c r="Q71" s="716"/>
      <c r="R71" s="714"/>
      <c r="S71" s="717"/>
      <c r="T71" s="714"/>
      <c r="U71" s="166"/>
      <c r="V71" s="166"/>
      <c r="W71" s="166"/>
      <c r="X71" s="166"/>
      <c r="Y71" s="718"/>
      <c r="Z71" s="719"/>
      <c r="AA71" s="719"/>
      <c r="AB71" s="166"/>
      <c r="AC71" s="166"/>
      <c r="AD71" s="166"/>
      <c r="AE71" s="87"/>
      <c r="AF71" s="87"/>
      <c r="AG71" s="87"/>
      <c r="AH71" s="87"/>
      <c r="AI71" s="87"/>
      <c r="AJ71" s="87"/>
      <c r="AK71" s="87"/>
      <c r="AL71" s="87"/>
      <c r="AM71" s="87"/>
    </row>
    <row r="72">
      <c r="A72" s="87"/>
      <c r="B72" s="166"/>
      <c r="C72" s="166"/>
      <c r="D72" s="166"/>
      <c r="E72" s="166"/>
      <c r="F72" s="714"/>
      <c r="G72" s="166"/>
      <c r="H72" s="166"/>
      <c r="I72" s="166"/>
      <c r="J72" s="166"/>
      <c r="K72" s="166"/>
      <c r="L72" s="166"/>
      <c r="M72" s="166"/>
      <c r="N72" s="715"/>
      <c r="O72" s="166"/>
      <c r="P72" s="166"/>
      <c r="Q72" s="716"/>
      <c r="R72" s="714"/>
      <c r="S72" s="717"/>
      <c r="T72" s="714"/>
      <c r="U72" s="166"/>
      <c r="V72" s="166"/>
      <c r="W72" s="166"/>
      <c r="X72" s="166"/>
      <c r="Y72" s="718"/>
      <c r="Z72" s="719"/>
      <c r="AA72" s="719"/>
      <c r="AB72" s="166"/>
      <c r="AC72" s="166"/>
      <c r="AD72" s="166"/>
      <c r="AE72" s="87"/>
      <c r="AF72" s="87"/>
      <c r="AG72" s="87"/>
      <c r="AH72" s="87"/>
      <c r="AI72" s="87"/>
      <c r="AJ72" s="87"/>
      <c r="AK72" s="87"/>
      <c r="AL72" s="87"/>
      <c r="AM72" s="87"/>
    </row>
    <row r="73">
      <c r="A73" s="87"/>
      <c r="B73" s="166"/>
      <c r="C73" s="166"/>
      <c r="D73" s="166"/>
      <c r="E73" s="166"/>
      <c r="F73" s="714"/>
      <c r="G73" s="166"/>
      <c r="H73" s="166"/>
      <c r="I73" s="166"/>
      <c r="J73" s="166"/>
      <c r="K73" s="166"/>
      <c r="L73" s="166"/>
      <c r="M73" s="166"/>
      <c r="N73" s="715"/>
      <c r="O73" s="166"/>
      <c r="P73" s="166"/>
      <c r="Q73" s="716"/>
      <c r="R73" s="714"/>
      <c r="S73" s="717"/>
      <c r="T73" s="714"/>
      <c r="U73" s="166"/>
      <c r="V73" s="166"/>
      <c r="W73" s="166"/>
      <c r="X73" s="166"/>
      <c r="Y73" s="718"/>
      <c r="Z73" s="719"/>
      <c r="AA73" s="719"/>
      <c r="AB73" s="166"/>
      <c r="AC73" s="166"/>
      <c r="AD73" s="166"/>
      <c r="AE73" s="87"/>
      <c r="AF73" s="87"/>
      <c r="AG73" s="87"/>
      <c r="AH73" s="87"/>
      <c r="AI73" s="87"/>
      <c r="AJ73" s="87"/>
      <c r="AK73" s="87"/>
      <c r="AL73" s="87"/>
      <c r="AM73" s="87"/>
    </row>
    <row r="74">
      <c r="A74" s="87"/>
      <c r="B74" s="166"/>
      <c r="C74" s="166"/>
      <c r="D74" s="166"/>
      <c r="E74" s="166"/>
      <c r="F74" s="714"/>
      <c r="G74" s="166"/>
      <c r="H74" s="166"/>
      <c r="I74" s="166"/>
      <c r="J74" s="166"/>
      <c r="K74" s="166"/>
      <c r="L74" s="166"/>
      <c r="M74" s="166"/>
      <c r="N74" s="715"/>
      <c r="O74" s="166"/>
      <c r="P74" s="166"/>
      <c r="Q74" s="716"/>
      <c r="R74" s="714"/>
      <c r="S74" s="717"/>
      <c r="T74" s="714"/>
      <c r="U74" s="166"/>
      <c r="V74" s="166"/>
      <c r="W74" s="166"/>
      <c r="X74" s="166"/>
      <c r="Y74" s="718"/>
      <c r="Z74" s="719"/>
      <c r="AA74" s="719"/>
      <c r="AB74" s="166"/>
      <c r="AC74" s="166"/>
      <c r="AD74" s="166"/>
      <c r="AE74" s="87"/>
      <c r="AF74" s="87"/>
      <c r="AG74" s="87"/>
      <c r="AH74" s="87"/>
      <c r="AI74" s="87"/>
      <c r="AJ74" s="87"/>
      <c r="AK74" s="87"/>
      <c r="AL74" s="87"/>
      <c r="AM74" s="87"/>
    </row>
    <row r="75">
      <c r="A75" s="87"/>
      <c r="B75" s="166"/>
      <c r="C75" s="166"/>
      <c r="D75" s="166"/>
      <c r="E75" s="166"/>
      <c r="F75" s="714"/>
      <c r="G75" s="166"/>
      <c r="H75" s="166"/>
      <c r="I75" s="166"/>
      <c r="J75" s="166"/>
      <c r="K75" s="166"/>
      <c r="L75" s="166"/>
      <c r="M75" s="166"/>
      <c r="N75" s="715"/>
      <c r="O75" s="166"/>
      <c r="P75" s="166"/>
      <c r="Q75" s="716"/>
      <c r="R75" s="714"/>
      <c r="S75" s="717"/>
      <c r="T75" s="714"/>
      <c r="U75" s="166"/>
      <c r="V75" s="166"/>
      <c r="W75" s="166"/>
      <c r="X75" s="166"/>
      <c r="Y75" s="718"/>
      <c r="Z75" s="719"/>
      <c r="AA75" s="719"/>
      <c r="AB75" s="166"/>
      <c r="AC75" s="166"/>
      <c r="AD75" s="166"/>
      <c r="AE75" s="87"/>
      <c r="AF75" s="87"/>
      <c r="AG75" s="87"/>
      <c r="AH75" s="87"/>
      <c r="AI75" s="87"/>
      <c r="AJ75" s="87"/>
      <c r="AK75" s="87"/>
      <c r="AL75" s="87"/>
      <c r="AM75" s="87"/>
    </row>
    <row r="76">
      <c r="A76" s="87"/>
      <c r="B76" s="166"/>
      <c r="C76" s="166"/>
      <c r="D76" s="166"/>
      <c r="E76" s="166"/>
      <c r="F76" s="714"/>
      <c r="G76" s="166"/>
      <c r="H76" s="166"/>
      <c r="I76" s="166"/>
      <c r="J76" s="166"/>
      <c r="K76" s="166"/>
      <c r="L76" s="166"/>
      <c r="M76" s="166"/>
      <c r="N76" s="715"/>
      <c r="O76" s="166"/>
      <c r="P76" s="166"/>
      <c r="Q76" s="716"/>
      <c r="R76" s="714"/>
      <c r="S76" s="717"/>
      <c r="T76" s="714"/>
      <c r="U76" s="166"/>
      <c r="V76" s="166"/>
      <c r="W76" s="166"/>
      <c r="X76" s="166"/>
      <c r="Y76" s="718"/>
      <c r="Z76" s="719"/>
      <c r="AA76" s="719"/>
      <c r="AB76" s="166"/>
      <c r="AC76" s="166"/>
      <c r="AD76" s="166"/>
      <c r="AE76" s="87"/>
      <c r="AF76" s="87"/>
      <c r="AG76" s="87"/>
      <c r="AH76" s="87"/>
      <c r="AI76" s="87"/>
      <c r="AJ76" s="87"/>
      <c r="AK76" s="87"/>
      <c r="AL76" s="87"/>
      <c r="AM76" s="87"/>
    </row>
    <row r="77">
      <c r="A77" s="87"/>
      <c r="B77" s="166"/>
      <c r="C77" s="166"/>
      <c r="D77" s="166"/>
      <c r="E77" s="166"/>
      <c r="F77" s="714"/>
      <c r="G77" s="166"/>
      <c r="H77" s="166"/>
      <c r="I77" s="166"/>
      <c r="J77" s="166"/>
      <c r="K77" s="166"/>
      <c r="L77" s="166"/>
      <c r="M77" s="166"/>
      <c r="N77" s="715"/>
      <c r="O77" s="166"/>
      <c r="P77" s="166"/>
      <c r="Q77" s="716"/>
      <c r="R77" s="714"/>
      <c r="S77" s="717"/>
      <c r="T77" s="714"/>
      <c r="U77" s="166"/>
      <c r="V77" s="166"/>
      <c r="W77" s="166"/>
      <c r="X77" s="166"/>
      <c r="Y77" s="718"/>
      <c r="Z77" s="719"/>
      <c r="AA77" s="719"/>
      <c r="AB77" s="166"/>
      <c r="AC77" s="166"/>
      <c r="AD77" s="166"/>
      <c r="AE77" s="87"/>
      <c r="AF77" s="87"/>
      <c r="AG77" s="87"/>
      <c r="AH77" s="87"/>
      <c r="AI77" s="87"/>
      <c r="AJ77" s="87"/>
      <c r="AK77" s="87"/>
      <c r="AL77" s="87"/>
      <c r="AM77" s="87"/>
    </row>
    <row r="78">
      <c r="A78" s="87"/>
      <c r="B78" s="166"/>
      <c r="C78" s="166"/>
      <c r="D78" s="166"/>
      <c r="E78" s="166"/>
      <c r="F78" s="714"/>
      <c r="G78" s="166"/>
      <c r="H78" s="166"/>
      <c r="I78" s="166"/>
      <c r="J78" s="166"/>
      <c r="K78" s="166"/>
      <c r="L78" s="166"/>
      <c r="M78" s="166"/>
      <c r="N78" s="715"/>
      <c r="O78" s="166"/>
      <c r="P78" s="166"/>
      <c r="Q78" s="716"/>
      <c r="R78" s="714"/>
      <c r="S78" s="717"/>
      <c r="T78" s="714"/>
      <c r="U78" s="166"/>
      <c r="V78" s="166"/>
      <c r="W78" s="166"/>
      <c r="X78" s="166"/>
      <c r="Y78" s="718"/>
      <c r="Z78" s="719"/>
      <c r="AA78" s="719"/>
      <c r="AB78" s="166"/>
      <c r="AC78" s="166"/>
      <c r="AD78" s="166"/>
      <c r="AE78" s="87"/>
      <c r="AF78" s="87"/>
      <c r="AG78" s="87"/>
      <c r="AH78" s="87"/>
      <c r="AI78" s="87"/>
      <c r="AJ78" s="87"/>
      <c r="AK78" s="87"/>
      <c r="AL78" s="87"/>
      <c r="AM78" s="87"/>
    </row>
    <row r="79">
      <c r="A79" s="87"/>
      <c r="B79" s="166"/>
      <c r="C79" s="166"/>
      <c r="D79" s="166"/>
      <c r="E79" s="166"/>
      <c r="F79" s="714"/>
      <c r="G79" s="166"/>
      <c r="H79" s="166"/>
      <c r="I79" s="166"/>
      <c r="J79" s="166"/>
      <c r="K79" s="166"/>
      <c r="L79" s="166"/>
      <c r="M79" s="166"/>
      <c r="N79" s="715"/>
      <c r="O79" s="166"/>
      <c r="P79" s="166"/>
      <c r="Q79" s="716"/>
      <c r="R79" s="714"/>
      <c r="S79" s="717"/>
      <c r="T79" s="714"/>
      <c r="U79" s="166"/>
      <c r="V79" s="166"/>
      <c r="W79" s="166"/>
      <c r="X79" s="166"/>
      <c r="Y79" s="718"/>
      <c r="Z79" s="719"/>
      <c r="AA79" s="719"/>
      <c r="AB79" s="166"/>
      <c r="AC79" s="166"/>
      <c r="AD79" s="166"/>
      <c r="AE79" s="87"/>
      <c r="AF79" s="87"/>
      <c r="AG79" s="87"/>
      <c r="AH79" s="87"/>
      <c r="AI79" s="87"/>
      <c r="AJ79" s="87"/>
      <c r="AK79" s="87"/>
      <c r="AL79" s="87"/>
      <c r="AM79" s="87"/>
    </row>
    <row r="80">
      <c r="A80" s="87"/>
      <c r="B80" s="166"/>
      <c r="C80" s="166"/>
      <c r="D80" s="166"/>
      <c r="E80" s="166"/>
      <c r="F80" s="714"/>
      <c r="G80" s="166"/>
      <c r="H80" s="166"/>
      <c r="I80" s="166"/>
      <c r="J80" s="166"/>
      <c r="K80" s="166"/>
      <c r="L80" s="166"/>
      <c r="M80" s="166"/>
      <c r="N80" s="715"/>
      <c r="O80" s="166"/>
      <c r="P80" s="166"/>
      <c r="Q80" s="716"/>
      <c r="R80" s="714"/>
      <c r="S80" s="717"/>
      <c r="T80" s="714"/>
      <c r="U80" s="166"/>
      <c r="V80" s="166"/>
      <c r="W80" s="166"/>
      <c r="X80" s="166"/>
      <c r="Y80" s="718"/>
      <c r="Z80" s="719"/>
      <c r="AA80" s="719"/>
      <c r="AB80" s="166"/>
      <c r="AC80" s="166"/>
      <c r="AD80" s="166"/>
      <c r="AE80" s="87"/>
      <c r="AF80" s="87"/>
      <c r="AG80" s="87"/>
      <c r="AH80" s="87"/>
      <c r="AI80" s="87"/>
      <c r="AJ80" s="87"/>
      <c r="AK80" s="87"/>
      <c r="AL80" s="87"/>
      <c r="AM80" s="87"/>
    </row>
    <row r="81">
      <c r="A81" s="87"/>
      <c r="B81" s="166"/>
      <c r="C81" s="166"/>
      <c r="D81" s="166"/>
      <c r="E81" s="166"/>
      <c r="F81" s="714"/>
      <c r="G81" s="166"/>
      <c r="H81" s="166"/>
      <c r="I81" s="166"/>
      <c r="J81" s="166"/>
      <c r="K81" s="166"/>
      <c r="L81" s="166"/>
      <c r="M81" s="166"/>
      <c r="N81" s="715"/>
      <c r="O81" s="166"/>
      <c r="P81" s="166"/>
      <c r="Q81" s="716"/>
      <c r="R81" s="714"/>
      <c r="S81" s="717"/>
      <c r="T81" s="714"/>
      <c r="U81" s="166"/>
      <c r="V81" s="166"/>
      <c r="W81" s="166"/>
      <c r="X81" s="166"/>
      <c r="Y81" s="718"/>
      <c r="Z81" s="719"/>
      <c r="AA81" s="719"/>
      <c r="AB81" s="166"/>
      <c r="AC81" s="166"/>
      <c r="AD81" s="166"/>
      <c r="AE81" s="87"/>
      <c r="AF81" s="87"/>
      <c r="AG81" s="87"/>
      <c r="AH81" s="87"/>
      <c r="AI81" s="87"/>
      <c r="AJ81" s="87"/>
      <c r="AK81" s="87"/>
      <c r="AL81" s="87"/>
      <c r="AM81" s="87"/>
    </row>
    <row r="82">
      <c r="A82" s="87"/>
      <c r="B82" s="166"/>
      <c r="C82" s="166"/>
      <c r="D82" s="166"/>
      <c r="E82" s="166"/>
      <c r="F82" s="714"/>
      <c r="G82" s="166"/>
      <c r="H82" s="166"/>
      <c r="I82" s="166"/>
      <c r="J82" s="166"/>
      <c r="K82" s="166"/>
      <c r="L82" s="166"/>
      <c r="M82" s="166"/>
      <c r="N82" s="715"/>
      <c r="O82" s="166"/>
      <c r="P82" s="166"/>
      <c r="Q82" s="716"/>
      <c r="R82" s="714"/>
      <c r="S82" s="717"/>
      <c r="T82" s="714"/>
      <c r="U82" s="166"/>
      <c r="V82" s="166"/>
      <c r="W82" s="166"/>
      <c r="X82" s="166"/>
      <c r="Y82" s="718"/>
      <c r="Z82" s="719"/>
      <c r="AA82" s="719"/>
      <c r="AB82" s="166"/>
      <c r="AC82" s="166"/>
      <c r="AD82" s="166"/>
      <c r="AE82" s="87"/>
      <c r="AF82" s="87"/>
      <c r="AG82" s="87"/>
      <c r="AH82" s="87"/>
      <c r="AI82" s="87"/>
      <c r="AJ82" s="87"/>
      <c r="AK82" s="87"/>
      <c r="AL82" s="87"/>
      <c r="AM82" s="87"/>
    </row>
    <row r="83">
      <c r="A83" s="87"/>
      <c r="B83" s="166"/>
      <c r="C83" s="166"/>
      <c r="D83" s="166"/>
      <c r="E83" s="166"/>
      <c r="F83" s="714"/>
      <c r="G83" s="166"/>
      <c r="H83" s="166"/>
      <c r="I83" s="166"/>
      <c r="J83" s="166"/>
      <c r="K83" s="166"/>
      <c r="L83" s="166"/>
      <c r="M83" s="166"/>
      <c r="N83" s="715"/>
      <c r="O83" s="166"/>
      <c r="P83" s="166"/>
      <c r="Q83" s="716"/>
      <c r="R83" s="714"/>
      <c r="S83" s="717"/>
      <c r="T83" s="714"/>
      <c r="U83" s="166"/>
      <c r="V83" s="166"/>
      <c r="W83" s="166"/>
      <c r="X83" s="166"/>
      <c r="Y83" s="718"/>
      <c r="Z83" s="719"/>
      <c r="AA83" s="719"/>
      <c r="AB83" s="166"/>
      <c r="AC83" s="166"/>
      <c r="AD83" s="166"/>
      <c r="AE83" s="87"/>
      <c r="AF83" s="87"/>
      <c r="AG83" s="87"/>
      <c r="AH83" s="87"/>
      <c r="AI83" s="87"/>
      <c r="AJ83" s="87"/>
      <c r="AK83" s="87"/>
      <c r="AL83" s="87"/>
      <c r="AM83" s="87"/>
    </row>
    <row r="84">
      <c r="A84" s="87"/>
      <c r="B84" s="166"/>
      <c r="C84" s="166"/>
      <c r="D84" s="166"/>
      <c r="E84" s="166"/>
      <c r="F84" s="714"/>
      <c r="G84" s="166"/>
      <c r="H84" s="166"/>
      <c r="I84" s="166"/>
      <c r="J84" s="166"/>
      <c r="K84" s="166"/>
      <c r="L84" s="166"/>
      <c r="M84" s="166"/>
      <c r="N84" s="715"/>
      <c r="O84" s="166"/>
      <c r="P84" s="166"/>
      <c r="Q84" s="716"/>
      <c r="R84" s="714"/>
      <c r="S84" s="717"/>
      <c r="T84" s="714"/>
      <c r="U84" s="166"/>
      <c r="V84" s="166"/>
      <c r="W84" s="166"/>
      <c r="X84" s="166"/>
      <c r="Y84" s="718"/>
      <c r="Z84" s="719"/>
      <c r="AA84" s="719"/>
      <c r="AB84" s="166"/>
      <c r="AC84" s="166"/>
      <c r="AD84" s="166"/>
      <c r="AE84" s="87"/>
      <c r="AF84" s="87"/>
      <c r="AG84" s="87"/>
      <c r="AH84" s="87"/>
      <c r="AI84" s="87"/>
      <c r="AJ84" s="87"/>
      <c r="AK84" s="87"/>
      <c r="AL84" s="87"/>
      <c r="AM84" s="87"/>
    </row>
    <row r="85">
      <c r="A85" s="87"/>
      <c r="B85" s="166"/>
      <c r="C85" s="166"/>
      <c r="D85" s="166"/>
      <c r="E85" s="166"/>
      <c r="F85" s="714"/>
      <c r="G85" s="166"/>
      <c r="H85" s="166"/>
      <c r="I85" s="166"/>
      <c r="J85" s="166"/>
      <c r="K85" s="166"/>
      <c r="L85" s="166"/>
      <c r="M85" s="166"/>
      <c r="N85" s="715"/>
      <c r="O85" s="166"/>
      <c r="P85" s="166"/>
      <c r="Q85" s="716"/>
      <c r="R85" s="714"/>
      <c r="S85" s="717"/>
      <c r="T85" s="714"/>
      <c r="U85" s="166"/>
      <c r="V85" s="166"/>
      <c r="W85" s="166"/>
      <c r="X85" s="166"/>
      <c r="Y85" s="718"/>
      <c r="Z85" s="719"/>
      <c r="AA85" s="719"/>
      <c r="AB85" s="166"/>
      <c r="AC85" s="166"/>
      <c r="AD85" s="166"/>
      <c r="AE85" s="87"/>
      <c r="AF85" s="87"/>
      <c r="AG85" s="87"/>
      <c r="AH85" s="87"/>
      <c r="AI85" s="87"/>
      <c r="AJ85" s="87"/>
      <c r="AK85" s="87"/>
      <c r="AL85" s="87"/>
      <c r="AM85" s="87"/>
    </row>
    <row r="86">
      <c r="A86" s="87"/>
      <c r="B86" s="166"/>
      <c r="C86" s="166"/>
      <c r="D86" s="166"/>
      <c r="E86" s="166"/>
      <c r="F86" s="714"/>
      <c r="G86" s="166"/>
      <c r="H86" s="166"/>
      <c r="I86" s="166"/>
      <c r="J86" s="166"/>
      <c r="K86" s="166"/>
      <c r="L86" s="166"/>
      <c r="M86" s="166"/>
      <c r="N86" s="715"/>
      <c r="O86" s="166"/>
      <c r="P86" s="166"/>
      <c r="Q86" s="716"/>
      <c r="R86" s="714"/>
      <c r="S86" s="717"/>
      <c r="T86" s="714"/>
      <c r="U86" s="166"/>
      <c r="V86" s="166"/>
      <c r="W86" s="166"/>
      <c r="X86" s="166"/>
      <c r="Y86" s="718"/>
      <c r="Z86" s="719"/>
      <c r="AA86" s="719"/>
      <c r="AB86" s="166"/>
      <c r="AC86" s="166"/>
      <c r="AD86" s="166"/>
      <c r="AE86" s="87"/>
      <c r="AF86" s="87"/>
      <c r="AG86" s="87"/>
      <c r="AH86" s="87"/>
      <c r="AI86" s="87"/>
      <c r="AJ86" s="87"/>
      <c r="AK86" s="87"/>
      <c r="AL86" s="87"/>
      <c r="AM86" s="87"/>
    </row>
    <row r="87">
      <c r="A87" s="87"/>
      <c r="B87" s="166"/>
      <c r="C87" s="166"/>
      <c r="D87" s="166"/>
      <c r="E87" s="166"/>
      <c r="F87" s="714"/>
      <c r="G87" s="166"/>
      <c r="H87" s="166"/>
      <c r="I87" s="166"/>
      <c r="J87" s="166"/>
      <c r="K87" s="166"/>
      <c r="L87" s="166"/>
      <c r="M87" s="166"/>
      <c r="N87" s="715"/>
      <c r="O87" s="166"/>
      <c r="P87" s="166"/>
      <c r="Q87" s="716"/>
      <c r="R87" s="714"/>
      <c r="S87" s="717"/>
      <c r="T87" s="714"/>
      <c r="U87" s="166"/>
      <c r="V87" s="166"/>
      <c r="W87" s="166"/>
      <c r="X87" s="166"/>
      <c r="Y87" s="718"/>
      <c r="Z87" s="719"/>
      <c r="AA87" s="719"/>
      <c r="AB87" s="166"/>
      <c r="AC87" s="166"/>
      <c r="AD87" s="166"/>
      <c r="AE87" s="87"/>
      <c r="AF87" s="87"/>
      <c r="AG87" s="87"/>
      <c r="AH87" s="87"/>
      <c r="AI87" s="87"/>
      <c r="AJ87" s="87"/>
      <c r="AK87" s="87"/>
      <c r="AL87" s="87"/>
      <c r="AM87" s="87"/>
    </row>
    <row r="88">
      <c r="A88" s="87"/>
      <c r="B88" s="166"/>
      <c r="C88" s="166"/>
      <c r="D88" s="166"/>
      <c r="E88" s="166"/>
      <c r="F88" s="714"/>
      <c r="G88" s="166"/>
      <c r="H88" s="166"/>
      <c r="I88" s="166"/>
      <c r="J88" s="166"/>
      <c r="K88" s="166"/>
      <c r="L88" s="166"/>
      <c r="M88" s="166"/>
      <c r="N88" s="715"/>
      <c r="O88" s="166"/>
      <c r="P88" s="166"/>
      <c r="Q88" s="716"/>
      <c r="R88" s="714"/>
      <c r="S88" s="717"/>
      <c r="T88" s="714"/>
      <c r="U88" s="166"/>
      <c r="V88" s="166"/>
      <c r="W88" s="166"/>
      <c r="X88" s="166"/>
      <c r="Y88" s="718"/>
      <c r="Z88" s="719"/>
      <c r="AA88" s="719"/>
      <c r="AB88" s="166"/>
      <c r="AC88" s="166"/>
      <c r="AD88" s="166"/>
      <c r="AE88" s="87"/>
      <c r="AF88" s="87"/>
      <c r="AG88" s="87"/>
      <c r="AH88" s="87"/>
      <c r="AI88" s="87"/>
      <c r="AJ88" s="87"/>
      <c r="AK88" s="87"/>
      <c r="AL88" s="87"/>
      <c r="AM88" s="87"/>
    </row>
    <row r="89">
      <c r="A89" s="87"/>
      <c r="B89" s="166"/>
      <c r="C89" s="166"/>
      <c r="D89" s="166"/>
      <c r="E89" s="166"/>
      <c r="F89" s="714"/>
      <c r="G89" s="166"/>
      <c r="H89" s="166"/>
      <c r="I89" s="166"/>
      <c r="J89" s="166"/>
      <c r="K89" s="166"/>
      <c r="L89" s="166"/>
      <c r="M89" s="166"/>
      <c r="N89" s="715"/>
      <c r="O89" s="166"/>
      <c r="P89" s="166"/>
      <c r="Q89" s="716"/>
      <c r="R89" s="714"/>
      <c r="S89" s="717"/>
      <c r="T89" s="714"/>
      <c r="U89" s="166"/>
      <c r="V89" s="166"/>
      <c r="W89" s="166"/>
      <c r="X89" s="166"/>
      <c r="Y89" s="718"/>
      <c r="Z89" s="719"/>
      <c r="AA89" s="719"/>
      <c r="AB89" s="166"/>
      <c r="AC89" s="166"/>
      <c r="AD89" s="166"/>
      <c r="AE89" s="87"/>
      <c r="AF89" s="87"/>
      <c r="AG89" s="87"/>
      <c r="AH89" s="87"/>
      <c r="AI89" s="87"/>
      <c r="AJ89" s="87"/>
      <c r="AK89" s="87"/>
      <c r="AL89" s="87"/>
      <c r="AM89" s="87"/>
    </row>
    <row r="90">
      <c r="A90" s="87"/>
      <c r="B90" s="166"/>
      <c r="C90" s="166"/>
      <c r="D90" s="166"/>
      <c r="E90" s="166"/>
      <c r="F90" s="714"/>
      <c r="G90" s="166"/>
      <c r="H90" s="166"/>
      <c r="I90" s="166"/>
      <c r="J90" s="166"/>
      <c r="K90" s="166"/>
      <c r="L90" s="166"/>
      <c r="M90" s="166"/>
      <c r="N90" s="715"/>
      <c r="O90" s="166"/>
      <c r="P90" s="166"/>
      <c r="Q90" s="716"/>
      <c r="R90" s="714"/>
      <c r="S90" s="717"/>
      <c r="T90" s="714"/>
      <c r="U90" s="166"/>
      <c r="V90" s="166"/>
      <c r="W90" s="166"/>
      <c r="X90" s="166"/>
      <c r="Y90" s="718"/>
      <c r="Z90" s="719"/>
      <c r="AA90" s="719"/>
      <c r="AB90" s="166"/>
      <c r="AC90" s="166"/>
      <c r="AD90" s="166"/>
      <c r="AE90" s="87"/>
      <c r="AF90" s="87"/>
      <c r="AG90" s="87"/>
      <c r="AH90" s="87"/>
      <c r="AI90" s="87"/>
      <c r="AJ90" s="87"/>
      <c r="AK90" s="87"/>
      <c r="AL90" s="87"/>
      <c r="AM90" s="87"/>
    </row>
    <row r="91">
      <c r="A91" s="87"/>
      <c r="B91" s="166"/>
      <c r="C91" s="166"/>
      <c r="D91" s="166"/>
      <c r="E91" s="166"/>
      <c r="F91" s="714"/>
      <c r="G91" s="166"/>
      <c r="H91" s="166"/>
      <c r="I91" s="166"/>
      <c r="J91" s="166"/>
      <c r="K91" s="166"/>
      <c r="L91" s="166"/>
      <c r="M91" s="166"/>
      <c r="N91" s="715"/>
      <c r="O91" s="166"/>
      <c r="P91" s="166"/>
      <c r="Q91" s="716"/>
      <c r="R91" s="714"/>
      <c r="S91" s="717"/>
      <c r="T91" s="714"/>
      <c r="U91" s="166"/>
      <c r="V91" s="166"/>
      <c r="W91" s="166"/>
      <c r="X91" s="166"/>
      <c r="Y91" s="718"/>
      <c r="Z91" s="719"/>
      <c r="AA91" s="719"/>
      <c r="AB91" s="166"/>
      <c r="AC91" s="166"/>
      <c r="AD91" s="166"/>
      <c r="AE91" s="87"/>
      <c r="AF91" s="87"/>
      <c r="AG91" s="87"/>
      <c r="AH91" s="87"/>
      <c r="AI91" s="87"/>
      <c r="AJ91" s="87"/>
      <c r="AK91" s="87"/>
      <c r="AL91" s="87"/>
      <c r="AM91" s="87"/>
    </row>
    <row r="92">
      <c r="A92" s="87"/>
      <c r="B92" s="166"/>
      <c r="C92" s="166"/>
      <c r="D92" s="166"/>
      <c r="E92" s="166"/>
      <c r="F92" s="714"/>
      <c r="G92" s="166"/>
      <c r="H92" s="166"/>
      <c r="I92" s="166"/>
      <c r="J92" s="166"/>
      <c r="K92" s="166"/>
      <c r="L92" s="166"/>
      <c r="M92" s="166"/>
      <c r="N92" s="715"/>
      <c r="O92" s="166"/>
      <c r="P92" s="166"/>
      <c r="Q92" s="716"/>
      <c r="R92" s="714"/>
      <c r="S92" s="717"/>
      <c r="T92" s="714"/>
      <c r="U92" s="166"/>
      <c r="V92" s="166"/>
      <c r="W92" s="166"/>
      <c r="X92" s="166"/>
      <c r="Y92" s="718"/>
      <c r="Z92" s="719"/>
      <c r="AA92" s="719"/>
      <c r="AB92" s="166"/>
      <c r="AC92" s="166"/>
      <c r="AD92" s="166"/>
      <c r="AE92" s="87"/>
      <c r="AF92" s="87"/>
      <c r="AG92" s="87"/>
      <c r="AH92" s="87"/>
      <c r="AI92" s="87"/>
      <c r="AJ92" s="87"/>
      <c r="AK92" s="87"/>
      <c r="AL92" s="87"/>
      <c r="AM92" s="87"/>
    </row>
    <row r="93">
      <c r="A93" s="87"/>
      <c r="B93" s="166"/>
      <c r="C93" s="166"/>
      <c r="D93" s="166"/>
      <c r="E93" s="166"/>
      <c r="F93" s="714"/>
      <c r="G93" s="166"/>
      <c r="H93" s="166"/>
      <c r="I93" s="166"/>
      <c r="J93" s="166"/>
      <c r="K93" s="166"/>
      <c r="L93" s="166"/>
      <c r="M93" s="166"/>
      <c r="N93" s="715"/>
      <c r="O93" s="166"/>
      <c r="P93" s="166"/>
      <c r="Q93" s="716"/>
      <c r="R93" s="714"/>
      <c r="S93" s="717"/>
      <c r="T93" s="714"/>
      <c r="U93" s="166"/>
      <c r="V93" s="166"/>
      <c r="W93" s="166"/>
      <c r="X93" s="166"/>
      <c r="Y93" s="718"/>
      <c r="Z93" s="719"/>
      <c r="AA93" s="719"/>
      <c r="AB93" s="166"/>
      <c r="AC93" s="166"/>
      <c r="AD93" s="166"/>
      <c r="AE93" s="87"/>
      <c r="AF93" s="87"/>
      <c r="AG93" s="87"/>
      <c r="AH93" s="87"/>
      <c r="AI93" s="87"/>
      <c r="AJ93" s="87"/>
      <c r="AK93" s="87"/>
      <c r="AL93" s="87"/>
      <c r="AM93" s="87"/>
    </row>
    <row r="94">
      <c r="A94" s="87"/>
      <c r="B94" s="166"/>
      <c r="C94" s="166"/>
      <c r="D94" s="166"/>
      <c r="E94" s="166"/>
      <c r="F94" s="714"/>
      <c r="G94" s="166"/>
      <c r="H94" s="166"/>
      <c r="I94" s="166"/>
      <c r="J94" s="166"/>
      <c r="K94" s="166"/>
      <c r="L94" s="166"/>
      <c r="M94" s="166"/>
      <c r="N94" s="715"/>
      <c r="O94" s="166"/>
      <c r="P94" s="166"/>
      <c r="Q94" s="716"/>
      <c r="R94" s="714"/>
      <c r="S94" s="717"/>
      <c r="T94" s="714"/>
      <c r="U94" s="166"/>
      <c r="V94" s="166"/>
      <c r="W94" s="166"/>
      <c r="X94" s="166"/>
      <c r="Y94" s="718"/>
      <c r="Z94" s="719"/>
      <c r="AA94" s="719"/>
      <c r="AB94" s="166"/>
      <c r="AC94" s="166"/>
      <c r="AD94" s="166"/>
      <c r="AE94" s="87"/>
      <c r="AF94" s="87"/>
      <c r="AG94" s="87"/>
      <c r="AH94" s="87"/>
      <c r="AI94" s="87"/>
      <c r="AJ94" s="87"/>
      <c r="AK94" s="87"/>
      <c r="AL94" s="87"/>
      <c r="AM94" s="87"/>
    </row>
    <row r="95">
      <c r="A95" s="87"/>
      <c r="B95" s="166"/>
      <c r="C95" s="166"/>
      <c r="D95" s="166"/>
      <c r="E95" s="166"/>
      <c r="F95" s="714"/>
      <c r="G95" s="166"/>
      <c r="H95" s="166"/>
      <c r="I95" s="166"/>
      <c r="J95" s="166"/>
      <c r="K95" s="166"/>
      <c r="L95" s="166"/>
      <c r="M95" s="166"/>
      <c r="N95" s="715"/>
      <c r="O95" s="166"/>
      <c r="P95" s="166"/>
      <c r="Q95" s="716"/>
      <c r="R95" s="714"/>
      <c r="S95" s="717"/>
      <c r="T95" s="714"/>
      <c r="U95" s="166"/>
      <c r="V95" s="166"/>
      <c r="W95" s="166"/>
      <c r="X95" s="166"/>
      <c r="Y95" s="718"/>
      <c r="Z95" s="719"/>
      <c r="AA95" s="719"/>
      <c r="AB95" s="166"/>
      <c r="AC95" s="166"/>
      <c r="AD95" s="166"/>
      <c r="AE95" s="87"/>
      <c r="AF95" s="87"/>
      <c r="AG95" s="87"/>
      <c r="AH95" s="87"/>
      <c r="AI95" s="87"/>
      <c r="AJ95" s="87"/>
      <c r="AK95" s="87"/>
      <c r="AL95" s="87"/>
      <c r="AM95" s="87"/>
    </row>
    <row r="96">
      <c r="A96" s="87"/>
      <c r="B96" s="166"/>
      <c r="C96" s="166"/>
      <c r="D96" s="166"/>
      <c r="E96" s="166"/>
      <c r="F96" s="714"/>
      <c r="G96" s="166"/>
      <c r="H96" s="166"/>
      <c r="I96" s="166"/>
      <c r="J96" s="166"/>
      <c r="K96" s="166"/>
      <c r="L96" s="166"/>
      <c r="M96" s="166"/>
      <c r="N96" s="715"/>
      <c r="O96" s="166"/>
      <c r="P96" s="166"/>
      <c r="Q96" s="716"/>
      <c r="R96" s="714"/>
      <c r="S96" s="717"/>
      <c r="T96" s="714"/>
      <c r="U96" s="166"/>
      <c r="V96" s="166"/>
      <c r="W96" s="166"/>
      <c r="X96" s="166"/>
      <c r="Y96" s="718"/>
      <c r="Z96" s="719"/>
      <c r="AA96" s="719"/>
      <c r="AB96" s="166"/>
      <c r="AC96" s="166"/>
      <c r="AD96" s="166"/>
      <c r="AE96" s="87"/>
      <c r="AF96" s="87"/>
      <c r="AG96" s="87"/>
      <c r="AH96" s="87"/>
      <c r="AI96" s="87"/>
      <c r="AJ96" s="87"/>
      <c r="AK96" s="87"/>
      <c r="AL96" s="87"/>
      <c r="AM96" s="87"/>
    </row>
    <row r="97">
      <c r="A97" s="87"/>
      <c r="B97" s="166"/>
      <c r="C97" s="166"/>
      <c r="D97" s="166"/>
      <c r="E97" s="166"/>
      <c r="F97" s="714"/>
      <c r="G97" s="166"/>
      <c r="H97" s="166"/>
      <c r="I97" s="166"/>
      <c r="J97" s="166"/>
      <c r="K97" s="166"/>
      <c r="L97" s="166"/>
      <c r="M97" s="166"/>
      <c r="N97" s="715"/>
      <c r="O97" s="166"/>
      <c r="P97" s="166"/>
      <c r="Q97" s="716"/>
      <c r="R97" s="714"/>
      <c r="S97" s="717"/>
      <c r="T97" s="714"/>
      <c r="U97" s="166"/>
      <c r="V97" s="166"/>
      <c r="W97" s="166"/>
      <c r="X97" s="166"/>
      <c r="Y97" s="718"/>
      <c r="Z97" s="719"/>
      <c r="AA97" s="719"/>
      <c r="AB97" s="166"/>
      <c r="AC97" s="166"/>
      <c r="AD97" s="166"/>
      <c r="AE97" s="87"/>
      <c r="AF97" s="87"/>
      <c r="AG97" s="87"/>
      <c r="AH97" s="87"/>
      <c r="AI97" s="87"/>
      <c r="AJ97" s="87"/>
      <c r="AK97" s="87"/>
      <c r="AL97" s="87"/>
      <c r="AM97" s="87"/>
    </row>
    <row r="98">
      <c r="A98" s="87"/>
      <c r="B98" s="166"/>
      <c r="C98" s="166"/>
      <c r="D98" s="166"/>
      <c r="E98" s="166"/>
      <c r="F98" s="714"/>
      <c r="G98" s="166"/>
      <c r="H98" s="166"/>
      <c r="I98" s="166"/>
      <c r="J98" s="166"/>
      <c r="K98" s="166"/>
      <c r="L98" s="166"/>
      <c r="M98" s="166"/>
      <c r="N98" s="715"/>
      <c r="O98" s="166"/>
      <c r="P98" s="166"/>
      <c r="Q98" s="716"/>
      <c r="R98" s="714"/>
      <c r="S98" s="717"/>
      <c r="T98" s="714"/>
      <c r="U98" s="166"/>
      <c r="V98" s="166"/>
      <c r="W98" s="166"/>
      <c r="X98" s="166"/>
      <c r="Y98" s="718"/>
      <c r="Z98" s="719"/>
      <c r="AA98" s="719"/>
      <c r="AB98" s="166"/>
      <c r="AC98" s="166"/>
      <c r="AD98" s="166"/>
      <c r="AE98" s="87"/>
      <c r="AF98" s="87"/>
      <c r="AG98" s="87"/>
      <c r="AH98" s="87"/>
      <c r="AI98" s="87"/>
      <c r="AJ98" s="87"/>
      <c r="AK98" s="87"/>
      <c r="AL98" s="87"/>
      <c r="AM98" s="87"/>
    </row>
    <row r="99">
      <c r="A99" s="87"/>
      <c r="B99" s="166"/>
      <c r="C99" s="166"/>
      <c r="D99" s="166"/>
      <c r="E99" s="166"/>
      <c r="F99" s="714"/>
      <c r="G99" s="166"/>
      <c r="H99" s="166"/>
      <c r="I99" s="166"/>
      <c r="J99" s="166"/>
      <c r="K99" s="166"/>
      <c r="L99" s="166"/>
      <c r="M99" s="166"/>
      <c r="N99" s="715"/>
      <c r="O99" s="166"/>
      <c r="P99" s="166"/>
      <c r="Q99" s="716"/>
      <c r="R99" s="714"/>
      <c r="S99" s="717"/>
      <c r="T99" s="714"/>
      <c r="U99" s="166"/>
      <c r="V99" s="166"/>
      <c r="W99" s="166"/>
      <c r="X99" s="166"/>
      <c r="Y99" s="718"/>
      <c r="Z99" s="719"/>
      <c r="AA99" s="719"/>
      <c r="AB99" s="166"/>
      <c r="AC99" s="166"/>
      <c r="AD99" s="166"/>
      <c r="AE99" s="87"/>
      <c r="AF99" s="87"/>
      <c r="AG99" s="87"/>
      <c r="AH99" s="87"/>
      <c r="AI99" s="87"/>
      <c r="AJ99" s="87"/>
      <c r="AK99" s="87"/>
      <c r="AL99" s="87"/>
      <c r="AM99" s="87"/>
    </row>
    <row r="100">
      <c r="A100" s="87"/>
      <c r="B100" s="166"/>
      <c r="C100" s="166"/>
      <c r="D100" s="166"/>
      <c r="E100" s="166"/>
      <c r="F100" s="714"/>
      <c r="G100" s="166"/>
      <c r="H100" s="166"/>
      <c r="I100" s="166"/>
      <c r="J100" s="166"/>
      <c r="K100" s="166"/>
      <c r="L100" s="166"/>
      <c r="M100" s="166"/>
      <c r="N100" s="715"/>
      <c r="O100" s="166"/>
      <c r="P100" s="166"/>
      <c r="Q100" s="716"/>
      <c r="R100" s="714"/>
      <c r="S100" s="717"/>
      <c r="T100" s="714"/>
      <c r="U100" s="166"/>
      <c r="V100" s="166"/>
      <c r="W100" s="166"/>
      <c r="X100" s="166"/>
      <c r="Y100" s="718"/>
      <c r="Z100" s="719"/>
      <c r="AA100" s="719"/>
      <c r="AB100" s="166"/>
      <c r="AC100" s="166"/>
      <c r="AD100" s="166"/>
      <c r="AE100" s="87"/>
      <c r="AF100" s="87"/>
      <c r="AG100" s="87"/>
      <c r="AH100" s="87"/>
      <c r="AI100" s="87"/>
      <c r="AJ100" s="87"/>
      <c r="AK100" s="87"/>
      <c r="AL100" s="87"/>
      <c r="AM100" s="87"/>
    </row>
    <row r="101">
      <c r="A101" s="87"/>
      <c r="B101" s="166"/>
      <c r="C101" s="166"/>
      <c r="D101" s="166"/>
      <c r="E101" s="166"/>
      <c r="F101" s="714"/>
      <c r="G101" s="166"/>
      <c r="H101" s="166"/>
      <c r="I101" s="166"/>
      <c r="J101" s="166"/>
      <c r="K101" s="166"/>
      <c r="L101" s="166"/>
      <c r="M101" s="166"/>
      <c r="N101" s="715"/>
      <c r="O101" s="166"/>
      <c r="P101" s="166"/>
      <c r="Q101" s="716"/>
      <c r="R101" s="714"/>
      <c r="S101" s="717"/>
      <c r="T101" s="714"/>
      <c r="U101" s="166"/>
      <c r="V101" s="166"/>
      <c r="W101" s="166"/>
      <c r="X101" s="166"/>
      <c r="Y101" s="718"/>
      <c r="Z101" s="719"/>
      <c r="AA101" s="719"/>
      <c r="AB101" s="166"/>
      <c r="AC101" s="166"/>
      <c r="AD101" s="166"/>
      <c r="AE101" s="87"/>
      <c r="AF101" s="87"/>
      <c r="AG101" s="87"/>
      <c r="AH101" s="87"/>
      <c r="AI101" s="87"/>
      <c r="AJ101" s="87"/>
      <c r="AK101" s="87"/>
      <c r="AL101" s="87"/>
      <c r="AM101" s="87"/>
    </row>
    <row r="102">
      <c r="A102" s="87"/>
      <c r="B102" s="166"/>
      <c r="C102" s="166"/>
      <c r="D102" s="166"/>
      <c r="E102" s="166"/>
      <c r="F102" s="714"/>
      <c r="G102" s="166"/>
      <c r="H102" s="166"/>
      <c r="I102" s="166"/>
      <c r="J102" s="166"/>
      <c r="K102" s="166"/>
      <c r="L102" s="166"/>
      <c r="M102" s="166"/>
      <c r="N102" s="715"/>
      <c r="O102" s="166"/>
      <c r="P102" s="166"/>
      <c r="Q102" s="716"/>
      <c r="R102" s="714"/>
      <c r="S102" s="717"/>
      <c r="T102" s="714"/>
      <c r="U102" s="166"/>
      <c r="V102" s="166"/>
      <c r="W102" s="166"/>
      <c r="X102" s="166"/>
      <c r="Y102" s="718"/>
      <c r="Z102" s="719"/>
      <c r="AA102" s="719"/>
      <c r="AB102" s="166"/>
      <c r="AC102" s="166"/>
      <c r="AD102" s="166"/>
      <c r="AE102" s="87"/>
      <c r="AF102" s="87"/>
      <c r="AG102" s="87"/>
      <c r="AH102" s="87"/>
      <c r="AI102" s="87"/>
      <c r="AJ102" s="87"/>
      <c r="AK102" s="87"/>
      <c r="AL102" s="87"/>
      <c r="AM102" s="87"/>
    </row>
    <row r="103">
      <c r="A103" s="87"/>
      <c r="B103" s="166"/>
      <c r="C103" s="166"/>
      <c r="D103" s="166"/>
      <c r="E103" s="166"/>
      <c r="F103" s="714"/>
      <c r="G103" s="166"/>
      <c r="H103" s="166"/>
      <c r="I103" s="166"/>
      <c r="J103" s="166"/>
      <c r="K103" s="166"/>
      <c r="L103" s="166"/>
      <c r="M103" s="166"/>
      <c r="N103" s="715"/>
      <c r="O103" s="166"/>
      <c r="P103" s="166"/>
      <c r="Q103" s="716"/>
      <c r="R103" s="714"/>
      <c r="S103" s="717"/>
      <c r="T103" s="714"/>
      <c r="U103" s="166"/>
      <c r="V103" s="166"/>
      <c r="W103" s="166"/>
      <c r="X103" s="166"/>
      <c r="Y103" s="718"/>
      <c r="Z103" s="719"/>
      <c r="AA103" s="719"/>
      <c r="AB103" s="166"/>
      <c r="AC103" s="166"/>
      <c r="AD103" s="166"/>
      <c r="AE103" s="87"/>
      <c r="AF103" s="87"/>
      <c r="AG103" s="87"/>
      <c r="AH103" s="87"/>
      <c r="AI103" s="87"/>
      <c r="AJ103" s="87"/>
      <c r="AK103" s="87"/>
      <c r="AL103" s="87"/>
      <c r="AM103" s="87"/>
    </row>
    <row r="104">
      <c r="A104" s="87"/>
      <c r="B104" s="166"/>
      <c r="C104" s="166"/>
      <c r="D104" s="166"/>
      <c r="E104" s="166"/>
      <c r="F104" s="714"/>
      <c r="G104" s="166"/>
      <c r="H104" s="166"/>
      <c r="I104" s="166"/>
      <c r="J104" s="166"/>
      <c r="K104" s="166"/>
      <c r="L104" s="166"/>
      <c r="M104" s="166"/>
      <c r="N104" s="715"/>
      <c r="O104" s="166"/>
      <c r="P104" s="166"/>
      <c r="Q104" s="716"/>
      <c r="R104" s="714"/>
      <c r="S104" s="717"/>
      <c r="T104" s="714"/>
      <c r="U104" s="166"/>
      <c r="V104" s="166"/>
      <c r="W104" s="166"/>
      <c r="X104" s="166"/>
      <c r="Y104" s="718"/>
      <c r="Z104" s="719"/>
      <c r="AA104" s="719"/>
      <c r="AB104" s="166"/>
      <c r="AC104" s="166"/>
      <c r="AD104" s="166"/>
      <c r="AE104" s="87"/>
      <c r="AF104" s="87"/>
      <c r="AG104" s="87"/>
      <c r="AH104" s="87"/>
      <c r="AI104" s="87"/>
      <c r="AJ104" s="87"/>
      <c r="AK104" s="87"/>
      <c r="AL104" s="87"/>
      <c r="AM104" s="87"/>
    </row>
    <row r="105">
      <c r="A105" s="87"/>
      <c r="B105" s="166"/>
      <c r="C105" s="166"/>
      <c r="D105" s="166"/>
      <c r="E105" s="166"/>
      <c r="F105" s="714"/>
      <c r="G105" s="166"/>
      <c r="H105" s="166"/>
      <c r="I105" s="166"/>
      <c r="J105" s="166"/>
      <c r="K105" s="166"/>
      <c r="L105" s="166"/>
      <c r="M105" s="166"/>
      <c r="N105" s="715"/>
      <c r="O105" s="166"/>
      <c r="P105" s="166"/>
      <c r="Q105" s="716"/>
      <c r="R105" s="714"/>
      <c r="S105" s="717"/>
      <c r="T105" s="714"/>
      <c r="U105" s="166"/>
      <c r="V105" s="166"/>
      <c r="W105" s="166"/>
      <c r="X105" s="166"/>
      <c r="Y105" s="718"/>
      <c r="Z105" s="719"/>
      <c r="AA105" s="719"/>
      <c r="AB105" s="166"/>
      <c r="AC105" s="166"/>
      <c r="AD105" s="166"/>
      <c r="AE105" s="87"/>
      <c r="AF105" s="87"/>
      <c r="AG105" s="87"/>
      <c r="AH105" s="87"/>
      <c r="AI105" s="87"/>
      <c r="AJ105" s="87"/>
      <c r="AK105" s="87"/>
      <c r="AL105" s="87"/>
      <c r="AM105" s="87"/>
    </row>
    <row r="106">
      <c r="A106" s="87"/>
      <c r="B106" s="166"/>
      <c r="C106" s="166"/>
      <c r="D106" s="166"/>
      <c r="E106" s="166"/>
      <c r="F106" s="714"/>
      <c r="G106" s="166"/>
      <c r="H106" s="166"/>
      <c r="I106" s="166"/>
      <c r="J106" s="166"/>
      <c r="K106" s="166"/>
      <c r="L106" s="166"/>
      <c r="M106" s="166"/>
      <c r="N106" s="715"/>
      <c r="O106" s="166"/>
      <c r="P106" s="166"/>
      <c r="Q106" s="716"/>
      <c r="R106" s="714"/>
      <c r="S106" s="717"/>
      <c r="T106" s="714"/>
      <c r="U106" s="166"/>
      <c r="V106" s="166"/>
      <c r="W106" s="166"/>
      <c r="X106" s="166"/>
      <c r="Y106" s="718"/>
      <c r="Z106" s="719"/>
      <c r="AA106" s="719"/>
      <c r="AB106" s="166"/>
      <c r="AC106" s="166"/>
      <c r="AD106" s="166"/>
      <c r="AE106" s="87"/>
      <c r="AF106" s="87"/>
      <c r="AG106" s="87"/>
      <c r="AH106" s="87"/>
      <c r="AI106" s="87"/>
      <c r="AJ106" s="87"/>
      <c r="AK106" s="87"/>
      <c r="AL106" s="87"/>
      <c r="AM106" s="87"/>
    </row>
    <row r="107">
      <c r="A107" s="87"/>
      <c r="B107" s="166"/>
      <c r="C107" s="166"/>
      <c r="D107" s="166"/>
      <c r="E107" s="166"/>
      <c r="F107" s="714"/>
      <c r="G107" s="166"/>
      <c r="H107" s="166"/>
      <c r="I107" s="166"/>
      <c r="J107" s="166"/>
      <c r="K107" s="166"/>
      <c r="L107" s="166"/>
      <c r="M107" s="166"/>
      <c r="N107" s="715"/>
      <c r="O107" s="166"/>
      <c r="P107" s="166"/>
      <c r="Q107" s="716"/>
      <c r="R107" s="714"/>
      <c r="S107" s="717"/>
      <c r="T107" s="714"/>
      <c r="U107" s="166"/>
      <c r="V107" s="166"/>
      <c r="W107" s="166"/>
      <c r="X107" s="166"/>
      <c r="Y107" s="718"/>
      <c r="Z107" s="719"/>
      <c r="AA107" s="719"/>
      <c r="AB107" s="166"/>
      <c r="AC107" s="166"/>
      <c r="AD107" s="166"/>
      <c r="AE107" s="87"/>
      <c r="AF107" s="87"/>
      <c r="AG107" s="87"/>
      <c r="AH107" s="87"/>
      <c r="AI107" s="87"/>
      <c r="AJ107" s="87"/>
      <c r="AK107" s="87"/>
      <c r="AL107" s="87"/>
      <c r="AM107" s="87"/>
    </row>
    <row r="108">
      <c r="A108" s="87"/>
      <c r="B108" s="166"/>
      <c r="C108" s="166"/>
      <c r="D108" s="166"/>
      <c r="E108" s="166"/>
      <c r="F108" s="714"/>
      <c r="G108" s="166"/>
      <c r="H108" s="166"/>
      <c r="I108" s="166"/>
      <c r="J108" s="166"/>
      <c r="K108" s="166"/>
      <c r="L108" s="166"/>
      <c r="M108" s="166"/>
      <c r="N108" s="715"/>
      <c r="O108" s="166"/>
      <c r="P108" s="166"/>
      <c r="Q108" s="716"/>
      <c r="R108" s="714"/>
      <c r="S108" s="717"/>
      <c r="T108" s="714"/>
      <c r="U108" s="166"/>
      <c r="V108" s="166"/>
      <c r="W108" s="166"/>
      <c r="X108" s="166"/>
      <c r="Y108" s="718"/>
      <c r="Z108" s="719"/>
      <c r="AA108" s="719"/>
      <c r="AB108" s="166"/>
      <c r="AC108" s="166"/>
      <c r="AD108" s="166"/>
      <c r="AE108" s="87"/>
      <c r="AF108" s="87"/>
      <c r="AG108" s="87"/>
      <c r="AH108" s="87"/>
      <c r="AI108" s="87"/>
      <c r="AJ108" s="87"/>
      <c r="AK108" s="87"/>
      <c r="AL108" s="87"/>
      <c r="AM108" s="87"/>
    </row>
    <row r="109">
      <c r="A109" s="87"/>
      <c r="B109" s="166"/>
      <c r="C109" s="166"/>
      <c r="D109" s="166"/>
      <c r="E109" s="166"/>
      <c r="F109" s="714"/>
      <c r="G109" s="166"/>
      <c r="H109" s="166"/>
      <c r="I109" s="166"/>
      <c r="J109" s="166"/>
      <c r="K109" s="166"/>
      <c r="L109" s="166"/>
      <c r="M109" s="166"/>
      <c r="N109" s="715"/>
      <c r="O109" s="166"/>
      <c r="P109" s="166"/>
      <c r="Q109" s="716"/>
      <c r="R109" s="714"/>
      <c r="S109" s="717"/>
      <c r="T109" s="714"/>
      <c r="U109" s="166"/>
      <c r="V109" s="166"/>
      <c r="W109" s="166"/>
      <c r="X109" s="166"/>
      <c r="Y109" s="718"/>
      <c r="Z109" s="719"/>
      <c r="AA109" s="719"/>
      <c r="AB109" s="166"/>
      <c r="AC109" s="166"/>
      <c r="AD109" s="166"/>
      <c r="AE109" s="87"/>
      <c r="AF109" s="87"/>
      <c r="AG109" s="87"/>
      <c r="AH109" s="87"/>
      <c r="AI109" s="87"/>
      <c r="AJ109" s="87"/>
      <c r="AK109" s="87"/>
      <c r="AL109" s="87"/>
      <c r="AM109" s="87"/>
    </row>
    <row r="110">
      <c r="A110" s="87"/>
      <c r="B110" s="166"/>
      <c r="C110" s="166"/>
      <c r="D110" s="166"/>
      <c r="E110" s="166"/>
      <c r="F110" s="714"/>
      <c r="G110" s="166"/>
      <c r="H110" s="166"/>
      <c r="I110" s="166"/>
      <c r="J110" s="166"/>
      <c r="K110" s="166"/>
      <c r="L110" s="166"/>
      <c r="M110" s="166"/>
      <c r="N110" s="715"/>
      <c r="O110" s="166"/>
      <c r="P110" s="166"/>
      <c r="Q110" s="716"/>
      <c r="R110" s="714"/>
      <c r="S110" s="717"/>
      <c r="T110" s="714"/>
      <c r="U110" s="166"/>
      <c r="V110" s="166"/>
      <c r="W110" s="166"/>
      <c r="X110" s="166"/>
      <c r="Y110" s="718"/>
      <c r="Z110" s="719"/>
      <c r="AA110" s="719"/>
      <c r="AB110" s="166"/>
      <c r="AC110" s="166"/>
      <c r="AD110" s="166"/>
      <c r="AE110" s="87"/>
      <c r="AF110" s="87"/>
      <c r="AG110" s="87"/>
      <c r="AH110" s="87"/>
      <c r="AI110" s="87"/>
      <c r="AJ110" s="87"/>
      <c r="AK110" s="87"/>
      <c r="AL110" s="87"/>
      <c r="AM110" s="87"/>
    </row>
    <row r="111">
      <c r="A111" s="87"/>
      <c r="B111" s="166"/>
      <c r="C111" s="166"/>
      <c r="D111" s="166"/>
      <c r="E111" s="166"/>
      <c r="F111" s="714"/>
      <c r="G111" s="166"/>
      <c r="H111" s="166"/>
      <c r="I111" s="166"/>
      <c r="J111" s="166"/>
      <c r="K111" s="166"/>
      <c r="L111" s="166"/>
      <c r="M111" s="166"/>
      <c r="N111" s="715"/>
      <c r="O111" s="166"/>
      <c r="P111" s="166"/>
      <c r="Q111" s="716"/>
      <c r="R111" s="714"/>
      <c r="S111" s="717"/>
      <c r="T111" s="714"/>
      <c r="U111" s="166"/>
      <c r="V111" s="166"/>
      <c r="W111" s="166"/>
      <c r="X111" s="166"/>
      <c r="Y111" s="718"/>
      <c r="Z111" s="719"/>
      <c r="AA111" s="719"/>
      <c r="AB111" s="166"/>
      <c r="AC111" s="166"/>
      <c r="AD111" s="166"/>
      <c r="AE111" s="87"/>
      <c r="AF111" s="87"/>
      <c r="AG111" s="87"/>
      <c r="AH111" s="87"/>
      <c r="AI111" s="87"/>
      <c r="AJ111" s="87"/>
      <c r="AK111" s="87"/>
      <c r="AL111" s="87"/>
      <c r="AM111" s="87"/>
    </row>
    <row r="112">
      <c r="A112" s="87"/>
      <c r="B112" s="166"/>
      <c r="C112" s="166"/>
      <c r="D112" s="166"/>
      <c r="E112" s="166"/>
      <c r="F112" s="714"/>
      <c r="G112" s="166"/>
      <c r="H112" s="166"/>
      <c r="I112" s="166"/>
      <c r="J112" s="166"/>
      <c r="K112" s="166"/>
      <c r="L112" s="166"/>
      <c r="M112" s="166"/>
      <c r="N112" s="715"/>
      <c r="O112" s="166"/>
      <c r="P112" s="166"/>
      <c r="Q112" s="716"/>
      <c r="R112" s="714"/>
      <c r="S112" s="717"/>
      <c r="T112" s="714"/>
      <c r="U112" s="166"/>
      <c r="V112" s="166"/>
      <c r="W112" s="166"/>
      <c r="X112" s="166"/>
      <c r="Y112" s="718"/>
      <c r="Z112" s="719"/>
      <c r="AA112" s="719"/>
      <c r="AB112" s="166"/>
      <c r="AC112" s="166"/>
      <c r="AD112" s="166"/>
      <c r="AE112" s="87"/>
      <c r="AF112" s="87"/>
      <c r="AG112" s="87"/>
      <c r="AH112" s="87"/>
      <c r="AI112" s="87"/>
      <c r="AJ112" s="87"/>
      <c r="AK112" s="87"/>
      <c r="AL112" s="87"/>
      <c r="AM112" s="87"/>
    </row>
    <row r="113">
      <c r="A113" s="87"/>
      <c r="B113" s="166"/>
      <c r="C113" s="166"/>
      <c r="D113" s="166"/>
      <c r="E113" s="166"/>
      <c r="F113" s="714"/>
      <c r="G113" s="166"/>
      <c r="H113" s="166"/>
      <c r="I113" s="166"/>
      <c r="J113" s="166"/>
      <c r="K113" s="166"/>
      <c r="L113" s="166"/>
      <c r="M113" s="166"/>
      <c r="N113" s="715"/>
      <c r="O113" s="166"/>
      <c r="P113" s="166"/>
      <c r="Q113" s="716"/>
      <c r="R113" s="714"/>
      <c r="S113" s="717"/>
      <c r="T113" s="714"/>
      <c r="U113" s="166"/>
      <c r="V113" s="166"/>
      <c r="W113" s="166"/>
      <c r="X113" s="166"/>
      <c r="Y113" s="718"/>
      <c r="Z113" s="719"/>
      <c r="AA113" s="719"/>
      <c r="AB113" s="166"/>
      <c r="AC113" s="166"/>
      <c r="AD113" s="166"/>
      <c r="AE113" s="87"/>
      <c r="AF113" s="87"/>
      <c r="AG113" s="87"/>
      <c r="AH113" s="87"/>
      <c r="AI113" s="87"/>
      <c r="AJ113" s="87"/>
      <c r="AK113" s="87"/>
      <c r="AL113" s="87"/>
      <c r="AM113" s="87"/>
    </row>
    <row r="114">
      <c r="A114" s="87"/>
      <c r="B114" s="166"/>
      <c r="C114" s="166"/>
      <c r="D114" s="166"/>
      <c r="E114" s="166"/>
      <c r="F114" s="714"/>
      <c r="G114" s="166"/>
      <c r="H114" s="166"/>
      <c r="I114" s="166"/>
      <c r="J114" s="166"/>
      <c r="K114" s="166"/>
      <c r="L114" s="166"/>
      <c r="M114" s="166"/>
      <c r="N114" s="715"/>
      <c r="O114" s="166"/>
      <c r="P114" s="166"/>
      <c r="Q114" s="716"/>
      <c r="R114" s="714"/>
      <c r="S114" s="717"/>
      <c r="T114" s="714"/>
      <c r="U114" s="166"/>
      <c r="V114" s="166"/>
      <c r="W114" s="166"/>
      <c r="X114" s="166"/>
      <c r="Y114" s="718"/>
      <c r="Z114" s="719"/>
      <c r="AA114" s="719"/>
      <c r="AB114" s="166"/>
      <c r="AC114" s="166"/>
      <c r="AD114" s="166"/>
      <c r="AE114" s="87"/>
      <c r="AF114" s="87"/>
      <c r="AG114" s="87"/>
      <c r="AH114" s="87"/>
      <c r="AI114" s="87"/>
      <c r="AJ114" s="87"/>
      <c r="AK114" s="87"/>
      <c r="AL114" s="87"/>
      <c r="AM114" s="87"/>
    </row>
    <row r="115">
      <c r="A115" s="87"/>
      <c r="B115" s="166"/>
      <c r="C115" s="166"/>
      <c r="D115" s="166"/>
      <c r="E115" s="166"/>
      <c r="F115" s="714"/>
      <c r="G115" s="166"/>
      <c r="H115" s="166"/>
      <c r="I115" s="166"/>
      <c r="J115" s="166"/>
      <c r="K115" s="166"/>
      <c r="L115" s="166"/>
      <c r="M115" s="166"/>
      <c r="N115" s="715"/>
      <c r="O115" s="166"/>
      <c r="P115" s="166"/>
      <c r="Q115" s="716"/>
      <c r="R115" s="714"/>
      <c r="S115" s="717"/>
      <c r="T115" s="714"/>
      <c r="U115" s="166"/>
      <c r="V115" s="166"/>
      <c r="W115" s="166"/>
      <c r="X115" s="166"/>
      <c r="Y115" s="718"/>
      <c r="Z115" s="719"/>
      <c r="AA115" s="719"/>
      <c r="AB115" s="166"/>
      <c r="AC115" s="166"/>
      <c r="AD115" s="166"/>
      <c r="AE115" s="87"/>
      <c r="AF115" s="87"/>
      <c r="AG115" s="87"/>
      <c r="AH115" s="87"/>
      <c r="AI115" s="87"/>
      <c r="AJ115" s="87"/>
      <c r="AK115" s="87"/>
      <c r="AL115" s="87"/>
      <c r="AM115" s="87"/>
    </row>
    <row r="116">
      <c r="A116" s="87"/>
      <c r="B116" s="166"/>
      <c r="C116" s="166"/>
      <c r="D116" s="166"/>
      <c r="E116" s="166"/>
      <c r="F116" s="714"/>
      <c r="G116" s="166"/>
      <c r="H116" s="166"/>
      <c r="I116" s="166"/>
      <c r="J116" s="166"/>
      <c r="K116" s="166"/>
      <c r="L116" s="166"/>
      <c r="M116" s="166"/>
      <c r="N116" s="715"/>
      <c r="O116" s="166"/>
      <c r="P116" s="166"/>
      <c r="Q116" s="716"/>
      <c r="R116" s="714"/>
      <c r="S116" s="717"/>
      <c r="T116" s="714"/>
      <c r="U116" s="166"/>
      <c r="V116" s="166"/>
      <c r="W116" s="166"/>
      <c r="X116" s="166"/>
      <c r="Y116" s="718"/>
      <c r="Z116" s="719"/>
      <c r="AA116" s="719"/>
      <c r="AB116" s="166"/>
      <c r="AC116" s="166"/>
      <c r="AD116" s="166"/>
      <c r="AE116" s="87"/>
      <c r="AF116" s="87"/>
      <c r="AG116" s="87"/>
      <c r="AH116" s="87"/>
      <c r="AI116" s="87"/>
      <c r="AJ116" s="87"/>
      <c r="AK116" s="87"/>
      <c r="AL116" s="87"/>
      <c r="AM116" s="87"/>
    </row>
    <row r="117">
      <c r="A117" s="87"/>
      <c r="B117" s="166"/>
      <c r="C117" s="166"/>
      <c r="D117" s="166"/>
      <c r="E117" s="166"/>
      <c r="F117" s="714"/>
      <c r="G117" s="166"/>
      <c r="H117" s="166"/>
      <c r="I117" s="166"/>
      <c r="J117" s="166"/>
      <c r="K117" s="166"/>
      <c r="L117" s="166"/>
      <c r="M117" s="166"/>
      <c r="N117" s="715"/>
      <c r="O117" s="166"/>
      <c r="P117" s="166"/>
      <c r="Q117" s="716"/>
      <c r="R117" s="714"/>
      <c r="S117" s="717"/>
      <c r="T117" s="714"/>
      <c r="U117" s="166"/>
      <c r="V117" s="166"/>
      <c r="W117" s="166"/>
      <c r="X117" s="166"/>
      <c r="Y117" s="718"/>
      <c r="Z117" s="719"/>
      <c r="AA117" s="719"/>
      <c r="AB117" s="166"/>
      <c r="AC117" s="166"/>
      <c r="AD117" s="166"/>
      <c r="AE117" s="87"/>
      <c r="AF117" s="87"/>
      <c r="AG117" s="87"/>
      <c r="AH117" s="87"/>
      <c r="AI117" s="87"/>
      <c r="AJ117" s="87"/>
      <c r="AK117" s="87"/>
      <c r="AL117" s="87"/>
      <c r="AM117" s="87"/>
    </row>
    <row r="118">
      <c r="A118" s="87"/>
      <c r="B118" s="166"/>
      <c r="C118" s="166"/>
      <c r="D118" s="166"/>
      <c r="E118" s="166"/>
      <c r="F118" s="714"/>
      <c r="G118" s="166"/>
      <c r="H118" s="166"/>
      <c r="I118" s="166"/>
      <c r="J118" s="166"/>
      <c r="K118" s="166"/>
      <c r="L118" s="166"/>
      <c r="M118" s="166"/>
      <c r="N118" s="715"/>
      <c r="O118" s="166"/>
      <c r="P118" s="166"/>
      <c r="Q118" s="716"/>
      <c r="R118" s="714"/>
      <c r="S118" s="717"/>
      <c r="T118" s="714"/>
      <c r="U118" s="166"/>
      <c r="V118" s="166"/>
      <c r="W118" s="166"/>
      <c r="X118" s="166"/>
      <c r="Y118" s="718"/>
      <c r="Z118" s="719"/>
      <c r="AA118" s="719"/>
      <c r="AB118" s="166"/>
      <c r="AC118" s="166"/>
      <c r="AD118" s="166"/>
      <c r="AE118" s="87"/>
      <c r="AF118" s="87"/>
      <c r="AG118" s="87"/>
      <c r="AH118" s="87"/>
      <c r="AI118" s="87"/>
      <c r="AJ118" s="87"/>
      <c r="AK118" s="87"/>
      <c r="AL118" s="87"/>
      <c r="AM118" s="87"/>
    </row>
    <row r="119">
      <c r="A119" s="87"/>
      <c r="B119" s="166"/>
      <c r="C119" s="166"/>
      <c r="D119" s="166"/>
      <c r="E119" s="166"/>
      <c r="F119" s="714"/>
      <c r="G119" s="166"/>
      <c r="H119" s="166"/>
      <c r="I119" s="166"/>
      <c r="J119" s="166"/>
      <c r="K119" s="166"/>
      <c r="L119" s="166"/>
      <c r="M119" s="166"/>
      <c r="N119" s="715"/>
      <c r="O119" s="166"/>
      <c r="P119" s="166"/>
      <c r="Q119" s="716"/>
      <c r="R119" s="714"/>
      <c r="S119" s="717"/>
      <c r="T119" s="714"/>
      <c r="U119" s="166"/>
      <c r="V119" s="166"/>
      <c r="W119" s="166"/>
      <c r="X119" s="166"/>
      <c r="Y119" s="718"/>
      <c r="Z119" s="719"/>
      <c r="AA119" s="719"/>
      <c r="AB119" s="166"/>
      <c r="AC119" s="166"/>
      <c r="AD119" s="166"/>
      <c r="AE119" s="87"/>
      <c r="AF119" s="87"/>
      <c r="AG119" s="87"/>
      <c r="AH119" s="87"/>
      <c r="AI119" s="87"/>
      <c r="AJ119" s="87"/>
      <c r="AK119" s="87"/>
      <c r="AL119" s="87"/>
      <c r="AM119" s="87"/>
    </row>
    <row r="120">
      <c r="A120" s="87"/>
      <c r="B120" s="166"/>
      <c r="C120" s="166"/>
      <c r="D120" s="166"/>
      <c r="E120" s="166"/>
      <c r="F120" s="714"/>
      <c r="G120" s="166"/>
      <c r="H120" s="166"/>
      <c r="I120" s="166"/>
      <c r="J120" s="166"/>
      <c r="K120" s="166"/>
      <c r="L120" s="166"/>
      <c r="M120" s="166"/>
      <c r="N120" s="715"/>
      <c r="O120" s="166"/>
      <c r="P120" s="166"/>
      <c r="Q120" s="716"/>
      <c r="R120" s="714"/>
      <c r="S120" s="717"/>
      <c r="T120" s="714"/>
      <c r="U120" s="166"/>
      <c r="V120" s="166"/>
      <c r="W120" s="166"/>
      <c r="X120" s="166"/>
      <c r="Y120" s="718"/>
      <c r="Z120" s="719"/>
      <c r="AA120" s="719"/>
      <c r="AB120" s="166"/>
      <c r="AC120" s="166"/>
      <c r="AD120" s="166"/>
      <c r="AE120" s="87"/>
      <c r="AF120" s="87"/>
      <c r="AG120" s="87"/>
      <c r="AH120" s="87"/>
      <c r="AI120" s="87"/>
      <c r="AJ120" s="87"/>
      <c r="AK120" s="87"/>
      <c r="AL120" s="87"/>
      <c r="AM120" s="87"/>
    </row>
    <row r="121">
      <c r="A121" s="87"/>
      <c r="B121" s="166"/>
      <c r="C121" s="166"/>
      <c r="D121" s="166"/>
      <c r="E121" s="166"/>
      <c r="F121" s="714"/>
      <c r="G121" s="166"/>
      <c r="H121" s="166"/>
      <c r="I121" s="166"/>
      <c r="J121" s="166"/>
      <c r="K121" s="166"/>
      <c r="L121" s="166"/>
      <c r="M121" s="166"/>
      <c r="N121" s="715"/>
      <c r="O121" s="166"/>
      <c r="P121" s="166"/>
      <c r="Q121" s="716"/>
      <c r="R121" s="714"/>
      <c r="S121" s="717"/>
      <c r="T121" s="714"/>
      <c r="U121" s="166"/>
      <c r="V121" s="166"/>
      <c r="W121" s="166"/>
      <c r="X121" s="166"/>
      <c r="Y121" s="718"/>
      <c r="Z121" s="719"/>
      <c r="AA121" s="719"/>
      <c r="AB121" s="166"/>
      <c r="AC121" s="166"/>
      <c r="AD121" s="166"/>
      <c r="AE121" s="87"/>
      <c r="AF121" s="87"/>
      <c r="AG121" s="87"/>
      <c r="AH121" s="87"/>
      <c r="AI121" s="87"/>
      <c r="AJ121" s="87"/>
      <c r="AK121" s="87"/>
      <c r="AL121" s="87"/>
      <c r="AM121" s="87"/>
    </row>
    <row r="122">
      <c r="A122" s="87"/>
      <c r="B122" s="166"/>
      <c r="C122" s="166"/>
      <c r="D122" s="166"/>
      <c r="E122" s="166"/>
      <c r="F122" s="714"/>
      <c r="G122" s="166"/>
      <c r="H122" s="166"/>
      <c r="I122" s="166"/>
      <c r="J122" s="166"/>
      <c r="K122" s="166"/>
      <c r="L122" s="166"/>
      <c r="M122" s="166"/>
      <c r="N122" s="715"/>
      <c r="O122" s="166"/>
      <c r="P122" s="166"/>
      <c r="Q122" s="716"/>
      <c r="R122" s="714"/>
      <c r="S122" s="717"/>
      <c r="T122" s="714"/>
      <c r="U122" s="166"/>
      <c r="V122" s="166"/>
      <c r="W122" s="166"/>
      <c r="X122" s="166"/>
      <c r="Y122" s="718"/>
      <c r="Z122" s="719"/>
      <c r="AA122" s="719"/>
      <c r="AB122" s="166"/>
      <c r="AC122" s="166"/>
      <c r="AD122" s="166"/>
      <c r="AE122" s="87"/>
      <c r="AF122" s="87"/>
      <c r="AG122" s="87"/>
      <c r="AH122" s="87"/>
      <c r="AI122" s="87"/>
      <c r="AJ122" s="87"/>
      <c r="AK122" s="87"/>
      <c r="AL122" s="87"/>
      <c r="AM122" s="87"/>
    </row>
    <row r="123">
      <c r="A123" s="87"/>
      <c r="B123" s="166"/>
      <c r="C123" s="166"/>
      <c r="D123" s="166"/>
      <c r="E123" s="166"/>
      <c r="F123" s="714"/>
      <c r="G123" s="166"/>
      <c r="H123" s="166"/>
      <c r="I123" s="166"/>
      <c r="J123" s="166"/>
      <c r="K123" s="166"/>
      <c r="L123" s="166"/>
      <c r="M123" s="166"/>
      <c r="N123" s="715"/>
      <c r="O123" s="166"/>
      <c r="P123" s="166"/>
      <c r="Q123" s="716"/>
      <c r="R123" s="714"/>
      <c r="S123" s="717"/>
      <c r="T123" s="714"/>
      <c r="U123" s="166"/>
      <c r="V123" s="166"/>
      <c r="W123" s="166"/>
      <c r="X123" s="166"/>
      <c r="Y123" s="718"/>
      <c r="Z123" s="719"/>
      <c r="AA123" s="719"/>
      <c r="AB123" s="166"/>
      <c r="AC123" s="166"/>
      <c r="AD123" s="166"/>
      <c r="AE123" s="87"/>
      <c r="AF123" s="87"/>
      <c r="AG123" s="87"/>
      <c r="AH123" s="87"/>
      <c r="AI123" s="87"/>
      <c r="AJ123" s="87"/>
      <c r="AK123" s="87"/>
      <c r="AL123" s="87"/>
      <c r="AM123" s="87"/>
    </row>
    <row r="124">
      <c r="A124" s="87"/>
      <c r="B124" s="166"/>
      <c r="C124" s="166"/>
      <c r="D124" s="166"/>
      <c r="E124" s="166"/>
      <c r="F124" s="714"/>
      <c r="G124" s="166"/>
      <c r="H124" s="166"/>
      <c r="I124" s="166"/>
      <c r="J124" s="166"/>
      <c r="K124" s="166"/>
      <c r="L124" s="166"/>
      <c r="M124" s="166"/>
      <c r="N124" s="715"/>
      <c r="O124" s="166"/>
      <c r="P124" s="166"/>
      <c r="Q124" s="716"/>
      <c r="R124" s="714"/>
      <c r="S124" s="717"/>
      <c r="T124" s="714"/>
      <c r="U124" s="166"/>
      <c r="V124" s="166"/>
      <c r="W124" s="166"/>
      <c r="X124" s="166"/>
      <c r="Y124" s="718"/>
      <c r="Z124" s="719"/>
      <c r="AA124" s="719"/>
      <c r="AB124" s="166"/>
      <c r="AC124" s="166"/>
      <c r="AD124" s="166"/>
      <c r="AE124" s="87"/>
      <c r="AF124" s="87"/>
      <c r="AG124" s="87"/>
      <c r="AH124" s="87"/>
      <c r="AI124" s="87"/>
      <c r="AJ124" s="87"/>
      <c r="AK124" s="87"/>
      <c r="AL124" s="87"/>
      <c r="AM124" s="87"/>
    </row>
    <row r="125">
      <c r="A125" s="87"/>
      <c r="B125" s="166"/>
      <c r="C125" s="166"/>
      <c r="D125" s="166"/>
      <c r="E125" s="166"/>
      <c r="F125" s="714"/>
      <c r="G125" s="166"/>
      <c r="H125" s="166"/>
      <c r="I125" s="166"/>
      <c r="J125" s="166"/>
      <c r="K125" s="166"/>
      <c r="L125" s="166"/>
      <c r="M125" s="166"/>
      <c r="N125" s="715"/>
      <c r="O125" s="166"/>
      <c r="P125" s="166"/>
      <c r="Q125" s="716"/>
      <c r="R125" s="714"/>
      <c r="S125" s="717"/>
      <c r="T125" s="714"/>
      <c r="U125" s="166"/>
      <c r="V125" s="166"/>
      <c r="W125" s="166"/>
      <c r="X125" s="166"/>
      <c r="Y125" s="718"/>
      <c r="Z125" s="719"/>
      <c r="AA125" s="719"/>
      <c r="AB125" s="166"/>
      <c r="AC125" s="166"/>
      <c r="AD125" s="166"/>
      <c r="AE125" s="87"/>
      <c r="AF125" s="87"/>
      <c r="AG125" s="87"/>
      <c r="AH125" s="87"/>
      <c r="AI125" s="87"/>
      <c r="AJ125" s="87"/>
      <c r="AK125" s="87"/>
      <c r="AL125" s="87"/>
      <c r="AM125" s="87"/>
    </row>
    <row r="126">
      <c r="A126" s="87"/>
      <c r="B126" s="166"/>
      <c r="C126" s="166"/>
      <c r="D126" s="166"/>
      <c r="E126" s="166"/>
      <c r="F126" s="714"/>
      <c r="G126" s="166"/>
      <c r="H126" s="166"/>
      <c r="I126" s="166"/>
      <c r="J126" s="166"/>
      <c r="K126" s="166"/>
      <c r="L126" s="166"/>
      <c r="M126" s="166"/>
      <c r="N126" s="715"/>
      <c r="O126" s="166"/>
      <c r="P126" s="166"/>
      <c r="Q126" s="716"/>
      <c r="R126" s="714"/>
      <c r="S126" s="717"/>
      <c r="T126" s="714"/>
      <c r="U126" s="166"/>
      <c r="V126" s="166"/>
      <c r="W126" s="166"/>
      <c r="X126" s="166"/>
      <c r="Y126" s="718"/>
      <c r="Z126" s="719"/>
      <c r="AA126" s="719"/>
      <c r="AB126" s="166"/>
      <c r="AC126" s="166"/>
      <c r="AD126" s="166"/>
      <c r="AE126" s="87"/>
      <c r="AF126" s="87"/>
      <c r="AG126" s="87"/>
      <c r="AH126" s="87"/>
      <c r="AI126" s="87"/>
      <c r="AJ126" s="87"/>
      <c r="AK126" s="87"/>
      <c r="AL126" s="87"/>
      <c r="AM126" s="87"/>
    </row>
    <row r="127">
      <c r="A127" s="87"/>
      <c r="B127" s="166"/>
      <c r="C127" s="166"/>
      <c r="D127" s="166"/>
      <c r="E127" s="166"/>
      <c r="F127" s="714"/>
      <c r="G127" s="166"/>
      <c r="H127" s="166"/>
      <c r="I127" s="166"/>
      <c r="J127" s="166"/>
      <c r="K127" s="166"/>
      <c r="L127" s="166"/>
      <c r="M127" s="166"/>
      <c r="N127" s="715"/>
      <c r="O127" s="166"/>
      <c r="P127" s="166"/>
      <c r="Q127" s="716"/>
      <c r="R127" s="714"/>
      <c r="S127" s="717"/>
      <c r="T127" s="714"/>
      <c r="U127" s="166"/>
      <c r="V127" s="166"/>
      <c r="W127" s="166"/>
      <c r="X127" s="166"/>
      <c r="Y127" s="718"/>
      <c r="Z127" s="719"/>
      <c r="AA127" s="719"/>
      <c r="AB127" s="166"/>
      <c r="AC127" s="166"/>
      <c r="AD127" s="166"/>
      <c r="AE127" s="87"/>
      <c r="AF127" s="87"/>
      <c r="AG127" s="87"/>
      <c r="AH127" s="87"/>
      <c r="AI127" s="87"/>
      <c r="AJ127" s="87"/>
      <c r="AK127" s="87"/>
      <c r="AL127" s="87"/>
      <c r="AM127" s="87"/>
    </row>
    <row r="128">
      <c r="A128" s="87"/>
      <c r="B128" s="166"/>
      <c r="C128" s="166"/>
      <c r="D128" s="166"/>
      <c r="E128" s="166"/>
      <c r="F128" s="714"/>
      <c r="G128" s="166"/>
      <c r="H128" s="166"/>
      <c r="I128" s="166"/>
      <c r="J128" s="166"/>
      <c r="K128" s="166"/>
      <c r="L128" s="166"/>
      <c r="M128" s="166"/>
      <c r="N128" s="715"/>
      <c r="O128" s="166"/>
      <c r="P128" s="166"/>
      <c r="Q128" s="716"/>
      <c r="R128" s="714"/>
      <c r="S128" s="717"/>
      <c r="T128" s="714"/>
      <c r="U128" s="166"/>
      <c r="V128" s="166"/>
      <c r="W128" s="166"/>
      <c r="X128" s="166"/>
      <c r="Y128" s="718"/>
      <c r="Z128" s="719"/>
      <c r="AA128" s="719"/>
      <c r="AB128" s="166"/>
      <c r="AC128" s="166"/>
      <c r="AD128" s="166"/>
      <c r="AE128" s="87"/>
      <c r="AF128" s="87"/>
      <c r="AG128" s="87"/>
      <c r="AH128" s="87"/>
      <c r="AI128" s="87"/>
      <c r="AJ128" s="87"/>
      <c r="AK128" s="87"/>
      <c r="AL128" s="87"/>
      <c r="AM128" s="87"/>
    </row>
    <row r="129">
      <c r="A129" s="87"/>
      <c r="B129" s="166"/>
      <c r="C129" s="166"/>
      <c r="D129" s="166"/>
      <c r="E129" s="166"/>
      <c r="F129" s="714"/>
      <c r="G129" s="166"/>
      <c r="H129" s="166"/>
      <c r="I129" s="166"/>
      <c r="J129" s="166"/>
      <c r="K129" s="166"/>
      <c r="L129" s="166"/>
      <c r="M129" s="166"/>
      <c r="N129" s="715"/>
      <c r="O129" s="166"/>
      <c r="P129" s="166"/>
      <c r="Q129" s="716"/>
      <c r="R129" s="714"/>
      <c r="S129" s="717"/>
      <c r="T129" s="714"/>
      <c r="U129" s="166"/>
      <c r="V129" s="166"/>
      <c r="W129" s="166"/>
      <c r="X129" s="166"/>
      <c r="Y129" s="718"/>
      <c r="Z129" s="719"/>
      <c r="AA129" s="719"/>
      <c r="AB129" s="166"/>
      <c r="AC129" s="166"/>
      <c r="AD129" s="166"/>
      <c r="AE129" s="87"/>
      <c r="AF129" s="87"/>
      <c r="AG129" s="87"/>
      <c r="AH129" s="87"/>
      <c r="AI129" s="87"/>
      <c r="AJ129" s="87"/>
      <c r="AK129" s="87"/>
      <c r="AL129" s="87"/>
      <c r="AM129" s="87"/>
    </row>
    <row r="130">
      <c r="A130" s="87"/>
      <c r="B130" s="166"/>
      <c r="C130" s="166"/>
      <c r="D130" s="166"/>
      <c r="E130" s="166"/>
      <c r="F130" s="714"/>
      <c r="G130" s="166"/>
      <c r="H130" s="166"/>
      <c r="I130" s="166"/>
      <c r="J130" s="166"/>
      <c r="K130" s="166"/>
      <c r="L130" s="166"/>
      <c r="M130" s="166"/>
      <c r="N130" s="715"/>
      <c r="O130" s="166"/>
      <c r="P130" s="166"/>
      <c r="Q130" s="716"/>
      <c r="R130" s="714"/>
      <c r="S130" s="717"/>
      <c r="T130" s="714"/>
      <c r="U130" s="166"/>
      <c r="V130" s="166"/>
      <c r="W130" s="166"/>
      <c r="X130" s="166"/>
      <c r="Y130" s="718"/>
      <c r="Z130" s="719"/>
      <c r="AA130" s="719"/>
      <c r="AB130" s="166"/>
      <c r="AC130" s="166"/>
      <c r="AD130" s="166"/>
      <c r="AE130" s="87"/>
      <c r="AF130" s="87"/>
      <c r="AG130" s="87"/>
      <c r="AH130" s="87"/>
      <c r="AI130" s="87"/>
      <c r="AJ130" s="87"/>
      <c r="AK130" s="87"/>
      <c r="AL130" s="87"/>
      <c r="AM130" s="87"/>
    </row>
    <row r="131">
      <c r="A131" s="87"/>
      <c r="B131" s="166"/>
      <c r="C131" s="166"/>
      <c r="D131" s="166"/>
      <c r="E131" s="166"/>
      <c r="F131" s="714"/>
      <c r="G131" s="166"/>
      <c r="H131" s="166"/>
      <c r="I131" s="166"/>
      <c r="J131" s="166"/>
      <c r="K131" s="166"/>
      <c r="L131" s="166"/>
      <c r="M131" s="166"/>
      <c r="N131" s="715"/>
      <c r="O131" s="166"/>
      <c r="P131" s="166"/>
      <c r="Q131" s="716"/>
      <c r="R131" s="714"/>
      <c r="S131" s="717"/>
      <c r="T131" s="714"/>
      <c r="U131" s="166"/>
      <c r="V131" s="166"/>
      <c r="W131" s="166"/>
      <c r="X131" s="166"/>
      <c r="Y131" s="718"/>
      <c r="Z131" s="719"/>
      <c r="AA131" s="719"/>
      <c r="AB131" s="166"/>
      <c r="AC131" s="166"/>
      <c r="AD131" s="166"/>
      <c r="AE131" s="87"/>
      <c r="AF131" s="87"/>
      <c r="AG131" s="87"/>
      <c r="AH131" s="87"/>
      <c r="AI131" s="87"/>
      <c r="AJ131" s="87"/>
      <c r="AK131" s="87"/>
      <c r="AL131" s="87"/>
      <c r="AM131" s="87"/>
    </row>
    <row r="132">
      <c r="A132" s="87"/>
      <c r="B132" s="166"/>
      <c r="C132" s="166"/>
      <c r="D132" s="166"/>
      <c r="E132" s="166"/>
      <c r="F132" s="714"/>
      <c r="G132" s="166"/>
      <c r="H132" s="166"/>
      <c r="I132" s="166"/>
      <c r="J132" s="166"/>
      <c r="K132" s="166"/>
      <c r="L132" s="166"/>
      <c r="M132" s="166"/>
      <c r="N132" s="715"/>
      <c r="O132" s="166"/>
      <c r="P132" s="166"/>
      <c r="Q132" s="716"/>
      <c r="R132" s="714"/>
      <c r="S132" s="717"/>
      <c r="T132" s="714"/>
      <c r="U132" s="166"/>
      <c r="V132" s="166"/>
      <c r="W132" s="166"/>
      <c r="X132" s="166"/>
      <c r="Y132" s="718"/>
      <c r="Z132" s="719"/>
      <c r="AA132" s="719"/>
      <c r="AB132" s="166"/>
      <c r="AC132" s="166"/>
      <c r="AD132" s="166"/>
      <c r="AE132" s="87"/>
      <c r="AF132" s="87"/>
      <c r="AG132" s="87"/>
      <c r="AH132" s="87"/>
      <c r="AI132" s="87"/>
      <c r="AJ132" s="87"/>
      <c r="AK132" s="87"/>
      <c r="AL132" s="87"/>
      <c r="AM132" s="87"/>
    </row>
    <row r="133">
      <c r="A133" s="87"/>
      <c r="B133" s="166"/>
      <c r="C133" s="166"/>
      <c r="D133" s="166"/>
      <c r="E133" s="166"/>
      <c r="F133" s="714"/>
      <c r="G133" s="166"/>
      <c r="H133" s="166"/>
      <c r="I133" s="166"/>
      <c r="J133" s="166"/>
      <c r="K133" s="166"/>
      <c r="L133" s="166"/>
      <c r="M133" s="166"/>
      <c r="N133" s="715"/>
      <c r="O133" s="166"/>
      <c r="P133" s="166"/>
      <c r="Q133" s="716"/>
      <c r="R133" s="714"/>
      <c r="S133" s="717"/>
      <c r="T133" s="714"/>
      <c r="U133" s="166"/>
      <c r="V133" s="166"/>
      <c r="W133" s="166"/>
      <c r="X133" s="166"/>
      <c r="Y133" s="718"/>
      <c r="Z133" s="719"/>
      <c r="AA133" s="719"/>
      <c r="AB133" s="166"/>
      <c r="AC133" s="166"/>
      <c r="AD133" s="166"/>
      <c r="AE133" s="87"/>
      <c r="AF133" s="87"/>
      <c r="AG133" s="87"/>
      <c r="AH133" s="87"/>
      <c r="AI133" s="87"/>
      <c r="AJ133" s="87"/>
      <c r="AK133" s="87"/>
      <c r="AL133" s="87"/>
      <c r="AM133" s="87"/>
    </row>
    <row r="134">
      <c r="A134" s="87"/>
      <c r="B134" s="166"/>
      <c r="C134" s="166"/>
      <c r="D134" s="166"/>
      <c r="E134" s="166"/>
      <c r="F134" s="714"/>
      <c r="G134" s="166"/>
      <c r="H134" s="166"/>
      <c r="I134" s="166"/>
      <c r="J134" s="166"/>
      <c r="K134" s="166"/>
      <c r="L134" s="166"/>
      <c r="M134" s="166"/>
      <c r="N134" s="715"/>
      <c r="O134" s="166"/>
      <c r="P134" s="166"/>
      <c r="Q134" s="716"/>
      <c r="R134" s="714"/>
      <c r="S134" s="717"/>
      <c r="T134" s="714"/>
      <c r="U134" s="166"/>
      <c r="V134" s="166"/>
      <c r="W134" s="166"/>
      <c r="X134" s="166"/>
      <c r="Y134" s="718"/>
      <c r="Z134" s="719"/>
      <c r="AA134" s="719"/>
      <c r="AB134" s="166"/>
      <c r="AC134" s="166"/>
      <c r="AD134" s="166"/>
      <c r="AE134" s="87"/>
      <c r="AF134" s="87"/>
      <c r="AG134" s="87"/>
      <c r="AH134" s="87"/>
      <c r="AI134" s="87"/>
      <c r="AJ134" s="87"/>
      <c r="AK134" s="87"/>
      <c r="AL134" s="87"/>
      <c r="AM134" s="87"/>
    </row>
    <row r="135">
      <c r="A135" s="87"/>
      <c r="B135" s="166"/>
      <c r="C135" s="166"/>
      <c r="D135" s="166"/>
      <c r="E135" s="166"/>
      <c r="F135" s="714"/>
      <c r="G135" s="166"/>
      <c r="H135" s="166"/>
      <c r="I135" s="166"/>
      <c r="J135" s="166"/>
      <c r="K135" s="166"/>
      <c r="L135" s="166"/>
      <c r="M135" s="166"/>
      <c r="N135" s="715"/>
      <c r="O135" s="166"/>
      <c r="P135" s="166"/>
      <c r="Q135" s="716"/>
      <c r="R135" s="714"/>
      <c r="S135" s="717"/>
      <c r="T135" s="714"/>
      <c r="U135" s="166"/>
      <c r="V135" s="166"/>
      <c r="W135" s="166"/>
      <c r="X135" s="166"/>
      <c r="Y135" s="718"/>
      <c r="Z135" s="719"/>
      <c r="AA135" s="719"/>
      <c r="AB135" s="166"/>
      <c r="AC135" s="166"/>
      <c r="AD135" s="166"/>
      <c r="AE135" s="87"/>
      <c r="AF135" s="87"/>
      <c r="AG135" s="87"/>
      <c r="AH135" s="87"/>
      <c r="AI135" s="87"/>
      <c r="AJ135" s="87"/>
      <c r="AK135" s="87"/>
      <c r="AL135" s="87"/>
      <c r="AM135" s="87"/>
    </row>
    <row r="136">
      <c r="A136" s="87"/>
      <c r="B136" s="166"/>
      <c r="C136" s="166"/>
      <c r="D136" s="166"/>
      <c r="E136" s="166"/>
      <c r="F136" s="714"/>
      <c r="G136" s="166"/>
      <c r="H136" s="166"/>
      <c r="I136" s="166"/>
      <c r="J136" s="166"/>
      <c r="K136" s="166"/>
      <c r="L136" s="166"/>
      <c r="M136" s="166"/>
      <c r="N136" s="715"/>
      <c r="O136" s="166"/>
      <c r="P136" s="166"/>
      <c r="Q136" s="716"/>
      <c r="R136" s="714"/>
      <c r="S136" s="717"/>
      <c r="T136" s="714"/>
      <c r="U136" s="166"/>
      <c r="V136" s="166"/>
      <c r="W136" s="166"/>
      <c r="X136" s="166"/>
      <c r="Y136" s="718"/>
      <c r="Z136" s="719"/>
      <c r="AA136" s="719"/>
      <c r="AB136" s="166"/>
      <c r="AC136" s="166"/>
      <c r="AD136" s="166"/>
      <c r="AE136" s="87"/>
      <c r="AF136" s="87"/>
      <c r="AG136" s="87"/>
      <c r="AH136" s="87"/>
      <c r="AI136" s="87"/>
      <c r="AJ136" s="87"/>
      <c r="AK136" s="87"/>
      <c r="AL136" s="87"/>
      <c r="AM136" s="87"/>
    </row>
    <row r="137">
      <c r="A137" s="87"/>
      <c r="B137" s="166"/>
      <c r="C137" s="166"/>
      <c r="D137" s="166"/>
      <c r="E137" s="166"/>
      <c r="F137" s="714"/>
      <c r="G137" s="166"/>
      <c r="H137" s="166"/>
      <c r="I137" s="166"/>
      <c r="J137" s="166"/>
      <c r="K137" s="166"/>
      <c r="L137" s="166"/>
      <c r="M137" s="166"/>
      <c r="N137" s="715"/>
      <c r="O137" s="166"/>
      <c r="P137" s="166"/>
      <c r="Q137" s="716"/>
      <c r="R137" s="714"/>
      <c r="S137" s="717"/>
      <c r="T137" s="714"/>
      <c r="U137" s="166"/>
      <c r="V137" s="166"/>
      <c r="W137" s="166"/>
      <c r="X137" s="166"/>
      <c r="Y137" s="718"/>
      <c r="Z137" s="719"/>
      <c r="AA137" s="719"/>
      <c r="AB137" s="166"/>
      <c r="AC137" s="166"/>
      <c r="AD137" s="166"/>
      <c r="AE137" s="87"/>
      <c r="AF137" s="87"/>
      <c r="AG137" s="87"/>
      <c r="AH137" s="87"/>
      <c r="AI137" s="87"/>
      <c r="AJ137" s="87"/>
      <c r="AK137" s="87"/>
      <c r="AL137" s="87"/>
      <c r="AM137" s="87"/>
    </row>
    <row r="138">
      <c r="A138" s="87"/>
      <c r="B138" s="166"/>
      <c r="C138" s="166"/>
      <c r="D138" s="166"/>
      <c r="E138" s="166"/>
      <c r="F138" s="714"/>
      <c r="G138" s="166"/>
      <c r="H138" s="166"/>
      <c r="I138" s="166"/>
      <c r="J138" s="166"/>
      <c r="K138" s="166"/>
      <c r="L138" s="166"/>
      <c r="M138" s="166"/>
      <c r="N138" s="715"/>
      <c r="O138" s="166"/>
      <c r="P138" s="166"/>
      <c r="Q138" s="716"/>
      <c r="R138" s="714"/>
      <c r="S138" s="717"/>
      <c r="T138" s="714"/>
      <c r="U138" s="166"/>
      <c r="V138" s="166"/>
      <c r="W138" s="166"/>
      <c r="X138" s="166"/>
      <c r="Y138" s="718"/>
      <c r="Z138" s="719"/>
      <c r="AA138" s="719"/>
      <c r="AB138" s="166"/>
      <c r="AC138" s="166"/>
      <c r="AD138" s="166"/>
      <c r="AE138" s="87"/>
      <c r="AF138" s="87"/>
      <c r="AG138" s="87"/>
      <c r="AH138" s="87"/>
      <c r="AI138" s="87"/>
      <c r="AJ138" s="87"/>
      <c r="AK138" s="87"/>
      <c r="AL138" s="87"/>
      <c r="AM138" s="87"/>
    </row>
    <row r="139">
      <c r="A139" s="87"/>
      <c r="B139" s="166"/>
      <c r="C139" s="166"/>
      <c r="D139" s="166"/>
      <c r="E139" s="166"/>
      <c r="F139" s="714"/>
      <c r="G139" s="166"/>
      <c r="H139" s="166"/>
      <c r="I139" s="166"/>
      <c r="J139" s="166"/>
      <c r="K139" s="166"/>
      <c r="L139" s="166"/>
      <c r="M139" s="166"/>
      <c r="N139" s="715"/>
      <c r="O139" s="166"/>
      <c r="P139" s="166"/>
      <c r="Q139" s="716"/>
      <c r="R139" s="714"/>
      <c r="S139" s="717"/>
      <c r="T139" s="714"/>
      <c r="U139" s="166"/>
      <c r="V139" s="166"/>
      <c r="W139" s="166"/>
      <c r="X139" s="166"/>
      <c r="Y139" s="718"/>
      <c r="Z139" s="719"/>
      <c r="AA139" s="719"/>
      <c r="AB139" s="166"/>
      <c r="AC139" s="166"/>
      <c r="AD139" s="166"/>
      <c r="AE139" s="87"/>
      <c r="AF139" s="87"/>
      <c r="AG139" s="87"/>
      <c r="AH139" s="87"/>
      <c r="AI139" s="87"/>
      <c r="AJ139" s="87"/>
      <c r="AK139" s="87"/>
      <c r="AL139" s="87"/>
      <c r="AM139" s="87"/>
    </row>
    <row r="140">
      <c r="A140" s="87"/>
      <c r="B140" s="166"/>
      <c r="C140" s="166"/>
      <c r="D140" s="166"/>
      <c r="E140" s="166"/>
      <c r="F140" s="714"/>
      <c r="G140" s="166"/>
      <c r="H140" s="166"/>
      <c r="I140" s="166"/>
      <c r="J140" s="166"/>
      <c r="K140" s="166"/>
      <c r="L140" s="166"/>
      <c r="M140" s="166"/>
      <c r="N140" s="715"/>
      <c r="O140" s="166"/>
      <c r="P140" s="166"/>
      <c r="Q140" s="716"/>
      <c r="R140" s="714"/>
      <c r="S140" s="717"/>
      <c r="T140" s="714"/>
      <c r="U140" s="166"/>
      <c r="V140" s="166"/>
      <c r="W140" s="166"/>
      <c r="X140" s="166"/>
      <c r="Y140" s="718"/>
      <c r="Z140" s="719"/>
      <c r="AA140" s="719"/>
      <c r="AB140" s="166"/>
      <c r="AC140" s="166"/>
      <c r="AD140" s="166"/>
      <c r="AE140" s="87"/>
      <c r="AF140" s="87"/>
      <c r="AG140" s="87"/>
      <c r="AH140" s="87"/>
      <c r="AI140" s="87"/>
      <c r="AJ140" s="87"/>
      <c r="AK140" s="87"/>
      <c r="AL140" s="87"/>
      <c r="AM140" s="87"/>
    </row>
    <row r="141">
      <c r="A141" s="87"/>
      <c r="B141" s="166"/>
      <c r="C141" s="166"/>
      <c r="D141" s="166"/>
      <c r="E141" s="166"/>
      <c r="F141" s="714"/>
      <c r="G141" s="166"/>
      <c r="H141" s="166"/>
      <c r="I141" s="166"/>
      <c r="J141" s="166"/>
      <c r="K141" s="166"/>
      <c r="L141" s="166"/>
      <c r="M141" s="166"/>
      <c r="N141" s="715"/>
      <c r="O141" s="166"/>
      <c r="P141" s="166"/>
      <c r="Q141" s="716"/>
      <c r="R141" s="714"/>
      <c r="S141" s="717"/>
      <c r="T141" s="714"/>
      <c r="U141" s="166"/>
      <c r="V141" s="166"/>
      <c r="W141" s="166"/>
      <c r="X141" s="166"/>
      <c r="Y141" s="718"/>
      <c r="Z141" s="719"/>
      <c r="AA141" s="719"/>
      <c r="AB141" s="166"/>
      <c r="AC141" s="166"/>
      <c r="AD141" s="166"/>
      <c r="AE141" s="87"/>
      <c r="AF141" s="87"/>
      <c r="AG141" s="87"/>
      <c r="AH141" s="87"/>
      <c r="AI141" s="87"/>
      <c r="AJ141" s="87"/>
      <c r="AK141" s="87"/>
      <c r="AL141" s="87"/>
      <c r="AM141" s="87"/>
    </row>
    <row r="142">
      <c r="A142" s="87"/>
      <c r="B142" s="166"/>
      <c r="C142" s="166"/>
      <c r="D142" s="166"/>
      <c r="E142" s="166"/>
      <c r="F142" s="714"/>
      <c r="G142" s="166"/>
      <c r="H142" s="166"/>
      <c r="I142" s="166"/>
      <c r="J142" s="166"/>
      <c r="K142" s="166"/>
      <c r="L142" s="166"/>
      <c r="M142" s="166"/>
      <c r="N142" s="715"/>
      <c r="O142" s="166"/>
      <c r="P142" s="166"/>
      <c r="Q142" s="716"/>
      <c r="R142" s="714"/>
      <c r="S142" s="717"/>
      <c r="T142" s="714"/>
      <c r="U142" s="166"/>
      <c r="V142" s="166"/>
      <c r="W142" s="166"/>
      <c r="X142" s="166"/>
      <c r="Y142" s="718"/>
      <c r="Z142" s="719"/>
      <c r="AA142" s="719"/>
      <c r="AB142" s="166"/>
      <c r="AC142" s="166"/>
      <c r="AD142" s="166"/>
      <c r="AE142" s="87"/>
      <c r="AF142" s="87"/>
      <c r="AG142" s="87"/>
      <c r="AH142" s="87"/>
      <c r="AI142" s="87"/>
      <c r="AJ142" s="87"/>
      <c r="AK142" s="87"/>
      <c r="AL142" s="87"/>
      <c r="AM142" s="87"/>
    </row>
    <row r="143">
      <c r="A143" s="87"/>
      <c r="B143" s="166"/>
      <c r="C143" s="166"/>
      <c r="D143" s="166"/>
      <c r="E143" s="166"/>
      <c r="F143" s="714"/>
      <c r="G143" s="166"/>
      <c r="H143" s="166"/>
      <c r="I143" s="166"/>
      <c r="J143" s="166"/>
      <c r="K143" s="166"/>
      <c r="L143" s="166"/>
      <c r="M143" s="166"/>
      <c r="N143" s="715"/>
      <c r="O143" s="166"/>
      <c r="P143" s="166"/>
      <c r="Q143" s="716"/>
      <c r="R143" s="714"/>
      <c r="S143" s="717"/>
      <c r="T143" s="714"/>
      <c r="U143" s="166"/>
      <c r="V143" s="166"/>
      <c r="W143" s="166"/>
      <c r="X143" s="166"/>
      <c r="Y143" s="718"/>
      <c r="Z143" s="719"/>
      <c r="AA143" s="719"/>
      <c r="AB143" s="166"/>
      <c r="AC143" s="166"/>
      <c r="AD143" s="166"/>
      <c r="AE143" s="87"/>
      <c r="AF143" s="87"/>
      <c r="AG143" s="87"/>
      <c r="AH143" s="87"/>
      <c r="AI143" s="87"/>
      <c r="AJ143" s="87"/>
      <c r="AK143" s="87"/>
      <c r="AL143" s="87"/>
      <c r="AM143" s="87"/>
    </row>
    <row r="144">
      <c r="A144" s="87"/>
      <c r="B144" s="166"/>
      <c r="C144" s="166"/>
      <c r="D144" s="166"/>
      <c r="E144" s="166"/>
      <c r="F144" s="714"/>
      <c r="G144" s="166"/>
      <c r="H144" s="166"/>
      <c r="I144" s="166"/>
      <c r="J144" s="166"/>
      <c r="K144" s="166"/>
      <c r="L144" s="166"/>
      <c r="M144" s="166"/>
      <c r="N144" s="715"/>
      <c r="O144" s="166"/>
      <c r="P144" s="166"/>
      <c r="Q144" s="716"/>
      <c r="R144" s="714"/>
      <c r="S144" s="717"/>
      <c r="T144" s="714"/>
      <c r="U144" s="166"/>
      <c r="V144" s="166"/>
      <c r="W144" s="166"/>
      <c r="X144" s="166"/>
      <c r="Y144" s="718"/>
      <c r="Z144" s="719"/>
      <c r="AA144" s="719"/>
      <c r="AB144" s="166"/>
      <c r="AC144" s="166"/>
      <c r="AD144" s="166"/>
      <c r="AE144" s="87"/>
      <c r="AF144" s="87"/>
      <c r="AG144" s="87"/>
      <c r="AH144" s="87"/>
      <c r="AI144" s="87"/>
      <c r="AJ144" s="87"/>
      <c r="AK144" s="87"/>
      <c r="AL144" s="87"/>
      <c r="AM144" s="87"/>
    </row>
    <row r="145">
      <c r="A145" s="87"/>
      <c r="B145" s="166"/>
      <c r="C145" s="166"/>
      <c r="D145" s="166"/>
      <c r="E145" s="166"/>
      <c r="F145" s="714"/>
      <c r="G145" s="166"/>
      <c r="H145" s="166"/>
      <c r="I145" s="166"/>
      <c r="J145" s="166"/>
      <c r="K145" s="166"/>
      <c r="L145" s="166"/>
      <c r="M145" s="166"/>
      <c r="N145" s="715"/>
      <c r="O145" s="166"/>
      <c r="P145" s="166"/>
      <c r="Q145" s="716"/>
      <c r="R145" s="714"/>
      <c r="S145" s="717"/>
      <c r="T145" s="714"/>
      <c r="U145" s="166"/>
      <c r="V145" s="166"/>
      <c r="W145" s="166"/>
      <c r="X145" s="166"/>
      <c r="Y145" s="718"/>
      <c r="Z145" s="719"/>
      <c r="AA145" s="719"/>
      <c r="AB145" s="166"/>
      <c r="AC145" s="166"/>
      <c r="AD145" s="166"/>
      <c r="AE145" s="87"/>
      <c r="AF145" s="87"/>
      <c r="AG145" s="87"/>
      <c r="AH145" s="87"/>
      <c r="AI145" s="87"/>
      <c r="AJ145" s="87"/>
      <c r="AK145" s="87"/>
      <c r="AL145" s="87"/>
      <c r="AM145" s="87"/>
    </row>
    <row r="146">
      <c r="A146" s="87"/>
      <c r="B146" s="166"/>
      <c r="C146" s="166"/>
      <c r="D146" s="166"/>
      <c r="E146" s="166"/>
      <c r="F146" s="714"/>
      <c r="G146" s="166"/>
      <c r="H146" s="166"/>
      <c r="I146" s="166"/>
      <c r="J146" s="166"/>
      <c r="K146" s="166"/>
      <c r="L146" s="166"/>
      <c r="M146" s="166"/>
      <c r="N146" s="715"/>
      <c r="O146" s="166"/>
      <c r="P146" s="166"/>
      <c r="Q146" s="716"/>
      <c r="R146" s="714"/>
      <c r="S146" s="717"/>
      <c r="T146" s="714"/>
      <c r="U146" s="166"/>
      <c r="V146" s="166"/>
      <c r="W146" s="166"/>
      <c r="X146" s="166"/>
      <c r="Y146" s="718"/>
      <c r="Z146" s="719"/>
      <c r="AA146" s="719"/>
      <c r="AB146" s="166"/>
      <c r="AC146" s="166"/>
      <c r="AD146" s="166"/>
      <c r="AE146" s="87"/>
      <c r="AF146" s="87"/>
      <c r="AG146" s="87"/>
      <c r="AH146" s="87"/>
      <c r="AI146" s="87"/>
      <c r="AJ146" s="87"/>
      <c r="AK146" s="87"/>
      <c r="AL146" s="87"/>
      <c r="AM146" s="87"/>
    </row>
    <row r="147">
      <c r="A147" s="87"/>
      <c r="B147" s="166"/>
      <c r="C147" s="166"/>
      <c r="D147" s="166"/>
      <c r="E147" s="166"/>
      <c r="F147" s="714"/>
      <c r="G147" s="166"/>
      <c r="H147" s="166"/>
      <c r="I147" s="166"/>
      <c r="J147" s="166"/>
      <c r="K147" s="166"/>
      <c r="L147" s="166"/>
      <c r="M147" s="166"/>
      <c r="N147" s="715"/>
      <c r="O147" s="166"/>
      <c r="P147" s="166"/>
      <c r="Q147" s="716"/>
      <c r="R147" s="714"/>
      <c r="S147" s="717"/>
      <c r="T147" s="714"/>
      <c r="U147" s="166"/>
      <c r="V147" s="166"/>
      <c r="W147" s="166"/>
      <c r="X147" s="166"/>
      <c r="Y147" s="718"/>
      <c r="Z147" s="719"/>
      <c r="AA147" s="719"/>
      <c r="AB147" s="166"/>
      <c r="AC147" s="166"/>
      <c r="AD147" s="166"/>
      <c r="AE147" s="87"/>
      <c r="AF147" s="87"/>
      <c r="AG147" s="87"/>
      <c r="AH147" s="87"/>
      <c r="AI147" s="87"/>
      <c r="AJ147" s="87"/>
      <c r="AK147" s="87"/>
      <c r="AL147" s="87"/>
      <c r="AM147" s="87"/>
    </row>
    <row r="148">
      <c r="A148" s="87"/>
      <c r="B148" s="166"/>
      <c r="C148" s="166"/>
      <c r="D148" s="166"/>
      <c r="E148" s="166"/>
      <c r="F148" s="714"/>
      <c r="G148" s="166"/>
      <c r="H148" s="166"/>
      <c r="I148" s="166"/>
      <c r="J148" s="166"/>
      <c r="K148" s="166"/>
      <c r="L148" s="166"/>
      <c r="M148" s="166"/>
      <c r="N148" s="715"/>
      <c r="O148" s="166"/>
      <c r="P148" s="166"/>
      <c r="Q148" s="716"/>
      <c r="R148" s="714"/>
      <c r="S148" s="717"/>
      <c r="T148" s="714"/>
      <c r="U148" s="166"/>
      <c r="V148" s="166"/>
      <c r="W148" s="166"/>
      <c r="X148" s="166"/>
      <c r="Y148" s="718"/>
      <c r="Z148" s="719"/>
      <c r="AA148" s="719"/>
      <c r="AB148" s="166"/>
      <c r="AC148" s="166"/>
      <c r="AD148" s="166"/>
      <c r="AE148" s="87"/>
      <c r="AF148" s="87"/>
      <c r="AG148" s="87"/>
      <c r="AH148" s="87"/>
      <c r="AI148" s="87"/>
      <c r="AJ148" s="87"/>
      <c r="AK148" s="87"/>
      <c r="AL148" s="87"/>
      <c r="AM148" s="87"/>
    </row>
    <row r="149">
      <c r="A149" s="87"/>
      <c r="B149" s="166"/>
      <c r="C149" s="166"/>
      <c r="D149" s="166"/>
      <c r="E149" s="166"/>
      <c r="F149" s="714"/>
      <c r="G149" s="166"/>
      <c r="H149" s="166"/>
      <c r="I149" s="166"/>
      <c r="J149" s="166"/>
      <c r="K149" s="166"/>
      <c r="L149" s="166"/>
      <c r="M149" s="166"/>
      <c r="N149" s="715"/>
      <c r="O149" s="166"/>
      <c r="P149" s="166"/>
      <c r="Q149" s="716"/>
      <c r="R149" s="714"/>
      <c r="S149" s="717"/>
      <c r="T149" s="714"/>
      <c r="U149" s="166"/>
      <c r="V149" s="166"/>
      <c r="W149" s="166"/>
      <c r="X149" s="166"/>
      <c r="Y149" s="718"/>
      <c r="Z149" s="719"/>
      <c r="AA149" s="719"/>
      <c r="AB149" s="166"/>
      <c r="AC149" s="166"/>
      <c r="AD149" s="166"/>
      <c r="AE149" s="87"/>
      <c r="AF149" s="87"/>
      <c r="AG149" s="87"/>
      <c r="AH149" s="87"/>
      <c r="AI149" s="87"/>
      <c r="AJ149" s="87"/>
      <c r="AK149" s="87"/>
      <c r="AL149" s="87"/>
      <c r="AM149" s="87"/>
    </row>
    <row r="150">
      <c r="A150" s="87"/>
      <c r="B150" s="166"/>
      <c r="C150" s="166"/>
      <c r="D150" s="166"/>
      <c r="E150" s="166"/>
      <c r="F150" s="714"/>
      <c r="G150" s="166"/>
      <c r="H150" s="166"/>
      <c r="I150" s="166"/>
      <c r="J150" s="166"/>
      <c r="K150" s="166"/>
      <c r="L150" s="166"/>
      <c r="M150" s="166"/>
      <c r="N150" s="715"/>
      <c r="O150" s="166"/>
      <c r="P150" s="166"/>
      <c r="Q150" s="716"/>
      <c r="R150" s="714"/>
      <c r="S150" s="717"/>
      <c r="T150" s="714"/>
      <c r="U150" s="166"/>
      <c r="V150" s="166"/>
      <c r="W150" s="166"/>
      <c r="X150" s="166"/>
      <c r="Y150" s="718"/>
      <c r="Z150" s="719"/>
      <c r="AA150" s="719"/>
      <c r="AB150" s="166"/>
      <c r="AC150" s="166"/>
      <c r="AD150" s="166"/>
      <c r="AE150" s="87"/>
      <c r="AF150" s="87"/>
      <c r="AG150" s="87"/>
      <c r="AH150" s="87"/>
      <c r="AI150" s="87"/>
      <c r="AJ150" s="87"/>
      <c r="AK150" s="87"/>
      <c r="AL150" s="87"/>
      <c r="AM150" s="87"/>
    </row>
    <row r="151">
      <c r="A151" s="87"/>
      <c r="B151" s="166"/>
      <c r="C151" s="166"/>
      <c r="D151" s="166"/>
      <c r="E151" s="166"/>
      <c r="F151" s="714"/>
      <c r="G151" s="166"/>
      <c r="H151" s="166"/>
      <c r="I151" s="166"/>
      <c r="J151" s="166"/>
      <c r="K151" s="166"/>
      <c r="L151" s="166"/>
      <c r="M151" s="166"/>
      <c r="N151" s="715"/>
      <c r="O151" s="166"/>
      <c r="P151" s="166"/>
      <c r="Q151" s="716"/>
      <c r="R151" s="714"/>
      <c r="S151" s="717"/>
      <c r="T151" s="714"/>
      <c r="U151" s="166"/>
      <c r="V151" s="166"/>
      <c r="W151" s="166"/>
      <c r="X151" s="166"/>
      <c r="Y151" s="718"/>
      <c r="Z151" s="719"/>
      <c r="AA151" s="719"/>
      <c r="AB151" s="166"/>
      <c r="AC151" s="166"/>
      <c r="AD151" s="166"/>
      <c r="AE151" s="87"/>
      <c r="AF151" s="87"/>
      <c r="AG151" s="87"/>
      <c r="AH151" s="87"/>
      <c r="AI151" s="87"/>
      <c r="AJ151" s="87"/>
      <c r="AK151" s="87"/>
      <c r="AL151" s="87"/>
      <c r="AM151" s="87"/>
    </row>
    <row r="152">
      <c r="A152" s="87"/>
      <c r="B152" s="166"/>
      <c r="C152" s="166"/>
      <c r="D152" s="166"/>
      <c r="E152" s="166"/>
      <c r="F152" s="714"/>
      <c r="G152" s="166"/>
      <c r="H152" s="166"/>
      <c r="I152" s="166"/>
      <c r="J152" s="166"/>
      <c r="K152" s="166"/>
      <c r="L152" s="166"/>
      <c r="M152" s="166"/>
      <c r="N152" s="715"/>
      <c r="O152" s="166"/>
      <c r="P152" s="166"/>
      <c r="Q152" s="716"/>
      <c r="R152" s="714"/>
      <c r="S152" s="717"/>
      <c r="T152" s="714"/>
      <c r="U152" s="166"/>
      <c r="V152" s="166"/>
      <c r="W152" s="166"/>
      <c r="X152" s="166"/>
      <c r="Y152" s="718"/>
      <c r="Z152" s="719"/>
      <c r="AA152" s="719"/>
      <c r="AB152" s="166"/>
      <c r="AC152" s="166"/>
      <c r="AD152" s="166"/>
      <c r="AE152" s="87"/>
      <c r="AF152" s="87"/>
      <c r="AG152" s="87"/>
      <c r="AH152" s="87"/>
      <c r="AI152" s="87"/>
      <c r="AJ152" s="87"/>
      <c r="AK152" s="87"/>
      <c r="AL152" s="87"/>
      <c r="AM152" s="87"/>
    </row>
    <row r="153">
      <c r="A153" s="87"/>
      <c r="B153" s="166"/>
      <c r="C153" s="166"/>
      <c r="D153" s="166"/>
      <c r="E153" s="166"/>
      <c r="F153" s="714"/>
      <c r="G153" s="166"/>
      <c r="H153" s="166"/>
      <c r="I153" s="166"/>
      <c r="J153" s="166"/>
      <c r="K153" s="166"/>
      <c r="L153" s="166"/>
      <c r="M153" s="166"/>
      <c r="N153" s="715"/>
      <c r="O153" s="166"/>
      <c r="P153" s="166"/>
      <c r="Q153" s="716"/>
      <c r="R153" s="714"/>
      <c r="S153" s="717"/>
      <c r="T153" s="714"/>
      <c r="U153" s="166"/>
      <c r="V153" s="166"/>
      <c r="W153" s="166"/>
      <c r="X153" s="166"/>
      <c r="Y153" s="718"/>
      <c r="Z153" s="719"/>
      <c r="AA153" s="719"/>
      <c r="AB153" s="166"/>
      <c r="AC153" s="166"/>
      <c r="AD153" s="166"/>
      <c r="AE153" s="87"/>
      <c r="AF153" s="87"/>
      <c r="AG153" s="87"/>
      <c r="AH153" s="87"/>
      <c r="AI153" s="87"/>
      <c r="AJ153" s="87"/>
      <c r="AK153" s="87"/>
      <c r="AL153" s="87"/>
      <c r="AM153" s="87"/>
    </row>
    <row r="154">
      <c r="A154" s="87"/>
      <c r="B154" s="166"/>
      <c r="C154" s="166"/>
      <c r="D154" s="166"/>
      <c r="E154" s="166"/>
      <c r="F154" s="714"/>
      <c r="G154" s="166"/>
      <c r="H154" s="166"/>
      <c r="I154" s="166"/>
      <c r="J154" s="166"/>
      <c r="K154" s="166"/>
      <c r="L154" s="166"/>
      <c r="M154" s="166"/>
      <c r="N154" s="715"/>
      <c r="O154" s="166"/>
      <c r="P154" s="166"/>
      <c r="Q154" s="716"/>
      <c r="R154" s="714"/>
      <c r="S154" s="717"/>
      <c r="T154" s="714"/>
      <c r="U154" s="166"/>
      <c r="V154" s="166"/>
      <c r="W154" s="166"/>
      <c r="X154" s="166"/>
      <c r="Y154" s="718"/>
      <c r="Z154" s="719"/>
      <c r="AA154" s="719"/>
      <c r="AB154" s="166"/>
      <c r="AC154" s="166"/>
      <c r="AD154" s="166"/>
      <c r="AE154" s="87"/>
      <c r="AF154" s="87"/>
      <c r="AG154" s="87"/>
      <c r="AH154" s="87"/>
      <c r="AI154" s="87"/>
      <c r="AJ154" s="87"/>
      <c r="AK154" s="87"/>
      <c r="AL154" s="87"/>
      <c r="AM154" s="87"/>
    </row>
    <row r="155">
      <c r="A155" s="87"/>
      <c r="B155" s="166"/>
      <c r="C155" s="166"/>
      <c r="D155" s="166"/>
      <c r="E155" s="166"/>
      <c r="F155" s="714"/>
      <c r="G155" s="166"/>
      <c r="H155" s="166"/>
      <c r="I155" s="166"/>
      <c r="J155" s="166"/>
      <c r="K155" s="166"/>
      <c r="L155" s="166"/>
      <c r="M155" s="166"/>
      <c r="N155" s="715"/>
      <c r="O155" s="166"/>
      <c r="P155" s="166"/>
      <c r="Q155" s="716"/>
      <c r="R155" s="714"/>
      <c r="S155" s="717"/>
      <c r="T155" s="714"/>
      <c r="U155" s="166"/>
      <c r="V155" s="166"/>
      <c r="W155" s="166"/>
      <c r="X155" s="166"/>
      <c r="Y155" s="718"/>
      <c r="Z155" s="719"/>
      <c r="AA155" s="719"/>
      <c r="AB155" s="166"/>
      <c r="AC155" s="166"/>
      <c r="AD155" s="166"/>
      <c r="AE155" s="87"/>
      <c r="AF155" s="87"/>
      <c r="AG155" s="87"/>
      <c r="AH155" s="87"/>
      <c r="AI155" s="87"/>
      <c r="AJ155" s="87"/>
      <c r="AK155" s="87"/>
      <c r="AL155" s="87"/>
      <c r="AM155" s="87"/>
    </row>
    <row r="156">
      <c r="A156" s="87"/>
      <c r="B156" s="166"/>
      <c r="C156" s="166"/>
      <c r="D156" s="166"/>
      <c r="E156" s="166"/>
      <c r="F156" s="714"/>
      <c r="G156" s="166"/>
      <c r="H156" s="166"/>
      <c r="I156" s="166"/>
      <c r="J156" s="166"/>
      <c r="K156" s="166"/>
      <c r="L156" s="166"/>
      <c r="M156" s="166"/>
      <c r="N156" s="715"/>
      <c r="O156" s="166"/>
      <c r="P156" s="166"/>
      <c r="Q156" s="716"/>
      <c r="R156" s="714"/>
      <c r="S156" s="717"/>
      <c r="T156" s="714"/>
      <c r="U156" s="166"/>
      <c r="V156" s="166"/>
      <c r="W156" s="166"/>
      <c r="X156" s="166"/>
      <c r="Y156" s="718"/>
      <c r="Z156" s="719"/>
      <c r="AA156" s="719"/>
      <c r="AB156" s="166"/>
      <c r="AC156" s="166"/>
      <c r="AD156" s="166"/>
      <c r="AE156" s="87"/>
      <c r="AF156" s="87"/>
      <c r="AG156" s="87"/>
      <c r="AH156" s="87"/>
      <c r="AI156" s="87"/>
      <c r="AJ156" s="87"/>
      <c r="AK156" s="87"/>
      <c r="AL156" s="87"/>
      <c r="AM156" s="87"/>
    </row>
    <row r="157">
      <c r="A157" s="87"/>
      <c r="B157" s="166"/>
      <c r="C157" s="166"/>
      <c r="D157" s="166"/>
      <c r="E157" s="166"/>
      <c r="F157" s="714"/>
      <c r="G157" s="166"/>
      <c r="H157" s="166"/>
      <c r="I157" s="166"/>
      <c r="J157" s="166"/>
      <c r="K157" s="166"/>
      <c r="L157" s="166"/>
      <c r="M157" s="166"/>
      <c r="N157" s="715"/>
      <c r="O157" s="166"/>
      <c r="P157" s="166"/>
      <c r="Q157" s="716"/>
      <c r="R157" s="714"/>
      <c r="S157" s="717"/>
      <c r="T157" s="714"/>
      <c r="U157" s="166"/>
      <c r="V157" s="166"/>
      <c r="W157" s="166"/>
      <c r="X157" s="166"/>
      <c r="Y157" s="718"/>
      <c r="Z157" s="719"/>
      <c r="AA157" s="719"/>
      <c r="AB157" s="166"/>
      <c r="AC157" s="166"/>
      <c r="AD157" s="166"/>
      <c r="AE157" s="87"/>
      <c r="AF157" s="87"/>
      <c r="AG157" s="87"/>
      <c r="AH157" s="87"/>
      <c r="AI157" s="87"/>
      <c r="AJ157" s="87"/>
      <c r="AK157" s="87"/>
      <c r="AL157" s="87"/>
      <c r="AM157" s="87"/>
    </row>
    <row r="158">
      <c r="A158" s="87"/>
      <c r="B158" s="166"/>
      <c r="C158" s="166"/>
      <c r="D158" s="166"/>
      <c r="E158" s="166"/>
      <c r="F158" s="714"/>
      <c r="G158" s="166"/>
      <c r="H158" s="166"/>
      <c r="I158" s="166"/>
      <c r="J158" s="166"/>
      <c r="K158" s="166"/>
      <c r="L158" s="166"/>
      <c r="M158" s="166"/>
      <c r="N158" s="715"/>
      <c r="O158" s="166"/>
      <c r="P158" s="166"/>
      <c r="Q158" s="716"/>
      <c r="R158" s="714"/>
      <c r="S158" s="717"/>
      <c r="T158" s="714"/>
      <c r="U158" s="166"/>
      <c r="V158" s="166"/>
      <c r="W158" s="166"/>
      <c r="X158" s="166"/>
      <c r="Y158" s="718"/>
      <c r="Z158" s="719"/>
      <c r="AA158" s="719"/>
      <c r="AB158" s="166"/>
      <c r="AC158" s="166"/>
      <c r="AD158" s="166"/>
      <c r="AE158" s="87"/>
      <c r="AF158" s="87"/>
      <c r="AG158" s="87"/>
      <c r="AH158" s="87"/>
      <c r="AI158" s="87"/>
      <c r="AJ158" s="87"/>
      <c r="AK158" s="87"/>
      <c r="AL158" s="87"/>
      <c r="AM158" s="87"/>
    </row>
    <row r="159">
      <c r="A159" s="87"/>
      <c r="B159" s="166"/>
      <c r="C159" s="166"/>
      <c r="D159" s="166"/>
      <c r="E159" s="166"/>
      <c r="F159" s="714"/>
      <c r="G159" s="166"/>
      <c r="H159" s="166"/>
      <c r="I159" s="166"/>
      <c r="J159" s="166"/>
      <c r="K159" s="166"/>
      <c r="L159" s="166"/>
      <c r="M159" s="166"/>
      <c r="N159" s="715"/>
      <c r="O159" s="166"/>
      <c r="P159" s="166"/>
      <c r="Q159" s="716"/>
      <c r="R159" s="714"/>
      <c r="S159" s="717"/>
      <c r="T159" s="714"/>
      <c r="U159" s="166"/>
      <c r="V159" s="166"/>
      <c r="W159" s="166"/>
      <c r="X159" s="166"/>
      <c r="Y159" s="718"/>
      <c r="Z159" s="719"/>
      <c r="AA159" s="719"/>
      <c r="AB159" s="166"/>
      <c r="AC159" s="166"/>
      <c r="AD159" s="166"/>
      <c r="AE159" s="87"/>
      <c r="AF159" s="87"/>
      <c r="AG159" s="87"/>
      <c r="AH159" s="87"/>
      <c r="AI159" s="87"/>
      <c r="AJ159" s="87"/>
      <c r="AK159" s="87"/>
      <c r="AL159" s="87"/>
      <c r="AM159" s="87"/>
    </row>
    <row r="160">
      <c r="A160" s="87"/>
      <c r="B160" s="166"/>
      <c r="C160" s="166"/>
      <c r="D160" s="166"/>
      <c r="E160" s="166"/>
      <c r="F160" s="714"/>
      <c r="G160" s="166"/>
      <c r="H160" s="166"/>
      <c r="I160" s="166"/>
      <c r="J160" s="166"/>
      <c r="K160" s="166"/>
      <c r="L160" s="166"/>
      <c r="M160" s="166"/>
      <c r="N160" s="715"/>
      <c r="O160" s="166"/>
      <c r="P160" s="166"/>
      <c r="Q160" s="716"/>
      <c r="R160" s="714"/>
      <c r="S160" s="717"/>
      <c r="T160" s="714"/>
      <c r="U160" s="166"/>
      <c r="V160" s="166"/>
      <c r="W160" s="166"/>
      <c r="X160" s="166"/>
      <c r="Y160" s="718"/>
      <c r="Z160" s="719"/>
      <c r="AA160" s="719"/>
      <c r="AB160" s="166"/>
      <c r="AC160" s="166"/>
      <c r="AD160" s="166"/>
      <c r="AE160" s="87"/>
      <c r="AF160" s="87"/>
      <c r="AG160" s="87"/>
      <c r="AH160" s="87"/>
      <c r="AI160" s="87"/>
      <c r="AJ160" s="87"/>
      <c r="AK160" s="87"/>
      <c r="AL160" s="87"/>
      <c r="AM160" s="87"/>
    </row>
    <row r="161">
      <c r="A161" s="87"/>
      <c r="B161" s="166"/>
      <c r="C161" s="166"/>
      <c r="D161" s="166"/>
      <c r="E161" s="166"/>
      <c r="F161" s="714"/>
      <c r="G161" s="166"/>
      <c r="H161" s="166"/>
      <c r="I161" s="166"/>
      <c r="J161" s="166"/>
      <c r="K161" s="166"/>
      <c r="L161" s="166"/>
      <c r="M161" s="166"/>
      <c r="N161" s="715"/>
      <c r="O161" s="166"/>
      <c r="P161" s="166"/>
      <c r="Q161" s="716"/>
      <c r="R161" s="714"/>
      <c r="S161" s="717"/>
      <c r="T161" s="714"/>
      <c r="U161" s="166"/>
      <c r="V161" s="166"/>
      <c r="W161" s="166"/>
      <c r="X161" s="166"/>
      <c r="Y161" s="718"/>
      <c r="Z161" s="719"/>
      <c r="AA161" s="719"/>
      <c r="AB161" s="166"/>
      <c r="AC161" s="166"/>
      <c r="AD161" s="166"/>
      <c r="AE161" s="87"/>
      <c r="AF161" s="87"/>
      <c r="AG161" s="87"/>
      <c r="AH161" s="87"/>
      <c r="AI161" s="87"/>
      <c r="AJ161" s="87"/>
      <c r="AK161" s="87"/>
      <c r="AL161" s="87"/>
      <c r="AM161" s="87"/>
    </row>
    <row r="162">
      <c r="A162" s="87"/>
      <c r="B162" s="166"/>
      <c r="C162" s="166"/>
      <c r="D162" s="166"/>
      <c r="E162" s="166"/>
      <c r="F162" s="714"/>
      <c r="G162" s="166"/>
      <c r="H162" s="166"/>
      <c r="I162" s="166"/>
      <c r="J162" s="166"/>
      <c r="K162" s="166"/>
      <c r="L162" s="166"/>
      <c r="M162" s="166"/>
      <c r="N162" s="715"/>
      <c r="O162" s="166"/>
      <c r="P162" s="166"/>
      <c r="Q162" s="716"/>
      <c r="R162" s="714"/>
      <c r="S162" s="717"/>
      <c r="T162" s="714"/>
      <c r="U162" s="166"/>
      <c r="V162" s="166"/>
      <c r="W162" s="166"/>
      <c r="X162" s="166"/>
      <c r="Y162" s="718"/>
      <c r="Z162" s="719"/>
      <c r="AA162" s="719"/>
      <c r="AB162" s="166"/>
      <c r="AC162" s="166"/>
      <c r="AD162" s="166"/>
      <c r="AE162" s="87"/>
      <c r="AF162" s="87"/>
      <c r="AG162" s="87"/>
      <c r="AH162" s="87"/>
      <c r="AI162" s="87"/>
      <c r="AJ162" s="87"/>
      <c r="AK162" s="87"/>
      <c r="AL162" s="87"/>
      <c r="AM162" s="87"/>
    </row>
    <row r="163">
      <c r="A163" s="87"/>
      <c r="B163" s="166"/>
      <c r="C163" s="166"/>
      <c r="D163" s="166"/>
      <c r="E163" s="166"/>
      <c r="F163" s="714"/>
      <c r="G163" s="166"/>
      <c r="H163" s="166"/>
      <c r="I163" s="166"/>
      <c r="J163" s="166"/>
      <c r="K163" s="166"/>
      <c r="L163" s="166"/>
      <c r="M163" s="166"/>
      <c r="N163" s="715"/>
      <c r="O163" s="166"/>
      <c r="P163" s="166"/>
      <c r="Q163" s="716"/>
      <c r="R163" s="714"/>
      <c r="S163" s="717"/>
      <c r="T163" s="714"/>
      <c r="U163" s="166"/>
      <c r="V163" s="166"/>
      <c r="W163" s="166"/>
      <c r="X163" s="166"/>
      <c r="Y163" s="718"/>
      <c r="Z163" s="719"/>
      <c r="AA163" s="719"/>
      <c r="AB163" s="166"/>
      <c r="AC163" s="166"/>
      <c r="AD163" s="166"/>
      <c r="AE163" s="87"/>
      <c r="AF163" s="87"/>
      <c r="AG163" s="87"/>
      <c r="AH163" s="87"/>
      <c r="AI163" s="87"/>
      <c r="AJ163" s="87"/>
      <c r="AK163" s="87"/>
      <c r="AL163" s="87"/>
      <c r="AM163" s="87"/>
    </row>
    <row r="164">
      <c r="A164" s="87"/>
      <c r="B164" s="166"/>
      <c r="C164" s="166"/>
      <c r="D164" s="166"/>
      <c r="E164" s="166"/>
      <c r="F164" s="714"/>
      <c r="G164" s="166"/>
      <c r="H164" s="166"/>
      <c r="I164" s="166"/>
      <c r="J164" s="166"/>
      <c r="K164" s="166"/>
      <c r="L164" s="166"/>
      <c r="M164" s="166"/>
      <c r="N164" s="715"/>
      <c r="O164" s="166"/>
      <c r="P164" s="166"/>
      <c r="Q164" s="716"/>
      <c r="R164" s="714"/>
      <c r="S164" s="717"/>
      <c r="T164" s="714"/>
      <c r="U164" s="166"/>
      <c r="V164" s="166"/>
      <c r="W164" s="166"/>
      <c r="X164" s="166"/>
      <c r="Y164" s="718"/>
      <c r="Z164" s="719"/>
      <c r="AA164" s="719"/>
      <c r="AB164" s="166"/>
      <c r="AC164" s="166"/>
      <c r="AD164" s="166"/>
      <c r="AE164" s="87"/>
      <c r="AF164" s="87"/>
      <c r="AG164" s="87"/>
      <c r="AH164" s="87"/>
      <c r="AI164" s="87"/>
      <c r="AJ164" s="87"/>
      <c r="AK164" s="87"/>
      <c r="AL164" s="87"/>
      <c r="AM164" s="87"/>
    </row>
    <row r="165">
      <c r="A165" s="87"/>
      <c r="B165" s="166"/>
      <c r="C165" s="166"/>
      <c r="D165" s="166"/>
      <c r="E165" s="166"/>
      <c r="F165" s="714"/>
      <c r="G165" s="166"/>
      <c r="H165" s="166"/>
      <c r="I165" s="166"/>
      <c r="J165" s="166"/>
      <c r="K165" s="166"/>
      <c r="L165" s="166"/>
      <c r="M165" s="166"/>
      <c r="N165" s="715"/>
      <c r="O165" s="166"/>
      <c r="P165" s="166"/>
      <c r="Q165" s="716"/>
      <c r="R165" s="714"/>
      <c r="S165" s="717"/>
      <c r="T165" s="714"/>
      <c r="U165" s="166"/>
      <c r="V165" s="166"/>
      <c r="W165" s="166"/>
      <c r="X165" s="166"/>
      <c r="Y165" s="718"/>
      <c r="Z165" s="719"/>
      <c r="AA165" s="719"/>
      <c r="AB165" s="166"/>
      <c r="AC165" s="166"/>
      <c r="AD165" s="166"/>
      <c r="AE165" s="87"/>
      <c r="AF165" s="87"/>
      <c r="AG165" s="87"/>
      <c r="AH165" s="87"/>
      <c r="AI165" s="87"/>
      <c r="AJ165" s="87"/>
      <c r="AK165" s="87"/>
      <c r="AL165" s="87"/>
      <c r="AM165" s="87"/>
    </row>
    <row r="166">
      <c r="A166" s="87"/>
      <c r="B166" s="166"/>
      <c r="C166" s="166"/>
      <c r="D166" s="166"/>
      <c r="E166" s="166"/>
      <c r="F166" s="714"/>
      <c r="G166" s="166"/>
      <c r="H166" s="166"/>
      <c r="I166" s="166"/>
      <c r="J166" s="166"/>
      <c r="K166" s="166"/>
      <c r="L166" s="166"/>
      <c r="M166" s="166"/>
      <c r="N166" s="715"/>
      <c r="O166" s="166"/>
      <c r="P166" s="166"/>
      <c r="Q166" s="716"/>
      <c r="R166" s="714"/>
      <c r="S166" s="717"/>
      <c r="T166" s="714"/>
      <c r="U166" s="166"/>
      <c r="V166" s="166"/>
      <c r="W166" s="166"/>
      <c r="X166" s="166"/>
      <c r="Y166" s="718"/>
      <c r="Z166" s="719"/>
      <c r="AA166" s="719"/>
      <c r="AB166" s="166"/>
      <c r="AC166" s="166"/>
      <c r="AD166" s="166"/>
      <c r="AE166" s="87"/>
      <c r="AF166" s="87"/>
      <c r="AG166" s="87"/>
      <c r="AH166" s="87"/>
      <c r="AI166" s="87"/>
      <c r="AJ166" s="87"/>
      <c r="AK166" s="87"/>
      <c r="AL166" s="87"/>
      <c r="AM166" s="87"/>
    </row>
    <row r="167">
      <c r="A167" s="87"/>
      <c r="B167" s="166"/>
      <c r="C167" s="166"/>
      <c r="D167" s="166"/>
      <c r="E167" s="166"/>
      <c r="F167" s="714"/>
      <c r="G167" s="166"/>
      <c r="H167" s="166"/>
      <c r="I167" s="166"/>
      <c r="J167" s="166"/>
      <c r="K167" s="166"/>
      <c r="L167" s="166"/>
      <c r="M167" s="166"/>
      <c r="N167" s="715"/>
      <c r="O167" s="166"/>
      <c r="P167" s="166"/>
      <c r="Q167" s="716"/>
      <c r="R167" s="714"/>
      <c r="S167" s="717"/>
      <c r="T167" s="714"/>
      <c r="U167" s="166"/>
      <c r="V167" s="166"/>
      <c r="W167" s="166"/>
      <c r="X167" s="166"/>
      <c r="Y167" s="718"/>
      <c r="Z167" s="719"/>
      <c r="AA167" s="719"/>
      <c r="AB167" s="166"/>
      <c r="AC167" s="166"/>
      <c r="AD167" s="166"/>
      <c r="AE167" s="87"/>
      <c r="AF167" s="87"/>
      <c r="AG167" s="87"/>
      <c r="AH167" s="87"/>
      <c r="AI167" s="87"/>
      <c r="AJ167" s="87"/>
      <c r="AK167" s="87"/>
      <c r="AL167" s="87"/>
      <c r="AM167" s="87"/>
    </row>
    <row r="168">
      <c r="A168" s="87"/>
      <c r="B168" s="166"/>
      <c r="C168" s="166"/>
      <c r="D168" s="166"/>
      <c r="E168" s="166"/>
      <c r="F168" s="714"/>
      <c r="G168" s="166"/>
      <c r="H168" s="166"/>
      <c r="I168" s="166"/>
      <c r="J168" s="166"/>
      <c r="K168" s="166"/>
      <c r="L168" s="166"/>
      <c r="M168" s="166"/>
      <c r="N168" s="715"/>
      <c r="O168" s="166"/>
      <c r="P168" s="166"/>
      <c r="Q168" s="716"/>
      <c r="R168" s="714"/>
      <c r="S168" s="717"/>
      <c r="T168" s="714"/>
      <c r="U168" s="166"/>
      <c r="V168" s="166"/>
      <c r="W168" s="166"/>
      <c r="X168" s="166"/>
      <c r="Y168" s="718"/>
      <c r="Z168" s="719"/>
      <c r="AA168" s="719"/>
      <c r="AB168" s="166"/>
      <c r="AC168" s="166"/>
      <c r="AD168" s="166"/>
      <c r="AE168" s="87"/>
      <c r="AF168" s="87"/>
      <c r="AG168" s="87"/>
      <c r="AH168" s="87"/>
      <c r="AI168" s="87"/>
      <c r="AJ168" s="87"/>
      <c r="AK168" s="87"/>
      <c r="AL168" s="87"/>
      <c r="AM168" s="87"/>
    </row>
    <row r="169">
      <c r="A169" s="87"/>
      <c r="B169" s="166"/>
      <c r="C169" s="166"/>
      <c r="D169" s="166"/>
      <c r="E169" s="166"/>
      <c r="F169" s="714"/>
      <c r="G169" s="166"/>
      <c r="H169" s="166"/>
      <c r="I169" s="166"/>
      <c r="J169" s="166"/>
      <c r="K169" s="166"/>
      <c r="L169" s="166"/>
      <c r="M169" s="166"/>
      <c r="N169" s="715"/>
      <c r="O169" s="166"/>
      <c r="P169" s="166"/>
      <c r="Q169" s="716"/>
      <c r="R169" s="714"/>
      <c r="S169" s="717"/>
      <c r="T169" s="714"/>
      <c r="U169" s="166"/>
      <c r="V169" s="166"/>
      <c r="W169" s="166"/>
      <c r="X169" s="166"/>
      <c r="Y169" s="718"/>
      <c r="Z169" s="719"/>
      <c r="AA169" s="719"/>
      <c r="AB169" s="166"/>
      <c r="AC169" s="166"/>
      <c r="AD169" s="166"/>
      <c r="AE169" s="87"/>
      <c r="AF169" s="87"/>
      <c r="AG169" s="87"/>
      <c r="AH169" s="87"/>
      <c r="AI169" s="87"/>
      <c r="AJ169" s="87"/>
      <c r="AK169" s="87"/>
      <c r="AL169" s="87"/>
      <c r="AM169" s="87"/>
    </row>
    <row r="170">
      <c r="A170" s="87"/>
      <c r="B170" s="166"/>
      <c r="C170" s="166"/>
      <c r="D170" s="166"/>
      <c r="E170" s="166"/>
      <c r="F170" s="714"/>
      <c r="G170" s="166"/>
      <c r="H170" s="166"/>
      <c r="I170" s="166"/>
      <c r="J170" s="166"/>
      <c r="K170" s="166"/>
      <c r="L170" s="166"/>
      <c r="M170" s="166"/>
      <c r="N170" s="715"/>
      <c r="O170" s="166"/>
      <c r="P170" s="166"/>
      <c r="Q170" s="716"/>
      <c r="R170" s="714"/>
      <c r="S170" s="717"/>
      <c r="T170" s="714"/>
      <c r="U170" s="166"/>
      <c r="V170" s="166"/>
      <c r="W170" s="166"/>
      <c r="X170" s="166"/>
      <c r="Y170" s="718"/>
      <c r="Z170" s="719"/>
      <c r="AA170" s="719"/>
      <c r="AB170" s="166"/>
      <c r="AC170" s="166"/>
      <c r="AD170" s="166"/>
      <c r="AE170" s="87"/>
      <c r="AF170" s="87"/>
      <c r="AG170" s="87"/>
      <c r="AH170" s="87"/>
      <c r="AI170" s="87"/>
      <c r="AJ170" s="87"/>
      <c r="AK170" s="87"/>
      <c r="AL170" s="87"/>
      <c r="AM170" s="87"/>
    </row>
    <row r="171">
      <c r="A171" s="87"/>
      <c r="B171" s="166"/>
      <c r="C171" s="166"/>
      <c r="D171" s="166"/>
      <c r="E171" s="166"/>
      <c r="F171" s="714"/>
      <c r="G171" s="166"/>
      <c r="H171" s="166"/>
      <c r="I171" s="166"/>
      <c r="J171" s="166"/>
      <c r="K171" s="166"/>
      <c r="L171" s="166"/>
      <c r="M171" s="166"/>
      <c r="N171" s="715"/>
      <c r="O171" s="166"/>
      <c r="P171" s="166"/>
      <c r="Q171" s="716"/>
      <c r="R171" s="714"/>
      <c r="S171" s="717"/>
      <c r="T171" s="714"/>
      <c r="U171" s="166"/>
      <c r="V171" s="166"/>
      <c r="W171" s="166"/>
      <c r="X171" s="166"/>
      <c r="Y171" s="718"/>
      <c r="Z171" s="719"/>
      <c r="AA171" s="719"/>
      <c r="AB171" s="166"/>
      <c r="AC171" s="166"/>
      <c r="AD171" s="166"/>
      <c r="AE171" s="87"/>
      <c r="AF171" s="87"/>
      <c r="AG171" s="87"/>
      <c r="AH171" s="87"/>
      <c r="AI171" s="87"/>
      <c r="AJ171" s="87"/>
      <c r="AK171" s="87"/>
      <c r="AL171" s="87"/>
      <c r="AM171" s="87"/>
    </row>
    <row r="172">
      <c r="A172" s="87"/>
      <c r="B172" s="166"/>
      <c r="C172" s="166"/>
      <c r="D172" s="166"/>
      <c r="E172" s="166"/>
      <c r="F172" s="714"/>
      <c r="G172" s="166"/>
      <c r="H172" s="166"/>
      <c r="I172" s="166"/>
      <c r="J172" s="166"/>
      <c r="K172" s="166"/>
      <c r="L172" s="166"/>
      <c r="M172" s="166"/>
      <c r="N172" s="715"/>
      <c r="O172" s="166"/>
      <c r="P172" s="166"/>
      <c r="Q172" s="716"/>
      <c r="R172" s="714"/>
      <c r="S172" s="717"/>
      <c r="T172" s="714"/>
      <c r="U172" s="166"/>
      <c r="V172" s="166"/>
      <c r="W172" s="166"/>
      <c r="X172" s="166"/>
      <c r="Y172" s="718"/>
      <c r="Z172" s="719"/>
      <c r="AA172" s="719"/>
      <c r="AB172" s="166"/>
      <c r="AC172" s="166"/>
      <c r="AD172" s="166"/>
      <c r="AE172" s="87"/>
      <c r="AF172" s="87"/>
      <c r="AG172" s="87"/>
      <c r="AH172" s="87"/>
      <c r="AI172" s="87"/>
      <c r="AJ172" s="87"/>
      <c r="AK172" s="87"/>
      <c r="AL172" s="87"/>
      <c r="AM172" s="87"/>
    </row>
    <row r="173">
      <c r="A173" s="87"/>
      <c r="B173" s="166"/>
      <c r="C173" s="166"/>
      <c r="D173" s="166"/>
      <c r="E173" s="166"/>
      <c r="F173" s="714"/>
      <c r="G173" s="166"/>
      <c r="H173" s="166"/>
      <c r="I173" s="166"/>
      <c r="J173" s="166"/>
      <c r="K173" s="166"/>
      <c r="L173" s="166"/>
      <c r="M173" s="166"/>
      <c r="N173" s="715"/>
      <c r="O173" s="166"/>
      <c r="P173" s="166"/>
      <c r="Q173" s="716"/>
      <c r="R173" s="714"/>
      <c r="S173" s="717"/>
      <c r="T173" s="714"/>
      <c r="U173" s="166"/>
      <c r="V173" s="166"/>
      <c r="W173" s="166"/>
      <c r="X173" s="166"/>
      <c r="Y173" s="718"/>
      <c r="Z173" s="719"/>
      <c r="AA173" s="719"/>
      <c r="AB173" s="166"/>
      <c r="AC173" s="166"/>
      <c r="AD173" s="166"/>
      <c r="AE173" s="87"/>
      <c r="AF173" s="87"/>
      <c r="AG173" s="87"/>
      <c r="AH173" s="87"/>
      <c r="AI173" s="87"/>
      <c r="AJ173" s="87"/>
      <c r="AK173" s="87"/>
      <c r="AL173" s="87"/>
      <c r="AM173" s="87"/>
    </row>
    <row r="174">
      <c r="A174" s="87"/>
      <c r="B174" s="166"/>
      <c r="C174" s="166"/>
      <c r="D174" s="166"/>
      <c r="E174" s="166"/>
      <c r="F174" s="714"/>
      <c r="G174" s="166"/>
      <c r="H174" s="166"/>
      <c r="I174" s="166"/>
      <c r="J174" s="166"/>
      <c r="K174" s="166"/>
      <c r="L174" s="166"/>
      <c r="M174" s="166"/>
      <c r="N174" s="715"/>
      <c r="O174" s="166"/>
      <c r="P174" s="166"/>
      <c r="Q174" s="716"/>
      <c r="R174" s="714"/>
      <c r="S174" s="717"/>
      <c r="T174" s="714"/>
      <c r="U174" s="166"/>
      <c r="V174" s="166"/>
      <c r="W174" s="166"/>
      <c r="X174" s="166"/>
      <c r="Y174" s="718"/>
      <c r="Z174" s="719"/>
      <c r="AA174" s="719"/>
      <c r="AB174" s="166"/>
      <c r="AC174" s="166"/>
      <c r="AD174" s="166"/>
      <c r="AE174" s="87"/>
      <c r="AF174" s="87"/>
      <c r="AG174" s="87"/>
      <c r="AH174" s="87"/>
      <c r="AI174" s="87"/>
      <c r="AJ174" s="87"/>
      <c r="AK174" s="87"/>
      <c r="AL174" s="87"/>
      <c r="AM174" s="87"/>
    </row>
    <row r="175">
      <c r="A175" s="87"/>
      <c r="B175" s="166"/>
      <c r="C175" s="166"/>
      <c r="D175" s="166"/>
      <c r="E175" s="166"/>
      <c r="F175" s="714"/>
      <c r="G175" s="166"/>
      <c r="H175" s="166"/>
      <c r="I175" s="166"/>
      <c r="J175" s="166"/>
      <c r="K175" s="166"/>
      <c r="L175" s="166"/>
      <c r="M175" s="166"/>
      <c r="N175" s="715"/>
      <c r="O175" s="166"/>
      <c r="P175" s="166"/>
      <c r="Q175" s="716"/>
      <c r="R175" s="714"/>
      <c r="S175" s="717"/>
      <c r="T175" s="714"/>
      <c r="U175" s="166"/>
      <c r="V175" s="166"/>
      <c r="W175" s="166"/>
      <c r="X175" s="166"/>
      <c r="Y175" s="718"/>
      <c r="Z175" s="719"/>
      <c r="AA175" s="719"/>
      <c r="AB175" s="166"/>
      <c r="AC175" s="166"/>
      <c r="AD175" s="166"/>
      <c r="AE175" s="87"/>
      <c r="AF175" s="87"/>
      <c r="AG175" s="87"/>
      <c r="AH175" s="87"/>
      <c r="AI175" s="87"/>
      <c r="AJ175" s="87"/>
      <c r="AK175" s="87"/>
      <c r="AL175" s="87"/>
      <c r="AM175" s="87"/>
    </row>
    <row r="176">
      <c r="A176" s="87"/>
      <c r="B176" s="166"/>
      <c r="C176" s="166"/>
      <c r="D176" s="166"/>
      <c r="E176" s="166"/>
      <c r="F176" s="714"/>
      <c r="G176" s="166"/>
      <c r="H176" s="166"/>
      <c r="I176" s="166"/>
      <c r="J176" s="166"/>
      <c r="K176" s="166"/>
      <c r="L176" s="166"/>
      <c r="M176" s="166"/>
      <c r="N176" s="715"/>
      <c r="O176" s="166"/>
      <c r="P176" s="166"/>
      <c r="Q176" s="716"/>
      <c r="R176" s="714"/>
      <c r="S176" s="717"/>
      <c r="T176" s="714"/>
      <c r="U176" s="166"/>
      <c r="V176" s="166"/>
      <c r="W176" s="166"/>
      <c r="X176" s="166"/>
      <c r="Y176" s="718"/>
      <c r="Z176" s="719"/>
      <c r="AA176" s="719"/>
      <c r="AB176" s="166"/>
      <c r="AC176" s="166"/>
      <c r="AD176" s="166"/>
      <c r="AE176" s="87"/>
      <c r="AF176" s="87"/>
      <c r="AG176" s="87"/>
      <c r="AH176" s="87"/>
      <c r="AI176" s="87"/>
      <c r="AJ176" s="87"/>
      <c r="AK176" s="87"/>
      <c r="AL176" s="87"/>
      <c r="AM176" s="87"/>
    </row>
    <row r="177">
      <c r="A177" s="87"/>
      <c r="B177" s="166"/>
      <c r="C177" s="166"/>
      <c r="D177" s="166"/>
      <c r="E177" s="166"/>
      <c r="F177" s="714"/>
      <c r="G177" s="166"/>
      <c r="H177" s="166"/>
      <c r="I177" s="166"/>
      <c r="J177" s="166"/>
      <c r="K177" s="166"/>
      <c r="L177" s="166"/>
      <c r="M177" s="166"/>
      <c r="N177" s="715"/>
      <c r="O177" s="166"/>
      <c r="P177" s="166"/>
      <c r="Q177" s="716"/>
      <c r="R177" s="714"/>
      <c r="S177" s="717"/>
      <c r="T177" s="714"/>
      <c r="U177" s="166"/>
      <c r="V177" s="166"/>
      <c r="W177" s="166"/>
      <c r="X177" s="166"/>
      <c r="Y177" s="718"/>
      <c r="Z177" s="719"/>
      <c r="AA177" s="719"/>
      <c r="AB177" s="166"/>
      <c r="AC177" s="166"/>
      <c r="AD177" s="166"/>
      <c r="AE177" s="87"/>
      <c r="AF177" s="87"/>
      <c r="AG177" s="87"/>
      <c r="AH177" s="87"/>
      <c r="AI177" s="87"/>
      <c r="AJ177" s="87"/>
      <c r="AK177" s="87"/>
      <c r="AL177" s="87"/>
      <c r="AM177" s="87"/>
    </row>
    <row r="178">
      <c r="A178" s="87"/>
      <c r="B178" s="166"/>
      <c r="C178" s="166"/>
      <c r="D178" s="166"/>
      <c r="E178" s="166"/>
      <c r="F178" s="714"/>
      <c r="G178" s="166"/>
      <c r="H178" s="166"/>
      <c r="I178" s="166"/>
      <c r="J178" s="166"/>
      <c r="K178" s="166"/>
      <c r="L178" s="166"/>
      <c r="M178" s="166"/>
      <c r="N178" s="715"/>
      <c r="O178" s="166"/>
      <c r="P178" s="166"/>
      <c r="Q178" s="716"/>
      <c r="R178" s="714"/>
      <c r="S178" s="717"/>
      <c r="T178" s="714"/>
      <c r="U178" s="166"/>
      <c r="V178" s="166"/>
      <c r="W178" s="166"/>
      <c r="X178" s="166"/>
      <c r="Y178" s="718"/>
      <c r="Z178" s="719"/>
      <c r="AA178" s="719"/>
      <c r="AB178" s="166"/>
      <c r="AC178" s="166"/>
      <c r="AD178" s="166"/>
      <c r="AE178" s="87"/>
      <c r="AF178" s="87"/>
      <c r="AG178" s="87"/>
      <c r="AH178" s="87"/>
      <c r="AI178" s="87"/>
      <c r="AJ178" s="87"/>
      <c r="AK178" s="87"/>
      <c r="AL178" s="87"/>
      <c r="AM178" s="87"/>
    </row>
    <row r="179">
      <c r="A179" s="87"/>
      <c r="B179" s="166"/>
      <c r="C179" s="166"/>
      <c r="D179" s="166"/>
      <c r="E179" s="166"/>
      <c r="F179" s="714"/>
      <c r="G179" s="166"/>
      <c r="H179" s="166"/>
      <c r="I179" s="166"/>
      <c r="J179" s="166"/>
      <c r="K179" s="166"/>
      <c r="L179" s="166"/>
      <c r="M179" s="166"/>
      <c r="N179" s="715"/>
      <c r="O179" s="166"/>
      <c r="P179" s="166"/>
      <c r="Q179" s="716"/>
      <c r="R179" s="714"/>
      <c r="S179" s="717"/>
      <c r="T179" s="714"/>
      <c r="U179" s="166"/>
      <c r="V179" s="166"/>
      <c r="W179" s="166"/>
      <c r="X179" s="166"/>
      <c r="Y179" s="718"/>
      <c r="Z179" s="719"/>
      <c r="AA179" s="719"/>
      <c r="AB179" s="166"/>
      <c r="AC179" s="166"/>
      <c r="AD179" s="166"/>
      <c r="AE179" s="87"/>
      <c r="AF179" s="87"/>
      <c r="AG179" s="87"/>
      <c r="AH179" s="87"/>
      <c r="AI179" s="87"/>
      <c r="AJ179" s="87"/>
      <c r="AK179" s="87"/>
      <c r="AL179" s="87"/>
      <c r="AM179" s="87"/>
    </row>
    <row r="180">
      <c r="A180" s="87"/>
      <c r="B180" s="166"/>
      <c r="C180" s="166"/>
      <c r="D180" s="166"/>
      <c r="E180" s="166"/>
      <c r="F180" s="714"/>
      <c r="G180" s="166"/>
      <c r="H180" s="166"/>
      <c r="I180" s="166"/>
      <c r="J180" s="166"/>
      <c r="K180" s="166"/>
      <c r="L180" s="166"/>
      <c r="M180" s="166"/>
      <c r="N180" s="715"/>
      <c r="O180" s="166"/>
      <c r="P180" s="166"/>
      <c r="Q180" s="716"/>
      <c r="R180" s="714"/>
      <c r="S180" s="717"/>
      <c r="T180" s="714"/>
      <c r="U180" s="166"/>
      <c r="V180" s="166"/>
      <c r="W180" s="166"/>
      <c r="X180" s="166"/>
      <c r="Y180" s="718"/>
      <c r="Z180" s="719"/>
      <c r="AA180" s="719"/>
      <c r="AB180" s="166"/>
      <c r="AC180" s="166"/>
      <c r="AD180" s="166"/>
      <c r="AE180" s="87"/>
      <c r="AF180" s="87"/>
      <c r="AG180" s="87"/>
      <c r="AH180" s="87"/>
      <c r="AI180" s="87"/>
      <c r="AJ180" s="87"/>
      <c r="AK180" s="87"/>
      <c r="AL180" s="87"/>
      <c r="AM180" s="87"/>
    </row>
    <row r="181">
      <c r="A181" s="87"/>
      <c r="B181" s="166"/>
      <c r="C181" s="166"/>
      <c r="D181" s="166"/>
      <c r="E181" s="166"/>
      <c r="F181" s="714"/>
      <c r="G181" s="166"/>
      <c r="H181" s="166"/>
      <c r="I181" s="166"/>
      <c r="J181" s="166"/>
      <c r="K181" s="166"/>
      <c r="L181" s="166"/>
      <c r="M181" s="166"/>
      <c r="N181" s="715"/>
      <c r="O181" s="166"/>
      <c r="P181" s="166"/>
      <c r="Q181" s="716"/>
      <c r="R181" s="714"/>
      <c r="S181" s="717"/>
      <c r="T181" s="714"/>
      <c r="U181" s="166"/>
      <c r="V181" s="166"/>
      <c r="W181" s="166"/>
      <c r="X181" s="166"/>
      <c r="Y181" s="718"/>
      <c r="Z181" s="719"/>
      <c r="AA181" s="719"/>
      <c r="AB181" s="166"/>
      <c r="AC181" s="166"/>
      <c r="AD181" s="166"/>
      <c r="AE181" s="87"/>
      <c r="AF181" s="87"/>
      <c r="AG181" s="87"/>
      <c r="AH181" s="87"/>
      <c r="AI181" s="87"/>
      <c r="AJ181" s="87"/>
      <c r="AK181" s="87"/>
      <c r="AL181" s="87"/>
      <c r="AM181" s="87"/>
    </row>
    <row r="182">
      <c r="A182" s="87"/>
      <c r="B182" s="166"/>
      <c r="C182" s="166"/>
      <c r="D182" s="166"/>
      <c r="E182" s="166"/>
      <c r="F182" s="714"/>
      <c r="G182" s="166"/>
      <c r="H182" s="166"/>
      <c r="I182" s="166"/>
      <c r="J182" s="166"/>
      <c r="K182" s="166"/>
      <c r="L182" s="166"/>
      <c r="M182" s="166"/>
      <c r="N182" s="715"/>
      <c r="O182" s="166"/>
      <c r="P182" s="166"/>
      <c r="Q182" s="716"/>
      <c r="R182" s="714"/>
      <c r="S182" s="717"/>
      <c r="T182" s="714"/>
      <c r="U182" s="166"/>
      <c r="V182" s="166"/>
      <c r="W182" s="166"/>
      <c r="X182" s="166"/>
      <c r="Y182" s="718"/>
      <c r="Z182" s="719"/>
      <c r="AA182" s="719"/>
      <c r="AB182" s="166"/>
      <c r="AC182" s="166"/>
      <c r="AD182" s="166"/>
      <c r="AE182" s="87"/>
      <c r="AF182" s="87"/>
      <c r="AG182" s="87"/>
      <c r="AH182" s="87"/>
      <c r="AI182" s="87"/>
      <c r="AJ182" s="87"/>
      <c r="AK182" s="87"/>
      <c r="AL182" s="87"/>
      <c r="AM182" s="87"/>
    </row>
    <row r="183">
      <c r="A183" s="87"/>
      <c r="B183" s="166"/>
      <c r="C183" s="166"/>
      <c r="D183" s="166"/>
      <c r="E183" s="166"/>
      <c r="F183" s="714"/>
      <c r="G183" s="166"/>
      <c r="H183" s="166"/>
      <c r="I183" s="166"/>
      <c r="J183" s="166"/>
      <c r="K183" s="166"/>
      <c r="L183" s="166"/>
      <c r="M183" s="166"/>
      <c r="N183" s="715"/>
      <c r="O183" s="166"/>
      <c r="P183" s="166"/>
      <c r="Q183" s="716"/>
      <c r="R183" s="714"/>
      <c r="S183" s="717"/>
      <c r="T183" s="714"/>
      <c r="U183" s="166"/>
      <c r="V183" s="166"/>
      <c r="W183" s="166"/>
      <c r="X183" s="166"/>
      <c r="Y183" s="718"/>
      <c r="Z183" s="719"/>
      <c r="AA183" s="719"/>
      <c r="AB183" s="166"/>
      <c r="AC183" s="166"/>
      <c r="AD183" s="166"/>
      <c r="AE183" s="87"/>
      <c r="AF183" s="87"/>
      <c r="AG183" s="87"/>
      <c r="AH183" s="87"/>
      <c r="AI183" s="87"/>
      <c r="AJ183" s="87"/>
      <c r="AK183" s="87"/>
      <c r="AL183" s="87"/>
      <c r="AM183" s="87"/>
    </row>
    <row r="184">
      <c r="A184" s="87"/>
      <c r="B184" s="166"/>
      <c r="C184" s="166"/>
      <c r="D184" s="166"/>
      <c r="E184" s="166"/>
      <c r="F184" s="714"/>
      <c r="G184" s="166"/>
      <c r="H184" s="166"/>
      <c r="I184" s="166"/>
      <c r="J184" s="166"/>
      <c r="K184" s="166"/>
      <c r="L184" s="166"/>
      <c r="M184" s="166"/>
      <c r="N184" s="715"/>
      <c r="O184" s="166"/>
      <c r="P184" s="166"/>
      <c r="Q184" s="716"/>
      <c r="R184" s="714"/>
      <c r="S184" s="717"/>
      <c r="T184" s="714"/>
      <c r="U184" s="166"/>
      <c r="V184" s="166"/>
      <c r="W184" s="166"/>
      <c r="X184" s="166"/>
      <c r="Y184" s="718"/>
      <c r="Z184" s="719"/>
      <c r="AA184" s="719"/>
      <c r="AB184" s="166"/>
      <c r="AC184" s="166"/>
      <c r="AD184" s="166"/>
      <c r="AE184" s="87"/>
      <c r="AF184" s="87"/>
      <c r="AG184" s="87"/>
      <c r="AH184" s="87"/>
      <c r="AI184" s="87"/>
      <c r="AJ184" s="87"/>
      <c r="AK184" s="87"/>
      <c r="AL184" s="87"/>
      <c r="AM184" s="87"/>
    </row>
    <row r="185">
      <c r="A185" s="87"/>
      <c r="B185" s="166"/>
      <c r="C185" s="166"/>
      <c r="D185" s="166"/>
      <c r="E185" s="166"/>
      <c r="F185" s="714"/>
      <c r="G185" s="166"/>
      <c r="H185" s="166"/>
      <c r="I185" s="166"/>
      <c r="J185" s="166"/>
      <c r="K185" s="166"/>
      <c r="L185" s="166"/>
      <c r="M185" s="166"/>
      <c r="N185" s="715"/>
      <c r="O185" s="166"/>
      <c r="P185" s="166"/>
      <c r="Q185" s="716"/>
      <c r="R185" s="714"/>
      <c r="S185" s="717"/>
      <c r="T185" s="714"/>
      <c r="U185" s="166"/>
      <c r="V185" s="166"/>
      <c r="W185" s="166"/>
      <c r="X185" s="166"/>
      <c r="Y185" s="718"/>
      <c r="Z185" s="719"/>
      <c r="AA185" s="719"/>
      <c r="AB185" s="166"/>
      <c r="AC185" s="166"/>
      <c r="AD185" s="166"/>
      <c r="AE185" s="87"/>
      <c r="AF185" s="87"/>
      <c r="AG185" s="87"/>
      <c r="AH185" s="87"/>
      <c r="AI185" s="87"/>
      <c r="AJ185" s="87"/>
      <c r="AK185" s="87"/>
      <c r="AL185" s="87"/>
      <c r="AM185" s="87"/>
    </row>
    <row r="186">
      <c r="A186" s="87"/>
      <c r="B186" s="166"/>
      <c r="C186" s="166"/>
      <c r="D186" s="166"/>
      <c r="E186" s="166"/>
      <c r="F186" s="714"/>
      <c r="G186" s="166"/>
      <c r="H186" s="166"/>
      <c r="I186" s="166"/>
      <c r="J186" s="166"/>
      <c r="K186" s="166"/>
      <c r="L186" s="166"/>
      <c r="M186" s="166"/>
      <c r="N186" s="715"/>
      <c r="O186" s="166"/>
      <c r="P186" s="166"/>
      <c r="Q186" s="716"/>
      <c r="R186" s="714"/>
      <c r="S186" s="717"/>
      <c r="T186" s="714"/>
      <c r="U186" s="166"/>
      <c r="V186" s="166"/>
      <c r="W186" s="166"/>
      <c r="X186" s="166"/>
      <c r="Y186" s="718"/>
      <c r="Z186" s="719"/>
      <c r="AA186" s="719"/>
      <c r="AB186" s="166"/>
      <c r="AC186" s="166"/>
      <c r="AD186" s="166"/>
      <c r="AE186" s="87"/>
      <c r="AF186" s="87"/>
      <c r="AG186" s="87"/>
      <c r="AH186" s="87"/>
      <c r="AI186" s="87"/>
      <c r="AJ186" s="87"/>
      <c r="AK186" s="87"/>
      <c r="AL186" s="87"/>
      <c r="AM186" s="87"/>
    </row>
    <row r="187">
      <c r="A187" s="87"/>
      <c r="B187" s="166"/>
      <c r="C187" s="166"/>
      <c r="D187" s="166"/>
      <c r="E187" s="166"/>
      <c r="F187" s="714"/>
      <c r="G187" s="166"/>
      <c r="H187" s="166"/>
      <c r="I187" s="166"/>
      <c r="J187" s="166"/>
      <c r="K187" s="166"/>
      <c r="L187" s="166"/>
      <c r="M187" s="166"/>
      <c r="N187" s="715"/>
      <c r="O187" s="166"/>
      <c r="P187" s="166"/>
      <c r="Q187" s="716"/>
      <c r="R187" s="714"/>
      <c r="S187" s="717"/>
      <c r="T187" s="714"/>
      <c r="U187" s="166"/>
      <c r="V187" s="166"/>
      <c r="W187" s="166"/>
      <c r="X187" s="166"/>
      <c r="Y187" s="718"/>
      <c r="Z187" s="719"/>
      <c r="AA187" s="719"/>
      <c r="AB187" s="166"/>
      <c r="AC187" s="166"/>
      <c r="AD187" s="166"/>
      <c r="AE187" s="87"/>
      <c r="AF187" s="87"/>
      <c r="AG187" s="87"/>
      <c r="AH187" s="87"/>
      <c r="AI187" s="87"/>
      <c r="AJ187" s="87"/>
      <c r="AK187" s="87"/>
      <c r="AL187" s="87"/>
      <c r="AM187" s="87"/>
    </row>
    <row r="188">
      <c r="A188" s="87"/>
      <c r="B188" s="166"/>
      <c r="C188" s="166"/>
      <c r="D188" s="166"/>
      <c r="E188" s="166"/>
      <c r="F188" s="714"/>
      <c r="G188" s="166"/>
      <c r="H188" s="166"/>
      <c r="I188" s="166"/>
      <c r="J188" s="166"/>
      <c r="K188" s="166"/>
      <c r="L188" s="166"/>
      <c r="M188" s="166"/>
      <c r="N188" s="715"/>
      <c r="O188" s="166"/>
      <c r="P188" s="166"/>
      <c r="Q188" s="716"/>
      <c r="R188" s="714"/>
      <c r="S188" s="717"/>
      <c r="T188" s="714"/>
      <c r="U188" s="166"/>
      <c r="V188" s="166"/>
      <c r="W188" s="166"/>
      <c r="X188" s="166"/>
      <c r="Y188" s="718"/>
      <c r="Z188" s="719"/>
      <c r="AA188" s="719"/>
      <c r="AB188" s="166"/>
      <c r="AC188" s="166"/>
      <c r="AD188" s="166"/>
      <c r="AE188" s="87"/>
      <c r="AF188" s="87"/>
      <c r="AG188" s="87"/>
      <c r="AH188" s="87"/>
      <c r="AI188" s="87"/>
      <c r="AJ188" s="87"/>
      <c r="AK188" s="87"/>
      <c r="AL188" s="87"/>
      <c r="AM188" s="87"/>
    </row>
    <row r="189">
      <c r="A189" s="87"/>
      <c r="B189" s="166"/>
      <c r="C189" s="166"/>
      <c r="D189" s="166"/>
      <c r="E189" s="166"/>
      <c r="F189" s="714"/>
      <c r="G189" s="166"/>
      <c r="H189" s="166"/>
      <c r="I189" s="166"/>
      <c r="J189" s="166"/>
      <c r="K189" s="166"/>
      <c r="L189" s="166"/>
      <c r="M189" s="166"/>
      <c r="N189" s="715"/>
      <c r="O189" s="166"/>
      <c r="P189" s="166"/>
      <c r="Q189" s="716"/>
      <c r="R189" s="714"/>
      <c r="S189" s="717"/>
      <c r="T189" s="714"/>
      <c r="U189" s="166"/>
      <c r="V189" s="166"/>
      <c r="W189" s="166"/>
      <c r="X189" s="166"/>
      <c r="Y189" s="718"/>
      <c r="Z189" s="719"/>
      <c r="AA189" s="719"/>
      <c r="AB189" s="166"/>
      <c r="AC189" s="166"/>
      <c r="AD189" s="166"/>
      <c r="AE189" s="87"/>
      <c r="AF189" s="87"/>
      <c r="AG189" s="87"/>
      <c r="AH189" s="87"/>
      <c r="AI189" s="87"/>
      <c r="AJ189" s="87"/>
      <c r="AK189" s="87"/>
      <c r="AL189" s="87"/>
      <c r="AM189" s="87"/>
    </row>
    <row r="190">
      <c r="A190" s="87"/>
      <c r="B190" s="166"/>
      <c r="C190" s="166"/>
      <c r="D190" s="166"/>
      <c r="E190" s="166"/>
      <c r="F190" s="714"/>
      <c r="G190" s="166"/>
      <c r="H190" s="166"/>
      <c r="I190" s="166"/>
      <c r="J190" s="166"/>
      <c r="K190" s="166"/>
      <c r="L190" s="166"/>
      <c r="M190" s="166"/>
      <c r="N190" s="715"/>
      <c r="O190" s="166"/>
      <c r="P190" s="166"/>
      <c r="Q190" s="716"/>
      <c r="R190" s="714"/>
      <c r="S190" s="717"/>
      <c r="T190" s="714"/>
      <c r="U190" s="166"/>
      <c r="V190" s="166"/>
      <c r="W190" s="166"/>
      <c r="X190" s="166"/>
      <c r="Y190" s="718"/>
      <c r="Z190" s="719"/>
      <c r="AA190" s="719"/>
      <c r="AB190" s="166"/>
      <c r="AC190" s="166"/>
      <c r="AD190" s="166"/>
      <c r="AE190" s="87"/>
      <c r="AF190" s="87"/>
      <c r="AG190" s="87"/>
      <c r="AH190" s="87"/>
      <c r="AI190" s="87"/>
      <c r="AJ190" s="87"/>
      <c r="AK190" s="87"/>
      <c r="AL190" s="87"/>
      <c r="AM190" s="87"/>
    </row>
    <row r="191">
      <c r="A191" s="87"/>
      <c r="B191" s="166"/>
      <c r="C191" s="166"/>
      <c r="D191" s="166"/>
      <c r="E191" s="166"/>
      <c r="F191" s="714"/>
      <c r="G191" s="166"/>
      <c r="H191" s="166"/>
      <c r="I191" s="166"/>
      <c r="J191" s="166"/>
      <c r="K191" s="166"/>
      <c r="L191" s="166"/>
      <c r="M191" s="166"/>
      <c r="N191" s="715"/>
      <c r="O191" s="166"/>
      <c r="P191" s="166"/>
      <c r="Q191" s="716"/>
      <c r="R191" s="714"/>
      <c r="S191" s="717"/>
      <c r="T191" s="714"/>
      <c r="U191" s="166"/>
      <c r="V191" s="166"/>
      <c r="W191" s="166"/>
      <c r="X191" s="166"/>
      <c r="Y191" s="718"/>
      <c r="Z191" s="719"/>
      <c r="AA191" s="719"/>
      <c r="AB191" s="166"/>
      <c r="AC191" s="166"/>
      <c r="AD191" s="166"/>
      <c r="AE191" s="87"/>
      <c r="AF191" s="87"/>
      <c r="AG191" s="87"/>
      <c r="AH191" s="87"/>
      <c r="AI191" s="87"/>
      <c r="AJ191" s="87"/>
      <c r="AK191" s="87"/>
      <c r="AL191" s="87"/>
      <c r="AM191" s="87"/>
    </row>
    <row r="192">
      <c r="A192" s="87"/>
      <c r="B192" s="166"/>
      <c r="C192" s="166"/>
      <c r="D192" s="166"/>
      <c r="E192" s="166"/>
      <c r="F192" s="714"/>
      <c r="G192" s="166"/>
      <c r="H192" s="166"/>
      <c r="I192" s="166"/>
      <c r="J192" s="166"/>
      <c r="K192" s="166"/>
      <c r="L192" s="166"/>
      <c r="M192" s="166"/>
      <c r="N192" s="715"/>
      <c r="O192" s="166"/>
      <c r="P192" s="166"/>
      <c r="Q192" s="716"/>
      <c r="R192" s="714"/>
      <c r="S192" s="717"/>
      <c r="T192" s="714"/>
      <c r="U192" s="166"/>
      <c r="V192" s="166"/>
      <c r="W192" s="166"/>
      <c r="X192" s="166"/>
      <c r="Y192" s="718"/>
      <c r="Z192" s="719"/>
      <c r="AA192" s="719"/>
      <c r="AB192" s="166"/>
      <c r="AC192" s="166"/>
      <c r="AD192" s="166"/>
      <c r="AE192" s="87"/>
      <c r="AF192" s="87"/>
      <c r="AG192" s="87"/>
      <c r="AH192" s="87"/>
      <c r="AI192" s="87"/>
      <c r="AJ192" s="87"/>
      <c r="AK192" s="87"/>
      <c r="AL192" s="87"/>
      <c r="AM192" s="87"/>
    </row>
    <row r="193">
      <c r="A193" s="87"/>
      <c r="B193" s="166"/>
      <c r="C193" s="166"/>
      <c r="D193" s="166"/>
      <c r="E193" s="166"/>
      <c r="F193" s="714"/>
      <c r="G193" s="166"/>
      <c r="H193" s="166"/>
      <c r="I193" s="166"/>
      <c r="J193" s="166"/>
      <c r="K193" s="166"/>
      <c r="L193" s="166"/>
      <c r="M193" s="166"/>
      <c r="N193" s="715"/>
      <c r="O193" s="166"/>
      <c r="P193" s="166"/>
      <c r="Q193" s="716"/>
      <c r="R193" s="714"/>
      <c r="S193" s="717"/>
      <c r="T193" s="714"/>
      <c r="U193" s="166"/>
      <c r="V193" s="166"/>
      <c r="W193" s="166"/>
      <c r="X193" s="166"/>
      <c r="Y193" s="718"/>
      <c r="Z193" s="719"/>
      <c r="AA193" s="719"/>
      <c r="AB193" s="166"/>
      <c r="AC193" s="166"/>
      <c r="AD193" s="166"/>
      <c r="AE193" s="87"/>
      <c r="AF193" s="87"/>
      <c r="AG193" s="87"/>
      <c r="AH193" s="87"/>
      <c r="AI193" s="87"/>
      <c r="AJ193" s="87"/>
      <c r="AK193" s="87"/>
      <c r="AL193" s="87"/>
      <c r="AM193" s="87"/>
    </row>
    <row r="194">
      <c r="A194" s="87"/>
      <c r="B194" s="166"/>
      <c r="C194" s="166"/>
      <c r="D194" s="166"/>
      <c r="E194" s="166"/>
      <c r="F194" s="714"/>
      <c r="G194" s="166"/>
      <c r="H194" s="166"/>
      <c r="I194" s="166"/>
      <c r="J194" s="166"/>
      <c r="K194" s="166"/>
      <c r="L194" s="166"/>
      <c r="M194" s="166"/>
      <c r="N194" s="715"/>
      <c r="O194" s="166"/>
      <c r="P194" s="166"/>
      <c r="Q194" s="716"/>
      <c r="R194" s="714"/>
      <c r="S194" s="717"/>
      <c r="T194" s="714"/>
      <c r="U194" s="166"/>
      <c r="V194" s="166"/>
      <c r="W194" s="166"/>
      <c r="X194" s="166"/>
      <c r="Y194" s="718"/>
      <c r="Z194" s="719"/>
      <c r="AA194" s="719"/>
      <c r="AB194" s="166"/>
      <c r="AC194" s="166"/>
      <c r="AD194" s="166"/>
      <c r="AE194" s="87"/>
      <c r="AF194" s="87"/>
      <c r="AG194" s="87"/>
      <c r="AH194" s="87"/>
      <c r="AI194" s="87"/>
      <c r="AJ194" s="87"/>
      <c r="AK194" s="87"/>
      <c r="AL194" s="87"/>
      <c r="AM194" s="87"/>
    </row>
    <row r="195">
      <c r="A195" s="87"/>
      <c r="B195" s="166"/>
      <c r="C195" s="166"/>
      <c r="D195" s="166"/>
      <c r="E195" s="166"/>
      <c r="F195" s="714"/>
      <c r="G195" s="166"/>
      <c r="H195" s="166"/>
      <c r="I195" s="166"/>
      <c r="J195" s="166"/>
      <c r="K195" s="166"/>
      <c r="L195" s="166"/>
      <c r="M195" s="166"/>
      <c r="N195" s="715"/>
      <c r="O195" s="166"/>
      <c r="P195" s="166"/>
      <c r="Q195" s="716"/>
      <c r="R195" s="714"/>
      <c r="S195" s="717"/>
      <c r="T195" s="714"/>
      <c r="U195" s="166"/>
      <c r="V195" s="166"/>
      <c r="W195" s="166"/>
      <c r="X195" s="166"/>
      <c r="Y195" s="718"/>
      <c r="Z195" s="719"/>
      <c r="AA195" s="719"/>
      <c r="AB195" s="166"/>
      <c r="AC195" s="166"/>
      <c r="AD195" s="166"/>
      <c r="AE195" s="87"/>
      <c r="AF195" s="87"/>
      <c r="AG195" s="87"/>
      <c r="AH195" s="87"/>
      <c r="AI195" s="87"/>
      <c r="AJ195" s="87"/>
      <c r="AK195" s="87"/>
      <c r="AL195" s="87"/>
      <c r="AM195" s="87"/>
    </row>
    <row r="196">
      <c r="A196" s="87"/>
      <c r="B196" s="166"/>
      <c r="C196" s="166"/>
      <c r="D196" s="166"/>
      <c r="E196" s="166"/>
      <c r="F196" s="714"/>
      <c r="G196" s="166"/>
      <c r="H196" s="166"/>
      <c r="I196" s="166"/>
      <c r="J196" s="166"/>
      <c r="K196" s="166"/>
      <c r="L196" s="166"/>
      <c r="M196" s="166"/>
      <c r="N196" s="715"/>
      <c r="O196" s="166"/>
      <c r="P196" s="166"/>
      <c r="Q196" s="716"/>
      <c r="R196" s="714"/>
      <c r="S196" s="717"/>
      <c r="T196" s="714"/>
      <c r="U196" s="166"/>
      <c r="V196" s="166"/>
      <c r="W196" s="166"/>
      <c r="X196" s="166"/>
      <c r="Y196" s="718"/>
      <c r="Z196" s="719"/>
      <c r="AA196" s="719"/>
      <c r="AB196" s="166"/>
      <c r="AC196" s="166"/>
      <c r="AD196" s="166"/>
      <c r="AE196" s="87"/>
      <c r="AF196" s="87"/>
      <c r="AG196" s="87"/>
      <c r="AH196" s="87"/>
      <c r="AI196" s="87"/>
      <c r="AJ196" s="87"/>
      <c r="AK196" s="87"/>
      <c r="AL196" s="87"/>
      <c r="AM196" s="87"/>
    </row>
    <row r="197">
      <c r="A197" s="87"/>
      <c r="B197" s="166"/>
      <c r="C197" s="166"/>
      <c r="D197" s="166"/>
      <c r="E197" s="166"/>
      <c r="F197" s="714"/>
      <c r="G197" s="166"/>
      <c r="H197" s="166"/>
      <c r="I197" s="166"/>
      <c r="J197" s="166"/>
      <c r="K197" s="166"/>
      <c r="L197" s="166"/>
      <c r="M197" s="166"/>
      <c r="N197" s="715"/>
      <c r="O197" s="166"/>
      <c r="P197" s="166"/>
      <c r="Q197" s="716"/>
      <c r="R197" s="714"/>
      <c r="S197" s="717"/>
      <c r="T197" s="714"/>
      <c r="U197" s="166"/>
      <c r="V197" s="166"/>
      <c r="W197" s="166"/>
      <c r="X197" s="166"/>
      <c r="Y197" s="718"/>
      <c r="Z197" s="719"/>
      <c r="AA197" s="719"/>
      <c r="AB197" s="166"/>
      <c r="AC197" s="166"/>
      <c r="AD197" s="166"/>
      <c r="AE197" s="87"/>
      <c r="AF197" s="87"/>
      <c r="AG197" s="87"/>
      <c r="AH197" s="87"/>
      <c r="AI197" s="87"/>
      <c r="AJ197" s="87"/>
      <c r="AK197" s="87"/>
      <c r="AL197" s="87"/>
      <c r="AM197" s="87"/>
    </row>
    <row r="198">
      <c r="A198" s="87"/>
      <c r="B198" s="166"/>
      <c r="C198" s="166"/>
      <c r="D198" s="166"/>
      <c r="E198" s="166"/>
      <c r="F198" s="714"/>
      <c r="G198" s="166"/>
      <c r="H198" s="166"/>
      <c r="I198" s="166"/>
      <c r="J198" s="166"/>
      <c r="K198" s="166"/>
      <c r="L198" s="166"/>
      <c r="M198" s="166"/>
      <c r="N198" s="715"/>
      <c r="O198" s="166"/>
      <c r="P198" s="166"/>
      <c r="Q198" s="716"/>
      <c r="R198" s="714"/>
      <c r="S198" s="717"/>
      <c r="T198" s="714"/>
      <c r="U198" s="166"/>
      <c r="V198" s="166"/>
      <c r="W198" s="166"/>
      <c r="X198" s="166"/>
      <c r="Y198" s="718"/>
      <c r="Z198" s="719"/>
      <c r="AA198" s="719"/>
      <c r="AB198" s="166"/>
      <c r="AC198" s="166"/>
      <c r="AD198" s="166"/>
      <c r="AE198" s="87"/>
      <c r="AF198" s="87"/>
      <c r="AG198" s="87"/>
      <c r="AH198" s="87"/>
      <c r="AI198" s="87"/>
      <c r="AJ198" s="87"/>
      <c r="AK198" s="87"/>
      <c r="AL198" s="87"/>
      <c r="AM198" s="87"/>
    </row>
    <row r="199">
      <c r="A199" s="87"/>
      <c r="B199" s="166"/>
      <c r="C199" s="166"/>
      <c r="D199" s="166"/>
      <c r="E199" s="166"/>
      <c r="F199" s="714"/>
      <c r="G199" s="166"/>
      <c r="H199" s="166"/>
      <c r="I199" s="166"/>
      <c r="J199" s="166"/>
      <c r="K199" s="166"/>
      <c r="L199" s="166"/>
      <c r="M199" s="166"/>
      <c r="N199" s="715"/>
      <c r="O199" s="166"/>
      <c r="P199" s="166"/>
      <c r="Q199" s="716"/>
      <c r="R199" s="714"/>
      <c r="S199" s="717"/>
      <c r="T199" s="714"/>
      <c r="U199" s="166"/>
      <c r="V199" s="166"/>
      <c r="W199" s="166"/>
      <c r="X199" s="166"/>
      <c r="Y199" s="718"/>
      <c r="Z199" s="719"/>
      <c r="AA199" s="719"/>
      <c r="AB199" s="166"/>
      <c r="AC199" s="166"/>
      <c r="AD199" s="166"/>
      <c r="AE199" s="87"/>
      <c r="AF199" s="87"/>
      <c r="AG199" s="87"/>
      <c r="AH199" s="87"/>
      <c r="AI199" s="87"/>
      <c r="AJ199" s="87"/>
      <c r="AK199" s="87"/>
      <c r="AL199" s="87"/>
      <c r="AM199" s="87"/>
    </row>
    <row r="200">
      <c r="A200" s="87"/>
      <c r="B200" s="166"/>
      <c r="C200" s="166"/>
      <c r="D200" s="166"/>
      <c r="E200" s="166"/>
      <c r="F200" s="714"/>
      <c r="G200" s="166"/>
      <c r="H200" s="166"/>
      <c r="I200" s="166"/>
      <c r="J200" s="166"/>
      <c r="K200" s="166"/>
      <c r="L200" s="166"/>
      <c r="M200" s="166"/>
      <c r="N200" s="715"/>
      <c r="O200" s="166"/>
      <c r="P200" s="166"/>
      <c r="Q200" s="716"/>
      <c r="R200" s="714"/>
      <c r="S200" s="717"/>
      <c r="T200" s="714"/>
      <c r="U200" s="166"/>
      <c r="V200" s="166"/>
      <c r="W200" s="166"/>
      <c r="X200" s="166"/>
      <c r="Y200" s="718"/>
      <c r="Z200" s="719"/>
      <c r="AA200" s="719"/>
      <c r="AB200" s="166"/>
      <c r="AC200" s="166"/>
      <c r="AD200" s="166"/>
      <c r="AE200" s="87"/>
      <c r="AF200" s="87"/>
      <c r="AG200" s="87"/>
      <c r="AH200" s="87"/>
      <c r="AI200" s="87"/>
      <c r="AJ200" s="87"/>
      <c r="AK200" s="87"/>
      <c r="AL200" s="87"/>
      <c r="AM200" s="87"/>
    </row>
    <row r="201">
      <c r="A201" s="87"/>
      <c r="B201" s="166"/>
      <c r="C201" s="166"/>
      <c r="D201" s="166"/>
      <c r="E201" s="166"/>
      <c r="F201" s="714"/>
      <c r="G201" s="166"/>
      <c r="H201" s="166"/>
      <c r="I201" s="166"/>
      <c r="J201" s="166"/>
      <c r="K201" s="166"/>
      <c r="L201" s="166"/>
      <c r="M201" s="166"/>
      <c r="N201" s="715"/>
      <c r="O201" s="166"/>
      <c r="P201" s="166"/>
      <c r="Q201" s="716"/>
      <c r="R201" s="714"/>
      <c r="S201" s="717"/>
      <c r="T201" s="714"/>
      <c r="U201" s="166"/>
      <c r="V201" s="166"/>
      <c r="W201" s="166"/>
      <c r="X201" s="166"/>
      <c r="Y201" s="718"/>
      <c r="Z201" s="719"/>
      <c r="AA201" s="719"/>
      <c r="AB201" s="166"/>
      <c r="AC201" s="166"/>
      <c r="AD201" s="166"/>
      <c r="AE201" s="87"/>
      <c r="AF201" s="87"/>
      <c r="AG201" s="87"/>
      <c r="AH201" s="87"/>
      <c r="AI201" s="87"/>
      <c r="AJ201" s="87"/>
      <c r="AK201" s="87"/>
      <c r="AL201" s="87"/>
      <c r="AM201" s="87"/>
    </row>
    <row r="202">
      <c r="A202" s="87"/>
      <c r="B202" s="166"/>
      <c r="C202" s="166"/>
      <c r="D202" s="166"/>
      <c r="E202" s="166"/>
      <c r="F202" s="714"/>
      <c r="G202" s="166"/>
      <c r="H202" s="166"/>
      <c r="I202" s="166"/>
      <c r="J202" s="166"/>
      <c r="K202" s="166"/>
      <c r="L202" s="166"/>
      <c r="M202" s="166"/>
      <c r="N202" s="715"/>
      <c r="O202" s="166"/>
      <c r="P202" s="166"/>
      <c r="Q202" s="716"/>
      <c r="R202" s="714"/>
      <c r="S202" s="717"/>
      <c r="T202" s="714"/>
      <c r="U202" s="166"/>
      <c r="V202" s="166"/>
      <c r="W202" s="166"/>
      <c r="X202" s="166"/>
      <c r="Y202" s="718"/>
      <c r="Z202" s="719"/>
      <c r="AA202" s="719"/>
      <c r="AB202" s="166"/>
      <c r="AC202" s="166"/>
      <c r="AD202" s="166"/>
      <c r="AE202" s="87"/>
      <c r="AF202" s="87"/>
      <c r="AG202" s="87"/>
      <c r="AH202" s="87"/>
      <c r="AI202" s="87"/>
      <c r="AJ202" s="87"/>
      <c r="AK202" s="87"/>
      <c r="AL202" s="87"/>
      <c r="AM202" s="87"/>
    </row>
    <row r="203">
      <c r="A203" s="87"/>
      <c r="B203" s="166"/>
      <c r="C203" s="166"/>
      <c r="D203" s="166"/>
      <c r="E203" s="166"/>
      <c r="F203" s="714"/>
      <c r="G203" s="166"/>
      <c r="H203" s="166"/>
      <c r="I203" s="166"/>
      <c r="J203" s="166"/>
      <c r="K203" s="166"/>
      <c r="L203" s="166"/>
      <c r="M203" s="166"/>
      <c r="N203" s="715"/>
      <c r="O203" s="166"/>
      <c r="P203" s="166"/>
      <c r="Q203" s="716"/>
      <c r="R203" s="714"/>
      <c r="S203" s="717"/>
      <c r="T203" s="714"/>
      <c r="U203" s="166"/>
      <c r="V203" s="166"/>
      <c r="W203" s="166"/>
      <c r="X203" s="166"/>
      <c r="Y203" s="718"/>
      <c r="Z203" s="719"/>
      <c r="AA203" s="719"/>
      <c r="AB203" s="166"/>
      <c r="AC203" s="166"/>
      <c r="AD203" s="166"/>
      <c r="AE203" s="87"/>
      <c r="AF203" s="87"/>
      <c r="AG203" s="87"/>
      <c r="AH203" s="87"/>
      <c r="AI203" s="87"/>
      <c r="AJ203" s="87"/>
      <c r="AK203" s="87"/>
      <c r="AL203" s="87"/>
      <c r="AM203" s="87"/>
    </row>
    <row r="204">
      <c r="A204" s="87"/>
      <c r="B204" s="166"/>
      <c r="C204" s="166"/>
      <c r="D204" s="166"/>
      <c r="E204" s="166"/>
      <c r="F204" s="714"/>
      <c r="G204" s="166"/>
      <c r="H204" s="166"/>
      <c r="I204" s="166"/>
      <c r="J204" s="166"/>
      <c r="K204" s="166"/>
      <c r="L204" s="166"/>
      <c r="M204" s="166"/>
      <c r="N204" s="715"/>
      <c r="O204" s="166"/>
      <c r="P204" s="166"/>
      <c r="Q204" s="716"/>
      <c r="R204" s="714"/>
      <c r="S204" s="717"/>
      <c r="T204" s="714"/>
      <c r="U204" s="166"/>
      <c r="V204" s="166"/>
      <c r="W204" s="166"/>
      <c r="X204" s="166"/>
      <c r="Y204" s="718"/>
      <c r="Z204" s="719"/>
      <c r="AA204" s="719"/>
      <c r="AB204" s="166"/>
      <c r="AC204" s="166"/>
      <c r="AD204" s="166"/>
      <c r="AE204" s="87"/>
      <c r="AF204" s="87"/>
      <c r="AG204" s="87"/>
      <c r="AH204" s="87"/>
      <c r="AI204" s="87"/>
      <c r="AJ204" s="87"/>
      <c r="AK204" s="87"/>
      <c r="AL204" s="87"/>
      <c r="AM204" s="87"/>
    </row>
    <row r="205">
      <c r="A205" s="87"/>
      <c r="B205" s="166"/>
      <c r="C205" s="166"/>
      <c r="D205" s="166"/>
      <c r="E205" s="166"/>
      <c r="F205" s="714"/>
      <c r="G205" s="166"/>
      <c r="H205" s="166"/>
      <c r="I205" s="166"/>
      <c r="J205" s="166"/>
      <c r="K205" s="166"/>
      <c r="L205" s="166"/>
      <c r="M205" s="166"/>
      <c r="N205" s="715"/>
      <c r="O205" s="166"/>
      <c r="P205" s="166"/>
      <c r="Q205" s="716"/>
      <c r="R205" s="714"/>
      <c r="S205" s="717"/>
      <c r="T205" s="714"/>
      <c r="U205" s="166"/>
      <c r="V205" s="166"/>
      <c r="W205" s="166"/>
      <c r="X205" s="166"/>
      <c r="Y205" s="718"/>
      <c r="Z205" s="719"/>
      <c r="AA205" s="719"/>
      <c r="AB205" s="166"/>
      <c r="AC205" s="166"/>
      <c r="AD205" s="166"/>
      <c r="AE205" s="87"/>
      <c r="AF205" s="87"/>
      <c r="AG205" s="87"/>
      <c r="AH205" s="87"/>
      <c r="AI205" s="87"/>
      <c r="AJ205" s="87"/>
      <c r="AK205" s="87"/>
      <c r="AL205" s="87"/>
      <c r="AM205" s="87"/>
    </row>
    <row r="206">
      <c r="A206" s="87"/>
      <c r="B206" s="166"/>
      <c r="C206" s="166"/>
      <c r="D206" s="166"/>
      <c r="E206" s="166"/>
      <c r="F206" s="714"/>
      <c r="G206" s="166"/>
      <c r="H206" s="166"/>
      <c r="I206" s="166"/>
      <c r="J206" s="166"/>
      <c r="K206" s="166"/>
      <c r="L206" s="166"/>
      <c r="M206" s="166"/>
      <c r="N206" s="715"/>
      <c r="O206" s="166"/>
      <c r="P206" s="166"/>
      <c r="Q206" s="716"/>
      <c r="R206" s="714"/>
      <c r="S206" s="717"/>
      <c r="T206" s="714"/>
      <c r="U206" s="166"/>
      <c r="V206" s="166"/>
      <c r="W206" s="166"/>
      <c r="X206" s="166"/>
      <c r="Y206" s="718"/>
      <c r="Z206" s="719"/>
      <c r="AA206" s="719"/>
      <c r="AB206" s="166"/>
      <c r="AC206" s="166"/>
      <c r="AD206" s="166"/>
      <c r="AE206" s="87"/>
      <c r="AF206" s="87"/>
      <c r="AG206" s="87"/>
      <c r="AH206" s="87"/>
      <c r="AI206" s="87"/>
      <c r="AJ206" s="87"/>
      <c r="AK206" s="87"/>
      <c r="AL206" s="87"/>
      <c r="AM206" s="87"/>
    </row>
    <row r="207">
      <c r="A207" s="87"/>
      <c r="B207" s="166"/>
      <c r="C207" s="166"/>
      <c r="D207" s="166"/>
      <c r="E207" s="166"/>
      <c r="F207" s="714"/>
      <c r="G207" s="166"/>
      <c r="H207" s="166"/>
      <c r="I207" s="166"/>
      <c r="J207" s="166"/>
      <c r="K207" s="166"/>
      <c r="L207" s="166"/>
      <c r="M207" s="166"/>
      <c r="N207" s="715"/>
      <c r="O207" s="166"/>
      <c r="P207" s="166"/>
      <c r="Q207" s="716"/>
      <c r="R207" s="714"/>
      <c r="S207" s="717"/>
      <c r="T207" s="714"/>
      <c r="U207" s="166"/>
      <c r="V207" s="166"/>
      <c r="W207" s="166"/>
      <c r="X207" s="166"/>
      <c r="Y207" s="718"/>
      <c r="Z207" s="719"/>
      <c r="AA207" s="719"/>
      <c r="AB207" s="166"/>
      <c r="AC207" s="166"/>
      <c r="AD207" s="166"/>
      <c r="AE207" s="87"/>
      <c r="AF207" s="87"/>
      <c r="AG207" s="87"/>
      <c r="AH207" s="87"/>
      <c r="AI207" s="87"/>
      <c r="AJ207" s="87"/>
      <c r="AK207" s="87"/>
      <c r="AL207" s="87"/>
      <c r="AM207" s="87"/>
    </row>
    <row r="208">
      <c r="A208" s="87"/>
      <c r="B208" s="166"/>
      <c r="C208" s="166"/>
      <c r="D208" s="166"/>
      <c r="E208" s="166"/>
      <c r="F208" s="714"/>
      <c r="G208" s="166"/>
      <c r="H208" s="166"/>
      <c r="I208" s="166"/>
      <c r="J208" s="166"/>
      <c r="K208" s="166"/>
      <c r="L208" s="166"/>
      <c r="M208" s="166"/>
      <c r="N208" s="715"/>
      <c r="O208" s="166"/>
      <c r="P208" s="166"/>
      <c r="Q208" s="716"/>
      <c r="R208" s="714"/>
      <c r="S208" s="717"/>
      <c r="T208" s="714"/>
      <c r="U208" s="166"/>
      <c r="V208" s="166"/>
      <c r="W208" s="166"/>
      <c r="X208" s="166"/>
      <c r="Y208" s="718"/>
      <c r="Z208" s="719"/>
      <c r="AA208" s="719"/>
      <c r="AB208" s="166"/>
      <c r="AC208" s="166"/>
      <c r="AD208" s="166"/>
      <c r="AE208" s="87"/>
      <c r="AF208" s="87"/>
      <c r="AG208" s="87"/>
      <c r="AH208" s="87"/>
      <c r="AI208" s="87"/>
      <c r="AJ208" s="87"/>
      <c r="AK208" s="87"/>
      <c r="AL208" s="87"/>
      <c r="AM208" s="87"/>
    </row>
    <row r="209">
      <c r="A209" s="87"/>
      <c r="B209" s="166"/>
      <c r="C209" s="166"/>
      <c r="D209" s="166"/>
      <c r="E209" s="166"/>
      <c r="F209" s="714"/>
      <c r="G209" s="166"/>
      <c r="H209" s="166"/>
      <c r="I209" s="166"/>
      <c r="J209" s="166"/>
      <c r="K209" s="166"/>
      <c r="L209" s="166"/>
      <c r="M209" s="166"/>
      <c r="N209" s="715"/>
      <c r="O209" s="166"/>
      <c r="P209" s="166"/>
      <c r="Q209" s="716"/>
      <c r="R209" s="714"/>
      <c r="S209" s="717"/>
      <c r="T209" s="714"/>
      <c r="U209" s="166"/>
      <c r="V209" s="166"/>
      <c r="W209" s="166"/>
      <c r="X209" s="166"/>
      <c r="Y209" s="718"/>
      <c r="Z209" s="719"/>
      <c r="AA209" s="719"/>
      <c r="AB209" s="166"/>
      <c r="AC209" s="166"/>
      <c r="AD209" s="166"/>
      <c r="AE209" s="87"/>
      <c r="AF209" s="87"/>
      <c r="AG209" s="87"/>
      <c r="AH209" s="87"/>
      <c r="AI209" s="87"/>
      <c r="AJ209" s="87"/>
      <c r="AK209" s="87"/>
      <c r="AL209" s="87"/>
      <c r="AM209" s="87"/>
    </row>
    <row r="210">
      <c r="A210" s="87"/>
      <c r="B210" s="166"/>
      <c r="C210" s="166"/>
      <c r="D210" s="166"/>
      <c r="E210" s="166"/>
      <c r="F210" s="714"/>
      <c r="G210" s="166"/>
      <c r="H210" s="166"/>
      <c r="I210" s="166"/>
      <c r="J210" s="166"/>
      <c r="K210" s="166"/>
      <c r="L210" s="166"/>
      <c r="M210" s="166"/>
      <c r="N210" s="715"/>
      <c r="O210" s="166"/>
      <c r="P210" s="166"/>
      <c r="Q210" s="716"/>
      <c r="R210" s="714"/>
      <c r="S210" s="717"/>
      <c r="T210" s="714"/>
      <c r="U210" s="166"/>
      <c r="V210" s="166"/>
      <c r="W210" s="166"/>
      <c r="X210" s="166"/>
      <c r="Y210" s="718"/>
      <c r="Z210" s="719"/>
      <c r="AA210" s="719"/>
      <c r="AB210" s="166"/>
      <c r="AC210" s="166"/>
      <c r="AD210" s="166"/>
      <c r="AE210" s="87"/>
      <c r="AF210" s="87"/>
      <c r="AG210" s="87"/>
      <c r="AH210" s="87"/>
      <c r="AI210" s="87"/>
      <c r="AJ210" s="87"/>
      <c r="AK210" s="87"/>
      <c r="AL210" s="87"/>
      <c r="AM210" s="87"/>
    </row>
    <row r="211">
      <c r="A211" s="87"/>
      <c r="B211" s="166"/>
      <c r="C211" s="166"/>
      <c r="D211" s="166"/>
      <c r="E211" s="166"/>
      <c r="F211" s="714"/>
      <c r="G211" s="166"/>
      <c r="H211" s="166"/>
      <c r="I211" s="166"/>
      <c r="J211" s="166"/>
      <c r="K211" s="166"/>
      <c r="L211" s="166"/>
      <c r="M211" s="166"/>
      <c r="N211" s="715"/>
      <c r="O211" s="166"/>
      <c r="P211" s="166"/>
      <c r="Q211" s="716"/>
      <c r="R211" s="714"/>
      <c r="S211" s="717"/>
      <c r="T211" s="714"/>
      <c r="U211" s="166"/>
      <c r="V211" s="166"/>
      <c r="W211" s="166"/>
      <c r="X211" s="166"/>
      <c r="Y211" s="718"/>
      <c r="Z211" s="719"/>
      <c r="AA211" s="719"/>
      <c r="AB211" s="166"/>
      <c r="AC211" s="166"/>
      <c r="AD211" s="166"/>
      <c r="AE211" s="87"/>
      <c r="AF211" s="87"/>
      <c r="AG211" s="87"/>
      <c r="AH211" s="87"/>
      <c r="AI211" s="87"/>
      <c r="AJ211" s="87"/>
      <c r="AK211" s="87"/>
      <c r="AL211" s="87"/>
      <c r="AM211" s="87"/>
    </row>
    <row r="212">
      <c r="A212" s="87"/>
      <c r="B212" s="166"/>
      <c r="C212" s="166"/>
      <c r="D212" s="166"/>
      <c r="E212" s="166"/>
      <c r="F212" s="714"/>
      <c r="G212" s="166"/>
      <c r="H212" s="166"/>
      <c r="I212" s="166"/>
      <c r="J212" s="166"/>
      <c r="K212" s="166"/>
      <c r="L212" s="166"/>
      <c r="M212" s="166"/>
      <c r="N212" s="715"/>
      <c r="O212" s="166"/>
      <c r="P212" s="166"/>
      <c r="Q212" s="716"/>
      <c r="R212" s="714"/>
      <c r="S212" s="717"/>
      <c r="T212" s="714"/>
      <c r="U212" s="166"/>
      <c r="V212" s="166"/>
      <c r="W212" s="166"/>
      <c r="X212" s="166"/>
      <c r="Y212" s="718"/>
      <c r="Z212" s="719"/>
      <c r="AA212" s="719"/>
      <c r="AB212" s="166"/>
      <c r="AC212" s="166"/>
      <c r="AD212" s="166"/>
      <c r="AE212" s="87"/>
      <c r="AF212" s="87"/>
      <c r="AG212" s="87"/>
      <c r="AH212" s="87"/>
      <c r="AI212" s="87"/>
      <c r="AJ212" s="87"/>
      <c r="AK212" s="87"/>
      <c r="AL212" s="87"/>
      <c r="AM212" s="87"/>
    </row>
    <row r="213">
      <c r="A213" s="87"/>
      <c r="B213" s="166"/>
      <c r="C213" s="166"/>
      <c r="D213" s="166"/>
      <c r="E213" s="166"/>
      <c r="F213" s="714"/>
      <c r="G213" s="166"/>
      <c r="H213" s="166"/>
      <c r="I213" s="166"/>
      <c r="J213" s="166"/>
      <c r="K213" s="166"/>
      <c r="L213" s="166"/>
      <c r="M213" s="166"/>
      <c r="N213" s="715"/>
      <c r="O213" s="166"/>
      <c r="P213" s="166"/>
      <c r="Q213" s="716"/>
      <c r="R213" s="714"/>
      <c r="S213" s="717"/>
      <c r="T213" s="714"/>
      <c r="U213" s="166"/>
      <c r="V213" s="166"/>
      <c r="W213" s="166"/>
      <c r="X213" s="166"/>
      <c r="Y213" s="718"/>
      <c r="Z213" s="719"/>
      <c r="AA213" s="719"/>
      <c r="AB213" s="166"/>
      <c r="AC213" s="166"/>
      <c r="AD213" s="166"/>
      <c r="AE213" s="87"/>
      <c r="AF213" s="87"/>
      <c r="AG213" s="87"/>
      <c r="AH213" s="87"/>
      <c r="AI213" s="87"/>
      <c r="AJ213" s="87"/>
      <c r="AK213" s="87"/>
      <c r="AL213" s="87"/>
      <c r="AM213" s="87"/>
    </row>
    <row r="214">
      <c r="A214" s="87"/>
      <c r="B214" s="166"/>
      <c r="C214" s="166"/>
      <c r="D214" s="166"/>
      <c r="E214" s="166"/>
      <c r="F214" s="714"/>
      <c r="G214" s="166"/>
      <c r="H214" s="166"/>
      <c r="I214" s="166"/>
      <c r="J214" s="166"/>
      <c r="K214" s="166"/>
      <c r="L214" s="166"/>
      <c r="M214" s="166"/>
      <c r="N214" s="715"/>
      <c r="O214" s="166"/>
      <c r="P214" s="166"/>
      <c r="Q214" s="716"/>
      <c r="R214" s="714"/>
      <c r="S214" s="717"/>
      <c r="T214" s="714"/>
      <c r="U214" s="166"/>
      <c r="V214" s="166"/>
      <c r="W214" s="166"/>
      <c r="X214" s="166"/>
      <c r="Y214" s="718"/>
      <c r="Z214" s="719"/>
      <c r="AA214" s="719"/>
      <c r="AB214" s="166"/>
      <c r="AC214" s="166"/>
      <c r="AD214" s="166"/>
      <c r="AE214" s="87"/>
      <c r="AF214" s="87"/>
      <c r="AG214" s="87"/>
      <c r="AH214" s="87"/>
      <c r="AI214" s="87"/>
      <c r="AJ214" s="87"/>
      <c r="AK214" s="87"/>
      <c r="AL214" s="87"/>
      <c r="AM214" s="87"/>
    </row>
    <row r="215">
      <c r="A215" s="87"/>
      <c r="B215" s="166"/>
      <c r="C215" s="166"/>
      <c r="D215" s="166"/>
      <c r="E215" s="166"/>
      <c r="F215" s="714"/>
      <c r="G215" s="166"/>
      <c r="H215" s="166"/>
      <c r="I215" s="166"/>
      <c r="J215" s="166"/>
      <c r="K215" s="166"/>
      <c r="L215" s="166"/>
      <c r="M215" s="166"/>
      <c r="N215" s="715"/>
      <c r="O215" s="166"/>
      <c r="P215" s="166"/>
      <c r="Q215" s="716"/>
      <c r="R215" s="714"/>
      <c r="S215" s="717"/>
      <c r="T215" s="714"/>
      <c r="U215" s="166"/>
      <c r="V215" s="166"/>
      <c r="W215" s="166"/>
      <c r="X215" s="166"/>
      <c r="Y215" s="718"/>
      <c r="Z215" s="719"/>
      <c r="AA215" s="719"/>
      <c r="AB215" s="166"/>
      <c r="AC215" s="166"/>
      <c r="AD215" s="166"/>
      <c r="AE215" s="87"/>
      <c r="AF215" s="87"/>
      <c r="AG215" s="87"/>
      <c r="AH215" s="87"/>
      <c r="AI215" s="87"/>
      <c r="AJ215" s="87"/>
      <c r="AK215" s="87"/>
      <c r="AL215" s="87"/>
      <c r="AM215" s="87"/>
    </row>
    <row r="216">
      <c r="A216" s="87"/>
      <c r="B216" s="166"/>
      <c r="C216" s="166"/>
      <c r="D216" s="166"/>
      <c r="E216" s="166"/>
      <c r="F216" s="714"/>
      <c r="G216" s="166"/>
      <c r="H216" s="166"/>
      <c r="I216" s="166"/>
      <c r="J216" s="166"/>
      <c r="K216" s="166"/>
      <c r="L216" s="166"/>
      <c r="M216" s="166"/>
      <c r="N216" s="715"/>
      <c r="O216" s="166"/>
      <c r="P216" s="166"/>
      <c r="Q216" s="716"/>
      <c r="R216" s="714"/>
      <c r="S216" s="717"/>
      <c r="T216" s="714"/>
      <c r="U216" s="166"/>
      <c r="V216" s="166"/>
      <c r="W216" s="166"/>
      <c r="X216" s="166"/>
      <c r="Y216" s="718"/>
      <c r="Z216" s="719"/>
      <c r="AA216" s="719"/>
      <c r="AB216" s="166"/>
      <c r="AC216" s="166"/>
      <c r="AD216" s="166"/>
      <c r="AE216" s="87"/>
      <c r="AF216" s="87"/>
      <c r="AG216" s="87"/>
      <c r="AH216" s="87"/>
      <c r="AI216" s="87"/>
      <c r="AJ216" s="87"/>
      <c r="AK216" s="87"/>
      <c r="AL216" s="87"/>
      <c r="AM216" s="87"/>
    </row>
    <row r="217">
      <c r="A217" s="87"/>
      <c r="B217" s="166"/>
      <c r="C217" s="166"/>
      <c r="D217" s="166"/>
      <c r="E217" s="166"/>
      <c r="F217" s="714"/>
      <c r="G217" s="166"/>
      <c r="H217" s="166"/>
      <c r="I217" s="166"/>
      <c r="J217" s="166"/>
      <c r="K217" s="166"/>
      <c r="L217" s="166"/>
      <c r="M217" s="166"/>
      <c r="N217" s="715"/>
      <c r="O217" s="166"/>
      <c r="P217" s="166"/>
      <c r="Q217" s="716"/>
      <c r="R217" s="714"/>
      <c r="S217" s="717"/>
      <c r="T217" s="714"/>
      <c r="U217" s="166"/>
      <c r="V217" s="166"/>
      <c r="W217" s="166"/>
      <c r="X217" s="166"/>
      <c r="Y217" s="718"/>
      <c r="Z217" s="719"/>
      <c r="AA217" s="719"/>
      <c r="AB217" s="166"/>
      <c r="AC217" s="166"/>
      <c r="AD217" s="166"/>
      <c r="AE217" s="87"/>
      <c r="AF217" s="87"/>
      <c r="AG217" s="87"/>
      <c r="AH217" s="87"/>
      <c r="AI217" s="87"/>
      <c r="AJ217" s="87"/>
      <c r="AK217" s="87"/>
      <c r="AL217" s="87"/>
      <c r="AM217" s="87"/>
    </row>
    <row r="218">
      <c r="A218" s="87"/>
      <c r="B218" s="166"/>
      <c r="C218" s="166"/>
      <c r="D218" s="166"/>
      <c r="E218" s="166"/>
      <c r="F218" s="714"/>
      <c r="G218" s="166"/>
      <c r="H218" s="166"/>
      <c r="I218" s="166"/>
      <c r="J218" s="166"/>
      <c r="K218" s="166"/>
      <c r="L218" s="166"/>
      <c r="M218" s="166"/>
      <c r="N218" s="715"/>
      <c r="O218" s="166"/>
      <c r="P218" s="166"/>
      <c r="Q218" s="716"/>
      <c r="R218" s="714"/>
      <c r="S218" s="717"/>
      <c r="T218" s="714"/>
      <c r="U218" s="166"/>
      <c r="V218" s="166"/>
      <c r="W218" s="166"/>
      <c r="X218" s="166"/>
      <c r="Y218" s="718"/>
      <c r="Z218" s="719"/>
      <c r="AA218" s="719"/>
      <c r="AB218" s="166"/>
      <c r="AC218" s="166"/>
      <c r="AD218" s="166"/>
      <c r="AE218" s="87"/>
      <c r="AF218" s="87"/>
      <c r="AG218" s="87"/>
      <c r="AH218" s="87"/>
      <c r="AI218" s="87"/>
      <c r="AJ218" s="87"/>
      <c r="AK218" s="87"/>
      <c r="AL218" s="87"/>
      <c r="AM218" s="87"/>
    </row>
    <row r="219">
      <c r="A219" s="87"/>
      <c r="B219" s="166"/>
      <c r="C219" s="166"/>
      <c r="D219" s="166"/>
      <c r="E219" s="166"/>
      <c r="F219" s="714"/>
      <c r="G219" s="166"/>
      <c r="H219" s="166"/>
      <c r="I219" s="166"/>
      <c r="J219" s="166"/>
      <c r="K219" s="166"/>
      <c r="L219" s="166"/>
      <c r="M219" s="166"/>
      <c r="N219" s="715"/>
      <c r="O219" s="166"/>
      <c r="P219" s="166"/>
      <c r="Q219" s="716"/>
      <c r="R219" s="714"/>
      <c r="S219" s="717"/>
      <c r="T219" s="714"/>
      <c r="U219" s="166"/>
      <c r="V219" s="166"/>
      <c r="W219" s="166"/>
      <c r="X219" s="166"/>
      <c r="Y219" s="718"/>
      <c r="Z219" s="719"/>
      <c r="AA219" s="719"/>
      <c r="AB219" s="166"/>
      <c r="AC219" s="166"/>
      <c r="AD219" s="166"/>
      <c r="AE219" s="87"/>
      <c r="AF219" s="87"/>
      <c r="AG219" s="87"/>
      <c r="AH219" s="87"/>
      <c r="AI219" s="87"/>
      <c r="AJ219" s="87"/>
      <c r="AK219" s="87"/>
      <c r="AL219" s="87"/>
      <c r="AM219" s="87"/>
    </row>
    <row r="220">
      <c r="A220" s="87"/>
      <c r="B220" s="166"/>
      <c r="C220" s="166"/>
      <c r="D220" s="166"/>
      <c r="E220" s="166"/>
      <c r="F220" s="714"/>
      <c r="G220" s="166"/>
      <c r="H220" s="166"/>
      <c r="I220" s="166"/>
      <c r="J220" s="166"/>
      <c r="K220" s="166"/>
      <c r="L220" s="166"/>
      <c r="M220" s="166"/>
      <c r="N220" s="715"/>
      <c r="O220" s="166"/>
      <c r="P220" s="166"/>
      <c r="Q220" s="716"/>
      <c r="R220" s="714"/>
      <c r="S220" s="717"/>
      <c r="T220" s="714"/>
      <c r="U220" s="166"/>
      <c r="V220" s="166"/>
      <c r="W220" s="166"/>
      <c r="X220" s="166"/>
      <c r="Y220" s="718"/>
      <c r="Z220" s="719"/>
      <c r="AA220" s="719"/>
      <c r="AB220" s="166"/>
      <c r="AC220" s="166"/>
      <c r="AD220" s="166"/>
      <c r="AE220" s="87"/>
      <c r="AF220" s="87"/>
      <c r="AG220" s="87"/>
      <c r="AH220" s="87"/>
      <c r="AI220" s="87"/>
      <c r="AJ220" s="87"/>
      <c r="AK220" s="87"/>
      <c r="AL220" s="87"/>
      <c r="AM220" s="87"/>
    </row>
    <row r="221">
      <c r="A221" s="87"/>
      <c r="B221" s="166"/>
      <c r="C221" s="166"/>
      <c r="D221" s="166"/>
      <c r="E221" s="166"/>
      <c r="F221" s="714"/>
      <c r="G221" s="166"/>
      <c r="H221" s="166"/>
      <c r="I221" s="166"/>
      <c r="J221" s="166"/>
      <c r="K221" s="166"/>
      <c r="L221" s="166"/>
      <c r="M221" s="166"/>
      <c r="N221" s="715"/>
      <c r="O221" s="166"/>
      <c r="P221" s="166"/>
      <c r="Q221" s="716"/>
      <c r="R221" s="714"/>
      <c r="S221" s="717"/>
      <c r="T221" s="714"/>
      <c r="U221" s="166"/>
      <c r="V221" s="166"/>
      <c r="W221" s="166"/>
      <c r="X221" s="166"/>
      <c r="Y221" s="718"/>
      <c r="Z221" s="719"/>
      <c r="AA221" s="719"/>
      <c r="AB221" s="166"/>
      <c r="AC221" s="166"/>
      <c r="AD221" s="166"/>
      <c r="AE221" s="87"/>
      <c r="AF221" s="87"/>
      <c r="AG221" s="87"/>
      <c r="AH221" s="87"/>
      <c r="AI221" s="87"/>
      <c r="AJ221" s="87"/>
      <c r="AK221" s="87"/>
      <c r="AL221" s="87"/>
      <c r="AM221" s="87"/>
    </row>
    <row r="222">
      <c r="A222" s="87"/>
      <c r="B222" s="166"/>
      <c r="C222" s="166"/>
      <c r="D222" s="166"/>
      <c r="E222" s="166"/>
      <c r="F222" s="714"/>
      <c r="G222" s="166"/>
      <c r="H222" s="166"/>
      <c r="I222" s="166"/>
      <c r="J222" s="166"/>
      <c r="K222" s="166"/>
      <c r="L222" s="166"/>
      <c r="M222" s="166"/>
      <c r="N222" s="715"/>
      <c r="O222" s="166"/>
      <c r="P222" s="166"/>
      <c r="Q222" s="716"/>
      <c r="R222" s="714"/>
      <c r="S222" s="717"/>
      <c r="T222" s="714"/>
      <c r="U222" s="166"/>
      <c r="V222" s="166"/>
      <c r="W222" s="166"/>
      <c r="X222" s="166"/>
      <c r="Y222" s="718"/>
      <c r="Z222" s="719"/>
      <c r="AA222" s="719"/>
      <c r="AB222" s="166"/>
      <c r="AC222" s="166"/>
      <c r="AD222" s="166"/>
      <c r="AE222" s="87"/>
      <c r="AF222" s="87"/>
      <c r="AG222" s="87"/>
      <c r="AH222" s="87"/>
      <c r="AI222" s="87"/>
      <c r="AJ222" s="87"/>
      <c r="AK222" s="87"/>
      <c r="AL222" s="87"/>
      <c r="AM222" s="87"/>
    </row>
    <row r="223">
      <c r="A223" s="87"/>
      <c r="B223" s="166"/>
      <c r="C223" s="166"/>
      <c r="D223" s="166"/>
      <c r="E223" s="166"/>
      <c r="F223" s="714"/>
      <c r="G223" s="166"/>
      <c r="H223" s="166"/>
      <c r="I223" s="166"/>
      <c r="J223" s="166"/>
      <c r="K223" s="166"/>
      <c r="L223" s="166"/>
      <c r="M223" s="166"/>
      <c r="N223" s="715"/>
      <c r="O223" s="166"/>
      <c r="P223" s="166"/>
      <c r="Q223" s="716"/>
      <c r="R223" s="714"/>
      <c r="S223" s="717"/>
      <c r="T223" s="714"/>
      <c r="U223" s="166"/>
      <c r="V223" s="166"/>
      <c r="W223" s="166"/>
      <c r="X223" s="166"/>
      <c r="Y223" s="718"/>
      <c r="Z223" s="719"/>
      <c r="AA223" s="719"/>
      <c r="AB223" s="166"/>
      <c r="AC223" s="166"/>
      <c r="AD223" s="166"/>
      <c r="AE223" s="87"/>
      <c r="AF223" s="87"/>
      <c r="AG223" s="87"/>
      <c r="AH223" s="87"/>
      <c r="AI223" s="87"/>
      <c r="AJ223" s="87"/>
      <c r="AK223" s="87"/>
      <c r="AL223" s="87"/>
      <c r="AM223" s="87"/>
    </row>
    <row r="224">
      <c r="A224" s="87"/>
      <c r="B224" s="166"/>
      <c r="C224" s="166"/>
      <c r="D224" s="166"/>
      <c r="E224" s="166"/>
      <c r="F224" s="714"/>
      <c r="G224" s="166"/>
      <c r="H224" s="166"/>
      <c r="I224" s="166"/>
      <c r="J224" s="166"/>
      <c r="K224" s="166"/>
      <c r="L224" s="166"/>
      <c r="M224" s="166"/>
      <c r="N224" s="715"/>
      <c r="O224" s="166"/>
      <c r="P224" s="166"/>
      <c r="Q224" s="716"/>
      <c r="R224" s="714"/>
      <c r="S224" s="717"/>
      <c r="T224" s="714"/>
      <c r="U224" s="166"/>
      <c r="V224" s="166"/>
      <c r="W224" s="166"/>
      <c r="X224" s="166"/>
      <c r="Y224" s="718"/>
      <c r="Z224" s="719"/>
      <c r="AA224" s="719"/>
      <c r="AB224" s="166"/>
      <c r="AC224" s="166"/>
      <c r="AD224" s="166"/>
      <c r="AE224" s="87"/>
      <c r="AF224" s="87"/>
      <c r="AG224" s="87"/>
      <c r="AH224" s="87"/>
      <c r="AI224" s="87"/>
      <c r="AJ224" s="87"/>
      <c r="AK224" s="87"/>
      <c r="AL224" s="87"/>
      <c r="AM224" s="87"/>
    </row>
    <row r="225">
      <c r="A225" s="87"/>
      <c r="B225" s="166"/>
      <c r="C225" s="166"/>
      <c r="D225" s="166"/>
      <c r="E225" s="166"/>
      <c r="F225" s="714"/>
      <c r="G225" s="166"/>
      <c r="H225" s="166"/>
      <c r="I225" s="166"/>
      <c r="J225" s="166"/>
      <c r="K225" s="166"/>
      <c r="L225" s="166"/>
      <c r="M225" s="166"/>
      <c r="N225" s="715"/>
      <c r="O225" s="166"/>
      <c r="P225" s="166"/>
      <c r="Q225" s="716"/>
      <c r="R225" s="714"/>
      <c r="S225" s="717"/>
      <c r="T225" s="714"/>
      <c r="U225" s="166"/>
      <c r="V225" s="166"/>
      <c r="W225" s="166"/>
      <c r="X225" s="166"/>
      <c r="Y225" s="718"/>
      <c r="Z225" s="719"/>
      <c r="AA225" s="719"/>
      <c r="AB225" s="166"/>
      <c r="AC225" s="166"/>
      <c r="AD225" s="166"/>
      <c r="AE225" s="87"/>
      <c r="AF225" s="87"/>
      <c r="AG225" s="87"/>
      <c r="AH225" s="87"/>
      <c r="AI225" s="87"/>
      <c r="AJ225" s="87"/>
      <c r="AK225" s="87"/>
      <c r="AL225" s="87"/>
      <c r="AM225" s="87"/>
    </row>
    <row r="226">
      <c r="A226" s="87"/>
      <c r="B226" s="166"/>
      <c r="C226" s="166"/>
      <c r="D226" s="166"/>
      <c r="E226" s="166"/>
      <c r="F226" s="714"/>
      <c r="G226" s="166"/>
      <c r="H226" s="166"/>
      <c r="I226" s="166"/>
      <c r="J226" s="166"/>
      <c r="K226" s="166"/>
      <c r="L226" s="166"/>
      <c r="M226" s="166"/>
      <c r="N226" s="715"/>
      <c r="O226" s="166"/>
      <c r="P226" s="166"/>
      <c r="Q226" s="716"/>
      <c r="R226" s="714"/>
      <c r="S226" s="717"/>
      <c r="T226" s="714"/>
      <c r="U226" s="166"/>
      <c r="V226" s="166"/>
      <c r="W226" s="166"/>
      <c r="X226" s="166"/>
      <c r="Y226" s="718"/>
      <c r="Z226" s="719"/>
      <c r="AA226" s="719"/>
      <c r="AB226" s="166"/>
      <c r="AC226" s="166"/>
      <c r="AD226" s="166"/>
      <c r="AE226" s="87"/>
      <c r="AF226" s="87"/>
      <c r="AG226" s="87"/>
      <c r="AH226" s="87"/>
      <c r="AI226" s="87"/>
      <c r="AJ226" s="87"/>
      <c r="AK226" s="87"/>
      <c r="AL226" s="87"/>
      <c r="AM226" s="87"/>
    </row>
    <row r="227">
      <c r="A227" s="87"/>
      <c r="B227" s="166"/>
      <c r="C227" s="166"/>
      <c r="D227" s="166"/>
      <c r="E227" s="166"/>
      <c r="F227" s="714"/>
      <c r="G227" s="166"/>
      <c r="H227" s="166"/>
      <c r="I227" s="166"/>
      <c r="J227" s="166"/>
      <c r="K227" s="166"/>
      <c r="L227" s="166"/>
      <c r="M227" s="166"/>
      <c r="N227" s="715"/>
      <c r="O227" s="166"/>
      <c r="P227" s="166"/>
      <c r="Q227" s="716"/>
      <c r="R227" s="714"/>
      <c r="S227" s="717"/>
      <c r="T227" s="714"/>
      <c r="U227" s="166"/>
      <c r="V227" s="166"/>
      <c r="W227" s="166"/>
      <c r="X227" s="166"/>
      <c r="Y227" s="718"/>
      <c r="Z227" s="719"/>
      <c r="AA227" s="719"/>
      <c r="AB227" s="166"/>
      <c r="AC227" s="166"/>
      <c r="AD227" s="166"/>
      <c r="AE227" s="87"/>
      <c r="AF227" s="87"/>
      <c r="AG227" s="87"/>
      <c r="AH227" s="87"/>
      <c r="AI227" s="87"/>
      <c r="AJ227" s="87"/>
      <c r="AK227" s="87"/>
      <c r="AL227" s="87"/>
      <c r="AM227" s="87"/>
    </row>
    <row r="228">
      <c r="A228" s="87"/>
      <c r="B228" s="166"/>
      <c r="C228" s="166"/>
      <c r="D228" s="166"/>
      <c r="E228" s="166"/>
      <c r="F228" s="714"/>
      <c r="G228" s="166"/>
      <c r="H228" s="166"/>
      <c r="I228" s="166"/>
      <c r="J228" s="166"/>
      <c r="K228" s="166"/>
      <c r="L228" s="166"/>
      <c r="M228" s="166"/>
      <c r="N228" s="715"/>
      <c r="O228" s="166"/>
      <c r="P228" s="166"/>
      <c r="Q228" s="716"/>
      <c r="R228" s="714"/>
      <c r="S228" s="717"/>
      <c r="T228" s="714"/>
      <c r="U228" s="166"/>
      <c r="V228" s="166"/>
      <c r="W228" s="166"/>
      <c r="X228" s="166"/>
      <c r="Y228" s="718"/>
      <c r="Z228" s="719"/>
      <c r="AA228" s="719"/>
      <c r="AB228" s="166"/>
      <c r="AC228" s="166"/>
      <c r="AD228" s="166"/>
      <c r="AE228" s="87"/>
      <c r="AF228" s="87"/>
      <c r="AG228" s="87"/>
      <c r="AH228" s="87"/>
      <c r="AI228" s="87"/>
      <c r="AJ228" s="87"/>
      <c r="AK228" s="87"/>
      <c r="AL228" s="87"/>
      <c r="AM228" s="87"/>
    </row>
    <row r="229">
      <c r="A229" s="87"/>
      <c r="B229" s="166"/>
      <c r="C229" s="166"/>
      <c r="D229" s="166"/>
      <c r="E229" s="166"/>
      <c r="F229" s="714"/>
      <c r="G229" s="166"/>
      <c r="H229" s="166"/>
      <c r="I229" s="166"/>
      <c r="J229" s="166"/>
      <c r="K229" s="166"/>
      <c r="L229" s="166"/>
      <c r="M229" s="166"/>
      <c r="N229" s="715"/>
      <c r="O229" s="166"/>
      <c r="P229" s="166"/>
      <c r="Q229" s="716"/>
      <c r="R229" s="714"/>
      <c r="S229" s="717"/>
      <c r="T229" s="714"/>
      <c r="U229" s="166"/>
      <c r="V229" s="166"/>
      <c r="W229" s="166"/>
      <c r="X229" s="166"/>
      <c r="Y229" s="718"/>
      <c r="Z229" s="719"/>
      <c r="AA229" s="719"/>
      <c r="AB229" s="166"/>
      <c r="AC229" s="166"/>
      <c r="AD229" s="166"/>
      <c r="AE229" s="87"/>
      <c r="AF229" s="87"/>
      <c r="AG229" s="87"/>
      <c r="AH229" s="87"/>
      <c r="AI229" s="87"/>
      <c r="AJ229" s="87"/>
      <c r="AK229" s="87"/>
      <c r="AL229" s="87"/>
      <c r="AM229" s="87"/>
    </row>
    <row r="230">
      <c r="A230" s="87"/>
      <c r="B230" s="166"/>
      <c r="C230" s="166"/>
      <c r="D230" s="166"/>
      <c r="E230" s="166"/>
      <c r="F230" s="714"/>
      <c r="G230" s="166"/>
      <c r="H230" s="166"/>
      <c r="I230" s="166"/>
      <c r="J230" s="166"/>
      <c r="K230" s="166"/>
      <c r="L230" s="166"/>
      <c r="M230" s="166"/>
      <c r="N230" s="715"/>
      <c r="O230" s="166"/>
      <c r="P230" s="166"/>
      <c r="Q230" s="716"/>
      <c r="R230" s="714"/>
      <c r="S230" s="717"/>
      <c r="T230" s="714"/>
      <c r="U230" s="166"/>
      <c r="V230" s="166"/>
      <c r="W230" s="166"/>
      <c r="X230" s="166"/>
      <c r="Y230" s="718"/>
      <c r="Z230" s="719"/>
      <c r="AA230" s="719"/>
      <c r="AB230" s="166"/>
      <c r="AC230" s="166"/>
      <c r="AD230" s="166"/>
      <c r="AE230" s="87"/>
      <c r="AF230" s="87"/>
      <c r="AG230" s="87"/>
      <c r="AH230" s="87"/>
      <c r="AI230" s="87"/>
      <c r="AJ230" s="87"/>
      <c r="AK230" s="87"/>
      <c r="AL230" s="87"/>
      <c r="AM230" s="87"/>
    </row>
    <row r="231">
      <c r="A231" s="87"/>
      <c r="B231" s="166"/>
      <c r="C231" s="166"/>
      <c r="D231" s="166"/>
      <c r="E231" s="166"/>
      <c r="F231" s="714"/>
      <c r="G231" s="166"/>
      <c r="H231" s="166"/>
      <c r="I231" s="166"/>
      <c r="J231" s="166"/>
      <c r="K231" s="166"/>
      <c r="L231" s="166"/>
      <c r="M231" s="166"/>
      <c r="N231" s="715"/>
      <c r="O231" s="166"/>
      <c r="P231" s="166"/>
      <c r="Q231" s="716"/>
      <c r="R231" s="714"/>
      <c r="S231" s="717"/>
      <c r="T231" s="714"/>
      <c r="U231" s="166"/>
      <c r="V231" s="166"/>
      <c r="W231" s="166"/>
      <c r="X231" s="166"/>
      <c r="Y231" s="718"/>
      <c r="Z231" s="719"/>
      <c r="AA231" s="719"/>
      <c r="AB231" s="166"/>
      <c r="AC231" s="166"/>
      <c r="AD231" s="166"/>
      <c r="AE231" s="87"/>
      <c r="AF231" s="87"/>
      <c r="AG231" s="87"/>
      <c r="AH231" s="87"/>
      <c r="AI231" s="87"/>
      <c r="AJ231" s="87"/>
      <c r="AK231" s="87"/>
      <c r="AL231" s="87"/>
      <c r="AM231" s="87"/>
    </row>
    <row r="232">
      <c r="A232" s="87"/>
      <c r="B232" s="166"/>
      <c r="C232" s="166"/>
      <c r="D232" s="166"/>
      <c r="E232" s="166"/>
      <c r="F232" s="714"/>
      <c r="G232" s="166"/>
      <c r="H232" s="166"/>
      <c r="I232" s="166"/>
      <c r="J232" s="166"/>
      <c r="K232" s="166"/>
      <c r="L232" s="166"/>
      <c r="M232" s="166"/>
      <c r="N232" s="715"/>
      <c r="O232" s="166"/>
      <c r="P232" s="166"/>
      <c r="Q232" s="716"/>
      <c r="R232" s="714"/>
      <c r="S232" s="717"/>
      <c r="T232" s="714"/>
      <c r="U232" s="166"/>
      <c r="V232" s="166"/>
      <c r="W232" s="166"/>
      <c r="X232" s="166"/>
      <c r="Y232" s="718"/>
      <c r="Z232" s="719"/>
      <c r="AA232" s="719"/>
      <c r="AB232" s="166"/>
      <c r="AC232" s="166"/>
      <c r="AD232" s="166"/>
      <c r="AE232" s="87"/>
      <c r="AF232" s="87"/>
      <c r="AG232" s="87"/>
      <c r="AH232" s="87"/>
      <c r="AI232" s="87"/>
      <c r="AJ232" s="87"/>
      <c r="AK232" s="87"/>
      <c r="AL232" s="87"/>
      <c r="AM232" s="87"/>
    </row>
    <row r="233">
      <c r="A233" s="87"/>
      <c r="B233" s="166"/>
      <c r="C233" s="166"/>
      <c r="D233" s="166"/>
      <c r="E233" s="166"/>
      <c r="F233" s="714"/>
      <c r="G233" s="166"/>
      <c r="H233" s="166"/>
      <c r="I233" s="166"/>
      <c r="J233" s="166"/>
      <c r="K233" s="166"/>
      <c r="L233" s="166"/>
      <c r="M233" s="166"/>
      <c r="N233" s="715"/>
      <c r="O233" s="166"/>
      <c r="P233" s="166"/>
      <c r="Q233" s="716"/>
      <c r="R233" s="714"/>
      <c r="S233" s="717"/>
      <c r="T233" s="714"/>
      <c r="U233" s="166"/>
      <c r="V233" s="166"/>
      <c r="W233" s="166"/>
      <c r="X233" s="166"/>
      <c r="Y233" s="718"/>
      <c r="Z233" s="719"/>
      <c r="AA233" s="719"/>
      <c r="AB233" s="166"/>
      <c r="AC233" s="166"/>
      <c r="AD233" s="166"/>
      <c r="AE233" s="87"/>
      <c r="AF233" s="87"/>
      <c r="AG233" s="87"/>
      <c r="AH233" s="87"/>
      <c r="AI233" s="87"/>
      <c r="AJ233" s="87"/>
      <c r="AK233" s="87"/>
      <c r="AL233" s="87"/>
      <c r="AM233" s="87"/>
    </row>
    <row r="234">
      <c r="A234" s="87"/>
      <c r="B234" s="166"/>
      <c r="C234" s="166"/>
      <c r="D234" s="166"/>
      <c r="E234" s="166"/>
      <c r="F234" s="714"/>
      <c r="G234" s="166"/>
      <c r="H234" s="166"/>
      <c r="I234" s="166"/>
      <c r="J234" s="166"/>
      <c r="K234" s="166"/>
      <c r="L234" s="166"/>
      <c r="M234" s="166"/>
      <c r="N234" s="715"/>
      <c r="O234" s="166"/>
      <c r="P234" s="166"/>
      <c r="Q234" s="716"/>
      <c r="R234" s="714"/>
      <c r="S234" s="717"/>
      <c r="T234" s="714"/>
      <c r="U234" s="166"/>
      <c r="V234" s="166"/>
      <c r="W234" s="166"/>
      <c r="X234" s="166"/>
      <c r="Y234" s="718"/>
      <c r="Z234" s="719"/>
      <c r="AA234" s="719"/>
      <c r="AB234" s="166"/>
      <c r="AC234" s="166"/>
      <c r="AD234" s="166"/>
      <c r="AE234" s="87"/>
      <c r="AF234" s="87"/>
      <c r="AG234" s="87"/>
      <c r="AH234" s="87"/>
      <c r="AI234" s="87"/>
      <c r="AJ234" s="87"/>
      <c r="AK234" s="87"/>
      <c r="AL234" s="87"/>
      <c r="AM234" s="87"/>
    </row>
    <row r="235">
      <c r="A235" s="87"/>
      <c r="B235" s="166"/>
      <c r="C235" s="166"/>
      <c r="D235" s="166"/>
      <c r="E235" s="166"/>
      <c r="F235" s="714"/>
      <c r="G235" s="166"/>
      <c r="H235" s="166"/>
      <c r="I235" s="166"/>
      <c r="J235" s="166"/>
      <c r="K235" s="166"/>
      <c r="L235" s="166"/>
      <c r="M235" s="166"/>
      <c r="N235" s="715"/>
      <c r="O235" s="166"/>
      <c r="P235" s="166"/>
      <c r="Q235" s="716"/>
      <c r="R235" s="714"/>
      <c r="S235" s="717"/>
      <c r="T235" s="714"/>
      <c r="U235" s="166"/>
      <c r="V235" s="166"/>
      <c r="W235" s="166"/>
      <c r="X235" s="166"/>
      <c r="Y235" s="718"/>
      <c r="Z235" s="719"/>
      <c r="AA235" s="719"/>
      <c r="AB235" s="166"/>
      <c r="AC235" s="166"/>
      <c r="AD235" s="166"/>
      <c r="AE235" s="87"/>
      <c r="AF235" s="87"/>
      <c r="AG235" s="87"/>
      <c r="AH235" s="87"/>
      <c r="AI235" s="87"/>
      <c r="AJ235" s="87"/>
      <c r="AK235" s="87"/>
      <c r="AL235" s="87"/>
      <c r="AM235" s="87"/>
    </row>
    <row r="236">
      <c r="A236" s="87"/>
      <c r="B236" s="166"/>
      <c r="C236" s="166"/>
      <c r="D236" s="166"/>
      <c r="E236" s="166"/>
      <c r="F236" s="714"/>
      <c r="G236" s="166"/>
      <c r="H236" s="166"/>
      <c r="I236" s="166"/>
      <c r="J236" s="166"/>
      <c r="K236" s="166"/>
      <c r="L236" s="166"/>
      <c r="M236" s="166"/>
      <c r="N236" s="715"/>
      <c r="O236" s="166"/>
      <c r="P236" s="166"/>
      <c r="Q236" s="716"/>
      <c r="R236" s="714"/>
      <c r="S236" s="717"/>
      <c r="T236" s="714"/>
      <c r="U236" s="166"/>
      <c r="V236" s="166"/>
      <c r="W236" s="166"/>
      <c r="X236" s="166"/>
      <c r="Y236" s="718"/>
      <c r="Z236" s="719"/>
      <c r="AA236" s="719"/>
      <c r="AB236" s="166"/>
      <c r="AC236" s="166"/>
      <c r="AD236" s="166"/>
      <c r="AE236" s="87"/>
      <c r="AF236" s="87"/>
      <c r="AG236" s="87"/>
      <c r="AH236" s="87"/>
      <c r="AI236" s="87"/>
      <c r="AJ236" s="87"/>
      <c r="AK236" s="87"/>
      <c r="AL236" s="87"/>
      <c r="AM236" s="87"/>
    </row>
    <row r="237">
      <c r="A237" s="87"/>
      <c r="B237" s="166"/>
      <c r="C237" s="166"/>
      <c r="D237" s="166"/>
      <c r="E237" s="166"/>
      <c r="F237" s="714"/>
      <c r="G237" s="166"/>
      <c r="H237" s="166"/>
      <c r="I237" s="166"/>
      <c r="J237" s="166"/>
      <c r="K237" s="166"/>
      <c r="L237" s="166"/>
      <c r="M237" s="166"/>
      <c r="N237" s="715"/>
      <c r="O237" s="166"/>
      <c r="P237" s="166"/>
      <c r="Q237" s="716"/>
      <c r="R237" s="714"/>
      <c r="S237" s="717"/>
      <c r="T237" s="714"/>
      <c r="U237" s="166"/>
      <c r="V237" s="166"/>
      <c r="W237" s="166"/>
      <c r="X237" s="166"/>
      <c r="Y237" s="718"/>
      <c r="Z237" s="719"/>
      <c r="AA237" s="719"/>
      <c r="AB237" s="166"/>
      <c r="AC237" s="166"/>
      <c r="AD237" s="166"/>
      <c r="AE237" s="87"/>
      <c r="AF237" s="87"/>
      <c r="AG237" s="87"/>
      <c r="AH237" s="87"/>
      <c r="AI237" s="87"/>
      <c r="AJ237" s="87"/>
      <c r="AK237" s="87"/>
      <c r="AL237" s="87"/>
      <c r="AM237" s="87"/>
    </row>
    <row r="238">
      <c r="A238" s="87"/>
      <c r="B238" s="166"/>
      <c r="C238" s="166"/>
      <c r="D238" s="166"/>
      <c r="E238" s="166"/>
      <c r="F238" s="714"/>
      <c r="G238" s="166"/>
      <c r="H238" s="166"/>
      <c r="I238" s="166"/>
      <c r="J238" s="166"/>
      <c r="K238" s="166"/>
      <c r="L238" s="166"/>
      <c r="M238" s="166"/>
      <c r="N238" s="715"/>
      <c r="O238" s="166"/>
      <c r="P238" s="166"/>
      <c r="Q238" s="716"/>
      <c r="R238" s="714"/>
      <c r="S238" s="717"/>
      <c r="T238" s="714"/>
      <c r="U238" s="166"/>
      <c r="V238" s="166"/>
      <c r="W238" s="166"/>
      <c r="X238" s="166"/>
      <c r="Y238" s="718"/>
      <c r="Z238" s="719"/>
      <c r="AA238" s="719"/>
      <c r="AB238" s="166"/>
      <c r="AC238" s="166"/>
      <c r="AD238" s="166"/>
      <c r="AE238" s="87"/>
      <c r="AF238" s="87"/>
      <c r="AG238" s="87"/>
      <c r="AH238" s="87"/>
      <c r="AI238" s="87"/>
      <c r="AJ238" s="87"/>
      <c r="AK238" s="87"/>
      <c r="AL238" s="87"/>
      <c r="AM238" s="87"/>
    </row>
    <row r="239">
      <c r="A239" s="87"/>
      <c r="B239" s="166"/>
      <c r="C239" s="166"/>
      <c r="D239" s="166"/>
      <c r="E239" s="166"/>
      <c r="F239" s="714"/>
      <c r="G239" s="166"/>
      <c r="H239" s="166"/>
      <c r="I239" s="166"/>
      <c r="J239" s="166"/>
      <c r="K239" s="166"/>
      <c r="L239" s="166"/>
      <c r="M239" s="166"/>
      <c r="N239" s="715"/>
      <c r="O239" s="166"/>
      <c r="P239" s="166"/>
      <c r="Q239" s="716"/>
      <c r="R239" s="714"/>
      <c r="S239" s="717"/>
      <c r="T239" s="714"/>
      <c r="U239" s="166"/>
      <c r="V239" s="166"/>
      <c r="W239" s="166"/>
      <c r="X239" s="166"/>
      <c r="Y239" s="718"/>
      <c r="Z239" s="719"/>
      <c r="AA239" s="719"/>
      <c r="AB239" s="166"/>
      <c r="AC239" s="166"/>
      <c r="AD239" s="166"/>
      <c r="AE239" s="87"/>
      <c r="AF239" s="87"/>
      <c r="AG239" s="87"/>
      <c r="AH239" s="87"/>
      <c r="AI239" s="87"/>
      <c r="AJ239" s="87"/>
      <c r="AK239" s="87"/>
      <c r="AL239" s="87"/>
      <c r="AM239" s="87"/>
    </row>
    <row r="240">
      <c r="A240" s="87"/>
      <c r="B240" s="166"/>
      <c r="C240" s="166"/>
      <c r="D240" s="166"/>
      <c r="E240" s="166"/>
      <c r="F240" s="714"/>
      <c r="G240" s="166"/>
      <c r="H240" s="166"/>
      <c r="I240" s="166"/>
      <c r="J240" s="166"/>
      <c r="K240" s="166"/>
      <c r="L240" s="166"/>
      <c r="M240" s="166"/>
      <c r="N240" s="715"/>
      <c r="O240" s="166"/>
      <c r="P240" s="166"/>
      <c r="Q240" s="716"/>
      <c r="R240" s="714"/>
      <c r="S240" s="717"/>
      <c r="T240" s="714"/>
      <c r="U240" s="166"/>
      <c r="V240" s="166"/>
      <c r="W240" s="166"/>
      <c r="X240" s="166"/>
      <c r="Y240" s="718"/>
      <c r="Z240" s="719"/>
      <c r="AA240" s="719"/>
      <c r="AB240" s="166"/>
      <c r="AC240" s="166"/>
      <c r="AD240" s="166"/>
      <c r="AE240" s="87"/>
      <c r="AF240" s="87"/>
      <c r="AG240" s="87"/>
      <c r="AH240" s="87"/>
      <c r="AI240" s="87"/>
      <c r="AJ240" s="87"/>
      <c r="AK240" s="87"/>
      <c r="AL240" s="87"/>
      <c r="AM240" s="87"/>
    </row>
    <row r="241">
      <c r="A241" s="87"/>
      <c r="B241" s="166"/>
      <c r="C241" s="166"/>
      <c r="D241" s="166"/>
      <c r="E241" s="166"/>
      <c r="F241" s="714"/>
      <c r="G241" s="166"/>
      <c r="H241" s="166"/>
      <c r="I241" s="166"/>
      <c r="J241" s="166"/>
      <c r="K241" s="166"/>
      <c r="L241" s="166"/>
      <c r="M241" s="166"/>
      <c r="N241" s="715"/>
      <c r="O241" s="166"/>
      <c r="P241" s="166"/>
      <c r="Q241" s="716"/>
      <c r="R241" s="714"/>
      <c r="S241" s="717"/>
      <c r="T241" s="714"/>
      <c r="U241" s="166"/>
      <c r="V241" s="166"/>
      <c r="W241" s="166"/>
      <c r="X241" s="166"/>
      <c r="Y241" s="718"/>
      <c r="Z241" s="719"/>
      <c r="AA241" s="719"/>
      <c r="AB241" s="166"/>
      <c r="AC241" s="166"/>
      <c r="AD241" s="166"/>
      <c r="AE241" s="87"/>
      <c r="AF241" s="87"/>
      <c r="AG241" s="87"/>
      <c r="AH241" s="87"/>
      <c r="AI241" s="87"/>
      <c r="AJ241" s="87"/>
      <c r="AK241" s="87"/>
      <c r="AL241" s="87"/>
      <c r="AM241" s="87"/>
    </row>
    <row r="242">
      <c r="A242" s="87"/>
      <c r="B242" s="166"/>
      <c r="C242" s="166"/>
      <c r="D242" s="166"/>
      <c r="E242" s="166"/>
      <c r="F242" s="714"/>
      <c r="G242" s="166"/>
      <c r="H242" s="166"/>
      <c r="I242" s="166"/>
      <c r="J242" s="166"/>
      <c r="K242" s="166"/>
      <c r="L242" s="166"/>
      <c r="M242" s="166"/>
      <c r="N242" s="715"/>
      <c r="O242" s="166"/>
      <c r="P242" s="166"/>
      <c r="Q242" s="716"/>
      <c r="R242" s="714"/>
      <c r="S242" s="717"/>
      <c r="T242" s="714"/>
      <c r="U242" s="166"/>
      <c r="V242" s="166"/>
      <c r="W242" s="166"/>
      <c r="X242" s="166"/>
      <c r="Y242" s="718"/>
      <c r="Z242" s="719"/>
      <c r="AA242" s="719"/>
      <c r="AB242" s="166"/>
      <c r="AC242" s="166"/>
      <c r="AD242" s="166"/>
      <c r="AE242" s="87"/>
      <c r="AF242" s="87"/>
      <c r="AG242" s="87"/>
      <c r="AH242" s="87"/>
      <c r="AI242" s="87"/>
      <c r="AJ242" s="87"/>
      <c r="AK242" s="87"/>
      <c r="AL242" s="87"/>
      <c r="AM242" s="87"/>
    </row>
    <row r="243">
      <c r="A243" s="87"/>
      <c r="B243" s="166"/>
      <c r="C243" s="166"/>
      <c r="D243" s="166"/>
      <c r="E243" s="166"/>
      <c r="F243" s="714"/>
      <c r="G243" s="166"/>
      <c r="H243" s="166"/>
      <c r="I243" s="166"/>
      <c r="J243" s="166"/>
      <c r="K243" s="166"/>
      <c r="L243" s="166"/>
      <c r="M243" s="166"/>
      <c r="N243" s="715"/>
      <c r="O243" s="166"/>
      <c r="P243" s="166"/>
      <c r="Q243" s="716"/>
      <c r="R243" s="714"/>
      <c r="S243" s="717"/>
      <c r="T243" s="714"/>
      <c r="U243" s="166"/>
      <c r="V243" s="166"/>
      <c r="W243" s="166"/>
      <c r="X243" s="166"/>
      <c r="Y243" s="718"/>
      <c r="Z243" s="719"/>
      <c r="AA243" s="719"/>
      <c r="AB243" s="166"/>
      <c r="AC243" s="166"/>
      <c r="AD243" s="166"/>
      <c r="AE243" s="87"/>
      <c r="AF243" s="87"/>
      <c r="AG243" s="87"/>
      <c r="AH243" s="87"/>
      <c r="AI243" s="87"/>
      <c r="AJ243" s="87"/>
      <c r="AK243" s="87"/>
      <c r="AL243" s="87"/>
      <c r="AM243" s="87"/>
    </row>
    <row r="244">
      <c r="A244" s="87"/>
      <c r="B244" s="166"/>
      <c r="C244" s="166"/>
      <c r="D244" s="166"/>
      <c r="E244" s="166"/>
      <c r="F244" s="714"/>
      <c r="G244" s="166"/>
      <c r="H244" s="166"/>
      <c r="I244" s="166"/>
      <c r="J244" s="166"/>
      <c r="K244" s="166"/>
      <c r="L244" s="166"/>
      <c r="M244" s="166"/>
      <c r="N244" s="715"/>
      <c r="O244" s="166"/>
      <c r="P244" s="166"/>
      <c r="Q244" s="716"/>
      <c r="R244" s="714"/>
      <c r="S244" s="717"/>
      <c r="T244" s="714"/>
      <c r="U244" s="166"/>
      <c r="V244" s="166"/>
      <c r="W244" s="166"/>
      <c r="X244" s="166"/>
      <c r="Y244" s="718"/>
      <c r="Z244" s="719"/>
      <c r="AA244" s="719"/>
      <c r="AB244" s="166"/>
      <c r="AC244" s="166"/>
      <c r="AD244" s="166"/>
      <c r="AE244" s="87"/>
      <c r="AF244" s="87"/>
      <c r="AG244" s="87"/>
      <c r="AH244" s="87"/>
      <c r="AI244" s="87"/>
      <c r="AJ244" s="87"/>
      <c r="AK244" s="87"/>
      <c r="AL244" s="87"/>
      <c r="AM244" s="87"/>
    </row>
    <row r="245">
      <c r="A245" s="87"/>
      <c r="B245" s="166"/>
      <c r="C245" s="166"/>
      <c r="D245" s="166"/>
      <c r="E245" s="166"/>
      <c r="F245" s="714"/>
      <c r="G245" s="166"/>
      <c r="H245" s="166"/>
      <c r="I245" s="166"/>
      <c r="J245" s="166"/>
      <c r="K245" s="166"/>
      <c r="L245" s="166"/>
      <c r="M245" s="166"/>
      <c r="N245" s="715"/>
      <c r="O245" s="166"/>
      <c r="P245" s="166"/>
      <c r="Q245" s="716"/>
      <c r="R245" s="714"/>
      <c r="S245" s="717"/>
      <c r="T245" s="714"/>
      <c r="U245" s="166"/>
      <c r="V245" s="166"/>
      <c r="W245" s="166"/>
      <c r="X245" s="166"/>
      <c r="Y245" s="718"/>
      <c r="Z245" s="719"/>
      <c r="AA245" s="719"/>
      <c r="AB245" s="166"/>
      <c r="AC245" s="166"/>
      <c r="AD245" s="166"/>
      <c r="AE245" s="87"/>
      <c r="AF245" s="87"/>
      <c r="AG245" s="87"/>
      <c r="AH245" s="87"/>
      <c r="AI245" s="87"/>
      <c r="AJ245" s="87"/>
      <c r="AK245" s="87"/>
      <c r="AL245" s="87"/>
      <c r="AM245" s="87"/>
    </row>
    <row r="246">
      <c r="A246" s="87"/>
      <c r="B246" s="166"/>
      <c r="C246" s="166"/>
      <c r="D246" s="166"/>
      <c r="E246" s="166"/>
      <c r="F246" s="714"/>
      <c r="G246" s="166"/>
      <c r="H246" s="166"/>
      <c r="I246" s="166"/>
      <c r="J246" s="166"/>
      <c r="K246" s="166"/>
      <c r="L246" s="166"/>
      <c r="M246" s="166"/>
      <c r="N246" s="715"/>
      <c r="O246" s="166"/>
      <c r="P246" s="166"/>
      <c r="Q246" s="716"/>
      <c r="R246" s="714"/>
      <c r="S246" s="717"/>
      <c r="T246" s="714"/>
      <c r="U246" s="166"/>
      <c r="V246" s="166"/>
      <c r="W246" s="166"/>
      <c r="X246" s="166"/>
      <c r="Y246" s="718"/>
      <c r="Z246" s="719"/>
      <c r="AA246" s="719"/>
      <c r="AB246" s="166"/>
      <c r="AC246" s="166"/>
      <c r="AD246" s="166"/>
      <c r="AE246" s="87"/>
      <c r="AF246" s="87"/>
      <c r="AG246" s="87"/>
      <c r="AH246" s="87"/>
      <c r="AI246" s="87"/>
      <c r="AJ246" s="87"/>
      <c r="AK246" s="87"/>
      <c r="AL246" s="87"/>
      <c r="AM246" s="87"/>
    </row>
    <row r="247">
      <c r="A247" s="87"/>
      <c r="B247" s="166"/>
      <c r="C247" s="166"/>
      <c r="D247" s="166"/>
      <c r="E247" s="166"/>
      <c r="F247" s="714"/>
      <c r="G247" s="166"/>
      <c r="H247" s="166"/>
      <c r="I247" s="166"/>
      <c r="J247" s="166"/>
      <c r="K247" s="166"/>
      <c r="L247" s="166"/>
      <c r="M247" s="166"/>
      <c r="N247" s="715"/>
      <c r="O247" s="166"/>
      <c r="P247" s="166"/>
      <c r="Q247" s="716"/>
      <c r="R247" s="714"/>
      <c r="S247" s="717"/>
      <c r="T247" s="714"/>
      <c r="U247" s="166"/>
      <c r="V247" s="166"/>
      <c r="W247" s="166"/>
      <c r="X247" s="166"/>
      <c r="Y247" s="718"/>
      <c r="Z247" s="719"/>
      <c r="AA247" s="719"/>
      <c r="AB247" s="166"/>
      <c r="AC247" s="166"/>
      <c r="AD247" s="166"/>
      <c r="AE247" s="87"/>
      <c r="AF247" s="87"/>
      <c r="AG247" s="87"/>
      <c r="AH247" s="87"/>
      <c r="AI247" s="87"/>
      <c r="AJ247" s="87"/>
      <c r="AK247" s="87"/>
      <c r="AL247" s="87"/>
      <c r="AM247" s="87"/>
    </row>
    <row r="248">
      <c r="A248" s="87"/>
      <c r="B248" s="166"/>
      <c r="C248" s="166"/>
      <c r="D248" s="166"/>
      <c r="E248" s="166"/>
      <c r="F248" s="714"/>
      <c r="G248" s="166"/>
      <c r="H248" s="166"/>
      <c r="I248" s="166"/>
      <c r="J248" s="166"/>
      <c r="K248" s="166"/>
      <c r="L248" s="166"/>
      <c r="M248" s="166"/>
      <c r="N248" s="715"/>
      <c r="O248" s="166"/>
      <c r="P248" s="166"/>
      <c r="Q248" s="716"/>
      <c r="R248" s="714"/>
      <c r="S248" s="717"/>
      <c r="T248" s="714"/>
      <c r="U248" s="166"/>
      <c r="V248" s="166"/>
      <c r="W248" s="166"/>
      <c r="X248" s="166"/>
      <c r="Y248" s="718"/>
      <c r="Z248" s="719"/>
      <c r="AA248" s="719"/>
      <c r="AB248" s="166"/>
      <c r="AC248" s="166"/>
      <c r="AD248" s="166"/>
      <c r="AE248" s="87"/>
      <c r="AF248" s="87"/>
      <c r="AG248" s="87"/>
      <c r="AH248" s="87"/>
      <c r="AI248" s="87"/>
      <c r="AJ248" s="87"/>
      <c r="AK248" s="87"/>
      <c r="AL248" s="87"/>
      <c r="AM248" s="87"/>
    </row>
    <row r="249">
      <c r="A249" s="87"/>
      <c r="B249" s="166"/>
      <c r="C249" s="166"/>
      <c r="D249" s="166"/>
      <c r="E249" s="166"/>
      <c r="F249" s="714"/>
      <c r="G249" s="166"/>
      <c r="H249" s="166"/>
      <c r="I249" s="166"/>
      <c r="J249" s="166"/>
      <c r="K249" s="166"/>
      <c r="L249" s="166"/>
      <c r="M249" s="166"/>
      <c r="N249" s="715"/>
      <c r="O249" s="166"/>
      <c r="P249" s="166"/>
      <c r="Q249" s="716"/>
      <c r="R249" s="714"/>
      <c r="S249" s="717"/>
      <c r="T249" s="714"/>
      <c r="U249" s="166"/>
      <c r="V249" s="166"/>
      <c r="W249" s="166"/>
      <c r="X249" s="166"/>
      <c r="Y249" s="718"/>
      <c r="Z249" s="719"/>
      <c r="AA249" s="719"/>
      <c r="AB249" s="166"/>
      <c r="AC249" s="166"/>
      <c r="AD249" s="166"/>
      <c r="AE249" s="87"/>
      <c r="AF249" s="87"/>
      <c r="AG249" s="87"/>
      <c r="AH249" s="87"/>
      <c r="AI249" s="87"/>
      <c r="AJ249" s="87"/>
      <c r="AK249" s="87"/>
      <c r="AL249" s="87"/>
      <c r="AM249" s="87"/>
    </row>
    <row r="250">
      <c r="A250" s="87"/>
      <c r="B250" s="166"/>
      <c r="C250" s="166"/>
      <c r="D250" s="166"/>
      <c r="E250" s="166"/>
      <c r="F250" s="714"/>
      <c r="G250" s="166"/>
      <c r="H250" s="166"/>
      <c r="I250" s="166"/>
      <c r="J250" s="166"/>
      <c r="K250" s="166"/>
      <c r="L250" s="166"/>
      <c r="M250" s="166"/>
      <c r="N250" s="715"/>
      <c r="O250" s="166"/>
      <c r="P250" s="166"/>
      <c r="Q250" s="716"/>
      <c r="R250" s="714"/>
      <c r="S250" s="717"/>
      <c r="T250" s="714"/>
      <c r="U250" s="166"/>
      <c r="V250" s="166"/>
      <c r="W250" s="166"/>
      <c r="X250" s="166"/>
      <c r="Y250" s="718"/>
      <c r="Z250" s="719"/>
      <c r="AA250" s="719"/>
      <c r="AB250" s="166"/>
      <c r="AC250" s="166"/>
      <c r="AD250" s="166"/>
      <c r="AE250" s="87"/>
      <c r="AF250" s="87"/>
      <c r="AG250" s="87"/>
      <c r="AH250" s="87"/>
      <c r="AI250" s="87"/>
      <c r="AJ250" s="87"/>
      <c r="AK250" s="87"/>
      <c r="AL250" s="87"/>
      <c r="AM250" s="87"/>
    </row>
    <row r="251">
      <c r="A251" s="87"/>
      <c r="B251" s="166"/>
      <c r="C251" s="166"/>
      <c r="D251" s="166"/>
      <c r="E251" s="166"/>
      <c r="F251" s="714"/>
      <c r="G251" s="166"/>
      <c r="H251" s="166"/>
      <c r="I251" s="166"/>
      <c r="J251" s="166"/>
      <c r="K251" s="166"/>
      <c r="L251" s="166"/>
      <c r="M251" s="166"/>
      <c r="N251" s="715"/>
      <c r="O251" s="166"/>
      <c r="P251" s="166"/>
      <c r="Q251" s="716"/>
      <c r="R251" s="714"/>
      <c r="S251" s="717"/>
      <c r="T251" s="714"/>
      <c r="U251" s="166"/>
      <c r="V251" s="166"/>
      <c r="W251" s="166"/>
      <c r="X251" s="166"/>
      <c r="Y251" s="718"/>
      <c r="Z251" s="719"/>
      <c r="AA251" s="719"/>
      <c r="AB251" s="166"/>
      <c r="AC251" s="166"/>
      <c r="AD251" s="166"/>
      <c r="AE251" s="87"/>
      <c r="AF251" s="87"/>
      <c r="AG251" s="87"/>
      <c r="AH251" s="87"/>
      <c r="AI251" s="87"/>
      <c r="AJ251" s="87"/>
      <c r="AK251" s="87"/>
      <c r="AL251" s="87"/>
      <c r="AM251" s="87"/>
    </row>
    <row r="252">
      <c r="A252" s="87"/>
      <c r="B252" s="166"/>
      <c r="C252" s="166"/>
      <c r="D252" s="166"/>
      <c r="E252" s="166"/>
      <c r="F252" s="714"/>
      <c r="G252" s="166"/>
      <c r="H252" s="166"/>
      <c r="I252" s="166"/>
      <c r="J252" s="166"/>
      <c r="K252" s="166"/>
      <c r="L252" s="166"/>
      <c r="M252" s="166"/>
      <c r="N252" s="715"/>
      <c r="O252" s="166"/>
      <c r="P252" s="166"/>
      <c r="Q252" s="716"/>
      <c r="R252" s="714"/>
      <c r="S252" s="717"/>
      <c r="T252" s="714"/>
      <c r="U252" s="166"/>
      <c r="V252" s="166"/>
      <c r="W252" s="166"/>
      <c r="X252" s="166"/>
      <c r="Y252" s="718"/>
      <c r="Z252" s="719"/>
      <c r="AA252" s="719"/>
      <c r="AB252" s="166"/>
      <c r="AC252" s="166"/>
      <c r="AD252" s="166"/>
      <c r="AE252" s="87"/>
      <c r="AF252" s="87"/>
      <c r="AG252" s="87"/>
      <c r="AH252" s="87"/>
      <c r="AI252" s="87"/>
      <c r="AJ252" s="87"/>
      <c r="AK252" s="87"/>
      <c r="AL252" s="87"/>
      <c r="AM252" s="87"/>
    </row>
    <row r="253">
      <c r="A253" s="87"/>
      <c r="B253" s="166"/>
      <c r="C253" s="166"/>
      <c r="D253" s="166"/>
      <c r="E253" s="166"/>
      <c r="F253" s="714"/>
      <c r="G253" s="166"/>
      <c r="H253" s="166"/>
      <c r="I253" s="166"/>
      <c r="J253" s="166"/>
      <c r="K253" s="166"/>
      <c r="L253" s="166"/>
      <c r="M253" s="166"/>
      <c r="N253" s="715"/>
      <c r="O253" s="166"/>
      <c r="P253" s="166"/>
      <c r="Q253" s="716"/>
      <c r="R253" s="714"/>
      <c r="S253" s="717"/>
      <c r="T253" s="714"/>
      <c r="U253" s="166"/>
      <c r="V253" s="166"/>
      <c r="W253" s="166"/>
      <c r="X253" s="166"/>
      <c r="Y253" s="718"/>
      <c r="Z253" s="719"/>
      <c r="AA253" s="719"/>
      <c r="AB253" s="166"/>
      <c r="AC253" s="166"/>
      <c r="AD253" s="166"/>
      <c r="AE253" s="87"/>
      <c r="AF253" s="87"/>
      <c r="AG253" s="87"/>
      <c r="AH253" s="87"/>
      <c r="AI253" s="87"/>
      <c r="AJ253" s="87"/>
      <c r="AK253" s="87"/>
      <c r="AL253" s="87"/>
      <c r="AM253" s="87"/>
    </row>
    <row r="254">
      <c r="A254" s="87"/>
      <c r="B254" s="166"/>
      <c r="C254" s="166"/>
      <c r="D254" s="166"/>
      <c r="E254" s="166"/>
      <c r="F254" s="714"/>
      <c r="G254" s="166"/>
      <c r="H254" s="166"/>
      <c r="I254" s="166"/>
      <c r="J254" s="166"/>
      <c r="K254" s="166"/>
      <c r="L254" s="166"/>
      <c r="M254" s="166"/>
      <c r="N254" s="715"/>
      <c r="O254" s="166"/>
      <c r="P254" s="166"/>
      <c r="Q254" s="716"/>
      <c r="R254" s="714"/>
      <c r="S254" s="717"/>
      <c r="T254" s="714"/>
      <c r="U254" s="166"/>
      <c r="V254" s="166"/>
      <c r="W254" s="166"/>
      <c r="X254" s="166"/>
      <c r="Y254" s="718"/>
      <c r="Z254" s="719"/>
      <c r="AA254" s="719"/>
      <c r="AB254" s="166"/>
      <c r="AC254" s="166"/>
      <c r="AD254" s="166"/>
      <c r="AE254" s="87"/>
      <c r="AF254" s="87"/>
      <c r="AG254" s="87"/>
      <c r="AH254" s="87"/>
      <c r="AI254" s="87"/>
      <c r="AJ254" s="87"/>
      <c r="AK254" s="87"/>
      <c r="AL254" s="87"/>
      <c r="AM254" s="87"/>
    </row>
    <row r="255">
      <c r="A255" s="87"/>
      <c r="B255" s="166"/>
      <c r="C255" s="166"/>
      <c r="D255" s="166"/>
      <c r="E255" s="166"/>
      <c r="F255" s="714"/>
      <c r="G255" s="166"/>
      <c r="H255" s="166"/>
      <c r="I255" s="166"/>
      <c r="J255" s="166"/>
      <c r="K255" s="166"/>
      <c r="L255" s="166"/>
      <c r="M255" s="166"/>
      <c r="N255" s="715"/>
      <c r="O255" s="166"/>
      <c r="P255" s="166"/>
      <c r="Q255" s="716"/>
      <c r="R255" s="714"/>
      <c r="S255" s="717"/>
      <c r="T255" s="714"/>
      <c r="U255" s="166"/>
      <c r="V255" s="166"/>
      <c r="W255" s="166"/>
      <c r="X255" s="166"/>
      <c r="Y255" s="718"/>
      <c r="Z255" s="719"/>
      <c r="AA255" s="719"/>
      <c r="AB255" s="166"/>
      <c r="AC255" s="166"/>
      <c r="AD255" s="166"/>
      <c r="AE255" s="87"/>
      <c r="AF255" s="87"/>
      <c r="AG255" s="87"/>
      <c r="AH255" s="87"/>
      <c r="AI255" s="87"/>
      <c r="AJ255" s="87"/>
      <c r="AK255" s="87"/>
      <c r="AL255" s="87"/>
      <c r="AM255" s="87"/>
    </row>
    <row r="256">
      <c r="A256" s="87"/>
      <c r="B256" s="166"/>
      <c r="C256" s="166"/>
      <c r="D256" s="166"/>
      <c r="E256" s="166"/>
      <c r="F256" s="714"/>
      <c r="G256" s="166"/>
      <c r="H256" s="166"/>
      <c r="I256" s="166"/>
      <c r="J256" s="166"/>
      <c r="K256" s="166"/>
      <c r="L256" s="166"/>
      <c r="M256" s="166"/>
      <c r="N256" s="715"/>
      <c r="O256" s="166"/>
      <c r="P256" s="166"/>
      <c r="Q256" s="716"/>
      <c r="R256" s="714"/>
      <c r="S256" s="717"/>
      <c r="T256" s="714"/>
      <c r="U256" s="166"/>
      <c r="V256" s="166"/>
      <c r="W256" s="166"/>
      <c r="X256" s="166"/>
      <c r="Y256" s="718"/>
      <c r="Z256" s="719"/>
      <c r="AA256" s="719"/>
      <c r="AB256" s="166"/>
      <c r="AC256" s="166"/>
      <c r="AD256" s="166"/>
      <c r="AE256" s="87"/>
      <c r="AF256" s="87"/>
      <c r="AG256" s="87"/>
      <c r="AH256" s="87"/>
      <c r="AI256" s="87"/>
      <c r="AJ256" s="87"/>
      <c r="AK256" s="87"/>
      <c r="AL256" s="87"/>
      <c r="AM256" s="87"/>
    </row>
    <row r="257">
      <c r="A257" s="87"/>
      <c r="B257" s="166"/>
      <c r="C257" s="166"/>
      <c r="D257" s="166"/>
      <c r="E257" s="166"/>
      <c r="F257" s="714"/>
      <c r="G257" s="166"/>
      <c r="H257" s="166"/>
      <c r="I257" s="166"/>
      <c r="J257" s="166"/>
      <c r="K257" s="166"/>
      <c r="L257" s="166"/>
      <c r="M257" s="166"/>
      <c r="N257" s="715"/>
      <c r="O257" s="166"/>
      <c r="P257" s="166"/>
      <c r="Q257" s="716"/>
      <c r="R257" s="714"/>
      <c r="S257" s="717"/>
      <c r="T257" s="714"/>
      <c r="U257" s="166"/>
      <c r="V257" s="166"/>
      <c r="W257" s="166"/>
      <c r="X257" s="166"/>
      <c r="Y257" s="718"/>
      <c r="Z257" s="719"/>
      <c r="AA257" s="719"/>
      <c r="AB257" s="166"/>
      <c r="AC257" s="166"/>
      <c r="AD257" s="166"/>
      <c r="AE257" s="87"/>
      <c r="AF257" s="87"/>
      <c r="AG257" s="87"/>
      <c r="AH257" s="87"/>
      <c r="AI257" s="87"/>
      <c r="AJ257" s="87"/>
      <c r="AK257" s="87"/>
      <c r="AL257" s="87"/>
      <c r="AM257" s="87"/>
    </row>
    <row r="258">
      <c r="A258" s="87"/>
      <c r="B258" s="166"/>
      <c r="C258" s="166"/>
      <c r="D258" s="166"/>
      <c r="E258" s="166"/>
      <c r="F258" s="714"/>
      <c r="G258" s="166"/>
      <c r="H258" s="166"/>
      <c r="I258" s="166"/>
      <c r="J258" s="166"/>
      <c r="K258" s="166"/>
      <c r="L258" s="166"/>
      <c r="M258" s="166"/>
      <c r="N258" s="715"/>
      <c r="O258" s="166"/>
      <c r="P258" s="166"/>
      <c r="Q258" s="716"/>
      <c r="R258" s="714"/>
      <c r="S258" s="717"/>
      <c r="T258" s="714"/>
      <c r="U258" s="166"/>
      <c r="V258" s="166"/>
      <c r="W258" s="166"/>
      <c r="X258" s="166"/>
      <c r="Y258" s="718"/>
      <c r="Z258" s="719"/>
      <c r="AA258" s="719"/>
      <c r="AB258" s="166"/>
      <c r="AC258" s="166"/>
      <c r="AD258" s="166"/>
      <c r="AE258" s="87"/>
      <c r="AF258" s="87"/>
      <c r="AG258" s="87"/>
      <c r="AH258" s="87"/>
      <c r="AI258" s="87"/>
      <c r="AJ258" s="87"/>
      <c r="AK258" s="87"/>
      <c r="AL258" s="87"/>
      <c r="AM258" s="87"/>
    </row>
    <row r="259">
      <c r="A259" s="87"/>
      <c r="B259" s="166"/>
      <c r="C259" s="166"/>
      <c r="D259" s="166"/>
      <c r="E259" s="166"/>
      <c r="F259" s="714"/>
      <c r="G259" s="166"/>
      <c r="H259" s="166"/>
      <c r="I259" s="166"/>
      <c r="J259" s="166"/>
      <c r="K259" s="166"/>
      <c r="L259" s="166"/>
      <c r="M259" s="166"/>
      <c r="N259" s="715"/>
      <c r="O259" s="166"/>
      <c r="P259" s="166"/>
      <c r="Q259" s="716"/>
      <c r="R259" s="714"/>
      <c r="S259" s="717"/>
      <c r="T259" s="714"/>
      <c r="U259" s="166"/>
      <c r="V259" s="166"/>
      <c r="W259" s="166"/>
      <c r="X259" s="166"/>
      <c r="Y259" s="718"/>
      <c r="Z259" s="719"/>
      <c r="AA259" s="719"/>
      <c r="AB259" s="166"/>
      <c r="AC259" s="166"/>
      <c r="AD259" s="166"/>
      <c r="AE259" s="87"/>
      <c r="AF259" s="87"/>
      <c r="AG259" s="87"/>
      <c r="AH259" s="87"/>
      <c r="AI259" s="87"/>
      <c r="AJ259" s="87"/>
      <c r="AK259" s="87"/>
      <c r="AL259" s="87"/>
      <c r="AM259" s="87"/>
    </row>
    <row r="260">
      <c r="A260" s="87"/>
      <c r="B260" s="166"/>
      <c r="C260" s="166"/>
      <c r="D260" s="166"/>
      <c r="E260" s="166"/>
      <c r="F260" s="714"/>
      <c r="G260" s="166"/>
      <c r="H260" s="166"/>
      <c r="I260" s="166"/>
      <c r="J260" s="166"/>
      <c r="K260" s="166"/>
      <c r="L260" s="166"/>
      <c r="M260" s="166"/>
      <c r="N260" s="715"/>
      <c r="O260" s="166"/>
      <c r="P260" s="166"/>
      <c r="Q260" s="716"/>
      <c r="R260" s="714"/>
      <c r="S260" s="717"/>
      <c r="T260" s="714"/>
      <c r="U260" s="166"/>
      <c r="V260" s="166"/>
      <c r="W260" s="166"/>
      <c r="X260" s="166"/>
      <c r="Y260" s="718"/>
      <c r="Z260" s="719"/>
      <c r="AA260" s="719"/>
      <c r="AB260" s="166"/>
      <c r="AC260" s="166"/>
      <c r="AD260" s="166"/>
      <c r="AE260" s="87"/>
      <c r="AF260" s="87"/>
      <c r="AG260" s="87"/>
      <c r="AH260" s="87"/>
      <c r="AI260" s="87"/>
      <c r="AJ260" s="87"/>
      <c r="AK260" s="87"/>
      <c r="AL260" s="87"/>
      <c r="AM260" s="87"/>
    </row>
    <row r="261">
      <c r="A261" s="87"/>
      <c r="B261" s="166"/>
      <c r="C261" s="166"/>
      <c r="D261" s="166"/>
      <c r="E261" s="166"/>
      <c r="F261" s="714"/>
      <c r="G261" s="166"/>
      <c r="H261" s="166"/>
      <c r="I261" s="166"/>
      <c r="J261" s="166"/>
      <c r="K261" s="166"/>
      <c r="L261" s="166"/>
      <c r="M261" s="166"/>
      <c r="N261" s="715"/>
      <c r="O261" s="166"/>
      <c r="P261" s="166"/>
      <c r="Q261" s="716"/>
      <c r="R261" s="714"/>
      <c r="S261" s="717"/>
      <c r="T261" s="714"/>
      <c r="U261" s="166"/>
      <c r="V261" s="166"/>
      <c r="W261" s="166"/>
      <c r="X261" s="166"/>
      <c r="Y261" s="718"/>
      <c r="Z261" s="719"/>
      <c r="AA261" s="719"/>
      <c r="AB261" s="166"/>
      <c r="AC261" s="166"/>
      <c r="AD261" s="166"/>
      <c r="AE261" s="87"/>
      <c r="AF261" s="87"/>
      <c r="AG261" s="87"/>
      <c r="AH261" s="87"/>
      <c r="AI261" s="87"/>
      <c r="AJ261" s="87"/>
      <c r="AK261" s="87"/>
      <c r="AL261" s="87"/>
      <c r="AM261" s="87"/>
    </row>
    <row r="262">
      <c r="A262" s="87"/>
      <c r="B262" s="166"/>
      <c r="C262" s="166"/>
      <c r="D262" s="166"/>
      <c r="E262" s="166"/>
      <c r="F262" s="714"/>
      <c r="G262" s="166"/>
      <c r="H262" s="166"/>
      <c r="I262" s="166"/>
      <c r="J262" s="166"/>
      <c r="K262" s="166"/>
      <c r="L262" s="166"/>
      <c r="M262" s="166"/>
      <c r="N262" s="715"/>
      <c r="O262" s="166"/>
      <c r="P262" s="166"/>
      <c r="Q262" s="716"/>
      <c r="R262" s="714"/>
      <c r="S262" s="717"/>
      <c r="T262" s="714"/>
      <c r="U262" s="166"/>
      <c r="V262" s="166"/>
      <c r="W262" s="166"/>
      <c r="X262" s="166"/>
      <c r="Y262" s="718"/>
      <c r="Z262" s="719"/>
      <c r="AA262" s="719"/>
      <c r="AB262" s="166"/>
      <c r="AC262" s="166"/>
      <c r="AD262" s="166"/>
      <c r="AE262" s="87"/>
      <c r="AF262" s="87"/>
      <c r="AG262" s="87"/>
      <c r="AH262" s="87"/>
      <c r="AI262" s="87"/>
      <c r="AJ262" s="87"/>
      <c r="AK262" s="87"/>
      <c r="AL262" s="87"/>
      <c r="AM262" s="87"/>
    </row>
    <row r="263">
      <c r="A263" s="87"/>
      <c r="B263" s="166"/>
      <c r="C263" s="166"/>
      <c r="D263" s="166"/>
      <c r="E263" s="166"/>
      <c r="F263" s="714"/>
      <c r="G263" s="166"/>
      <c r="H263" s="166"/>
      <c r="I263" s="166"/>
      <c r="J263" s="166"/>
      <c r="K263" s="166"/>
      <c r="L263" s="166"/>
      <c r="M263" s="166"/>
      <c r="N263" s="715"/>
      <c r="O263" s="166"/>
      <c r="P263" s="166"/>
      <c r="Q263" s="716"/>
      <c r="R263" s="714"/>
      <c r="S263" s="717"/>
      <c r="T263" s="714"/>
      <c r="U263" s="166"/>
      <c r="V263" s="166"/>
      <c r="W263" s="166"/>
      <c r="X263" s="166"/>
      <c r="Y263" s="718"/>
      <c r="Z263" s="719"/>
      <c r="AA263" s="719"/>
      <c r="AB263" s="166"/>
      <c r="AC263" s="166"/>
      <c r="AD263" s="166"/>
      <c r="AE263" s="87"/>
      <c r="AF263" s="87"/>
      <c r="AG263" s="87"/>
      <c r="AH263" s="87"/>
      <c r="AI263" s="87"/>
      <c r="AJ263" s="87"/>
      <c r="AK263" s="87"/>
      <c r="AL263" s="87"/>
      <c r="AM263" s="87"/>
    </row>
    <row r="264">
      <c r="A264" s="87"/>
      <c r="B264" s="166"/>
      <c r="C264" s="166"/>
      <c r="D264" s="166"/>
      <c r="E264" s="166"/>
      <c r="F264" s="714"/>
      <c r="G264" s="166"/>
      <c r="H264" s="166"/>
      <c r="I264" s="166"/>
      <c r="J264" s="166"/>
      <c r="K264" s="166"/>
      <c r="L264" s="166"/>
      <c r="M264" s="166"/>
      <c r="N264" s="715"/>
      <c r="O264" s="166"/>
      <c r="P264" s="166"/>
      <c r="Q264" s="716"/>
      <c r="R264" s="714"/>
      <c r="S264" s="717"/>
      <c r="T264" s="714"/>
      <c r="U264" s="166"/>
      <c r="V264" s="166"/>
      <c r="W264" s="166"/>
      <c r="X264" s="166"/>
      <c r="Y264" s="718"/>
      <c r="Z264" s="719"/>
      <c r="AA264" s="719"/>
      <c r="AB264" s="166"/>
      <c r="AC264" s="166"/>
      <c r="AD264" s="166"/>
      <c r="AE264" s="87"/>
      <c r="AF264" s="87"/>
      <c r="AG264" s="87"/>
      <c r="AH264" s="87"/>
      <c r="AI264" s="87"/>
      <c r="AJ264" s="87"/>
      <c r="AK264" s="87"/>
      <c r="AL264" s="87"/>
      <c r="AM264" s="87"/>
    </row>
    <row r="265">
      <c r="A265" s="87"/>
      <c r="B265" s="166"/>
      <c r="C265" s="166"/>
      <c r="D265" s="166"/>
      <c r="E265" s="166"/>
      <c r="F265" s="714"/>
      <c r="G265" s="166"/>
      <c r="H265" s="166"/>
      <c r="I265" s="166"/>
      <c r="J265" s="166"/>
      <c r="K265" s="166"/>
      <c r="L265" s="166"/>
      <c r="M265" s="166"/>
      <c r="N265" s="715"/>
      <c r="O265" s="166"/>
      <c r="P265" s="166"/>
      <c r="Q265" s="716"/>
      <c r="R265" s="714"/>
      <c r="S265" s="717"/>
      <c r="T265" s="714"/>
      <c r="U265" s="166"/>
      <c r="V265" s="166"/>
      <c r="W265" s="166"/>
      <c r="X265" s="166"/>
      <c r="Y265" s="718"/>
      <c r="Z265" s="719"/>
      <c r="AA265" s="719"/>
      <c r="AB265" s="166"/>
      <c r="AC265" s="166"/>
      <c r="AD265" s="166"/>
      <c r="AE265" s="87"/>
      <c r="AF265" s="87"/>
      <c r="AG265" s="87"/>
      <c r="AH265" s="87"/>
      <c r="AI265" s="87"/>
      <c r="AJ265" s="87"/>
      <c r="AK265" s="87"/>
      <c r="AL265" s="87"/>
      <c r="AM265" s="87"/>
    </row>
    <row r="266">
      <c r="A266" s="87"/>
      <c r="B266" s="166"/>
      <c r="C266" s="166"/>
      <c r="D266" s="166"/>
      <c r="E266" s="166"/>
      <c r="F266" s="714"/>
      <c r="G266" s="166"/>
      <c r="H266" s="166"/>
      <c r="I266" s="166"/>
      <c r="J266" s="166"/>
      <c r="K266" s="166"/>
      <c r="L266" s="166"/>
      <c r="M266" s="166"/>
      <c r="N266" s="715"/>
      <c r="O266" s="166"/>
      <c r="P266" s="166"/>
      <c r="Q266" s="716"/>
      <c r="R266" s="714"/>
      <c r="S266" s="717"/>
      <c r="T266" s="714"/>
      <c r="U266" s="166"/>
      <c r="V266" s="166"/>
      <c r="W266" s="166"/>
      <c r="X266" s="166"/>
      <c r="Y266" s="718"/>
      <c r="Z266" s="719"/>
      <c r="AA266" s="719"/>
      <c r="AB266" s="166"/>
      <c r="AC266" s="166"/>
      <c r="AD266" s="166"/>
      <c r="AE266" s="87"/>
      <c r="AF266" s="87"/>
      <c r="AG266" s="87"/>
      <c r="AH266" s="87"/>
      <c r="AI266" s="87"/>
      <c r="AJ266" s="87"/>
      <c r="AK266" s="87"/>
      <c r="AL266" s="87"/>
      <c r="AM266" s="87"/>
    </row>
    <row r="267">
      <c r="A267" s="87"/>
      <c r="B267" s="166"/>
      <c r="C267" s="166"/>
      <c r="D267" s="166"/>
      <c r="E267" s="166"/>
      <c r="F267" s="714"/>
      <c r="G267" s="166"/>
      <c r="H267" s="166"/>
      <c r="I267" s="166"/>
      <c r="J267" s="166"/>
      <c r="K267" s="166"/>
      <c r="L267" s="166"/>
      <c r="M267" s="166"/>
      <c r="N267" s="715"/>
      <c r="O267" s="166"/>
      <c r="P267" s="166"/>
      <c r="Q267" s="716"/>
      <c r="R267" s="714"/>
      <c r="S267" s="717"/>
      <c r="T267" s="714"/>
      <c r="U267" s="166"/>
      <c r="V267" s="166"/>
      <c r="W267" s="166"/>
      <c r="X267" s="166"/>
      <c r="Y267" s="718"/>
      <c r="Z267" s="719"/>
      <c r="AA267" s="719"/>
      <c r="AB267" s="166"/>
      <c r="AC267" s="166"/>
      <c r="AD267" s="166"/>
      <c r="AE267" s="87"/>
      <c r="AF267" s="87"/>
      <c r="AG267" s="87"/>
      <c r="AH267" s="87"/>
      <c r="AI267" s="87"/>
      <c r="AJ267" s="87"/>
      <c r="AK267" s="87"/>
      <c r="AL267" s="87"/>
      <c r="AM267" s="87"/>
    </row>
    <row r="268">
      <c r="A268" s="87"/>
      <c r="B268" s="166"/>
      <c r="C268" s="166"/>
      <c r="D268" s="166"/>
      <c r="E268" s="166"/>
      <c r="F268" s="714"/>
      <c r="G268" s="166"/>
      <c r="H268" s="166"/>
      <c r="I268" s="166"/>
      <c r="J268" s="166"/>
      <c r="K268" s="166"/>
      <c r="L268" s="166"/>
      <c r="M268" s="166"/>
      <c r="N268" s="715"/>
      <c r="O268" s="166"/>
      <c r="P268" s="166"/>
      <c r="Q268" s="716"/>
      <c r="R268" s="714"/>
      <c r="S268" s="717"/>
      <c r="T268" s="714"/>
      <c r="U268" s="166"/>
      <c r="V268" s="166"/>
      <c r="W268" s="166"/>
      <c r="X268" s="166"/>
      <c r="Y268" s="718"/>
      <c r="Z268" s="719"/>
      <c r="AA268" s="719"/>
      <c r="AB268" s="166"/>
      <c r="AC268" s="166"/>
      <c r="AD268" s="166"/>
      <c r="AE268" s="87"/>
      <c r="AF268" s="87"/>
      <c r="AG268" s="87"/>
      <c r="AH268" s="87"/>
      <c r="AI268" s="87"/>
      <c r="AJ268" s="87"/>
      <c r="AK268" s="87"/>
      <c r="AL268" s="87"/>
      <c r="AM268" s="87"/>
    </row>
    <row r="269">
      <c r="A269" s="87"/>
      <c r="B269" s="166"/>
      <c r="C269" s="166"/>
      <c r="D269" s="166"/>
      <c r="E269" s="166"/>
      <c r="F269" s="714"/>
      <c r="G269" s="166"/>
      <c r="H269" s="166"/>
      <c r="I269" s="166"/>
      <c r="J269" s="166"/>
      <c r="K269" s="166"/>
      <c r="L269" s="166"/>
      <c r="M269" s="166"/>
      <c r="N269" s="715"/>
      <c r="O269" s="166"/>
      <c r="P269" s="166"/>
      <c r="Q269" s="716"/>
      <c r="R269" s="714"/>
      <c r="S269" s="717"/>
      <c r="T269" s="714"/>
      <c r="U269" s="166"/>
      <c r="V269" s="166"/>
      <c r="W269" s="166"/>
      <c r="X269" s="166"/>
      <c r="Y269" s="718"/>
      <c r="Z269" s="719"/>
      <c r="AA269" s="719"/>
      <c r="AB269" s="166"/>
      <c r="AC269" s="166"/>
      <c r="AD269" s="166"/>
      <c r="AE269" s="87"/>
      <c r="AF269" s="87"/>
      <c r="AG269" s="87"/>
      <c r="AH269" s="87"/>
      <c r="AI269" s="87"/>
      <c r="AJ269" s="87"/>
      <c r="AK269" s="87"/>
      <c r="AL269" s="87"/>
      <c r="AM269" s="87"/>
    </row>
    <row r="270">
      <c r="A270" s="87"/>
      <c r="B270" s="166"/>
      <c r="C270" s="166"/>
      <c r="D270" s="166"/>
      <c r="E270" s="166"/>
      <c r="F270" s="714"/>
      <c r="G270" s="166"/>
      <c r="H270" s="166"/>
      <c r="I270" s="166"/>
      <c r="J270" s="166"/>
      <c r="K270" s="166"/>
      <c r="L270" s="166"/>
      <c r="M270" s="166"/>
      <c r="N270" s="715"/>
      <c r="O270" s="166"/>
      <c r="P270" s="166"/>
      <c r="Q270" s="716"/>
      <c r="R270" s="714"/>
      <c r="S270" s="717"/>
      <c r="T270" s="714"/>
      <c r="U270" s="166"/>
      <c r="V270" s="166"/>
      <c r="W270" s="166"/>
      <c r="X270" s="166"/>
      <c r="Y270" s="718"/>
      <c r="Z270" s="719"/>
      <c r="AA270" s="719"/>
      <c r="AB270" s="166"/>
      <c r="AC270" s="166"/>
      <c r="AD270" s="166"/>
      <c r="AE270" s="87"/>
      <c r="AF270" s="87"/>
      <c r="AG270" s="87"/>
      <c r="AH270" s="87"/>
      <c r="AI270" s="87"/>
      <c r="AJ270" s="87"/>
      <c r="AK270" s="87"/>
      <c r="AL270" s="87"/>
      <c r="AM270" s="87"/>
    </row>
    <row r="271">
      <c r="A271" s="87"/>
      <c r="B271" s="166"/>
      <c r="C271" s="166"/>
      <c r="D271" s="166"/>
      <c r="E271" s="166"/>
      <c r="F271" s="714"/>
      <c r="G271" s="166"/>
      <c r="H271" s="166"/>
      <c r="I271" s="166"/>
      <c r="J271" s="166"/>
      <c r="K271" s="166"/>
      <c r="L271" s="166"/>
      <c r="M271" s="166"/>
      <c r="N271" s="715"/>
      <c r="O271" s="166"/>
      <c r="P271" s="166"/>
      <c r="Q271" s="716"/>
      <c r="R271" s="714"/>
      <c r="S271" s="717"/>
      <c r="T271" s="714"/>
      <c r="U271" s="166"/>
      <c r="V271" s="166"/>
      <c r="W271" s="166"/>
      <c r="X271" s="166"/>
      <c r="Y271" s="718"/>
      <c r="Z271" s="719"/>
      <c r="AA271" s="719"/>
      <c r="AB271" s="166"/>
      <c r="AC271" s="166"/>
      <c r="AD271" s="166"/>
      <c r="AE271" s="87"/>
      <c r="AF271" s="87"/>
      <c r="AG271" s="87"/>
      <c r="AH271" s="87"/>
      <c r="AI271" s="87"/>
      <c r="AJ271" s="87"/>
      <c r="AK271" s="87"/>
      <c r="AL271" s="87"/>
      <c r="AM271" s="87"/>
    </row>
    <row r="272">
      <c r="A272" s="87"/>
      <c r="B272" s="166"/>
      <c r="C272" s="166"/>
      <c r="D272" s="166"/>
      <c r="E272" s="166"/>
      <c r="F272" s="714"/>
      <c r="G272" s="166"/>
      <c r="H272" s="166"/>
      <c r="I272" s="166"/>
      <c r="J272" s="166"/>
      <c r="K272" s="166"/>
      <c r="L272" s="166"/>
      <c r="M272" s="166"/>
      <c r="N272" s="715"/>
      <c r="O272" s="166"/>
      <c r="P272" s="166"/>
      <c r="Q272" s="716"/>
      <c r="R272" s="714"/>
      <c r="S272" s="717"/>
      <c r="T272" s="714"/>
      <c r="U272" s="166"/>
      <c r="V272" s="166"/>
      <c r="W272" s="166"/>
      <c r="X272" s="166"/>
      <c r="Y272" s="718"/>
      <c r="Z272" s="719"/>
      <c r="AA272" s="719"/>
      <c r="AB272" s="166"/>
      <c r="AC272" s="166"/>
      <c r="AD272" s="166"/>
      <c r="AE272" s="87"/>
      <c r="AF272" s="87"/>
      <c r="AG272" s="87"/>
      <c r="AH272" s="87"/>
      <c r="AI272" s="87"/>
      <c r="AJ272" s="87"/>
      <c r="AK272" s="87"/>
      <c r="AL272" s="87"/>
      <c r="AM272" s="87"/>
    </row>
    <row r="273">
      <c r="A273" s="87"/>
      <c r="B273" s="166"/>
      <c r="C273" s="166"/>
      <c r="D273" s="166"/>
      <c r="E273" s="166"/>
      <c r="F273" s="714"/>
      <c r="G273" s="166"/>
      <c r="H273" s="166"/>
      <c r="I273" s="166"/>
      <c r="J273" s="166"/>
      <c r="K273" s="166"/>
      <c r="L273" s="166"/>
      <c r="M273" s="166"/>
      <c r="N273" s="715"/>
      <c r="O273" s="166"/>
      <c r="P273" s="166"/>
      <c r="Q273" s="716"/>
      <c r="R273" s="714"/>
      <c r="S273" s="717"/>
      <c r="T273" s="714"/>
      <c r="U273" s="166"/>
      <c r="V273" s="166"/>
      <c r="W273" s="166"/>
      <c r="X273" s="166"/>
      <c r="Y273" s="718"/>
      <c r="Z273" s="719"/>
      <c r="AA273" s="719"/>
      <c r="AB273" s="166"/>
      <c r="AC273" s="166"/>
      <c r="AD273" s="166"/>
      <c r="AE273" s="87"/>
      <c r="AF273" s="87"/>
      <c r="AG273" s="87"/>
      <c r="AH273" s="87"/>
      <c r="AI273" s="87"/>
      <c r="AJ273" s="87"/>
      <c r="AK273" s="87"/>
      <c r="AL273" s="87"/>
      <c r="AM273" s="87"/>
    </row>
    <row r="274">
      <c r="A274" s="87"/>
      <c r="B274" s="166"/>
      <c r="C274" s="166"/>
      <c r="D274" s="166"/>
      <c r="E274" s="166"/>
      <c r="F274" s="714"/>
      <c r="G274" s="166"/>
      <c r="H274" s="166"/>
      <c r="I274" s="166"/>
      <c r="J274" s="166"/>
      <c r="K274" s="166"/>
      <c r="L274" s="166"/>
      <c r="M274" s="166"/>
      <c r="N274" s="715"/>
      <c r="O274" s="166"/>
      <c r="P274" s="166"/>
      <c r="Q274" s="716"/>
      <c r="R274" s="714"/>
      <c r="S274" s="717"/>
      <c r="T274" s="714"/>
      <c r="U274" s="166"/>
      <c r="V274" s="166"/>
      <c r="W274" s="166"/>
      <c r="X274" s="166"/>
      <c r="Y274" s="718"/>
      <c r="Z274" s="719"/>
      <c r="AA274" s="719"/>
      <c r="AB274" s="166"/>
      <c r="AC274" s="166"/>
      <c r="AD274" s="166"/>
      <c r="AE274" s="87"/>
      <c r="AF274" s="87"/>
      <c r="AG274" s="87"/>
      <c r="AH274" s="87"/>
      <c r="AI274" s="87"/>
      <c r="AJ274" s="87"/>
      <c r="AK274" s="87"/>
      <c r="AL274" s="87"/>
      <c r="AM274" s="87"/>
    </row>
    <row r="275">
      <c r="A275" s="87"/>
      <c r="B275" s="166"/>
      <c r="C275" s="166"/>
      <c r="D275" s="166"/>
      <c r="E275" s="166"/>
      <c r="F275" s="714"/>
      <c r="G275" s="166"/>
      <c r="H275" s="166"/>
      <c r="I275" s="166"/>
      <c r="J275" s="166"/>
      <c r="K275" s="166"/>
      <c r="L275" s="166"/>
      <c r="M275" s="166"/>
      <c r="N275" s="715"/>
      <c r="O275" s="166"/>
      <c r="P275" s="166"/>
      <c r="Q275" s="716"/>
      <c r="R275" s="714"/>
      <c r="S275" s="717"/>
      <c r="T275" s="714"/>
      <c r="U275" s="166"/>
      <c r="V275" s="166"/>
      <c r="W275" s="166"/>
      <c r="X275" s="166"/>
      <c r="Y275" s="718"/>
      <c r="Z275" s="719"/>
      <c r="AA275" s="719"/>
      <c r="AB275" s="166"/>
      <c r="AC275" s="166"/>
      <c r="AD275" s="166"/>
      <c r="AE275" s="87"/>
      <c r="AF275" s="87"/>
      <c r="AG275" s="87"/>
      <c r="AH275" s="87"/>
      <c r="AI275" s="87"/>
      <c r="AJ275" s="87"/>
      <c r="AK275" s="87"/>
      <c r="AL275" s="87"/>
      <c r="AM275" s="87"/>
    </row>
    <row r="276">
      <c r="A276" s="87"/>
      <c r="B276" s="166"/>
      <c r="C276" s="166"/>
      <c r="D276" s="166"/>
      <c r="E276" s="166"/>
      <c r="F276" s="714"/>
      <c r="G276" s="166"/>
      <c r="H276" s="166"/>
      <c r="I276" s="166"/>
      <c r="J276" s="166"/>
      <c r="K276" s="166"/>
      <c r="L276" s="166"/>
      <c r="M276" s="166"/>
      <c r="N276" s="715"/>
      <c r="O276" s="166"/>
      <c r="P276" s="166"/>
      <c r="Q276" s="716"/>
      <c r="R276" s="714"/>
      <c r="S276" s="717"/>
      <c r="T276" s="714"/>
      <c r="U276" s="166"/>
      <c r="V276" s="166"/>
      <c r="W276" s="166"/>
      <c r="X276" s="166"/>
      <c r="Y276" s="718"/>
      <c r="Z276" s="719"/>
      <c r="AA276" s="719"/>
      <c r="AB276" s="166"/>
      <c r="AC276" s="166"/>
      <c r="AD276" s="166"/>
      <c r="AE276" s="87"/>
      <c r="AF276" s="87"/>
      <c r="AG276" s="87"/>
      <c r="AH276" s="87"/>
      <c r="AI276" s="87"/>
      <c r="AJ276" s="87"/>
      <c r="AK276" s="87"/>
      <c r="AL276" s="87"/>
      <c r="AM276" s="87"/>
    </row>
    <row r="277">
      <c r="A277" s="87"/>
      <c r="B277" s="166"/>
      <c r="C277" s="166"/>
      <c r="D277" s="166"/>
      <c r="E277" s="166"/>
      <c r="F277" s="714"/>
      <c r="G277" s="166"/>
      <c r="H277" s="166"/>
      <c r="I277" s="166"/>
      <c r="J277" s="166"/>
      <c r="K277" s="166"/>
      <c r="L277" s="166"/>
      <c r="M277" s="166"/>
      <c r="N277" s="715"/>
      <c r="O277" s="166"/>
      <c r="P277" s="166"/>
      <c r="Q277" s="716"/>
      <c r="R277" s="714"/>
      <c r="S277" s="717"/>
      <c r="T277" s="714"/>
      <c r="U277" s="166"/>
      <c r="V277" s="166"/>
      <c r="W277" s="166"/>
      <c r="X277" s="166"/>
      <c r="Y277" s="718"/>
      <c r="Z277" s="719"/>
      <c r="AA277" s="719"/>
      <c r="AB277" s="166"/>
      <c r="AC277" s="166"/>
      <c r="AD277" s="166"/>
      <c r="AE277" s="87"/>
      <c r="AF277" s="87"/>
      <c r="AG277" s="87"/>
      <c r="AH277" s="87"/>
      <c r="AI277" s="87"/>
      <c r="AJ277" s="87"/>
      <c r="AK277" s="87"/>
      <c r="AL277" s="87"/>
      <c r="AM277" s="87"/>
    </row>
    <row r="278">
      <c r="A278" s="87"/>
      <c r="B278" s="166"/>
      <c r="C278" s="166"/>
      <c r="D278" s="166"/>
      <c r="E278" s="166"/>
      <c r="F278" s="714"/>
      <c r="G278" s="166"/>
      <c r="H278" s="166"/>
      <c r="I278" s="166"/>
      <c r="J278" s="166"/>
      <c r="K278" s="166"/>
      <c r="L278" s="166"/>
      <c r="M278" s="166"/>
      <c r="N278" s="715"/>
      <c r="O278" s="166"/>
      <c r="P278" s="166"/>
      <c r="Q278" s="716"/>
      <c r="R278" s="714"/>
      <c r="S278" s="717"/>
      <c r="T278" s="714"/>
      <c r="U278" s="166"/>
      <c r="V278" s="166"/>
      <c r="W278" s="166"/>
      <c r="X278" s="166"/>
      <c r="Y278" s="718"/>
      <c r="Z278" s="719"/>
      <c r="AA278" s="719"/>
      <c r="AB278" s="166"/>
      <c r="AC278" s="166"/>
      <c r="AD278" s="166"/>
      <c r="AE278" s="87"/>
      <c r="AF278" s="87"/>
      <c r="AG278" s="87"/>
      <c r="AH278" s="87"/>
      <c r="AI278" s="87"/>
      <c r="AJ278" s="87"/>
      <c r="AK278" s="87"/>
      <c r="AL278" s="87"/>
      <c r="AM278" s="87"/>
    </row>
    <row r="279">
      <c r="A279" s="87"/>
      <c r="B279" s="166"/>
      <c r="C279" s="166"/>
      <c r="D279" s="166"/>
      <c r="E279" s="166"/>
      <c r="F279" s="714"/>
      <c r="G279" s="166"/>
      <c r="H279" s="166"/>
      <c r="I279" s="166"/>
      <c r="J279" s="166"/>
      <c r="K279" s="166"/>
      <c r="L279" s="166"/>
      <c r="M279" s="166"/>
      <c r="N279" s="715"/>
      <c r="O279" s="166"/>
      <c r="P279" s="166"/>
      <c r="Q279" s="716"/>
      <c r="R279" s="714"/>
      <c r="S279" s="717"/>
      <c r="T279" s="714"/>
      <c r="U279" s="166"/>
      <c r="V279" s="166"/>
      <c r="W279" s="166"/>
      <c r="X279" s="166"/>
      <c r="Y279" s="718"/>
      <c r="Z279" s="719"/>
      <c r="AA279" s="719"/>
      <c r="AB279" s="166"/>
      <c r="AC279" s="166"/>
      <c r="AD279" s="166"/>
      <c r="AE279" s="87"/>
      <c r="AF279" s="87"/>
      <c r="AG279" s="87"/>
      <c r="AH279" s="87"/>
      <c r="AI279" s="87"/>
      <c r="AJ279" s="87"/>
      <c r="AK279" s="87"/>
      <c r="AL279" s="87"/>
      <c r="AM279" s="87"/>
    </row>
    <row r="280">
      <c r="A280" s="87"/>
      <c r="B280" s="166"/>
      <c r="C280" s="166"/>
      <c r="D280" s="166"/>
      <c r="E280" s="166"/>
      <c r="F280" s="714"/>
      <c r="G280" s="166"/>
      <c r="H280" s="166"/>
      <c r="I280" s="166"/>
      <c r="J280" s="166"/>
      <c r="K280" s="166"/>
      <c r="L280" s="166"/>
      <c r="M280" s="166"/>
      <c r="N280" s="715"/>
      <c r="O280" s="166"/>
      <c r="P280" s="166"/>
      <c r="Q280" s="716"/>
      <c r="R280" s="714"/>
      <c r="S280" s="717"/>
      <c r="T280" s="714"/>
      <c r="U280" s="166"/>
      <c r="V280" s="166"/>
      <c r="W280" s="166"/>
      <c r="X280" s="166"/>
      <c r="Y280" s="718"/>
      <c r="Z280" s="719"/>
      <c r="AA280" s="719"/>
      <c r="AB280" s="166"/>
      <c r="AC280" s="166"/>
      <c r="AD280" s="166"/>
      <c r="AE280" s="87"/>
      <c r="AF280" s="87"/>
      <c r="AG280" s="87"/>
      <c r="AH280" s="87"/>
      <c r="AI280" s="87"/>
      <c r="AJ280" s="87"/>
      <c r="AK280" s="87"/>
      <c r="AL280" s="87"/>
      <c r="AM280" s="87"/>
    </row>
    <row r="281">
      <c r="A281" s="87"/>
      <c r="B281" s="166"/>
      <c r="C281" s="166"/>
      <c r="D281" s="166"/>
      <c r="E281" s="166"/>
      <c r="F281" s="714"/>
      <c r="G281" s="166"/>
      <c r="H281" s="166"/>
      <c r="I281" s="166"/>
      <c r="J281" s="166"/>
      <c r="K281" s="166"/>
      <c r="L281" s="166"/>
      <c r="M281" s="166"/>
      <c r="N281" s="715"/>
      <c r="O281" s="166"/>
      <c r="P281" s="166"/>
      <c r="Q281" s="716"/>
      <c r="R281" s="714"/>
      <c r="S281" s="717"/>
      <c r="T281" s="714"/>
      <c r="U281" s="166"/>
      <c r="V281" s="166"/>
      <c r="W281" s="166"/>
      <c r="X281" s="166"/>
      <c r="Y281" s="718"/>
      <c r="Z281" s="719"/>
      <c r="AA281" s="719"/>
      <c r="AB281" s="166"/>
      <c r="AC281" s="166"/>
      <c r="AD281" s="166"/>
      <c r="AE281" s="87"/>
      <c r="AF281" s="87"/>
      <c r="AG281" s="87"/>
      <c r="AH281" s="87"/>
      <c r="AI281" s="87"/>
      <c r="AJ281" s="87"/>
      <c r="AK281" s="87"/>
      <c r="AL281" s="87"/>
      <c r="AM281" s="87"/>
    </row>
    <row r="282">
      <c r="A282" s="87"/>
      <c r="B282" s="166"/>
      <c r="C282" s="166"/>
      <c r="D282" s="166"/>
      <c r="E282" s="166"/>
      <c r="F282" s="714"/>
      <c r="G282" s="166"/>
      <c r="H282" s="166"/>
      <c r="I282" s="166"/>
      <c r="J282" s="166"/>
      <c r="K282" s="166"/>
      <c r="L282" s="166"/>
      <c r="M282" s="166"/>
      <c r="N282" s="715"/>
      <c r="O282" s="166"/>
      <c r="P282" s="166"/>
      <c r="Q282" s="716"/>
      <c r="R282" s="714"/>
      <c r="S282" s="717"/>
      <c r="T282" s="714"/>
      <c r="U282" s="166"/>
      <c r="V282" s="166"/>
      <c r="W282" s="166"/>
      <c r="X282" s="166"/>
      <c r="Y282" s="718"/>
      <c r="Z282" s="719"/>
      <c r="AA282" s="719"/>
      <c r="AB282" s="166"/>
      <c r="AC282" s="166"/>
      <c r="AD282" s="166"/>
      <c r="AE282" s="87"/>
      <c r="AF282" s="87"/>
      <c r="AG282" s="87"/>
      <c r="AH282" s="87"/>
      <c r="AI282" s="87"/>
      <c r="AJ282" s="87"/>
      <c r="AK282" s="87"/>
      <c r="AL282" s="87"/>
      <c r="AM282" s="87"/>
    </row>
    <row r="283">
      <c r="A283" s="87"/>
      <c r="B283" s="166"/>
      <c r="C283" s="166"/>
      <c r="D283" s="166"/>
      <c r="E283" s="166"/>
      <c r="F283" s="714"/>
      <c r="G283" s="166"/>
      <c r="H283" s="166"/>
      <c r="I283" s="166"/>
      <c r="J283" s="166"/>
      <c r="K283" s="166"/>
      <c r="L283" s="166"/>
      <c r="M283" s="166"/>
      <c r="N283" s="715"/>
      <c r="O283" s="166"/>
      <c r="P283" s="166"/>
      <c r="Q283" s="716"/>
      <c r="R283" s="714"/>
      <c r="S283" s="717"/>
      <c r="T283" s="714"/>
      <c r="U283" s="166"/>
      <c r="V283" s="166"/>
      <c r="W283" s="166"/>
      <c r="X283" s="166"/>
      <c r="Y283" s="718"/>
      <c r="Z283" s="719"/>
      <c r="AA283" s="719"/>
      <c r="AB283" s="166"/>
      <c r="AC283" s="166"/>
      <c r="AD283" s="166"/>
      <c r="AE283" s="87"/>
      <c r="AF283" s="87"/>
      <c r="AG283" s="87"/>
      <c r="AH283" s="87"/>
      <c r="AI283" s="87"/>
      <c r="AJ283" s="87"/>
      <c r="AK283" s="87"/>
      <c r="AL283" s="87"/>
      <c r="AM283" s="87"/>
    </row>
    <row r="284">
      <c r="A284" s="87"/>
      <c r="B284" s="166"/>
      <c r="C284" s="166"/>
      <c r="D284" s="166"/>
      <c r="E284" s="166"/>
      <c r="F284" s="714"/>
      <c r="G284" s="166"/>
      <c r="H284" s="166"/>
      <c r="I284" s="166"/>
      <c r="J284" s="166"/>
      <c r="K284" s="166"/>
      <c r="L284" s="166"/>
      <c r="M284" s="166"/>
      <c r="N284" s="715"/>
      <c r="O284" s="166"/>
      <c r="P284" s="166"/>
      <c r="Q284" s="716"/>
      <c r="R284" s="714"/>
      <c r="S284" s="717"/>
      <c r="T284" s="714"/>
      <c r="U284" s="166"/>
      <c r="V284" s="166"/>
      <c r="W284" s="166"/>
      <c r="X284" s="166"/>
      <c r="Y284" s="718"/>
      <c r="Z284" s="719"/>
      <c r="AA284" s="719"/>
      <c r="AB284" s="166"/>
      <c r="AC284" s="166"/>
      <c r="AD284" s="166"/>
      <c r="AE284" s="87"/>
      <c r="AF284" s="87"/>
      <c r="AG284" s="87"/>
      <c r="AH284" s="87"/>
      <c r="AI284" s="87"/>
      <c r="AJ284" s="87"/>
      <c r="AK284" s="87"/>
      <c r="AL284" s="87"/>
      <c r="AM284" s="87"/>
    </row>
    <row r="285">
      <c r="A285" s="87"/>
      <c r="B285" s="166"/>
      <c r="C285" s="166"/>
      <c r="D285" s="166"/>
      <c r="E285" s="166"/>
      <c r="F285" s="714"/>
      <c r="G285" s="166"/>
      <c r="H285" s="166"/>
      <c r="I285" s="166"/>
      <c r="J285" s="166"/>
      <c r="K285" s="166"/>
      <c r="L285" s="166"/>
      <c r="M285" s="166"/>
      <c r="N285" s="715"/>
      <c r="O285" s="166"/>
      <c r="P285" s="166"/>
      <c r="Q285" s="716"/>
      <c r="R285" s="714"/>
      <c r="S285" s="717"/>
      <c r="T285" s="714"/>
      <c r="U285" s="166"/>
      <c r="V285" s="166"/>
      <c r="W285" s="166"/>
      <c r="X285" s="166"/>
      <c r="Y285" s="718"/>
      <c r="Z285" s="719"/>
      <c r="AA285" s="719"/>
      <c r="AB285" s="166"/>
      <c r="AC285" s="166"/>
      <c r="AD285" s="166"/>
      <c r="AE285" s="87"/>
      <c r="AF285" s="87"/>
      <c r="AG285" s="87"/>
      <c r="AH285" s="87"/>
      <c r="AI285" s="87"/>
      <c r="AJ285" s="87"/>
      <c r="AK285" s="87"/>
      <c r="AL285" s="87"/>
      <c r="AM285" s="87"/>
    </row>
    <row r="286">
      <c r="A286" s="87"/>
      <c r="B286" s="166"/>
      <c r="C286" s="166"/>
      <c r="D286" s="166"/>
      <c r="E286" s="166"/>
      <c r="F286" s="714"/>
      <c r="G286" s="166"/>
      <c r="H286" s="166"/>
      <c r="I286" s="166"/>
      <c r="J286" s="166"/>
      <c r="K286" s="166"/>
      <c r="L286" s="166"/>
      <c r="M286" s="166"/>
      <c r="N286" s="715"/>
      <c r="O286" s="166"/>
      <c r="P286" s="166"/>
      <c r="Q286" s="716"/>
      <c r="R286" s="714"/>
      <c r="S286" s="717"/>
      <c r="T286" s="714"/>
      <c r="U286" s="166"/>
      <c r="V286" s="166"/>
      <c r="W286" s="166"/>
      <c r="X286" s="166"/>
      <c r="Y286" s="718"/>
      <c r="Z286" s="719"/>
      <c r="AA286" s="719"/>
      <c r="AB286" s="166"/>
      <c r="AC286" s="166"/>
      <c r="AD286" s="166"/>
      <c r="AE286" s="87"/>
      <c r="AF286" s="87"/>
      <c r="AG286" s="87"/>
      <c r="AH286" s="87"/>
      <c r="AI286" s="87"/>
      <c r="AJ286" s="87"/>
      <c r="AK286" s="87"/>
      <c r="AL286" s="87"/>
      <c r="AM286" s="87"/>
    </row>
    <row r="287">
      <c r="A287" s="87"/>
      <c r="B287" s="166"/>
      <c r="C287" s="166"/>
      <c r="D287" s="166"/>
      <c r="E287" s="166"/>
      <c r="F287" s="714"/>
      <c r="G287" s="166"/>
      <c r="H287" s="166"/>
      <c r="I287" s="166"/>
      <c r="J287" s="166"/>
      <c r="K287" s="166"/>
      <c r="L287" s="166"/>
      <c r="M287" s="166"/>
      <c r="N287" s="715"/>
      <c r="O287" s="166"/>
      <c r="P287" s="166"/>
      <c r="Q287" s="716"/>
      <c r="R287" s="714"/>
      <c r="S287" s="717"/>
      <c r="T287" s="714"/>
      <c r="U287" s="166"/>
      <c r="V287" s="166"/>
      <c r="W287" s="166"/>
      <c r="X287" s="166"/>
      <c r="Y287" s="718"/>
      <c r="Z287" s="719"/>
      <c r="AA287" s="719"/>
      <c r="AB287" s="166"/>
      <c r="AC287" s="166"/>
      <c r="AD287" s="166"/>
      <c r="AE287" s="87"/>
      <c r="AF287" s="87"/>
      <c r="AG287" s="87"/>
      <c r="AH287" s="87"/>
      <c r="AI287" s="87"/>
      <c r="AJ287" s="87"/>
      <c r="AK287" s="87"/>
      <c r="AL287" s="87"/>
      <c r="AM287" s="87"/>
    </row>
    <row r="288">
      <c r="A288" s="87"/>
      <c r="B288" s="166"/>
      <c r="C288" s="166"/>
      <c r="D288" s="166"/>
      <c r="E288" s="166"/>
      <c r="F288" s="714"/>
      <c r="G288" s="166"/>
      <c r="H288" s="166"/>
      <c r="I288" s="166"/>
      <c r="J288" s="166"/>
      <c r="K288" s="166"/>
      <c r="L288" s="166"/>
      <c r="M288" s="166"/>
      <c r="N288" s="715"/>
      <c r="O288" s="166"/>
      <c r="P288" s="166"/>
      <c r="Q288" s="716"/>
      <c r="R288" s="714"/>
      <c r="S288" s="717"/>
      <c r="T288" s="714"/>
      <c r="U288" s="166"/>
      <c r="V288" s="166"/>
      <c r="W288" s="166"/>
      <c r="X288" s="166"/>
      <c r="Y288" s="718"/>
      <c r="Z288" s="719"/>
      <c r="AA288" s="719"/>
      <c r="AB288" s="166"/>
      <c r="AC288" s="166"/>
      <c r="AD288" s="166"/>
      <c r="AE288" s="87"/>
      <c r="AF288" s="87"/>
      <c r="AG288" s="87"/>
      <c r="AH288" s="87"/>
      <c r="AI288" s="87"/>
      <c r="AJ288" s="87"/>
      <c r="AK288" s="87"/>
      <c r="AL288" s="87"/>
      <c r="AM288" s="87"/>
    </row>
    <row r="289">
      <c r="A289" s="87"/>
      <c r="B289" s="166"/>
      <c r="C289" s="166"/>
      <c r="D289" s="166"/>
      <c r="E289" s="166"/>
      <c r="F289" s="714"/>
      <c r="G289" s="166"/>
      <c r="H289" s="166"/>
      <c r="I289" s="166"/>
      <c r="J289" s="166"/>
      <c r="K289" s="166"/>
      <c r="L289" s="166"/>
      <c r="M289" s="166"/>
      <c r="N289" s="715"/>
      <c r="O289" s="166"/>
      <c r="P289" s="166"/>
      <c r="Q289" s="716"/>
      <c r="R289" s="714"/>
      <c r="S289" s="717"/>
      <c r="T289" s="714"/>
      <c r="U289" s="166"/>
      <c r="V289" s="166"/>
      <c r="W289" s="166"/>
      <c r="X289" s="166"/>
      <c r="Y289" s="718"/>
      <c r="Z289" s="719"/>
      <c r="AA289" s="719"/>
      <c r="AB289" s="166"/>
      <c r="AC289" s="166"/>
      <c r="AD289" s="166"/>
      <c r="AE289" s="87"/>
      <c r="AF289" s="87"/>
      <c r="AG289" s="87"/>
      <c r="AH289" s="87"/>
      <c r="AI289" s="87"/>
      <c r="AJ289" s="87"/>
      <c r="AK289" s="87"/>
      <c r="AL289" s="87"/>
      <c r="AM289" s="87"/>
    </row>
    <row r="290">
      <c r="A290" s="87"/>
      <c r="B290" s="166"/>
      <c r="C290" s="166"/>
      <c r="D290" s="166"/>
      <c r="E290" s="166"/>
      <c r="F290" s="714"/>
      <c r="G290" s="166"/>
      <c r="H290" s="166"/>
      <c r="I290" s="166"/>
      <c r="J290" s="166"/>
      <c r="K290" s="166"/>
      <c r="L290" s="166"/>
      <c r="M290" s="166"/>
      <c r="N290" s="715"/>
      <c r="O290" s="166"/>
      <c r="P290" s="166"/>
      <c r="Q290" s="716"/>
      <c r="R290" s="714"/>
      <c r="S290" s="717"/>
      <c r="T290" s="714"/>
      <c r="U290" s="166"/>
      <c r="V290" s="166"/>
      <c r="W290" s="166"/>
      <c r="X290" s="166"/>
      <c r="Y290" s="718"/>
      <c r="Z290" s="719"/>
      <c r="AA290" s="719"/>
      <c r="AB290" s="166"/>
      <c r="AC290" s="166"/>
      <c r="AD290" s="166"/>
      <c r="AE290" s="87"/>
      <c r="AF290" s="87"/>
      <c r="AG290" s="87"/>
      <c r="AH290" s="87"/>
      <c r="AI290" s="87"/>
      <c r="AJ290" s="87"/>
      <c r="AK290" s="87"/>
      <c r="AL290" s="87"/>
      <c r="AM290" s="87"/>
    </row>
    <row r="291">
      <c r="A291" s="87"/>
      <c r="B291" s="166"/>
      <c r="C291" s="166"/>
      <c r="D291" s="166"/>
      <c r="E291" s="166"/>
      <c r="F291" s="714"/>
      <c r="G291" s="166"/>
      <c r="H291" s="166"/>
      <c r="I291" s="166"/>
      <c r="J291" s="166"/>
      <c r="K291" s="166"/>
      <c r="L291" s="166"/>
      <c r="M291" s="166"/>
      <c r="N291" s="715"/>
      <c r="O291" s="166"/>
      <c r="P291" s="166"/>
      <c r="Q291" s="716"/>
      <c r="R291" s="714"/>
      <c r="S291" s="717"/>
      <c r="T291" s="714"/>
      <c r="U291" s="166"/>
      <c r="V291" s="166"/>
      <c r="W291" s="166"/>
      <c r="X291" s="166"/>
      <c r="Y291" s="718"/>
      <c r="Z291" s="719"/>
      <c r="AA291" s="719"/>
      <c r="AB291" s="166"/>
      <c r="AC291" s="166"/>
      <c r="AD291" s="166"/>
      <c r="AE291" s="87"/>
      <c r="AF291" s="87"/>
      <c r="AG291" s="87"/>
      <c r="AH291" s="87"/>
      <c r="AI291" s="87"/>
      <c r="AJ291" s="87"/>
      <c r="AK291" s="87"/>
      <c r="AL291" s="87"/>
      <c r="AM291" s="87"/>
    </row>
    <row r="292">
      <c r="A292" s="87"/>
      <c r="B292" s="166"/>
      <c r="C292" s="166"/>
      <c r="D292" s="166"/>
      <c r="E292" s="166"/>
      <c r="F292" s="714"/>
      <c r="G292" s="166"/>
      <c r="H292" s="166"/>
      <c r="I292" s="166"/>
      <c r="J292" s="166"/>
      <c r="K292" s="166"/>
      <c r="L292" s="166"/>
      <c r="M292" s="166"/>
      <c r="N292" s="715"/>
      <c r="O292" s="166"/>
      <c r="P292" s="166"/>
      <c r="Q292" s="716"/>
      <c r="R292" s="714"/>
      <c r="S292" s="717"/>
      <c r="T292" s="714"/>
      <c r="U292" s="166"/>
      <c r="V292" s="166"/>
      <c r="W292" s="166"/>
      <c r="X292" s="166"/>
      <c r="Y292" s="718"/>
      <c r="Z292" s="719"/>
      <c r="AA292" s="719"/>
      <c r="AB292" s="166"/>
      <c r="AC292" s="166"/>
      <c r="AD292" s="166"/>
      <c r="AE292" s="87"/>
      <c r="AF292" s="87"/>
      <c r="AG292" s="87"/>
      <c r="AH292" s="87"/>
      <c r="AI292" s="87"/>
      <c r="AJ292" s="87"/>
      <c r="AK292" s="87"/>
      <c r="AL292" s="87"/>
      <c r="AM292" s="87"/>
    </row>
    <row r="293">
      <c r="A293" s="87"/>
      <c r="B293" s="166"/>
      <c r="C293" s="166"/>
      <c r="D293" s="166"/>
      <c r="E293" s="166"/>
      <c r="F293" s="714"/>
      <c r="G293" s="166"/>
      <c r="H293" s="166"/>
      <c r="I293" s="166"/>
      <c r="J293" s="166"/>
      <c r="K293" s="166"/>
      <c r="L293" s="166"/>
      <c r="M293" s="166"/>
      <c r="N293" s="715"/>
      <c r="O293" s="166"/>
      <c r="P293" s="166"/>
      <c r="Q293" s="716"/>
      <c r="R293" s="714"/>
      <c r="S293" s="717"/>
      <c r="T293" s="714"/>
      <c r="U293" s="166"/>
      <c r="V293" s="166"/>
      <c r="W293" s="166"/>
      <c r="X293" s="166"/>
      <c r="Y293" s="718"/>
      <c r="Z293" s="719"/>
      <c r="AA293" s="719"/>
      <c r="AB293" s="166"/>
      <c r="AC293" s="166"/>
      <c r="AD293" s="166"/>
      <c r="AE293" s="87"/>
      <c r="AF293" s="87"/>
      <c r="AG293" s="87"/>
      <c r="AH293" s="87"/>
      <c r="AI293" s="87"/>
      <c r="AJ293" s="87"/>
      <c r="AK293" s="87"/>
      <c r="AL293" s="87"/>
      <c r="AM293" s="87"/>
    </row>
    <row r="294">
      <c r="A294" s="87"/>
      <c r="B294" s="166"/>
      <c r="C294" s="166"/>
      <c r="D294" s="166"/>
      <c r="E294" s="166"/>
      <c r="F294" s="714"/>
      <c r="G294" s="166"/>
      <c r="H294" s="166"/>
      <c r="I294" s="166"/>
      <c r="J294" s="166"/>
      <c r="K294" s="166"/>
      <c r="L294" s="166"/>
      <c r="M294" s="166"/>
      <c r="N294" s="715"/>
      <c r="O294" s="166"/>
      <c r="P294" s="166"/>
      <c r="Q294" s="716"/>
      <c r="R294" s="714"/>
      <c r="S294" s="717"/>
      <c r="T294" s="714"/>
      <c r="U294" s="166"/>
      <c r="V294" s="166"/>
      <c r="W294" s="166"/>
      <c r="X294" s="166"/>
      <c r="Y294" s="718"/>
      <c r="Z294" s="719"/>
      <c r="AA294" s="719"/>
      <c r="AB294" s="166"/>
      <c r="AC294" s="166"/>
      <c r="AD294" s="166"/>
      <c r="AE294" s="87"/>
      <c r="AF294" s="87"/>
      <c r="AG294" s="87"/>
      <c r="AH294" s="87"/>
      <c r="AI294" s="87"/>
      <c r="AJ294" s="87"/>
      <c r="AK294" s="87"/>
      <c r="AL294" s="87"/>
      <c r="AM294" s="87"/>
    </row>
    <row r="295">
      <c r="A295" s="87"/>
      <c r="B295" s="166"/>
      <c r="C295" s="166"/>
      <c r="D295" s="166"/>
      <c r="E295" s="166"/>
      <c r="F295" s="714"/>
      <c r="G295" s="166"/>
      <c r="H295" s="166"/>
      <c r="I295" s="166"/>
      <c r="J295" s="166"/>
      <c r="K295" s="166"/>
      <c r="L295" s="166"/>
      <c r="M295" s="166"/>
      <c r="N295" s="715"/>
      <c r="O295" s="166"/>
      <c r="P295" s="166"/>
      <c r="Q295" s="716"/>
      <c r="R295" s="714"/>
      <c r="S295" s="717"/>
      <c r="T295" s="714"/>
      <c r="U295" s="166"/>
      <c r="V295" s="166"/>
      <c r="W295" s="166"/>
      <c r="X295" s="166"/>
      <c r="Y295" s="718"/>
      <c r="Z295" s="719"/>
      <c r="AA295" s="719"/>
      <c r="AB295" s="166"/>
      <c r="AC295" s="166"/>
      <c r="AD295" s="166"/>
      <c r="AE295" s="87"/>
      <c r="AF295" s="87"/>
      <c r="AG295" s="87"/>
      <c r="AH295" s="87"/>
      <c r="AI295" s="87"/>
      <c r="AJ295" s="87"/>
      <c r="AK295" s="87"/>
      <c r="AL295" s="87"/>
      <c r="AM295" s="87"/>
    </row>
    <row r="296">
      <c r="A296" s="87"/>
      <c r="B296" s="166"/>
      <c r="C296" s="166"/>
      <c r="D296" s="166"/>
      <c r="E296" s="166"/>
      <c r="F296" s="714"/>
      <c r="G296" s="166"/>
      <c r="H296" s="166"/>
      <c r="I296" s="166"/>
      <c r="J296" s="166"/>
      <c r="K296" s="166"/>
      <c r="L296" s="166"/>
      <c r="M296" s="166"/>
      <c r="N296" s="715"/>
      <c r="O296" s="166"/>
      <c r="P296" s="166"/>
      <c r="Q296" s="716"/>
      <c r="R296" s="714"/>
      <c r="S296" s="717"/>
      <c r="T296" s="714"/>
      <c r="U296" s="166"/>
      <c r="V296" s="166"/>
      <c r="W296" s="166"/>
      <c r="X296" s="166"/>
      <c r="Y296" s="718"/>
      <c r="Z296" s="719"/>
      <c r="AA296" s="719"/>
      <c r="AB296" s="166"/>
      <c r="AC296" s="166"/>
      <c r="AD296" s="166"/>
      <c r="AE296" s="87"/>
      <c r="AF296" s="87"/>
      <c r="AG296" s="87"/>
      <c r="AH296" s="87"/>
      <c r="AI296" s="87"/>
      <c r="AJ296" s="87"/>
      <c r="AK296" s="87"/>
      <c r="AL296" s="87"/>
      <c r="AM296" s="87"/>
    </row>
    <row r="297">
      <c r="A297" s="87"/>
      <c r="B297" s="166"/>
      <c r="C297" s="166"/>
      <c r="D297" s="166"/>
      <c r="E297" s="166"/>
      <c r="F297" s="714"/>
      <c r="G297" s="166"/>
      <c r="H297" s="166"/>
      <c r="I297" s="166"/>
      <c r="J297" s="166"/>
      <c r="K297" s="166"/>
      <c r="L297" s="166"/>
      <c r="M297" s="166"/>
      <c r="N297" s="715"/>
      <c r="O297" s="166"/>
      <c r="P297" s="166"/>
      <c r="Q297" s="716"/>
      <c r="R297" s="714"/>
      <c r="S297" s="717"/>
      <c r="T297" s="714"/>
      <c r="U297" s="166"/>
      <c r="V297" s="166"/>
      <c r="W297" s="166"/>
      <c r="X297" s="166"/>
      <c r="Y297" s="718"/>
      <c r="Z297" s="719"/>
      <c r="AA297" s="719"/>
      <c r="AB297" s="166"/>
      <c r="AC297" s="166"/>
      <c r="AD297" s="166"/>
      <c r="AE297" s="87"/>
      <c r="AF297" s="87"/>
      <c r="AG297" s="87"/>
      <c r="AH297" s="87"/>
      <c r="AI297" s="87"/>
      <c r="AJ297" s="87"/>
      <c r="AK297" s="87"/>
      <c r="AL297" s="87"/>
      <c r="AM297" s="87"/>
    </row>
    <row r="298">
      <c r="A298" s="87"/>
      <c r="B298" s="166"/>
      <c r="C298" s="166"/>
      <c r="D298" s="166"/>
      <c r="E298" s="166"/>
      <c r="F298" s="714"/>
      <c r="G298" s="166"/>
      <c r="H298" s="166"/>
      <c r="I298" s="166"/>
      <c r="J298" s="166"/>
      <c r="K298" s="166"/>
      <c r="L298" s="166"/>
      <c r="M298" s="166"/>
      <c r="N298" s="715"/>
      <c r="O298" s="166"/>
      <c r="P298" s="166"/>
      <c r="Q298" s="716"/>
      <c r="R298" s="714"/>
      <c r="S298" s="717"/>
      <c r="T298" s="714"/>
      <c r="U298" s="166"/>
      <c r="V298" s="166"/>
      <c r="W298" s="166"/>
      <c r="X298" s="166"/>
      <c r="Y298" s="718"/>
      <c r="Z298" s="719"/>
      <c r="AA298" s="719"/>
      <c r="AB298" s="166"/>
      <c r="AC298" s="166"/>
      <c r="AD298" s="166"/>
      <c r="AE298" s="87"/>
      <c r="AF298" s="87"/>
      <c r="AG298" s="87"/>
      <c r="AH298" s="87"/>
      <c r="AI298" s="87"/>
      <c r="AJ298" s="87"/>
      <c r="AK298" s="87"/>
      <c r="AL298" s="87"/>
      <c r="AM298" s="87"/>
    </row>
    <row r="299">
      <c r="A299" s="87"/>
      <c r="B299" s="166"/>
      <c r="C299" s="166"/>
      <c r="D299" s="166"/>
      <c r="E299" s="166"/>
      <c r="F299" s="714"/>
      <c r="G299" s="166"/>
      <c r="H299" s="166"/>
      <c r="I299" s="166"/>
      <c r="J299" s="166"/>
      <c r="K299" s="166"/>
      <c r="L299" s="166"/>
      <c r="M299" s="166"/>
      <c r="N299" s="715"/>
      <c r="O299" s="166"/>
      <c r="P299" s="166"/>
      <c r="Q299" s="716"/>
      <c r="R299" s="714"/>
      <c r="S299" s="717"/>
      <c r="T299" s="714"/>
      <c r="U299" s="166"/>
      <c r="V299" s="166"/>
      <c r="W299" s="166"/>
      <c r="X299" s="166"/>
      <c r="Y299" s="718"/>
      <c r="Z299" s="719"/>
      <c r="AA299" s="719"/>
      <c r="AB299" s="166"/>
      <c r="AC299" s="166"/>
      <c r="AD299" s="166"/>
      <c r="AE299" s="87"/>
      <c r="AF299" s="87"/>
      <c r="AG299" s="87"/>
      <c r="AH299" s="87"/>
      <c r="AI299" s="87"/>
      <c r="AJ299" s="87"/>
      <c r="AK299" s="87"/>
      <c r="AL299" s="87"/>
      <c r="AM299" s="87"/>
    </row>
    <row r="300">
      <c r="A300" s="87"/>
      <c r="B300" s="166"/>
      <c r="C300" s="166"/>
      <c r="D300" s="166"/>
      <c r="E300" s="166"/>
      <c r="F300" s="714"/>
      <c r="G300" s="166"/>
      <c r="H300" s="166"/>
      <c r="I300" s="166"/>
      <c r="J300" s="166"/>
      <c r="K300" s="166"/>
      <c r="L300" s="166"/>
      <c r="M300" s="166"/>
      <c r="N300" s="715"/>
      <c r="O300" s="166"/>
      <c r="P300" s="166"/>
      <c r="Q300" s="716"/>
      <c r="R300" s="714"/>
      <c r="S300" s="717"/>
      <c r="T300" s="714"/>
      <c r="U300" s="166"/>
      <c r="V300" s="166"/>
      <c r="W300" s="166"/>
      <c r="X300" s="166"/>
      <c r="Y300" s="718"/>
      <c r="Z300" s="719"/>
      <c r="AA300" s="719"/>
      <c r="AB300" s="166"/>
      <c r="AC300" s="166"/>
      <c r="AD300" s="166"/>
      <c r="AE300" s="87"/>
      <c r="AF300" s="87"/>
      <c r="AG300" s="87"/>
      <c r="AH300" s="87"/>
      <c r="AI300" s="87"/>
      <c r="AJ300" s="87"/>
      <c r="AK300" s="87"/>
      <c r="AL300" s="87"/>
      <c r="AM300" s="87"/>
    </row>
    <row r="301">
      <c r="A301" s="87"/>
      <c r="B301" s="166"/>
      <c r="C301" s="166"/>
      <c r="D301" s="166"/>
      <c r="E301" s="166"/>
      <c r="F301" s="714"/>
      <c r="G301" s="166"/>
      <c r="H301" s="166"/>
      <c r="I301" s="166"/>
      <c r="J301" s="166"/>
      <c r="K301" s="166"/>
      <c r="L301" s="166"/>
      <c r="M301" s="166"/>
      <c r="N301" s="715"/>
      <c r="O301" s="166"/>
      <c r="P301" s="166"/>
      <c r="Q301" s="716"/>
      <c r="R301" s="714"/>
      <c r="S301" s="717"/>
      <c r="T301" s="714"/>
      <c r="U301" s="166"/>
      <c r="V301" s="166"/>
      <c r="W301" s="166"/>
      <c r="X301" s="166"/>
      <c r="Y301" s="718"/>
      <c r="Z301" s="719"/>
      <c r="AA301" s="719"/>
      <c r="AB301" s="166"/>
      <c r="AC301" s="166"/>
      <c r="AD301" s="166"/>
      <c r="AE301" s="87"/>
      <c r="AF301" s="87"/>
      <c r="AG301" s="87"/>
      <c r="AH301" s="87"/>
      <c r="AI301" s="87"/>
      <c r="AJ301" s="87"/>
      <c r="AK301" s="87"/>
      <c r="AL301" s="87"/>
      <c r="AM301" s="87"/>
    </row>
    <row r="302">
      <c r="A302" s="87"/>
      <c r="B302" s="166"/>
      <c r="C302" s="166"/>
      <c r="D302" s="166"/>
      <c r="E302" s="166"/>
      <c r="F302" s="714"/>
      <c r="G302" s="166"/>
      <c r="H302" s="166"/>
      <c r="I302" s="166"/>
      <c r="J302" s="166"/>
      <c r="K302" s="166"/>
      <c r="L302" s="166"/>
      <c r="M302" s="166"/>
      <c r="N302" s="715"/>
      <c r="O302" s="166"/>
      <c r="P302" s="166"/>
      <c r="Q302" s="716"/>
      <c r="R302" s="714"/>
      <c r="S302" s="717"/>
      <c r="T302" s="714"/>
      <c r="U302" s="166"/>
      <c r="V302" s="166"/>
      <c r="W302" s="166"/>
      <c r="X302" s="166"/>
      <c r="Y302" s="718"/>
      <c r="Z302" s="719"/>
      <c r="AA302" s="719"/>
      <c r="AB302" s="166"/>
      <c r="AC302" s="166"/>
      <c r="AD302" s="166"/>
      <c r="AE302" s="87"/>
      <c r="AF302" s="87"/>
      <c r="AG302" s="87"/>
      <c r="AH302" s="87"/>
      <c r="AI302" s="87"/>
      <c r="AJ302" s="87"/>
      <c r="AK302" s="87"/>
      <c r="AL302" s="87"/>
      <c r="AM302" s="87"/>
    </row>
    <row r="303">
      <c r="A303" s="87"/>
      <c r="B303" s="166"/>
      <c r="C303" s="166"/>
      <c r="D303" s="166"/>
      <c r="E303" s="166"/>
      <c r="F303" s="714"/>
      <c r="G303" s="166"/>
      <c r="H303" s="166"/>
      <c r="I303" s="166"/>
      <c r="J303" s="166"/>
      <c r="K303" s="166"/>
      <c r="L303" s="166"/>
      <c r="M303" s="166"/>
      <c r="N303" s="715"/>
      <c r="O303" s="166"/>
      <c r="P303" s="166"/>
      <c r="Q303" s="716"/>
      <c r="R303" s="714"/>
      <c r="S303" s="717"/>
      <c r="T303" s="714"/>
      <c r="U303" s="166"/>
      <c r="V303" s="166"/>
      <c r="W303" s="166"/>
      <c r="X303" s="166"/>
      <c r="Y303" s="718"/>
      <c r="Z303" s="719"/>
      <c r="AA303" s="719"/>
      <c r="AB303" s="166"/>
      <c r="AC303" s="166"/>
      <c r="AD303" s="166"/>
      <c r="AE303" s="87"/>
      <c r="AF303" s="87"/>
      <c r="AG303" s="87"/>
      <c r="AH303" s="87"/>
      <c r="AI303" s="87"/>
      <c r="AJ303" s="87"/>
      <c r="AK303" s="87"/>
      <c r="AL303" s="87"/>
      <c r="AM303" s="87"/>
    </row>
    <row r="304">
      <c r="A304" s="87"/>
      <c r="B304" s="166"/>
      <c r="C304" s="166"/>
      <c r="D304" s="166"/>
      <c r="E304" s="166"/>
      <c r="F304" s="714"/>
      <c r="G304" s="166"/>
      <c r="H304" s="166"/>
      <c r="I304" s="166"/>
      <c r="J304" s="166"/>
      <c r="K304" s="166"/>
      <c r="L304" s="166"/>
      <c r="M304" s="166"/>
      <c r="N304" s="715"/>
      <c r="O304" s="166"/>
      <c r="P304" s="166"/>
      <c r="Q304" s="716"/>
      <c r="R304" s="714"/>
      <c r="S304" s="717"/>
      <c r="T304" s="714"/>
      <c r="U304" s="166"/>
      <c r="V304" s="166"/>
      <c r="W304" s="166"/>
      <c r="X304" s="166"/>
      <c r="Y304" s="718"/>
      <c r="Z304" s="719"/>
      <c r="AA304" s="719"/>
      <c r="AB304" s="166"/>
      <c r="AC304" s="166"/>
      <c r="AD304" s="166"/>
      <c r="AE304" s="87"/>
      <c r="AF304" s="87"/>
      <c r="AG304" s="87"/>
      <c r="AH304" s="87"/>
      <c r="AI304" s="87"/>
      <c r="AJ304" s="87"/>
      <c r="AK304" s="87"/>
      <c r="AL304" s="87"/>
      <c r="AM304" s="87"/>
    </row>
    <row r="305">
      <c r="A305" s="87"/>
      <c r="B305" s="166"/>
      <c r="C305" s="166"/>
      <c r="D305" s="166"/>
      <c r="E305" s="166"/>
      <c r="F305" s="714"/>
      <c r="G305" s="166"/>
      <c r="H305" s="166"/>
      <c r="I305" s="166"/>
      <c r="J305" s="166"/>
      <c r="K305" s="166"/>
      <c r="L305" s="166"/>
      <c r="M305" s="166"/>
      <c r="N305" s="715"/>
      <c r="O305" s="166"/>
      <c r="P305" s="166"/>
      <c r="Q305" s="716"/>
      <c r="R305" s="714"/>
      <c r="S305" s="717"/>
      <c r="T305" s="714"/>
      <c r="U305" s="166"/>
      <c r="V305" s="166"/>
      <c r="W305" s="166"/>
      <c r="X305" s="166"/>
      <c r="Y305" s="718"/>
      <c r="Z305" s="719"/>
      <c r="AA305" s="719"/>
      <c r="AB305" s="166"/>
      <c r="AC305" s="166"/>
      <c r="AD305" s="166"/>
      <c r="AE305" s="87"/>
      <c r="AF305" s="87"/>
      <c r="AG305" s="87"/>
      <c r="AH305" s="87"/>
      <c r="AI305" s="87"/>
      <c r="AJ305" s="87"/>
      <c r="AK305" s="87"/>
      <c r="AL305" s="87"/>
      <c r="AM305" s="87"/>
    </row>
    <row r="306">
      <c r="A306" s="87"/>
      <c r="B306" s="166"/>
      <c r="C306" s="166"/>
      <c r="D306" s="166"/>
      <c r="E306" s="166"/>
      <c r="F306" s="714"/>
      <c r="G306" s="166"/>
      <c r="H306" s="166"/>
      <c r="I306" s="166"/>
      <c r="J306" s="166"/>
      <c r="K306" s="166"/>
      <c r="L306" s="166"/>
      <c r="M306" s="166"/>
      <c r="N306" s="715"/>
      <c r="O306" s="166"/>
      <c r="P306" s="166"/>
      <c r="Q306" s="716"/>
      <c r="R306" s="714"/>
      <c r="S306" s="717"/>
      <c r="T306" s="714"/>
      <c r="U306" s="166"/>
      <c r="V306" s="166"/>
      <c r="W306" s="166"/>
      <c r="X306" s="166"/>
      <c r="Y306" s="718"/>
      <c r="Z306" s="719"/>
      <c r="AA306" s="719"/>
      <c r="AB306" s="166"/>
      <c r="AC306" s="166"/>
      <c r="AD306" s="166"/>
      <c r="AE306" s="87"/>
      <c r="AF306" s="87"/>
      <c r="AG306" s="87"/>
      <c r="AH306" s="87"/>
      <c r="AI306" s="87"/>
      <c r="AJ306" s="87"/>
      <c r="AK306" s="87"/>
      <c r="AL306" s="87"/>
      <c r="AM306" s="87"/>
    </row>
    <row r="307">
      <c r="A307" s="87"/>
      <c r="B307" s="166"/>
      <c r="C307" s="166"/>
      <c r="D307" s="166"/>
      <c r="E307" s="166"/>
      <c r="F307" s="714"/>
      <c r="G307" s="166"/>
      <c r="H307" s="166"/>
      <c r="I307" s="166"/>
      <c r="J307" s="166"/>
      <c r="K307" s="166"/>
      <c r="L307" s="166"/>
      <c r="M307" s="166"/>
      <c r="N307" s="715"/>
      <c r="O307" s="166"/>
      <c r="P307" s="166"/>
      <c r="Q307" s="716"/>
      <c r="R307" s="714"/>
      <c r="S307" s="717"/>
      <c r="T307" s="714"/>
      <c r="U307" s="166"/>
      <c r="V307" s="166"/>
      <c r="W307" s="166"/>
      <c r="X307" s="166"/>
      <c r="Y307" s="718"/>
      <c r="Z307" s="719"/>
      <c r="AA307" s="719"/>
      <c r="AB307" s="166"/>
      <c r="AC307" s="166"/>
      <c r="AD307" s="166"/>
      <c r="AE307" s="87"/>
      <c r="AF307" s="87"/>
      <c r="AG307" s="87"/>
      <c r="AH307" s="87"/>
      <c r="AI307" s="87"/>
      <c r="AJ307" s="87"/>
      <c r="AK307" s="87"/>
      <c r="AL307" s="87"/>
      <c r="AM307" s="87"/>
    </row>
    <row r="308">
      <c r="A308" s="87"/>
      <c r="B308" s="166"/>
      <c r="C308" s="166"/>
      <c r="D308" s="166"/>
      <c r="E308" s="166"/>
      <c r="F308" s="714"/>
      <c r="G308" s="166"/>
      <c r="H308" s="166"/>
      <c r="I308" s="166"/>
      <c r="J308" s="166"/>
      <c r="K308" s="166"/>
      <c r="L308" s="166"/>
      <c r="M308" s="166"/>
      <c r="N308" s="715"/>
      <c r="O308" s="166"/>
      <c r="P308" s="166"/>
      <c r="Q308" s="716"/>
      <c r="R308" s="714"/>
      <c r="S308" s="717"/>
      <c r="T308" s="714"/>
      <c r="U308" s="166"/>
      <c r="V308" s="166"/>
      <c r="W308" s="166"/>
      <c r="X308" s="166"/>
      <c r="Y308" s="718"/>
      <c r="Z308" s="719"/>
      <c r="AA308" s="719"/>
      <c r="AB308" s="166"/>
      <c r="AC308" s="166"/>
      <c r="AD308" s="166"/>
      <c r="AE308" s="87"/>
      <c r="AF308" s="87"/>
      <c r="AG308" s="87"/>
      <c r="AH308" s="87"/>
      <c r="AI308" s="87"/>
      <c r="AJ308" s="87"/>
      <c r="AK308" s="87"/>
      <c r="AL308" s="87"/>
      <c r="AM308" s="87"/>
    </row>
    <row r="309">
      <c r="A309" s="87"/>
      <c r="B309" s="166"/>
      <c r="C309" s="166"/>
      <c r="D309" s="166"/>
      <c r="E309" s="166"/>
      <c r="F309" s="714"/>
      <c r="G309" s="166"/>
      <c r="H309" s="166"/>
      <c r="I309" s="166"/>
      <c r="J309" s="166"/>
      <c r="K309" s="166"/>
      <c r="L309" s="166"/>
      <c r="M309" s="166"/>
      <c r="N309" s="715"/>
      <c r="O309" s="166"/>
      <c r="P309" s="166"/>
      <c r="Q309" s="716"/>
      <c r="R309" s="714"/>
      <c r="S309" s="717"/>
      <c r="T309" s="714"/>
      <c r="U309" s="166"/>
      <c r="V309" s="166"/>
      <c r="W309" s="166"/>
      <c r="X309" s="166"/>
      <c r="Y309" s="718"/>
      <c r="Z309" s="719"/>
      <c r="AA309" s="719"/>
      <c r="AB309" s="166"/>
      <c r="AC309" s="166"/>
      <c r="AD309" s="166"/>
      <c r="AE309" s="87"/>
      <c r="AF309" s="87"/>
      <c r="AG309" s="87"/>
      <c r="AH309" s="87"/>
      <c r="AI309" s="87"/>
      <c r="AJ309" s="87"/>
      <c r="AK309" s="87"/>
      <c r="AL309" s="87"/>
      <c r="AM309" s="87"/>
    </row>
    <row r="310">
      <c r="A310" s="87"/>
      <c r="B310" s="166"/>
      <c r="C310" s="166"/>
      <c r="D310" s="166"/>
      <c r="E310" s="166"/>
      <c r="F310" s="714"/>
      <c r="G310" s="166"/>
      <c r="H310" s="166"/>
      <c r="I310" s="166"/>
      <c r="J310" s="166"/>
      <c r="K310" s="166"/>
      <c r="L310" s="166"/>
      <c r="M310" s="166"/>
      <c r="N310" s="715"/>
      <c r="O310" s="166"/>
      <c r="P310" s="166"/>
      <c r="Q310" s="716"/>
      <c r="R310" s="714"/>
      <c r="S310" s="717"/>
      <c r="T310" s="714"/>
      <c r="U310" s="166"/>
      <c r="V310" s="166"/>
      <c r="W310" s="166"/>
      <c r="X310" s="166"/>
      <c r="Y310" s="718"/>
      <c r="Z310" s="719"/>
      <c r="AA310" s="719"/>
      <c r="AB310" s="166"/>
      <c r="AC310" s="166"/>
      <c r="AD310" s="166"/>
      <c r="AE310" s="87"/>
      <c r="AF310" s="87"/>
      <c r="AG310" s="87"/>
      <c r="AH310" s="87"/>
      <c r="AI310" s="87"/>
      <c r="AJ310" s="87"/>
      <c r="AK310" s="87"/>
      <c r="AL310" s="87"/>
      <c r="AM310" s="87"/>
    </row>
    <row r="311">
      <c r="A311" s="87"/>
      <c r="B311" s="166"/>
      <c r="C311" s="166"/>
      <c r="D311" s="166"/>
      <c r="E311" s="166"/>
      <c r="F311" s="714"/>
      <c r="G311" s="166"/>
      <c r="H311" s="166"/>
      <c r="I311" s="166"/>
      <c r="J311" s="166"/>
      <c r="K311" s="166"/>
      <c r="L311" s="166"/>
      <c r="M311" s="166"/>
      <c r="N311" s="715"/>
      <c r="O311" s="166"/>
      <c r="P311" s="166"/>
      <c r="Q311" s="716"/>
      <c r="R311" s="714"/>
      <c r="S311" s="717"/>
      <c r="T311" s="714"/>
      <c r="U311" s="166"/>
      <c r="V311" s="166"/>
      <c r="W311" s="166"/>
      <c r="X311" s="166"/>
      <c r="Y311" s="718"/>
      <c r="Z311" s="719"/>
      <c r="AA311" s="719"/>
      <c r="AB311" s="166"/>
      <c r="AC311" s="166"/>
      <c r="AD311" s="166"/>
      <c r="AE311" s="87"/>
      <c r="AF311" s="87"/>
      <c r="AG311" s="87"/>
      <c r="AH311" s="87"/>
      <c r="AI311" s="87"/>
      <c r="AJ311" s="87"/>
      <c r="AK311" s="87"/>
      <c r="AL311" s="87"/>
      <c r="AM311" s="87"/>
    </row>
    <row r="312">
      <c r="A312" s="87"/>
      <c r="B312" s="166"/>
      <c r="C312" s="166"/>
      <c r="D312" s="166"/>
      <c r="E312" s="166"/>
      <c r="F312" s="714"/>
      <c r="G312" s="166"/>
      <c r="H312" s="166"/>
      <c r="I312" s="166"/>
      <c r="J312" s="166"/>
      <c r="K312" s="166"/>
      <c r="L312" s="166"/>
      <c r="M312" s="166"/>
      <c r="N312" s="715"/>
      <c r="O312" s="166"/>
      <c r="P312" s="166"/>
      <c r="Q312" s="716"/>
      <c r="R312" s="714"/>
      <c r="S312" s="717"/>
      <c r="T312" s="714"/>
      <c r="U312" s="166"/>
      <c r="V312" s="166"/>
      <c r="W312" s="166"/>
      <c r="X312" s="166"/>
      <c r="Y312" s="718"/>
      <c r="Z312" s="719"/>
      <c r="AA312" s="719"/>
      <c r="AB312" s="166"/>
      <c r="AC312" s="166"/>
      <c r="AD312" s="166"/>
      <c r="AE312" s="87"/>
      <c r="AF312" s="87"/>
      <c r="AG312" s="87"/>
      <c r="AH312" s="87"/>
      <c r="AI312" s="87"/>
      <c r="AJ312" s="87"/>
      <c r="AK312" s="87"/>
      <c r="AL312" s="87"/>
      <c r="AM312" s="87"/>
    </row>
    <row r="313">
      <c r="A313" s="87"/>
      <c r="B313" s="166"/>
      <c r="C313" s="166"/>
      <c r="D313" s="166"/>
      <c r="E313" s="166"/>
      <c r="F313" s="714"/>
      <c r="G313" s="166"/>
      <c r="H313" s="166"/>
      <c r="I313" s="166"/>
      <c r="J313" s="166"/>
      <c r="K313" s="166"/>
      <c r="L313" s="166"/>
      <c r="M313" s="166"/>
      <c r="N313" s="715"/>
      <c r="O313" s="166"/>
      <c r="P313" s="166"/>
      <c r="Q313" s="716"/>
      <c r="R313" s="714"/>
      <c r="S313" s="717"/>
      <c r="T313" s="714"/>
      <c r="U313" s="166"/>
      <c r="V313" s="166"/>
      <c r="W313" s="166"/>
      <c r="X313" s="166"/>
      <c r="Y313" s="718"/>
      <c r="Z313" s="719"/>
      <c r="AA313" s="719"/>
      <c r="AB313" s="166"/>
      <c r="AC313" s="166"/>
      <c r="AD313" s="166"/>
      <c r="AE313" s="87"/>
      <c r="AF313" s="87"/>
      <c r="AG313" s="87"/>
      <c r="AH313" s="87"/>
      <c r="AI313" s="87"/>
      <c r="AJ313" s="87"/>
      <c r="AK313" s="87"/>
      <c r="AL313" s="87"/>
      <c r="AM313" s="87"/>
    </row>
    <row r="314">
      <c r="A314" s="87"/>
      <c r="B314" s="166"/>
      <c r="C314" s="166"/>
      <c r="D314" s="166"/>
      <c r="E314" s="166"/>
      <c r="F314" s="714"/>
      <c r="G314" s="166"/>
      <c r="H314" s="166"/>
      <c r="I314" s="166"/>
      <c r="J314" s="166"/>
      <c r="K314" s="166"/>
      <c r="L314" s="166"/>
      <c r="M314" s="166"/>
      <c r="N314" s="715"/>
      <c r="O314" s="166"/>
      <c r="P314" s="166"/>
      <c r="Q314" s="716"/>
      <c r="R314" s="714"/>
      <c r="S314" s="717"/>
      <c r="T314" s="714"/>
      <c r="U314" s="166"/>
      <c r="V314" s="166"/>
      <c r="W314" s="166"/>
      <c r="X314" s="166"/>
      <c r="Y314" s="718"/>
      <c r="Z314" s="719"/>
      <c r="AA314" s="719"/>
      <c r="AB314" s="166"/>
      <c r="AC314" s="166"/>
      <c r="AD314" s="166"/>
      <c r="AE314" s="87"/>
      <c r="AF314" s="87"/>
      <c r="AG314" s="87"/>
      <c r="AH314" s="87"/>
      <c r="AI314" s="87"/>
      <c r="AJ314" s="87"/>
      <c r="AK314" s="87"/>
      <c r="AL314" s="87"/>
      <c r="AM314" s="87"/>
    </row>
    <row r="315">
      <c r="A315" s="87"/>
      <c r="B315" s="166"/>
      <c r="C315" s="166"/>
      <c r="D315" s="166"/>
      <c r="E315" s="166"/>
      <c r="F315" s="714"/>
      <c r="G315" s="166"/>
      <c r="H315" s="166"/>
      <c r="I315" s="166"/>
      <c r="J315" s="166"/>
      <c r="K315" s="166"/>
      <c r="L315" s="166"/>
      <c r="M315" s="166"/>
      <c r="N315" s="715"/>
      <c r="O315" s="166"/>
      <c r="P315" s="166"/>
      <c r="Q315" s="716"/>
      <c r="R315" s="714"/>
      <c r="S315" s="717"/>
      <c r="T315" s="714"/>
      <c r="U315" s="166"/>
      <c r="V315" s="166"/>
      <c r="W315" s="166"/>
      <c r="X315" s="166"/>
      <c r="Y315" s="718"/>
      <c r="Z315" s="719"/>
      <c r="AA315" s="719"/>
      <c r="AB315" s="166"/>
      <c r="AC315" s="166"/>
      <c r="AD315" s="166"/>
      <c r="AE315" s="87"/>
      <c r="AF315" s="87"/>
      <c r="AG315" s="87"/>
      <c r="AH315" s="87"/>
      <c r="AI315" s="87"/>
      <c r="AJ315" s="87"/>
      <c r="AK315" s="87"/>
      <c r="AL315" s="87"/>
      <c r="AM315" s="87"/>
    </row>
    <row r="316">
      <c r="A316" s="87"/>
      <c r="B316" s="166"/>
      <c r="C316" s="166"/>
      <c r="D316" s="166"/>
      <c r="E316" s="166"/>
      <c r="F316" s="714"/>
      <c r="G316" s="166"/>
      <c r="H316" s="166"/>
      <c r="I316" s="166"/>
      <c r="J316" s="166"/>
      <c r="K316" s="166"/>
      <c r="L316" s="166"/>
      <c r="M316" s="166"/>
      <c r="N316" s="715"/>
      <c r="O316" s="166"/>
      <c r="P316" s="166"/>
      <c r="Q316" s="716"/>
      <c r="R316" s="714"/>
      <c r="S316" s="717"/>
      <c r="T316" s="714"/>
      <c r="U316" s="166"/>
      <c r="V316" s="166"/>
      <c r="W316" s="166"/>
      <c r="X316" s="166"/>
      <c r="Y316" s="718"/>
      <c r="Z316" s="719"/>
      <c r="AA316" s="719"/>
      <c r="AB316" s="166"/>
      <c r="AC316" s="166"/>
      <c r="AD316" s="166"/>
      <c r="AE316" s="87"/>
      <c r="AF316" s="87"/>
      <c r="AG316" s="87"/>
      <c r="AH316" s="87"/>
      <c r="AI316" s="87"/>
      <c r="AJ316" s="87"/>
      <c r="AK316" s="87"/>
      <c r="AL316" s="87"/>
      <c r="AM316" s="87"/>
    </row>
    <row r="317">
      <c r="A317" s="87"/>
      <c r="B317" s="166"/>
      <c r="C317" s="166"/>
      <c r="D317" s="166"/>
      <c r="E317" s="166"/>
      <c r="F317" s="714"/>
      <c r="G317" s="166"/>
      <c r="H317" s="166"/>
      <c r="I317" s="166"/>
      <c r="J317" s="166"/>
      <c r="K317" s="166"/>
      <c r="L317" s="166"/>
      <c r="M317" s="166"/>
      <c r="N317" s="715"/>
      <c r="O317" s="166"/>
      <c r="P317" s="166"/>
      <c r="Q317" s="716"/>
      <c r="R317" s="714"/>
      <c r="S317" s="717"/>
      <c r="T317" s="714"/>
      <c r="U317" s="166"/>
      <c r="V317" s="166"/>
      <c r="W317" s="166"/>
      <c r="X317" s="166"/>
      <c r="Y317" s="718"/>
      <c r="Z317" s="719"/>
      <c r="AA317" s="719"/>
      <c r="AB317" s="166"/>
      <c r="AC317" s="166"/>
      <c r="AD317" s="166"/>
      <c r="AE317" s="87"/>
      <c r="AF317" s="87"/>
      <c r="AG317" s="87"/>
      <c r="AH317" s="87"/>
      <c r="AI317" s="87"/>
      <c r="AJ317" s="87"/>
      <c r="AK317" s="87"/>
      <c r="AL317" s="87"/>
      <c r="AM317" s="87"/>
    </row>
    <row r="318">
      <c r="A318" s="87"/>
      <c r="B318" s="166"/>
      <c r="C318" s="166"/>
      <c r="D318" s="166"/>
      <c r="E318" s="166"/>
      <c r="F318" s="714"/>
      <c r="G318" s="166"/>
      <c r="H318" s="166"/>
      <c r="I318" s="166"/>
      <c r="J318" s="166"/>
      <c r="K318" s="166"/>
      <c r="L318" s="166"/>
      <c r="M318" s="166"/>
      <c r="N318" s="715"/>
      <c r="O318" s="166"/>
      <c r="P318" s="166"/>
      <c r="Q318" s="716"/>
      <c r="R318" s="714"/>
      <c r="S318" s="717"/>
      <c r="T318" s="714"/>
      <c r="U318" s="166"/>
      <c r="V318" s="166"/>
      <c r="W318" s="166"/>
      <c r="X318" s="166"/>
      <c r="Y318" s="718"/>
      <c r="Z318" s="719"/>
      <c r="AA318" s="719"/>
      <c r="AB318" s="166"/>
      <c r="AC318" s="166"/>
      <c r="AD318" s="166"/>
      <c r="AE318" s="87"/>
      <c r="AF318" s="87"/>
      <c r="AG318" s="87"/>
      <c r="AH318" s="87"/>
      <c r="AI318" s="87"/>
      <c r="AJ318" s="87"/>
      <c r="AK318" s="87"/>
      <c r="AL318" s="87"/>
      <c r="AM318" s="87"/>
    </row>
    <row r="319">
      <c r="A319" s="87"/>
      <c r="B319" s="166"/>
      <c r="C319" s="166"/>
      <c r="D319" s="166"/>
      <c r="E319" s="166"/>
      <c r="F319" s="714"/>
      <c r="G319" s="166"/>
      <c r="H319" s="166"/>
      <c r="I319" s="166"/>
      <c r="J319" s="166"/>
      <c r="K319" s="166"/>
      <c r="L319" s="166"/>
      <c r="M319" s="166"/>
      <c r="N319" s="715"/>
      <c r="O319" s="166"/>
      <c r="P319" s="166"/>
      <c r="Q319" s="716"/>
      <c r="R319" s="714"/>
      <c r="S319" s="717"/>
      <c r="T319" s="714"/>
      <c r="U319" s="166"/>
      <c r="V319" s="166"/>
      <c r="W319" s="166"/>
      <c r="X319" s="166"/>
      <c r="Y319" s="718"/>
      <c r="Z319" s="719"/>
      <c r="AA319" s="719"/>
      <c r="AB319" s="166"/>
      <c r="AC319" s="166"/>
      <c r="AD319" s="166"/>
      <c r="AE319" s="87"/>
      <c r="AF319" s="87"/>
      <c r="AG319" s="87"/>
      <c r="AH319" s="87"/>
      <c r="AI319" s="87"/>
      <c r="AJ319" s="87"/>
      <c r="AK319" s="87"/>
      <c r="AL319" s="87"/>
      <c r="AM319" s="87"/>
    </row>
    <row r="320">
      <c r="A320" s="87"/>
      <c r="B320" s="166"/>
      <c r="C320" s="166"/>
      <c r="D320" s="166"/>
      <c r="E320" s="166"/>
      <c r="F320" s="714"/>
      <c r="G320" s="166"/>
      <c r="H320" s="166"/>
      <c r="I320" s="166"/>
      <c r="J320" s="166"/>
      <c r="K320" s="166"/>
      <c r="L320" s="166"/>
      <c r="M320" s="166"/>
      <c r="N320" s="715"/>
      <c r="O320" s="166"/>
      <c r="P320" s="166"/>
      <c r="Q320" s="716"/>
      <c r="R320" s="714"/>
      <c r="S320" s="717"/>
      <c r="T320" s="714"/>
      <c r="U320" s="166"/>
      <c r="V320" s="166"/>
      <c r="W320" s="166"/>
      <c r="X320" s="166"/>
      <c r="Y320" s="718"/>
      <c r="Z320" s="719"/>
      <c r="AA320" s="719"/>
      <c r="AB320" s="166"/>
      <c r="AC320" s="166"/>
      <c r="AD320" s="166"/>
      <c r="AE320" s="87"/>
      <c r="AF320" s="87"/>
      <c r="AG320" s="87"/>
      <c r="AH320" s="87"/>
      <c r="AI320" s="87"/>
      <c r="AJ320" s="87"/>
      <c r="AK320" s="87"/>
      <c r="AL320" s="87"/>
      <c r="AM320" s="87"/>
    </row>
    <row r="321">
      <c r="A321" s="87"/>
      <c r="B321" s="166"/>
      <c r="C321" s="166"/>
      <c r="D321" s="166"/>
      <c r="E321" s="166"/>
      <c r="F321" s="714"/>
      <c r="G321" s="166"/>
      <c r="H321" s="166"/>
      <c r="I321" s="166"/>
      <c r="J321" s="166"/>
      <c r="K321" s="166"/>
      <c r="L321" s="166"/>
      <c r="M321" s="166"/>
      <c r="N321" s="715"/>
      <c r="O321" s="166"/>
      <c r="P321" s="166"/>
      <c r="Q321" s="716"/>
      <c r="R321" s="714"/>
      <c r="S321" s="717"/>
      <c r="T321" s="714"/>
      <c r="U321" s="166"/>
      <c r="V321" s="166"/>
      <c r="W321" s="166"/>
      <c r="X321" s="166"/>
      <c r="Y321" s="718"/>
      <c r="Z321" s="719"/>
      <c r="AA321" s="719"/>
      <c r="AB321" s="166"/>
      <c r="AC321" s="166"/>
      <c r="AD321" s="166"/>
      <c r="AE321" s="87"/>
      <c r="AF321" s="87"/>
      <c r="AG321" s="87"/>
      <c r="AH321" s="87"/>
      <c r="AI321" s="87"/>
      <c r="AJ321" s="87"/>
      <c r="AK321" s="87"/>
      <c r="AL321" s="87"/>
      <c r="AM321" s="87"/>
    </row>
    <row r="322">
      <c r="A322" s="87"/>
      <c r="B322" s="166"/>
      <c r="C322" s="166"/>
      <c r="D322" s="166"/>
      <c r="E322" s="166"/>
      <c r="F322" s="714"/>
      <c r="G322" s="166"/>
      <c r="H322" s="166"/>
      <c r="I322" s="166"/>
      <c r="J322" s="166"/>
      <c r="K322" s="166"/>
      <c r="L322" s="166"/>
      <c r="M322" s="166"/>
      <c r="N322" s="715"/>
      <c r="O322" s="166"/>
      <c r="P322" s="166"/>
      <c r="Q322" s="716"/>
      <c r="R322" s="714"/>
      <c r="S322" s="717"/>
      <c r="T322" s="714"/>
      <c r="U322" s="166"/>
      <c r="V322" s="166"/>
      <c r="W322" s="166"/>
      <c r="X322" s="166"/>
      <c r="Y322" s="718"/>
      <c r="Z322" s="719"/>
      <c r="AA322" s="719"/>
      <c r="AB322" s="166"/>
      <c r="AC322" s="166"/>
      <c r="AD322" s="166"/>
      <c r="AE322" s="87"/>
      <c r="AF322" s="87"/>
      <c r="AG322" s="87"/>
      <c r="AH322" s="87"/>
      <c r="AI322" s="87"/>
      <c r="AJ322" s="87"/>
      <c r="AK322" s="87"/>
      <c r="AL322" s="87"/>
      <c r="AM322" s="87"/>
    </row>
    <row r="323">
      <c r="A323" s="87"/>
      <c r="B323" s="166"/>
      <c r="C323" s="166"/>
      <c r="D323" s="166"/>
      <c r="E323" s="166"/>
      <c r="F323" s="714"/>
      <c r="G323" s="166"/>
      <c r="H323" s="166"/>
      <c r="I323" s="166"/>
      <c r="J323" s="166"/>
      <c r="K323" s="166"/>
      <c r="L323" s="166"/>
      <c r="M323" s="166"/>
      <c r="N323" s="715"/>
      <c r="O323" s="166"/>
      <c r="P323" s="166"/>
      <c r="Q323" s="716"/>
      <c r="R323" s="714"/>
      <c r="S323" s="717"/>
      <c r="T323" s="714"/>
      <c r="U323" s="166"/>
      <c r="V323" s="166"/>
      <c r="W323" s="166"/>
      <c r="X323" s="166"/>
      <c r="Y323" s="718"/>
      <c r="Z323" s="719"/>
      <c r="AA323" s="719"/>
      <c r="AB323" s="166"/>
      <c r="AC323" s="166"/>
      <c r="AD323" s="166"/>
      <c r="AE323" s="87"/>
      <c r="AF323" s="87"/>
      <c r="AG323" s="87"/>
      <c r="AH323" s="87"/>
      <c r="AI323" s="87"/>
      <c r="AJ323" s="87"/>
      <c r="AK323" s="87"/>
      <c r="AL323" s="87"/>
      <c r="AM323" s="87"/>
    </row>
    <row r="324">
      <c r="A324" s="87"/>
      <c r="B324" s="166"/>
      <c r="C324" s="166"/>
      <c r="D324" s="166"/>
      <c r="E324" s="166"/>
      <c r="F324" s="714"/>
      <c r="G324" s="166"/>
      <c r="H324" s="166"/>
      <c r="I324" s="166"/>
      <c r="J324" s="166"/>
      <c r="K324" s="166"/>
      <c r="L324" s="166"/>
      <c r="M324" s="166"/>
      <c r="N324" s="715"/>
      <c r="O324" s="166"/>
      <c r="P324" s="166"/>
      <c r="Q324" s="716"/>
      <c r="R324" s="714"/>
      <c r="S324" s="717"/>
      <c r="T324" s="714"/>
      <c r="U324" s="166"/>
      <c r="V324" s="166"/>
      <c r="W324" s="166"/>
      <c r="X324" s="166"/>
      <c r="Y324" s="718"/>
      <c r="Z324" s="719"/>
      <c r="AA324" s="719"/>
      <c r="AB324" s="166"/>
      <c r="AC324" s="166"/>
      <c r="AD324" s="166"/>
      <c r="AE324" s="87"/>
      <c r="AF324" s="87"/>
      <c r="AG324" s="87"/>
      <c r="AH324" s="87"/>
      <c r="AI324" s="87"/>
      <c r="AJ324" s="87"/>
      <c r="AK324" s="87"/>
      <c r="AL324" s="87"/>
      <c r="AM324" s="87"/>
    </row>
    <row r="325">
      <c r="A325" s="87"/>
      <c r="B325" s="166"/>
      <c r="C325" s="166"/>
      <c r="D325" s="166"/>
      <c r="E325" s="166"/>
      <c r="F325" s="714"/>
      <c r="G325" s="166"/>
      <c r="H325" s="166"/>
      <c r="I325" s="166"/>
      <c r="J325" s="166"/>
      <c r="K325" s="166"/>
      <c r="L325" s="166"/>
      <c r="M325" s="166"/>
      <c r="N325" s="715"/>
      <c r="O325" s="166"/>
      <c r="P325" s="166"/>
      <c r="Q325" s="716"/>
      <c r="R325" s="714"/>
      <c r="S325" s="717"/>
      <c r="T325" s="714"/>
      <c r="U325" s="166"/>
      <c r="V325" s="166"/>
      <c r="W325" s="166"/>
      <c r="X325" s="166"/>
      <c r="Y325" s="718"/>
      <c r="Z325" s="719"/>
      <c r="AA325" s="719"/>
      <c r="AB325" s="166"/>
      <c r="AC325" s="166"/>
      <c r="AD325" s="166"/>
      <c r="AE325" s="87"/>
      <c r="AF325" s="87"/>
      <c r="AG325" s="87"/>
      <c r="AH325" s="87"/>
      <c r="AI325" s="87"/>
      <c r="AJ325" s="87"/>
      <c r="AK325" s="87"/>
      <c r="AL325" s="87"/>
      <c r="AM325" s="87"/>
    </row>
    <row r="326">
      <c r="A326" s="87"/>
      <c r="B326" s="166"/>
      <c r="C326" s="166"/>
      <c r="D326" s="166"/>
      <c r="E326" s="166"/>
      <c r="F326" s="714"/>
      <c r="G326" s="166"/>
      <c r="H326" s="166"/>
      <c r="I326" s="166"/>
      <c r="J326" s="166"/>
      <c r="K326" s="166"/>
      <c r="L326" s="166"/>
      <c r="M326" s="166"/>
      <c r="N326" s="715"/>
      <c r="O326" s="166"/>
      <c r="P326" s="166"/>
      <c r="Q326" s="716"/>
      <c r="R326" s="714"/>
      <c r="S326" s="717"/>
      <c r="T326" s="714"/>
      <c r="U326" s="166"/>
      <c r="V326" s="166"/>
      <c r="W326" s="166"/>
      <c r="X326" s="166"/>
      <c r="Y326" s="718"/>
      <c r="Z326" s="719"/>
      <c r="AA326" s="719"/>
      <c r="AB326" s="166"/>
      <c r="AC326" s="166"/>
      <c r="AD326" s="166"/>
      <c r="AE326" s="87"/>
      <c r="AF326" s="87"/>
      <c r="AG326" s="87"/>
      <c r="AH326" s="87"/>
      <c r="AI326" s="87"/>
      <c r="AJ326" s="87"/>
      <c r="AK326" s="87"/>
      <c r="AL326" s="87"/>
      <c r="AM326" s="87"/>
    </row>
    <row r="327">
      <c r="A327" s="87"/>
      <c r="B327" s="166"/>
      <c r="C327" s="166"/>
      <c r="D327" s="166"/>
      <c r="E327" s="166"/>
      <c r="F327" s="714"/>
      <c r="G327" s="166"/>
      <c r="H327" s="166"/>
      <c r="I327" s="166"/>
      <c r="J327" s="166"/>
      <c r="K327" s="166"/>
      <c r="L327" s="166"/>
      <c r="M327" s="166"/>
      <c r="N327" s="715"/>
      <c r="O327" s="166"/>
      <c r="P327" s="166"/>
      <c r="Q327" s="716"/>
      <c r="R327" s="714"/>
      <c r="S327" s="717"/>
      <c r="T327" s="714"/>
      <c r="U327" s="166"/>
      <c r="V327" s="166"/>
      <c r="W327" s="166"/>
      <c r="X327" s="166"/>
      <c r="Y327" s="718"/>
      <c r="Z327" s="719"/>
      <c r="AA327" s="719"/>
      <c r="AB327" s="166"/>
      <c r="AC327" s="166"/>
      <c r="AD327" s="166"/>
      <c r="AE327" s="87"/>
      <c r="AF327" s="87"/>
      <c r="AG327" s="87"/>
      <c r="AH327" s="87"/>
      <c r="AI327" s="87"/>
      <c r="AJ327" s="87"/>
      <c r="AK327" s="87"/>
      <c r="AL327" s="87"/>
      <c r="AM327" s="87"/>
    </row>
    <row r="328">
      <c r="A328" s="87"/>
      <c r="B328" s="166"/>
      <c r="C328" s="166"/>
      <c r="D328" s="166"/>
      <c r="E328" s="166"/>
      <c r="F328" s="714"/>
      <c r="G328" s="166"/>
      <c r="H328" s="166"/>
      <c r="I328" s="166"/>
      <c r="J328" s="166"/>
      <c r="K328" s="166"/>
      <c r="L328" s="166"/>
      <c r="M328" s="166"/>
      <c r="N328" s="715"/>
      <c r="O328" s="166"/>
      <c r="P328" s="166"/>
      <c r="Q328" s="716"/>
      <c r="R328" s="714"/>
      <c r="S328" s="717"/>
      <c r="T328" s="714"/>
      <c r="U328" s="166"/>
      <c r="V328" s="166"/>
      <c r="W328" s="166"/>
      <c r="X328" s="166"/>
      <c r="Y328" s="718"/>
      <c r="Z328" s="719"/>
      <c r="AA328" s="719"/>
      <c r="AB328" s="166"/>
      <c r="AC328" s="166"/>
      <c r="AD328" s="166"/>
      <c r="AE328" s="87"/>
      <c r="AF328" s="87"/>
      <c r="AG328" s="87"/>
      <c r="AH328" s="87"/>
      <c r="AI328" s="87"/>
      <c r="AJ328" s="87"/>
      <c r="AK328" s="87"/>
      <c r="AL328" s="87"/>
      <c r="AM328" s="87"/>
    </row>
    <row r="329">
      <c r="A329" s="87"/>
      <c r="B329" s="166"/>
      <c r="C329" s="166"/>
      <c r="D329" s="166"/>
      <c r="E329" s="166"/>
      <c r="F329" s="714"/>
      <c r="G329" s="166"/>
      <c r="H329" s="166"/>
      <c r="I329" s="166"/>
      <c r="J329" s="166"/>
      <c r="K329" s="166"/>
      <c r="L329" s="166"/>
      <c r="M329" s="166"/>
      <c r="N329" s="715"/>
      <c r="O329" s="166"/>
      <c r="P329" s="166"/>
      <c r="Q329" s="716"/>
      <c r="R329" s="714"/>
      <c r="S329" s="717"/>
      <c r="T329" s="714"/>
      <c r="U329" s="166"/>
      <c r="V329" s="166"/>
      <c r="W329" s="166"/>
      <c r="X329" s="166"/>
      <c r="Y329" s="718"/>
      <c r="Z329" s="719"/>
      <c r="AA329" s="719"/>
      <c r="AB329" s="166"/>
      <c r="AC329" s="166"/>
      <c r="AD329" s="166"/>
      <c r="AE329" s="87"/>
      <c r="AF329" s="87"/>
      <c r="AG329" s="87"/>
      <c r="AH329" s="87"/>
      <c r="AI329" s="87"/>
      <c r="AJ329" s="87"/>
      <c r="AK329" s="87"/>
      <c r="AL329" s="87"/>
      <c r="AM329" s="87"/>
    </row>
    <row r="330">
      <c r="A330" s="87"/>
      <c r="B330" s="166"/>
      <c r="C330" s="166"/>
      <c r="D330" s="166"/>
      <c r="E330" s="166"/>
      <c r="F330" s="714"/>
      <c r="G330" s="166"/>
      <c r="H330" s="166"/>
      <c r="I330" s="166"/>
      <c r="J330" s="166"/>
      <c r="K330" s="166"/>
      <c r="L330" s="166"/>
      <c r="M330" s="166"/>
      <c r="N330" s="715"/>
      <c r="O330" s="166"/>
      <c r="P330" s="166"/>
      <c r="Q330" s="716"/>
      <c r="R330" s="714"/>
      <c r="S330" s="717"/>
      <c r="T330" s="714"/>
      <c r="U330" s="166"/>
      <c r="V330" s="166"/>
      <c r="W330" s="166"/>
      <c r="X330" s="166"/>
      <c r="Y330" s="718"/>
      <c r="Z330" s="719"/>
      <c r="AA330" s="719"/>
      <c r="AB330" s="166"/>
      <c r="AC330" s="166"/>
      <c r="AD330" s="166"/>
      <c r="AE330" s="87"/>
      <c r="AF330" s="87"/>
      <c r="AG330" s="87"/>
      <c r="AH330" s="87"/>
      <c r="AI330" s="87"/>
      <c r="AJ330" s="87"/>
      <c r="AK330" s="87"/>
      <c r="AL330" s="87"/>
      <c r="AM330" s="87"/>
    </row>
    <row r="331">
      <c r="A331" s="87"/>
      <c r="B331" s="166"/>
      <c r="C331" s="166"/>
      <c r="D331" s="166"/>
      <c r="E331" s="166"/>
      <c r="F331" s="714"/>
      <c r="G331" s="166"/>
      <c r="H331" s="166"/>
      <c r="I331" s="166"/>
      <c r="J331" s="166"/>
      <c r="K331" s="166"/>
      <c r="L331" s="166"/>
      <c r="M331" s="166"/>
      <c r="N331" s="715"/>
      <c r="O331" s="166"/>
      <c r="P331" s="166"/>
      <c r="Q331" s="716"/>
      <c r="R331" s="714"/>
      <c r="S331" s="717"/>
      <c r="T331" s="714"/>
      <c r="U331" s="166"/>
      <c r="V331" s="166"/>
      <c r="W331" s="166"/>
      <c r="X331" s="166"/>
      <c r="Y331" s="718"/>
      <c r="Z331" s="719"/>
      <c r="AA331" s="719"/>
      <c r="AB331" s="166"/>
      <c r="AC331" s="166"/>
      <c r="AD331" s="166"/>
      <c r="AE331" s="87"/>
      <c r="AF331" s="87"/>
      <c r="AG331" s="87"/>
      <c r="AH331" s="87"/>
      <c r="AI331" s="87"/>
      <c r="AJ331" s="87"/>
      <c r="AK331" s="87"/>
      <c r="AL331" s="87"/>
      <c r="AM331" s="87"/>
    </row>
    <row r="332">
      <c r="A332" s="87"/>
      <c r="B332" s="166"/>
      <c r="C332" s="166"/>
      <c r="D332" s="166"/>
      <c r="E332" s="166"/>
      <c r="F332" s="714"/>
      <c r="G332" s="166"/>
      <c r="H332" s="166"/>
      <c r="I332" s="166"/>
      <c r="J332" s="166"/>
      <c r="K332" s="166"/>
      <c r="L332" s="166"/>
      <c r="M332" s="166"/>
      <c r="N332" s="715"/>
      <c r="O332" s="166"/>
      <c r="P332" s="166"/>
      <c r="Q332" s="716"/>
      <c r="R332" s="714"/>
      <c r="S332" s="717"/>
      <c r="T332" s="714"/>
      <c r="U332" s="166"/>
      <c r="V332" s="166"/>
      <c r="W332" s="166"/>
      <c r="X332" s="166"/>
      <c r="Y332" s="718"/>
      <c r="Z332" s="719"/>
      <c r="AA332" s="719"/>
      <c r="AB332" s="166"/>
      <c r="AC332" s="166"/>
      <c r="AD332" s="166"/>
      <c r="AE332" s="87"/>
      <c r="AF332" s="87"/>
      <c r="AG332" s="87"/>
      <c r="AH332" s="87"/>
      <c r="AI332" s="87"/>
      <c r="AJ332" s="87"/>
      <c r="AK332" s="87"/>
      <c r="AL332" s="87"/>
      <c r="AM332" s="87"/>
    </row>
    <row r="333">
      <c r="A333" s="87"/>
      <c r="B333" s="166"/>
      <c r="C333" s="166"/>
      <c r="D333" s="166"/>
      <c r="E333" s="166"/>
      <c r="F333" s="714"/>
      <c r="G333" s="166"/>
      <c r="H333" s="166"/>
      <c r="I333" s="166"/>
      <c r="J333" s="166"/>
      <c r="K333" s="166"/>
      <c r="L333" s="166"/>
      <c r="M333" s="166"/>
      <c r="N333" s="715"/>
      <c r="O333" s="166"/>
      <c r="P333" s="166"/>
      <c r="Q333" s="716"/>
      <c r="R333" s="714"/>
      <c r="S333" s="717"/>
      <c r="T333" s="714"/>
      <c r="U333" s="166"/>
      <c r="V333" s="166"/>
      <c r="W333" s="166"/>
      <c r="X333" s="166"/>
      <c r="Y333" s="718"/>
      <c r="Z333" s="719"/>
      <c r="AA333" s="719"/>
      <c r="AB333" s="166"/>
      <c r="AC333" s="166"/>
      <c r="AD333" s="166"/>
      <c r="AE333" s="87"/>
      <c r="AF333" s="87"/>
      <c r="AG333" s="87"/>
      <c r="AH333" s="87"/>
      <c r="AI333" s="87"/>
      <c r="AJ333" s="87"/>
      <c r="AK333" s="87"/>
      <c r="AL333" s="87"/>
      <c r="AM333" s="87"/>
    </row>
    <row r="334">
      <c r="A334" s="87"/>
      <c r="B334" s="166"/>
      <c r="C334" s="166"/>
      <c r="D334" s="166"/>
      <c r="E334" s="166"/>
      <c r="F334" s="714"/>
      <c r="G334" s="166"/>
      <c r="H334" s="166"/>
      <c r="I334" s="166"/>
      <c r="J334" s="166"/>
      <c r="K334" s="166"/>
      <c r="L334" s="166"/>
      <c r="M334" s="166"/>
      <c r="N334" s="715"/>
      <c r="O334" s="166"/>
      <c r="P334" s="166"/>
      <c r="Q334" s="716"/>
      <c r="R334" s="714"/>
      <c r="S334" s="717"/>
      <c r="T334" s="714"/>
      <c r="U334" s="166"/>
      <c r="V334" s="166"/>
      <c r="W334" s="166"/>
      <c r="X334" s="166"/>
      <c r="Y334" s="718"/>
      <c r="Z334" s="719"/>
      <c r="AA334" s="719"/>
      <c r="AB334" s="166"/>
      <c r="AC334" s="166"/>
      <c r="AD334" s="166"/>
      <c r="AE334" s="87"/>
      <c r="AF334" s="87"/>
      <c r="AG334" s="87"/>
      <c r="AH334" s="87"/>
      <c r="AI334" s="87"/>
      <c r="AJ334" s="87"/>
      <c r="AK334" s="87"/>
      <c r="AL334" s="87"/>
      <c r="AM334" s="87"/>
    </row>
    <row r="335">
      <c r="A335" s="87"/>
      <c r="B335" s="166"/>
      <c r="C335" s="166"/>
      <c r="D335" s="166"/>
      <c r="E335" s="166"/>
      <c r="F335" s="714"/>
      <c r="G335" s="166"/>
      <c r="H335" s="166"/>
      <c r="I335" s="166"/>
      <c r="J335" s="166"/>
      <c r="K335" s="166"/>
      <c r="L335" s="166"/>
      <c r="M335" s="166"/>
      <c r="N335" s="715"/>
      <c r="O335" s="166"/>
      <c r="P335" s="166"/>
      <c r="Q335" s="716"/>
      <c r="R335" s="714"/>
      <c r="S335" s="717"/>
      <c r="T335" s="714"/>
      <c r="U335" s="166"/>
      <c r="V335" s="166"/>
      <c r="W335" s="166"/>
      <c r="X335" s="166"/>
      <c r="Y335" s="718"/>
      <c r="Z335" s="719"/>
      <c r="AA335" s="719"/>
      <c r="AB335" s="166"/>
      <c r="AC335" s="166"/>
      <c r="AD335" s="166"/>
      <c r="AE335" s="87"/>
      <c r="AF335" s="87"/>
      <c r="AG335" s="87"/>
      <c r="AH335" s="87"/>
      <c r="AI335" s="87"/>
      <c r="AJ335" s="87"/>
      <c r="AK335" s="87"/>
      <c r="AL335" s="87"/>
      <c r="AM335" s="87"/>
    </row>
    <row r="336">
      <c r="A336" s="87"/>
      <c r="B336" s="166"/>
      <c r="C336" s="166"/>
      <c r="D336" s="166"/>
      <c r="E336" s="166"/>
      <c r="F336" s="714"/>
      <c r="G336" s="166"/>
      <c r="H336" s="166"/>
      <c r="I336" s="166"/>
      <c r="J336" s="166"/>
      <c r="K336" s="166"/>
      <c r="L336" s="166"/>
      <c r="M336" s="166"/>
      <c r="N336" s="715"/>
      <c r="O336" s="166"/>
      <c r="P336" s="166"/>
      <c r="Q336" s="716"/>
      <c r="R336" s="714"/>
      <c r="S336" s="717"/>
      <c r="T336" s="714"/>
      <c r="U336" s="166"/>
      <c r="V336" s="166"/>
      <c r="W336" s="166"/>
      <c r="X336" s="166"/>
      <c r="Y336" s="718"/>
      <c r="Z336" s="719"/>
      <c r="AA336" s="719"/>
      <c r="AB336" s="166"/>
      <c r="AC336" s="166"/>
      <c r="AD336" s="166"/>
      <c r="AE336" s="87"/>
      <c r="AF336" s="87"/>
      <c r="AG336" s="87"/>
      <c r="AH336" s="87"/>
      <c r="AI336" s="87"/>
      <c r="AJ336" s="87"/>
      <c r="AK336" s="87"/>
      <c r="AL336" s="87"/>
      <c r="AM336" s="87"/>
    </row>
    <row r="337">
      <c r="A337" s="87"/>
      <c r="B337" s="166"/>
      <c r="C337" s="166"/>
      <c r="D337" s="166"/>
      <c r="E337" s="166"/>
      <c r="F337" s="714"/>
      <c r="G337" s="166"/>
      <c r="H337" s="166"/>
      <c r="I337" s="166"/>
      <c r="J337" s="166"/>
      <c r="K337" s="166"/>
      <c r="L337" s="166"/>
      <c r="M337" s="166"/>
      <c r="N337" s="715"/>
      <c r="O337" s="166"/>
      <c r="P337" s="166"/>
      <c r="Q337" s="716"/>
      <c r="R337" s="714"/>
      <c r="S337" s="717"/>
      <c r="T337" s="714"/>
      <c r="U337" s="166"/>
      <c r="V337" s="166"/>
      <c r="W337" s="166"/>
      <c r="X337" s="166"/>
      <c r="Y337" s="718"/>
      <c r="Z337" s="719"/>
      <c r="AA337" s="719"/>
      <c r="AB337" s="166"/>
      <c r="AC337" s="166"/>
      <c r="AD337" s="166"/>
      <c r="AE337" s="87"/>
      <c r="AF337" s="87"/>
      <c r="AG337" s="87"/>
      <c r="AH337" s="87"/>
      <c r="AI337" s="87"/>
      <c r="AJ337" s="87"/>
      <c r="AK337" s="87"/>
      <c r="AL337" s="87"/>
      <c r="AM337" s="87"/>
    </row>
    <row r="338">
      <c r="A338" s="87"/>
      <c r="B338" s="166"/>
      <c r="C338" s="166"/>
      <c r="D338" s="166"/>
      <c r="E338" s="166"/>
      <c r="F338" s="714"/>
      <c r="G338" s="166"/>
      <c r="H338" s="166"/>
      <c r="I338" s="166"/>
      <c r="J338" s="166"/>
      <c r="K338" s="166"/>
      <c r="L338" s="166"/>
      <c r="M338" s="166"/>
      <c r="N338" s="715"/>
      <c r="O338" s="166"/>
      <c r="P338" s="166"/>
      <c r="Q338" s="716"/>
      <c r="R338" s="714"/>
      <c r="S338" s="717"/>
      <c r="T338" s="714"/>
      <c r="U338" s="166"/>
      <c r="V338" s="166"/>
      <c r="W338" s="166"/>
      <c r="X338" s="166"/>
      <c r="Y338" s="718"/>
      <c r="Z338" s="719"/>
      <c r="AA338" s="719"/>
      <c r="AB338" s="166"/>
      <c r="AC338" s="166"/>
      <c r="AD338" s="166"/>
      <c r="AE338" s="87"/>
      <c r="AF338" s="87"/>
      <c r="AG338" s="87"/>
      <c r="AH338" s="87"/>
      <c r="AI338" s="87"/>
      <c r="AJ338" s="87"/>
      <c r="AK338" s="87"/>
      <c r="AL338" s="87"/>
      <c r="AM338" s="87"/>
    </row>
    <row r="339">
      <c r="A339" s="87"/>
      <c r="B339" s="166"/>
      <c r="C339" s="166"/>
      <c r="D339" s="166"/>
      <c r="E339" s="166"/>
      <c r="F339" s="714"/>
      <c r="G339" s="166"/>
      <c r="H339" s="166"/>
      <c r="I339" s="166"/>
      <c r="J339" s="166"/>
      <c r="K339" s="166"/>
      <c r="L339" s="166"/>
      <c r="M339" s="166"/>
      <c r="N339" s="715"/>
      <c r="O339" s="166"/>
      <c r="P339" s="166"/>
      <c r="Q339" s="716"/>
      <c r="R339" s="714"/>
      <c r="S339" s="717"/>
      <c r="T339" s="714"/>
      <c r="U339" s="166"/>
      <c r="V339" s="166"/>
      <c r="W339" s="166"/>
      <c r="X339" s="166"/>
      <c r="Y339" s="718"/>
      <c r="Z339" s="719"/>
      <c r="AA339" s="719"/>
      <c r="AB339" s="166"/>
      <c r="AC339" s="166"/>
      <c r="AD339" s="166"/>
      <c r="AE339" s="87"/>
      <c r="AF339" s="87"/>
      <c r="AG339" s="87"/>
      <c r="AH339" s="87"/>
      <c r="AI339" s="87"/>
      <c r="AJ339" s="87"/>
      <c r="AK339" s="87"/>
      <c r="AL339" s="87"/>
      <c r="AM339" s="87"/>
    </row>
    <row r="340">
      <c r="A340" s="87"/>
      <c r="B340" s="166"/>
      <c r="C340" s="166"/>
      <c r="D340" s="166"/>
      <c r="E340" s="166"/>
      <c r="F340" s="714"/>
      <c r="G340" s="166"/>
      <c r="H340" s="166"/>
      <c r="I340" s="166"/>
      <c r="J340" s="166"/>
      <c r="K340" s="166"/>
      <c r="L340" s="166"/>
      <c r="M340" s="166"/>
      <c r="N340" s="715"/>
      <c r="O340" s="166"/>
      <c r="P340" s="166"/>
      <c r="Q340" s="716"/>
      <c r="R340" s="714"/>
      <c r="S340" s="717"/>
      <c r="T340" s="714"/>
      <c r="U340" s="166"/>
      <c r="V340" s="166"/>
      <c r="W340" s="166"/>
      <c r="X340" s="166"/>
      <c r="Y340" s="718"/>
      <c r="Z340" s="719"/>
      <c r="AA340" s="719"/>
      <c r="AB340" s="166"/>
      <c r="AC340" s="166"/>
      <c r="AD340" s="166"/>
      <c r="AE340" s="87"/>
      <c r="AF340" s="87"/>
      <c r="AG340" s="87"/>
      <c r="AH340" s="87"/>
      <c r="AI340" s="87"/>
      <c r="AJ340" s="87"/>
      <c r="AK340" s="87"/>
      <c r="AL340" s="87"/>
      <c r="AM340" s="87"/>
    </row>
    <row r="341">
      <c r="A341" s="87"/>
      <c r="B341" s="166"/>
      <c r="C341" s="166"/>
      <c r="D341" s="166"/>
      <c r="E341" s="166"/>
      <c r="F341" s="714"/>
      <c r="G341" s="166"/>
      <c r="H341" s="166"/>
      <c r="I341" s="166"/>
      <c r="J341" s="166"/>
      <c r="K341" s="166"/>
      <c r="L341" s="166"/>
      <c r="M341" s="166"/>
      <c r="N341" s="715"/>
      <c r="O341" s="166"/>
      <c r="P341" s="166"/>
      <c r="Q341" s="716"/>
      <c r="R341" s="714"/>
      <c r="S341" s="717"/>
      <c r="T341" s="714"/>
      <c r="U341" s="166"/>
      <c r="V341" s="166"/>
      <c r="W341" s="166"/>
      <c r="X341" s="166"/>
      <c r="Y341" s="718"/>
      <c r="Z341" s="719"/>
      <c r="AA341" s="719"/>
      <c r="AB341" s="166"/>
      <c r="AC341" s="166"/>
      <c r="AD341" s="166"/>
      <c r="AE341" s="87"/>
      <c r="AF341" s="87"/>
      <c r="AG341" s="87"/>
      <c r="AH341" s="87"/>
      <c r="AI341" s="87"/>
      <c r="AJ341" s="87"/>
      <c r="AK341" s="87"/>
      <c r="AL341" s="87"/>
      <c r="AM341" s="87"/>
    </row>
    <row r="342">
      <c r="A342" s="87"/>
      <c r="B342" s="166"/>
      <c r="C342" s="166"/>
      <c r="D342" s="166"/>
      <c r="E342" s="166"/>
      <c r="F342" s="714"/>
      <c r="G342" s="166"/>
      <c r="H342" s="166"/>
      <c r="I342" s="166"/>
      <c r="J342" s="166"/>
      <c r="K342" s="166"/>
      <c r="L342" s="166"/>
      <c r="M342" s="166"/>
      <c r="N342" s="715"/>
      <c r="O342" s="166"/>
      <c r="P342" s="166"/>
      <c r="Q342" s="716"/>
      <c r="R342" s="714"/>
      <c r="S342" s="717"/>
      <c r="T342" s="714"/>
      <c r="U342" s="166"/>
      <c r="V342" s="166"/>
      <c r="W342" s="166"/>
      <c r="X342" s="166"/>
      <c r="Y342" s="718"/>
      <c r="Z342" s="719"/>
      <c r="AA342" s="719"/>
      <c r="AB342" s="166"/>
      <c r="AC342" s="166"/>
      <c r="AD342" s="166"/>
      <c r="AE342" s="87"/>
      <c r="AF342" s="87"/>
      <c r="AG342" s="87"/>
      <c r="AH342" s="87"/>
      <c r="AI342" s="87"/>
      <c r="AJ342" s="87"/>
      <c r="AK342" s="87"/>
      <c r="AL342" s="87"/>
      <c r="AM342" s="87"/>
    </row>
    <row r="343">
      <c r="A343" s="87"/>
      <c r="B343" s="166"/>
      <c r="C343" s="166"/>
      <c r="D343" s="166"/>
      <c r="E343" s="166"/>
      <c r="F343" s="714"/>
      <c r="G343" s="166"/>
      <c r="H343" s="166"/>
      <c r="I343" s="166"/>
      <c r="J343" s="166"/>
      <c r="K343" s="166"/>
      <c r="L343" s="166"/>
      <c r="M343" s="166"/>
      <c r="N343" s="715"/>
      <c r="O343" s="166"/>
      <c r="P343" s="166"/>
      <c r="Q343" s="716"/>
      <c r="R343" s="714"/>
      <c r="S343" s="717"/>
      <c r="T343" s="714"/>
      <c r="U343" s="166"/>
      <c r="V343" s="166"/>
      <c r="W343" s="166"/>
      <c r="X343" s="166"/>
      <c r="Y343" s="718"/>
      <c r="Z343" s="719"/>
      <c r="AA343" s="719"/>
      <c r="AB343" s="166"/>
      <c r="AC343" s="166"/>
      <c r="AD343" s="166"/>
      <c r="AE343" s="87"/>
      <c r="AF343" s="87"/>
      <c r="AG343" s="87"/>
      <c r="AH343" s="87"/>
      <c r="AI343" s="87"/>
      <c r="AJ343" s="87"/>
      <c r="AK343" s="87"/>
      <c r="AL343" s="87"/>
      <c r="AM343" s="87"/>
    </row>
    <row r="344">
      <c r="A344" s="87"/>
      <c r="B344" s="166"/>
      <c r="C344" s="166"/>
      <c r="D344" s="166"/>
      <c r="E344" s="166"/>
      <c r="F344" s="714"/>
      <c r="G344" s="166"/>
      <c r="H344" s="166"/>
      <c r="I344" s="166"/>
      <c r="J344" s="166"/>
      <c r="K344" s="166"/>
      <c r="L344" s="166"/>
      <c r="M344" s="166"/>
      <c r="N344" s="715"/>
      <c r="O344" s="166"/>
      <c r="P344" s="166"/>
      <c r="Q344" s="716"/>
      <c r="R344" s="714"/>
      <c r="S344" s="717"/>
      <c r="T344" s="714"/>
      <c r="U344" s="166"/>
      <c r="V344" s="166"/>
      <c r="W344" s="166"/>
      <c r="X344" s="166"/>
      <c r="Y344" s="718"/>
      <c r="Z344" s="719"/>
      <c r="AA344" s="719"/>
      <c r="AB344" s="166"/>
      <c r="AC344" s="166"/>
      <c r="AD344" s="166"/>
      <c r="AE344" s="87"/>
      <c r="AF344" s="87"/>
      <c r="AG344" s="87"/>
      <c r="AH344" s="87"/>
      <c r="AI344" s="87"/>
      <c r="AJ344" s="87"/>
      <c r="AK344" s="87"/>
      <c r="AL344" s="87"/>
      <c r="AM344" s="87"/>
    </row>
    <row r="345">
      <c r="A345" s="87"/>
      <c r="B345" s="166"/>
      <c r="C345" s="166"/>
      <c r="D345" s="166"/>
      <c r="E345" s="166"/>
      <c r="F345" s="714"/>
      <c r="G345" s="166"/>
      <c r="H345" s="166"/>
      <c r="I345" s="166"/>
      <c r="J345" s="166"/>
      <c r="K345" s="166"/>
      <c r="L345" s="166"/>
      <c r="M345" s="166"/>
      <c r="N345" s="715"/>
      <c r="O345" s="166"/>
      <c r="P345" s="166"/>
      <c r="Q345" s="716"/>
      <c r="R345" s="714"/>
      <c r="S345" s="717"/>
      <c r="T345" s="714"/>
      <c r="U345" s="166"/>
      <c r="V345" s="166"/>
      <c r="W345" s="166"/>
      <c r="X345" s="166"/>
      <c r="Y345" s="718"/>
      <c r="Z345" s="719"/>
      <c r="AA345" s="719"/>
      <c r="AB345" s="166"/>
      <c r="AC345" s="166"/>
      <c r="AD345" s="166"/>
      <c r="AE345" s="87"/>
      <c r="AF345" s="87"/>
      <c r="AG345" s="87"/>
      <c r="AH345" s="87"/>
      <c r="AI345" s="87"/>
      <c r="AJ345" s="87"/>
      <c r="AK345" s="87"/>
      <c r="AL345" s="87"/>
      <c r="AM345" s="87"/>
    </row>
    <row r="346">
      <c r="A346" s="87"/>
      <c r="B346" s="166"/>
      <c r="C346" s="166"/>
      <c r="D346" s="166"/>
      <c r="E346" s="166"/>
      <c r="F346" s="714"/>
      <c r="G346" s="166"/>
      <c r="H346" s="166"/>
      <c r="I346" s="166"/>
      <c r="J346" s="166"/>
      <c r="K346" s="166"/>
      <c r="L346" s="166"/>
      <c r="M346" s="166"/>
      <c r="N346" s="715"/>
      <c r="O346" s="166"/>
      <c r="P346" s="166"/>
      <c r="Q346" s="716"/>
      <c r="R346" s="714"/>
      <c r="S346" s="717"/>
      <c r="T346" s="714"/>
      <c r="U346" s="166"/>
      <c r="V346" s="166"/>
      <c r="W346" s="166"/>
      <c r="X346" s="166"/>
      <c r="Y346" s="718"/>
      <c r="Z346" s="719"/>
      <c r="AA346" s="719"/>
      <c r="AB346" s="166"/>
      <c r="AC346" s="166"/>
      <c r="AD346" s="166"/>
      <c r="AE346" s="87"/>
      <c r="AF346" s="87"/>
      <c r="AG346" s="87"/>
      <c r="AH346" s="87"/>
      <c r="AI346" s="87"/>
      <c r="AJ346" s="87"/>
      <c r="AK346" s="87"/>
      <c r="AL346" s="87"/>
      <c r="AM346" s="87"/>
    </row>
    <row r="347">
      <c r="A347" s="87"/>
      <c r="B347" s="166"/>
      <c r="C347" s="166"/>
      <c r="D347" s="166"/>
      <c r="E347" s="166"/>
      <c r="F347" s="714"/>
      <c r="G347" s="166"/>
      <c r="H347" s="166"/>
      <c r="I347" s="166"/>
      <c r="J347" s="166"/>
      <c r="K347" s="166"/>
      <c r="L347" s="166"/>
      <c r="M347" s="166"/>
      <c r="N347" s="715"/>
      <c r="O347" s="166"/>
      <c r="P347" s="166"/>
      <c r="Q347" s="716"/>
      <c r="R347" s="714"/>
      <c r="S347" s="717"/>
      <c r="T347" s="714"/>
      <c r="U347" s="166"/>
      <c r="V347" s="166"/>
      <c r="W347" s="166"/>
      <c r="X347" s="166"/>
      <c r="Y347" s="718"/>
      <c r="Z347" s="719"/>
      <c r="AA347" s="719"/>
      <c r="AB347" s="166"/>
      <c r="AC347" s="166"/>
      <c r="AD347" s="166"/>
      <c r="AE347" s="87"/>
      <c r="AF347" s="87"/>
      <c r="AG347" s="87"/>
      <c r="AH347" s="87"/>
      <c r="AI347" s="87"/>
      <c r="AJ347" s="87"/>
      <c r="AK347" s="87"/>
      <c r="AL347" s="87"/>
      <c r="AM347" s="87"/>
    </row>
    <row r="348">
      <c r="A348" s="87"/>
      <c r="B348" s="166"/>
      <c r="C348" s="166"/>
      <c r="D348" s="166"/>
      <c r="E348" s="166"/>
      <c r="F348" s="714"/>
      <c r="G348" s="166"/>
      <c r="H348" s="166"/>
      <c r="I348" s="166"/>
      <c r="J348" s="166"/>
      <c r="K348" s="166"/>
      <c r="L348" s="166"/>
      <c r="M348" s="166"/>
      <c r="N348" s="715"/>
      <c r="O348" s="166"/>
      <c r="P348" s="166"/>
      <c r="Q348" s="716"/>
      <c r="R348" s="714"/>
      <c r="S348" s="717"/>
      <c r="T348" s="714"/>
      <c r="U348" s="166"/>
      <c r="V348" s="166"/>
      <c r="W348" s="166"/>
      <c r="X348" s="166"/>
      <c r="Y348" s="718"/>
      <c r="Z348" s="719"/>
      <c r="AA348" s="719"/>
      <c r="AB348" s="166"/>
      <c r="AC348" s="166"/>
      <c r="AD348" s="166"/>
      <c r="AE348" s="87"/>
      <c r="AF348" s="87"/>
      <c r="AG348" s="87"/>
      <c r="AH348" s="87"/>
      <c r="AI348" s="87"/>
      <c r="AJ348" s="87"/>
      <c r="AK348" s="87"/>
      <c r="AL348" s="87"/>
      <c r="AM348" s="87"/>
    </row>
    <row r="349">
      <c r="A349" s="87"/>
      <c r="B349" s="166"/>
      <c r="C349" s="166"/>
      <c r="D349" s="166"/>
      <c r="E349" s="166"/>
      <c r="F349" s="714"/>
      <c r="G349" s="166"/>
      <c r="H349" s="166"/>
      <c r="I349" s="166"/>
      <c r="J349" s="166"/>
      <c r="K349" s="166"/>
      <c r="L349" s="166"/>
      <c r="M349" s="166"/>
      <c r="N349" s="715"/>
      <c r="O349" s="166"/>
      <c r="P349" s="166"/>
      <c r="Q349" s="716"/>
      <c r="R349" s="714"/>
      <c r="S349" s="717"/>
      <c r="T349" s="714"/>
      <c r="U349" s="166"/>
      <c r="V349" s="166"/>
      <c r="W349" s="166"/>
      <c r="X349" s="166"/>
      <c r="Y349" s="718"/>
      <c r="Z349" s="719"/>
      <c r="AA349" s="719"/>
      <c r="AB349" s="166"/>
      <c r="AC349" s="166"/>
      <c r="AD349" s="166"/>
      <c r="AE349" s="87"/>
      <c r="AF349" s="87"/>
      <c r="AG349" s="87"/>
      <c r="AH349" s="87"/>
      <c r="AI349" s="87"/>
      <c r="AJ349" s="87"/>
      <c r="AK349" s="87"/>
      <c r="AL349" s="87"/>
      <c r="AM349" s="87"/>
    </row>
    <row r="350">
      <c r="A350" s="87"/>
      <c r="B350" s="166"/>
      <c r="C350" s="166"/>
      <c r="D350" s="166"/>
      <c r="E350" s="166"/>
      <c r="F350" s="714"/>
      <c r="G350" s="166"/>
      <c r="H350" s="166"/>
      <c r="I350" s="166"/>
      <c r="J350" s="166"/>
      <c r="K350" s="166"/>
      <c r="L350" s="166"/>
      <c r="M350" s="166"/>
      <c r="N350" s="715"/>
      <c r="O350" s="166"/>
      <c r="P350" s="166"/>
      <c r="Q350" s="716"/>
      <c r="R350" s="714"/>
      <c r="S350" s="717"/>
      <c r="T350" s="714"/>
      <c r="U350" s="166"/>
      <c r="V350" s="166"/>
      <c r="W350" s="166"/>
      <c r="X350" s="166"/>
      <c r="Y350" s="718"/>
      <c r="Z350" s="719"/>
      <c r="AA350" s="719"/>
      <c r="AB350" s="166"/>
      <c r="AC350" s="166"/>
      <c r="AD350" s="166"/>
      <c r="AE350" s="87"/>
      <c r="AF350" s="87"/>
      <c r="AG350" s="87"/>
      <c r="AH350" s="87"/>
      <c r="AI350" s="87"/>
      <c r="AJ350" s="87"/>
      <c r="AK350" s="87"/>
      <c r="AL350" s="87"/>
      <c r="AM350" s="87"/>
    </row>
    <row r="351">
      <c r="A351" s="87"/>
      <c r="B351" s="166"/>
      <c r="C351" s="166"/>
      <c r="D351" s="166"/>
      <c r="E351" s="166"/>
      <c r="F351" s="714"/>
      <c r="G351" s="166"/>
      <c r="H351" s="166"/>
      <c r="I351" s="166"/>
      <c r="J351" s="166"/>
      <c r="K351" s="166"/>
      <c r="L351" s="166"/>
      <c r="M351" s="166"/>
      <c r="N351" s="715"/>
      <c r="O351" s="166"/>
      <c r="P351" s="166"/>
      <c r="Q351" s="716"/>
      <c r="R351" s="714"/>
      <c r="S351" s="717"/>
      <c r="T351" s="714"/>
      <c r="U351" s="166"/>
      <c r="V351" s="166"/>
      <c r="W351" s="166"/>
      <c r="X351" s="166"/>
      <c r="Y351" s="718"/>
      <c r="Z351" s="719"/>
      <c r="AA351" s="719"/>
      <c r="AB351" s="166"/>
      <c r="AC351" s="166"/>
      <c r="AD351" s="166"/>
      <c r="AE351" s="87"/>
      <c r="AF351" s="87"/>
      <c r="AG351" s="87"/>
      <c r="AH351" s="87"/>
      <c r="AI351" s="87"/>
      <c r="AJ351" s="87"/>
      <c r="AK351" s="87"/>
      <c r="AL351" s="87"/>
      <c r="AM351" s="87"/>
    </row>
    <row r="352">
      <c r="A352" s="87"/>
      <c r="B352" s="166"/>
      <c r="C352" s="166"/>
      <c r="D352" s="166"/>
      <c r="E352" s="166"/>
      <c r="F352" s="714"/>
      <c r="G352" s="166"/>
      <c r="H352" s="166"/>
      <c r="I352" s="166"/>
      <c r="J352" s="166"/>
      <c r="K352" s="166"/>
      <c r="L352" s="166"/>
      <c r="M352" s="166"/>
      <c r="N352" s="715"/>
      <c r="O352" s="166"/>
      <c r="P352" s="166"/>
      <c r="Q352" s="716"/>
      <c r="R352" s="714"/>
      <c r="S352" s="717"/>
      <c r="T352" s="714"/>
      <c r="U352" s="166"/>
      <c r="V352" s="166"/>
      <c r="W352" s="166"/>
      <c r="X352" s="166"/>
      <c r="Y352" s="718"/>
      <c r="Z352" s="719"/>
      <c r="AA352" s="719"/>
      <c r="AB352" s="166"/>
      <c r="AC352" s="166"/>
      <c r="AD352" s="166"/>
      <c r="AE352" s="87"/>
      <c r="AF352" s="87"/>
      <c r="AG352" s="87"/>
      <c r="AH352" s="87"/>
      <c r="AI352" s="87"/>
      <c r="AJ352" s="87"/>
      <c r="AK352" s="87"/>
      <c r="AL352" s="87"/>
      <c r="AM352" s="87"/>
    </row>
    <row r="353">
      <c r="A353" s="87"/>
      <c r="B353" s="166"/>
      <c r="C353" s="166"/>
      <c r="D353" s="166"/>
      <c r="E353" s="166"/>
      <c r="F353" s="714"/>
      <c r="G353" s="166"/>
      <c r="H353" s="166"/>
      <c r="I353" s="166"/>
      <c r="J353" s="166"/>
      <c r="K353" s="166"/>
      <c r="L353" s="166"/>
      <c r="M353" s="166"/>
      <c r="N353" s="715"/>
      <c r="O353" s="166"/>
      <c r="P353" s="166"/>
      <c r="Q353" s="716"/>
      <c r="R353" s="714"/>
      <c r="S353" s="717"/>
      <c r="T353" s="714"/>
      <c r="U353" s="166"/>
      <c r="V353" s="166"/>
      <c r="W353" s="166"/>
      <c r="X353" s="166"/>
      <c r="Y353" s="718"/>
      <c r="Z353" s="719"/>
      <c r="AA353" s="719"/>
      <c r="AB353" s="166"/>
      <c r="AC353" s="166"/>
      <c r="AD353" s="166"/>
      <c r="AE353" s="87"/>
      <c r="AF353" s="87"/>
      <c r="AG353" s="87"/>
      <c r="AH353" s="87"/>
      <c r="AI353" s="87"/>
      <c r="AJ353" s="87"/>
      <c r="AK353" s="87"/>
      <c r="AL353" s="87"/>
      <c r="AM353" s="87"/>
    </row>
    <row r="354">
      <c r="A354" s="87"/>
      <c r="B354" s="166"/>
      <c r="C354" s="166"/>
      <c r="D354" s="166"/>
      <c r="E354" s="166"/>
      <c r="F354" s="714"/>
      <c r="G354" s="166"/>
      <c r="H354" s="166"/>
      <c r="I354" s="166"/>
      <c r="J354" s="166"/>
      <c r="K354" s="166"/>
      <c r="L354" s="166"/>
      <c r="M354" s="166"/>
      <c r="N354" s="715"/>
      <c r="O354" s="166"/>
      <c r="P354" s="166"/>
      <c r="Q354" s="716"/>
      <c r="R354" s="714"/>
      <c r="S354" s="717"/>
      <c r="T354" s="714"/>
      <c r="U354" s="166"/>
      <c r="V354" s="166"/>
      <c r="W354" s="166"/>
      <c r="X354" s="166"/>
      <c r="Y354" s="718"/>
      <c r="Z354" s="719"/>
      <c r="AA354" s="719"/>
      <c r="AB354" s="166"/>
      <c r="AC354" s="166"/>
      <c r="AD354" s="166"/>
      <c r="AE354" s="87"/>
      <c r="AF354" s="87"/>
      <c r="AG354" s="87"/>
      <c r="AH354" s="87"/>
      <c r="AI354" s="87"/>
      <c r="AJ354" s="87"/>
      <c r="AK354" s="87"/>
      <c r="AL354" s="87"/>
      <c r="AM354" s="87"/>
    </row>
    <row r="355">
      <c r="A355" s="87"/>
      <c r="B355" s="166"/>
      <c r="C355" s="166"/>
      <c r="D355" s="166"/>
      <c r="E355" s="166"/>
      <c r="F355" s="714"/>
      <c r="G355" s="166"/>
      <c r="H355" s="166"/>
      <c r="I355" s="166"/>
      <c r="J355" s="166"/>
      <c r="K355" s="166"/>
      <c r="L355" s="166"/>
      <c r="M355" s="166"/>
      <c r="N355" s="715"/>
      <c r="O355" s="166"/>
      <c r="P355" s="166"/>
      <c r="Q355" s="716"/>
      <c r="R355" s="714"/>
      <c r="S355" s="717"/>
      <c r="T355" s="714"/>
      <c r="U355" s="166"/>
      <c r="V355" s="166"/>
      <c r="W355" s="166"/>
      <c r="X355" s="166"/>
      <c r="Y355" s="718"/>
      <c r="Z355" s="719"/>
      <c r="AA355" s="719"/>
      <c r="AB355" s="166"/>
      <c r="AC355" s="166"/>
      <c r="AD355" s="166"/>
      <c r="AE355" s="87"/>
      <c r="AF355" s="87"/>
      <c r="AG355" s="87"/>
      <c r="AH355" s="87"/>
      <c r="AI355" s="87"/>
      <c r="AJ355" s="87"/>
      <c r="AK355" s="87"/>
      <c r="AL355" s="87"/>
      <c r="AM355" s="87"/>
    </row>
    <row r="356">
      <c r="A356" s="87"/>
      <c r="B356" s="166"/>
      <c r="C356" s="166"/>
      <c r="D356" s="166"/>
      <c r="E356" s="166"/>
      <c r="F356" s="714"/>
      <c r="G356" s="166"/>
      <c r="H356" s="166"/>
      <c r="I356" s="166"/>
      <c r="J356" s="166"/>
      <c r="K356" s="166"/>
      <c r="L356" s="166"/>
      <c r="M356" s="166"/>
      <c r="N356" s="715"/>
      <c r="O356" s="166"/>
      <c r="P356" s="166"/>
      <c r="Q356" s="716"/>
      <c r="R356" s="714"/>
      <c r="S356" s="717"/>
      <c r="T356" s="714"/>
      <c r="U356" s="166"/>
      <c r="V356" s="166"/>
      <c r="W356" s="166"/>
      <c r="X356" s="166"/>
      <c r="Y356" s="718"/>
      <c r="Z356" s="719"/>
      <c r="AA356" s="719"/>
      <c r="AB356" s="166"/>
      <c r="AC356" s="166"/>
      <c r="AD356" s="166"/>
      <c r="AE356" s="87"/>
      <c r="AF356" s="87"/>
      <c r="AG356" s="87"/>
      <c r="AH356" s="87"/>
      <c r="AI356" s="87"/>
      <c r="AJ356" s="87"/>
      <c r="AK356" s="87"/>
      <c r="AL356" s="87"/>
      <c r="AM356" s="87"/>
    </row>
    <row r="357">
      <c r="A357" s="87"/>
      <c r="B357" s="166"/>
      <c r="C357" s="166"/>
      <c r="D357" s="166"/>
      <c r="E357" s="166"/>
      <c r="F357" s="714"/>
      <c r="G357" s="166"/>
      <c r="H357" s="166"/>
      <c r="I357" s="166"/>
      <c r="J357" s="166"/>
      <c r="K357" s="166"/>
      <c r="L357" s="166"/>
      <c r="M357" s="166"/>
      <c r="N357" s="715"/>
      <c r="O357" s="166"/>
      <c r="P357" s="166"/>
      <c r="Q357" s="716"/>
      <c r="R357" s="714"/>
      <c r="S357" s="717"/>
      <c r="T357" s="714"/>
      <c r="U357" s="166"/>
      <c r="V357" s="166"/>
      <c r="W357" s="166"/>
      <c r="X357" s="166"/>
      <c r="Y357" s="718"/>
      <c r="Z357" s="719"/>
      <c r="AA357" s="719"/>
      <c r="AB357" s="166"/>
      <c r="AC357" s="166"/>
      <c r="AD357" s="166"/>
      <c r="AE357" s="87"/>
      <c r="AF357" s="87"/>
      <c r="AG357" s="87"/>
      <c r="AH357" s="87"/>
      <c r="AI357" s="87"/>
      <c r="AJ357" s="87"/>
      <c r="AK357" s="87"/>
      <c r="AL357" s="87"/>
      <c r="AM357" s="87"/>
    </row>
    <row r="358">
      <c r="A358" s="87"/>
      <c r="B358" s="166"/>
      <c r="C358" s="166"/>
      <c r="D358" s="166"/>
      <c r="E358" s="166"/>
      <c r="F358" s="714"/>
      <c r="G358" s="166"/>
      <c r="H358" s="166"/>
      <c r="I358" s="166"/>
      <c r="J358" s="166"/>
      <c r="K358" s="166"/>
      <c r="L358" s="166"/>
      <c r="M358" s="166"/>
      <c r="N358" s="715"/>
      <c r="O358" s="166"/>
      <c r="P358" s="166"/>
      <c r="Q358" s="716"/>
      <c r="R358" s="714"/>
      <c r="S358" s="717"/>
      <c r="T358" s="714"/>
      <c r="U358" s="166"/>
      <c r="V358" s="166"/>
      <c r="W358" s="166"/>
      <c r="X358" s="166"/>
      <c r="Y358" s="718"/>
      <c r="Z358" s="719"/>
      <c r="AA358" s="719"/>
      <c r="AB358" s="166"/>
      <c r="AC358" s="166"/>
      <c r="AD358" s="166"/>
      <c r="AE358" s="87"/>
      <c r="AF358" s="87"/>
      <c r="AG358" s="87"/>
      <c r="AH358" s="87"/>
      <c r="AI358" s="87"/>
      <c r="AJ358" s="87"/>
      <c r="AK358" s="87"/>
      <c r="AL358" s="87"/>
      <c r="AM358" s="87"/>
    </row>
    <row r="359">
      <c r="A359" s="87"/>
      <c r="B359" s="166"/>
      <c r="C359" s="166"/>
      <c r="D359" s="166"/>
      <c r="E359" s="166"/>
      <c r="F359" s="714"/>
      <c r="G359" s="166"/>
      <c r="H359" s="166"/>
      <c r="I359" s="166"/>
      <c r="J359" s="166"/>
      <c r="K359" s="166"/>
      <c r="L359" s="166"/>
      <c r="M359" s="166"/>
      <c r="N359" s="715"/>
      <c r="O359" s="166"/>
      <c r="P359" s="166"/>
      <c r="Q359" s="716"/>
      <c r="R359" s="714"/>
      <c r="S359" s="717"/>
      <c r="T359" s="714"/>
      <c r="U359" s="166"/>
      <c r="V359" s="166"/>
      <c r="W359" s="166"/>
      <c r="X359" s="166"/>
      <c r="Y359" s="718"/>
      <c r="Z359" s="719"/>
      <c r="AA359" s="719"/>
      <c r="AB359" s="166"/>
      <c r="AC359" s="166"/>
      <c r="AD359" s="166"/>
      <c r="AE359" s="87"/>
      <c r="AF359" s="87"/>
      <c r="AG359" s="87"/>
      <c r="AH359" s="87"/>
      <c r="AI359" s="87"/>
      <c r="AJ359" s="87"/>
      <c r="AK359" s="87"/>
      <c r="AL359" s="87"/>
      <c r="AM359" s="87"/>
    </row>
    <row r="360">
      <c r="A360" s="87"/>
      <c r="B360" s="166"/>
      <c r="C360" s="166"/>
      <c r="D360" s="166"/>
      <c r="E360" s="166"/>
      <c r="F360" s="714"/>
      <c r="G360" s="166"/>
      <c r="H360" s="166"/>
      <c r="I360" s="166"/>
      <c r="J360" s="166"/>
      <c r="K360" s="166"/>
      <c r="L360" s="166"/>
      <c r="M360" s="166"/>
      <c r="N360" s="715"/>
      <c r="O360" s="166"/>
      <c r="P360" s="166"/>
      <c r="Q360" s="716"/>
      <c r="R360" s="714"/>
      <c r="S360" s="717"/>
      <c r="T360" s="714"/>
      <c r="U360" s="166"/>
      <c r="V360" s="166"/>
      <c r="W360" s="166"/>
      <c r="X360" s="166"/>
      <c r="Y360" s="718"/>
      <c r="Z360" s="719"/>
      <c r="AA360" s="719"/>
      <c r="AB360" s="166"/>
      <c r="AC360" s="166"/>
      <c r="AD360" s="166"/>
      <c r="AE360" s="87"/>
      <c r="AF360" s="87"/>
      <c r="AG360" s="87"/>
      <c r="AH360" s="87"/>
      <c r="AI360" s="87"/>
      <c r="AJ360" s="87"/>
      <c r="AK360" s="87"/>
      <c r="AL360" s="87"/>
      <c r="AM360" s="87"/>
    </row>
    <row r="361">
      <c r="A361" s="87"/>
      <c r="B361" s="166"/>
      <c r="C361" s="166"/>
      <c r="D361" s="166"/>
      <c r="E361" s="166"/>
      <c r="F361" s="714"/>
      <c r="G361" s="166"/>
      <c r="H361" s="166"/>
      <c r="I361" s="166"/>
      <c r="J361" s="166"/>
      <c r="K361" s="166"/>
      <c r="L361" s="166"/>
      <c r="M361" s="166"/>
      <c r="N361" s="715"/>
      <c r="O361" s="166"/>
      <c r="P361" s="166"/>
      <c r="Q361" s="716"/>
      <c r="R361" s="714"/>
      <c r="S361" s="717"/>
      <c r="T361" s="714"/>
      <c r="U361" s="166"/>
      <c r="V361" s="166"/>
      <c r="W361" s="166"/>
      <c r="X361" s="166"/>
      <c r="Y361" s="718"/>
      <c r="Z361" s="719"/>
      <c r="AA361" s="719"/>
      <c r="AB361" s="166"/>
      <c r="AC361" s="166"/>
      <c r="AD361" s="166"/>
      <c r="AE361" s="87"/>
      <c r="AF361" s="87"/>
      <c r="AG361" s="87"/>
      <c r="AH361" s="87"/>
      <c r="AI361" s="87"/>
      <c r="AJ361" s="87"/>
      <c r="AK361" s="87"/>
      <c r="AL361" s="87"/>
      <c r="AM361" s="87"/>
    </row>
    <row r="362">
      <c r="A362" s="87"/>
      <c r="B362" s="166"/>
      <c r="C362" s="166"/>
      <c r="D362" s="166"/>
      <c r="E362" s="166"/>
      <c r="F362" s="714"/>
      <c r="G362" s="166"/>
      <c r="H362" s="166"/>
      <c r="I362" s="166"/>
      <c r="J362" s="166"/>
      <c r="K362" s="166"/>
      <c r="L362" s="166"/>
      <c r="M362" s="166"/>
      <c r="N362" s="715"/>
      <c r="O362" s="166"/>
      <c r="P362" s="166"/>
      <c r="Q362" s="716"/>
      <c r="R362" s="714"/>
      <c r="S362" s="717"/>
      <c r="T362" s="714"/>
      <c r="U362" s="166"/>
      <c r="V362" s="166"/>
      <c r="W362" s="166"/>
      <c r="X362" s="166"/>
      <c r="Y362" s="718"/>
      <c r="Z362" s="719"/>
      <c r="AA362" s="719"/>
      <c r="AB362" s="166"/>
      <c r="AC362" s="166"/>
      <c r="AD362" s="166"/>
      <c r="AE362" s="87"/>
      <c r="AF362" s="87"/>
      <c r="AG362" s="87"/>
      <c r="AH362" s="87"/>
      <c r="AI362" s="87"/>
      <c r="AJ362" s="87"/>
      <c r="AK362" s="87"/>
      <c r="AL362" s="87"/>
      <c r="AM362" s="87"/>
    </row>
    <row r="363">
      <c r="A363" s="87"/>
      <c r="B363" s="166"/>
      <c r="C363" s="166"/>
      <c r="D363" s="166"/>
      <c r="E363" s="166"/>
      <c r="F363" s="714"/>
      <c r="G363" s="166"/>
      <c r="H363" s="166"/>
      <c r="I363" s="166"/>
      <c r="J363" s="166"/>
      <c r="K363" s="166"/>
      <c r="L363" s="166"/>
      <c r="M363" s="166"/>
      <c r="N363" s="715"/>
      <c r="O363" s="166"/>
      <c r="P363" s="166"/>
      <c r="Q363" s="716"/>
      <c r="R363" s="714"/>
      <c r="S363" s="717"/>
      <c r="T363" s="714"/>
      <c r="U363" s="166"/>
      <c r="V363" s="166"/>
      <c r="W363" s="166"/>
      <c r="X363" s="166"/>
      <c r="Y363" s="718"/>
      <c r="Z363" s="719"/>
      <c r="AA363" s="719"/>
      <c r="AB363" s="166"/>
      <c r="AC363" s="166"/>
      <c r="AD363" s="166"/>
      <c r="AE363" s="87"/>
      <c r="AF363" s="87"/>
      <c r="AG363" s="87"/>
      <c r="AH363" s="87"/>
      <c r="AI363" s="87"/>
      <c r="AJ363" s="87"/>
      <c r="AK363" s="87"/>
      <c r="AL363" s="87"/>
      <c r="AM363" s="87"/>
    </row>
    <row r="364">
      <c r="A364" s="87"/>
      <c r="B364" s="166"/>
      <c r="C364" s="166"/>
      <c r="D364" s="166"/>
      <c r="E364" s="166"/>
      <c r="F364" s="714"/>
      <c r="G364" s="166"/>
      <c r="H364" s="166"/>
      <c r="I364" s="166"/>
      <c r="J364" s="166"/>
      <c r="K364" s="166"/>
      <c r="L364" s="166"/>
      <c r="M364" s="166"/>
      <c r="N364" s="715"/>
      <c r="O364" s="166"/>
      <c r="P364" s="166"/>
      <c r="Q364" s="716"/>
      <c r="R364" s="714"/>
      <c r="S364" s="717"/>
      <c r="T364" s="714"/>
      <c r="U364" s="166"/>
      <c r="V364" s="166"/>
      <c r="W364" s="166"/>
      <c r="X364" s="166"/>
      <c r="Y364" s="718"/>
      <c r="Z364" s="719"/>
      <c r="AA364" s="719"/>
      <c r="AB364" s="166"/>
      <c r="AC364" s="166"/>
      <c r="AD364" s="166"/>
      <c r="AE364" s="87"/>
      <c r="AF364" s="87"/>
      <c r="AG364" s="87"/>
      <c r="AH364" s="87"/>
      <c r="AI364" s="87"/>
      <c r="AJ364" s="87"/>
      <c r="AK364" s="87"/>
      <c r="AL364" s="87"/>
      <c r="AM364" s="87"/>
    </row>
    <row r="365">
      <c r="A365" s="87"/>
      <c r="B365" s="166"/>
      <c r="C365" s="166"/>
      <c r="D365" s="166"/>
      <c r="E365" s="166"/>
      <c r="F365" s="714"/>
      <c r="G365" s="166"/>
      <c r="H365" s="166"/>
      <c r="I365" s="166"/>
      <c r="J365" s="166"/>
      <c r="K365" s="166"/>
      <c r="L365" s="166"/>
      <c r="M365" s="166"/>
      <c r="N365" s="715"/>
      <c r="O365" s="166"/>
      <c r="P365" s="166"/>
      <c r="Q365" s="716"/>
      <c r="R365" s="714"/>
      <c r="S365" s="717"/>
      <c r="T365" s="714"/>
      <c r="U365" s="166"/>
      <c r="V365" s="166"/>
      <c r="W365" s="166"/>
      <c r="X365" s="166"/>
      <c r="Y365" s="718"/>
      <c r="Z365" s="719"/>
      <c r="AA365" s="719"/>
      <c r="AB365" s="166"/>
      <c r="AC365" s="166"/>
      <c r="AD365" s="166"/>
      <c r="AE365" s="87"/>
      <c r="AF365" s="87"/>
      <c r="AG365" s="87"/>
      <c r="AH365" s="87"/>
      <c r="AI365" s="87"/>
      <c r="AJ365" s="87"/>
      <c r="AK365" s="87"/>
      <c r="AL365" s="87"/>
      <c r="AM365" s="87"/>
    </row>
    <row r="366">
      <c r="A366" s="87"/>
      <c r="B366" s="166"/>
      <c r="C366" s="166"/>
      <c r="D366" s="166"/>
      <c r="E366" s="166"/>
      <c r="F366" s="714"/>
      <c r="G366" s="166"/>
      <c r="H366" s="166"/>
      <c r="I366" s="166"/>
      <c r="J366" s="166"/>
      <c r="K366" s="166"/>
      <c r="L366" s="166"/>
      <c r="M366" s="166"/>
      <c r="N366" s="715"/>
      <c r="O366" s="166"/>
      <c r="P366" s="166"/>
      <c r="Q366" s="716"/>
      <c r="R366" s="714"/>
      <c r="S366" s="717"/>
      <c r="T366" s="714"/>
      <c r="U366" s="166"/>
      <c r="V366" s="166"/>
      <c r="W366" s="166"/>
      <c r="X366" s="166"/>
      <c r="Y366" s="718"/>
      <c r="Z366" s="719"/>
      <c r="AA366" s="719"/>
      <c r="AB366" s="166"/>
      <c r="AC366" s="166"/>
      <c r="AD366" s="166"/>
      <c r="AE366" s="87"/>
      <c r="AF366" s="87"/>
      <c r="AG366" s="87"/>
      <c r="AH366" s="87"/>
      <c r="AI366" s="87"/>
      <c r="AJ366" s="87"/>
      <c r="AK366" s="87"/>
      <c r="AL366" s="87"/>
      <c r="AM366" s="87"/>
    </row>
    <row r="367">
      <c r="A367" s="87"/>
      <c r="B367" s="166"/>
      <c r="C367" s="166"/>
      <c r="D367" s="166"/>
      <c r="E367" s="166"/>
      <c r="F367" s="714"/>
      <c r="G367" s="166"/>
      <c r="H367" s="166"/>
      <c r="I367" s="166"/>
      <c r="J367" s="166"/>
      <c r="K367" s="166"/>
      <c r="L367" s="166"/>
      <c r="M367" s="166"/>
      <c r="N367" s="715"/>
      <c r="O367" s="166"/>
      <c r="P367" s="166"/>
      <c r="Q367" s="716"/>
      <c r="R367" s="714"/>
      <c r="S367" s="717"/>
      <c r="T367" s="714"/>
      <c r="U367" s="166"/>
      <c r="V367" s="166"/>
      <c r="W367" s="166"/>
      <c r="X367" s="166"/>
      <c r="Y367" s="718"/>
      <c r="Z367" s="719"/>
      <c r="AA367" s="719"/>
      <c r="AB367" s="166"/>
      <c r="AC367" s="166"/>
      <c r="AD367" s="166"/>
      <c r="AE367" s="87"/>
      <c r="AF367" s="87"/>
      <c r="AG367" s="87"/>
      <c r="AH367" s="87"/>
      <c r="AI367" s="87"/>
      <c r="AJ367" s="87"/>
      <c r="AK367" s="87"/>
      <c r="AL367" s="87"/>
      <c r="AM367" s="87"/>
    </row>
    <row r="368">
      <c r="A368" s="87"/>
      <c r="B368" s="166"/>
      <c r="C368" s="166"/>
      <c r="D368" s="166"/>
      <c r="E368" s="166"/>
      <c r="F368" s="714"/>
      <c r="G368" s="166"/>
      <c r="H368" s="166"/>
      <c r="I368" s="166"/>
      <c r="J368" s="166"/>
      <c r="K368" s="166"/>
      <c r="L368" s="166"/>
      <c r="M368" s="166"/>
      <c r="N368" s="715"/>
      <c r="O368" s="166"/>
      <c r="P368" s="166"/>
      <c r="Q368" s="716"/>
      <c r="R368" s="714"/>
      <c r="S368" s="717"/>
      <c r="T368" s="714"/>
      <c r="U368" s="166"/>
      <c r="V368" s="166"/>
      <c r="W368" s="166"/>
      <c r="X368" s="166"/>
      <c r="Y368" s="718"/>
      <c r="Z368" s="719"/>
      <c r="AA368" s="719"/>
      <c r="AB368" s="166"/>
      <c r="AC368" s="166"/>
      <c r="AD368" s="166"/>
      <c r="AE368" s="87"/>
      <c r="AF368" s="87"/>
      <c r="AG368" s="87"/>
      <c r="AH368" s="87"/>
      <c r="AI368" s="87"/>
      <c r="AJ368" s="87"/>
      <c r="AK368" s="87"/>
      <c r="AL368" s="87"/>
      <c r="AM368" s="87"/>
    </row>
    <row r="369">
      <c r="A369" s="87"/>
      <c r="B369" s="166"/>
      <c r="C369" s="166"/>
      <c r="D369" s="166"/>
      <c r="E369" s="166"/>
      <c r="F369" s="714"/>
      <c r="G369" s="166"/>
      <c r="H369" s="166"/>
      <c r="I369" s="166"/>
      <c r="J369" s="166"/>
      <c r="K369" s="166"/>
      <c r="L369" s="166"/>
      <c r="M369" s="166"/>
      <c r="N369" s="715"/>
      <c r="O369" s="166"/>
      <c r="P369" s="166"/>
      <c r="Q369" s="716"/>
      <c r="R369" s="714"/>
      <c r="S369" s="717"/>
      <c r="T369" s="714"/>
      <c r="U369" s="166"/>
      <c r="V369" s="166"/>
      <c r="W369" s="166"/>
      <c r="X369" s="166"/>
      <c r="Y369" s="718"/>
      <c r="Z369" s="719"/>
      <c r="AA369" s="719"/>
      <c r="AB369" s="166"/>
      <c r="AC369" s="166"/>
      <c r="AD369" s="166"/>
      <c r="AE369" s="87"/>
      <c r="AF369" s="87"/>
      <c r="AG369" s="87"/>
      <c r="AH369" s="87"/>
      <c r="AI369" s="87"/>
      <c r="AJ369" s="87"/>
      <c r="AK369" s="87"/>
      <c r="AL369" s="87"/>
      <c r="AM369" s="87"/>
    </row>
    <row r="370">
      <c r="A370" s="87"/>
      <c r="B370" s="166"/>
      <c r="C370" s="166"/>
      <c r="D370" s="166"/>
      <c r="E370" s="166"/>
      <c r="F370" s="714"/>
      <c r="G370" s="166"/>
      <c r="H370" s="166"/>
      <c r="I370" s="166"/>
      <c r="J370" s="166"/>
      <c r="K370" s="166"/>
      <c r="L370" s="166"/>
      <c r="M370" s="166"/>
      <c r="N370" s="715"/>
      <c r="O370" s="166"/>
      <c r="P370" s="166"/>
      <c r="Q370" s="716"/>
      <c r="R370" s="714"/>
      <c r="S370" s="717"/>
      <c r="T370" s="714"/>
      <c r="U370" s="166"/>
      <c r="V370" s="166"/>
      <c r="W370" s="166"/>
      <c r="X370" s="166"/>
      <c r="Y370" s="718"/>
      <c r="Z370" s="719"/>
      <c r="AA370" s="719"/>
      <c r="AB370" s="166"/>
      <c r="AC370" s="166"/>
      <c r="AD370" s="166"/>
      <c r="AE370" s="87"/>
      <c r="AF370" s="87"/>
      <c r="AG370" s="87"/>
      <c r="AH370" s="87"/>
      <c r="AI370" s="87"/>
      <c r="AJ370" s="87"/>
      <c r="AK370" s="87"/>
      <c r="AL370" s="87"/>
      <c r="AM370" s="87"/>
    </row>
    <row r="371">
      <c r="A371" s="87"/>
      <c r="B371" s="166"/>
      <c r="C371" s="166"/>
      <c r="D371" s="166"/>
      <c r="E371" s="166"/>
      <c r="F371" s="714"/>
      <c r="G371" s="166"/>
      <c r="H371" s="166"/>
      <c r="I371" s="166"/>
      <c r="J371" s="166"/>
      <c r="K371" s="166"/>
      <c r="L371" s="166"/>
      <c r="M371" s="166"/>
      <c r="N371" s="715"/>
      <c r="O371" s="166"/>
      <c r="P371" s="166"/>
      <c r="Q371" s="716"/>
      <c r="R371" s="714"/>
      <c r="S371" s="717"/>
      <c r="T371" s="714"/>
      <c r="U371" s="166"/>
      <c r="V371" s="166"/>
      <c r="W371" s="166"/>
      <c r="X371" s="166"/>
      <c r="Y371" s="718"/>
      <c r="Z371" s="719"/>
      <c r="AA371" s="719"/>
      <c r="AB371" s="166"/>
      <c r="AC371" s="166"/>
      <c r="AD371" s="166"/>
      <c r="AE371" s="87"/>
      <c r="AF371" s="87"/>
      <c r="AG371" s="87"/>
      <c r="AH371" s="87"/>
      <c r="AI371" s="87"/>
      <c r="AJ371" s="87"/>
      <c r="AK371" s="87"/>
      <c r="AL371" s="87"/>
      <c r="AM371" s="87"/>
    </row>
    <row r="372">
      <c r="A372" s="87"/>
      <c r="B372" s="166"/>
      <c r="C372" s="166"/>
      <c r="D372" s="166"/>
      <c r="E372" s="166"/>
      <c r="F372" s="714"/>
      <c r="G372" s="166"/>
      <c r="H372" s="166"/>
      <c r="I372" s="166"/>
      <c r="J372" s="166"/>
      <c r="K372" s="166"/>
      <c r="L372" s="166"/>
      <c r="M372" s="166"/>
      <c r="N372" s="715"/>
      <c r="O372" s="166"/>
      <c r="P372" s="166"/>
      <c r="Q372" s="716"/>
      <c r="R372" s="714"/>
      <c r="S372" s="717"/>
      <c r="T372" s="714"/>
      <c r="U372" s="166"/>
      <c r="V372" s="166"/>
      <c r="W372" s="166"/>
      <c r="X372" s="166"/>
      <c r="Y372" s="718"/>
      <c r="Z372" s="719"/>
      <c r="AA372" s="719"/>
      <c r="AB372" s="166"/>
      <c r="AC372" s="166"/>
      <c r="AD372" s="166"/>
      <c r="AE372" s="87"/>
      <c r="AF372" s="87"/>
      <c r="AG372" s="87"/>
      <c r="AH372" s="87"/>
      <c r="AI372" s="87"/>
      <c r="AJ372" s="87"/>
      <c r="AK372" s="87"/>
      <c r="AL372" s="87"/>
      <c r="AM372" s="87"/>
    </row>
    <row r="373">
      <c r="A373" s="87"/>
      <c r="B373" s="166"/>
      <c r="C373" s="166"/>
      <c r="D373" s="166"/>
      <c r="E373" s="166"/>
      <c r="F373" s="714"/>
      <c r="G373" s="166"/>
      <c r="H373" s="166"/>
      <c r="I373" s="166"/>
      <c r="J373" s="166"/>
      <c r="K373" s="166"/>
      <c r="L373" s="166"/>
      <c r="M373" s="166"/>
      <c r="N373" s="715"/>
      <c r="O373" s="166"/>
      <c r="P373" s="166"/>
      <c r="Q373" s="716"/>
      <c r="R373" s="714"/>
      <c r="S373" s="717"/>
      <c r="T373" s="714"/>
      <c r="U373" s="166"/>
      <c r="V373" s="166"/>
      <c r="W373" s="166"/>
      <c r="X373" s="166"/>
      <c r="Y373" s="718"/>
      <c r="Z373" s="719"/>
      <c r="AA373" s="719"/>
      <c r="AB373" s="166"/>
      <c r="AC373" s="166"/>
      <c r="AD373" s="166"/>
      <c r="AE373" s="87"/>
      <c r="AF373" s="87"/>
      <c r="AG373" s="87"/>
      <c r="AH373" s="87"/>
      <c r="AI373" s="87"/>
      <c r="AJ373" s="87"/>
      <c r="AK373" s="87"/>
      <c r="AL373" s="87"/>
      <c r="AM373" s="87"/>
    </row>
    <row r="374">
      <c r="A374" s="87"/>
      <c r="B374" s="166"/>
      <c r="C374" s="166"/>
      <c r="D374" s="166"/>
      <c r="E374" s="166"/>
      <c r="F374" s="714"/>
      <c r="G374" s="166"/>
      <c r="H374" s="166"/>
      <c r="I374" s="166"/>
      <c r="J374" s="166"/>
      <c r="K374" s="166"/>
      <c r="L374" s="166"/>
      <c r="M374" s="166"/>
      <c r="N374" s="715"/>
      <c r="O374" s="166"/>
      <c r="P374" s="166"/>
      <c r="Q374" s="716"/>
      <c r="R374" s="714"/>
      <c r="S374" s="717"/>
      <c r="T374" s="714"/>
      <c r="U374" s="166"/>
      <c r="V374" s="166"/>
      <c r="W374" s="166"/>
      <c r="X374" s="166"/>
      <c r="Y374" s="718"/>
      <c r="Z374" s="719"/>
      <c r="AA374" s="719"/>
      <c r="AB374" s="166"/>
      <c r="AC374" s="166"/>
      <c r="AD374" s="166"/>
      <c r="AE374" s="87"/>
      <c r="AF374" s="87"/>
      <c r="AG374" s="87"/>
      <c r="AH374" s="87"/>
      <c r="AI374" s="87"/>
      <c r="AJ374" s="87"/>
      <c r="AK374" s="87"/>
      <c r="AL374" s="87"/>
      <c r="AM374" s="87"/>
    </row>
    <row r="375">
      <c r="A375" s="87"/>
      <c r="B375" s="166"/>
      <c r="C375" s="166"/>
      <c r="D375" s="166"/>
      <c r="E375" s="166"/>
      <c r="F375" s="714"/>
      <c r="G375" s="166"/>
      <c r="H375" s="166"/>
      <c r="I375" s="166"/>
      <c r="J375" s="166"/>
      <c r="K375" s="166"/>
      <c r="L375" s="166"/>
      <c r="M375" s="166"/>
      <c r="N375" s="715"/>
      <c r="O375" s="166"/>
      <c r="P375" s="166"/>
      <c r="Q375" s="716"/>
      <c r="R375" s="714"/>
      <c r="S375" s="717"/>
      <c r="T375" s="714"/>
      <c r="U375" s="166"/>
      <c r="V375" s="166"/>
      <c r="W375" s="166"/>
      <c r="X375" s="166"/>
      <c r="Y375" s="718"/>
      <c r="Z375" s="719"/>
      <c r="AA375" s="719"/>
      <c r="AB375" s="166"/>
      <c r="AC375" s="166"/>
      <c r="AD375" s="166"/>
      <c r="AE375" s="87"/>
      <c r="AF375" s="87"/>
      <c r="AG375" s="87"/>
      <c r="AH375" s="87"/>
      <c r="AI375" s="87"/>
      <c r="AJ375" s="87"/>
      <c r="AK375" s="87"/>
      <c r="AL375" s="87"/>
      <c r="AM375" s="87"/>
    </row>
    <row r="376">
      <c r="A376" s="87"/>
      <c r="B376" s="166"/>
      <c r="C376" s="166"/>
      <c r="D376" s="166"/>
      <c r="E376" s="166"/>
      <c r="F376" s="714"/>
      <c r="G376" s="166"/>
      <c r="H376" s="166"/>
      <c r="I376" s="166"/>
      <c r="J376" s="166"/>
      <c r="K376" s="166"/>
      <c r="L376" s="166"/>
      <c r="M376" s="166"/>
      <c r="N376" s="715"/>
      <c r="O376" s="166"/>
      <c r="P376" s="166"/>
      <c r="Q376" s="716"/>
      <c r="R376" s="714"/>
      <c r="S376" s="717"/>
      <c r="T376" s="714"/>
      <c r="U376" s="166"/>
      <c r="V376" s="166"/>
      <c r="W376" s="166"/>
      <c r="X376" s="166"/>
      <c r="Y376" s="718"/>
      <c r="Z376" s="719"/>
      <c r="AA376" s="719"/>
      <c r="AB376" s="166"/>
      <c r="AC376" s="166"/>
      <c r="AD376" s="166"/>
      <c r="AE376" s="87"/>
      <c r="AF376" s="87"/>
      <c r="AG376" s="87"/>
      <c r="AH376" s="87"/>
      <c r="AI376" s="87"/>
      <c r="AJ376" s="87"/>
      <c r="AK376" s="87"/>
      <c r="AL376" s="87"/>
      <c r="AM376" s="87"/>
    </row>
    <row r="377">
      <c r="A377" s="87"/>
      <c r="B377" s="166"/>
      <c r="C377" s="166"/>
      <c r="D377" s="166"/>
      <c r="E377" s="166"/>
      <c r="F377" s="714"/>
      <c r="G377" s="166"/>
      <c r="H377" s="166"/>
      <c r="I377" s="166"/>
      <c r="J377" s="166"/>
      <c r="K377" s="166"/>
      <c r="L377" s="166"/>
      <c r="M377" s="166"/>
      <c r="N377" s="715"/>
      <c r="O377" s="166"/>
      <c r="P377" s="166"/>
      <c r="Q377" s="716"/>
      <c r="R377" s="714"/>
      <c r="S377" s="717"/>
      <c r="T377" s="714"/>
      <c r="U377" s="166"/>
      <c r="V377" s="166"/>
      <c r="W377" s="166"/>
      <c r="X377" s="166"/>
      <c r="Y377" s="718"/>
      <c r="Z377" s="719"/>
      <c r="AA377" s="719"/>
      <c r="AB377" s="166"/>
      <c r="AC377" s="166"/>
      <c r="AD377" s="166"/>
      <c r="AE377" s="87"/>
      <c r="AF377" s="87"/>
      <c r="AG377" s="87"/>
      <c r="AH377" s="87"/>
      <c r="AI377" s="87"/>
      <c r="AJ377" s="87"/>
      <c r="AK377" s="87"/>
      <c r="AL377" s="87"/>
      <c r="AM377" s="87"/>
    </row>
    <row r="378">
      <c r="A378" s="87"/>
      <c r="B378" s="166"/>
      <c r="C378" s="166"/>
      <c r="D378" s="166"/>
      <c r="E378" s="166"/>
      <c r="F378" s="714"/>
      <c r="G378" s="166"/>
      <c r="H378" s="166"/>
      <c r="I378" s="166"/>
      <c r="J378" s="166"/>
      <c r="K378" s="166"/>
      <c r="L378" s="166"/>
      <c r="M378" s="166"/>
      <c r="N378" s="715"/>
      <c r="O378" s="166"/>
      <c r="P378" s="166"/>
      <c r="Q378" s="716"/>
      <c r="R378" s="714"/>
      <c r="S378" s="717"/>
      <c r="T378" s="714"/>
      <c r="U378" s="166"/>
      <c r="V378" s="166"/>
      <c r="W378" s="166"/>
      <c r="X378" s="166"/>
      <c r="Y378" s="718"/>
      <c r="Z378" s="719"/>
      <c r="AA378" s="719"/>
      <c r="AB378" s="166"/>
      <c r="AC378" s="166"/>
      <c r="AD378" s="166"/>
      <c r="AE378" s="87"/>
      <c r="AF378" s="87"/>
      <c r="AG378" s="87"/>
      <c r="AH378" s="87"/>
      <c r="AI378" s="87"/>
      <c r="AJ378" s="87"/>
      <c r="AK378" s="87"/>
      <c r="AL378" s="87"/>
      <c r="AM378" s="87"/>
    </row>
    <row r="379">
      <c r="A379" s="87"/>
      <c r="B379" s="166"/>
      <c r="C379" s="166"/>
      <c r="D379" s="166"/>
      <c r="E379" s="166"/>
      <c r="F379" s="714"/>
      <c r="G379" s="166"/>
      <c r="H379" s="166"/>
      <c r="I379" s="166"/>
      <c r="J379" s="166"/>
      <c r="K379" s="166"/>
      <c r="L379" s="166"/>
      <c r="M379" s="166"/>
      <c r="N379" s="715"/>
      <c r="O379" s="166"/>
      <c r="P379" s="166"/>
      <c r="Q379" s="716"/>
      <c r="R379" s="714"/>
      <c r="S379" s="717"/>
      <c r="T379" s="714"/>
      <c r="U379" s="166"/>
      <c r="V379" s="166"/>
      <c r="W379" s="166"/>
      <c r="X379" s="166"/>
      <c r="Y379" s="718"/>
      <c r="Z379" s="719"/>
      <c r="AA379" s="719"/>
      <c r="AB379" s="166"/>
      <c r="AC379" s="166"/>
      <c r="AD379" s="166"/>
      <c r="AE379" s="87"/>
      <c r="AF379" s="87"/>
      <c r="AG379" s="87"/>
      <c r="AH379" s="87"/>
      <c r="AI379" s="87"/>
      <c r="AJ379" s="87"/>
      <c r="AK379" s="87"/>
      <c r="AL379" s="87"/>
      <c r="AM379" s="87"/>
    </row>
    <row r="380">
      <c r="A380" s="87"/>
      <c r="B380" s="166"/>
      <c r="C380" s="166"/>
      <c r="D380" s="166"/>
      <c r="E380" s="166"/>
      <c r="F380" s="714"/>
      <c r="G380" s="166"/>
      <c r="H380" s="166"/>
      <c r="I380" s="166"/>
      <c r="J380" s="166"/>
      <c r="K380" s="166"/>
      <c r="L380" s="166"/>
      <c r="M380" s="166"/>
      <c r="N380" s="715"/>
      <c r="O380" s="166"/>
      <c r="P380" s="166"/>
      <c r="Q380" s="716"/>
      <c r="R380" s="714"/>
      <c r="S380" s="717"/>
      <c r="T380" s="714"/>
      <c r="U380" s="166"/>
      <c r="V380" s="166"/>
      <c r="W380" s="166"/>
      <c r="X380" s="166"/>
      <c r="Y380" s="718"/>
      <c r="Z380" s="719"/>
      <c r="AA380" s="719"/>
      <c r="AB380" s="166"/>
      <c r="AC380" s="166"/>
      <c r="AD380" s="166"/>
      <c r="AE380" s="87"/>
      <c r="AF380" s="87"/>
      <c r="AG380" s="87"/>
      <c r="AH380" s="87"/>
      <c r="AI380" s="87"/>
      <c r="AJ380" s="87"/>
      <c r="AK380" s="87"/>
      <c r="AL380" s="87"/>
      <c r="AM380" s="87"/>
    </row>
    <row r="381">
      <c r="A381" s="87"/>
      <c r="B381" s="166"/>
      <c r="C381" s="166"/>
      <c r="D381" s="166"/>
      <c r="E381" s="166"/>
      <c r="F381" s="714"/>
      <c r="G381" s="166"/>
      <c r="H381" s="166"/>
      <c r="I381" s="166"/>
      <c r="J381" s="166"/>
      <c r="K381" s="166"/>
      <c r="L381" s="166"/>
      <c r="M381" s="166"/>
      <c r="N381" s="715"/>
      <c r="O381" s="166"/>
      <c r="P381" s="166"/>
      <c r="Q381" s="716"/>
      <c r="R381" s="714"/>
      <c r="S381" s="717"/>
      <c r="T381" s="714"/>
      <c r="U381" s="166"/>
      <c r="V381" s="166"/>
      <c r="W381" s="166"/>
      <c r="X381" s="166"/>
      <c r="Y381" s="718"/>
      <c r="Z381" s="719"/>
      <c r="AA381" s="719"/>
      <c r="AB381" s="166"/>
      <c r="AC381" s="166"/>
      <c r="AD381" s="166"/>
      <c r="AE381" s="87"/>
      <c r="AF381" s="87"/>
      <c r="AG381" s="87"/>
      <c r="AH381" s="87"/>
      <c r="AI381" s="87"/>
      <c r="AJ381" s="87"/>
      <c r="AK381" s="87"/>
      <c r="AL381" s="87"/>
      <c r="AM381" s="87"/>
    </row>
    <row r="382">
      <c r="A382" s="87"/>
      <c r="B382" s="166"/>
      <c r="C382" s="166"/>
      <c r="D382" s="166"/>
      <c r="E382" s="166"/>
      <c r="F382" s="714"/>
      <c r="G382" s="166"/>
      <c r="H382" s="166"/>
      <c r="I382" s="166"/>
      <c r="J382" s="166"/>
      <c r="K382" s="166"/>
      <c r="L382" s="166"/>
      <c r="M382" s="166"/>
      <c r="N382" s="715"/>
      <c r="O382" s="166"/>
      <c r="P382" s="166"/>
      <c r="Q382" s="716"/>
      <c r="R382" s="714"/>
      <c r="S382" s="717"/>
      <c r="T382" s="714"/>
      <c r="U382" s="166"/>
      <c r="V382" s="166"/>
      <c r="W382" s="166"/>
      <c r="X382" s="166"/>
      <c r="Y382" s="718"/>
      <c r="Z382" s="719"/>
      <c r="AA382" s="719"/>
      <c r="AB382" s="166"/>
      <c r="AC382" s="166"/>
      <c r="AD382" s="166"/>
      <c r="AE382" s="87"/>
      <c r="AF382" s="87"/>
      <c r="AG382" s="87"/>
      <c r="AH382" s="87"/>
      <c r="AI382" s="87"/>
      <c r="AJ382" s="87"/>
      <c r="AK382" s="87"/>
      <c r="AL382" s="87"/>
      <c r="AM382" s="87"/>
    </row>
    <row r="383">
      <c r="A383" s="87"/>
      <c r="B383" s="166"/>
      <c r="C383" s="166"/>
      <c r="D383" s="166"/>
      <c r="E383" s="166"/>
      <c r="F383" s="714"/>
      <c r="G383" s="166"/>
      <c r="H383" s="166"/>
      <c r="I383" s="166"/>
      <c r="J383" s="166"/>
      <c r="K383" s="166"/>
      <c r="L383" s="166"/>
      <c r="M383" s="166"/>
      <c r="N383" s="715"/>
      <c r="O383" s="166"/>
      <c r="P383" s="166"/>
      <c r="Q383" s="716"/>
      <c r="R383" s="714"/>
      <c r="S383" s="717"/>
      <c r="T383" s="714"/>
      <c r="U383" s="166"/>
      <c r="V383" s="166"/>
      <c r="W383" s="166"/>
      <c r="X383" s="166"/>
      <c r="Y383" s="718"/>
      <c r="Z383" s="719"/>
      <c r="AA383" s="719"/>
      <c r="AB383" s="166"/>
      <c r="AC383" s="166"/>
      <c r="AD383" s="166"/>
      <c r="AE383" s="87"/>
      <c r="AF383" s="87"/>
      <c r="AG383" s="87"/>
      <c r="AH383" s="87"/>
      <c r="AI383" s="87"/>
      <c r="AJ383" s="87"/>
      <c r="AK383" s="87"/>
      <c r="AL383" s="87"/>
      <c r="AM383" s="87"/>
    </row>
    <row r="384">
      <c r="A384" s="87"/>
      <c r="B384" s="166"/>
      <c r="C384" s="166"/>
      <c r="D384" s="166"/>
      <c r="E384" s="166"/>
      <c r="F384" s="714"/>
      <c r="G384" s="166"/>
      <c r="H384" s="166"/>
      <c r="I384" s="166"/>
      <c r="J384" s="166"/>
      <c r="K384" s="166"/>
      <c r="L384" s="166"/>
      <c r="M384" s="166"/>
      <c r="N384" s="715"/>
      <c r="O384" s="166"/>
      <c r="P384" s="166"/>
      <c r="Q384" s="716"/>
      <c r="R384" s="714"/>
      <c r="S384" s="717"/>
      <c r="T384" s="714"/>
      <c r="U384" s="166"/>
      <c r="V384" s="166"/>
      <c r="W384" s="166"/>
      <c r="X384" s="166"/>
      <c r="Y384" s="718"/>
      <c r="Z384" s="719"/>
      <c r="AA384" s="719"/>
      <c r="AB384" s="166"/>
      <c r="AC384" s="166"/>
      <c r="AD384" s="166"/>
      <c r="AE384" s="87"/>
      <c r="AF384" s="87"/>
      <c r="AG384" s="87"/>
      <c r="AH384" s="87"/>
      <c r="AI384" s="87"/>
      <c r="AJ384" s="87"/>
      <c r="AK384" s="87"/>
      <c r="AL384" s="87"/>
      <c r="AM384" s="87"/>
    </row>
    <row r="385">
      <c r="A385" s="87"/>
      <c r="B385" s="166"/>
      <c r="C385" s="166"/>
      <c r="D385" s="166"/>
      <c r="E385" s="166"/>
      <c r="F385" s="714"/>
      <c r="G385" s="166"/>
      <c r="H385" s="166"/>
      <c r="I385" s="166"/>
      <c r="J385" s="166"/>
      <c r="K385" s="166"/>
      <c r="L385" s="166"/>
      <c r="M385" s="166"/>
      <c r="N385" s="715"/>
      <c r="O385" s="166"/>
      <c r="P385" s="166"/>
      <c r="Q385" s="716"/>
      <c r="R385" s="714"/>
      <c r="S385" s="717"/>
      <c r="T385" s="714"/>
      <c r="U385" s="166"/>
      <c r="V385" s="166"/>
      <c r="W385" s="166"/>
      <c r="X385" s="166"/>
      <c r="Y385" s="718"/>
      <c r="Z385" s="719"/>
      <c r="AA385" s="719"/>
      <c r="AB385" s="166"/>
      <c r="AC385" s="166"/>
      <c r="AD385" s="166"/>
      <c r="AE385" s="87"/>
      <c r="AF385" s="87"/>
      <c r="AG385" s="87"/>
      <c r="AH385" s="87"/>
      <c r="AI385" s="87"/>
      <c r="AJ385" s="87"/>
      <c r="AK385" s="87"/>
      <c r="AL385" s="87"/>
      <c r="AM385" s="87"/>
    </row>
    <row r="386">
      <c r="A386" s="87"/>
      <c r="B386" s="166"/>
      <c r="C386" s="166"/>
      <c r="D386" s="166"/>
      <c r="E386" s="166"/>
      <c r="F386" s="714"/>
      <c r="G386" s="166"/>
      <c r="H386" s="166"/>
      <c r="I386" s="166"/>
      <c r="J386" s="166"/>
      <c r="K386" s="166"/>
      <c r="L386" s="166"/>
      <c r="M386" s="166"/>
      <c r="N386" s="715"/>
      <c r="O386" s="166"/>
      <c r="P386" s="166"/>
      <c r="Q386" s="716"/>
      <c r="R386" s="714"/>
      <c r="S386" s="717"/>
      <c r="T386" s="714"/>
      <c r="U386" s="166"/>
      <c r="V386" s="166"/>
      <c r="W386" s="166"/>
      <c r="X386" s="166"/>
      <c r="Y386" s="718"/>
      <c r="Z386" s="719"/>
      <c r="AA386" s="719"/>
      <c r="AB386" s="166"/>
      <c r="AC386" s="166"/>
      <c r="AD386" s="166"/>
      <c r="AE386" s="87"/>
      <c r="AF386" s="87"/>
      <c r="AG386" s="87"/>
      <c r="AH386" s="87"/>
      <c r="AI386" s="87"/>
      <c r="AJ386" s="87"/>
      <c r="AK386" s="87"/>
      <c r="AL386" s="87"/>
      <c r="AM386" s="87"/>
    </row>
    <row r="387">
      <c r="A387" s="87"/>
      <c r="B387" s="166"/>
      <c r="C387" s="166"/>
      <c r="D387" s="166"/>
      <c r="E387" s="166"/>
      <c r="F387" s="714"/>
      <c r="G387" s="166"/>
      <c r="H387" s="166"/>
      <c r="I387" s="166"/>
      <c r="J387" s="166"/>
      <c r="K387" s="166"/>
      <c r="L387" s="166"/>
      <c r="M387" s="166"/>
      <c r="N387" s="715"/>
      <c r="O387" s="166"/>
      <c r="P387" s="166"/>
      <c r="Q387" s="716"/>
      <c r="R387" s="714"/>
      <c r="S387" s="717"/>
      <c r="T387" s="714"/>
      <c r="U387" s="166"/>
      <c r="V387" s="166"/>
      <c r="W387" s="166"/>
      <c r="X387" s="166"/>
      <c r="Y387" s="718"/>
      <c r="Z387" s="719"/>
      <c r="AA387" s="719"/>
      <c r="AB387" s="166"/>
      <c r="AC387" s="166"/>
      <c r="AD387" s="166"/>
      <c r="AE387" s="87"/>
      <c r="AF387" s="87"/>
      <c r="AG387" s="87"/>
      <c r="AH387" s="87"/>
      <c r="AI387" s="87"/>
      <c r="AJ387" s="87"/>
      <c r="AK387" s="87"/>
      <c r="AL387" s="87"/>
      <c r="AM387" s="87"/>
    </row>
    <row r="388">
      <c r="A388" s="87"/>
      <c r="B388" s="166"/>
      <c r="C388" s="166"/>
      <c r="D388" s="166"/>
      <c r="E388" s="166"/>
      <c r="F388" s="714"/>
      <c r="G388" s="166"/>
      <c r="H388" s="166"/>
      <c r="I388" s="166"/>
      <c r="J388" s="166"/>
      <c r="K388" s="166"/>
      <c r="L388" s="166"/>
      <c r="M388" s="166"/>
      <c r="N388" s="715"/>
      <c r="O388" s="166"/>
      <c r="P388" s="166"/>
      <c r="Q388" s="716"/>
      <c r="R388" s="714"/>
      <c r="S388" s="717"/>
      <c r="T388" s="714"/>
      <c r="U388" s="166"/>
      <c r="V388" s="166"/>
      <c r="W388" s="166"/>
      <c r="X388" s="166"/>
      <c r="Y388" s="718"/>
      <c r="Z388" s="719"/>
      <c r="AA388" s="719"/>
      <c r="AB388" s="166"/>
      <c r="AC388" s="166"/>
      <c r="AD388" s="166"/>
      <c r="AE388" s="87"/>
      <c r="AF388" s="87"/>
      <c r="AG388" s="87"/>
      <c r="AH388" s="87"/>
      <c r="AI388" s="87"/>
      <c r="AJ388" s="87"/>
      <c r="AK388" s="87"/>
      <c r="AL388" s="87"/>
      <c r="AM388" s="87"/>
    </row>
    <row r="389">
      <c r="A389" s="87"/>
      <c r="B389" s="166"/>
      <c r="C389" s="166"/>
      <c r="D389" s="166"/>
      <c r="E389" s="166"/>
      <c r="F389" s="714"/>
      <c r="G389" s="166"/>
      <c r="H389" s="166"/>
      <c r="I389" s="166"/>
      <c r="J389" s="166"/>
      <c r="K389" s="166"/>
      <c r="L389" s="166"/>
      <c r="M389" s="166"/>
      <c r="N389" s="715"/>
      <c r="O389" s="166"/>
      <c r="P389" s="166"/>
      <c r="Q389" s="716"/>
      <c r="R389" s="714"/>
      <c r="S389" s="717"/>
      <c r="T389" s="714"/>
      <c r="U389" s="166"/>
      <c r="V389" s="166"/>
      <c r="W389" s="166"/>
      <c r="X389" s="166"/>
      <c r="Y389" s="718"/>
      <c r="Z389" s="719"/>
      <c r="AA389" s="719"/>
      <c r="AB389" s="166"/>
      <c r="AC389" s="166"/>
      <c r="AD389" s="166"/>
      <c r="AE389" s="87"/>
      <c r="AF389" s="87"/>
      <c r="AG389" s="87"/>
      <c r="AH389" s="87"/>
      <c r="AI389" s="87"/>
      <c r="AJ389" s="87"/>
      <c r="AK389" s="87"/>
      <c r="AL389" s="87"/>
      <c r="AM389" s="87"/>
    </row>
    <row r="390">
      <c r="A390" s="87"/>
      <c r="B390" s="166"/>
      <c r="C390" s="166"/>
      <c r="D390" s="166"/>
      <c r="E390" s="166"/>
      <c r="F390" s="714"/>
      <c r="G390" s="166"/>
      <c r="H390" s="166"/>
      <c r="I390" s="166"/>
      <c r="J390" s="166"/>
      <c r="K390" s="166"/>
      <c r="L390" s="166"/>
      <c r="M390" s="166"/>
      <c r="N390" s="715"/>
      <c r="O390" s="166"/>
      <c r="P390" s="166"/>
      <c r="Q390" s="716"/>
      <c r="R390" s="714"/>
      <c r="S390" s="717"/>
      <c r="T390" s="714"/>
      <c r="U390" s="166"/>
      <c r="V390" s="166"/>
      <c r="W390" s="166"/>
      <c r="X390" s="166"/>
      <c r="Y390" s="718"/>
      <c r="Z390" s="719"/>
      <c r="AA390" s="719"/>
      <c r="AB390" s="166"/>
      <c r="AC390" s="166"/>
      <c r="AD390" s="166"/>
      <c r="AE390" s="87"/>
      <c r="AF390" s="87"/>
      <c r="AG390" s="87"/>
      <c r="AH390" s="87"/>
      <c r="AI390" s="87"/>
      <c r="AJ390" s="87"/>
      <c r="AK390" s="87"/>
      <c r="AL390" s="87"/>
      <c r="AM390" s="87"/>
    </row>
    <row r="391">
      <c r="A391" s="87"/>
      <c r="B391" s="166"/>
      <c r="C391" s="166"/>
      <c r="D391" s="166"/>
      <c r="E391" s="166"/>
      <c r="F391" s="714"/>
      <c r="G391" s="166"/>
      <c r="H391" s="166"/>
      <c r="I391" s="166"/>
      <c r="J391" s="166"/>
      <c r="K391" s="166"/>
      <c r="L391" s="166"/>
      <c r="M391" s="166"/>
      <c r="N391" s="715"/>
      <c r="O391" s="166"/>
      <c r="P391" s="166"/>
      <c r="Q391" s="716"/>
      <c r="R391" s="714"/>
      <c r="S391" s="717"/>
      <c r="T391" s="714"/>
      <c r="U391" s="166"/>
      <c r="V391" s="166"/>
      <c r="W391" s="166"/>
      <c r="X391" s="166"/>
      <c r="Y391" s="718"/>
      <c r="Z391" s="719"/>
      <c r="AA391" s="719"/>
      <c r="AB391" s="166"/>
      <c r="AC391" s="166"/>
      <c r="AD391" s="166"/>
      <c r="AE391" s="87"/>
      <c r="AF391" s="87"/>
      <c r="AG391" s="87"/>
      <c r="AH391" s="87"/>
      <c r="AI391" s="87"/>
      <c r="AJ391" s="87"/>
      <c r="AK391" s="87"/>
      <c r="AL391" s="87"/>
      <c r="AM391" s="87"/>
    </row>
    <row r="392">
      <c r="A392" s="87"/>
      <c r="B392" s="166"/>
      <c r="C392" s="166"/>
      <c r="D392" s="166"/>
      <c r="E392" s="166"/>
      <c r="F392" s="714"/>
      <c r="G392" s="166"/>
      <c r="H392" s="166"/>
      <c r="I392" s="166"/>
      <c r="J392" s="166"/>
      <c r="K392" s="166"/>
      <c r="L392" s="166"/>
      <c r="M392" s="166"/>
      <c r="N392" s="715"/>
      <c r="O392" s="166"/>
      <c r="P392" s="166"/>
      <c r="Q392" s="716"/>
      <c r="R392" s="714"/>
      <c r="S392" s="717"/>
      <c r="T392" s="714"/>
      <c r="U392" s="166"/>
      <c r="V392" s="166"/>
      <c r="W392" s="166"/>
      <c r="X392" s="166"/>
      <c r="Y392" s="718"/>
      <c r="Z392" s="719"/>
      <c r="AA392" s="719"/>
      <c r="AB392" s="166"/>
      <c r="AC392" s="166"/>
      <c r="AD392" s="166"/>
      <c r="AE392" s="87"/>
      <c r="AF392" s="87"/>
      <c r="AG392" s="87"/>
      <c r="AH392" s="87"/>
      <c r="AI392" s="87"/>
      <c r="AJ392" s="87"/>
      <c r="AK392" s="87"/>
      <c r="AL392" s="87"/>
      <c r="AM392" s="87"/>
    </row>
    <row r="393">
      <c r="A393" s="87"/>
      <c r="B393" s="166"/>
      <c r="C393" s="166"/>
      <c r="D393" s="166"/>
      <c r="E393" s="166"/>
      <c r="F393" s="714"/>
      <c r="G393" s="166"/>
      <c r="H393" s="166"/>
      <c r="I393" s="166"/>
      <c r="J393" s="166"/>
      <c r="K393" s="166"/>
      <c r="L393" s="166"/>
      <c r="M393" s="166"/>
      <c r="N393" s="715"/>
      <c r="O393" s="166"/>
      <c r="P393" s="166"/>
      <c r="Q393" s="716"/>
      <c r="R393" s="714"/>
      <c r="S393" s="717"/>
      <c r="T393" s="714"/>
      <c r="U393" s="166"/>
      <c r="V393" s="166"/>
      <c r="W393" s="166"/>
      <c r="X393" s="166"/>
      <c r="Y393" s="718"/>
      <c r="Z393" s="719"/>
      <c r="AA393" s="719"/>
      <c r="AB393" s="166"/>
      <c r="AC393" s="166"/>
      <c r="AD393" s="166"/>
      <c r="AE393" s="87"/>
      <c r="AF393" s="87"/>
      <c r="AG393" s="87"/>
      <c r="AH393" s="87"/>
      <c r="AI393" s="87"/>
      <c r="AJ393" s="87"/>
      <c r="AK393" s="87"/>
      <c r="AL393" s="87"/>
      <c r="AM393" s="87"/>
    </row>
    <row r="394">
      <c r="A394" s="87"/>
      <c r="B394" s="166"/>
      <c r="C394" s="166"/>
      <c r="D394" s="166"/>
      <c r="E394" s="166"/>
      <c r="F394" s="714"/>
      <c r="G394" s="166"/>
      <c r="H394" s="166"/>
      <c r="I394" s="166"/>
      <c r="J394" s="166"/>
      <c r="K394" s="166"/>
      <c r="L394" s="166"/>
      <c r="M394" s="166"/>
      <c r="N394" s="715"/>
      <c r="O394" s="166"/>
      <c r="P394" s="166"/>
      <c r="Q394" s="716"/>
      <c r="R394" s="714"/>
      <c r="S394" s="717"/>
      <c r="T394" s="714"/>
      <c r="U394" s="166"/>
      <c r="V394" s="166"/>
      <c r="W394" s="166"/>
      <c r="X394" s="166"/>
      <c r="Y394" s="718"/>
      <c r="Z394" s="719"/>
      <c r="AA394" s="719"/>
      <c r="AB394" s="166"/>
      <c r="AC394" s="166"/>
      <c r="AD394" s="166"/>
      <c r="AE394" s="87"/>
      <c r="AF394" s="87"/>
      <c r="AG394" s="87"/>
      <c r="AH394" s="87"/>
      <c r="AI394" s="87"/>
      <c r="AJ394" s="87"/>
      <c r="AK394" s="87"/>
      <c r="AL394" s="87"/>
      <c r="AM394" s="87"/>
    </row>
    <row r="395">
      <c r="A395" s="87"/>
      <c r="B395" s="166"/>
      <c r="C395" s="166"/>
      <c r="D395" s="166"/>
      <c r="E395" s="166"/>
      <c r="F395" s="714"/>
      <c r="G395" s="166"/>
      <c r="H395" s="166"/>
      <c r="I395" s="166"/>
      <c r="J395" s="166"/>
      <c r="K395" s="166"/>
      <c r="L395" s="166"/>
      <c r="M395" s="166"/>
      <c r="N395" s="715"/>
      <c r="O395" s="166"/>
      <c r="P395" s="166"/>
      <c r="Q395" s="716"/>
      <c r="R395" s="714"/>
      <c r="S395" s="717"/>
      <c r="T395" s="714"/>
      <c r="U395" s="166"/>
      <c r="V395" s="166"/>
      <c r="W395" s="166"/>
      <c r="X395" s="166"/>
      <c r="Y395" s="718"/>
      <c r="Z395" s="719"/>
      <c r="AA395" s="719"/>
      <c r="AB395" s="166"/>
      <c r="AC395" s="166"/>
      <c r="AD395" s="166"/>
      <c r="AE395" s="87"/>
      <c r="AF395" s="87"/>
      <c r="AG395" s="87"/>
      <c r="AH395" s="87"/>
      <c r="AI395" s="87"/>
      <c r="AJ395" s="87"/>
      <c r="AK395" s="87"/>
      <c r="AL395" s="87"/>
      <c r="AM395" s="87"/>
    </row>
    <row r="396">
      <c r="A396" s="87"/>
      <c r="B396" s="166"/>
      <c r="C396" s="166"/>
      <c r="D396" s="166"/>
      <c r="E396" s="166"/>
      <c r="F396" s="714"/>
      <c r="G396" s="166"/>
      <c r="H396" s="166"/>
      <c r="I396" s="166"/>
      <c r="J396" s="166"/>
      <c r="K396" s="166"/>
      <c r="L396" s="166"/>
      <c r="M396" s="166"/>
      <c r="N396" s="715"/>
      <c r="O396" s="166"/>
      <c r="P396" s="166"/>
      <c r="Q396" s="716"/>
      <c r="R396" s="714"/>
      <c r="S396" s="717"/>
      <c r="T396" s="714"/>
      <c r="U396" s="166"/>
      <c r="V396" s="166"/>
      <c r="W396" s="166"/>
      <c r="X396" s="166"/>
      <c r="Y396" s="718"/>
      <c r="Z396" s="719"/>
      <c r="AA396" s="719"/>
      <c r="AB396" s="166"/>
      <c r="AC396" s="166"/>
      <c r="AD396" s="166"/>
      <c r="AE396" s="87"/>
      <c r="AF396" s="87"/>
      <c r="AG396" s="87"/>
      <c r="AH396" s="87"/>
      <c r="AI396" s="87"/>
      <c r="AJ396" s="87"/>
      <c r="AK396" s="87"/>
      <c r="AL396" s="87"/>
      <c r="AM396" s="87"/>
    </row>
    <row r="397">
      <c r="A397" s="87"/>
      <c r="B397" s="166"/>
      <c r="C397" s="166"/>
      <c r="D397" s="166"/>
      <c r="E397" s="166"/>
      <c r="F397" s="714"/>
      <c r="G397" s="166"/>
      <c r="H397" s="166"/>
      <c r="I397" s="166"/>
      <c r="J397" s="166"/>
      <c r="K397" s="166"/>
      <c r="L397" s="166"/>
      <c r="M397" s="166"/>
      <c r="N397" s="715"/>
      <c r="O397" s="166"/>
      <c r="P397" s="166"/>
      <c r="Q397" s="716"/>
      <c r="R397" s="714"/>
      <c r="S397" s="717"/>
      <c r="T397" s="714"/>
      <c r="U397" s="166"/>
      <c r="V397" s="166"/>
      <c r="W397" s="166"/>
      <c r="X397" s="166"/>
      <c r="Y397" s="718"/>
      <c r="Z397" s="719"/>
      <c r="AA397" s="719"/>
      <c r="AB397" s="166"/>
      <c r="AC397" s="166"/>
      <c r="AD397" s="166"/>
      <c r="AE397" s="87"/>
      <c r="AF397" s="87"/>
      <c r="AG397" s="87"/>
      <c r="AH397" s="87"/>
      <c r="AI397" s="87"/>
      <c r="AJ397" s="87"/>
      <c r="AK397" s="87"/>
      <c r="AL397" s="87"/>
      <c r="AM397" s="87"/>
    </row>
    <row r="398">
      <c r="A398" s="87"/>
      <c r="B398" s="166"/>
      <c r="C398" s="166"/>
      <c r="D398" s="166"/>
      <c r="E398" s="166"/>
      <c r="F398" s="714"/>
      <c r="G398" s="166"/>
      <c r="H398" s="166"/>
      <c r="I398" s="166"/>
      <c r="J398" s="166"/>
      <c r="K398" s="166"/>
      <c r="L398" s="166"/>
      <c r="M398" s="166"/>
      <c r="N398" s="715"/>
      <c r="O398" s="166"/>
      <c r="P398" s="166"/>
      <c r="Q398" s="716"/>
      <c r="R398" s="714"/>
      <c r="S398" s="717"/>
      <c r="T398" s="714"/>
      <c r="U398" s="166"/>
      <c r="V398" s="166"/>
      <c r="W398" s="166"/>
      <c r="X398" s="166"/>
      <c r="Y398" s="718"/>
      <c r="Z398" s="719"/>
      <c r="AA398" s="719"/>
      <c r="AB398" s="166"/>
      <c r="AC398" s="166"/>
      <c r="AD398" s="166"/>
      <c r="AE398" s="87"/>
      <c r="AF398" s="87"/>
      <c r="AG398" s="87"/>
      <c r="AH398" s="87"/>
      <c r="AI398" s="87"/>
      <c r="AJ398" s="87"/>
      <c r="AK398" s="87"/>
      <c r="AL398" s="87"/>
      <c r="AM398" s="87"/>
    </row>
    <row r="399">
      <c r="A399" s="87"/>
      <c r="B399" s="166"/>
      <c r="C399" s="166"/>
      <c r="D399" s="166"/>
      <c r="E399" s="166"/>
      <c r="F399" s="714"/>
      <c r="G399" s="166"/>
      <c r="H399" s="166"/>
      <c r="I399" s="166"/>
      <c r="J399" s="166"/>
      <c r="K399" s="166"/>
      <c r="L399" s="166"/>
      <c r="M399" s="166"/>
      <c r="N399" s="715"/>
      <c r="O399" s="166"/>
      <c r="P399" s="166"/>
      <c r="Q399" s="716"/>
      <c r="R399" s="714"/>
      <c r="S399" s="717"/>
      <c r="T399" s="714"/>
      <c r="U399" s="166"/>
      <c r="V399" s="166"/>
      <c r="W399" s="166"/>
      <c r="X399" s="166"/>
      <c r="Y399" s="718"/>
      <c r="Z399" s="719"/>
      <c r="AA399" s="719"/>
      <c r="AB399" s="166"/>
      <c r="AC399" s="166"/>
      <c r="AD399" s="166"/>
      <c r="AE399" s="87"/>
      <c r="AF399" s="87"/>
      <c r="AG399" s="87"/>
      <c r="AH399" s="87"/>
      <c r="AI399" s="87"/>
      <c r="AJ399" s="87"/>
      <c r="AK399" s="87"/>
      <c r="AL399" s="87"/>
      <c r="AM399" s="87"/>
    </row>
    <row r="400">
      <c r="A400" s="87"/>
      <c r="B400" s="166"/>
      <c r="C400" s="166"/>
      <c r="D400" s="166"/>
      <c r="E400" s="166"/>
      <c r="F400" s="714"/>
      <c r="G400" s="166"/>
      <c r="H400" s="166"/>
      <c r="I400" s="166"/>
      <c r="J400" s="166"/>
      <c r="K400" s="166"/>
      <c r="L400" s="166"/>
      <c r="M400" s="166"/>
      <c r="N400" s="715"/>
      <c r="O400" s="166"/>
      <c r="P400" s="166"/>
      <c r="Q400" s="716"/>
      <c r="R400" s="714"/>
      <c r="S400" s="717"/>
      <c r="T400" s="714"/>
      <c r="U400" s="166"/>
      <c r="V400" s="166"/>
      <c r="W400" s="166"/>
      <c r="X400" s="166"/>
      <c r="Y400" s="718"/>
      <c r="Z400" s="719"/>
      <c r="AA400" s="719"/>
      <c r="AB400" s="166"/>
      <c r="AC400" s="166"/>
      <c r="AD400" s="166"/>
      <c r="AE400" s="87"/>
      <c r="AF400" s="87"/>
      <c r="AG400" s="87"/>
      <c r="AH400" s="87"/>
      <c r="AI400" s="87"/>
      <c r="AJ400" s="87"/>
      <c r="AK400" s="87"/>
      <c r="AL400" s="87"/>
      <c r="AM400" s="87"/>
    </row>
    <row r="401">
      <c r="A401" s="87"/>
      <c r="B401" s="166"/>
      <c r="C401" s="166"/>
      <c r="D401" s="166"/>
      <c r="E401" s="166"/>
      <c r="F401" s="714"/>
      <c r="G401" s="166"/>
      <c r="H401" s="166"/>
      <c r="I401" s="166"/>
      <c r="J401" s="166"/>
      <c r="K401" s="166"/>
      <c r="L401" s="166"/>
      <c r="M401" s="166"/>
      <c r="N401" s="715"/>
      <c r="O401" s="166"/>
      <c r="P401" s="166"/>
      <c r="Q401" s="716"/>
      <c r="R401" s="714"/>
      <c r="S401" s="717"/>
      <c r="T401" s="714"/>
      <c r="U401" s="166"/>
      <c r="V401" s="166"/>
      <c r="W401" s="166"/>
      <c r="X401" s="166"/>
      <c r="Y401" s="718"/>
      <c r="Z401" s="719"/>
      <c r="AA401" s="719"/>
      <c r="AB401" s="166"/>
      <c r="AC401" s="166"/>
      <c r="AD401" s="166"/>
      <c r="AE401" s="87"/>
      <c r="AF401" s="87"/>
      <c r="AG401" s="87"/>
      <c r="AH401" s="87"/>
      <c r="AI401" s="87"/>
      <c r="AJ401" s="87"/>
      <c r="AK401" s="87"/>
      <c r="AL401" s="87"/>
      <c r="AM401" s="87"/>
    </row>
    <row r="402">
      <c r="A402" s="87"/>
      <c r="B402" s="166"/>
      <c r="C402" s="166"/>
      <c r="D402" s="166"/>
      <c r="E402" s="166"/>
      <c r="F402" s="714"/>
      <c r="G402" s="166"/>
      <c r="H402" s="166"/>
      <c r="I402" s="166"/>
      <c r="J402" s="166"/>
      <c r="K402" s="166"/>
      <c r="L402" s="166"/>
      <c r="M402" s="166"/>
      <c r="N402" s="715"/>
      <c r="O402" s="166"/>
      <c r="P402" s="166"/>
      <c r="Q402" s="716"/>
      <c r="R402" s="714"/>
      <c r="S402" s="717"/>
      <c r="T402" s="714"/>
      <c r="U402" s="166"/>
      <c r="V402" s="166"/>
      <c r="W402" s="166"/>
      <c r="X402" s="166"/>
      <c r="Y402" s="718"/>
      <c r="Z402" s="719"/>
      <c r="AA402" s="719"/>
      <c r="AB402" s="166"/>
      <c r="AC402" s="166"/>
      <c r="AD402" s="166"/>
      <c r="AE402" s="87"/>
      <c r="AF402" s="87"/>
      <c r="AG402" s="87"/>
      <c r="AH402" s="87"/>
      <c r="AI402" s="87"/>
      <c r="AJ402" s="87"/>
      <c r="AK402" s="87"/>
      <c r="AL402" s="87"/>
      <c r="AM402" s="87"/>
    </row>
    <row r="403">
      <c r="A403" s="87"/>
      <c r="B403" s="166"/>
      <c r="C403" s="166"/>
      <c r="D403" s="166"/>
      <c r="E403" s="166"/>
      <c r="F403" s="714"/>
      <c r="G403" s="166"/>
      <c r="H403" s="166"/>
      <c r="I403" s="166"/>
      <c r="J403" s="166"/>
      <c r="K403" s="166"/>
      <c r="L403" s="166"/>
      <c r="M403" s="166"/>
      <c r="N403" s="715"/>
      <c r="O403" s="166"/>
      <c r="P403" s="166"/>
      <c r="Q403" s="716"/>
      <c r="R403" s="714"/>
      <c r="S403" s="717"/>
      <c r="T403" s="714"/>
      <c r="U403" s="166"/>
      <c r="V403" s="166"/>
      <c r="W403" s="166"/>
      <c r="X403" s="166"/>
      <c r="Y403" s="718"/>
      <c r="Z403" s="719"/>
      <c r="AA403" s="719"/>
      <c r="AB403" s="166"/>
      <c r="AC403" s="166"/>
      <c r="AD403" s="166"/>
      <c r="AE403" s="87"/>
      <c r="AF403" s="87"/>
      <c r="AG403" s="87"/>
      <c r="AH403" s="87"/>
      <c r="AI403" s="87"/>
      <c r="AJ403" s="87"/>
      <c r="AK403" s="87"/>
      <c r="AL403" s="87"/>
      <c r="AM403" s="87"/>
    </row>
    <row r="404">
      <c r="A404" s="87"/>
      <c r="B404" s="166"/>
      <c r="C404" s="166"/>
      <c r="D404" s="166"/>
      <c r="E404" s="166"/>
      <c r="F404" s="714"/>
      <c r="G404" s="166"/>
      <c r="H404" s="166"/>
      <c r="I404" s="166"/>
      <c r="J404" s="166"/>
      <c r="K404" s="166"/>
      <c r="L404" s="166"/>
      <c r="M404" s="166"/>
      <c r="N404" s="715"/>
      <c r="O404" s="166"/>
      <c r="P404" s="166"/>
      <c r="Q404" s="716"/>
      <c r="R404" s="714"/>
      <c r="S404" s="717"/>
      <c r="T404" s="714"/>
      <c r="U404" s="166"/>
      <c r="V404" s="166"/>
      <c r="W404" s="166"/>
      <c r="X404" s="166"/>
      <c r="Y404" s="718"/>
      <c r="Z404" s="719"/>
      <c r="AA404" s="719"/>
      <c r="AB404" s="166"/>
      <c r="AC404" s="166"/>
      <c r="AD404" s="166"/>
      <c r="AE404" s="87"/>
      <c r="AF404" s="87"/>
      <c r="AG404" s="87"/>
      <c r="AH404" s="87"/>
      <c r="AI404" s="87"/>
      <c r="AJ404" s="87"/>
      <c r="AK404" s="87"/>
      <c r="AL404" s="87"/>
      <c r="AM404" s="87"/>
    </row>
    <row r="405">
      <c r="A405" s="87"/>
      <c r="B405" s="166"/>
      <c r="C405" s="166"/>
      <c r="D405" s="166"/>
      <c r="E405" s="166"/>
      <c r="F405" s="714"/>
      <c r="G405" s="166"/>
      <c r="H405" s="166"/>
      <c r="I405" s="166"/>
      <c r="J405" s="166"/>
      <c r="K405" s="166"/>
      <c r="L405" s="166"/>
      <c r="M405" s="166"/>
      <c r="N405" s="715"/>
      <c r="O405" s="166"/>
      <c r="P405" s="166"/>
      <c r="Q405" s="716"/>
      <c r="R405" s="714"/>
      <c r="S405" s="717"/>
      <c r="T405" s="714"/>
      <c r="U405" s="166"/>
      <c r="V405" s="166"/>
      <c r="W405" s="166"/>
      <c r="X405" s="166"/>
      <c r="Y405" s="718"/>
      <c r="Z405" s="719"/>
      <c r="AA405" s="719"/>
      <c r="AB405" s="166"/>
      <c r="AC405" s="166"/>
      <c r="AD405" s="166"/>
      <c r="AE405" s="87"/>
      <c r="AF405" s="87"/>
      <c r="AG405" s="87"/>
      <c r="AH405" s="87"/>
      <c r="AI405" s="87"/>
      <c r="AJ405" s="87"/>
      <c r="AK405" s="87"/>
      <c r="AL405" s="87"/>
      <c r="AM405" s="87"/>
    </row>
    <row r="406">
      <c r="A406" s="87"/>
      <c r="B406" s="166"/>
      <c r="C406" s="166"/>
      <c r="D406" s="166"/>
      <c r="E406" s="166"/>
      <c r="F406" s="714"/>
      <c r="G406" s="166"/>
      <c r="H406" s="166"/>
      <c r="I406" s="166"/>
      <c r="J406" s="166"/>
      <c r="K406" s="166"/>
      <c r="L406" s="166"/>
      <c r="M406" s="166"/>
      <c r="N406" s="715"/>
      <c r="O406" s="166"/>
      <c r="P406" s="166"/>
      <c r="Q406" s="716"/>
      <c r="R406" s="714"/>
      <c r="S406" s="717"/>
      <c r="T406" s="714"/>
      <c r="U406" s="166"/>
      <c r="V406" s="166"/>
      <c r="W406" s="166"/>
      <c r="X406" s="166"/>
      <c r="Y406" s="718"/>
      <c r="Z406" s="719"/>
      <c r="AA406" s="719"/>
      <c r="AB406" s="166"/>
      <c r="AC406" s="166"/>
      <c r="AD406" s="166"/>
      <c r="AE406" s="87"/>
      <c r="AF406" s="87"/>
      <c r="AG406" s="87"/>
      <c r="AH406" s="87"/>
      <c r="AI406" s="87"/>
      <c r="AJ406" s="87"/>
      <c r="AK406" s="87"/>
      <c r="AL406" s="87"/>
      <c r="AM406" s="87"/>
    </row>
    <row r="407">
      <c r="A407" s="87"/>
      <c r="B407" s="166"/>
      <c r="C407" s="166"/>
      <c r="D407" s="166"/>
      <c r="E407" s="166"/>
      <c r="F407" s="714"/>
      <c r="G407" s="166"/>
      <c r="H407" s="166"/>
      <c r="I407" s="166"/>
      <c r="J407" s="166"/>
      <c r="K407" s="166"/>
      <c r="L407" s="166"/>
      <c r="M407" s="166"/>
      <c r="N407" s="715"/>
      <c r="O407" s="166"/>
      <c r="P407" s="166"/>
      <c r="Q407" s="716"/>
      <c r="R407" s="714"/>
      <c r="S407" s="717"/>
      <c r="T407" s="714"/>
      <c r="U407" s="166"/>
      <c r="V407" s="166"/>
      <c r="W407" s="166"/>
      <c r="X407" s="166"/>
      <c r="Y407" s="718"/>
      <c r="Z407" s="719"/>
      <c r="AA407" s="719"/>
      <c r="AB407" s="166"/>
      <c r="AC407" s="166"/>
      <c r="AD407" s="166"/>
      <c r="AE407" s="87"/>
      <c r="AF407" s="87"/>
      <c r="AG407" s="87"/>
      <c r="AH407" s="87"/>
      <c r="AI407" s="87"/>
      <c r="AJ407" s="87"/>
      <c r="AK407" s="87"/>
      <c r="AL407" s="87"/>
      <c r="AM407" s="87"/>
    </row>
    <row r="408">
      <c r="A408" s="87"/>
      <c r="B408" s="166"/>
      <c r="C408" s="166"/>
      <c r="D408" s="166"/>
      <c r="E408" s="166"/>
      <c r="F408" s="714"/>
      <c r="G408" s="166"/>
      <c r="H408" s="166"/>
      <c r="I408" s="166"/>
      <c r="J408" s="166"/>
      <c r="K408" s="166"/>
      <c r="L408" s="166"/>
      <c r="M408" s="166"/>
      <c r="N408" s="715"/>
      <c r="O408" s="166"/>
      <c r="P408" s="166"/>
      <c r="Q408" s="716"/>
      <c r="R408" s="714"/>
      <c r="S408" s="717"/>
      <c r="T408" s="714"/>
      <c r="U408" s="166"/>
      <c r="V408" s="166"/>
      <c r="W408" s="166"/>
      <c r="X408" s="166"/>
      <c r="Y408" s="718"/>
      <c r="Z408" s="719"/>
      <c r="AA408" s="719"/>
      <c r="AB408" s="166"/>
      <c r="AC408" s="166"/>
      <c r="AD408" s="166"/>
      <c r="AE408" s="87"/>
      <c r="AF408" s="87"/>
      <c r="AG408" s="87"/>
      <c r="AH408" s="87"/>
      <c r="AI408" s="87"/>
      <c r="AJ408" s="87"/>
      <c r="AK408" s="87"/>
      <c r="AL408" s="87"/>
      <c r="AM408" s="87"/>
    </row>
    <row r="409">
      <c r="A409" s="87"/>
      <c r="B409" s="166"/>
      <c r="C409" s="166"/>
      <c r="D409" s="166"/>
      <c r="E409" s="166"/>
      <c r="F409" s="714"/>
      <c r="G409" s="166"/>
      <c r="H409" s="166"/>
      <c r="I409" s="166"/>
      <c r="J409" s="166"/>
      <c r="K409" s="166"/>
      <c r="L409" s="166"/>
      <c r="M409" s="166"/>
      <c r="N409" s="715"/>
      <c r="O409" s="166"/>
      <c r="P409" s="166"/>
      <c r="Q409" s="716"/>
      <c r="R409" s="714"/>
      <c r="S409" s="717"/>
      <c r="T409" s="714"/>
      <c r="U409" s="166"/>
      <c r="V409" s="166"/>
      <c r="W409" s="166"/>
      <c r="X409" s="166"/>
      <c r="Y409" s="718"/>
      <c r="Z409" s="719"/>
      <c r="AA409" s="719"/>
      <c r="AB409" s="166"/>
      <c r="AC409" s="166"/>
      <c r="AD409" s="166"/>
      <c r="AE409" s="87"/>
      <c r="AF409" s="87"/>
      <c r="AG409" s="87"/>
      <c r="AH409" s="87"/>
      <c r="AI409" s="87"/>
      <c r="AJ409" s="87"/>
      <c r="AK409" s="87"/>
      <c r="AL409" s="87"/>
      <c r="AM409" s="87"/>
    </row>
    <row r="410">
      <c r="A410" s="87"/>
      <c r="B410" s="166"/>
      <c r="C410" s="166"/>
      <c r="D410" s="166"/>
      <c r="E410" s="166"/>
      <c r="F410" s="714"/>
      <c r="G410" s="166"/>
      <c r="H410" s="166"/>
      <c r="I410" s="166"/>
      <c r="J410" s="166"/>
      <c r="K410" s="166"/>
      <c r="L410" s="166"/>
      <c r="M410" s="166"/>
      <c r="N410" s="715"/>
      <c r="O410" s="166"/>
      <c r="P410" s="166"/>
      <c r="Q410" s="716"/>
      <c r="R410" s="714"/>
      <c r="S410" s="717"/>
      <c r="T410" s="714"/>
      <c r="U410" s="166"/>
      <c r="V410" s="166"/>
      <c r="W410" s="166"/>
      <c r="X410" s="166"/>
      <c r="Y410" s="718"/>
      <c r="Z410" s="719"/>
      <c r="AA410" s="719"/>
      <c r="AB410" s="166"/>
      <c r="AC410" s="166"/>
      <c r="AD410" s="166"/>
      <c r="AE410" s="87"/>
      <c r="AF410" s="87"/>
      <c r="AG410" s="87"/>
      <c r="AH410" s="87"/>
      <c r="AI410" s="87"/>
      <c r="AJ410" s="87"/>
      <c r="AK410" s="87"/>
      <c r="AL410" s="87"/>
      <c r="AM410" s="87"/>
    </row>
    <row r="411">
      <c r="A411" s="87"/>
      <c r="B411" s="166"/>
      <c r="C411" s="166"/>
      <c r="D411" s="166"/>
      <c r="E411" s="166"/>
      <c r="F411" s="714"/>
      <c r="G411" s="166"/>
      <c r="H411" s="166"/>
      <c r="I411" s="166"/>
      <c r="J411" s="166"/>
      <c r="K411" s="166"/>
      <c r="L411" s="166"/>
      <c r="M411" s="166"/>
      <c r="N411" s="715"/>
      <c r="O411" s="166"/>
      <c r="P411" s="166"/>
      <c r="Q411" s="716"/>
      <c r="R411" s="714"/>
      <c r="S411" s="717"/>
      <c r="T411" s="714"/>
      <c r="U411" s="166"/>
      <c r="V411" s="166"/>
      <c r="W411" s="166"/>
      <c r="X411" s="166"/>
      <c r="Y411" s="718"/>
      <c r="Z411" s="719"/>
      <c r="AA411" s="719"/>
      <c r="AB411" s="166"/>
      <c r="AC411" s="166"/>
      <c r="AD411" s="166"/>
      <c r="AE411" s="87"/>
      <c r="AF411" s="87"/>
      <c r="AG411" s="87"/>
      <c r="AH411" s="87"/>
      <c r="AI411" s="87"/>
      <c r="AJ411" s="87"/>
      <c r="AK411" s="87"/>
      <c r="AL411" s="87"/>
      <c r="AM411" s="87"/>
    </row>
    <row r="412">
      <c r="A412" s="87"/>
      <c r="B412" s="166"/>
      <c r="C412" s="166"/>
      <c r="D412" s="166"/>
      <c r="E412" s="166"/>
      <c r="F412" s="714"/>
      <c r="G412" s="166"/>
      <c r="H412" s="166"/>
      <c r="I412" s="166"/>
      <c r="J412" s="166"/>
      <c r="K412" s="166"/>
      <c r="L412" s="166"/>
      <c r="M412" s="166"/>
      <c r="N412" s="715"/>
      <c r="O412" s="166"/>
      <c r="P412" s="166"/>
      <c r="Q412" s="716"/>
      <c r="R412" s="714"/>
      <c r="S412" s="717"/>
      <c r="T412" s="714"/>
      <c r="U412" s="166"/>
      <c r="V412" s="166"/>
      <c r="W412" s="166"/>
      <c r="X412" s="166"/>
      <c r="Y412" s="718"/>
      <c r="Z412" s="719"/>
      <c r="AA412" s="719"/>
      <c r="AB412" s="166"/>
      <c r="AC412" s="166"/>
      <c r="AD412" s="166"/>
      <c r="AE412" s="87"/>
      <c r="AF412" s="87"/>
      <c r="AG412" s="87"/>
      <c r="AH412" s="87"/>
      <c r="AI412" s="87"/>
      <c r="AJ412" s="87"/>
      <c r="AK412" s="87"/>
      <c r="AL412" s="87"/>
      <c r="AM412" s="87"/>
    </row>
    <row r="413">
      <c r="A413" s="87"/>
      <c r="B413" s="166"/>
      <c r="C413" s="166"/>
      <c r="D413" s="166"/>
      <c r="E413" s="166"/>
      <c r="F413" s="714"/>
      <c r="G413" s="166"/>
      <c r="H413" s="166"/>
      <c r="I413" s="166"/>
      <c r="J413" s="166"/>
      <c r="K413" s="166"/>
      <c r="L413" s="166"/>
      <c r="M413" s="166"/>
      <c r="N413" s="715"/>
      <c r="O413" s="166"/>
      <c r="P413" s="166"/>
      <c r="Q413" s="716"/>
      <c r="R413" s="714"/>
      <c r="S413" s="717"/>
      <c r="T413" s="714"/>
      <c r="U413" s="166"/>
      <c r="V413" s="166"/>
      <c r="W413" s="166"/>
      <c r="X413" s="166"/>
      <c r="Y413" s="718"/>
      <c r="Z413" s="719"/>
      <c r="AA413" s="719"/>
      <c r="AB413" s="166"/>
      <c r="AC413" s="166"/>
      <c r="AD413" s="166"/>
      <c r="AE413" s="87"/>
      <c r="AF413" s="87"/>
      <c r="AG413" s="87"/>
      <c r="AH413" s="87"/>
      <c r="AI413" s="87"/>
      <c r="AJ413" s="87"/>
      <c r="AK413" s="87"/>
      <c r="AL413" s="87"/>
      <c r="AM413" s="87"/>
    </row>
    <row r="414">
      <c r="A414" s="87"/>
      <c r="B414" s="166"/>
      <c r="C414" s="166"/>
      <c r="D414" s="166"/>
      <c r="E414" s="166"/>
      <c r="F414" s="714"/>
      <c r="G414" s="166"/>
      <c r="H414" s="166"/>
      <c r="I414" s="166"/>
      <c r="J414" s="166"/>
      <c r="K414" s="166"/>
      <c r="L414" s="166"/>
      <c r="M414" s="166"/>
      <c r="N414" s="715"/>
      <c r="O414" s="166"/>
      <c r="P414" s="166"/>
      <c r="Q414" s="716"/>
      <c r="R414" s="714"/>
      <c r="S414" s="717"/>
      <c r="T414" s="714"/>
      <c r="U414" s="166"/>
      <c r="V414" s="166"/>
      <c r="W414" s="166"/>
      <c r="X414" s="166"/>
      <c r="Y414" s="718"/>
      <c r="Z414" s="719"/>
      <c r="AA414" s="719"/>
      <c r="AB414" s="166"/>
      <c r="AC414" s="166"/>
      <c r="AD414" s="166"/>
      <c r="AE414" s="87"/>
      <c r="AF414" s="87"/>
      <c r="AG414" s="87"/>
      <c r="AH414" s="87"/>
      <c r="AI414" s="87"/>
      <c r="AJ414" s="87"/>
      <c r="AK414" s="87"/>
      <c r="AL414" s="87"/>
      <c r="AM414" s="87"/>
    </row>
    <row r="415">
      <c r="A415" s="87"/>
      <c r="B415" s="166"/>
      <c r="C415" s="166"/>
      <c r="D415" s="166"/>
      <c r="E415" s="166"/>
      <c r="F415" s="714"/>
      <c r="G415" s="166"/>
      <c r="H415" s="166"/>
      <c r="I415" s="166"/>
      <c r="J415" s="166"/>
      <c r="K415" s="166"/>
      <c r="L415" s="166"/>
      <c r="M415" s="166"/>
      <c r="N415" s="715"/>
      <c r="O415" s="166"/>
      <c r="P415" s="166"/>
      <c r="Q415" s="716"/>
      <c r="R415" s="714"/>
      <c r="S415" s="717"/>
      <c r="T415" s="714"/>
      <c r="U415" s="166"/>
      <c r="V415" s="166"/>
      <c r="W415" s="166"/>
      <c r="X415" s="166"/>
      <c r="Y415" s="718"/>
      <c r="Z415" s="719"/>
      <c r="AA415" s="719"/>
      <c r="AB415" s="166"/>
      <c r="AC415" s="166"/>
      <c r="AD415" s="166"/>
      <c r="AE415" s="87"/>
      <c r="AF415" s="87"/>
      <c r="AG415" s="87"/>
      <c r="AH415" s="87"/>
      <c r="AI415" s="87"/>
      <c r="AJ415" s="87"/>
      <c r="AK415" s="87"/>
      <c r="AL415" s="87"/>
      <c r="AM415" s="87"/>
    </row>
    <row r="416">
      <c r="A416" s="87"/>
      <c r="B416" s="166"/>
      <c r="C416" s="166"/>
      <c r="D416" s="166"/>
      <c r="E416" s="166"/>
      <c r="F416" s="714"/>
      <c r="G416" s="166"/>
      <c r="H416" s="166"/>
      <c r="I416" s="166"/>
      <c r="J416" s="166"/>
      <c r="K416" s="166"/>
      <c r="L416" s="166"/>
      <c r="M416" s="166"/>
      <c r="N416" s="715"/>
      <c r="O416" s="166"/>
      <c r="P416" s="166"/>
      <c r="Q416" s="716"/>
      <c r="R416" s="714"/>
      <c r="S416" s="717"/>
      <c r="T416" s="714"/>
      <c r="U416" s="166"/>
      <c r="V416" s="166"/>
      <c r="W416" s="166"/>
      <c r="X416" s="166"/>
      <c r="Y416" s="718"/>
      <c r="Z416" s="719"/>
      <c r="AA416" s="719"/>
      <c r="AB416" s="166"/>
      <c r="AC416" s="166"/>
      <c r="AD416" s="166"/>
      <c r="AE416" s="87"/>
      <c r="AF416" s="87"/>
      <c r="AG416" s="87"/>
      <c r="AH416" s="87"/>
      <c r="AI416" s="87"/>
      <c r="AJ416" s="87"/>
      <c r="AK416" s="87"/>
      <c r="AL416" s="87"/>
      <c r="AM416" s="87"/>
    </row>
    <row r="417">
      <c r="A417" s="87"/>
      <c r="B417" s="166"/>
      <c r="C417" s="166"/>
      <c r="D417" s="166"/>
      <c r="E417" s="166"/>
      <c r="F417" s="714"/>
      <c r="G417" s="166"/>
      <c r="H417" s="166"/>
      <c r="I417" s="166"/>
      <c r="J417" s="166"/>
      <c r="K417" s="166"/>
      <c r="L417" s="166"/>
      <c r="M417" s="166"/>
      <c r="N417" s="715"/>
      <c r="O417" s="166"/>
      <c r="P417" s="166"/>
      <c r="Q417" s="716"/>
      <c r="R417" s="714"/>
      <c r="S417" s="717"/>
      <c r="T417" s="714"/>
      <c r="U417" s="166"/>
      <c r="V417" s="166"/>
      <c r="W417" s="166"/>
      <c r="X417" s="166"/>
      <c r="Y417" s="718"/>
      <c r="Z417" s="719"/>
      <c r="AA417" s="719"/>
      <c r="AB417" s="166"/>
      <c r="AC417" s="166"/>
      <c r="AD417" s="166"/>
      <c r="AE417" s="87"/>
      <c r="AF417" s="87"/>
      <c r="AG417" s="87"/>
      <c r="AH417" s="87"/>
      <c r="AI417" s="87"/>
      <c r="AJ417" s="87"/>
      <c r="AK417" s="87"/>
      <c r="AL417" s="87"/>
      <c r="AM417" s="87"/>
    </row>
    <row r="418">
      <c r="A418" s="87"/>
      <c r="B418" s="166"/>
      <c r="C418" s="166"/>
      <c r="D418" s="166"/>
      <c r="E418" s="166"/>
      <c r="F418" s="714"/>
      <c r="G418" s="166"/>
      <c r="H418" s="166"/>
      <c r="I418" s="166"/>
      <c r="J418" s="166"/>
      <c r="K418" s="166"/>
      <c r="L418" s="166"/>
      <c r="M418" s="166"/>
      <c r="N418" s="715"/>
      <c r="O418" s="166"/>
      <c r="P418" s="166"/>
      <c r="Q418" s="716"/>
      <c r="R418" s="714"/>
      <c r="S418" s="717"/>
      <c r="T418" s="714"/>
      <c r="U418" s="166"/>
      <c r="V418" s="166"/>
      <c r="W418" s="166"/>
      <c r="X418" s="166"/>
      <c r="Y418" s="718"/>
      <c r="Z418" s="719"/>
      <c r="AA418" s="719"/>
      <c r="AB418" s="166"/>
      <c r="AC418" s="166"/>
      <c r="AD418" s="166"/>
      <c r="AE418" s="87"/>
      <c r="AF418" s="87"/>
      <c r="AG418" s="87"/>
      <c r="AH418" s="87"/>
      <c r="AI418" s="87"/>
      <c r="AJ418" s="87"/>
      <c r="AK418" s="87"/>
      <c r="AL418" s="87"/>
      <c r="AM418" s="87"/>
    </row>
    <row r="419">
      <c r="A419" s="87"/>
      <c r="B419" s="166"/>
      <c r="C419" s="166"/>
      <c r="D419" s="166"/>
      <c r="E419" s="166"/>
      <c r="F419" s="714"/>
      <c r="G419" s="166"/>
      <c r="H419" s="166"/>
      <c r="I419" s="166"/>
      <c r="J419" s="166"/>
      <c r="K419" s="166"/>
      <c r="L419" s="166"/>
      <c r="M419" s="166"/>
      <c r="N419" s="715"/>
      <c r="O419" s="166"/>
      <c r="P419" s="166"/>
      <c r="Q419" s="716"/>
      <c r="R419" s="714"/>
      <c r="S419" s="717"/>
      <c r="T419" s="714"/>
      <c r="U419" s="166"/>
      <c r="V419" s="166"/>
      <c r="W419" s="166"/>
      <c r="X419" s="166"/>
      <c r="Y419" s="718"/>
      <c r="Z419" s="719"/>
      <c r="AA419" s="719"/>
      <c r="AB419" s="166"/>
      <c r="AC419" s="166"/>
      <c r="AD419" s="166"/>
      <c r="AE419" s="87"/>
      <c r="AF419" s="87"/>
      <c r="AG419" s="87"/>
      <c r="AH419" s="87"/>
      <c r="AI419" s="87"/>
      <c r="AJ419" s="87"/>
      <c r="AK419" s="87"/>
      <c r="AL419" s="87"/>
      <c r="AM419" s="87"/>
    </row>
    <row r="420">
      <c r="A420" s="87"/>
      <c r="B420" s="166"/>
      <c r="C420" s="166"/>
      <c r="D420" s="166"/>
      <c r="E420" s="166"/>
      <c r="F420" s="714"/>
      <c r="G420" s="166"/>
      <c r="H420" s="166"/>
      <c r="I420" s="166"/>
      <c r="J420" s="166"/>
      <c r="K420" s="166"/>
      <c r="L420" s="166"/>
      <c r="M420" s="166"/>
      <c r="N420" s="715"/>
      <c r="O420" s="166"/>
      <c r="P420" s="166"/>
      <c r="Q420" s="716"/>
      <c r="R420" s="714"/>
      <c r="S420" s="717"/>
      <c r="T420" s="714"/>
      <c r="U420" s="166"/>
      <c r="V420" s="166"/>
      <c r="W420" s="166"/>
      <c r="X420" s="166"/>
      <c r="Y420" s="718"/>
      <c r="Z420" s="719"/>
      <c r="AA420" s="719"/>
      <c r="AB420" s="166"/>
      <c r="AC420" s="166"/>
      <c r="AD420" s="166"/>
      <c r="AE420" s="87"/>
      <c r="AF420" s="87"/>
      <c r="AG420" s="87"/>
      <c r="AH420" s="87"/>
      <c r="AI420" s="87"/>
      <c r="AJ420" s="87"/>
      <c r="AK420" s="87"/>
      <c r="AL420" s="87"/>
      <c r="AM420" s="87"/>
    </row>
    <row r="421">
      <c r="A421" s="87"/>
      <c r="B421" s="166"/>
      <c r="C421" s="166"/>
      <c r="D421" s="166"/>
      <c r="E421" s="166"/>
      <c r="F421" s="714"/>
      <c r="G421" s="166"/>
      <c r="H421" s="166"/>
      <c r="I421" s="166"/>
      <c r="J421" s="166"/>
      <c r="K421" s="166"/>
      <c r="L421" s="166"/>
      <c r="M421" s="166"/>
      <c r="N421" s="715"/>
      <c r="O421" s="166"/>
      <c r="P421" s="166"/>
      <c r="Q421" s="716"/>
      <c r="R421" s="714"/>
      <c r="S421" s="717"/>
      <c r="T421" s="714"/>
      <c r="U421" s="166"/>
      <c r="V421" s="166"/>
      <c r="W421" s="166"/>
      <c r="X421" s="166"/>
      <c r="Y421" s="718"/>
      <c r="Z421" s="719"/>
      <c r="AA421" s="719"/>
      <c r="AB421" s="166"/>
      <c r="AC421" s="166"/>
      <c r="AD421" s="166"/>
      <c r="AE421" s="87"/>
      <c r="AF421" s="87"/>
      <c r="AG421" s="87"/>
      <c r="AH421" s="87"/>
      <c r="AI421" s="87"/>
      <c r="AJ421" s="87"/>
      <c r="AK421" s="87"/>
      <c r="AL421" s="87"/>
      <c r="AM421" s="87"/>
    </row>
    <row r="422">
      <c r="A422" s="87"/>
      <c r="B422" s="166"/>
      <c r="C422" s="166"/>
      <c r="D422" s="166"/>
      <c r="E422" s="166"/>
      <c r="F422" s="714"/>
      <c r="G422" s="166"/>
      <c r="H422" s="166"/>
      <c r="I422" s="166"/>
      <c r="J422" s="166"/>
      <c r="K422" s="166"/>
      <c r="L422" s="166"/>
      <c r="M422" s="166"/>
      <c r="N422" s="715"/>
      <c r="O422" s="166"/>
      <c r="P422" s="166"/>
      <c r="Q422" s="716"/>
      <c r="R422" s="714"/>
      <c r="S422" s="717"/>
      <c r="T422" s="714"/>
      <c r="U422" s="166"/>
      <c r="V422" s="166"/>
      <c r="W422" s="166"/>
      <c r="X422" s="166"/>
      <c r="Y422" s="718"/>
      <c r="Z422" s="719"/>
      <c r="AA422" s="719"/>
      <c r="AB422" s="166"/>
      <c r="AC422" s="166"/>
      <c r="AD422" s="166"/>
      <c r="AE422" s="87"/>
      <c r="AF422" s="87"/>
      <c r="AG422" s="87"/>
      <c r="AH422" s="87"/>
      <c r="AI422" s="87"/>
      <c r="AJ422" s="87"/>
      <c r="AK422" s="87"/>
      <c r="AL422" s="87"/>
      <c r="AM422" s="87"/>
    </row>
    <row r="423">
      <c r="A423" s="87"/>
      <c r="B423" s="166"/>
      <c r="C423" s="166"/>
      <c r="D423" s="166"/>
      <c r="E423" s="166"/>
      <c r="F423" s="714"/>
      <c r="G423" s="166"/>
      <c r="H423" s="166"/>
      <c r="I423" s="166"/>
      <c r="J423" s="166"/>
      <c r="K423" s="166"/>
      <c r="L423" s="166"/>
      <c r="M423" s="166"/>
      <c r="N423" s="715"/>
      <c r="O423" s="166"/>
      <c r="P423" s="166"/>
      <c r="Q423" s="716"/>
      <c r="R423" s="714"/>
      <c r="S423" s="717"/>
      <c r="T423" s="714"/>
      <c r="U423" s="166"/>
      <c r="V423" s="166"/>
      <c r="W423" s="166"/>
      <c r="X423" s="166"/>
      <c r="Y423" s="718"/>
      <c r="Z423" s="719"/>
      <c r="AA423" s="719"/>
      <c r="AB423" s="166"/>
      <c r="AC423" s="166"/>
      <c r="AD423" s="166"/>
      <c r="AE423" s="87"/>
      <c r="AF423" s="87"/>
      <c r="AG423" s="87"/>
      <c r="AH423" s="87"/>
      <c r="AI423" s="87"/>
      <c r="AJ423" s="87"/>
      <c r="AK423" s="87"/>
      <c r="AL423" s="87"/>
      <c r="AM423" s="87"/>
    </row>
    <row r="424">
      <c r="A424" s="87"/>
      <c r="B424" s="166"/>
      <c r="C424" s="166"/>
      <c r="D424" s="166"/>
      <c r="E424" s="166"/>
      <c r="F424" s="714"/>
      <c r="G424" s="166"/>
      <c r="H424" s="166"/>
      <c r="I424" s="166"/>
      <c r="J424" s="166"/>
      <c r="K424" s="166"/>
      <c r="L424" s="166"/>
      <c r="M424" s="166"/>
      <c r="N424" s="715"/>
      <c r="O424" s="166"/>
      <c r="P424" s="166"/>
      <c r="Q424" s="716"/>
      <c r="R424" s="714"/>
      <c r="S424" s="717"/>
      <c r="T424" s="714"/>
      <c r="U424" s="166"/>
      <c r="V424" s="166"/>
      <c r="W424" s="166"/>
      <c r="X424" s="166"/>
      <c r="Y424" s="718"/>
      <c r="Z424" s="719"/>
      <c r="AA424" s="719"/>
      <c r="AB424" s="166"/>
      <c r="AC424" s="166"/>
      <c r="AD424" s="166"/>
      <c r="AE424" s="87"/>
      <c r="AF424" s="87"/>
      <c r="AG424" s="87"/>
      <c r="AH424" s="87"/>
      <c r="AI424" s="87"/>
      <c r="AJ424" s="87"/>
      <c r="AK424" s="87"/>
      <c r="AL424" s="87"/>
      <c r="AM424" s="87"/>
    </row>
    <row r="425">
      <c r="A425" s="87"/>
      <c r="B425" s="166"/>
      <c r="C425" s="166"/>
      <c r="D425" s="166"/>
      <c r="E425" s="166"/>
      <c r="F425" s="714"/>
      <c r="G425" s="166"/>
      <c r="H425" s="166"/>
      <c r="I425" s="166"/>
      <c r="J425" s="166"/>
      <c r="K425" s="166"/>
      <c r="L425" s="166"/>
      <c r="M425" s="166"/>
      <c r="N425" s="715"/>
      <c r="O425" s="166"/>
      <c r="P425" s="166"/>
      <c r="Q425" s="716"/>
      <c r="R425" s="714"/>
      <c r="S425" s="717"/>
      <c r="T425" s="714"/>
      <c r="U425" s="166"/>
      <c r="V425" s="166"/>
      <c r="W425" s="166"/>
      <c r="X425" s="166"/>
      <c r="Y425" s="718"/>
      <c r="Z425" s="719"/>
      <c r="AA425" s="719"/>
      <c r="AB425" s="166"/>
      <c r="AC425" s="166"/>
      <c r="AD425" s="166"/>
      <c r="AE425" s="87"/>
      <c r="AF425" s="87"/>
      <c r="AG425" s="87"/>
      <c r="AH425" s="87"/>
      <c r="AI425" s="87"/>
      <c r="AJ425" s="87"/>
      <c r="AK425" s="87"/>
      <c r="AL425" s="87"/>
      <c r="AM425" s="87"/>
    </row>
    <row r="426">
      <c r="A426" s="87"/>
      <c r="B426" s="166"/>
      <c r="C426" s="166"/>
      <c r="D426" s="166"/>
      <c r="E426" s="166"/>
      <c r="F426" s="714"/>
      <c r="G426" s="166"/>
      <c r="H426" s="166"/>
      <c r="I426" s="166"/>
      <c r="J426" s="166"/>
      <c r="K426" s="166"/>
      <c r="L426" s="166"/>
      <c r="M426" s="166"/>
      <c r="N426" s="715"/>
      <c r="O426" s="166"/>
      <c r="P426" s="166"/>
      <c r="Q426" s="716"/>
      <c r="R426" s="714"/>
      <c r="S426" s="717"/>
      <c r="T426" s="714"/>
      <c r="U426" s="166"/>
      <c r="V426" s="166"/>
      <c r="W426" s="166"/>
      <c r="X426" s="166"/>
      <c r="Y426" s="718"/>
      <c r="Z426" s="719"/>
      <c r="AA426" s="719"/>
      <c r="AB426" s="166"/>
      <c r="AC426" s="166"/>
      <c r="AD426" s="166"/>
      <c r="AE426" s="87"/>
      <c r="AF426" s="87"/>
      <c r="AG426" s="87"/>
      <c r="AH426" s="87"/>
      <c r="AI426" s="87"/>
      <c r="AJ426" s="87"/>
      <c r="AK426" s="87"/>
      <c r="AL426" s="87"/>
      <c r="AM426" s="87"/>
    </row>
    <row r="427">
      <c r="A427" s="87"/>
      <c r="B427" s="166"/>
      <c r="C427" s="166"/>
      <c r="D427" s="166"/>
      <c r="E427" s="166"/>
      <c r="F427" s="714"/>
      <c r="G427" s="166"/>
      <c r="H427" s="166"/>
      <c r="I427" s="166"/>
      <c r="J427" s="166"/>
      <c r="K427" s="166"/>
      <c r="L427" s="166"/>
      <c r="M427" s="166"/>
      <c r="N427" s="715"/>
      <c r="O427" s="166"/>
      <c r="P427" s="166"/>
      <c r="Q427" s="716"/>
      <c r="R427" s="714"/>
      <c r="S427" s="717"/>
      <c r="T427" s="714"/>
      <c r="U427" s="166"/>
      <c r="V427" s="166"/>
      <c r="W427" s="166"/>
      <c r="X427" s="166"/>
      <c r="Y427" s="718"/>
      <c r="Z427" s="719"/>
      <c r="AA427" s="719"/>
      <c r="AB427" s="166"/>
      <c r="AC427" s="166"/>
      <c r="AD427" s="166"/>
      <c r="AE427" s="87"/>
      <c r="AF427" s="87"/>
      <c r="AG427" s="87"/>
      <c r="AH427" s="87"/>
      <c r="AI427" s="87"/>
      <c r="AJ427" s="87"/>
      <c r="AK427" s="87"/>
      <c r="AL427" s="87"/>
      <c r="AM427" s="87"/>
    </row>
    <row r="428">
      <c r="A428" s="87"/>
      <c r="B428" s="166"/>
      <c r="C428" s="166"/>
      <c r="D428" s="166"/>
      <c r="E428" s="166"/>
      <c r="F428" s="714"/>
      <c r="G428" s="166"/>
      <c r="H428" s="166"/>
      <c r="I428" s="166"/>
      <c r="J428" s="166"/>
      <c r="K428" s="166"/>
      <c r="L428" s="166"/>
      <c r="M428" s="166"/>
      <c r="N428" s="715"/>
      <c r="O428" s="166"/>
      <c r="P428" s="166"/>
      <c r="Q428" s="716"/>
      <c r="R428" s="714"/>
      <c r="S428" s="717"/>
      <c r="T428" s="714"/>
      <c r="U428" s="166"/>
      <c r="V428" s="166"/>
      <c r="W428" s="166"/>
      <c r="X428" s="166"/>
      <c r="Y428" s="718"/>
      <c r="Z428" s="719"/>
      <c r="AA428" s="719"/>
      <c r="AB428" s="166"/>
      <c r="AC428" s="166"/>
      <c r="AD428" s="166"/>
      <c r="AE428" s="87"/>
      <c r="AF428" s="87"/>
      <c r="AG428" s="87"/>
      <c r="AH428" s="87"/>
      <c r="AI428" s="87"/>
      <c r="AJ428" s="87"/>
      <c r="AK428" s="87"/>
      <c r="AL428" s="87"/>
      <c r="AM428" s="87"/>
    </row>
    <row r="429">
      <c r="A429" s="87"/>
      <c r="B429" s="166"/>
      <c r="C429" s="166"/>
      <c r="D429" s="166"/>
      <c r="E429" s="166"/>
      <c r="F429" s="714"/>
      <c r="G429" s="166"/>
      <c r="H429" s="166"/>
      <c r="I429" s="166"/>
      <c r="J429" s="166"/>
      <c r="K429" s="166"/>
      <c r="L429" s="166"/>
      <c r="M429" s="166"/>
      <c r="N429" s="715"/>
      <c r="O429" s="166"/>
      <c r="P429" s="166"/>
      <c r="Q429" s="716"/>
      <c r="R429" s="714"/>
      <c r="S429" s="717"/>
      <c r="T429" s="714"/>
      <c r="U429" s="166"/>
      <c r="V429" s="166"/>
      <c r="W429" s="166"/>
      <c r="X429" s="166"/>
      <c r="Y429" s="718"/>
      <c r="Z429" s="719"/>
      <c r="AA429" s="719"/>
      <c r="AB429" s="166"/>
      <c r="AC429" s="166"/>
      <c r="AD429" s="166"/>
      <c r="AE429" s="87"/>
      <c r="AF429" s="87"/>
      <c r="AG429" s="87"/>
      <c r="AH429" s="87"/>
      <c r="AI429" s="87"/>
      <c r="AJ429" s="87"/>
      <c r="AK429" s="87"/>
      <c r="AL429" s="87"/>
      <c r="AM429" s="87"/>
    </row>
    <row r="430">
      <c r="A430" s="87"/>
      <c r="B430" s="166"/>
      <c r="C430" s="166"/>
      <c r="D430" s="166"/>
      <c r="E430" s="166"/>
      <c r="F430" s="714"/>
      <c r="G430" s="166"/>
      <c r="H430" s="166"/>
      <c r="I430" s="166"/>
      <c r="J430" s="166"/>
      <c r="K430" s="166"/>
      <c r="L430" s="166"/>
      <c r="M430" s="166"/>
      <c r="N430" s="715"/>
      <c r="O430" s="166"/>
      <c r="P430" s="166"/>
      <c r="Q430" s="716"/>
      <c r="R430" s="714"/>
      <c r="S430" s="717"/>
      <c r="T430" s="714"/>
      <c r="U430" s="166"/>
      <c r="V430" s="166"/>
      <c r="W430" s="166"/>
      <c r="X430" s="166"/>
      <c r="Y430" s="718"/>
      <c r="Z430" s="719"/>
      <c r="AA430" s="719"/>
      <c r="AB430" s="166"/>
      <c r="AC430" s="166"/>
      <c r="AD430" s="166"/>
      <c r="AE430" s="87"/>
      <c r="AF430" s="87"/>
      <c r="AG430" s="87"/>
      <c r="AH430" s="87"/>
      <c r="AI430" s="87"/>
      <c r="AJ430" s="87"/>
      <c r="AK430" s="87"/>
      <c r="AL430" s="87"/>
      <c r="AM430" s="87"/>
    </row>
    <row r="431">
      <c r="A431" s="87"/>
      <c r="B431" s="166"/>
      <c r="C431" s="166"/>
      <c r="D431" s="166"/>
      <c r="E431" s="166"/>
      <c r="F431" s="714"/>
      <c r="G431" s="166"/>
      <c r="H431" s="166"/>
      <c r="I431" s="166"/>
      <c r="J431" s="166"/>
      <c r="K431" s="166"/>
      <c r="L431" s="166"/>
      <c r="M431" s="166"/>
      <c r="N431" s="715"/>
      <c r="O431" s="166"/>
      <c r="P431" s="166"/>
      <c r="Q431" s="716"/>
      <c r="R431" s="714"/>
      <c r="S431" s="717"/>
      <c r="T431" s="714"/>
      <c r="U431" s="166"/>
      <c r="V431" s="166"/>
      <c r="W431" s="166"/>
      <c r="X431" s="166"/>
      <c r="Y431" s="718"/>
      <c r="Z431" s="719"/>
      <c r="AA431" s="719"/>
      <c r="AB431" s="166"/>
      <c r="AC431" s="166"/>
      <c r="AD431" s="166"/>
      <c r="AE431" s="87"/>
      <c r="AF431" s="87"/>
      <c r="AG431" s="87"/>
      <c r="AH431" s="87"/>
      <c r="AI431" s="87"/>
      <c r="AJ431" s="87"/>
      <c r="AK431" s="87"/>
      <c r="AL431" s="87"/>
      <c r="AM431" s="87"/>
    </row>
    <row r="432">
      <c r="A432" s="87"/>
      <c r="B432" s="166"/>
      <c r="C432" s="166"/>
      <c r="D432" s="166"/>
      <c r="E432" s="166"/>
      <c r="F432" s="714"/>
      <c r="G432" s="166"/>
      <c r="H432" s="166"/>
      <c r="I432" s="166"/>
      <c r="J432" s="166"/>
      <c r="K432" s="166"/>
      <c r="L432" s="166"/>
      <c r="M432" s="166"/>
      <c r="N432" s="715"/>
      <c r="O432" s="166"/>
      <c r="P432" s="166"/>
      <c r="Q432" s="716"/>
      <c r="R432" s="714"/>
      <c r="S432" s="717"/>
      <c r="T432" s="714"/>
      <c r="U432" s="166"/>
      <c r="V432" s="166"/>
      <c r="W432" s="166"/>
      <c r="X432" s="166"/>
      <c r="Y432" s="718"/>
      <c r="Z432" s="719"/>
      <c r="AA432" s="719"/>
      <c r="AB432" s="166"/>
      <c r="AC432" s="166"/>
      <c r="AD432" s="166"/>
      <c r="AE432" s="87"/>
      <c r="AF432" s="87"/>
      <c r="AG432" s="87"/>
      <c r="AH432" s="87"/>
      <c r="AI432" s="87"/>
      <c r="AJ432" s="87"/>
      <c r="AK432" s="87"/>
      <c r="AL432" s="87"/>
      <c r="AM432" s="87"/>
    </row>
    <row r="433">
      <c r="A433" s="87"/>
      <c r="B433" s="166"/>
      <c r="C433" s="166"/>
      <c r="D433" s="166"/>
      <c r="E433" s="166"/>
      <c r="F433" s="714"/>
      <c r="G433" s="166"/>
      <c r="H433" s="166"/>
      <c r="I433" s="166"/>
      <c r="J433" s="166"/>
      <c r="K433" s="166"/>
      <c r="L433" s="166"/>
      <c r="M433" s="166"/>
      <c r="N433" s="715"/>
      <c r="O433" s="166"/>
      <c r="P433" s="166"/>
      <c r="Q433" s="716"/>
      <c r="R433" s="714"/>
      <c r="S433" s="717"/>
      <c r="T433" s="714"/>
      <c r="U433" s="166"/>
      <c r="V433" s="166"/>
      <c r="W433" s="166"/>
      <c r="X433" s="166"/>
      <c r="Y433" s="718"/>
      <c r="Z433" s="719"/>
      <c r="AA433" s="719"/>
      <c r="AB433" s="166"/>
      <c r="AC433" s="166"/>
      <c r="AD433" s="166"/>
      <c r="AE433" s="87"/>
      <c r="AF433" s="87"/>
      <c r="AG433" s="87"/>
      <c r="AH433" s="87"/>
      <c r="AI433" s="87"/>
      <c r="AJ433" s="87"/>
      <c r="AK433" s="87"/>
      <c r="AL433" s="87"/>
      <c r="AM433" s="87"/>
    </row>
    <row r="434">
      <c r="A434" s="87"/>
      <c r="B434" s="166"/>
      <c r="C434" s="166"/>
      <c r="D434" s="166"/>
      <c r="E434" s="166"/>
      <c r="F434" s="714"/>
      <c r="G434" s="166"/>
      <c r="H434" s="166"/>
      <c r="I434" s="166"/>
      <c r="J434" s="166"/>
      <c r="K434" s="166"/>
      <c r="L434" s="166"/>
      <c r="M434" s="166"/>
      <c r="N434" s="715"/>
      <c r="O434" s="166"/>
      <c r="P434" s="166"/>
      <c r="Q434" s="716"/>
      <c r="R434" s="714"/>
      <c r="S434" s="717"/>
      <c r="T434" s="714"/>
      <c r="U434" s="166"/>
      <c r="V434" s="166"/>
      <c r="W434" s="166"/>
      <c r="X434" s="166"/>
      <c r="Y434" s="718"/>
      <c r="Z434" s="719"/>
      <c r="AA434" s="719"/>
      <c r="AB434" s="166"/>
      <c r="AC434" s="166"/>
      <c r="AD434" s="166"/>
      <c r="AE434" s="87"/>
      <c r="AF434" s="87"/>
      <c r="AG434" s="87"/>
      <c r="AH434" s="87"/>
      <c r="AI434" s="87"/>
      <c r="AJ434" s="87"/>
      <c r="AK434" s="87"/>
      <c r="AL434" s="87"/>
      <c r="AM434" s="87"/>
    </row>
    <row r="435">
      <c r="A435" s="87"/>
      <c r="B435" s="166"/>
      <c r="C435" s="166"/>
      <c r="D435" s="166"/>
      <c r="E435" s="166"/>
      <c r="F435" s="714"/>
      <c r="G435" s="166"/>
      <c r="H435" s="166"/>
      <c r="I435" s="166"/>
      <c r="J435" s="166"/>
      <c r="K435" s="166"/>
      <c r="L435" s="166"/>
      <c r="M435" s="166"/>
      <c r="N435" s="715"/>
      <c r="O435" s="166"/>
      <c r="P435" s="166"/>
      <c r="Q435" s="716"/>
      <c r="R435" s="714"/>
      <c r="S435" s="717"/>
      <c r="T435" s="714"/>
      <c r="U435" s="166"/>
      <c r="V435" s="166"/>
      <c r="W435" s="166"/>
      <c r="X435" s="166"/>
      <c r="Y435" s="718"/>
      <c r="Z435" s="719"/>
      <c r="AA435" s="719"/>
      <c r="AB435" s="166"/>
      <c r="AC435" s="166"/>
      <c r="AD435" s="166"/>
      <c r="AE435" s="87"/>
      <c r="AF435" s="87"/>
      <c r="AG435" s="87"/>
      <c r="AH435" s="87"/>
      <c r="AI435" s="87"/>
      <c r="AJ435" s="87"/>
      <c r="AK435" s="87"/>
      <c r="AL435" s="87"/>
      <c r="AM435" s="87"/>
    </row>
    <row r="436">
      <c r="A436" s="87"/>
      <c r="B436" s="166"/>
      <c r="C436" s="166"/>
      <c r="D436" s="166"/>
      <c r="E436" s="166"/>
      <c r="F436" s="714"/>
      <c r="G436" s="166"/>
      <c r="H436" s="166"/>
      <c r="I436" s="166"/>
      <c r="J436" s="166"/>
      <c r="K436" s="166"/>
      <c r="L436" s="166"/>
      <c r="M436" s="166"/>
      <c r="N436" s="715"/>
      <c r="O436" s="166"/>
      <c r="P436" s="166"/>
      <c r="Q436" s="716"/>
      <c r="R436" s="714"/>
      <c r="S436" s="717"/>
      <c r="T436" s="714"/>
      <c r="U436" s="166"/>
      <c r="V436" s="166"/>
      <c r="W436" s="166"/>
      <c r="X436" s="166"/>
      <c r="Y436" s="718"/>
      <c r="Z436" s="719"/>
      <c r="AA436" s="719"/>
      <c r="AB436" s="166"/>
      <c r="AC436" s="166"/>
      <c r="AD436" s="166"/>
      <c r="AE436" s="87"/>
      <c r="AF436" s="87"/>
      <c r="AG436" s="87"/>
      <c r="AH436" s="87"/>
      <c r="AI436" s="87"/>
      <c r="AJ436" s="87"/>
      <c r="AK436" s="87"/>
      <c r="AL436" s="87"/>
      <c r="AM436" s="87"/>
    </row>
    <row r="437">
      <c r="A437" s="87"/>
      <c r="B437" s="166"/>
      <c r="C437" s="166"/>
      <c r="D437" s="166"/>
      <c r="E437" s="166"/>
      <c r="F437" s="714"/>
      <c r="G437" s="166"/>
      <c r="H437" s="166"/>
      <c r="I437" s="166"/>
      <c r="J437" s="166"/>
      <c r="K437" s="166"/>
      <c r="L437" s="166"/>
      <c r="M437" s="166"/>
      <c r="N437" s="715"/>
      <c r="O437" s="166"/>
      <c r="P437" s="166"/>
      <c r="Q437" s="716"/>
      <c r="R437" s="714"/>
      <c r="S437" s="717"/>
      <c r="T437" s="714"/>
      <c r="U437" s="166"/>
      <c r="V437" s="166"/>
      <c r="W437" s="166"/>
      <c r="X437" s="166"/>
      <c r="Y437" s="718"/>
      <c r="Z437" s="719"/>
      <c r="AA437" s="719"/>
      <c r="AB437" s="166"/>
      <c r="AC437" s="166"/>
      <c r="AD437" s="166"/>
      <c r="AE437" s="87"/>
      <c r="AF437" s="87"/>
      <c r="AG437" s="87"/>
      <c r="AH437" s="87"/>
      <c r="AI437" s="87"/>
      <c r="AJ437" s="87"/>
      <c r="AK437" s="87"/>
      <c r="AL437" s="87"/>
      <c r="AM437" s="87"/>
    </row>
    <row r="438">
      <c r="A438" s="87"/>
      <c r="B438" s="166"/>
      <c r="C438" s="166"/>
      <c r="D438" s="166"/>
      <c r="E438" s="166"/>
      <c r="F438" s="714"/>
      <c r="G438" s="166"/>
      <c r="H438" s="166"/>
      <c r="I438" s="166"/>
      <c r="J438" s="166"/>
      <c r="K438" s="166"/>
      <c r="L438" s="166"/>
      <c r="M438" s="166"/>
      <c r="N438" s="715"/>
      <c r="O438" s="166"/>
      <c r="P438" s="166"/>
      <c r="Q438" s="716"/>
      <c r="R438" s="714"/>
      <c r="S438" s="717"/>
      <c r="T438" s="714"/>
      <c r="U438" s="166"/>
      <c r="V438" s="166"/>
      <c r="W438" s="166"/>
      <c r="X438" s="166"/>
      <c r="Y438" s="718"/>
      <c r="Z438" s="719"/>
      <c r="AA438" s="719"/>
      <c r="AB438" s="166"/>
      <c r="AC438" s="166"/>
      <c r="AD438" s="166"/>
      <c r="AE438" s="87"/>
      <c r="AF438" s="87"/>
      <c r="AG438" s="87"/>
      <c r="AH438" s="87"/>
      <c r="AI438" s="87"/>
      <c r="AJ438" s="87"/>
      <c r="AK438" s="87"/>
      <c r="AL438" s="87"/>
      <c r="AM438" s="87"/>
    </row>
    <row r="439">
      <c r="A439" s="87"/>
      <c r="B439" s="166"/>
      <c r="C439" s="166"/>
      <c r="D439" s="166"/>
      <c r="E439" s="166"/>
      <c r="F439" s="714"/>
      <c r="G439" s="166"/>
      <c r="H439" s="166"/>
      <c r="I439" s="166"/>
      <c r="J439" s="166"/>
      <c r="K439" s="166"/>
      <c r="L439" s="166"/>
      <c r="M439" s="166"/>
      <c r="N439" s="715"/>
      <c r="O439" s="166"/>
      <c r="P439" s="166"/>
      <c r="Q439" s="716"/>
      <c r="R439" s="714"/>
      <c r="S439" s="717"/>
      <c r="T439" s="714"/>
      <c r="U439" s="166"/>
      <c r="V439" s="166"/>
      <c r="W439" s="166"/>
      <c r="X439" s="166"/>
      <c r="Y439" s="718"/>
      <c r="Z439" s="719"/>
      <c r="AA439" s="719"/>
      <c r="AB439" s="166"/>
      <c r="AC439" s="166"/>
      <c r="AD439" s="166"/>
      <c r="AE439" s="87"/>
      <c r="AF439" s="87"/>
      <c r="AG439" s="87"/>
      <c r="AH439" s="87"/>
      <c r="AI439" s="87"/>
      <c r="AJ439" s="87"/>
      <c r="AK439" s="87"/>
      <c r="AL439" s="87"/>
      <c r="AM439" s="87"/>
    </row>
    <row r="440">
      <c r="A440" s="87"/>
      <c r="B440" s="166"/>
      <c r="C440" s="166"/>
      <c r="D440" s="166"/>
      <c r="E440" s="166"/>
      <c r="F440" s="714"/>
      <c r="G440" s="166"/>
      <c r="H440" s="166"/>
      <c r="I440" s="166"/>
      <c r="J440" s="166"/>
      <c r="K440" s="166"/>
      <c r="L440" s="166"/>
      <c r="M440" s="166"/>
      <c r="N440" s="715"/>
      <c r="O440" s="166"/>
      <c r="P440" s="166"/>
      <c r="Q440" s="716"/>
      <c r="R440" s="714"/>
      <c r="S440" s="717"/>
      <c r="T440" s="714"/>
      <c r="U440" s="166"/>
      <c r="V440" s="166"/>
      <c r="W440" s="166"/>
      <c r="X440" s="166"/>
      <c r="Y440" s="718"/>
      <c r="Z440" s="719"/>
      <c r="AA440" s="719"/>
      <c r="AB440" s="166"/>
      <c r="AC440" s="166"/>
      <c r="AD440" s="166"/>
      <c r="AE440" s="87"/>
      <c r="AF440" s="87"/>
      <c r="AG440" s="87"/>
      <c r="AH440" s="87"/>
      <c r="AI440" s="87"/>
      <c r="AJ440" s="87"/>
      <c r="AK440" s="87"/>
      <c r="AL440" s="87"/>
      <c r="AM440" s="87"/>
    </row>
    <row r="441">
      <c r="A441" s="87"/>
      <c r="B441" s="166"/>
      <c r="C441" s="166"/>
      <c r="D441" s="166"/>
      <c r="E441" s="166"/>
      <c r="F441" s="714"/>
      <c r="G441" s="166"/>
      <c r="H441" s="166"/>
      <c r="I441" s="166"/>
      <c r="J441" s="166"/>
      <c r="K441" s="166"/>
      <c r="L441" s="166"/>
      <c r="M441" s="166"/>
      <c r="N441" s="715"/>
      <c r="O441" s="166"/>
      <c r="P441" s="166"/>
      <c r="Q441" s="716"/>
      <c r="R441" s="714"/>
      <c r="S441" s="717"/>
      <c r="T441" s="714"/>
      <c r="U441" s="166"/>
      <c r="V441" s="166"/>
      <c r="W441" s="166"/>
      <c r="X441" s="166"/>
      <c r="Y441" s="718"/>
      <c r="Z441" s="719"/>
      <c r="AA441" s="719"/>
      <c r="AB441" s="166"/>
      <c r="AC441" s="166"/>
      <c r="AD441" s="166"/>
      <c r="AE441" s="87"/>
      <c r="AF441" s="87"/>
      <c r="AG441" s="87"/>
      <c r="AH441" s="87"/>
      <c r="AI441" s="87"/>
      <c r="AJ441" s="87"/>
      <c r="AK441" s="87"/>
      <c r="AL441" s="87"/>
      <c r="AM441" s="87"/>
    </row>
    <row r="442">
      <c r="A442" s="87"/>
      <c r="B442" s="166"/>
      <c r="C442" s="166"/>
      <c r="D442" s="166"/>
      <c r="E442" s="166"/>
      <c r="F442" s="714"/>
      <c r="G442" s="166"/>
      <c r="H442" s="166"/>
      <c r="I442" s="166"/>
      <c r="J442" s="166"/>
      <c r="K442" s="166"/>
      <c r="L442" s="166"/>
      <c r="M442" s="166"/>
      <c r="N442" s="715"/>
      <c r="O442" s="166"/>
      <c r="P442" s="166"/>
      <c r="Q442" s="716"/>
      <c r="R442" s="714"/>
      <c r="S442" s="717"/>
      <c r="T442" s="714"/>
      <c r="U442" s="166"/>
      <c r="V442" s="166"/>
      <c r="W442" s="166"/>
      <c r="X442" s="166"/>
      <c r="Y442" s="718"/>
      <c r="Z442" s="719"/>
      <c r="AA442" s="719"/>
      <c r="AB442" s="166"/>
      <c r="AC442" s="166"/>
      <c r="AD442" s="166"/>
      <c r="AE442" s="87"/>
      <c r="AF442" s="87"/>
      <c r="AG442" s="87"/>
      <c r="AH442" s="87"/>
      <c r="AI442" s="87"/>
      <c r="AJ442" s="87"/>
      <c r="AK442" s="87"/>
      <c r="AL442" s="87"/>
      <c r="AM442" s="87"/>
    </row>
    <row r="443">
      <c r="A443" s="87"/>
      <c r="B443" s="166"/>
      <c r="C443" s="166"/>
      <c r="D443" s="166"/>
      <c r="E443" s="166"/>
      <c r="F443" s="714"/>
      <c r="G443" s="166"/>
      <c r="H443" s="166"/>
      <c r="I443" s="166"/>
      <c r="J443" s="166"/>
      <c r="K443" s="166"/>
      <c r="L443" s="166"/>
      <c r="M443" s="166"/>
      <c r="N443" s="715"/>
      <c r="O443" s="166"/>
      <c r="P443" s="166"/>
      <c r="Q443" s="716"/>
      <c r="R443" s="714"/>
      <c r="S443" s="717"/>
      <c r="T443" s="714"/>
      <c r="U443" s="166"/>
      <c r="V443" s="166"/>
      <c r="W443" s="166"/>
      <c r="X443" s="166"/>
      <c r="Y443" s="718"/>
      <c r="Z443" s="719"/>
      <c r="AA443" s="719"/>
      <c r="AB443" s="166"/>
      <c r="AC443" s="166"/>
      <c r="AD443" s="166"/>
      <c r="AE443" s="87"/>
      <c r="AF443" s="87"/>
      <c r="AG443" s="87"/>
      <c r="AH443" s="87"/>
      <c r="AI443" s="87"/>
      <c r="AJ443" s="87"/>
      <c r="AK443" s="87"/>
      <c r="AL443" s="87"/>
      <c r="AM443" s="87"/>
    </row>
    <row r="444">
      <c r="A444" s="87"/>
      <c r="B444" s="166"/>
      <c r="C444" s="166"/>
      <c r="D444" s="166"/>
      <c r="E444" s="166"/>
      <c r="F444" s="714"/>
      <c r="G444" s="166"/>
      <c r="H444" s="166"/>
      <c r="I444" s="166"/>
      <c r="J444" s="166"/>
      <c r="K444" s="166"/>
      <c r="L444" s="166"/>
      <c r="M444" s="166"/>
      <c r="N444" s="715"/>
      <c r="O444" s="166"/>
      <c r="P444" s="166"/>
      <c r="Q444" s="716"/>
      <c r="R444" s="714"/>
      <c r="S444" s="717"/>
      <c r="T444" s="714"/>
      <c r="U444" s="166"/>
      <c r="V444" s="166"/>
      <c r="W444" s="166"/>
      <c r="X444" s="166"/>
      <c r="Y444" s="718"/>
      <c r="Z444" s="719"/>
      <c r="AA444" s="719"/>
      <c r="AB444" s="166"/>
      <c r="AC444" s="166"/>
      <c r="AD444" s="166"/>
      <c r="AE444" s="87"/>
      <c r="AF444" s="87"/>
      <c r="AG444" s="87"/>
      <c r="AH444" s="87"/>
      <c r="AI444" s="87"/>
      <c r="AJ444" s="87"/>
      <c r="AK444" s="87"/>
      <c r="AL444" s="87"/>
      <c r="AM444" s="87"/>
    </row>
    <row r="445">
      <c r="A445" s="87"/>
      <c r="B445" s="166"/>
      <c r="C445" s="166"/>
      <c r="D445" s="166"/>
      <c r="E445" s="166"/>
      <c r="F445" s="714"/>
      <c r="G445" s="166"/>
      <c r="H445" s="166"/>
      <c r="I445" s="166"/>
      <c r="J445" s="166"/>
      <c r="K445" s="166"/>
      <c r="L445" s="166"/>
      <c r="M445" s="166"/>
      <c r="N445" s="715"/>
      <c r="O445" s="166"/>
      <c r="P445" s="166"/>
      <c r="Q445" s="716"/>
      <c r="R445" s="714"/>
      <c r="S445" s="717"/>
      <c r="T445" s="714"/>
      <c r="U445" s="166"/>
      <c r="V445" s="166"/>
      <c r="W445" s="166"/>
      <c r="X445" s="166"/>
      <c r="Y445" s="718"/>
      <c r="Z445" s="719"/>
      <c r="AA445" s="719"/>
      <c r="AB445" s="166"/>
      <c r="AC445" s="166"/>
      <c r="AD445" s="166"/>
      <c r="AE445" s="87"/>
      <c r="AF445" s="87"/>
      <c r="AG445" s="87"/>
      <c r="AH445" s="87"/>
      <c r="AI445" s="87"/>
      <c r="AJ445" s="87"/>
      <c r="AK445" s="87"/>
      <c r="AL445" s="87"/>
      <c r="AM445" s="87"/>
    </row>
    <row r="446">
      <c r="A446" s="87"/>
      <c r="B446" s="166"/>
      <c r="C446" s="166"/>
      <c r="D446" s="166"/>
      <c r="E446" s="166"/>
      <c r="F446" s="714"/>
      <c r="G446" s="166"/>
      <c r="H446" s="166"/>
      <c r="I446" s="166"/>
      <c r="J446" s="166"/>
      <c r="K446" s="166"/>
      <c r="L446" s="166"/>
      <c r="M446" s="166"/>
      <c r="N446" s="715"/>
      <c r="O446" s="166"/>
      <c r="P446" s="166"/>
      <c r="Q446" s="716"/>
      <c r="R446" s="714"/>
      <c r="S446" s="717"/>
      <c r="T446" s="714"/>
      <c r="U446" s="166"/>
      <c r="V446" s="166"/>
      <c r="W446" s="166"/>
      <c r="X446" s="166"/>
      <c r="Y446" s="718"/>
      <c r="Z446" s="719"/>
      <c r="AA446" s="719"/>
      <c r="AB446" s="166"/>
      <c r="AC446" s="166"/>
      <c r="AD446" s="166"/>
      <c r="AE446" s="87"/>
      <c r="AF446" s="87"/>
      <c r="AG446" s="87"/>
      <c r="AH446" s="87"/>
      <c r="AI446" s="87"/>
      <c r="AJ446" s="87"/>
      <c r="AK446" s="87"/>
      <c r="AL446" s="87"/>
      <c r="AM446" s="87"/>
    </row>
    <row r="447">
      <c r="A447" s="87"/>
      <c r="B447" s="166"/>
      <c r="C447" s="166"/>
      <c r="D447" s="166"/>
      <c r="E447" s="166"/>
      <c r="F447" s="714"/>
      <c r="G447" s="166"/>
      <c r="H447" s="166"/>
      <c r="I447" s="166"/>
      <c r="J447" s="166"/>
      <c r="K447" s="166"/>
      <c r="L447" s="166"/>
      <c r="M447" s="166"/>
      <c r="N447" s="715"/>
      <c r="O447" s="166"/>
      <c r="P447" s="166"/>
      <c r="Q447" s="716"/>
      <c r="R447" s="714"/>
      <c r="S447" s="717"/>
      <c r="T447" s="714"/>
      <c r="U447" s="166"/>
      <c r="V447" s="166"/>
      <c r="W447" s="166"/>
      <c r="X447" s="166"/>
      <c r="Y447" s="718"/>
      <c r="Z447" s="719"/>
      <c r="AA447" s="719"/>
      <c r="AB447" s="166"/>
      <c r="AC447" s="166"/>
      <c r="AD447" s="166"/>
      <c r="AE447" s="87"/>
      <c r="AF447" s="87"/>
      <c r="AG447" s="87"/>
      <c r="AH447" s="87"/>
      <c r="AI447" s="87"/>
      <c r="AJ447" s="87"/>
      <c r="AK447" s="87"/>
      <c r="AL447" s="87"/>
      <c r="AM447" s="87"/>
    </row>
    <row r="448">
      <c r="A448" s="87"/>
      <c r="B448" s="166"/>
      <c r="C448" s="166"/>
      <c r="D448" s="166"/>
      <c r="E448" s="166"/>
      <c r="F448" s="714"/>
      <c r="G448" s="166"/>
      <c r="H448" s="166"/>
      <c r="I448" s="166"/>
      <c r="J448" s="166"/>
      <c r="K448" s="166"/>
      <c r="L448" s="166"/>
      <c r="M448" s="166"/>
      <c r="N448" s="715"/>
      <c r="O448" s="166"/>
      <c r="P448" s="166"/>
      <c r="Q448" s="716"/>
      <c r="R448" s="714"/>
      <c r="S448" s="717"/>
      <c r="T448" s="714"/>
      <c r="U448" s="166"/>
      <c r="V448" s="166"/>
      <c r="W448" s="166"/>
      <c r="X448" s="166"/>
      <c r="Y448" s="718"/>
      <c r="Z448" s="719"/>
      <c r="AA448" s="719"/>
      <c r="AB448" s="166"/>
      <c r="AC448" s="166"/>
      <c r="AD448" s="166"/>
      <c r="AE448" s="87"/>
      <c r="AF448" s="87"/>
      <c r="AG448" s="87"/>
      <c r="AH448" s="87"/>
      <c r="AI448" s="87"/>
      <c r="AJ448" s="87"/>
      <c r="AK448" s="87"/>
      <c r="AL448" s="87"/>
      <c r="AM448" s="87"/>
    </row>
    <row r="449">
      <c r="A449" s="87"/>
      <c r="B449" s="166"/>
      <c r="C449" s="166"/>
      <c r="D449" s="166"/>
      <c r="E449" s="166"/>
      <c r="F449" s="714"/>
      <c r="G449" s="166"/>
      <c r="H449" s="166"/>
      <c r="I449" s="166"/>
      <c r="J449" s="166"/>
      <c r="K449" s="166"/>
      <c r="L449" s="166"/>
      <c r="M449" s="166"/>
      <c r="N449" s="715"/>
      <c r="O449" s="166"/>
      <c r="P449" s="166"/>
      <c r="Q449" s="716"/>
      <c r="R449" s="714"/>
      <c r="S449" s="717"/>
      <c r="T449" s="714"/>
      <c r="U449" s="166"/>
      <c r="V449" s="166"/>
      <c r="W449" s="166"/>
      <c r="X449" s="166"/>
      <c r="Y449" s="718"/>
      <c r="Z449" s="719"/>
      <c r="AA449" s="719"/>
      <c r="AB449" s="166"/>
      <c r="AC449" s="166"/>
      <c r="AD449" s="166"/>
      <c r="AE449" s="87"/>
      <c r="AF449" s="87"/>
      <c r="AG449" s="87"/>
      <c r="AH449" s="87"/>
      <c r="AI449" s="87"/>
      <c r="AJ449" s="87"/>
      <c r="AK449" s="87"/>
      <c r="AL449" s="87"/>
      <c r="AM449" s="87"/>
    </row>
    <row r="450">
      <c r="A450" s="87"/>
      <c r="B450" s="166"/>
      <c r="C450" s="166"/>
      <c r="D450" s="166"/>
      <c r="E450" s="166"/>
      <c r="F450" s="714"/>
      <c r="G450" s="166"/>
      <c r="H450" s="166"/>
      <c r="I450" s="166"/>
      <c r="J450" s="166"/>
      <c r="K450" s="166"/>
      <c r="L450" s="166"/>
      <c r="M450" s="166"/>
      <c r="N450" s="715"/>
      <c r="O450" s="166"/>
      <c r="P450" s="166"/>
      <c r="Q450" s="716"/>
      <c r="R450" s="714"/>
      <c r="S450" s="717"/>
      <c r="T450" s="714"/>
      <c r="U450" s="166"/>
      <c r="V450" s="166"/>
      <c r="W450" s="166"/>
      <c r="X450" s="166"/>
      <c r="Y450" s="718"/>
      <c r="Z450" s="719"/>
      <c r="AA450" s="719"/>
      <c r="AB450" s="166"/>
      <c r="AC450" s="166"/>
      <c r="AD450" s="166"/>
      <c r="AE450" s="87"/>
      <c r="AF450" s="87"/>
      <c r="AG450" s="87"/>
      <c r="AH450" s="87"/>
      <c r="AI450" s="87"/>
      <c r="AJ450" s="87"/>
      <c r="AK450" s="87"/>
      <c r="AL450" s="87"/>
      <c r="AM450" s="87"/>
    </row>
    <row r="451">
      <c r="A451" s="87"/>
      <c r="B451" s="166"/>
      <c r="C451" s="166"/>
      <c r="D451" s="166"/>
      <c r="E451" s="166"/>
      <c r="F451" s="714"/>
      <c r="G451" s="166"/>
      <c r="H451" s="166"/>
      <c r="I451" s="166"/>
      <c r="J451" s="166"/>
      <c r="K451" s="166"/>
      <c r="L451" s="166"/>
      <c r="M451" s="166"/>
      <c r="N451" s="715"/>
      <c r="O451" s="166"/>
      <c r="P451" s="166"/>
      <c r="Q451" s="716"/>
      <c r="R451" s="714"/>
      <c r="S451" s="717"/>
      <c r="T451" s="714"/>
      <c r="U451" s="166"/>
      <c r="V451" s="166"/>
      <c r="W451" s="166"/>
      <c r="X451" s="166"/>
      <c r="Y451" s="718"/>
      <c r="Z451" s="719"/>
      <c r="AA451" s="719"/>
      <c r="AB451" s="166"/>
      <c r="AC451" s="166"/>
      <c r="AD451" s="166"/>
      <c r="AE451" s="87"/>
      <c r="AF451" s="87"/>
      <c r="AG451" s="87"/>
      <c r="AH451" s="87"/>
      <c r="AI451" s="87"/>
      <c r="AJ451" s="87"/>
      <c r="AK451" s="87"/>
      <c r="AL451" s="87"/>
      <c r="AM451" s="87"/>
    </row>
    <row r="452">
      <c r="A452" s="87"/>
      <c r="B452" s="166"/>
      <c r="C452" s="166"/>
      <c r="D452" s="166"/>
      <c r="E452" s="166"/>
      <c r="F452" s="714"/>
      <c r="G452" s="166"/>
      <c r="H452" s="166"/>
      <c r="I452" s="166"/>
      <c r="J452" s="166"/>
      <c r="K452" s="166"/>
      <c r="L452" s="166"/>
      <c r="M452" s="166"/>
      <c r="N452" s="715"/>
      <c r="O452" s="166"/>
      <c r="P452" s="166"/>
      <c r="Q452" s="716"/>
      <c r="R452" s="714"/>
      <c r="S452" s="717"/>
      <c r="T452" s="714"/>
      <c r="U452" s="166"/>
      <c r="V452" s="166"/>
      <c r="W452" s="166"/>
      <c r="X452" s="166"/>
      <c r="Y452" s="718"/>
      <c r="Z452" s="719"/>
      <c r="AA452" s="719"/>
      <c r="AB452" s="166"/>
      <c r="AC452" s="166"/>
      <c r="AD452" s="166"/>
      <c r="AE452" s="87"/>
      <c r="AF452" s="87"/>
      <c r="AG452" s="87"/>
      <c r="AH452" s="87"/>
      <c r="AI452" s="87"/>
      <c r="AJ452" s="87"/>
      <c r="AK452" s="87"/>
      <c r="AL452" s="87"/>
      <c r="AM452" s="87"/>
    </row>
    <row r="453">
      <c r="A453" s="87"/>
      <c r="B453" s="166"/>
      <c r="C453" s="166"/>
      <c r="D453" s="166"/>
      <c r="E453" s="166"/>
      <c r="F453" s="714"/>
      <c r="G453" s="166"/>
      <c r="H453" s="166"/>
      <c r="I453" s="166"/>
      <c r="J453" s="166"/>
      <c r="K453" s="166"/>
      <c r="L453" s="166"/>
      <c r="M453" s="166"/>
      <c r="N453" s="715"/>
      <c r="O453" s="166"/>
      <c r="P453" s="166"/>
      <c r="Q453" s="716"/>
      <c r="R453" s="714"/>
      <c r="S453" s="717"/>
      <c r="T453" s="714"/>
      <c r="U453" s="166"/>
      <c r="V453" s="166"/>
      <c r="W453" s="166"/>
      <c r="X453" s="166"/>
      <c r="Y453" s="718"/>
      <c r="Z453" s="719"/>
      <c r="AA453" s="719"/>
      <c r="AB453" s="166"/>
      <c r="AC453" s="166"/>
      <c r="AD453" s="166"/>
      <c r="AE453" s="87"/>
      <c r="AF453" s="87"/>
      <c r="AG453" s="87"/>
      <c r="AH453" s="87"/>
      <c r="AI453" s="87"/>
      <c r="AJ453" s="87"/>
      <c r="AK453" s="87"/>
      <c r="AL453" s="87"/>
      <c r="AM453" s="87"/>
    </row>
    <row r="454">
      <c r="A454" s="87"/>
      <c r="B454" s="166"/>
      <c r="C454" s="166"/>
      <c r="D454" s="166"/>
      <c r="E454" s="166"/>
      <c r="F454" s="714"/>
      <c r="G454" s="166"/>
      <c r="H454" s="166"/>
      <c r="I454" s="166"/>
      <c r="J454" s="166"/>
      <c r="K454" s="166"/>
      <c r="L454" s="166"/>
      <c r="M454" s="166"/>
      <c r="N454" s="715"/>
      <c r="O454" s="166"/>
      <c r="P454" s="166"/>
      <c r="Q454" s="716"/>
      <c r="R454" s="714"/>
      <c r="S454" s="717"/>
      <c r="T454" s="714"/>
      <c r="U454" s="166"/>
      <c r="V454" s="166"/>
      <c r="W454" s="166"/>
      <c r="X454" s="166"/>
      <c r="Y454" s="718"/>
      <c r="Z454" s="719"/>
      <c r="AA454" s="719"/>
      <c r="AB454" s="166"/>
      <c r="AC454" s="166"/>
      <c r="AD454" s="166"/>
      <c r="AE454" s="87"/>
      <c r="AF454" s="87"/>
      <c r="AG454" s="87"/>
      <c r="AH454" s="87"/>
      <c r="AI454" s="87"/>
      <c r="AJ454" s="87"/>
      <c r="AK454" s="87"/>
      <c r="AL454" s="87"/>
      <c r="AM454" s="87"/>
    </row>
    <row r="455">
      <c r="A455" s="87"/>
      <c r="B455" s="166"/>
      <c r="C455" s="166"/>
      <c r="D455" s="166"/>
      <c r="E455" s="166"/>
      <c r="F455" s="714"/>
      <c r="G455" s="166"/>
      <c r="H455" s="166"/>
      <c r="I455" s="166"/>
      <c r="J455" s="166"/>
      <c r="K455" s="166"/>
      <c r="L455" s="166"/>
      <c r="M455" s="166"/>
      <c r="N455" s="715"/>
      <c r="O455" s="166"/>
      <c r="P455" s="166"/>
      <c r="Q455" s="716"/>
      <c r="R455" s="714"/>
      <c r="S455" s="717"/>
      <c r="T455" s="714"/>
      <c r="U455" s="166"/>
      <c r="V455" s="166"/>
      <c r="W455" s="166"/>
      <c r="X455" s="166"/>
      <c r="Y455" s="718"/>
      <c r="Z455" s="719"/>
      <c r="AA455" s="719"/>
      <c r="AB455" s="166"/>
      <c r="AC455" s="166"/>
      <c r="AD455" s="166"/>
      <c r="AE455" s="87"/>
      <c r="AF455" s="87"/>
      <c r="AG455" s="87"/>
      <c r="AH455" s="87"/>
      <c r="AI455" s="87"/>
      <c r="AJ455" s="87"/>
      <c r="AK455" s="87"/>
      <c r="AL455" s="87"/>
      <c r="AM455" s="87"/>
    </row>
    <row r="456">
      <c r="A456" s="87"/>
      <c r="B456" s="166"/>
      <c r="C456" s="166"/>
      <c r="D456" s="166"/>
      <c r="E456" s="166"/>
      <c r="F456" s="714"/>
      <c r="G456" s="166"/>
      <c r="H456" s="166"/>
      <c r="I456" s="166"/>
      <c r="J456" s="166"/>
      <c r="K456" s="166"/>
      <c r="L456" s="166"/>
      <c r="M456" s="166"/>
      <c r="N456" s="715"/>
      <c r="O456" s="166"/>
      <c r="P456" s="166"/>
      <c r="Q456" s="716"/>
      <c r="R456" s="714"/>
      <c r="S456" s="717"/>
      <c r="T456" s="714"/>
      <c r="U456" s="166"/>
      <c r="V456" s="166"/>
      <c r="W456" s="166"/>
      <c r="X456" s="166"/>
      <c r="Y456" s="718"/>
      <c r="Z456" s="719"/>
      <c r="AA456" s="719"/>
      <c r="AB456" s="166"/>
      <c r="AC456" s="166"/>
      <c r="AD456" s="166"/>
      <c r="AE456" s="87"/>
      <c r="AF456" s="87"/>
      <c r="AG456" s="87"/>
      <c r="AH456" s="87"/>
      <c r="AI456" s="87"/>
      <c r="AJ456" s="87"/>
      <c r="AK456" s="87"/>
      <c r="AL456" s="87"/>
      <c r="AM456" s="87"/>
    </row>
    <row r="457">
      <c r="A457" s="87"/>
      <c r="B457" s="166"/>
      <c r="C457" s="166"/>
      <c r="D457" s="166"/>
      <c r="E457" s="166"/>
      <c r="F457" s="714"/>
      <c r="G457" s="166"/>
      <c r="H457" s="166"/>
      <c r="I457" s="166"/>
      <c r="J457" s="166"/>
      <c r="K457" s="166"/>
      <c r="L457" s="166"/>
      <c r="M457" s="166"/>
      <c r="N457" s="715"/>
      <c r="O457" s="166"/>
      <c r="P457" s="166"/>
      <c r="Q457" s="716"/>
      <c r="R457" s="714"/>
      <c r="S457" s="717"/>
      <c r="T457" s="714"/>
      <c r="U457" s="166"/>
      <c r="V457" s="166"/>
      <c r="W457" s="166"/>
      <c r="X457" s="166"/>
      <c r="Y457" s="718"/>
      <c r="Z457" s="719"/>
      <c r="AA457" s="719"/>
      <c r="AB457" s="166"/>
      <c r="AC457" s="166"/>
      <c r="AD457" s="166"/>
      <c r="AE457" s="87"/>
      <c r="AF457" s="87"/>
      <c r="AG457" s="87"/>
      <c r="AH457" s="87"/>
      <c r="AI457" s="87"/>
      <c r="AJ457" s="87"/>
      <c r="AK457" s="87"/>
      <c r="AL457" s="87"/>
      <c r="AM457" s="87"/>
    </row>
    <row r="458">
      <c r="A458" s="87"/>
      <c r="B458" s="166"/>
      <c r="C458" s="166"/>
      <c r="D458" s="166"/>
      <c r="E458" s="166"/>
      <c r="F458" s="714"/>
      <c r="G458" s="166"/>
      <c r="H458" s="166"/>
      <c r="I458" s="166"/>
      <c r="J458" s="166"/>
      <c r="K458" s="166"/>
      <c r="L458" s="166"/>
      <c r="M458" s="166"/>
      <c r="N458" s="715"/>
      <c r="O458" s="166"/>
      <c r="P458" s="166"/>
      <c r="Q458" s="716"/>
      <c r="R458" s="714"/>
      <c r="S458" s="717"/>
      <c r="T458" s="714"/>
      <c r="U458" s="166"/>
      <c r="V458" s="166"/>
      <c r="W458" s="166"/>
      <c r="X458" s="166"/>
      <c r="Y458" s="718"/>
      <c r="Z458" s="719"/>
      <c r="AA458" s="719"/>
      <c r="AB458" s="166"/>
      <c r="AC458" s="166"/>
      <c r="AD458" s="166"/>
      <c r="AE458" s="87"/>
      <c r="AF458" s="87"/>
      <c r="AG458" s="87"/>
      <c r="AH458" s="87"/>
      <c r="AI458" s="87"/>
      <c r="AJ458" s="87"/>
      <c r="AK458" s="87"/>
      <c r="AL458" s="87"/>
      <c r="AM458" s="87"/>
    </row>
    <row r="459">
      <c r="A459" s="87"/>
      <c r="B459" s="166"/>
      <c r="C459" s="166"/>
      <c r="D459" s="166"/>
      <c r="E459" s="166"/>
      <c r="F459" s="714"/>
      <c r="G459" s="166"/>
      <c r="H459" s="166"/>
      <c r="I459" s="166"/>
      <c r="J459" s="166"/>
      <c r="K459" s="166"/>
      <c r="L459" s="166"/>
      <c r="M459" s="166"/>
      <c r="N459" s="715"/>
      <c r="O459" s="166"/>
      <c r="P459" s="166"/>
      <c r="Q459" s="716"/>
      <c r="R459" s="714"/>
      <c r="S459" s="717"/>
      <c r="T459" s="714"/>
      <c r="U459" s="166"/>
      <c r="V459" s="166"/>
      <c r="W459" s="166"/>
      <c r="X459" s="166"/>
      <c r="Y459" s="718"/>
      <c r="Z459" s="719"/>
      <c r="AA459" s="719"/>
      <c r="AB459" s="166"/>
      <c r="AC459" s="166"/>
      <c r="AD459" s="166"/>
      <c r="AE459" s="87"/>
      <c r="AF459" s="87"/>
      <c r="AG459" s="87"/>
      <c r="AH459" s="87"/>
      <c r="AI459" s="87"/>
      <c r="AJ459" s="87"/>
      <c r="AK459" s="87"/>
      <c r="AL459" s="87"/>
      <c r="AM459" s="87"/>
    </row>
    <row r="460">
      <c r="A460" s="87"/>
      <c r="B460" s="166"/>
      <c r="C460" s="166"/>
      <c r="D460" s="166"/>
      <c r="E460" s="166"/>
      <c r="F460" s="714"/>
      <c r="G460" s="166"/>
      <c r="H460" s="166"/>
      <c r="I460" s="166"/>
      <c r="J460" s="166"/>
      <c r="K460" s="166"/>
      <c r="L460" s="166"/>
      <c r="M460" s="166"/>
      <c r="N460" s="715"/>
      <c r="O460" s="166"/>
      <c r="P460" s="166"/>
      <c r="Q460" s="716"/>
      <c r="R460" s="714"/>
      <c r="S460" s="717"/>
      <c r="T460" s="714"/>
      <c r="U460" s="166"/>
      <c r="V460" s="166"/>
      <c r="W460" s="166"/>
      <c r="X460" s="166"/>
      <c r="Y460" s="718"/>
      <c r="Z460" s="719"/>
      <c r="AA460" s="719"/>
      <c r="AB460" s="166"/>
      <c r="AC460" s="166"/>
      <c r="AD460" s="166"/>
      <c r="AE460" s="87"/>
      <c r="AF460" s="87"/>
      <c r="AG460" s="87"/>
      <c r="AH460" s="87"/>
      <c r="AI460" s="87"/>
      <c r="AJ460" s="87"/>
      <c r="AK460" s="87"/>
      <c r="AL460" s="87"/>
      <c r="AM460" s="87"/>
    </row>
    <row r="461">
      <c r="A461" s="87"/>
      <c r="B461" s="166"/>
      <c r="C461" s="166"/>
      <c r="D461" s="166"/>
      <c r="E461" s="166"/>
      <c r="F461" s="714"/>
      <c r="G461" s="166"/>
      <c r="H461" s="166"/>
      <c r="I461" s="166"/>
      <c r="J461" s="166"/>
      <c r="K461" s="166"/>
      <c r="L461" s="166"/>
      <c r="M461" s="166"/>
      <c r="N461" s="715"/>
      <c r="O461" s="166"/>
      <c r="P461" s="166"/>
      <c r="Q461" s="716"/>
      <c r="R461" s="714"/>
      <c r="S461" s="717"/>
      <c r="T461" s="714"/>
      <c r="U461" s="166"/>
      <c r="V461" s="166"/>
      <c r="W461" s="166"/>
      <c r="X461" s="166"/>
      <c r="Y461" s="718"/>
      <c r="Z461" s="719"/>
      <c r="AA461" s="719"/>
      <c r="AB461" s="166"/>
      <c r="AC461" s="166"/>
      <c r="AD461" s="166"/>
      <c r="AE461" s="87"/>
      <c r="AF461" s="87"/>
      <c r="AG461" s="87"/>
      <c r="AH461" s="87"/>
      <c r="AI461" s="87"/>
      <c r="AJ461" s="87"/>
      <c r="AK461" s="87"/>
      <c r="AL461" s="87"/>
      <c r="AM461" s="87"/>
    </row>
    <row r="462">
      <c r="A462" s="87"/>
      <c r="B462" s="166"/>
      <c r="C462" s="166"/>
      <c r="D462" s="166"/>
      <c r="E462" s="166"/>
      <c r="F462" s="714"/>
      <c r="G462" s="166"/>
      <c r="H462" s="166"/>
      <c r="I462" s="166"/>
      <c r="J462" s="166"/>
      <c r="K462" s="166"/>
      <c r="L462" s="166"/>
      <c r="M462" s="166"/>
      <c r="N462" s="715"/>
      <c r="O462" s="166"/>
      <c r="P462" s="166"/>
      <c r="Q462" s="716"/>
      <c r="R462" s="714"/>
      <c r="S462" s="717"/>
      <c r="T462" s="714"/>
      <c r="U462" s="166"/>
      <c r="V462" s="166"/>
      <c r="W462" s="166"/>
      <c r="X462" s="166"/>
      <c r="Y462" s="718"/>
      <c r="Z462" s="719"/>
      <c r="AA462" s="719"/>
      <c r="AB462" s="166"/>
      <c r="AC462" s="166"/>
      <c r="AD462" s="166"/>
      <c r="AE462" s="87"/>
      <c r="AF462" s="87"/>
      <c r="AG462" s="87"/>
      <c r="AH462" s="87"/>
      <c r="AI462" s="87"/>
      <c r="AJ462" s="87"/>
      <c r="AK462" s="87"/>
      <c r="AL462" s="87"/>
      <c r="AM462" s="87"/>
    </row>
    <row r="463">
      <c r="A463" s="87"/>
      <c r="B463" s="166"/>
      <c r="C463" s="166"/>
      <c r="D463" s="166"/>
      <c r="E463" s="166"/>
      <c r="F463" s="714"/>
      <c r="G463" s="166"/>
      <c r="H463" s="166"/>
      <c r="I463" s="166"/>
      <c r="J463" s="166"/>
      <c r="K463" s="166"/>
      <c r="L463" s="166"/>
      <c r="M463" s="166"/>
      <c r="N463" s="715"/>
      <c r="O463" s="166"/>
      <c r="P463" s="166"/>
      <c r="Q463" s="716"/>
      <c r="R463" s="714"/>
      <c r="S463" s="717"/>
      <c r="T463" s="714"/>
      <c r="U463" s="166"/>
      <c r="V463" s="166"/>
      <c r="W463" s="166"/>
      <c r="X463" s="166"/>
      <c r="Y463" s="718"/>
      <c r="Z463" s="719"/>
      <c r="AA463" s="719"/>
      <c r="AB463" s="166"/>
      <c r="AC463" s="166"/>
      <c r="AD463" s="166"/>
      <c r="AE463" s="87"/>
      <c r="AF463" s="87"/>
      <c r="AG463" s="87"/>
      <c r="AH463" s="87"/>
      <c r="AI463" s="87"/>
      <c r="AJ463" s="87"/>
      <c r="AK463" s="87"/>
      <c r="AL463" s="87"/>
      <c r="AM463" s="87"/>
    </row>
    <row r="464">
      <c r="A464" s="87"/>
      <c r="B464" s="166"/>
      <c r="C464" s="166"/>
      <c r="D464" s="166"/>
      <c r="E464" s="166"/>
      <c r="F464" s="714"/>
      <c r="G464" s="166"/>
      <c r="H464" s="166"/>
      <c r="I464" s="166"/>
      <c r="J464" s="166"/>
      <c r="K464" s="166"/>
      <c r="L464" s="166"/>
      <c r="M464" s="166"/>
      <c r="N464" s="715"/>
      <c r="O464" s="166"/>
      <c r="P464" s="166"/>
      <c r="Q464" s="716"/>
      <c r="R464" s="714"/>
      <c r="S464" s="717"/>
      <c r="T464" s="714"/>
      <c r="U464" s="166"/>
      <c r="V464" s="166"/>
      <c r="W464" s="166"/>
      <c r="X464" s="166"/>
      <c r="Y464" s="718"/>
      <c r="Z464" s="719"/>
      <c r="AA464" s="719"/>
      <c r="AB464" s="166"/>
      <c r="AC464" s="166"/>
      <c r="AD464" s="166"/>
      <c r="AE464" s="87"/>
      <c r="AF464" s="87"/>
      <c r="AG464" s="87"/>
      <c r="AH464" s="87"/>
      <c r="AI464" s="87"/>
      <c r="AJ464" s="87"/>
      <c r="AK464" s="87"/>
      <c r="AL464" s="87"/>
      <c r="AM464" s="87"/>
    </row>
    <row r="465">
      <c r="A465" s="87"/>
      <c r="B465" s="166"/>
      <c r="C465" s="166"/>
      <c r="D465" s="166"/>
      <c r="E465" s="166"/>
      <c r="F465" s="714"/>
      <c r="G465" s="166"/>
      <c r="H465" s="166"/>
      <c r="I465" s="166"/>
      <c r="J465" s="166"/>
      <c r="K465" s="166"/>
      <c r="L465" s="166"/>
      <c r="M465" s="166"/>
      <c r="N465" s="715"/>
      <c r="O465" s="166"/>
      <c r="P465" s="166"/>
      <c r="Q465" s="716"/>
      <c r="R465" s="714"/>
      <c r="S465" s="717"/>
      <c r="T465" s="714"/>
      <c r="U465" s="166"/>
      <c r="V465" s="166"/>
      <c r="W465" s="166"/>
      <c r="X465" s="166"/>
      <c r="Y465" s="718"/>
      <c r="Z465" s="719"/>
      <c r="AA465" s="719"/>
      <c r="AB465" s="166"/>
      <c r="AC465" s="166"/>
      <c r="AD465" s="166"/>
      <c r="AE465" s="87"/>
      <c r="AF465" s="87"/>
      <c r="AG465" s="87"/>
      <c r="AH465" s="87"/>
      <c r="AI465" s="87"/>
      <c r="AJ465" s="87"/>
      <c r="AK465" s="87"/>
      <c r="AL465" s="87"/>
      <c r="AM465" s="87"/>
    </row>
    <row r="466">
      <c r="A466" s="87"/>
      <c r="B466" s="166"/>
      <c r="C466" s="166"/>
      <c r="D466" s="166"/>
      <c r="E466" s="166"/>
      <c r="F466" s="714"/>
      <c r="G466" s="166"/>
      <c r="H466" s="166"/>
      <c r="I466" s="166"/>
      <c r="J466" s="166"/>
      <c r="K466" s="166"/>
      <c r="L466" s="166"/>
      <c r="M466" s="166"/>
      <c r="N466" s="715"/>
      <c r="O466" s="166"/>
      <c r="P466" s="166"/>
      <c r="Q466" s="716"/>
      <c r="R466" s="714"/>
      <c r="S466" s="717"/>
      <c r="T466" s="714"/>
      <c r="U466" s="166"/>
      <c r="V466" s="166"/>
      <c r="W466" s="166"/>
      <c r="X466" s="166"/>
      <c r="Y466" s="718"/>
      <c r="Z466" s="719"/>
      <c r="AA466" s="719"/>
      <c r="AB466" s="166"/>
      <c r="AC466" s="166"/>
      <c r="AD466" s="166"/>
      <c r="AE466" s="87"/>
      <c r="AF466" s="87"/>
      <c r="AG466" s="87"/>
      <c r="AH466" s="87"/>
      <c r="AI466" s="87"/>
      <c r="AJ466" s="87"/>
      <c r="AK466" s="87"/>
      <c r="AL466" s="87"/>
      <c r="AM466" s="87"/>
    </row>
    <row r="467">
      <c r="A467" s="87"/>
      <c r="B467" s="166"/>
      <c r="C467" s="166"/>
      <c r="D467" s="166"/>
      <c r="E467" s="166"/>
      <c r="F467" s="714"/>
      <c r="G467" s="166"/>
      <c r="H467" s="166"/>
      <c r="I467" s="166"/>
      <c r="J467" s="166"/>
      <c r="K467" s="166"/>
      <c r="L467" s="166"/>
      <c r="M467" s="166"/>
      <c r="N467" s="715"/>
      <c r="O467" s="166"/>
      <c r="P467" s="166"/>
      <c r="Q467" s="716"/>
      <c r="R467" s="714"/>
      <c r="S467" s="717"/>
      <c r="T467" s="714"/>
      <c r="U467" s="166"/>
      <c r="V467" s="166"/>
      <c r="W467" s="166"/>
      <c r="X467" s="166"/>
      <c r="Y467" s="718"/>
      <c r="Z467" s="719"/>
      <c r="AA467" s="719"/>
      <c r="AB467" s="166"/>
      <c r="AC467" s="166"/>
      <c r="AD467" s="166"/>
      <c r="AE467" s="87"/>
      <c r="AF467" s="87"/>
      <c r="AG467" s="87"/>
      <c r="AH467" s="87"/>
      <c r="AI467" s="87"/>
      <c r="AJ467" s="87"/>
      <c r="AK467" s="87"/>
      <c r="AL467" s="87"/>
      <c r="AM467" s="87"/>
    </row>
    <row r="468">
      <c r="A468" s="87"/>
      <c r="B468" s="166"/>
      <c r="C468" s="166"/>
      <c r="D468" s="166"/>
      <c r="E468" s="166"/>
      <c r="F468" s="714"/>
      <c r="G468" s="166"/>
      <c r="H468" s="166"/>
      <c r="I468" s="166"/>
      <c r="J468" s="166"/>
      <c r="K468" s="166"/>
      <c r="L468" s="166"/>
      <c r="M468" s="166"/>
      <c r="N468" s="715"/>
      <c r="O468" s="166"/>
      <c r="P468" s="166"/>
      <c r="Q468" s="716"/>
      <c r="R468" s="714"/>
      <c r="S468" s="717"/>
      <c r="T468" s="714"/>
      <c r="U468" s="166"/>
      <c r="V468" s="166"/>
      <c r="W468" s="166"/>
      <c r="X468" s="166"/>
      <c r="Y468" s="718"/>
      <c r="Z468" s="719"/>
      <c r="AA468" s="719"/>
      <c r="AB468" s="166"/>
      <c r="AC468" s="166"/>
      <c r="AD468" s="166"/>
      <c r="AE468" s="87"/>
      <c r="AF468" s="87"/>
      <c r="AG468" s="87"/>
      <c r="AH468" s="87"/>
      <c r="AI468" s="87"/>
      <c r="AJ468" s="87"/>
      <c r="AK468" s="87"/>
      <c r="AL468" s="87"/>
      <c r="AM468" s="87"/>
    </row>
    <row r="469">
      <c r="A469" s="87"/>
      <c r="B469" s="166"/>
      <c r="C469" s="166"/>
      <c r="D469" s="166"/>
      <c r="E469" s="166"/>
      <c r="F469" s="714"/>
      <c r="G469" s="166"/>
      <c r="H469" s="166"/>
      <c r="I469" s="166"/>
      <c r="J469" s="166"/>
      <c r="K469" s="166"/>
      <c r="L469" s="166"/>
      <c r="M469" s="166"/>
      <c r="N469" s="715"/>
      <c r="O469" s="166"/>
      <c r="P469" s="166"/>
      <c r="Q469" s="716"/>
      <c r="R469" s="714"/>
      <c r="S469" s="717"/>
      <c r="T469" s="714"/>
      <c r="U469" s="166"/>
      <c r="V469" s="166"/>
      <c r="W469" s="166"/>
      <c r="X469" s="166"/>
      <c r="Y469" s="718"/>
      <c r="Z469" s="719"/>
      <c r="AA469" s="719"/>
      <c r="AB469" s="166"/>
      <c r="AC469" s="166"/>
      <c r="AD469" s="166"/>
      <c r="AE469" s="87"/>
      <c r="AF469" s="87"/>
      <c r="AG469" s="87"/>
      <c r="AH469" s="87"/>
      <c r="AI469" s="87"/>
      <c r="AJ469" s="87"/>
      <c r="AK469" s="87"/>
      <c r="AL469" s="87"/>
      <c r="AM469" s="87"/>
    </row>
    <row r="470">
      <c r="A470" s="87"/>
      <c r="B470" s="166"/>
      <c r="C470" s="166"/>
      <c r="D470" s="166"/>
      <c r="E470" s="166"/>
      <c r="F470" s="714"/>
      <c r="G470" s="166"/>
      <c r="H470" s="166"/>
      <c r="I470" s="166"/>
      <c r="J470" s="166"/>
      <c r="K470" s="166"/>
      <c r="L470" s="166"/>
      <c r="M470" s="166"/>
      <c r="N470" s="715"/>
      <c r="O470" s="166"/>
      <c r="P470" s="166"/>
      <c r="Q470" s="716"/>
      <c r="R470" s="714"/>
      <c r="S470" s="717"/>
      <c r="T470" s="714"/>
      <c r="U470" s="166"/>
      <c r="V470" s="166"/>
      <c r="W470" s="166"/>
      <c r="X470" s="166"/>
      <c r="Y470" s="718"/>
      <c r="Z470" s="719"/>
      <c r="AA470" s="719"/>
      <c r="AB470" s="166"/>
      <c r="AC470" s="166"/>
      <c r="AD470" s="166"/>
      <c r="AE470" s="87"/>
      <c r="AF470" s="87"/>
      <c r="AG470" s="87"/>
      <c r="AH470" s="87"/>
      <c r="AI470" s="87"/>
      <c r="AJ470" s="87"/>
      <c r="AK470" s="87"/>
      <c r="AL470" s="87"/>
      <c r="AM470" s="87"/>
    </row>
    <row r="471">
      <c r="A471" s="87"/>
      <c r="B471" s="166"/>
      <c r="C471" s="166"/>
      <c r="D471" s="166"/>
      <c r="E471" s="166"/>
      <c r="F471" s="714"/>
      <c r="G471" s="166"/>
      <c r="H471" s="166"/>
      <c r="I471" s="166"/>
      <c r="J471" s="166"/>
      <c r="K471" s="166"/>
      <c r="L471" s="166"/>
      <c r="M471" s="166"/>
      <c r="N471" s="715"/>
      <c r="O471" s="166"/>
      <c r="P471" s="166"/>
      <c r="Q471" s="716"/>
      <c r="R471" s="714"/>
      <c r="S471" s="717"/>
      <c r="T471" s="714"/>
      <c r="U471" s="166"/>
      <c r="V471" s="166"/>
      <c r="W471" s="166"/>
      <c r="X471" s="166"/>
      <c r="Y471" s="718"/>
      <c r="Z471" s="719"/>
      <c r="AA471" s="719"/>
      <c r="AB471" s="166"/>
      <c r="AC471" s="166"/>
      <c r="AD471" s="166"/>
      <c r="AE471" s="87"/>
      <c r="AF471" s="87"/>
      <c r="AG471" s="87"/>
      <c r="AH471" s="87"/>
      <c r="AI471" s="87"/>
      <c r="AJ471" s="87"/>
      <c r="AK471" s="87"/>
      <c r="AL471" s="87"/>
      <c r="AM471" s="87"/>
    </row>
    <row r="472">
      <c r="A472" s="87"/>
      <c r="B472" s="166"/>
      <c r="C472" s="166"/>
      <c r="D472" s="166"/>
      <c r="E472" s="166"/>
      <c r="F472" s="714"/>
      <c r="G472" s="166"/>
      <c r="H472" s="166"/>
      <c r="I472" s="166"/>
      <c r="J472" s="166"/>
      <c r="K472" s="166"/>
      <c r="L472" s="166"/>
      <c r="M472" s="166"/>
      <c r="N472" s="715"/>
      <c r="O472" s="166"/>
      <c r="P472" s="166"/>
      <c r="Q472" s="716"/>
      <c r="R472" s="714"/>
      <c r="S472" s="717"/>
      <c r="T472" s="714"/>
      <c r="U472" s="166"/>
      <c r="V472" s="166"/>
      <c r="W472" s="166"/>
      <c r="X472" s="166"/>
      <c r="Y472" s="718"/>
      <c r="Z472" s="719"/>
      <c r="AA472" s="719"/>
      <c r="AB472" s="166"/>
      <c r="AC472" s="166"/>
      <c r="AD472" s="166"/>
      <c r="AE472" s="87"/>
      <c r="AF472" s="87"/>
      <c r="AG472" s="87"/>
      <c r="AH472" s="87"/>
      <c r="AI472" s="87"/>
      <c r="AJ472" s="87"/>
      <c r="AK472" s="87"/>
      <c r="AL472" s="87"/>
      <c r="AM472" s="87"/>
    </row>
    <row r="473">
      <c r="A473" s="87"/>
      <c r="B473" s="166"/>
      <c r="C473" s="166"/>
      <c r="D473" s="166"/>
      <c r="E473" s="166"/>
      <c r="F473" s="714"/>
      <c r="G473" s="166"/>
      <c r="H473" s="166"/>
      <c r="I473" s="166"/>
      <c r="J473" s="166"/>
      <c r="K473" s="166"/>
      <c r="L473" s="166"/>
      <c r="M473" s="166"/>
      <c r="N473" s="715"/>
      <c r="O473" s="166"/>
      <c r="P473" s="166"/>
      <c r="Q473" s="716"/>
      <c r="R473" s="714"/>
      <c r="S473" s="717"/>
      <c r="T473" s="714"/>
      <c r="U473" s="166"/>
      <c r="V473" s="166"/>
      <c r="W473" s="166"/>
      <c r="X473" s="166"/>
      <c r="Y473" s="718"/>
      <c r="Z473" s="719"/>
      <c r="AA473" s="719"/>
      <c r="AB473" s="166"/>
      <c r="AC473" s="166"/>
      <c r="AD473" s="166"/>
      <c r="AE473" s="87"/>
      <c r="AF473" s="87"/>
      <c r="AG473" s="87"/>
      <c r="AH473" s="87"/>
      <c r="AI473" s="87"/>
      <c r="AJ473" s="87"/>
      <c r="AK473" s="87"/>
      <c r="AL473" s="87"/>
      <c r="AM473" s="87"/>
    </row>
    <row r="474">
      <c r="A474" s="87"/>
      <c r="B474" s="166"/>
      <c r="C474" s="166"/>
      <c r="D474" s="166"/>
      <c r="E474" s="166"/>
      <c r="F474" s="714"/>
      <c r="G474" s="166"/>
      <c r="H474" s="166"/>
      <c r="I474" s="166"/>
      <c r="J474" s="166"/>
      <c r="K474" s="166"/>
      <c r="L474" s="166"/>
      <c r="M474" s="166"/>
      <c r="N474" s="715"/>
      <c r="O474" s="166"/>
      <c r="P474" s="166"/>
      <c r="Q474" s="716"/>
      <c r="R474" s="714"/>
      <c r="S474" s="717"/>
      <c r="T474" s="714"/>
      <c r="U474" s="166"/>
      <c r="V474" s="166"/>
      <c r="W474" s="166"/>
      <c r="X474" s="166"/>
      <c r="Y474" s="718"/>
      <c r="Z474" s="719"/>
      <c r="AA474" s="719"/>
      <c r="AB474" s="166"/>
      <c r="AC474" s="166"/>
      <c r="AD474" s="166"/>
      <c r="AE474" s="87"/>
      <c r="AF474" s="87"/>
      <c r="AG474" s="87"/>
      <c r="AH474" s="87"/>
      <c r="AI474" s="87"/>
      <c r="AJ474" s="87"/>
      <c r="AK474" s="87"/>
      <c r="AL474" s="87"/>
      <c r="AM474" s="87"/>
    </row>
    <row r="475">
      <c r="A475" s="87"/>
      <c r="B475" s="166"/>
      <c r="C475" s="166"/>
      <c r="D475" s="166"/>
      <c r="E475" s="166"/>
      <c r="F475" s="714"/>
      <c r="G475" s="166"/>
      <c r="H475" s="166"/>
      <c r="I475" s="166"/>
      <c r="J475" s="166"/>
      <c r="K475" s="166"/>
      <c r="L475" s="166"/>
      <c r="M475" s="166"/>
      <c r="N475" s="715"/>
      <c r="O475" s="166"/>
      <c r="P475" s="166"/>
      <c r="Q475" s="716"/>
      <c r="R475" s="714"/>
      <c r="S475" s="717"/>
      <c r="T475" s="714"/>
      <c r="U475" s="166"/>
      <c r="V475" s="166"/>
      <c r="W475" s="166"/>
      <c r="X475" s="166"/>
      <c r="Y475" s="718"/>
      <c r="Z475" s="719"/>
      <c r="AA475" s="719"/>
      <c r="AB475" s="166"/>
      <c r="AC475" s="166"/>
      <c r="AD475" s="166"/>
      <c r="AE475" s="87"/>
      <c r="AF475" s="87"/>
      <c r="AG475" s="87"/>
      <c r="AH475" s="87"/>
      <c r="AI475" s="87"/>
      <c r="AJ475" s="87"/>
      <c r="AK475" s="87"/>
      <c r="AL475" s="87"/>
      <c r="AM475" s="87"/>
    </row>
    <row r="476">
      <c r="A476" s="87"/>
      <c r="B476" s="166"/>
      <c r="C476" s="166"/>
      <c r="D476" s="166"/>
      <c r="E476" s="166"/>
      <c r="F476" s="714"/>
      <c r="G476" s="166"/>
      <c r="H476" s="166"/>
      <c r="I476" s="166"/>
      <c r="J476" s="166"/>
      <c r="K476" s="166"/>
      <c r="L476" s="166"/>
      <c r="M476" s="166"/>
      <c r="N476" s="715"/>
      <c r="O476" s="166"/>
      <c r="P476" s="166"/>
      <c r="Q476" s="716"/>
      <c r="R476" s="714"/>
      <c r="S476" s="717"/>
      <c r="T476" s="714"/>
      <c r="U476" s="166"/>
      <c r="V476" s="166"/>
      <c r="W476" s="166"/>
      <c r="X476" s="166"/>
      <c r="Y476" s="718"/>
      <c r="Z476" s="719"/>
      <c r="AA476" s="719"/>
      <c r="AB476" s="166"/>
      <c r="AC476" s="166"/>
      <c r="AD476" s="166"/>
      <c r="AE476" s="87"/>
      <c r="AF476" s="87"/>
      <c r="AG476" s="87"/>
      <c r="AH476" s="87"/>
      <c r="AI476" s="87"/>
      <c r="AJ476" s="87"/>
      <c r="AK476" s="87"/>
      <c r="AL476" s="87"/>
      <c r="AM476" s="87"/>
    </row>
    <row r="477">
      <c r="A477" s="87"/>
      <c r="B477" s="166"/>
      <c r="C477" s="166"/>
      <c r="D477" s="166"/>
      <c r="E477" s="166"/>
      <c r="F477" s="714"/>
      <c r="G477" s="166"/>
      <c r="H477" s="166"/>
      <c r="I477" s="166"/>
      <c r="J477" s="166"/>
      <c r="K477" s="166"/>
      <c r="L477" s="166"/>
      <c r="M477" s="166"/>
      <c r="N477" s="715"/>
      <c r="O477" s="166"/>
      <c r="P477" s="166"/>
      <c r="Q477" s="716"/>
      <c r="R477" s="714"/>
      <c r="S477" s="717"/>
      <c r="T477" s="714"/>
      <c r="U477" s="166"/>
      <c r="V477" s="166"/>
      <c r="W477" s="166"/>
      <c r="X477" s="166"/>
      <c r="Y477" s="718"/>
      <c r="Z477" s="719"/>
      <c r="AA477" s="719"/>
      <c r="AB477" s="166"/>
      <c r="AC477" s="166"/>
      <c r="AD477" s="166"/>
      <c r="AE477" s="87"/>
      <c r="AF477" s="87"/>
      <c r="AG477" s="87"/>
      <c r="AH477" s="87"/>
      <c r="AI477" s="87"/>
      <c r="AJ477" s="87"/>
      <c r="AK477" s="87"/>
      <c r="AL477" s="87"/>
      <c r="AM477" s="87"/>
    </row>
    <row r="478">
      <c r="A478" s="87"/>
      <c r="B478" s="166"/>
      <c r="C478" s="166"/>
      <c r="D478" s="166"/>
      <c r="E478" s="166"/>
      <c r="F478" s="714"/>
      <c r="G478" s="166"/>
      <c r="H478" s="166"/>
      <c r="I478" s="166"/>
      <c r="J478" s="166"/>
      <c r="K478" s="166"/>
      <c r="L478" s="166"/>
      <c r="M478" s="166"/>
      <c r="N478" s="715"/>
      <c r="O478" s="166"/>
      <c r="P478" s="166"/>
      <c r="Q478" s="716"/>
      <c r="R478" s="714"/>
      <c r="S478" s="717"/>
      <c r="T478" s="714"/>
      <c r="U478" s="166"/>
      <c r="V478" s="166"/>
      <c r="W478" s="166"/>
      <c r="X478" s="166"/>
      <c r="Y478" s="718"/>
      <c r="Z478" s="719"/>
      <c r="AA478" s="719"/>
      <c r="AB478" s="166"/>
      <c r="AC478" s="166"/>
      <c r="AD478" s="166"/>
      <c r="AE478" s="87"/>
      <c r="AF478" s="87"/>
      <c r="AG478" s="87"/>
      <c r="AH478" s="87"/>
      <c r="AI478" s="87"/>
      <c r="AJ478" s="87"/>
      <c r="AK478" s="87"/>
      <c r="AL478" s="87"/>
      <c r="AM478" s="87"/>
    </row>
    <row r="479">
      <c r="A479" s="87"/>
      <c r="B479" s="166"/>
      <c r="C479" s="166"/>
      <c r="D479" s="166"/>
      <c r="E479" s="166"/>
      <c r="F479" s="714"/>
      <c r="G479" s="166"/>
      <c r="H479" s="166"/>
      <c r="I479" s="166"/>
      <c r="J479" s="166"/>
      <c r="K479" s="166"/>
      <c r="L479" s="166"/>
      <c r="M479" s="166"/>
      <c r="N479" s="715"/>
      <c r="O479" s="166"/>
      <c r="P479" s="166"/>
      <c r="Q479" s="716"/>
      <c r="R479" s="714"/>
      <c r="S479" s="717"/>
      <c r="T479" s="714"/>
      <c r="U479" s="166"/>
      <c r="V479" s="166"/>
      <c r="W479" s="166"/>
      <c r="X479" s="166"/>
      <c r="Y479" s="718"/>
      <c r="Z479" s="719"/>
      <c r="AA479" s="719"/>
      <c r="AB479" s="166"/>
      <c r="AC479" s="166"/>
      <c r="AD479" s="166"/>
      <c r="AE479" s="87"/>
      <c r="AF479" s="87"/>
      <c r="AG479" s="87"/>
      <c r="AH479" s="87"/>
      <c r="AI479" s="87"/>
      <c r="AJ479" s="87"/>
      <c r="AK479" s="87"/>
      <c r="AL479" s="87"/>
      <c r="AM479" s="87"/>
    </row>
    <row r="480">
      <c r="A480" s="87"/>
      <c r="B480" s="166"/>
      <c r="C480" s="166"/>
      <c r="D480" s="166"/>
      <c r="E480" s="166"/>
      <c r="F480" s="714"/>
      <c r="G480" s="166"/>
      <c r="H480" s="166"/>
      <c r="I480" s="166"/>
      <c r="J480" s="166"/>
      <c r="K480" s="166"/>
      <c r="L480" s="166"/>
      <c r="M480" s="166"/>
      <c r="N480" s="715"/>
      <c r="O480" s="166"/>
      <c r="P480" s="166"/>
      <c r="Q480" s="716"/>
      <c r="R480" s="714"/>
      <c r="S480" s="717"/>
      <c r="T480" s="714"/>
      <c r="U480" s="166"/>
      <c r="V480" s="166"/>
      <c r="W480" s="166"/>
      <c r="X480" s="166"/>
      <c r="Y480" s="718"/>
      <c r="Z480" s="719"/>
      <c r="AA480" s="719"/>
      <c r="AB480" s="166"/>
      <c r="AC480" s="166"/>
      <c r="AD480" s="166"/>
      <c r="AE480" s="87"/>
      <c r="AF480" s="87"/>
      <c r="AG480" s="87"/>
      <c r="AH480" s="87"/>
      <c r="AI480" s="87"/>
      <c r="AJ480" s="87"/>
      <c r="AK480" s="87"/>
      <c r="AL480" s="87"/>
      <c r="AM480" s="87"/>
    </row>
    <row r="481">
      <c r="A481" s="87"/>
      <c r="B481" s="166"/>
      <c r="C481" s="166"/>
      <c r="D481" s="166"/>
      <c r="E481" s="166"/>
      <c r="F481" s="714"/>
      <c r="G481" s="166"/>
      <c r="H481" s="166"/>
      <c r="I481" s="166"/>
      <c r="J481" s="166"/>
      <c r="K481" s="166"/>
      <c r="L481" s="166"/>
      <c r="M481" s="166"/>
      <c r="N481" s="715"/>
      <c r="O481" s="166"/>
      <c r="P481" s="166"/>
      <c r="Q481" s="716"/>
      <c r="R481" s="714"/>
      <c r="S481" s="717"/>
      <c r="T481" s="714"/>
      <c r="U481" s="166"/>
      <c r="V481" s="166"/>
      <c r="W481" s="166"/>
      <c r="X481" s="166"/>
      <c r="Y481" s="718"/>
      <c r="Z481" s="719"/>
      <c r="AA481" s="719"/>
      <c r="AB481" s="166"/>
      <c r="AC481" s="166"/>
      <c r="AD481" s="166"/>
      <c r="AE481" s="87"/>
      <c r="AF481" s="87"/>
      <c r="AG481" s="87"/>
      <c r="AH481" s="87"/>
      <c r="AI481" s="87"/>
      <c r="AJ481" s="87"/>
      <c r="AK481" s="87"/>
      <c r="AL481" s="87"/>
      <c r="AM481" s="87"/>
    </row>
    <row r="482">
      <c r="A482" s="87"/>
      <c r="B482" s="166"/>
      <c r="C482" s="166"/>
      <c r="D482" s="166"/>
      <c r="E482" s="166"/>
      <c r="F482" s="714"/>
      <c r="G482" s="166"/>
      <c r="H482" s="166"/>
      <c r="I482" s="166"/>
      <c r="J482" s="166"/>
      <c r="K482" s="166"/>
      <c r="L482" s="166"/>
      <c r="M482" s="166"/>
      <c r="N482" s="715"/>
      <c r="O482" s="166"/>
      <c r="P482" s="166"/>
      <c r="Q482" s="716"/>
      <c r="R482" s="714"/>
      <c r="S482" s="717"/>
      <c r="T482" s="714"/>
      <c r="U482" s="166"/>
      <c r="V482" s="166"/>
      <c r="W482" s="166"/>
      <c r="X482" s="166"/>
      <c r="Y482" s="718"/>
      <c r="Z482" s="719"/>
      <c r="AA482" s="719"/>
      <c r="AB482" s="166"/>
      <c r="AC482" s="166"/>
      <c r="AD482" s="166"/>
      <c r="AE482" s="87"/>
      <c r="AF482" s="87"/>
      <c r="AG482" s="87"/>
      <c r="AH482" s="87"/>
      <c r="AI482" s="87"/>
      <c r="AJ482" s="87"/>
      <c r="AK482" s="87"/>
      <c r="AL482" s="87"/>
      <c r="AM482" s="87"/>
    </row>
    <row r="483">
      <c r="A483" s="87"/>
      <c r="B483" s="166"/>
      <c r="C483" s="166"/>
      <c r="D483" s="166"/>
      <c r="E483" s="166"/>
      <c r="F483" s="714"/>
      <c r="G483" s="166"/>
      <c r="H483" s="166"/>
      <c r="I483" s="166"/>
      <c r="J483" s="166"/>
      <c r="K483" s="166"/>
      <c r="L483" s="166"/>
      <c r="M483" s="166"/>
      <c r="N483" s="715"/>
      <c r="O483" s="166"/>
      <c r="P483" s="166"/>
      <c r="Q483" s="716"/>
      <c r="R483" s="714"/>
      <c r="S483" s="717"/>
      <c r="T483" s="714"/>
      <c r="U483" s="166"/>
      <c r="V483" s="166"/>
      <c r="W483" s="166"/>
      <c r="X483" s="166"/>
      <c r="Y483" s="718"/>
      <c r="Z483" s="719"/>
      <c r="AA483" s="719"/>
      <c r="AB483" s="166"/>
      <c r="AC483" s="166"/>
      <c r="AD483" s="166"/>
      <c r="AE483" s="87"/>
      <c r="AF483" s="87"/>
      <c r="AG483" s="87"/>
      <c r="AH483" s="87"/>
      <c r="AI483" s="87"/>
      <c r="AJ483" s="87"/>
      <c r="AK483" s="87"/>
      <c r="AL483" s="87"/>
      <c r="AM483" s="87"/>
    </row>
    <row r="484">
      <c r="A484" s="87"/>
      <c r="B484" s="166"/>
      <c r="C484" s="166"/>
      <c r="D484" s="166"/>
      <c r="E484" s="166"/>
      <c r="F484" s="714"/>
      <c r="G484" s="166"/>
      <c r="H484" s="166"/>
      <c r="I484" s="166"/>
      <c r="J484" s="166"/>
      <c r="K484" s="166"/>
      <c r="L484" s="166"/>
      <c r="M484" s="166"/>
      <c r="N484" s="715"/>
      <c r="O484" s="166"/>
      <c r="P484" s="166"/>
      <c r="Q484" s="716"/>
      <c r="R484" s="714"/>
      <c r="S484" s="717"/>
      <c r="T484" s="714"/>
      <c r="U484" s="166"/>
      <c r="V484" s="166"/>
      <c r="W484" s="166"/>
      <c r="X484" s="166"/>
      <c r="Y484" s="718"/>
      <c r="Z484" s="719"/>
      <c r="AA484" s="719"/>
      <c r="AB484" s="166"/>
      <c r="AC484" s="166"/>
      <c r="AD484" s="166"/>
      <c r="AE484" s="87"/>
      <c r="AF484" s="87"/>
      <c r="AG484" s="87"/>
      <c r="AH484" s="87"/>
      <c r="AI484" s="87"/>
      <c r="AJ484" s="87"/>
      <c r="AK484" s="87"/>
      <c r="AL484" s="87"/>
      <c r="AM484" s="87"/>
    </row>
    <row r="485">
      <c r="A485" s="87"/>
      <c r="B485" s="166"/>
      <c r="C485" s="166"/>
      <c r="D485" s="166"/>
      <c r="E485" s="166"/>
      <c r="F485" s="714"/>
      <c r="G485" s="166"/>
      <c r="H485" s="166"/>
      <c r="I485" s="166"/>
      <c r="J485" s="166"/>
      <c r="K485" s="166"/>
      <c r="L485" s="166"/>
      <c r="M485" s="166"/>
      <c r="N485" s="715"/>
      <c r="O485" s="166"/>
      <c r="P485" s="166"/>
      <c r="Q485" s="716"/>
      <c r="R485" s="714"/>
      <c r="S485" s="717"/>
      <c r="T485" s="714"/>
      <c r="U485" s="166"/>
      <c r="V485" s="166"/>
      <c r="W485" s="166"/>
      <c r="X485" s="166"/>
      <c r="Y485" s="718"/>
      <c r="Z485" s="719"/>
      <c r="AA485" s="719"/>
      <c r="AB485" s="166"/>
      <c r="AC485" s="166"/>
      <c r="AD485" s="166"/>
      <c r="AE485" s="87"/>
      <c r="AF485" s="87"/>
      <c r="AG485" s="87"/>
      <c r="AH485" s="87"/>
      <c r="AI485" s="87"/>
      <c r="AJ485" s="87"/>
      <c r="AK485" s="87"/>
      <c r="AL485" s="87"/>
      <c r="AM485" s="87"/>
    </row>
    <row r="486">
      <c r="A486" s="87"/>
      <c r="B486" s="166"/>
      <c r="C486" s="166"/>
      <c r="D486" s="166"/>
      <c r="E486" s="166"/>
      <c r="F486" s="714"/>
      <c r="G486" s="166"/>
      <c r="H486" s="166"/>
      <c r="I486" s="166"/>
      <c r="J486" s="166"/>
      <c r="K486" s="166"/>
      <c r="L486" s="166"/>
      <c r="M486" s="166"/>
      <c r="N486" s="715"/>
      <c r="O486" s="166"/>
      <c r="P486" s="166"/>
      <c r="Q486" s="716"/>
      <c r="R486" s="714"/>
      <c r="S486" s="717"/>
      <c r="T486" s="714"/>
      <c r="U486" s="166"/>
      <c r="V486" s="166"/>
      <c r="W486" s="166"/>
      <c r="X486" s="166"/>
      <c r="Y486" s="718"/>
      <c r="Z486" s="719"/>
      <c r="AA486" s="719"/>
      <c r="AB486" s="166"/>
      <c r="AC486" s="166"/>
      <c r="AD486" s="166"/>
      <c r="AE486" s="87"/>
      <c r="AF486" s="87"/>
      <c r="AG486" s="87"/>
      <c r="AH486" s="87"/>
      <c r="AI486" s="87"/>
      <c r="AJ486" s="87"/>
      <c r="AK486" s="87"/>
      <c r="AL486" s="87"/>
      <c r="AM486" s="87"/>
    </row>
    <row r="487">
      <c r="A487" s="87"/>
      <c r="B487" s="166"/>
      <c r="C487" s="166"/>
      <c r="D487" s="166"/>
      <c r="E487" s="166"/>
      <c r="F487" s="714"/>
      <c r="G487" s="166"/>
      <c r="H487" s="166"/>
      <c r="I487" s="166"/>
      <c r="J487" s="166"/>
      <c r="K487" s="166"/>
      <c r="L487" s="166"/>
      <c r="M487" s="166"/>
      <c r="N487" s="715"/>
      <c r="O487" s="166"/>
      <c r="P487" s="166"/>
      <c r="Q487" s="716"/>
      <c r="R487" s="714"/>
      <c r="S487" s="717"/>
      <c r="T487" s="714"/>
      <c r="U487" s="166"/>
      <c r="V487" s="166"/>
      <c r="W487" s="166"/>
      <c r="X487" s="166"/>
      <c r="Y487" s="718"/>
      <c r="Z487" s="719"/>
      <c r="AA487" s="719"/>
      <c r="AB487" s="166"/>
      <c r="AC487" s="166"/>
      <c r="AD487" s="166"/>
      <c r="AE487" s="87"/>
      <c r="AF487" s="87"/>
      <c r="AG487" s="87"/>
      <c r="AH487" s="87"/>
      <c r="AI487" s="87"/>
      <c r="AJ487" s="87"/>
      <c r="AK487" s="87"/>
      <c r="AL487" s="87"/>
      <c r="AM487" s="87"/>
    </row>
    <row r="488">
      <c r="A488" s="87"/>
      <c r="B488" s="166"/>
      <c r="C488" s="166"/>
      <c r="D488" s="166"/>
      <c r="E488" s="166"/>
      <c r="F488" s="714"/>
      <c r="G488" s="166"/>
      <c r="H488" s="166"/>
      <c r="I488" s="166"/>
      <c r="J488" s="166"/>
      <c r="K488" s="166"/>
      <c r="L488" s="166"/>
      <c r="M488" s="166"/>
      <c r="N488" s="715"/>
      <c r="O488" s="166"/>
      <c r="P488" s="166"/>
      <c r="Q488" s="716"/>
      <c r="R488" s="714"/>
      <c r="S488" s="717"/>
      <c r="T488" s="714"/>
      <c r="U488" s="166"/>
      <c r="V488" s="166"/>
      <c r="W488" s="166"/>
      <c r="X488" s="166"/>
      <c r="Y488" s="718"/>
      <c r="Z488" s="719"/>
      <c r="AA488" s="719"/>
      <c r="AB488" s="166"/>
      <c r="AC488" s="166"/>
      <c r="AD488" s="166"/>
      <c r="AE488" s="87"/>
      <c r="AF488" s="87"/>
      <c r="AG488" s="87"/>
      <c r="AH488" s="87"/>
      <c r="AI488" s="87"/>
      <c r="AJ488" s="87"/>
      <c r="AK488" s="87"/>
      <c r="AL488" s="87"/>
      <c r="AM488" s="87"/>
    </row>
    <row r="489">
      <c r="A489" s="87"/>
      <c r="B489" s="166"/>
      <c r="C489" s="166"/>
      <c r="D489" s="166"/>
      <c r="E489" s="166"/>
      <c r="F489" s="714"/>
      <c r="G489" s="166"/>
      <c r="H489" s="166"/>
      <c r="I489" s="166"/>
      <c r="J489" s="166"/>
      <c r="K489" s="166"/>
      <c r="L489" s="166"/>
      <c r="M489" s="166"/>
      <c r="N489" s="715"/>
      <c r="O489" s="166"/>
      <c r="P489" s="166"/>
      <c r="Q489" s="716"/>
      <c r="R489" s="714"/>
      <c r="S489" s="717"/>
      <c r="T489" s="714"/>
      <c r="U489" s="166"/>
      <c r="V489" s="166"/>
      <c r="W489" s="166"/>
      <c r="X489" s="166"/>
      <c r="Y489" s="718"/>
      <c r="Z489" s="719"/>
      <c r="AA489" s="719"/>
      <c r="AB489" s="166"/>
      <c r="AC489" s="166"/>
      <c r="AD489" s="166"/>
      <c r="AE489" s="87"/>
      <c r="AF489" s="87"/>
      <c r="AG489" s="87"/>
      <c r="AH489" s="87"/>
      <c r="AI489" s="87"/>
      <c r="AJ489" s="87"/>
      <c r="AK489" s="87"/>
      <c r="AL489" s="87"/>
      <c r="AM489" s="87"/>
    </row>
    <row r="490">
      <c r="A490" s="87"/>
      <c r="B490" s="166"/>
      <c r="C490" s="166"/>
      <c r="D490" s="166"/>
      <c r="E490" s="166"/>
      <c r="F490" s="714"/>
      <c r="G490" s="166"/>
      <c r="H490" s="166"/>
      <c r="I490" s="166"/>
      <c r="J490" s="166"/>
      <c r="K490" s="166"/>
      <c r="L490" s="166"/>
      <c r="M490" s="166"/>
      <c r="N490" s="715"/>
      <c r="O490" s="166"/>
      <c r="P490" s="166"/>
      <c r="Q490" s="716"/>
      <c r="R490" s="714"/>
      <c r="S490" s="717"/>
      <c r="T490" s="714"/>
      <c r="U490" s="166"/>
      <c r="V490" s="166"/>
      <c r="W490" s="166"/>
      <c r="X490" s="166"/>
      <c r="Y490" s="718"/>
      <c r="Z490" s="719"/>
      <c r="AA490" s="719"/>
      <c r="AB490" s="166"/>
      <c r="AC490" s="166"/>
      <c r="AD490" s="166"/>
      <c r="AE490" s="87"/>
      <c r="AF490" s="87"/>
      <c r="AG490" s="87"/>
      <c r="AH490" s="87"/>
      <c r="AI490" s="87"/>
      <c r="AJ490" s="87"/>
      <c r="AK490" s="87"/>
      <c r="AL490" s="87"/>
      <c r="AM490" s="87"/>
    </row>
    <row r="491">
      <c r="A491" s="87"/>
      <c r="B491" s="166"/>
      <c r="C491" s="166"/>
      <c r="D491" s="166"/>
      <c r="E491" s="166"/>
      <c r="F491" s="714"/>
      <c r="G491" s="166"/>
      <c r="H491" s="166"/>
      <c r="I491" s="166"/>
      <c r="J491" s="166"/>
      <c r="K491" s="166"/>
      <c r="L491" s="166"/>
      <c r="M491" s="166"/>
      <c r="N491" s="715"/>
      <c r="O491" s="166"/>
      <c r="P491" s="166"/>
      <c r="Q491" s="716"/>
      <c r="R491" s="714"/>
      <c r="S491" s="717"/>
      <c r="T491" s="714"/>
      <c r="U491" s="166"/>
      <c r="V491" s="166"/>
      <c r="W491" s="166"/>
      <c r="X491" s="166"/>
      <c r="Y491" s="718"/>
      <c r="Z491" s="719"/>
      <c r="AA491" s="719"/>
      <c r="AB491" s="166"/>
      <c r="AC491" s="166"/>
      <c r="AD491" s="166"/>
      <c r="AE491" s="87"/>
      <c r="AF491" s="87"/>
      <c r="AG491" s="87"/>
      <c r="AH491" s="87"/>
      <c r="AI491" s="87"/>
      <c r="AJ491" s="87"/>
      <c r="AK491" s="87"/>
      <c r="AL491" s="87"/>
      <c r="AM491" s="87"/>
    </row>
    <row r="492">
      <c r="A492" s="87"/>
      <c r="B492" s="166"/>
      <c r="C492" s="166"/>
      <c r="D492" s="166"/>
      <c r="E492" s="166"/>
      <c r="F492" s="714"/>
      <c r="G492" s="166"/>
      <c r="H492" s="166"/>
      <c r="I492" s="166"/>
      <c r="J492" s="166"/>
      <c r="K492" s="166"/>
      <c r="L492" s="166"/>
      <c r="M492" s="166"/>
      <c r="N492" s="715"/>
      <c r="O492" s="166"/>
      <c r="P492" s="166"/>
      <c r="Q492" s="716"/>
      <c r="R492" s="714"/>
      <c r="S492" s="717"/>
      <c r="T492" s="714"/>
      <c r="U492" s="166"/>
      <c r="V492" s="166"/>
      <c r="W492" s="166"/>
      <c r="X492" s="166"/>
      <c r="Y492" s="718"/>
      <c r="Z492" s="719"/>
      <c r="AA492" s="719"/>
      <c r="AB492" s="166"/>
      <c r="AC492" s="166"/>
      <c r="AD492" s="166"/>
      <c r="AE492" s="87"/>
      <c r="AF492" s="87"/>
      <c r="AG492" s="87"/>
      <c r="AH492" s="87"/>
      <c r="AI492" s="87"/>
      <c r="AJ492" s="87"/>
      <c r="AK492" s="87"/>
      <c r="AL492" s="87"/>
      <c r="AM492" s="87"/>
    </row>
    <row r="493">
      <c r="A493" s="87"/>
      <c r="B493" s="166"/>
      <c r="C493" s="166"/>
      <c r="D493" s="166"/>
      <c r="E493" s="166"/>
      <c r="F493" s="714"/>
      <c r="G493" s="166"/>
      <c r="H493" s="166"/>
      <c r="I493" s="166"/>
      <c r="J493" s="166"/>
      <c r="K493" s="166"/>
      <c r="L493" s="166"/>
      <c r="M493" s="166"/>
      <c r="N493" s="715"/>
      <c r="O493" s="166"/>
      <c r="P493" s="166"/>
      <c r="Q493" s="716"/>
      <c r="R493" s="714"/>
      <c r="S493" s="717"/>
      <c r="T493" s="714"/>
      <c r="U493" s="166"/>
      <c r="V493" s="166"/>
      <c r="W493" s="166"/>
      <c r="X493" s="166"/>
      <c r="Y493" s="718"/>
      <c r="Z493" s="719"/>
      <c r="AA493" s="719"/>
      <c r="AB493" s="166"/>
      <c r="AC493" s="166"/>
      <c r="AD493" s="166"/>
      <c r="AE493" s="87"/>
      <c r="AF493" s="87"/>
      <c r="AG493" s="87"/>
      <c r="AH493" s="87"/>
      <c r="AI493" s="87"/>
      <c r="AJ493" s="87"/>
      <c r="AK493" s="87"/>
      <c r="AL493" s="87"/>
      <c r="AM493" s="87"/>
    </row>
    <row r="494">
      <c r="A494" s="87"/>
      <c r="B494" s="166"/>
      <c r="C494" s="166"/>
      <c r="D494" s="166"/>
      <c r="E494" s="166"/>
      <c r="F494" s="714"/>
      <c r="G494" s="166"/>
      <c r="H494" s="166"/>
      <c r="I494" s="166"/>
      <c r="J494" s="166"/>
      <c r="K494" s="166"/>
      <c r="L494" s="166"/>
      <c r="M494" s="166"/>
      <c r="N494" s="715"/>
      <c r="O494" s="166"/>
      <c r="P494" s="166"/>
      <c r="Q494" s="716"/>
      <c r="R494" s="714"/>
      <c r="S494" s="717"/>
      <c r="T494" s="714"/>
      <c r="U494" s="166"/>
      <c r="V494" s="166"/>
      <c r="W494" s="166"/>
      <c r="X494" s="166"/>
      <c r="Y494" s="718"/>
      <c r="Z494" s="719"/>
      <c r="AA494" s="719"/>
      <c r="AB494" s="166"/>
      <c r="AC494" s="166"/>
      <c r="AD494" s="166"/>
      <c r="AE494" s="87"/>
      <c r="AF494" s="87"/>
      <c r="AG494" s="87"/>
      <c r="AH494" s="87"/>
      <c r="AI494" s="87"/>
      <c r="AJ494" s="87"/>
      <c r="AK494" s="87"/>
      <c r="AL494" s="87"/>
      <c r="AM494" s="87"/>
    </row>
    <row r="495">
      <c r="A495" s="87"/>
      <c r="B495" s="166"/>
      <c r="C495" s="166"/>
      <c r="D495" s="166"/>
      <c r="E495" s="166"/>
      <c r="F495" s="714"/>
      <c r="G495" s="166"/>
      <c r="H495" s="166"/>
      <c r="I495" s="166"/>
      <c r="J495" s="166"/>
      <c r="K495" s="166"/>
      <c r="L495" s="166"/>
      <c r="M495" s="166"/>
      <c r="N495" s="715"/>
      <c r="O495" s="166"/>
      <c r="P495" s="166"/>
      <c r="Q495" s="716"/>
      <c r="R495" s="714"/>
      <c r="S495" s="717"/>
      <c r="T495" s="714"/>
      <c r="U495" s="166"/>
      <c r="V495" s="166"/>
      <c r="W495" s="166"/>
      <c r="X495" s="166"/>
      <c r="Y495" s="718"/>
      <c r="Z495" s="719"/>
      <c r="AA495" s="719"/>
      <c r="AB495" s="166"/>
      <c r="AC495" s="166"/>
      <c r="AD495" s="166"/>
      <c r="AE495" s="87"/>
      <c r="AF495" s="87"/>
      <c r="AG495" s="87"/>
      <c r="AH495" s="87"/>
      <c r="AI495" s="87"/>
      <c r="AJ495" s="87"/>
      <c r="AK495" s="87"/>
      <c r="AL495" s="87"/>
      <c r="AM495" s="87"/>
    </row>
    <row r="496">
      <c r="A496" s="87"/>
      <c r="B496" s="166"/>
      <c r="C496" s="166"/>
      <c r="D496" s="166"/>
      <c r="E496" s="166"/>
      <c r="F496" s="714"/>
      <c r="G496" s="166"/>
      <c r="H496" s="166"/>
      <c r="I496" s="166"/>
      <c r="J496" s="166"/>
      <c r="K496" s="166"/>
      <c r="L496" s="166"/>
      <c r="M496" s="166"/>
      <c r="N496" s="715"/>
      <c r="O496" s="166"/>
      <c r="P496" s="166"/>
      <c r="Q496" s="716"/>
      <c r="R496" s="714"/>
      <c r="S496" s="717"/>
      <c r="T496" s="714"/>
      <c r="U496" s="166"/>
      <c r="V496" s="166"/>
      <c r="W496" s="166"/>
      <c r="X496" s="166"/>
      <c r="Y496" s="718"/>
      <c r="Z496" s="719"/>
      <c r="AA496" s="719"/>
      <c r="AB496" s="166"/>
      <c r="AC496" s="166"/>
      <c r="AD496" s="166"/>
      <c r="AE496" s="87"/>
      <c r="AF496" s="87"/>
      <c r="AG496" s="87"/>
      <c r="AH496" s="87"/>
      <c r="AI496" s="87"/>
      <c r="AJ496" s="87"/>
      <c r="AK496" s="87"/>
      <c r="AL496" s="87"/>
      <c r="AM496" s="87"/>
    </row>
    <row r="497">
      <c r="A497" s="87"/>
      <c r="B497" s="166"/>
      <c r="C497" s="166"/>
      <c r="D497" s="166"/>
      <c r="E497" s="166"/>
      <c r="F497" s="714"/>
      <c r="G497" s="166"/>
      <c r="H497" s="166"/>
      <c r="I497" s="166"/>
      <c r="J497" s="166"/>
      <c r="K497" s="166"/>
      <c r="L497" s="166"/>
      <c r="M497" s="166"/>
      <c r="N497" s="715"/>
      <c r="O497" s="166"/>
      <c r="P497" s="166"/>
      <c r="Q497" s="716"/>
      <c r="R497" s="714"/>
      <c r="S497" s="717"/>
      <c r="T497" s="714"/>
      <c r="U497" s="166"/>
      <c r="V497" s="166"/>
      <c r="W497" s="166"/>
      <c r="X497" s="166"/>
      <c r="Y497" s="718"/>
      <c r="Z497" s="719"/>
      <c r="AA497" s="719"/>
      <c r="AB497" s="166"/>
      <c r="AC497" s="166"/>
      <c r="AD497" s="166"/>
      <c r="AE497" s="87"/>
      <c r="AF497" s="87"/>
      <c r="AG497" s="87"/>
      <c r="AH497" s="87"/>
      <c r="AI497" s="87"/>
      <c r="AJ497" s="87"/>
      <c r="AK497" s="87"/>
      <c r="AL497" s="87"/>
      <c r="AM497" s="87"/>
    </row>
    <row r="498">
      <c r="A498" s="87"/>
      <c r="B498" s="166"/>
      <c r="C498" s="166"/>
      <c r="D498" s="166"/>
      <c r="E498" s="166"/>
      <c r="F498" s="714"/>
      <c r="G498" s="166"/>
      <c r="H498" s="166"/>
      <c r="I498" s="166"/>
      <c r="J498" s="166"/>
      <c r="K498" s="166"/>
      <c r="L498" s="166"/>
      <c r="M498" s="166"/>
      <c r="N498" s="715"/>
      <c r="O498" s="166"/>
      <c r="P498" s="166"/>
      <c r="Q498" s="716"/>
      <c r="R498" s="714"/>
      <c r="S498" s="717"/>
      <c r="T498" s="714"/>
      <c r="U498" s="166"/>
      <c r="V498" s="166"/>
      <c r="W498" s="166"/>
      <c r="X498" s="166"/>
      <c r="Y498" s="718"/>
      <c r="Z498" s="719"/>
      <c r="AA498" s="719"/>
      <c r="AB498" s="166"/>
      <c r="AC498" s="166"/>
      <c r="AD498" s="166"/>
      <c r="AE498" s="87"/>
      <c r="AF498" s="87"/>
      <c r="AG498" s="87"/>
      <c r="AH498" s="87"/>
      <c r="AI498" s="87"/>
      <c r="AJ498" s="87"/>
      <c r="AK498" s="87"/>
      <c r="AL498" s="87"/>
      <c r="AM498" s="87"/>
    </row>
    <row r="499">
      <c r="A499" s="87"/>
      <c r="B499" s="166"/>
      <c r="C499" s="166"/>
      <c r="D499" s="166"/>
      <c r="E499" s="166"/>
      <c r="F499" s="714"/>
      <c r="G499" s="166"/>
      <c r="H499" s="166"/>
      <c r="I499" s="166"/>
      <c r="J499" s="166"/>
      <c r="K499" s="166"/>
      <c r="L499" s="166"/>
      <c r="M499" s="166"/>
      <c r="N499" s="715"/>
      <c r="O499" s="166"/>
      <c r="P499" s="166"/>
      <c r="Q499" s="716"/>
      <c r="R499" s="714"/>
      <c r="S499" s="717"/>
      <c r="T499" s="714"/>
      <c r="U499" s="166"/>
      <c r="V499" s="166"/>
      <c r="W499" s="166"/>
      <c r="X499" s="166"/>
      <c r="Y499" s="718"/>
      <c r="Z499" s="719"/>
      <c r="AA499" s="719"/>
      <c r="AB499" s="166"/>
      <c r="AC499" s="166"/>
      <c r="AD499" s="166"/>
      <c r="AE499" s="87"/>
      <c r="AF499" s="87"/>
      <c r="AG499" s="87"/>
      <c r="AH499" s="87"/>
      <c r="AI499" s="87"/>
      <c r="AJ499" s="87"/>
      <c r="AK499" s="87"/>
      <c r="AL499" s="87"/>
      <c r="AM499" s="87"/>
    </row>
    <row r="500">
      <c r="A500" s="87"/>
      <c r="B500" s="166"/>
      <c r="C500" s="166"/>
      <c r="D500" s="166"/>
      <c r="E500" s="166"/>
      <c r="F500" s="714"/>
      <c r="G500" s="166"/>
      <c r="H500" s="166"/>
      <c r="I500" s="166"/>
      <c r="J500" s="166"/>
      <c r="K500" s="166"/>
      <c r="L500" s="166"/>
      <c r="M500" s="166"/>
      <c r="N500" s="715"/>
      <c r="O500" s="166"/>
      <c r="P500" s="166"/>
      <c r="Q500" s="716"/>
      <c r="R500" s="714"/>
      <c r="S500" s="717"/>
      <c r="T500" s="714"/>
      <c r="U500" s="166"/>
      <c r="V500" s="166"/>
      <c r="W500" s="166"/>
      <c r="X500" s="166"/>
      <c r="Y500" s="718"/>
      <c r="Z500" s="719"/>
      <c r="AA500" s="719"/>
      <c r="AB500" s="166"/>
      <c r="AC500" s="166"/>
      <c r="AD500" s="166"/>
      <c r="AE500" s="87"/>
      <c r="AF500" s="87"/>
      <c r="AG500" s="87"/>
      <c r="AH500" s="87"/>
      <c r="AI500" s="87"/>
      <c r="AJ500" s="87"/>
      <c r="AK500" s="87"/>
      <c r="AL500" s="87"/>
      <c r="AM500" s="87"/>
    </row>
    <row r="501">
      <c r="A501" s="87"/>
      <c r="B501" s="166"/>
      <c r="C501" s="166"/>
      <c r="D501" s="166"/>
      <c r="E501" s="166"/>
      <c r="F501" s="714"/>
      <c r="G501" s="166"/>
      <c r="H501" s="166"/>
      <c r="I501" s="166"/>
      <c r="J501" s="166"/>
      <c r="K501" s="166"/>
      <c r="L501" s="166"/>
      <c r="M501" s="166"/>
      <c r="N501" s="715"/>
      <c r="O501" s="166"/>
      <c r="P501" s="166"/>
      <c r="Q501" s="716"/>
      <c r="R501" s="714"/>
      <c r="S501" s="717"/>
      <c r="T501" s="714"/>
      <c r="U501" s="166"/>
      <c r="V501" s="166"/>
      <c r="W501" s="166"/>
      <c r="X501" s="166"/>
      <c r="Y501" s="718"/>
      <c r="Z501" s="719"/>
      <c r="AA501" s="719"/>
      <c r="AB501" s="166"/>
      <c r="AC501" s="166"/>
      <c r="AD501" s="166"/>
      <c r="AE501" s="87"/>
      <c r="AF501" s="87"/>
      <c r="AG501" s="87"/>
      <c r="AH501" s="87"/>
      <c r="AI501" s="87"/>
      <c r="AJ501" s="87"/>
      <c r="AK501" s="87"/>
      <c r="AL501" s="87"/>
      <c r="AM501" s="87"/>
    </row>
    <row r="502">
      <c r="A502" s="87"/>
      <c r="B502" s="166"/>
      <c r="C502" s="166"/>
      <c r="D502" s="166"/>
      <c r="E502" s="166"/>
      <c r="F502" s="714"/>
      <c r="G502" s="166"/>
      <c r="H502" s="166"/>
      <c r="I502" s="166"/>
      <c r="J502" s="166"/>
      <c r="K502" s="166"/>
      <c r="L502" s="166"/>
      <c r="M502" s="166"/>
      <c r="N502" s="715"/>
      <c r="O502" s="166"/>
      <c r="P502" s="166"/>
      <c r="Q502" s="716"/>
      <c r="R502" s="714"/>
      <c r="S502" s="717"/>
      <c r="T502" s="714"/>
      <c r="U502" s="166"/>
      <c r="V502" s="166"/>
      <c r="W502" s="166"/>
      <c r="X502" s="166"/>
      <c r="Y502" s="718"/>
      <c r="Z502" s="719"/>
      <c r="AA502" s="719"/>
      <c r="AB502" s="166"/>
      <c r="AC502" s="166"/>
      <c r="AD502" s="166"/>
      <c r="AE502" s="87"/>
      <c r="AF502" s="87"/>
      <c r="AG502" s="87"/>
      <c r="AH502" s="87"/>
      <c r="AI502" s="87"/>
      <c r="AJ502" s="87"/>
      <c r="AK502" s="87"/>
      <c r="AL502" s="87"/>
      <c r="AM502" s="87"/>
    </row>
    <row r="503">
      <c r="A503" s="87"/>
      <c r="B503" s="166"/>
      <c r="C503" s="166"/>
      <c r="D503" s="166"/>
      <c r="E503" s="166"/>
      <c r="F503" s="714"/>
      <c r="G503" s="166"/>
      <c r="H503" s="166"/>
      <c r="I503" s="166"/>
      <c r="J503" s="166"/>
      <c r="K503" s="166"/>
      <c r="L503" s="166"/>
      <c r="M503" s="166"/>
      <c r="N503" s="715"/>
      <c r="O503" s="166"/>
      <c r="P503" s="166"/>
      <c r="Q503" s="716"/>
      <c r="R503" s="714"/>
      <c r="S503" s="717"/>
      <c r="T503" s="714"/>
      <c r="U503" s="166"/>
      <c r="V503" s="166"/>
      <c r="W503" s="166"/>
      <c r="X503" s="166"/>
      <c r="Y503" s="718"/>
      <c r="Z503" s="719"/>
      <c r="AA503" s="719"/>
      <c r="AB503" s="166"/>
      <c r="AC503" s="166"/>
      <c r="AD503" s="166"/>
      <c r="AE503" s="87"/>
      <c r="AF503" s="87"/>
      <c r="AG503" s="87"/>
      <c r="AH503" s="87"/>
      <c r="AI503" s="87"/>
      <c r="AJ503" s="87"/>
      <c r="AK503" s="87"/>
      <c r="AL503" s="87"/>
      <c r="AM503" s="87"/>
    </row>
    <row r="504">
      <c r="A504" s="87"/>
      <c r="B504" s="166"/>
      <c r="C504" s="166"/>
      <c r="D504" s="166"/>
      <c r="E504" s="166"/>
      <c r="F504" s="714"/>
      <c r="G504" s="166"/>
      <c r="H504" s="166"/>
      <c r="I504" s="166"/>
      <c r="J504" s="166"/>
      <c r="K504" s="166"/>
      <c r="L504" s="166"/>
      <c r="M504" s="166"/>
      <c r="N504" s="715"/>
      <c r="O504" s="166"/>
      <c r="P504" s="166"/>
      <c r="Q504" s="716"/>
      <c r="R504" s="714"/>
      <c r="S504" s="717"/>
      <c r="T504" s="714"/>
      <c r="U504" s="166"/>
      <c r="V504" s="166"/>
      <c r="W504" s="166"/>
      <c r="X504" s="166"/>
      <c r="Y504" s="718"/>
      <c r="Z504" s="719"/>
      <c r="AA504" s="719"/>
      <c r="AB504" s="166"/>
      <c r="AC504" s="166"/>
      <c r="AD504" s="166"/>
      <c r="AE504" s="87"/>
      <c r="AF504" s="87"/>
      <c r="AG504" s="87"/>
      <c r="AH504" s="87"/>
      <c r="AI504" s="87"/>
      <c r="AJ504" s="87"/>
      <c r="AK504" s="87"/>
      <c r="AL504" s="87"/>
      <c r="AM504" s="87"/>
    </row>
    <row r="505">
      <c r="A505" s="87"/>
      <c r="B505" s="166"/>
      <c r="C505" s="166"/>
      <c r="D505" s="166"/>
      <c r="E505" s="166"/>
      <c r="F505" s="714"/>
      <c r="G505" s="166"/>
      <c r="H505" s="166"/>
      <c r="I505" s="166"/>
      <c r="J505" s="166"/>
      <c r="K505" s="166"/>
      <c r="L505" s="166"/>
      <c r="M505" s="166"/>
      <c r="N505" s="715"/>
      <c r="O505" s="166"/>
      <c r="P505" s="166"/>
      <c r="Q505" s="716"/>
      <c r="R505" s="714"/>
      <c r="S505" s="717"/>
      <c r="T505" s="714"/>
      <c r="U505" s="166"/>
      <c r="V505" s="166"/>
      <c r="W505" s="166"/>
      <c r="X505" s="166"/>
      <c r="Y505" s="718"/>
      <c r="Z505" s="719"/>
      <c r="AA505" s="719"/>
      <c r="AB505" s="166"/>
      <c r="AC505" s="166"/>
      <c r="AD505" s="166"/>
      <c r="AE505" s="87"/>
      <c r="AF505" s="87"/>
      <c r="AG505" s="87"/>
      <c r="AH505" s="87"/>
      <c r="AI505" s="87"/>
      <c r="AJ505" s="87"/>
      <c r="AK505" s="87"/>
      <c r="AL505" s="87"/>
      <c r="AM505" s="87"/>
    </row>
    <row r="506">
      <c r="A506" s="87"/>
      <c r="B506" s="166"/>
      <c r="C506" s="166"/>
      <c r="D506" s="166"/>
      <c r="E506" s="166"/>
      <c r="F506" s="714"/>
      <c r="G506" s="166"/>
      <c r="H506" s="166"/>
      <c r="I506" s="166"/>
      <c r="J506" s="166"/>
      <c r="K506" s="166"/>
      <c r="L506" s="166"/>
      <c r="M506" s="166"/>
      <c r="N506" s="715"/>
      <c r="O506" s="166"/>
      <c r="P506" s="166"/>
      <c r="Q506" s="716"/>
      <c r="R506" s="714"/>
      <c r="S506" s="717"/>
      <c r="T506" s="714"/>
      <c r="U506" s="166"/>
      <c r="V506" s="166"/>
      <c r="W506" s="166"/>
      <c r="X506" s="166"/>
      <c r="Y506" s="718"/>
      <c r="Z506" s="719"/>
      <c r="AA506" s="719"/>
      <c r="AB506" s="166"/>
      <c r="AC506" s="166"/>
      <c r="AD506" s="166"/>
      <c r="AE506" s="87"/>
      <c r="AF506" s="87"/>
      <c r="AG506" s="87"/>
      <c r="AH506" s="87"/>
      <c r="AI506" s="87"/>
      <c r="AJ506" s="87"/>
      <c r="AK506" s="87"/>
      <c r="AL506" s="87"/>
      <c r="AM506" s="87"/>
    </row>
    <row r="507">
      <c r="A507" s="87"/>
      <c r="B507" s="166"/>
      <c r="C507" s="166"/>
      <c r="D507" s="166"/>
      <c r="E507" s="166"/>
      <c r="F507" s="714"/>
      <c r="G507" s="166"/>
      <c r="H507" s="166"/>
      <c r="I507" s="166"/>
      <c r="J507" s="166"/>
      <c r="K507" s="166"/>
      <c r="L507" s="166"/>
      <c r="M507" s="166"/>
      <c r="N507" s="715"/>
      <c r="O507" s="166"/>
      <c r="P507" s="166"/>
      <c r="Q507" s="716"/>
      <c r="R507" s="714"/>
      <c r="S507" s="717"/>
      <c r="T507" s="714"/>
      <c r="U507" s="166"/>
      <c r="V507" s="166"/>
      <c r="W507" s="166"/>
      <c r="X507" s="166"/>
      <c r="Y507" s="718"/>
      <c r="Z507" s="719"/>
      <c r="AA507" s="719"/>
      <c r="AB507" s="166"/>
      <c r="AC507" s="166"/>
      <c r="AD507" s="166"/>
      <c r="AE507" s="87"/>
      <c r="AF507" s="87"/>
      <c r="AG507" s="87"/>
      <c r="AH507" s="87"/>
      <c r="AI507" s="87"/>
      <c r="AJ507" s="87"/>
      <c r="AK507" s="87"/>
      <c r="AL507" s="87"/>
      <c r="AM507" s="87"/>
    </row>
    <row r="508">
      <c r="A508" s="87"/>
      <c r="B508" s="166"/>
      <c r="C508" s="166"/>
      <c r="D508" s="166"/>
      <c r="E508" s="166"/>
      <c r="F508" s="714"/>
      <c r="G508" s="166"/>
      <c r="H508" s="166"/>
      <c r="I508" s="166"/>
      <c r="J508" s="166"/>
      <c r="K508" s="166"/>
      <c r="L508" s="166"/>
      <c r="M508" s="166"/>
      <c r="N508" s="715"/>
      <c r="O508" s="166"/>
      <c r="P508" s="166"/>
      <c r="Q508" s="716"/>
      <c r="R508" s="714"/>
      <c r="S508" s="717"/>
      <c r="T508" s="714"/>
      <c r="U508" s="166"/>
      <c r="V508" s="166"/>
      <c r="W508" s="166"/>
      <c r="X508" s="166"/>
      <c r="Y508" s="718"/>
      <c r="Z508" s="719"/>
      <c r="AA508" s="719"/>
      <c r="AB508" s="166"/>
      <c r="AC508" s="166"/>
      <c r="AD508" s="166"/>
      <c r="AE508" s="87"/>
      <c r="AF508" s="87"/>
      <c r="AG508" s="87"/>
      <c r="AH508" s="87"/>
      <c r="AI508" s="87"/>
      <c r="AJ508" s="87"/>
      <c r="AK508" s="87"/>
      <c r="AL508" s="87"/>
      <c r="AM508" s="87"/>
    </row>
    <row r="509">
      <c r="A509" s="87"/>
      <c r="B509" s="166"/>
      <c r="C509" s="166"/>
      <c r="D509" s="166"/>
      <c r="E509" s="166"/>
      <c r="F509" s="714"/>
      <c r="G509" s="166"/>
      <c r="H509" s="166"/>
      <c r="I509" s="166"/>
      <c r="J509" s="166"/>
      <c r="K509" s="166"/>
      <c r="L509" s="166"/>
      <c r="M509" s="166"/>
      <c r="N509" s="715"/>
      <c r="O509" s="166"/>
      <c r="P509" s="166"/>
      <c r="Q509" s="716"/>
      <c r="R509" s="714"/>
      <c r="S509" s="717"/>
      <c r="T509" s="714"/>
      <c r="U509" s="166"/>
      <c r="V509" s="166"/>
      <c r="W509" s="166"/>
      <c r="X509" s="166"/>
      <c r="Y509" s="718"/>
      <c r="Z509" s="719"/>
      <c r="AA509" s="719"/>
      <c r="AB509" s="166"/>
      <c r="AC509" s="166"/>
      <c r="AD509" s="166"/>
      <c r="AE509" s="87"/>
      <c r="AF509" s="87"/>
      <c r="AG509" s="87"/>
      <c r="AH509" s="87"/>
      <c r="AI509" s="87"/>
      <c r="AJ509" s="87"/>
      <c r="AK509" s="87"/>
      <c r="AL509" s="87"/>
      <c r="AM509" s="87"/>
    </row>
    <row r="510">
      <c r="A510" s="87"/>
      <c r="B510" s="166"/>
      <c r="C510" s="166"/>
      <c r="D510" s="166"/>
      <c r="E510" s="166"/>
      <c r="F510" s="714"/>
      <c r="G510" s="166"/>
      <c r="H510" s="166"/>
      <c r="I510" s="166"/>
      <c r="J510" s="166"/>
      <c r="K510" s="166"/>
      <c r="L510" s="166"/>
      <c r="M510" s="166"/>
      <c r="N510" s="715"/>
      <c r="O510" s="166"/>
      <c r="P510" s="166"/>
      <c r="Q510" s="716"/>
      <c r="R510" s="714"/>
      <c r="S510" s="717"/>
      <c r="T510" s="714"/>
      <c r="U510" s="166"/>
      <c r="V510" s="166"/>
      <c r="W510" s="166"/>
      <c r="X510" s="166"/>
      <c r="Y510" s="718"/>
      <c r="Z510" s="719"/>
      <c r="AA510" s="719"/>
      <c r="AB510" s="166"/>
      <c r="AC510" s="166"/>
      <c r="AD510" s="166"/>
      <c r="AE510" s="87"/>
      <c r="AF510" s="87"/>
      <c r="AG510" s="87"/>
      <c r="AH510" s="87"/>
      <c r="AI510" s="87"/>
      <c r="AJ510" s="87"/>
      <c r="AK510" s="87"/>
      <c r="AL510" s="87"/>
      <c r="AM510" s="87"/>
    </row>
    <row r="511">
      <c r="A511" s="87"/>
      <c r="B511" s="166"/>
      <c r="C511" s="166"/>
      <c r="D511" s="166"/>
      <c r="E511" s="166"/>
      <c r="F511" s="714"/>
      <c r="G511" s="166"/>
      <c r="H511" s="166"/>
      <c r="I511" s="166"/>
      <c r="J511" s="166"/>
      <c r="K511" s="166"/>
      <c r="L511" s="166"/>
      <c r="M511" s="166"/>
      <c r="N511" s="715"/>
      <c r="O511" s="166"/>
      <c r="P511" s="166"/>
      <c r="Q511" s="716"/>
      <c r="R511" s="714"/>
      <c r="S511" s="717"/>
      <c r="T511" s="714"/>
      <c r="U511" s="166"/>
      <c r="V511" s="166"/>
      <c r="W511" s="166"/>
      <c r="X511" s="166"/>
      <c r="Y511" s="718"/>
      <c r="Z511" s="719"/>
      <c r="AA511" s="719"/>
      <c r="AB511" s="166"/>
      <c r="AC511" s="166"/>
      <c r="AD511" s="166"/>
      <c r="AE511" s="87"/>
      <c r="AF511" s="87"/>
      <c r="AG511" s="87"/>
      <c r="AH511" s="87"/>
      <c r="AI511" s="87"/>
      <c r="AJ511" s="87"/>
      <c r="AK511" s="87"/>
      <c r="AL511" s="87"/>
      <c r="AM511" s="87"/>
    </row>
    <row r="512">
      <c r="A512" s="87"/>
      <c r="B512" s="166"/>
      <c r="C512" s="166"/>
      <c r="D512" s="166"/>
      <c r="E512" s="166"/>
      <c r="F512" s="714"/>
      <c r="G512" s="166"/>
      <c r="H512" s="166"/>
      <c r="I512" s="166"/>
      <c r="J512" s="166"/>
      <c r="K512" s="166"/>
      <c r="L512" s="166"/>
      <c r="M512" s="166"/>
      <c r="N512" s="715"/>
      <c r="O512" s="166"/>
      <c r="P512" s="166"/>
      <c r="Q512" s="716"/>
      <c r="R512" s="714"/>
      <c r="S512" s="717"/>
      <c r="T512" s="714"/>
      <c r="U512" s="166"/>
      <c r="V512" s="166"/>
      <c r="W512" s="166"/>
      <c r="X512" s="166"/>
      <c r="Y512" s="718"/>
      <c r="Z512" s="719"/>
      <c r="AA512" s="719"/>
      <c r="AB512" s="166"/>
      <c r="AC512" s="166"/>
      <c r="AD512" s="166"/>
      <c r="AE512" s="87"/>
      <c r="AF512" s="87"/>
      <c r="AG512" s="87"/>
      <c r="AH512" s="87"/>
      <c r="AI512" s="87"/>
      <c r="AJ512" s="87"/>
      <c r="AK512" s="87"/>
      <c r="AL512" s="87"/>
      <c r="AM512" s="87"/>
    </row>
    <row r="513">
      <c r="A513" s="87"/>
      <c r="B513" s="166"/>
      <c r="C513" s="166"/>
      <c r="D513" s="166"/>
      <c r="E513" s="166"/>
      <c r="F513" s="714"/>
      <c r="G513" s="166"/>
      <c r="H513" s="166"/>
      <c r="I513" s="166"/>
      <c r="J513" s="166"/>
      <c r="K513" s="166"/>
      <c r="L513" s="166"/>
      <c r="M513" s="166"/>
      <c r="N513" s="715"/>
      <c r="O513" s="166"/>
      <c r="P513" s="166"/>
      <c r="Q513" s="716"/>
      <c r="R513" s="714"/>
      <c r="S513" s="717"/>
      <c r="T513" s="714"/>
      <c r="U513" s="166"/>
      <c r="V513" s="166"/>
      <c r="W513" s="166"/>
      <c r="X513" s="166"/>
      <c r="Y513" s="718"/>
      <c r="Z513" s="719"/>
      <c r="AA513" s="719"/>
      <c r="AB513" s="166"/>
      <c r="AC513" s="166"/>
      <c r="AD513" s="166"/>
      <c r="AE513" s="87"/>
      <c r="AF513" s="87"/>
      <c r="AG513" s="87"/>
      <c r="AH513" s="87"/>
      <c r="AI513" s="87"/>
      <c r="AJ513" s="87"/>
      <c r="AK513" s="87"/>
      <c r="AL513" s="87"/>
      <c r="AM513" s="87"/>
    </row>
    <row r="514">
      <c r="A514" s="87"/>
      <c r="B514" s="166"/>
      <c r="C514" s="166"/>
      <c r="D514" s="166"/>
      <c r="E514" s="166"/>
      <c r="F514" s="714"/>
      <c r="G514" s="166"/>
      <c r="H514" s="166"/>
      <c r="I514" s="166"/>
      <c r="J514" s="166"/>
      <c r="K514" s="166"/>
      <c r="L514" s="166"/>
      <c r="M514" s="166"/>
      <c r="N514" s="715"/>
      <c r="O514" s="166"/>
      <c r="P514" s="166"/>
      <c r="Q514" s="716"/>
      <c r="R514" s="714"/>
      <c r="S514" s="717"/>
      <c r="T514" s="714"/>
      <c r="U514" s="166"/>
      <c r="V514" s="166"/>
      <c r="W514" s="166"/>
      <c r="X514" s="166"/>
      <c r="Y514" s="718"/>
      <c r="Z514" s="719"/>
      <c r="AA514" s="719"/>
      <c r="AB514" s="166"/>
      <c r="AC514" s="166"/>
      <c r="AD514" s="166"/>
      <c r="AE514" s="87"/>
      <c r="AF514" s="87"/>
      <c r="AG514" s="87"/>
      <c r="AH514" s="87"/>
      <c r="AI514" s="87"/>
      <c r="AJ514" s="87"/>
      <c r="AK514" s="87"/>
      <c r="AL514" s="87"/>
      <c r="AM514" s="87"/>
    </row>
    <row r="515">
      <c r="A515" s="87"/>
      <c r="B515" s="166"/>
      <c r="C515" s="166"/>
      <c r="D515" s="166"/>
      <c r="E515" s="166"/>
      <c r="F515" s="714"/>
      <c r="G515" s="166"/>
      <c r="H515" s="166"/>
      <c r="I515" s="166"/>
      <c r="J515" s="166"/>
      <c r="K515" s="166"/>
      <c r="L515" s="166"/>
      <c r="M515" s="166"/>
      <c r="N515" s="715"/>
      <c r="O515" s="166"/>
      <c r="P515" s="166"/>
      <c r="Q515" s="716"/>
      <c r="R515" s="714"/>
      <c r="S515" s="717"/>
      <c r="T515" s="714"/>
      <c r="U515" s="166"/>
      <c r="V515" s="166"/>
      <c r="W515" s="166"/>
      <c r="X515" s="166"/>
      <c r="Y515" s="718"/>
      <c r="Z515" s="719"/>
      <c r="AA515" s="719"/>
      <c r="AB515" s="166"/>
      <c r="AC515" s="166"/>
      <c r="AD515" s="166"/>
      <c r="AE515" s="87"/>
      <c r="AF515" s="87"/>
      <c r="AG515" s="87"/>
      <c r="AH515" s="87"/>
      <c r="AI515" s="87"/>
      <c r="AJ515" s="87"/>
      <c r="AK515" s="87"/>
      <c r="AL515" s="87"/>
      <c r="AM515" s="87"/>
    </row>
    <row r="516">
      <c r="A516" s="87"/>
      <c r="B516" s="166"/>
      <c r="C516" s="166"/>
      <c r="D516" s="166"/>
      <c r="E516" s="166"/>
      <c r="F516" s="714"/>
      <c r="G516" s="166"/>
      <c r="H516" s="166"/>
      <c r="I516" s="166"/>
      <c r="J516" s="166"/>
      <c r="K516" s="166"/>
      <c r="L516" s="166"/>
      <c r="M516" s="166"/>
      <c r="N516" s="715"/>
      <c r="O516" s="166"/>
      <c r="P516" s="166"/>
      <c r="Q516" s="716"/>
      <c r="R516" s="714"/>
      <c r="S516" s="717"/>
      <c r="T516" s="714"/>
      <c r="U516" s="166"/>
      <c r="V516" s="166"/>
      <c r="W516" s="166"/>
      <c r="X516" s="166"/>
      <c r="Y516" s="718"/>
      <c r="Z516" s="719"/>
      <c r="AA516" s="719"/>
      <c r="AB516" s="166"/>
      <c r="AC516" s="166"/>
      <c r="AD516" s="166"/>
      <c r="AE516" s="87"/>
      <c r="AF516" s="87"/>
      <c r="AG516" s="87"/>
      <c r="AH516" s="87"/>
      <c r="AI516" s="87"/>
      <c r="AJ516" s="87"/>
      <c r="AK516" s="87"/>
      <c r="AL516" s="87"/>
      <c r="AM516" s="87"/>
    </row>
    <row r="517">
      <c r="A517" s="87"/>
      <c r="B517" s="166"/>
      <c r="C517" s="166"/>
      <c r="D517" s="166"/>
      <c r="E517" s="166"/>
      <c r="F517" s="714"/>
      <c r="G517" s="166"/>
      <c r="H517" s="166"/>
      <c r="I517" s="166"/>
      <c r="J517" s="166"/>
      <c r="K517" s="166"/>
      <c r="L517" s="166"/>
      <c r="M517" s="166"/>
      <c r="N517" s="715"/>
      <c r="O517" s="166"/>
      <c r="P517" s="166"/>
      <c r="Q517" s="716"/>
      <c r="R517" s="714"/>
      <c r="S517" s="717"/>
      <c r="T517" s="714"/>
      <c r="U517" s="166"/>
      <c r="V517" s="166"/>
      <c r="W517" s="166"/>
      <c r="X517" s="166"/>
      <c r="Y517" s="718"/>
      <c r="Z517" s="719"/>
      <c r="AA517" s="719"/>
      <c r="AB517" s="166"/>
      <c r="AC517" s="166"/>
      <c r="AD517" s="166"/>
      <c r="AE517" s="87"/>
      <c r="AF517" s="87"/>
      <c r="AG517" s="87"/>
      <c r="AH517" s="87"/>
      <c r="AI517" s="87"/>
      <c r="AJ517" s="87"/>
      <c r="AK517" s="87"/>
      <c r="AL517" s="87"/>
      <c r="AM517" s="87"/>
    </row>
    <row r="518">
      <c r="A518" s="87"/>
      <c r="B518" s="166"/>
      <c r="C518" s="166"/>
      <c r="D518" s="166"/>
      <c r="E518" s="166"/>
      <c r="F518" s="714"/>
      <c r="G518" s="166"/>
      <c r="H518" s="166"/>
      <c r="I518" s="166"/>
      <c r="J518" s="166"/>
      <c r="K518" s="166"/>
      <c r="L518" s="166"/>
      <c r="M518" s="166"/>
      <c r="N518" s="715"/>
      <c r="O518" s="166"/>
      <c r="P518" s="166"/>
      <c r="Q518" s="716"/>
      <c r="R518" s="714"/>
      <c r="S518" s="717"/>
      <c r="T518" s="714"/>
      <c r="U518" s="166"/>
      <c r="V518" s="166"/>
      <c r="W518" s="166"/>
      <c r="X518" s="166"/>
      <c r="Y518" s="718"/>
      <c r="Z518" s="719"/>
      <c r="AA518" s="719"/>
      <c r="AB518" s="166"/>
      <c r="AC518" s="166"/>
      <c r="AD518" s="166"/>
      <c r="AE518" s="87"/>
      <c r="AF518" s="87"/>
      <c r="AG518" s="87"/>
      <c r="AH518" s="87"/>
      <c r="AI518" s="87"/>
      <c r="AJ518" s="87"/>
      <c r="AK518" s="87"/>
      <c r="AL518" s="87"/>
      <c r="AM518" s="87"/>
    </row>
    <row r="519">
      <c r="A519" s="87"/>
      <c r="B519" s="166"/>
      <c r="C519" s="166"/>
      <c r="D519" s="166"/>
      <c r="E519" s="166"/>
      <c r="F519" s="714"/>
      <c r="G519" s="166"/>
      <c r="H519" s="166"/>
      <c r="I519" s="166"/>
      <c r="J519" s="166"/>
      <c r="K519" s="166"/>
      <c r="L519" s="166"/>
      <c r="M519" s="166"/>
      <c r="N519" s="715"/>
      <c r="O519" s="166"/>
      <c r="P519" s="166"/>
      <c r="Q519" s="716"/>
      <c r="R519" s="714"/>
      <c r="S519" s="717"/>
      <c r="T519" s="714"/>
      <c r="U519" s="166"/>
      <c r="V519" s="166"/>
      <c r="W519" s="166"/>
      <c r="X519" s="166"/>
      <c r="Y519" s="718"/>
      <c r="Z519" s="719"/>
      <c r="AA519" s="719"/>
      <c r="AB519" s="166"/>
      <c r="AC519" s="166"/>
      <c r="AD519" s="166"/>
      <c r="AE519" s="87"/>
      <c r="AF519" s="87"/>
      <c r="AG519" s="87"/>
      <c r="AH519" s="87"/>
      <c r="AI519" s="87"/>
      <c r="AJ519" s="87"/>
      <c r="AK519" s="87"/>
      <c r="AL519" s="87"/>
      <c r="AM519" s="87"/>
    </row>
    <row r="520">
      <c r="A520" s="87"/>
      <c r="B520" s="166"/>
      <c r="C520" s="166"/>
      <c r="D520" s="166"/>
      <c r="E520" s="166"/>
      <c r="F520" s="714"/>
      <c r="G520" s="166"/>
      <c r="H520" s="166"/>
      <c r="I520" s="166"/>
      <c r="J520" s="166"/>
      <c r="K520" s="166"/>
      <c r="L520" s="166"/>
      <c r="M520" s="166"/>
      <c r="N520" s="715"/>
      <c r="O520" s="166"/>
      <c r="P520" s="166"/>
      <c r="Q520" s="716"/>
      <c r="R520" s="714"/>
      <c r="S520" s="717"/>
      <c r="T520" s="714"/>
      <c r="U520" s="166"/>
      <c r="V520" s="166"/>
      <c r="W520" s="166"/>
      <c r="X520" s="166"/>
      <c r="Y520" s="718"/>
      <c r="Z520" s="719"/>
      <c r="AA520" s="719"/>
      <c r="AB520" s="166"/>
      <c r="AC520" s="166"/>
      <c r="AD520" s="166"/>
      <c r="AE520" s="87"/>
      <c r="AF520" s="87"/>
      <c r="AG520" s="87"/>
      <c r="AH520" s="87"/>
      <c r="AI520" s="87"/>
      <c r="AJ520" s="87"/>
      <c r="AK520" s="87"/>
      <c r="AL520" s="87"/>
      <c r="AM520" s="87"/>
    </row>
    <row r="521">
      <c r="A521" s="87"/>
      <c r="B521" s="166"/>
      <c r="C521" s="166"/>
      <c r="D521" s="166"/>
      <c r="E521" s="166"/>
      <c r="F521" s="714"/>
      <c r="G521" s="166"/>
      <c r="H521" s="166"/>
      <c r="I521" s="166"/>
      <c r="J521" s="166"/>
      <c r="K521" s="166"/>
      <c r="L521" s="166"/>
      <c r="M521" s="166"/>
      <c r="N521" s="715"/>
      <c r="O521" s="166"/>
      <c r="P521" s="166"/>
      <c r="Q521" s="716"/>
      <c r="R521" s="714"/>
      <c r="S521" s="717"/>
      <c r="T521" s="714"/>
      <c r="U521" s="166"/>
      <c r="V521" s="166"/>
      <c r="W521" s="166"/>
      <c r="X521" s="166"/>
      <c r="Y521" s="718"/>
      <c r="Z521" s="719"/>
      <c r="AA521" s="719"/>
      <c r="AB521" s="166"/>
      <c r="AC521" s="166"/>
      <c r="AD521" s="166"/>
      <c r="AE521" s="87"/>
      <c r="AF521" s="87"/>
      <c r="AG521" s="87"/>
      <c r="AH521" s="87"/>
      <c r="AI521" s="87"/>
      <c r="AJ521" s="87"/>
      <c r="AK521" s="87"/>
      <c r="AL521" s="87"/>
      <c r="AM521" s="87"/>
    </row>
    <row r="522">
      <c r="A522" s="87"/>
      <c r="B522" s="166"/>
      <c r="C522" s="166"/>
      <c r="D522" s="166"/>
      <c r="E522" s="166"/>
      <c r="F522" s="714"/>
      <c r="G522" s="166"/>
      <c r="H522" s="166"/>
      <c r="I522" s="166"/>
      <c r="J522" s="166"/>
      <c r="K522" s="166"/>
      <c r="L522" s="166"/>
      <c r="M522" s="166"/>
      <c r="N522" s="715"/>
      <c r="O522" s="166"/>
      <c r="P522" s="166"/>
      <c r="Q522" s="716"/>
      <c r="R522" s="714"/>
      <c r="S522" s="717"/>
      <c r="T522" s="714"/>
      <c r="U522" s="166"/>
      <c r="V522" s="166"/>
      <c r="W522" s="166"/>
      <c r="X522" s="166"/>
      <c r="Y522" s="718"/>
      <c r="Z522" s="719"/>
      <c r="AA522" s="719"/>
      <c r="AB522" s="166"/>
      <c r="AC522" s="166"/>
      <c r="AD522" s="166"/>
      <c r="AE522" s="87"/>
      <c r="AF522" s="87"/>
      <c r="AG522" s="87"/>
      <c r="AH522" s="87"/>
      <c r="AI522" s="87"/>
      <c r="AJ522" s="87"/>
      <c r="AK522" s="87"/>
      <c r="AL522" s="87"/>
      <c r="AM522" s="87"/>
    </row>
    <row r="523">
      <c r="A523" s="87"/>
      <c r="B523" s="166"/>
      <c r="C523" s="166"/>
      <c r="D523" s="166"/>
      <c r="E523" s="166"/>
      <c r="F523" s="714"/>
      <c r="G523" s="166"/>
      <c r="H523" s="166"/>
      <c r="I523" s="166"/>
      <c r="J523" s="166"/>
      <c r="K523" s="166"/>
      <c r="L523" s="166"/>
      <c r="M523" s="166"/>
      <c r="N523" s="715"/>
      <c r="O523" s="166"/>
      <c r="P523" s="166"/>
      <c r="Q523" s="716"/>
      <c r="R523" s="714"/>
      <c r="S523" s="717"/>
      <c r="T523" s="714"/>
      <c r="U523" s="166"/>
      <c r="V523" s="166"/>
      <c r="W523" s="166"/>
      <c r="X523" s="166"/>
      <c r="Y523" s="718"/>
      <c r="Z523" s="719"/>
      <c r="AA523" s="719"/>
      <c r="AB523" s="166"/>
      <c r="AC523" s="166"/>
      <c r="AD523" s="166"/>
      <c r="AE523" s="87"/>
      <c r="AF523" s="87"/>
      <c r="AG523" s="87"/>
      <c r="AH523" s="87"/>
      <c r="AI523" s="87"/>
      <c r="AJ523" s="87"/>
      <c r="AK523" s="87"/>
      <c r="AL523" s="87"/>
      <c r="AM523" s="87"/>
    </row>
    <row r="524">
      <c r="A524" s="87"/>
      <c r="B524" s="166"/>
      <c r="C524" s="166"/>
      <c r="D524" s="166"/>
      <c r="E524" s="166"/>
      <c r="F524" s="714"/>
      <c r="G524" s="166"/>
      <c r="H524" s="166"/>
      <c r="I524" s="166"/>
      <c r="J524" s="166"/>
      <c r="K524" s="166"/>
      <c r="L524" s="166"/>
      <c r="M524" s="166"/>
      <c r="N524" s="715"/>
      <c r="O524" s="166"/>
      <c r="P524" s="166"/>
      <c r="Q524" s="716"/>
      <c r="R524" s="714"/>
      <c r="S524" s="717"/>
      <c r="T524" s="714"/>
      <c r="U524" s="166"/>
      <c r="V524" s="166"/>
      <c r="W524" s="166"/>
      <c r="X524" s="166"/>
      <c r="Y524" s="718"/>
      <c r="Z524" s="719"/>
      <c r="AA524" s="719"/>
      <c r="AB524" s="166"/>
      <c r="AC524" s="166"/>
      <c r="AD524" s="166"/>
      <c r="AE524" s="87"/>
      <c r="AF524" s="87"/>
      <c r="AG524" s="87"/>
      <c r="AH524" s="87"/>
      <c r="AI524" s="87"/>
      <c r="AJ524" s="87"/>
      <c r="AK524" s="87"/>
      <c r="AL524" s="87"/>
      <c r="AM524" s="87"/>
    </row>
    <row r="525">
      <c r="A525" s="87"/>
      <c r="B525" s="166"/>
      <c r="C525" s="166"/>
      <c r="D525" s="166"/>
      <c r="E525" s="166"/>
      <c r="F525" s="714"/>
      <c r="G525" s="166"/>
      <c r="H525" s="166"/>
      <c r="I525" s="166"/>
      <c r="J525" s="166"/>
      <c r="K525" s="166"/>
      <c r="L525" s="166"/>
      <c r="M525" s="166"/>
      <c r="N525" s="715"/>
      <c r="O525" s="166"/>
      <c r="P525" s="166"/>
      <c r="Q525" s="716"/>
      <c r="R525" s="714"/>
      <c r="S525" s="717"/>
      <c r="T525" s="714"/>
      <c r="U525" s="166"/>
      <c r="V525" s="166"/>
      <c r="W525" s="166"/>
      <c r="X525" s="166"/>
      <c r="Y525" s="718"/>
      <c r="Z525" s="719"/>
      <c r="AA525" s="719"/>
      <c r="AB525" s="166"/>
      <c r="AC525" s="166"/>
      <c r="AD525" s="166"/>
      <c r="AE525" s="87"/>
      <c r="AF525" s="87"/>
      <c r="AG525" s="87"/>
      <c r="AH525" s="87"/>
      <c r="AI525" s="87"/>
      <c r="AJ525" s="87"/>
      <c r="AK525" s="87"/>
      <c r="AL525" s="87"/>
      <c r="AM525" s="87"/>
    </row>
    <row r="526">
      <c r="A526" s="87"/>
      <c r="B526" s="166"/>
      <c r="C526" s="166"/>
      <c r="D526" s="166"/>
      <c r="E526" s="166"/>
      <c r="F526" s="714"/>
      <c r="G526" s="166"/>
      <c r="H526" s="166"/>
      <c r="I526" s="166"/>
      <c r="J526" s="166"/>
      <c r="K526" s="166"/>
      <c r="L526" s="166"/>
      <c r="M526" s="166"/>
      <c r="N526" s="715"/>
      <c r="O526" s="166"/>
      <c r="P526" s="166"/>
      <c r="Q526" s="716"/>
      <c r="R526" s="714"/>
      <c r="S526" s="717"/>
      <c r="T526" s="714"/>
      <c r="U526" s="166"/>
      <c r="V526" s="166"/>
      <c r="W526" s="166"/>
      <c r="X526" s="166"/>
      <c r="Y526" s="718"/>
      <c r="Z526" s="719"/>
      <c r="AA526" s="719"/>
      <c r="AB526" s="166"/>
      <c r="AC526" s="166"/>
      <c r="AD526" s="166"/>
      <c r="AE526" s="87"/>
      <c r="AF526" s="87"/>
      <c r="AG526" s="87"/>
      <c r="AH526" s="87"/>
      <c r="AI526" s="87"/>
      <c r="AJ526" s="87"/>
      <c r="AK526" s="87"/>
      <c r="AL526" s="87"/>
      <c r="AM526" s="87"/>
    </row>
    <row r="527">
      <c r="A527" s="87"/>
      <c r="B527" s="166"/>
      <c r="C527" s="166"/>
      <c r="D527" s="166"/>
      <c r="E527" s="166"/>
      <c r="F527" s="714"/>
      <c r="G527" s="166"/>
      <c r="H527" s="166"/>
      <c r="I527" s="166"/>
      <c r="J527" s="166"/>
      <c r="K527" s="166"/>
      <c r="L527" s="166"/>
      <c r="M527" s="166"/>
      <c r="N527" s="715"/>
      <c r="O527" s="166"/>
      <c r="P527" s="166"/>
      <c r="Q527" s="716"/>
      <c r="R527" s="714"/>
      <c r="S527" s="717"/>
      <c r="T527" s="714"/>
      <c r="U527" s="166"/>
      <c r="V527" s="166"/>
      <c r="W527" s="166"/>
      <c r="X527" s="166"/>
      <c r="Y527" s="718"/>
      <c r="Z527" s="719"/>
      <c r="AA527" s="719"/>
      <c r="AB527" s="166"/>
      <c r="AC527" s="166"/>
      <c r="AD527" s="166"/>
      <c r="AE527" s="87"/>
      <c r="AF527" s="87"/>
      <c r="AG527" s="87"/>
      <c r="AH527" s="87"/>
      <c r="AI527" s="87"/>
      <c r="AJ527" s="87"/>
      <c r="AK527" s="87"/>
      <c r="AL527" s="87"/>
      <c r="AM527" s="87"/>
    </row>
    <row r="528">
      <c r="A528" s="87"/>
      <c r="B528" s="166"/>
      <c r="C528" s="166"/>
      <c r="D528" s="166"/>
      <c r="E528" s="166"/>
      <c r="F528" s="714"/>
      <c r="G528" s="166"/>
      <c r="H528" s="166"/>
      <c r="I528" s="166"/>
      <c r="J528" s="166"/>
      <c r="K528" s="166"/>
      <c r="L528" s="166"/>
      <c r="M528" s="166"/>
      <c r="N528" s="715"/>
      <c r="O528" s="166"/>
      <c r="P528" s="166"/>
      <c r="Q528" s="716"/>
      <c r="R528" s="714"/>
      <c r="S528" s="717"/>
      <c r="T528" s="714"/>
      <c r="U528" s="166"/>
      <c r="V528" s="166"/>
      <c r="W528" s="166"/>
      <c r="X528" s="166"/>
      <c r="Y528" s="718"/>
      <c r="Z528" s="719"/>
      <c r="AA528" s="719"/>
      <c r="AB528" s="166"/>
      <c r="AC528" s="166"/>
      <c r="AD528" s="166"/>
      <c r="AE528" s="87"/>
      <c r="AF528" s="87"/>
      <c r="AG528" s="87"/>
      <c r="AH528" s="87"/>
      <c r="AI528" s="87"/>
      <c r="AJ528" s="87"/>
      <c r="AK528" s="87"/>
      <c r="AL528" s="87"/>
      <c r="AM528" s="87"/>
    </row>
    <row r="529">
      <c r="A529" s="87"/>
      <c r="B529" s="166"/>
      <c r="C529" s="166"/>
      <c r="D529" s="166"/>
      <c r="E529" s="166"/>
      <c r="F529" s="714"/>
      <c r="G529" s="166"/>
      <c r="H529" s="166"/>
      <c r="I529" s="166"/>
      <c r="J529" s="166"/>
      <c r="K529" s="166"/>
      <c r="L529" s="166"/>
      <c r="M529" s="166"/>
      <c r="N529" s="715"/>
      <c r="O529" s="166"/>
      <c r="P529" s="166"/>
      <c r="Q529" s="716"/>
      <c r="R529" s="714"/>
      <c r="S529" s="717"/>
      <c r="T529" s="714"/>
      <c r="U529" s="166"/>
      <c r="V529" s="166"/>
      <c r="W529" s="166"/>
      <c r="X529" s="166"/>
      <c r="Y529" s="718"/>
      <c r="Z529" s="719"/>
      <c r="AA529" s="719"/>
      <c r="AB529" s="166"/>
      <c r="AC529" s="166"/>
      <c r="AD529" s="166"/>
      <c r="AE529" s="87"/>
      <c r="AF529" s="87"/>
      <c r="AG529" s="87"/>
      <c r="AH529" s="87"/>
      <c r="AI529" s="87"/>
      <c r="AJ529" s="87"/>
      <c r="AK529" s="87"/>
      <c r="AL529" s="87"/>
      <c r="AM529" s="87"/>
    </row>
    <row r="530">
      <c r="A530" s="87"/>
      <c r="B530" s="166"/>
      <c r="C530" s="166"/>
      <c r="D530" s="166"/>
      <c r="E530" s="166"/>
      <c r="F530" s="714"/>
      <c r="G530" s="166"/>
      <c r="H530" s="166"/>
      <c r="I530" s="166"/>
      <c r="J530" s="166"/>
      <c r="K530" s="166"/>
      <c r="L530" s="166"/>
      <c r="M530" s="166"/>
      <c r="N530" s="715"/>
      <c r="O530" s="166"/>
      <c r="P530" s="166"/>
      <c r="Q530" s="716"/>
      <c r="R530" s="714"/>
      <c r="S530" s="717"/>
      <c r="T530" s="714"/>
      <c r="U530" s="166"/>
      <c r="V530" s="166"/>
      <c r="W530" s="166"/>
      <c r="X530" s="166"/>
      <c r="Y530" s="718"/>
      <c r="Z530" s="719"/>
      <c r="AA530" s="719"/>
      <c r="AB530" s="166"/>
      <c r="AC530" s="166"/>
      <c r="AD530" s="166"/>
      <c r="AE530" s="87"/>
      <c r="AF530" s="87"/>
      <c r="AG530" s="87"/>
      <c r="AH530" s="87"/>
      <c r="AI530" s="87"/>
      <c r="AJ530" s="87"/>
      <c r="AK530" s="87"/>
      <c r="AL530" s="87"/>
      <c r="AM530" s="87"/>
    </row>
    <row r="531">
      <c r="A531" s="87"/>
      <c r="B531" s="166"/>
      <c r="C531" s="166"/>
      <c r="D531" s="166"/>
      <c r="E531" s="166"/>
      <c r="F531" s="714"/>
      <c r="G531" s="166"/>
      <c r="H531" s="166"/>
      <c r="I531" s="166"/>
      <c r="J531" s="166"/>
      <c r="K531" s="166"/>
      <c r="L531" s="166"/>
      <c r="M531" s="166"/>
      <c r="N531" s="715"/>
      <c r="O531" s="166"/>
      <c r="P531" s="166"/>
      <c r="Q531" s="716"/>
      <c r="R531" s="714"/>
      <c r="S531" s="717"/>
      <c r="T531" s="714"/>
      <c r="U531" s="166"/>
      <c r="V531" s="166"/>
      <c r="W531" s="166"/>
      <c r="X531" s="166"/>
      <c r="Y531" s="718"/>
      <c r="Z531" s="719"/>
      <c r="AA531" s="719"/>
      <c r="AB531" s="166"/>
      <c r="AC531" s="166"/>
      <c r="AD531" s="166"/>
      <c r="AE531" s="87"/>
      <c r="AF531" s="87"/>
      <c r="AG531" s="87"/>
      <c r="AH531" s="87"/>
      <c r="AI531" s="87"/>
      <c r="AJ531" s="87"/>
      <c r="AK531" s="87"/>
      <c r="AL531" s="87"/>
      <c r="AM531" s="87"/>
    </row>
    <row r="532">
      <c r="A532" s="87"/>
      <c r="B532" s="166"/>
      <c r="C532" s="166"/>
      <c r="D532" s="166"/>
      <c r="E532" s="166"/>
      <c r="F532" s="714"/>
      <c r="G532" s="166"/>
      <c r="H532" s="166"/>
      <c r="I532" s="166"/>
      <c r="J532" s="166"/>
      <c r="K532" s="166"/>
      <c r="L532" s="166"/>
      <c r="M532" s="166"/>
      <c r="N532" s="715"/>
      <c r="O532" s="166"/>
      <c r="P532" s="166"/>
      <c r="Q532" s="716"/>
      <c r="R532" s="714"/>
      <c r="S532" s="717"/>
      <c r="T532" s="714"/>
      <c r="U532" s="166"/>
      <c r="V532" s="166"/>
      <c r="W532" s="166"/>
      <c r="X532" s="166"/>
      <c r="Y532" s="718"/>
      <c r="Z532" s="719"/>
      <c r="AA532" s="719"/>
      <c r="AB532" s="166"/>
      <c r="AC532" s="166"/>
      <c r="AD532" s="166"/>
      <c r="AE532" s="87"/>
      <c r="AF532" s="87"/>
      <c r="AG532" s="87"/>
      <c r="AH532" s="87"/>
      <c r="AI532" s="87"/>
      <c r="AJ532" s="87"/>
      <c r="AK532" s="87"/>
      <c r="AL532" s="87"/>
      <c r="AM532" s="87"/>
    </row>
    <row r="533">
      <c r="A533" s="87"/>
      <c r="B533" s="166"/>
      <c r="C533" s="166"/>
      <c r="D533" s="166"/>
      <c r="E533" s="166"/>
      <c r="F533" s="714"/>
      <c r="G533" s="166"/>
      <c r="H533" s="166"/>
      <c r="I533" s="166"/>
      <c r="J533" s="166"/>
      <c r="K533" s="166"/>
      <c r="L533" s="166"/>
      <c r="M533" s="166"/>
      <c r="N533" s="715"/>
      <c r="O533" s="166"/>
      <c r="P533" s="166"/>
      <c r="Q533" s="716"/>
      <c r="R533" s="714"/>
      <c r="S533" s="717"/>
      <c r="T533" s="714"/>
      <c r="U533" s="166"/>
      <c r="V533" s="166"/>
      <c r="W533" s="166"/>
      <c r="X533" s="166"/>
      <c r="Y533" s="718"/>
      <c r="Z533" s="719"/>
      <c r="AA533" s="719"/>
      <c r="AB533" s="166"/>
      <c r="AC533" s="166"/>
      <c r="AD533" s="166"/>
      <c r="AE533" s="87"/>
      <c r="AF533" s="87"/>
      <c r="AG533" s="87"/>
      <c r="AH533" s="87"/>
      <c r="AI533" s="87"/>
      <c r="AJ533" s="87"/>
      <c r="AK533" s="87"/>
      <c r="AL533" s="87"/>
      <c r="AM533" s="87"/>
    </row>
    <row r="534">
      <c r="A534" s="87"/>
      <c r="B534" s="166"/>
      <c r="C534" s="166"/>
      <c r="D534" s="166"/>
      <c r="E534" s="166"/>
      <c r="F534" s="714"/>
      <c r="G534" s="166"/>
      <c r="H534" s="166"/>
      <c r="I534" s="166"/>
      <c r="J534" s="166"/>
      <c r="K534" s="166"/>
      <c r="L534" s="166"/>
      <c r="M534" s="166"/>
      <c r="N534" s="715"/>
      <c r="O534" s="166"/>
      <c r="P534" s="166"/>
      <c r="Q534" s="716"/>
      <c r="R534" s="714"/>
      <c r="S534" s="717"/>
      <c r="T534" s="714"/>
      <c r="U534" s="166"/>
      <c r="V534" s="166"/>
      <c r="W534" s="166"/>
      <c r="X534" s="166"/>
      <c r="Y534" s="718"/>
      <c r="Z534" s="719"/>
      <c r="AA534" s="719"/>
      <c r="AB534" s="166"/>
      <c r="AC534" s="166"/>
      <c r="AD534" s="166"/>
      <c r="AE534" s="87"/>
      <c r="AF534" s="87"/>
      <c r="AG534" s="87"/>
      <c r="AH534" s="87"/>
      <c r="AI534" s="87"/>
      <c r="AJ534" s="87"/>
      <c r="AK534" s="87"/>
      <c r="AL534" s="87"/>
      <c r="AM534" s="87"/>
    </row>
    <row r="535">
      <c r="A535" s="87"/>
      <c r="B535" s="166"/>
      <c r="C535" s="166"/>
      <c r="D535" s="166"/>
      <c r="E535" s="166"/>
      <c r="F535" s="714"/>
      <c r="G535" s="166"/>
      <c r="H535" s="166"/>
      <c r="I535" s="166"/>
      <c r="J535" s="166"/>
      <c r="K535" s="166"/>
      <c r="L535" s="166"/>
      <c r="M535" s="166"/>
      <c r="N535" s="715"/>
      <c r="O535" s="166"/>
      <c r="P535" s="166"/>
      <c r="Q535" s="716"/>
      <c r="R535" s="714"/>
      <c r="S535" s="717"/>
      <c r="T535" s="714"/>
      <c r="U535" s="166"/>
      <c r="V535" s="166"/>
      <c r="W535" s="166"/>
      <c r="X535" s="166"/>
      <c r="Y535" s="718"/>
      <c r="Z535" s="719"/>
      <c r="AA535" s="719"/>
      <c r="AB535" s="166"/>
      <c r="AC535" s="166"/>
      <c r="AD535" s="166"/>
      <c r="AE535" s="87"/>
      <c r="AF535" s="87"/>
      <c r="AG535" s="87"/>
      <c r="AH535" s="87"/>
      <c r="AI535" s="87"/>
      <c r="AJ535" s="87"/>
      <c r="AK535" s="87"/>
      <c r="AL535" s="87"/>
      <c r="AM535" s="87"/>
    </row>
    <row r="536">
      <c r="A536" s="87"/>
      <c r="B536" s="166"/>
      <c r="C536" s="166"/>
      <c r="D536" s="166"/>
      <c r="E536" s="166"/>
      <c r="F536" s="714"/>
      <c r="G536" s="166"/>
      <c r="H536" s="166"/>
      <c r="I536" s="166"/>
      <c r="J536" s="166"/>
      <c r="K536" s="166"/>
      <c r="L536" s="166"/>
      <c r="M536" s="166"/>
      <c r="N536" s="715"/>
      <c r="O536" s="166"/>
      <c r="P536" s="166"/>
      <c r="Q536" s="716"/>
      <c r="R536" s="714"/>
      <c r="S536" s="717"/>
      <c r="T536" s="714"/>
      <c r="U536" s="166"/>
      <c r="V536" s="166"/>
      <c r="W536" s="166"/>
      <c r="X536" s="166"/>
      <c r="Y536" s="718"/>
      <c r="Z536" s="719"/>
      <c r="AA536" s="719"/>
      <c r="AB536" s="166"/>
      <c r="AC536" s="166"/>
      <c r="AD536" s="166"/>
      <c r="AE536" s="87"/>
      <c r="AF536" s="87"/>
      <c r="AG536" s="87"/>
      <c r="AH536" s="87"/>
      <c r="AI536" s="87"/>
      <c r="AJ536" s="87"/>
      <c r="AK536" s="87"/>
      <c r="AL536" s="87"/>
      <c r="AM536" s="87"/>
    </row>
    <row r="537">
      <c r="A537" s="87"/>
      <c r="B537" s="166"/>
      <c r="C537" s="166"/>
      <c r="D537" s="166"/>
      <c r="E537" s="166"/>
      <c r="F537" s="714"/>
      <c r="G537" s="166"/>
      <c r="H537" s="166"/>
      <c r="I537" s="166"/>
      <c r="J537" s="166"/>
      <c r="K537" s="166"/>
      <c r="L537" s="166"/>
      <c r="M537" s="166"/>
      <c r="N537" s="715"/>
      <c r="O537" s="166"/>
      <c r="P537" s="166"/>
      <c r="Q537" s="716"/>
      <c r="R537" s="714"/>
      <c r="S537" s="717"/>
      <c r="T537" s="714"/>
      <c r="U537" s="166"/>
      <c r="V537" s="166"/>
      <c r="W537" s="166"/>
      <c r="X537" s="166"/>
      <c r="Y537" s="718"/>
      <c r="Z537" s="719"/>
      <c r="AA537" s="719"/>
      <c r="AB537" s="166"/>
      <c r="AC537" s="166"/>
      <c r="AD537" s="166"/>
      <c r="AE537" s="87"/>
      <c r="AF537" s="87"/>
      <c r="AG537" s="87"/>
      <c r="AH537" s="87"/>
      <c r="AI537" s="87"/>
      <c r="AJ537" s="87"/>
      <c r="AK537" s="87"/>
      <c r="AL537" s="87"/>
      <c r="AM537" s="87"/>
    </row>
    <row r="538">
      <c r="A538" s="87"/>
      <c r="B538" s="166"/>
      <c r="C538" s="166"/>
      <c r="D538" s="166"/>
      <c r="E538" s="166"/>
      <c r="F538" s="714"/>
      <c r="G538" s="166"/>
      <c r="H538" s="166"/>
      <c r="I538" s="166"/>
      <c r="J538" s="166"/>
      <c r="K538" s="166"/>
      <c r="L538" s="166"/>
      <c r="M538" s="166"/>
      <c r="N538" s="715"/>
      <c r="O538" s="166"/>
      <c r="P538" s="166"/>
      <c r="Q538" s="716"/>
      <c r="R538" s="714"/>
      <c r="S538" s="717"/>
      <c r="T538" s="714"/>
      <c r="U538" s="166"/>
      <c r="V538" s="166"/>
      <c r="W538" s="166"/>
      <c r="X538" s="166"/>
      <c r="Y538" s="718"/>
      <c r="Z538" s="719"/>
      <c r="AA538" s="719"/>
      <c r="AB538" s="166"/>
      <c r="AC538" s="166"/>
      <c r="AD538" s="166"/>
      <c r="AE538" s="87"/>
      <c r="AF538" s="87"/>
      <c r="AG538" s="87"/>
      <c r="AH538" s="87"/>
      <c r="AI538" s="87"/>
      <c r="AJ538" s="87"/>
      <c r="AK538" s="87"/>
      <c r="AL538" s="87"/>
      <c r="AM538" s="87"/>
    </row>
    <row r="539">
      <c r="A539" s="87"/>
      <c r="B539" s="166"/>
      <c r="C539" s="166"/>
      <c r="D539" s="166"/>
      <c r="E539" s="166"/>
      <c r="F539" s="714"/>
      <c r="G539" s="166"/>
      <c r="H539" s="166"/>
      <c r="I539" s="166"/>
      <c r="J539" s="166"/>
      <c r="K539" s="166"/>
      <c r="L539" s="166"/>
      <c r="M539" s="166"/>
      <c r="N539" s="715"/>
      <c r="O539" s="166"/>
      <c r="P539" s="166"/>
      <c r="Q539" s="716"/>
      <c r="R539" s="714"/>
      <c r="S539" s="717"/>
      <c r="T539" s="714"/>
      <c r="U539" s="166"/>
      <c r="V539" s="166"/>
      <c r="W539" s="166"/>
      <c r="X539" s="166"/>
      <c r="Y539" s="718"/>
      <c r="Z539" s="719"/>
      <c r="AA539" s="719"/>
      <c r="AB539" s="166"/>
      <c r="AC539" s="166"/>
      <c r="AD539" s="166"/>
      <c r="AE539" s="87"/>
      <c r="AF539" s="87"/>
      <c r="AG539" s="87"/>
      <c r="AH539" s="87"/>
      <c r="AI539" s="87"/>
      <c r="AJ539" s="87"/>
      <c r="AK539" s="87"/>
      <c r="AL539" s="87"/>
      <c r="AM539" s="87"/>
    </row>
    <row r="540">
      <c r="A540" s="87"/>
      <c r="B540" s="166"/>
      <c r="C540" s="166"/>
      <c r="D540" s="166"/>
      <c r="E540" s="166"/>
      <c r="F540" s="714"/>
      <c r="G540" s="166"/>
      <c r="H540" s="166"/>
      <c r="I540" s="166"/>
      <c r="J540" s="166"/>
      <c r="K540" s="166"/>
      <c r="L540" s="166"/>
      <c r="M540" s="166"/>
      <c r="N540" s="715"/>
      <c r="O540" s="166"/>
      <c r="P540" s="166"/>
      <c r="Q540" s="716"/>
      <c r="R540" s="714"/>
      <c r="S540" s="717"/>
      <c r="T540" s="714"/>
      <c r="U540" s="166"/>
      <c r="V540" s="166"/>
      <c r="W540" s="166"/>
      <c r="X540" s="166"/>
      <c r="Y540" s="718"/>
      <c r="Z540" s="719"/>
      <c r="AA540" s="719"/>
      <c r="AB540" s="166"/>
      <c r="AC540" s="166"/>
      <c r="AD540" s="166"/>
      <c r="AE540" s="87"/>
      <c r="AF540" s="87"/>
      <c r="AG540" s="87"/>
      <c r="AH540" s="87"/>
      <c r="AI540" s="87"/>
      <c r="AJ540" s="87"/>
      <c r="AK540" s="87"/>
      <c r="AL540" s="87"/>
      <c r="AM540" s="87"/>
    </row>
    <row r="541">
      <c r="A541" s="87"/>
      <c r="B541" s="166"/>
      <c r="C541" s="166"/>
      <c r="D541" s="166"/>
      <c r="E541" s="166"/>
      <c r="F541" s="714"/>
      <c r="G541" s="166"/>
      <c r="H541" s="166"/>
      <c r="I541" s="166"/>
      <c r="J541" s="166"/>
      <c r="K541" s="166"/>
      <c r="L541" s="166"/>
      <c r="M541" s="166"/>
      <c r="N541" s="715"/>
      <c r="O541" s="166"/>
      <c r="P541" s="166"/>
      <c r="Q541" s="716"/>
      <c r="R541" s="714"/>
      <c r="S541" s="717"/>
      <c r="T541" s="714"/>
      <c r="U541" s="166"/>
      <c r="V541" s="166"/>
      <c r="W541" s="166"/>
      <c r="X541" s="166"/>
      <c r="Y541" s="718"/>
      <c r="Z541" s="719"/>
      <c r="AA541" s="719"/>
      <c r="AB541" s="166"/>
      <c r="AC541" s="166"/>
      <c r="AD541" s="166"/>
      <c r="AE541" s="87"/>
      <c r="AF541" s="87"/>
      <c r="AG541" s="87"/>
      <c r="AH541" s="87"/>
      <c r="AI541" s="87"/>
      <c r="AJ541" s="87"/>
      <c r="AK541" s="87"/>
      <c r="AL541" s="87"/>
      <c r="AM541" s="87"/>
    </row>
    <row r="542">
      <c r="A542" s="87"/>
      <c r="B542" s="166"/>
      <c r="C542" s="166"/>
      <c r="D542" s="166"/>
      <c r="E542" s="166"/>
      <c r="F542" s="714"/>
      <c r="G542" s="166"/>
      <c r="H542" s="166"/>
      <c r="I542" s="166"/>
      <c r="J542" s="166"/>
      <c r="K542" s="166"/>
      <c r="L542" s="166"/>
      <c r="M542" s="166"/>
      <c r="N542" s="715"/>
      <c r="O542" s="166"/>
      <c r="P542" s="166"/>
      <c r="Q542" s="716"/>
      <c r="R542" s="714"/>
      <c r="S542" s="717"/>
      <c r="T542" s="714"/>
      <c r="U542" s="166"/>
      <c r="V542" s="166"/>
      <c r="W542" s="166"/>
      <c r="X542" s="166"/>
      <c r="Y542" s="718"/>
      <c r="Z542" s="719"/>
      <c r="AA542" s="719"/>
      <c r="AB542" s="166"/>
      <c r="AC542" s="166"/>
      <c r="AD542" s="166"/>
      <c r="AE542" s="87"/>
      <c r="AF542" s="87"/>
      <c r="AG542" s="87"/>
      <c r="AH542" s="87"/>
      <c r="AI542" s="87"/>
      <c r="AJ542" s="87"/>
      <c r="AK542" s="87"/>
      <c r="AL542" s="87"/>
      <c r="AM542" s="87"/>
    </row>
    <row r="543">
      <c r="A543" s="87"/>
      <c r="B543" s="166"/>
      <c r="C543" s="166"/>
      <c r="D543" s="166"/>
      <c r="E543" s="166"/>
      <c r="F543" s="714"/>
      <c r="G543" s="166"/>
      <c r="H543" s="166"/>
      <c r="I543" s="166"/>
      <c r="J543" s="166"/>
      <c r="K543" s="166"/>
      <c r="L543" s="166"/>
      <c r="M543" s="166"/>
      <c r="N543" s="715"/>
      <c r="O543" s="166"/>
      <c r="P543" s="166"/>
      <c r="Q543" s="716"/>
      <c r="R543" s="714"/>
      <c r="S543" s="717"/>
      <c r="T543" s="714"/>
      <c r="U543" s="166"/>
      <c r="V543" s="166"/>
      <c r="W543" s="166"/>
      <c r="X543" s="166"/>
      <c r="Y543" s="718"/>
      <c r="Z543" s="719"/>
      <c r="AA543" s="719"/>
      <c r="AB543" s="166"/>
      <c r="AC543" s="166"/>
      <c r="AD543" s="166"/>
      <c r="AE543" s="87"/>
      <c r="AF543" s="87"/>
      <c r="AG543" s="87"/>
      <c r="AH543" s="87"/>
      <c r="AI543" s="87"/>
      <c r="AJ543" s="87"/>
      <c r="AK543" s="87"/>
      <c r="AL543" s="87"/>
      <c r="AM543" s="87"/>
    </row>
    <row r="544">
      <c r="A544" s="87"/>
      <c r="B544" s="166"/>
      <c r="C544" s="166"/>
      <c r="D544" s="166"/>
      <c r="E544" s="166"/>
      <c r="F544" s="714"/>
      <c r="G544" s="166"/>
      <c r="H544" s="166"/>
      <c r="I544" s="166"/>
      <c r="J544" s="166"/>
      <c r="K544" s="166"/>
      <c r="L544" s="166"/>
      <c r="M544" s="166"/>
      <c r="N544" s="715"/>
      <c r="O544" s="166"/>
      <c r="P544" s="166"/>
      <c r="Q544" s="716"/>
      <c r="R544" s="714"/>
      <c r="S544" s="717"/>
      <c r="T544" s="714"/>
      <c r="U544" s="166"/>
      <c r="V544" s="166"/>
      <c r="W544" s="166"/>
      <c r="X544" s="166"/>
      <c r="Y544" s="718"/>
      <c r="Z544" s="719"/>
      <c r="AA544" s="719"/>
      <c r="AB544" s="166"/>
      <c r="AC544" s="166"/>
      <c r="AD544" s="166"/>
      <c r="AE544" s="87"/>
      <c r="AF544" s="87"/>
      <c r="AG544" s="87"/>
      <c r="AH544" s="87"/>
      <c r="AI544" s="87"/>
      <c r="AJ544" s="87"/>
      <c r="AK544" s="87"/>
      <c r="AL544" s="87"/>
      <c r="AM544" s="87"/>
    </row>
    <row r="545">
      <c r="A545" s="87"/>
      <c r="B545" s="166"/>
      <c r="C545" s="166"/>
      <c r="D545" s="166"/>
      <c r="E545" s="166"/>
      <c r="F545" s="714"/>
      <c r="G545" s="166"/>
      <c r="H545" s="166"/>
      <c r="I545" s="166"/>
      <c r="J545" s="166"/>
      <c r="K545" s="166"/>
      <c r="L545" s="166"/>
      <c r="M545" s="166"/>
      <c r="N545" s="715"/>
      <c r="O545" s="166"/>
      <c r="P545" s="166"/>
      <c r="Q545" s="716"/>
      <c r="R545" s="714"/>
      <c r="S545" s="717"/>
      <c r="T545" s="714"/>
      <c r="U545" s="166"/>
      <c r="V545" s="166"/>
      <c r="W545" s="166"/>
      <c r="X545" s="166"/>
      <c r="Y545" s="718"/>
      <c r="Z545" s="719"/>
      <c r="AA545" s="719"/>
      <c r="AB545" s="166"/>
      <c r="AC545" s="166"/>
      <c r="AD545" s="166"/>
      <c r="AE545" s="87"/>
      <c r="AF545" s="87"/>
      <c r="AG545" s="87"/>
      <c r="AH545" s="87"/>
      <c r="AI545" s="87"/>
      <c r="AJ545" s="87"/>
      <c r="AK545" s="87"/>
      <c r="AL545" s="87"/>
      <c r="AM545" s="87"/>
    </row>
    <row r="546">
      <c r="A546" s="87"/>
      <c r="B546" s="166"/>
      <c r="C546" s="166"/>
      <c r="D546" s="166"/>
      <c r="E546" s="166"/>
      <c r="F546" s="714"/>
      <c r="G546" s="166"/>
      <c r="H546" s="166"/>
      <c r="I546" s="166"/>
      <c r="J546" s="166"/>
      <c r="K546" s="166"/>
      <c r="L546" s="166"/>
      <c r="M546" s="166"/>
      <c r="N546" s="715"/>
      <c r="O546" s="166"/>
      <c r="P546" s="166"/>
      <c r="Q546" s="716"/>
      <c r="R546" s="714"/>
      <c r="S546" s="717"/>
      <c r="T546" s="714"/>
      <c r="U546" s="166"/>
      <c r="V546" s="166"/>
      <c r="W546" s="166"/>
      <c r="X546" s="166"/>
      <c r="Y546" s="718"/>
      <c r="Z546" s="719"/>
      <c r="AA546" s="719"/>
      <c r="AB546" s="166"/>
      <c r="AC546" s="166"/>
      <c r="AD546" s="166"/>
      <c r="AE546" s="87"/>
      <c r="AF546" s="87"/>
      <c r="AG546" s="87"/>
      <c r="AH546" s="87"/>
      <c r="AI546" s="87"/>
      <c r="AJ546" s="87"/>
      <c r="AK546" s="87"/>
      <c r="AL546" s="87"/>
      <c r="AM546" s="87"/>
    </row>
    <row r="547">
      <c r="A547" s="87"/>
      <c r="B547" s="166"/>
      <c r="C547" s="166"/>
      <c r="D547" s="166"/>
      <c r="E547" s="166"/>
      <c r="F547" s="714"/>
      <c r="G547" s="166"/>
      <c r="H547" s="166"/>
      <c r="I547" s="166"/>
      <c r="J547" s="166"/>
      <c r="K547" s="166"/>
      <c r="L547" s="166"/>
      <c r="M547" s="166"/>
      <c r="N547" s="715"/>
      <c r="O547" s="166"/>
      <c r="P547" s="166"/>
      <c r="Q547" s="716"/>
      <c r="R547" s="714"/>
      <c r="S547" s="717"/>
      <c r="T547" s="714"/>
      <c r="U547" s="166"/>
      <c r="V547" s="166"/>
      <c r="W547" s="166"/>
      <c r="X547" s="166"/>
      <c r="Y547" s="718"/>
      <c r="Z547" s="719"/>
      <c r="AA547" s="719"/>
      <c r="AB547" s="166"/>
      <c r="AC547" s="166"/>
      <c r="AD547" s="166"/>
      <c r="AE547" s="87"/>
      <c r="AF547" s="87"/>
      <c r="AG547" s="87"/>
      <c r="AH547" s="87"/>
      <c r="AI547" s="87"/>
      <c r="AJ547" s="87"/>
      <c r="AK547" s="87"/>
      <c r="AL547" s="87"/>
      <c r="AM547" s="87"/>
    </row>
    <row r="548">
      <c r="A548" s="87"/>
      <c r="B548" s="166"/>
      <c r="C548" s="166"/>
      <c r="D548" s="166"/>
      <c r="E548" s="166"/>
      <c r="F548" s="714"/>
      <c r="G548" s="166"/>
      <c r="H548" s="166"/>
      <c r="I548" s="166"/>
      <c r="J548" s="166"/>
      <c r="K548" s="166"/>
      <c r="L548" s="166"/>
      <c r="M548" s="166"/>
      <c r="N548" s="715"/>
      <c r="O548" s="166"/>
      <c r="P548" s="166"/>
      <c r="Q548" s="716"/>
      <c r="R548" s="714"/>
      <c r="S548" s="717"/>
      <c r="T548" s="714"/>
      <c r="U548" s="166"/>
      <c r="V548" s="166"/>
      <c r="W548" s="166"/>
      <c r="X548" s="166"/>
      <c r="Y548" s="718"/>
      <c r="Z548" s="719"/>
      <c r="AA548" s="719"/>
      <c r="AB548" s="166"/>
      <c r="AC548" s="166"/>
      <c r="AD548" s="166"/>
      <c r="AE548" s="87"/>
      <c r="AF548" s="87"/>
      <c r="AG548" s="87"/>
      <c r="AH548" s="87"/>
      <c r="AI548" s="87"/>
      <c r="AJ548" s="87"/>
      <c r="AK548" s="87"/>
      <c r="AL548" s="87"/>
      <c r="AM548" s="87"/>
    </row>
    <row r="549">
      <c r="A549" s="87"/>
      <c r="B549" s="166"/>
      <c r="C549" s="166"/>
      <c r="D549" s="166"/>
      <c r="E549" s="166"/>
      <c r="F549" s="714"/>
      <c r="G549" s="166"/>
      <c r="H549" s="166"/>
      <c r="I549" s="166"/>
      <c r="J549" s="166"/>
      <c r="K549" s="166"/>
      <c r="L549" s="166"/>
      <c r="M549" s="166"/>
      <c r="N549" s="715"/>
      <c r="O549" s="166"/>
      <c r="P549" s="166"/>
      <c r="Q549" s="716"/>
      <c r="R549" s="714"/>
      <c r="S549" s="717"/>
      <c r="T549" s="714"/>
      <c r="U549" s="166"/>
      <c r="V549" s="166"/>
      <c r="W549" s="166"/>
      <c r="X549" s="166"/>
      <c r="Y549" s="718"/>
      <c r="Z549" s="719"/>
      <c r="AA549" s="719"/>
      <c r="AB549" s="166"/>
      <c r="AC549" s="166"/>
      <c r="AD549" s="166"/>
      <c r="AE549" s="87"/>
      <c r="AF549" s="87"/>
      <c r="AG549" s="87"/>
      <c r="AH549" s="87"/>
      <c r="AI549" s="87"/>
      <c r="AJ549" s="87"/>
      <c r="AK549" s="87"/>
      <c r="AL549" s="87"/>
      <c r="AM549" s="87"/>
    </row>
    <row r="550">
      <c r="A550" s="87"/>
      <c r="B550" s="166"/>
      <c r="C550" s="166"/>
      <c r="D550" s="166"/>
      <c r="E550" s="166"/>
      <c r="F550" s="714"/>
      <c r="G550" s="166"/>
      <c r="H550" s="166"/>
      <c r="I550" s="166"/>
      <c r="J550" s="166"/>
      <c r="K550" s="166"/>
      <c r="L550" s="166"/>
      <c r="M550" s="166"/>
      <c r="N550" s="715"/>
      <c r="O550" s="166"/>
      <c r="P550" s="166"/>
      <c r="Q550" s="716"/>
      <c r="R550" s="714"/>
      <c r="S550" s="717"/>
      <c r="T550" s="714"/>
      <c r="U550" s="166"/>
      <c r="V550" s="166"/>
      <c r="W550" s="166"/>
      <c r="X550" s="166"/>
      <c r="Y550" s="718"/>
      <c r="Z550" s="719"/>
      <c r="AA550" s="719"/>
      <c r="AB550" s="166"/>
      <c r="AC550" s="166"/>
      <c r="AD550" s="166"/>
      <c r="AE550" s="87"/>
      <c r="AF550" s="87"/>
      <c r="AG550" s="87"/>
      <c r="AH550" s="87"/>
      <c r="AI550" s="87"/>
      <c r="AJ550" s="87"/>
      <c r="AK550" s="87"/>
      <c r="AL550" s="87"/>
      <c r="AM550" s="87"/>
    </row>
    <row r="551">
      <c r="A551" s="87"/>
      <c r="B551" s="166"/>
      <c r="C551" s="166"/>
      <c r="D551" s="166"/>
      <c r="E551" s="166"/>
      <c r="F551" s="714"/>
      <c r="G551" s="166"/>
      <c r="H551" s="166"/>
      <c r="I551" s="166"/>
      <c r="J551" s="166"/>
      <c r="K551" s="166"/>
      <c r="L551" s="166"/>
      <c r="M551" s="166"/>
      <c r="N551" s="715"/>
      <c r="O551" s="166"/>
      <c r="P551" s="166"/>
      <c r="Q551" s="716"/>
      <c r="R551" s="714"/>
      <c r="S551" s="717"/>
      <c r="T551" s="714"/>
      <c r="U551" s="166"/>
      <c r="V551" s="166"/>
      <c r="W551" s="166"/>
      <c r="X551" s="166"/>
      <c r="Y551" s="718"/>
      <c r="Z551" s="719"/>
      <c r="AA551" s="719"/>
      <c r="AB551" s="166"/>
      <c r="AC551" s="166"/>
      <c r="AD551" s="166"/>
      <c r="AE551" s="87"/>
      <c r="AF551" s="87"/>
      <c r="AG551" s="87"/>
      <c r="AH551" s="87"/>
      <c r="AI551" s="87"/>
      <c r="AJ551" s="87"/>
      <c r="AK551" s="87"/>
      <c r="AL551" s="87"/>
      <c r="AM551" s="87"/>
    </row>
    <row r="552">
      <c r="A552" s="87"/>
      <c r="B552" s="166"/>
      <c r="C552" s="166"/>
      <c r="D552" s="166"/>
      <c r="E552" s="166"/>
      <c r="F552" s="714"/>
      <c r="G552" s="166"/>
      <c r="H552" s="166"/>
      <c r="I552" s="166"/>
      <c r="J552" s="166"/>
      <c r="K552" s="166"/>
      <c r="L552" s="166"/>
      <c r="M552" s="166"/>
      <c r="N552" s="715"/>
      <c r="O552" s="166"/>
      <c r="P552" s="166"/>
      <c r="Q552" s="716"/>
      <c r="R552" s="714"/>
      <c r="S552" s="717"/>
      <c r="T552" s="714"/>
      <c r="U552" s="166"/>
      <c r="V552" s="166"/>
      <c r="W552" s="166"/>
      <c r="X552" s="166"/>
      <c r="Y552" s="718"/>
      <c r="Z552" s="719"/>
      <c r="AA552" s="719"/>
      <c r="AB552" s="166"/>
      <c r="AC552" s="166"/>
      <c r="AD552" s="166"/>
      <c r="AE552" s="87"/>
      <c r="AF552" s="87"/>
      <c r="AG552" s="87"/>
      <c r="AH552" s="87"/>
      <c r="AI552" s="87"/>
      <c r="AJ552" s="87"/>
      <c r="AK552" s="87"/>
      <c r="AL552" s="87"/>
      <c r="AM552" s="87"/>
    </row>
    <row r="553">
      <c r="A553" s="87"/>
      <c r="B553" s="166"/>
      <c r="C553" s="166"/>
      <c r="D553" s="166"/>
      <c r="E553" s="166"/>
      <c r="F553" s="714"/>
      <c r="G553" s="166"/>
      <c r="H553" s="166"/>
      <c r="I553" s="166"/>
      <c r="J553" s="166"/>
      <c r="K553" s="166"/>
      <c r="L553" s="166"/>
      <c r="M553" s="166"/>
      <c r="N553" s="715"/>
      <c r="O553" s="166"/>
      <c r="P553" s="166"/>
      <c r="Q553" s="716"/>
      <c r="R553" s="714"/>
      <c r="S553" s="717"/>
      <c r="T553" s="714"/>
      <c r="U553" s="166"/>
      <c r="V553" s="166"/>
      <c r="W553" s="166"/>
      <c r="X553" s="166"/>
      <c r="Y553" s="718"/>
      <c r="Z553" s="719"/>
      <c r="AA553" s="719"/>
      <c r="AB553" s="166"/>
      <c r="AC553" s="166"/>
      <c r="AD553" s="166"/>
      <c r="AE553" s="87"/>
      <c r="AF553" s="87"/>
      <c r="AG553" s="87"/>
      <c r="AH553" s="87"/>
      <c r="AI553" s="87"/>
      <c r="AJ553" s="87"/>
      <c r="AK553" s="87"/>
      <c r="AL553" s="87"/>
      <c r="AM553" s="87"/>
    </row>
    <row r="554">
      <c r="A554" s="87"/>
      <c r="B554" s="166"/>
      <c r="C554" s="166"/>
      <c r="D554" s="166"/>
      <c r="E554" s="166"/>
      <c r="F554" s="714"/>
      <c r="G554" s="166"/>
      <c r="H554" s="166"/>
      <c r="I554" s="166"/>
      <c r="J554" s="166"/>
      <c r="K554" s="166"/>
      <c r="L554" s="166"/>
      <c r="M554" s="166"/>
      <c r="N554" s="715"/>
      <c r="O554" s="166"/>
      <c r="P554" s="166"/>
      <c r="Q554" s="716"/>
      <c r="R554" s="714"/>
      <c r="S554" s="717"/>
      <c r="T554" s="714"/>
      <c r="U554" s="166"/>
      <c r="V554" s="166"/>
      <c r="W554" s="166"/>
      <c r="X554" s="166"/>
      <c r="Y554" s="718"/>
      <c r="Z554" s="719"/>
      <c r="AA554" s="719"/>
      <c r="AB554" s="166"/>
      <c r="AC554" s="166"/>
      <c r="AD554" s="166"/>
      <c r="AE554" s="87"/>
      <c r="AF554" s="87"/>
      <c r="AG554" s="87"/>
      <c r="AH554" s="87"/>
      <c r="AI554" s="87"/>
      <c r="AJ554" s="87"/>
      <c r="AK554" s="87"/>
      <c r="AL554" s="87"/>
      <c r="AM554" s="87"/>
    </row>
    <row r="555">
      <c r="A555" s="87"/>
      <c r="B555" s="166"/>
      <c r="C555" s="166"/>
      <c r="D555" s="166"/>
      <c r="E555" s="166"/>
      <c r="F555" s="714"/>
      <c r="G555" s="166"/>
      <c r="H555" s="166"/>
      <c r="I555" s="166"/>
      <c r="J555" s="166"/>
      <c r="K555" s="166"/>
      <c r="L555" s="166"/>
      <c r="M555" s="166"/>
      <c r="N555" s="715"/>
      <c r="O555" s="166"/>
      <c r="P555" s="166"/>
      <c r="Q555" s="716"/>
      <c r="R555" s="714"/>
      <c r="S555" s="717"/>
      <c r="T555" s="714"/>
      <c r="U555" s="166"/>
      <c r="V555" s="166"/>
      <c r="W555" s="166"/>
      <c r="X555" s="166"/>
      <c r="Y555" s="718"/>
      <c r="Z555" s="719"/>
      <c r="AA555" s="719"/>
      <c r="AB555" s="166"/>
      <c r="AC555" s="166"/>
      <c r="AD555" s="166"/>
      <c r="AE555" s="87"/>
      <c r="AF555" s="87"/>
      <c r="AG555" s="87"/>
      <c r="AH555" s="87"/>
      <c r="AI555" s="87"/>
      <c r="AJ555" s="87"/>
      <c r="AK555" s="87"/>
      <c r="AL555" s="87"/>
      <c r="AM555" s="87"/>
    </row>
    <row r="556">
      <c r="A556" s="87"/>
      <c r="B556" s="166"/>
      <c r="C556" s="166"/>
      <c r="D556" s="166"/>
      <c r="E556" s="166"/>
      <c r="F556" s="714"/>
      <c r="G556" s="166"/>
      <c r="H556" s="166"/>
      <c r="I556" s="166"/>
      <c r="J556" s="166"/>
      <c r="K556" s="166"/>
      <c r="L556" s="166"/>
      <c r="M556" s="166"/>
      <c r="N556" s="715"/>
      <c r="O556" s="166"/>
      <c r="P556" s="166"/>
      <c r="Q556" s="716"/>
      <c r="R556" s="714"/>
      <c r="S556" s="717"/>
      <c r="T556" s="714"/>
      <c r="U556" s="166"/>
      <c r="V556" s="166"/>
      <c r="W556" s="166"/>
      <c r="X556" s="166"/>
      <c r="Y556" s="718"/>
      <c r="Z556" s="719"/>
      <c r="AA556" s="719"/>
      <c r="AB556" s="166"/>
      <c r="AC556" s="166"/>
      <c r="AD556" s="166"/>
      <c r="AE556" s="87"/>
      <c r="AF556" s="87"/>
      <c r="AG556" s="87"/>
      <c r="AH556" s="87"/>
      <c r="AI556" s="87"/>
      <c r="AJ556" s="87"/>
      <c r="AK556" s="87"/>
      <c r="AL556" s="87"/>
      <c r="AM556" s="87"/>
    </row>
    <row r="557">
      <c r="A557" s="87"/>
      <c r="B557" s="166"/>
      <c r="C557" s="166"/>
      <c r="D557" s="166"/>
      <c r="E557" s="166"/>
      <c r="F557" s="714"/>
      <c r="G557" s="166"/>
      <c r="H557" s="166"/>
      <c r="I557" s="166"/>
      <c r="J557" s="166"/>
      <c r="K557" s="166"/>
      <c r="L557" s="166"/>
      <c r="M557" s="166"/>
      <c r="N557" s="715"/>
      <c r="O557" s="166"/>
      <c r="P557" s="166"/>
      <c r="Q557" s="716"/>
      <c r="R557" s="714"/>
      <c r="S557" s="717"/>
      <c r="T557" s="714"/>
      <c r="U557" s="166"/>
      <c r="V557" s="166"/>
      <c r="W557" s="166"/>
      <c r="X557" s="166"/>
      <c r="Y557" s="718"/>
      <c r="Z557" s="719"/>
      <c r="AA557" s="719"/>
      <c r="AB557" s="166"/>
      <c r="AC557" s="166"/>
      <c r="AD557" s="166"/>
      <c r="AE557" s="87"/>
      <c r="AF557" s="87"/>
      <c r="AG557" s="87"/>
      <c r="AH557" s="87"/>
      <c r="AI557" s="87"/>
      <c r="AJ557" s="87"/>
      <c r="AK557" s="87"/>
      <c r="AL557" s="87"/>
      <c r="AM557" s="87"/>
    </row>
    <row r="558">
      <c r="A558" s="87"/>
      <c r="B558" s="166"/>
      <c r="C558" s="166"/>
      <c r="D558" s="166"/>
      <c r="E558" s="166"/>
      <c r="F558" s="714"/>
      <c r="G558" s="166"/>
      <c r="H558" s="166"/>
      <c r="I558" s="166"/>
      <c r="J558" s="166"/>
      <c r="K558" s="166"/>
      <c r="L558" s="166"/>
      <c r="M558" s="166"/>
      <c r="N558" s="715"/>
      <c r="O558" s="166"/>
      <c r="P558" s="166"/>
      <c r="Q558" s="716"/>
      <c r="R558" s="714"/>
      <c r="S558" s="717"/>
      <c r="T558" s="714"/>
      <c r="U558" s="166"/>
      <c r="V558" s="166"/>
      <c r="W558" s="166"/>
      <c r="X558" s="166"/>
      <c r="Y558" s="718"/>
      <c r="Z558" s="719"/>
      <c r="AA558" s="719"/>
      <c r="AB558" s="166"/>
      <c r="AC558" s="166"/>
      <c r="AD558" s="166"/>
      <c r="AE558" s="87"/>
      <c r="AF558" s="87"/>
      <c r="AG558" s="87"/>
      <c r="AH558" s="87"/>
      <c r="AI558" s="87"/>
      <c r="AJ558" s="87"/>
      <c r="AK558" s="87"/>
      <c r="AL558" s="87"/>
      <c r="AM558" s="87"/>
    </row>
    <row r="559">
      <c r="A559" s="87"/>
      <c r="B559" s="166"/>
      <c r="C559" s="166"/>
      <c r="D559" s="166"/>
      <c r="E559" s="166"/>
      <c r="F559" s="714"/>
      <c r="G559" s="166"/>
      <c r="H559" s="166"/>
      <c r="I559" s="166"/>
      <c r="J559" s="166"/>
      <c r="K559" s="166"/>
      <c r="L559" s="166"/>
      <c r="M559" s="166"/>
      <c r="N559" s="715"/>
      <c r="O559" s="166"/>
      <c r="P559" s="166"/>
      <c r="Q559" s="716"/>
      <c r="R559" s="714"/>
      <c r="S559" s="717"/>
      <c r="T559" s="714"/>
      <c r="U559" s="166"/>
      <c r="V559" s="166"/>
      <c r="W559" s="166"/>
      <c r="X559" s="166"/>
      <c r="Y559" s="718"/>
      <c r="Z559" s="719"/>
      <c r="AA559" s="719"/>
      <c r="AB559" s="166"/>
      <c r="AC559" s="166"/>
      <c r="AD559" s="166"/>
      <c r="AE559" s="87"/>
      <c r="AF559" s="87"/>
      <c r="AG559" s="87"/>
      <c r="AH559" s="87"/>
      <c r="AI559" s="87"/>
      <c r="AJ559" s="87"/>
      <c r="AK559" s="87"/>
      <c r="AL559" s="87"/>
      <c r="AM559" s="87"/>
    </row>
    <row r="560">
      <c r="A560" s="87"/>
      <c r="B560" s="166"/>
      <c r="C560" s="166"/>
      <c r="D560" s="166"/>
      <c r="E560" s="166"/>
      <c r="F560" s="714"/>
      <c r="G560" s="166"/>
      <c r="H560" s="166"/>
      <c r="I560" s="166"/>
      <c r="J560" s="166"/>
      <c r="K560" s="166"/>
      <c r="L560" s="166"/>
      <c r="M560" s="166"/>
      <c r="N560" s="715"/>
      <c r="O560" s="166"/>
      <c r="P560" s="166"/>
      <c r="Q560" s="716"/>
      <c r="R560" s="714"/>
      <c r="S560" s="717"/>
      <c r="T560" s="714"/>
      <c r="U560" s="166"/>
      <c r="V560" s="166"/>
      <c r="W560" s="166"/>
      <c r="X560" s="166"/>
      <c r="Y560" s="718"/>
      <c r="Z560" s="719"/>
      <c r="AA560" s="719"/>
      <c r="AB560" s="166"/>
      <c r="AC560" s="166"/>
      <c r="AD560" s="166"/>
      <c r="AE560" s="87"/>
      <c r="AF560" s="87"/>
      <c r="AG560" s="87"/>
      <c r="AH560" s="87"/>
      <c r="AI560" s="87"/>
      <c r="AJ560" s="87"/>
      <c r="AK560" s="87"/>
      <c r="AL560" s="87"/>
      <c r="AM560" s="87"/>
    </row>
    <row r="561">
      <c r="A561" s="87"/>
      <c r="B561" s="166"/>
      <c r="C561" s="166"/>
      <c r="D561" s="166"/>
      <c r="E561" s="166"/>
      <c r="F561" s="714"/>
      <c r="G561" s="166"/>
      <c r="H561" s="166"/>
      <c r="I561" s="166"/>
      <c r="J561" s="166"/>
      <c r="K561" s="166"/>
      <c r="L561" s="166"/>
      <c r="M561" s="166"/>
      <c r="N561" s="715"/>
      <c r="O561" s="166"/>
      <c r="P561" s="166"/>
      <c r="Q561" s="716"/>
      <c r="R561" s="714"/>
      <c r="S561" s="717"/>
      <c r="T561" s="714"/>
      <c r="U561" s="166"/>
      <c r="V561" s="166"/>
      <c r="W561" s="166"/>
      <c r="X561" s="166"/>
      <c r="Y561" s="718"/>
      <c r="Z561" s="719"/>
      <c r="AA561" s="719"/>
      <c r="AB561" s="166"/>
      <c r="AC561" s="166"/>
      <c r="AD561" s="166"/>
      <c r="AE561" s="87"/>
      <c r="AF561" s="87"/>
      <c r="AG561" s="87"/>
      <c r="AH561" s="87"/>
      <c r="AI561" s="87"/>
      <c r="AJ561" s="87"/>
      <c r="AK561" s="87"/>
      <c r="AL561" s="87"/>
      <c r="AM561" s="87"/>
    </row>
    <row r="562">
      <c r="A562" s="87"/>
      <c r="B562" s="166"/>
      <c r="C562" s="166"/>
      <c r="D562" s="166"/>
      <c r="E562" s="166"/>
      <c r="F562" s="714"/>
      <c r="G562" s="166"/>
      <c r="H562" s="166"/>
      <c r="I562" s="166"/>
      <c r="J562" s="166"/>
      <c r="K562" s="166"/>
      <c r="L562" s="166"/>
      <c r="M562" s="166"/>
      <c r="N562" s="715"/>
      <c r="O562" s="166"/>
      <c r="P562" s="166"/>
      <c r="Q562" s="716"/>
      <c r="R562" s="714"/>
      <c r="S562" s="717"/>
      <c r="T562" s="714"/>
      <c r="U562" s="166"/>
      <c r="V562" s="166"/>
      <c r="W562" s="166"/>
      <c r="X562" s="166"/>
      <c r="Y562" s="718"/>
      <c r="Z562" s="719"/>
      <c r="AA562" s="719"/>
      <c r="AB562" s="166"/>
      <c r="AC562" s="166"/>
      <c r="AD562" s="166"/>
      <c r="AE562" s="87"/>
      <c r="AF562" s="87"/>
      <c r="AG562" s="87"/>
      <c r="AH562" s="87"/>
      <c r="AI562" s="87"/>
      <c r="AJ562" s="87"/>
      <c r="AK562" s="87"/>
      <c r="AL562" s="87"/>
      <c r="AM562" s="87"/>
    </row>
    <row r="563">
      <c r="A563" s="87"/>
      <c r="B563" s="166"/>
      <c r="C563" s="166"/>
      <c r="D563" s="166"/>
      <c r="E563" s="166"/>
      <c r="F563" s="714"/>
      <c r="G563" s="166"/>
      <c r="H563" s="166"/>
      <c r="I563" s="166"/>
      <c r="J563" s="166"/>
      <c r="K563" s="166"/>
      <c r="L563" s="166"/>
      <c r="M563" s="166"/>
      <c r="N563" s="715"/>
      <c r="O563" s="166"/>
      <c r="P563" s="166"/>
      <c r="Q563" s="716"/>
      <c r="R563" s="714"/>
      <c r="S563" s="717"/>
      <c r="T563" s="714"/>
      <c r="U563" s="166"/>
      <c r="V563" s="166"/>
      <c r="W563" s="166"/>
      <c r="X563" s="166"/>
      <c r="Y563" s="718"/>
      <c r="Z563" s="719"/>
      <c r="AA563" s="719"/>
      <c r="AB563" s="166"/>
      <c r="AC563" s="166"/>
      <c r="AD563" s="166"/>
      <c r="AE563" s="87"/>
      <c r="AF563" s="87"/>
      <c r="AG563" s="87"/>
      <c r="AH563" s="87"/>
      <c r="AI563" s="87"/>
      <c r="AJ563" s="87"/>
      <c r="AK563" s="87"/>
      <c r="AL563" s="87"/>
      <c r="AM563" s="87"/>
    </row>
    <row r="564">
      <c r="A564" s="87"/>
      <c r="B564" s="166"/>
      <c r="C564" s="166"/>
      <c r="D564" s="166"/>
      <c r="E564" s="166"/>
      <c r="F564" s="714"/>
      <c r="G564" s="166"/>
      <c r="H564" s="166"/>
      <c r="I564" s="166"/>
      <c r="J564" s="166"/>
      <c r="K564" s="166"/>
      <c r="L564" s="166"/>
      <c r="M564" s="166"/>
      <c r="N564" s="715"/>
      <c r="O564" s="166"/>
      <c r="P564" s="166"/>
      <c r="Q564" s="716"/>
      <c r="R564" s="714"/>
      <c r="S564" s="717"/>
      <c r="T564" s="714"/>
      <c r="U564" s="166"/>
      <c r="V564" s="166"/>
      <c r="W564" s="166"/>
      <c r="X564" s="166"/>
      <c r="Y564" s="718"/>
      <c r="Z564" s="719"/>
      <c r="AA564" s="719"/>
      <c r="AB564" s="166"/>
      <c r="AC564" s="166"/>
      <c r="AD564" s="166"/>
      <c r="AE564" s="87"/>
      <c r="AF564" s="87"/>
      <c r="AG564" s="87"/>
      <c r="AH564" s="87"/>
      <c r="AI564" s="87"/>
      <c r="AJ564" s="87"/>
      <c r="AK564" s="87"/>
      <c r="AL564" s="87"/>
      <c r="AM564" s="87"/>
    </row>
    <row r="565">
      <c r="A565" s="87"/>
      <c r="B565" s="166"/>
      <c r="C565" s="166"/>
      <c r="D565" s="166"/>
      <c r="E565" s="166"/>
      <c r="F565" s="714"/>
      <c r="G565" s="166"/>
      <c r="H565" s="166"/>
      <c r="I565" s="166"/>
      <c r="J565" s="166"/>
      <c r="K565" s="166"/>
      <c r="L565" s="166"/>
      <c r="M565" s="166"/>
      <c r="N565" s="715"/>
      <c r="O565" s="166"/>
      <c r="P565" s="166"/>
      <c r="Q565" s="716"/>
      <c r="R565" s="714"/>
      <c r="S565" s="717"/>
      <c r="T565" s="714"/>
      <c r="U565" s="166"/>
      <c r="V565" s="166"/>
      <c r="W565" s="166"/>
      <c r="X565" s="166"/>
      <c r="Y565" s="718"/>
      <c r="Z565" s="719"/>
      <c r="AA565" s="719"/>
      <c r="AB565" s="166"/>
      <c r="AC565" s="166"/>
      <c r="AD565" s="166"/>
      <c r="AE565" s="87"/>
      <c r="AF565" s="87"/>
      <c r="AG565" s="87"/>
      <c r="AH565" s="87"/>
      <c r="AI565" s="87"/>
      <c r="AJ565" s="87"/>
      <c r="AK565" s="87"/>
      <c r="AL565" s="87"/>
      <c r="AM565" s="87"/>
    </row>
    <row r="566">
      <c r="A566" s="87"/>
      <c r="B566" s="166"/>
      <c r="C566" s="166"/>
      <c r="D566" s="166"/>
      <c r="E566" s="166"/>
      <c r="F566" s="714"/>
      <c r="G566" s="166"/>
      <c r="H566" s="166"/>
      <c r="I566" s="166"/>
      <c r="J566" s="166"/>
      <c r="K566" s="166"/>
      <c r="L566" s="166"/>
      <c r="M566" s="166"/>
      <c r="N566" s="715"/>
      <c r="O566" s="166"/>
      <c r="P566" s="166"/>
      <c r="Q566" s="716"/>
      <c r="R566" s="714"/>
      <c r="S566" s="717"/>
      <c r="T566" s="714"/>
      <c r="U566" s="166"/>
      <c r="V566" s="166"/>
      <c r="W566" s="166"/>
      <c r="X566" s="166"/>
      <c r="Y566" s="718"/>
      <c r="Z566" s="719"/>
      <c r="AA566" s="719"/>
      <c r="AB566" s="166"/>
      <c r="AC566" s="166"/>
      <c r="AD566" s="166"/>
      <c r="AE566" s="87"/>
      <c r="AF566" s="87"/>
      <c r="AG566" s="87"/>
      <c r="AH566" s="87"/>
      <c r="AI566" s="87"/>
      <c r="AJ566" s="87"/>
      <c r="AK566" s="87"/>
      <c r="AL566" s="87"/>
      <c r="AM566" s="87"/>
    </row>
    <row r="567">
      <c r="A567" s="87"/>
      <c r="B567" s="166"/>
      <c r="C567" s="166"/>
      <c r="D567" s="166"/>
      <c r="E567" s="166"/>
      <c r="F567" s="714"/>
      <c r="G567" s="166"/>
      <c r="H567" s="166"/>
      <c r="I567" s="166"/>
      <c r="J567" s="166"/>
      <c r="K567" s="166"/>
      <c r="L567" s="166"/>
      <c r="M567" s="166"/>
      <c r="N567" s="715"/>
      <c r="O567" s="166"/>
      <c r="P567" s="166"/>
      <c r="Q567" s="716"/>
      <c r="R567" s="714"/>
      <c r="S567" s="717"/>
      <c r="T567" s="714"/>
      <c r="U567" s="166"/>
      <c r="V567" s="166"/>
      <c r="W567" s="166"/>
      <c r="X567" s="166"/>
      <c r="Y567" s="718"/>
      <c r="Z567" s="719"/>
      <c r="AA567" s="719"/>
      <c r="AB567" s="166"/>
      <c r="AC567" s="166"/>
      <c r="AD567" s="166"/>
      <c r="AE567" s="87"/>
      <c r="AF567" s="87"/>
      <c r="AG567" s="87"/>
      <c r="AH567" s="87"/>
      <c r="AI567" s="87"/>
      <c r="AJ567" s="87"/>
      <c r="AK567" s="87"/>
      <c r="AL567" s="87"/>
      <c r="AM567" s="87"/>
    </row>
    <row r="568">
      <c r="A568" s="87"/>
      <c r="B568" s="166"/>
      <c r="C568" s="166"/>
      <c r="D568" s="166"/>
      <c r="E568" s="166"/>
      <c r="F568" s="714"/>
      <c r="G568" s="166"/>
      <c r="H568" s="166"/>
      <c r="I568" s="166"/>
      <c r="J568" s="166"/>
      <c r="K568" s="166"/>
      <c r="L568" s="166"/>
      <c r="M568" s="166"/>
      <c r="N568" s="715"/>
      <c r="O568" s="166"/>
      <c r="P568" s="166"/>
      <c r="Q568" s="716"/>
      <c r="R568" s="714"/>
      <c r="S568" s="717"/>
      <c r="T568" s="714"/>
      <c r="U568" s="166"/>
      <c r="V568" s="166"/>
      <c r="W568" s="166"/>
      <c r="X568" s="166"/>
      <c r="Y568" s="718"/>
      <c r="Z568" s="719"/>
      <c r="AA568" s="719"/>
      <c r="AB568" s="166"/>
      <c r="AC568" s="166"/>
      <c r="AD568" s="166"/>
      <c r="AE568" s="87"/>
      <c r="AF568" s="87"/>
      <c r="AG568" s="87"/>
      <c r="AH568" s="87"/>
      <c r="AI568" s="87"/>
      <c r="AJ568" s="87"/>
      <c r="AK568" s="87"/>
      <c r="AL568" s="87"/>
      <c r="AM568" s="87"/>
    </row>
    <row r="569">
      <c r="A569" s="87"/>
      <c r="B569" s="166"/>
      <c r="C569" s="166"/>
      <c r="D569" s="166"/>
      <c r="E569" s="166"/>
      <c r="F569" s="714"/>
      <c r="G569" s="166"/>
      <c r="H569" s="166"/>
      <c r="I569" s="166"/>
      <c r="J569" s="166"/>
      <c r="K569" s="166"/>
      <c r="L569" s="166"/>
      <c r="M569" s="166"/>
      <c r="N569" s="715"/>
      <c r="O569" s="166"/>
      <c r="P569" s="166"/>
      <c r="Q569" s="716"/>
      <c r="R569" s="714"/>
      <c r="S569" s="717"/>
      <c r="T569" s="714"/>
      <c r="U569" s="166"/>
      <c r="V569" s="166"/>
      <c r="W569" s="166"/>
      <c r="X569" s="166"/>
      <c r="Y569" s="718"/>
      <c r="Z569" s="719"/>
      <c r="AA569" s="719"/>
      <c r="AB569" s="166"/>
      <c r="AC569" s="166"/>
      <c r="AD569" s="166"/>
      <c r="AE569" s="87"/>
      <c r="AF569" s="87"/>
      <c r="AG569" s="87"/>
      <c r="AH569" s="87"/>
      <c r="AI569" s="87"/>
      <c r="AJ569" s="87"/>
      <c r="AK569" s="87"/>
      <c r="AL569" s="87"/>
      <c r="AM569" s="87"/>
    </row>
    <row r="570">
      <c r="A570" s="87"/>
      <c r="B570" s="166"/>
      <c r="C570" s="166"/>
      <c r="D570" s="166"/>
      <c r="E570" s="166"/>
      <c r="F570" s="714"/>
      <c r="G570" s="166"/>
      <c r="H570" s="166"/>
      <c r="I570" s="166"/>
      <c r="J570" s="166"/>
      <c r="K570" s="166"/>
      <c r="L570" s="166"/>
      <c r="M570" s="166"/>
      <c r="N570" s="715"/>
      <c r="O570" s="166"/>
      <c r="P570" s="166"/>
      <c r="Q570" s="716"/>
      <c r="R570" s="714"/>
      <c r="S570" s="717"/>
      <c r="T570" s="714"/>
      <c r="U570" s="166"/>
      <c r="V570" s="166"/>
      <c r="W570" s="166"/>
      <c r="X570" s="166"/>
      <c r="Y570" s="718"/>
      <c r="Z570" s="719"/>
      <c r="AA570" s="719"/>
      <c r="AB570" s="166"/>
      <c r="AC570" s="166"/>
      <c r="AD570" s="166"/>
      <c r="AE570" s="87"/>
      <c r="AF570" s="87"/>
      <c r="AG570" s="87"/>
      <c r="AH570" s="87"/>
      <c r="AI570" s="87"/>
      <c r="AJ570" s="87"/>
      <c r="AK570" s="87"/>
      <c r="AL570" s="87"/>
      <c r="AM570" s="87"/>
    </row>
    <row r="571">
      <c r="A571" s="87"/>
      <c r="B571" s="166"/>
      <c r="C571" s="166"/>
      <c r="D571" s="166"/>
      <c r="E571" s="166"/>
      <c r="F571" s="714"/>
      <c r="G571" s="166"/>
      <c r="H571" s="166"/>
      <c r="I571" s="166"/>
      <c r="J571" s="166"/>
      <c r="K571" s="166"/>
      <c r="L571" s="166"/>
      <c r="M571" s="166"/>
      <c r="N571" s="715"/>
      <c r="O571" s="166"/>
      <c r="P571" s="166"/>
      <c r="Q571" s="716"/>
      <c r="R571" s="714"/>
      <c r="S571" s="717"/>
      <c r="T571" s="714"/>
      <c r="U571" s="166"/>
      <c r="V571" s="166"/>
      <c r="W571" s="166"/>
      <c r="X571" s="166"/>
      <c r="Y571" s="718"/>
      <c r="Z571" s="719"/>
      <c r="AA571" s="719"/>
      <c r="AB571" s="166"/>
      <c r="AC571" s="166"/>
      <c r="AD571" s="166"/>
      <c r="AE571" s="87"/>
      <c r="AF571" s="87"/>
      <c r="AG571" s="87"/>
      <c r="AH571" s="87"/>
      <c r="AI571" s="87"/>
      <c r="AJ571" s="87"/>
      <c r="AK571" s="87"/>
      <c r="AL571" s="87"/>
      <c r="AM571" s="87"/>
    </row>
    <row r="572">
      <c r="A572" s="87"/>
      <c r="B572" s="166"/>
      <c r="C572" s="166"/>
      <c r="D572" s="166"/>
      <c r="E572" s="166"/>
      <c r="F572" s="714"/>
      <c r="G572" s="166"/>
      <c r="H572" s="166"/>
      <c r="I572" s="166"/>
      <c r="J572" s="166"/>
      <c r="K572" s="166"/>
      <c r="L572" s="166"/>
      <c r="M572" s="166"/>
      <c r="N572" s="715"/>
      <c r="O572" s="166"/>
      <c r="P572" s="166"/>
      <c r="Q572" s="716"/>
      <c r="R572" s="714"/>
      <c r="S572" s="717"/>
      <c r="T572" s="714"/>
      <c r="U572" s="166"/>
      <c r="V572" s="166"/>
      <c r="W572" s="166"/>
      <c r="X572" s="166"/>
      <c r="Y572" s="718"/>
      <c r="Z572" s="719"/>
      <c r="AA572" s="719"/>
      <c r="AB572" s="166"/>
      <c r="AC572" s="166"/>
      <c r="AD572" s="166"/>
      <c r="AE572" s="87"/>
      <c r="AF572" s="87"/>
      <c r="AG572" s="87"/>
      <c r="AH572" s="87"/>
      <c r="AI572" s="87"/>
      <c r="AJ572" s="87"/>
      <c r="AK572" s="87"/>
      <c r="AL572" s="87"/>
      <c r="AM572" s="87"/>
    </row>
    <row r="573">
      <c r="A573" s="87"/>
      <c r="B573" s="166"/>
      <c r="C573" s="166"/>
      <c r="D573" s="166"/>
      <c r="E573" s="166"/>
      <c r="F573" s="714"/>
      <c r="G573" s="166"/>
      <c r="H573" s="166"/>
      <c r="I573" s="166"/>
      <c r="J573" s="166"/>
      <c r="K573" s="166"/>
      <c r="L573" s="166"/>
      <c r="M573" s="166"/>
      <c r="N573" s="715"/>
      <c r="O573" s="166"/>
      <c r="P573" s="166"/>
      <c r="Q573" s="716"/>
      <c r="R573" s="714"/>
      <c r="S573" s="717"/>
      <c r="T573" s="714"/>
      <c r="U573" s="166"/>
      <c r="V573" s="166"/>
      <c r="W573" s="166"/>
      <c r="X573" s="166"/>
      <c r="Y573" s="718"/>
      <c r="Z573" s="719"/>
      <c r="AA573" s="719"/>
      <c r="AB573" s="166"/>
      <c r="AC573" s="166"/>
      <c r="AD573" s="166"/>
      <c r="AE573" s="87"/>
      <c r="AF573" s="87"/>
      <c r="AG573" s="87"/>
      <c r="AH573" s="87"/>
      <c r="AI573" s="87"/>
      <c r="AJ573" s="87"/>
      <c r="AK573" s="87"/>
      <c r="AL573" s="87"/>
      <c r="AM573" s="87"/>
    </row>
    <row r="574">
      <c r="A574" s="87"/>
      <c r="B574" s="166"/>
      <c r="C574" s="166"/>
      <c r="D574" s="166"/>
      <c r="E574" s="166"/>
      <c r="F574" s="714"/>
      <c r="G574" s="166"/>
      <c r="H574" s="166"/>
      <c r="I574" s="166"/>
      <c r="J574" s="166"/>
      <c r="K574" s="166"/>
      <c r="L574" s="166"/>
      <c r="M574" s="166"/>
      <c r="N574" s="715"/>
      <c r="O574" s="166"/>
      <c r="P574" s="166"/>
      <c r="Q574" s="716"/>
      <c r="R574" s="714"/>
      <c r="S574" s="717"/>
      <c r="T574" s="714"/>
      <c r="U574" s="166"/>
      <c r="V574" s="166"/>
      <c r="W574" s="166"/>
      <c r="X574" s="166"/>
      <c r="Y574" s="718"/>
      <c r="Z574" s="719"/>
      <c r="AA574" s="719"/>
      <c r="AB574" s="166"/>
      <c r="AC574" s="166"/>
      <c r="AD574" s="166"/>
      <c r="AE574" s="87"/>
      <c r="AF574" s="87"/>
      <c r="AG574" s="87"/>
      <c r="AH574" s="87"/>
      <c r="AI574" s="87"/>
      <c r="AJ574" s="87"/>
      <c r="AK574" s="87"/>
      <c r="AL574" s="87"/>
      <c r="AM574" s="87"/>
    </row>
    <row r="575">
      <c r="A575" s="87"/>
      <c r="B575" s="166"/>
      <c r="C575" s="166"/>
      <c r="D575" s="166"/>
      <c r="E575" s="166"/>
      <c r="F575" s="714"/>
      <c r="G575" s="166"/>
      <c r="H575" s="166"/>
      <c r="I575" s="166"/>
      <c r="J575" s="166"/>
      <c r="K575" s="166"/>
      <c r="L575" s="166"/>
      <c r="M575" s="166"/>
      <c r="N575" s="715"/>
      <c r="O575" s="166"/>
      <c r="P575" s="166"/>
      <c r="Q575" s="716"/>
      <c r="R575" s="714"/>
      <c r="S575" s="717"/>
      <c r="T575" s="714"/>
      <c r="U575" s="166"/>
      <c r="V575" s="166"/>
      <c r="W575" s="166"/>
      <c r="X575" s="166"/>
      <c r="Y575" s="718"/>
      <c r="Z575" s="719"/>
      <c r="AA575" s="719"/>
      <c r="AB575" s="166"/>
      <c r="AC575" s="166"/>
      <c r="AD575" s="166"/>
      <c r="AE575" s="87"/>
      <c r="AF575" s="87"/>
      <c r="AG575" s="87"/>
      <c r="AH575" s="87"/>
      <c r="AI575" s="87"/>
      <c r="AJ575" s="87"/>
      <c r="AK575" s="87"/>
      <c r="AL575" s="87"/>
      <c r="AM575" s="87"/>
    </row>
    <row r="576">
      <c r="A576" s="87"/>
      <c r="B576" s="166"/>
      <c r="C576" s="166"/>
      <c r="D576" s="166"/>
      <c r="E576" s="166"/>
      <c r="F576" s="714"/>
      <c r="G576" s="166"/>
      <c r="H576" s="166"/>
      <c r="I576" s="166"/>
      <c r="J576" s="166"/>
      <c r="K576" s="166"/>
      <c r="L576" s="166"/>
      <c r="M576" s="166"/>
      <c r="N576" s="715"/>
      <c r="O576" s="166"/>
      <c r="P576" s="166"/>
      <c r="Q576" s="716"/>
      <c r="R576" s="714"/>
      <c r="S576" s="717"/>
      <c r="T576" s="714"/>
      <c r="U576" s="166"/>
      <c r="V576" s="166"/>
      <c r="W576" s="166"/>
      <c r="X576" s="166"/>
      <c r="Y576" s="718"/>
      <c r="Z576" s="719"/>
      <c r="AA576" s="719"/>
      <c r="AB576" s="166"/>
      <c r="AC576" s="166"/>
      <c r="AD576" s="166"/>
      <c r="AE576" s="87"/>
      <c r="AF576" s="87"/>
      <c r="AG576" s="87"/>
      <c r="AH576" s="87"/>
      <c r="AI576" s="87"/>
      <c r="AJ576" s="87"/>
      <c r="AK576" s="87"/>
      <c r="AL576" s="87"/>
      <c r="AM576" s="87"/>
    </row>
    <row r="577">
      <c r="A577" s="87"/>
      <c r="B577" s="166"/>
      <c r="C577" s="166"/>
      <c r="D577" s="166"/>
      <c r="E577" s="166"/>
      <c r="F577" s="714"/>
      <c r="G577" s="166"/>
      <c r="H577" s="166"/>
      <c r="I577" s="166"/>
      <c r="J577" s="166"/>
      <c r="K577" s="166"/>
      <c r="L577" s="166"/>
      <c r="M577" s="166"/>
      <c r="N577" s="715"/>
      <c r="O577" s="166"/>
      <c r="P577" s="166"/>
      <c r="Q577" s="716"/>
      <c r="R577" s="714"/>
      <c r="S577" s="717"/>
      <c r="T577" s="714"/>
      <c r="U577" s="166"/>
      <c r="V577" s="166"/>
      <c r="W577" s="166"/>
      <c r="X577" s="166"/>
      <c r="Y577" s="718"/>
      <c r="Z577" s="719"/>
      <c r="AA577" s="719"/>
      <c r="AB577" s="166"/>
      <c r="AC577" s="166"/>
      <c r="AD577" s="166"/>
      <c r="AE577" s="87"/>
      <c r="AF577" s="87"/>
      <c r="AG577" s="87"/>
      <c r="AH577" s="87"/>
      <c r="AI577" s="87"/>
      <c r="AJ577" s="87"/>
      <c r="AK577" s="87"/>
      <c r="AL577" s="87"/>
      <c r="AM577" s="87"/>
    </row>
    <row r="578">
      <c r="A578" s="87"/>
      <c r="B578" s="166"/>
      <c r="C578" s="166"/>
      <c r="D578" s="166"/>
      <c r="E578" s="166"/>
      <c r="F578" s="714"/>
      <c r="G578" s="166"/>
      <c r="H578" s="166"/>
      <c r="I578" s="166"/>
      <c r="J578" s="166"/>
      <c r="K578" s="166"/>
      <c r="L578" s="166"/>
      <c r="M578" s="166"/>
      <c r="N578" s="715"/>
      <c r="O578" s="166"/>
      <c r="P578" s="166"/>
      <c r="Q578" s="716"/>
      <c r="R578" s="714"/>
      <c r="S578" s="717"/>
      <c r="T578" s="714"/>
      <c r="U578" s="166"/>
      <c r="V578" s="166"/>
      <c r="W578" s="166"/>
      <c r="X578" s="166"/>
      <c r="Y578" s="718"/>
      <c r="Z578" s="719"/>
      <c r="AA578" s="719"/>
      <c r="AB578" s="166"/>
      <c r="AC578" s="166"/>
      <c r="AD578" s="166"/>
      <c r="AE578" s="87"/>
      <c r="AF578" s="87"/>
      <c r="AG578" s="87"/>
      <c r="AH578" s="87"/>
      <c r="AI578" s="87"/>
      <c r="AJ578" s="87"/>
      <c r="AK578" s="87"/>
      <c r="AL578" s="87"/>
      <c r="AM578" s="87"/>
    </row>
    <row r="579">
      <c r="A579" s="87"/>
      <c r="B579" s="166"/>
      <c r="C579" s="166"/>
      <c r="D579" s="166"/>
      <c r="E579" s="166"/>
      <c r="F579" s="714"/>
      <c r="G579" s="166"/>
      <c r="H579" s="166"/>
      <c r="I579" s="166"/>
      <c r="J579" s="166"/>
      <c r="K579" s="166"/>
      <c r="L579" s="166"/>
      <c r="M579" s="166"/>
      <c r="N579" s="715"/>
      <c r="O579" s="166"/>
      <c r="P579" s="166"/>
      <c r="Q579" s="716"/>
      <c r="R579" s="714"/>
      <c r="S579" s="717"/>
      <c r="T579" s="714"/>
      <c r="U579" s="166"/>
      <c r="V579" s="166"/>
      <c r="W579" s="166"/>
      <c r="X579" s="166"/>
      <c r="Y579" s="718"/>
      <c r="Z579" s="719"/>
      <c r="AA579" s="719"/>
      <c r="AB579" s="166"/>
      <c r="AC579" s="166"/>
      <c r="AD579" s="166"/>
      <c r="AE579" s="87"/>
      <c r="AF579" s="87"/>
      <c r="AG579" s="87"/>
      <c r="AH579" s="87"/>
      <c r="AI579" s="87"/>
      <c r="AJ579" s="87"/>
      <c r="AK579" s="87"/>
      <c r="AL579" s="87"/>
      <c r="AM579" s="87"/>
    </row>
    <row r="580">
      <c r="A580" s="87"/>
      <c r="B580" s="166"/>
      <c r="C580" s="166"/>
      <c r="D580" s="166"/>
      <c r="E580" s="166"/>
      <c r="F580" s="714"/>
      <c r="G580" s="166"/>
      <c r="H580" s="166"/>
      <c r="I580" s="166"/>
      <c r="J580" s="166"/>
      <c r="K580" s="166"/>
      <c r="L580" s="166"/>
      <c r="M580" s="166"/>
      <c r="N580" s="715"/>
      <c r="O580" s="166"/>
      <c r="P580" s="166"/>
      <c r="Q580" s="716"/>
      <c r="R580" s="714"/>
      <c r="S580" s="717"/>
      <c r="T580" s="714"/>
      <c r="U580" s="166"/>
      <c r="V580" s="166"/>
      <c r="W580" s="166"/>
      <c r="X580" s="166"/>
      <c r="Y580" s="718"/>
      <c r="Z580" s="719"/>
      <c r="AA580" s="719"/>
      <c r="AB580" s="166"/>
      <c r="AC580" s="166"/>
      <c r="AD580" s="166"/>
      <c r="AE580" s="87"/>
      <c r="AF580" s="87"/>
      <c r="AG580" s="87"/>
      <c r="AH580" s="87"/>
      <c r="AI580" s="87"/>
      <c r="AJ580" s="87"/>
      <c r="AK580" s="87"/>
      <c r="AL580" s="87"/>
      <c r="AM580" s="87"/>
    </row>
    <row r="581">
      <c r="A581" s="87"/>
      <c r="B581" s="166"/>
      <c r="C581" s="166"/>
      <c r="D581" s="166"/>
      <c r="E581" s="166"/>
      <c r="F581" s="714"/>
      <c r="G581" s="166"/>
      <c r="H581" s="166"/>
      <c r="I581" s="166"/>
      <c r="J581" s="166"/>
      <c r="K581" s="166"/>
      <c r="L581" s="166"/>
      <c r="M581" s="166"/>
      <c r="N581" s="715"/>
      <c r="O581" s="166"/>
      <c r="P581" s="166"/>
      <c r="Q581" s="716"/>
      <c r="R581" s="714"/>
      <c r="S581" s="717"/>
      <c r="T581" s="714"/>
      <c r="U581" s="166"/>
      <c r="V581" s="166"/>
      <c r="W581" s="166"/>
      <c r="X581" s="166"/>
      <c r="Y581" s="718"/>
      <c r="Z581" s="719"/>
      <c r="AA581" s="719"/>
      <c r="AB581" s="166"/>
      <c r="AC581" s="166"/>
      <c r="AD581" s="166"/>
      <c r="AE581" s="87"/>
      <c r="AF581" s="87"/>
      <c r="AG581" s="87"/>
      <c r="AH581" s="87"/>
      <c r="AI581" s="87"/>
      <c r="AJ581" s="87"/>
      <c r="AK581" s="87"/>
      <c r="AL581" s="87"/>
      <c r="AM581" s="87"/>
    </row>
    <row r="582">
      <c r="A582" s="87"/>
      <c r="B582" s="166"/>
      <c r="C582" s="166"/>
      <c r="D582" s="166"/>
      <c r="E582" s="166"/>
      <c r="F582" s="714"/>
      <c r="G582" s="166"/>
      <c r="H582" s="166"/>
      <c r="I582" s="166"/>
      <c r="J582" s="166"/>
      <c r="K582" s="166"/>
      <c r="L582" s="166"/>
      <c r="M582" s="166"/>
      <c r="N582" s="715"/>
      <c r="O582" s="166"/>
      <c r="P582" s="166"/>
      <c r="Q582" s="716"/>
      <c r="R582" s="714"/>
      <c r="S582" s="717"/>
      <c r="T582" s="714"/>
      <c r="U582" s="166"/>
      <c r="V582" s="166"/>
      <c r="W582" s="166"/>
      <c r="X582" s="166"/>
      <c r="Y582" s="718"/>
      <c r="Z582" s="719"/>
      <c r="AA582" s="719"/>
      <c r="AB582" s="166"/>
      <c r="AC582" s="166"/>
      <c r="AD582" s="166"/>
      <c r="AE582" s="87"/>
      <c r="AF582" s="87"/>
      <c r="AG582" s="87"/>
      <c r="AH582" s="87"/>
      <c r="AI582" s="87"/>
      <c r="AJ582" s="87"/>
      <c r="AK582" s="87"/>
      <c r="AL582" s="87"/>
      <c r="AM582" s="87"/>
    </row>
    <row r="583">
      <c r="A583" s="87"/>
      <c r="B583" s="166"/>
      <c r="C583" s="166"/>
      <c r="D583" s="166"/>
      <c r="E583" s="166"/>
      <c r="F583" s="714"/>
      <c r="G583" s="166"/>
      <c r="H583" s="166"/>
      <c r="I583" s="166"/>
      <c r="J583" s="166"/>
      <c r="K583" s="166"/>
      <c r="L583" s="166"/>
      <c r="M583" s="166"/>
      <c r="N583" s="715"/>
      <c r="O583" s="166"/>
      <c r="P583" s="166"/>
      <c r="Q583" s="716"/>
      <c r="R583" s="714"/>
      <c r="S583" s="717"/>
      <c r="T583" s="714"/>
      <c r="U583" s="166"/>
      <c r="V583" s="166"/>
      <c r="W583" s="166"/>
      <c r="X583" s="166"/>
      <c r="Y583" s="718"/>
      <c r="Z583" s="719"/>
      <c r="AA583" s="719"/>
      <c r="AB583" s="166"/>
      <c r="AC583" s="166"/>
      <c r="AD583" s="166"/>
      <c r="AE583" s="87"/>
      <c r="AF583" s="87"/>
      <c r="AG583" s="87"/>
      <c r="AH583" s="87"/>
      <c r="AI583" s="87"/>
      <c r="AJ583" s="87"/>
      <c r="AK583" s="87"/>
      <c r="AL583" s="87"/>
      <c r="AM583" s="87"/>
    </row>
    <row r="584">
      <c r="A584" s="87"/>
      <c r="B584" s="166"/>
      <c r="C584" s="166"/>
      <c r="D584" s="166"/>
      <c r="E584" s="166"/>
      <c r="F584" s="714"/>
      <c r="G584" s="166"/>
      <c r="H584" s="166"/>
      <c r="I584" s="166"/>
      <c r="J584" s="166"/>
      <c r="K584" s="166"/>
      <c r="L584" s="166"/>
      <c r="M584" s="166"/>
      <c r="N584" s="715"/>
      <c r="O584" s="166"/>
      <c r="P584" s="166"/>
      <c r="Q584" s="716"/>
      <c r="R584" s="714"/>
      <c r="S584" s="717"/>
      <c r="T584" s="714"/>
      <c r="U584" s="166"/>
      <c r="V584" s="166"/>
      <c r="W584" s="166"/>
      <c r="X584" s="166"/>
      <c r="Y584" s="718"/>
      <c r="Z584" s="719"/>
      <c r="AA584" s="719"/>
      <c r="AB584" s="166"/>
      <c r="AC584" s="166"/>
      <c r="AD584" s="166"/>
      <c r="AE584" s="87"/>
      <c r="AF584" s="87"/>
      <c r="AG584" s="87"/>
      <c r="AH584" s="87"/>
      <c r="AI584" s="87"/>
      <c r="AJ584" s="87"/>
      <c r="AK584" s="87"/>
      <c r="AL584" s="87"/>
      <c r="AM584" s="87"/>
    </row>
    <row r="585">
      <c r="A585" s="87"/>
      <c r="B585" s="166"/>
      <c r="C585" s="166"/>
      <c r="D585" s="166"/>
      <c r="E585" s="166"/>
      <c r="F585" s="714"/>
      <c r="G585" s="166"/>
      <c r="H585" s="166"/>
      <c r="I585" s="166"/>
      <c r="J585" s="166"/>
      <c r="K585" s="166"/>
      <c r="L585" s="166"/>
      <c r="M585" s="166"/>
      <c r="N585" s="715"/>
      <c r="O585" s="166"/>
      <c r="P585" s="166"/>
      <c r="Q585" s="716"/>
      <c r="R585" s="714"/>
      <c r="S585" s="717"/>
      <c r="T585" s="714"/>
      <c r="U585" s="166"/>
      <c r="V585" s="166"/>
      <c r="W585" s="166"/>
      <c r="X585" s="166"/>
      <c r="Y585" s="718"/>
      <c r="Z585" s="719"/>
      <c r="AA585" s="719"/>
      <c r="AB585" s="166"/>
      <c r="AC585" s="166"/>
      <c r="AD585" s="166"/>
      <c r="AE585" s="87"/>
      <c r="AF585" s="87"/>
      <c r="AG585" s="87"/>
      <c r="AH585" s="87"/>
      <c r="AI585" s="87"/>
      <c r="AJ585" s="87"/>
      <c r="AK585" s="87"/>
      <c r="AL585" s="87"/>
      <c r="AM585" s="87"/>
    </row>
    <row r="586">
      <c r="A586" s="87"/>
      <c r="B586" s="166"/>
      <c r="C586" s="166"/>
      <c r="D586" s="166"/>
      <c r="E586" s="166"/>
      <c r="F586" s="714"/>
      <c r="G586" s="166"/>
      <c r="H586" s="166"/>
      <c r="I586" s="166"/>
      <c r="J586" s="166"/>
      <c r="K586" s="166"/>
      <c r="L586" s="166"/>
      <c r="M586" s="166"/>
      <c r="N586" s="715"/>
      <c r="O586" s="166"/>
      <c r="P586" s="166"/>
      <c r="Q586" s="716"/>
      <c r="R586" s="714"/>
      <c r="S586" s="717"/>
      <c r="T586" s="714"/>
      <c r="U586" s="166"/>
      <c r="V586" s="166"/>
      <c r="W586" s="166"/>
      <c r="X586" s="166"/>
      <c r="Y586" s="718"/>
      <c r="Z586" s="719"/>
      <c r="AA586" s="719"/>
      <c r="AB586" s="166"/>
      <c r="AC586" s="166"/>
      <c r="AD586" s="166"/>
      <c r="AE586" s="87"/>
      <c r="AF586" s="87"/>
      <c r="AG586" s="87"/>
      <c r="AH586" s="87"/>
      <c r="AI586" s="87"/>
      <c r="AJ586" s="87"/>
      <c r="AK586" s="87"/>
      <c r="AL586" s="87"/>
      <c r="AM586" s="87"/>
    </row>
    <row r="587">
      <c r="A587" s="87"/>
      <c r="B587" s="166"/>
      <c r="C587" s="166"/>
      <c r="D587" s="166"/>
      <c r="E587" s="166"/>
      <c r="F587" s="714"/>
      <c r="G587" s="166"/>
      <c r="H587" s="166"/>
      <c r="I587" s="166"/>
      <c r="J587" s="166"/>
      <c r="K587" s="166"/>
      <c r="L587" s="166"/>
      <c r="M587" s="166"/>
      <c r="N587" s="715"/>
      <c r="O587" s="166"/>
      <c r="P587" s="166"/>
      <c r="Q587" s="716"/>
      <c r="R587" s="714"/>
      <c r="S587" s="717"/>
      <c r="T587" s="714"/>
      <c r="U587" s="166"/>
      <c r="V587" s="166"/>
      <c r="W587" s="166"/>
      <c r="X587" s="166"/>
      <c r="Y587" s="718"/>
      <c r="Z587" s="719"/>
      <c r="AA587" s="719"/>
      <c r="AB587" s="166"/>
      <c r="AC587" s="166"/>
      <c r="AD587" s="166"/>
      <c r="AE587" s="87"/>
      <c r="AF587" s="87"/>
      <c r="AG587" s="87"/>
      <c r="AH587" s="87"/>
      <c r="AI587" s="87"/>
      <c r="AJ587" s="87"/>
      <c r="AK587" s="87"/>
      <c r="AL587" s="87"/>
      <c r="AM587" s="87"/>
    </row>
    <row r="588">
      <c r="A588" s="87"/>
      <c r="B588" s="166"/>
      <c r="C588" s="166"/>
      <c r="D588" s="166"/>
      <c r="E588" s="166"/>
      <c r="F588" s="714"/>
      <c r="G588" s="166"/>
      <c r="H588" s="166"/>
      <c r="I588" s="166"/>
      <c r="J588" s="166"/>
      <c r="K588" s="166"/>
      <c r="L588" s="166"/>
      <c r="M588" s="166"/>
      <c r="N588" s="715"/>
      <c r="O588" s="166"/>
      <c r="P588" s="166"/>
      <c r="Q588" s="716"/>
      <c r="R588" s="714"/>
      <c r="S588" s="717"/>
      <c r="T588" s="714"/>
      <c r="U588" s="166"/>
      <c r="V588" s="166"/>
      <c r="W588" s="166"/>
      <c r="X588" s="166"/>
      <c r="Y588" s="718"/>
      <c r="Z588" s="719"/>
      <c r="AA588" s="719"/>
      <c r="AB588" s="166"/>
      <c r="AC588" s="166"/>
      <c r="AD588" s="166"/>
      <c r="AE588" s="87"/>
      <c r="AF588" s="87"/>
      <c r="AG588" s="87"/>
      <c r="AH588" s="87"/>
      <c r="AI588" s="87"/>
      <c r="AJ588" s="87"/>
      <c r="AK588" s="87"/>
      <c r="AL588" s="87"/>
      <c r="AM588" s="87"/>
    </row>
    <row r="589">
      <c r="A589" s="87"/>
      <c r="B589" s="166"/>
      <c r="C589" s="166"/>
      <c r="D589" s="166"/>
      <c r="E589" s="166"/>
      <c r="F589" s="714"/>
      <c r="G589" s="166"/>
      <c r="H589" s="166"/>
      <c r="I589" s="166"/>
      <c r="J589" s="166"/>
      <c r="K589" s="166"/>
      <c r="L589" s="166"/>
      <c r="M589" s="166"/>
      <c r="N589" s="715"/>
      <c r="O589" s="166"/>
      <c r="P589" s="166"/>
      <c r="Q589" s="716"/>
      <c r="R589" s="714"/>
      <c r="S589" s="717"/>
      <c r="T589" s="714"/>
      <c r="U589" s="166"/>
      <c r="V589" s="166"/>
      <c r="W589" s="166"/>
      <c r="X589" s="166"/>
      <c r="Y589" s="718"/>
      <c r="Z589" s="719"/>
      <c r="AA589" s="719"/>
      <c r="AB589" s="166"/>
      <c r="AC589" s="166"/>
      <c r="AD589" s="166"/>
      <c r="AE589" s="87"/>
      <c r="AF589" s="87"/>
      <c r="AG589" s="87"/>
      <c r="AH589" s="87"/>
      <c r="AI589" s="87"/>
      <c r="AJ589" s="87"/>
      <c r="AK589" s="87"/>
      <c r="AL589" s="87"/>
      <c r="AM589" s="87"/>
    </row>
    <row r="590">
      <c r="A590" s="87"/>
      <c r="B590" s="166"/>
      <c r="C590" s="166"/>
      <c r="D590" s="166"/>
      <c r="E590" s="166"/>
      <c r="F590" s="714"/>
      <c r="G590" s="166"/>
      <c r="H590" s="166"/>
      <c r="I590" s="166"/>
      <c r="J590" s="166"/>
      <c r="K590" s="166"/>
      <c r="L590" s="166"/>
      <c r="M590" s="166"/>
      <c r="N590" s="715"/>
      <c r="O590" s="166"/>
      <c r="P590" s="166"/>
      <c r="Q590" s="716"/>
      <c r="R590" s="714"/>
      <c r="S590" s="717"/>
      <c r="T590" s="714"/>
      <c r="U590" s="166"/>
      <c r="V590" s="166"/>
      <c r="W590" s="166"/>
      <c r="X590" s="166"/>
      <c r="Y590" s="718"/>
      <c r="Z590" s="719"/>
      <c r="AA590" s="719"/>
      <c r="AB590" s="166"/>
      <c r="AC590" s="166"/>
      <c r="AD590" s="166"/>
      <c r="AE590" s="87"/>
      <c r="AF590" s="87"/>
      <c r="AG590" s="87"/>
      <c r="AH590" s="87"/>
      <c r="AI590" s="87"/>
      <c r="AJ590" s="87"/>
      <c r="AK590" s="87"/>
      <c r="AL590" s="87"/>
      <c r="AM590" s="87"/>
    </row>
    <row r="591">
      <c r="A591" s="87"/>
      <c r="B591" s="166"/>
      <c r="C591" s="166"/>
      <c r="D591" s="166"/>
      <c r="E591" s="166"/>
      <c r="F591" s="714"/>
      <c r="G591" s="166"/>
      <c r="H591" s="166"/>
      <c r="I591" s="166"/>
      <c r="J591" s="166"/>
      <c r="K591" s="166"/>
      <c r="L591" s="166"/>
      <c r="M591" s="166"/>
      <c r="N591" s="715"/>
      <c r="O591" s="166"/>
      <c r="P591" s="166"/>
      <c r="Q591" s="716"/>
      <c r="R591" s="714"/>
      <c r="S591" s="717"/>
      <c r="T591" s="714"/>
      <c r="U591" s="166"/>
      <c r="V591" s="166"/>
      <c r="W591" s="166"/>
      <c r="X591" s="166"/>
      <c r="Y591" s="718"/>
      <c r="Z591" s="719"/>
      <c r="AA591" s="719"/>
      <c r="AB591" s="166"/>
      <c r="AC591" s="166"/>
      <c r="AD591" s="166"/>
      <c r="AE591" s="87"/>
      <c r="AF591" s="87"/>
      <c r="AG591" s="87"/>
      <c r="AH591" s="87"/>
      <c r="AI591" s="87"/>
      <c r="AJ591" s="87"/>
      <c r="AK591" s="87"/>
      <c r="AL591" s="87"/>
      <c r="AM591" s="87"/>
    </row>
    <row r="592">
      <c r="A592" s="87"/>
      <c r="B592" s="166"/>
      <c r="C592" s="166"/>
      <c r="D592" s="166"/>
      <c r="E592" s="166"/>
      <c r="F592" s="714"/>
      <c r="G592" s="166"/>
      <c r="H592" s="166"/>
      <c r="I592" s="166"/>
      <c r="J592" s="166"/>
      <c r="K592" s="166"/>
      <c r="L592" s="166"/>
      <c r="M592" s="166"/>
      <c r="N592" s="715"/>
      <c r="O592" s="166"/>
      <c r="P592" s="166"/>
      <c r="Q592" s="716"/>
      <c r="R592" s="714"/>
      <c r="S592" s="717"/>
      <c r="T592" s="714"/>
      <c r="U592" s="166"/>
      <c r="V592" s="166"/>
      <c r="W592" s="166"/>
      <c r="X592" s="166"/>
      <c r="Y592" s="718"/>
      <c r="Z592" s="719"/>
      <c r="AA592" s="719"/>
      <c r="AB592" s="166"/>
      <c r="AC592" s="166"/>
      <c r="AD592" s="166"/>
      <c r="AE592" s="87"/>
      <c r="AF592" s="87"/>
      <c r="AG592" s="87"/>
      <c r="AH592" s="87"/>
      <c r="AI592" s="87"/>
      <c r="AJ592" s="87"/>
      <c r="AK592" s="87"/>
      <c r="AL592" s="87"/>
      <c r="AM592" s="87"/>
    </row>
    <row r="593">
      <c r="A593" s="87"/>
      <c r="B593" s="166"/>
      <c r="C593" s="166"/>
      <c r="D593" s="166"/>
      <c r="E593" s="166"/>
      <c r="F593" s="714"/>
      <c r="G593" s="166"/>
      <c r="H593" s="166"/>
      <c r="I593" s="166"/>
      <c r="J593" s="166"/>
      <c r="K593" s="166"/>
      <c r="L593" s="166"/>
      <c r="M593" s="166"/>
      <c r="N593" s="715"/>
      <c r="O593" s="166"/>
      <c r="P593" s="166"/>
      <c r="Q593" s="716"/>
      <c r="R593" s="714"/>
      <c r="S593" s="717"/>
      <c r="T593" s="714"/>
      <c r="U593" s="166"/>
      <c r="V593" s="166"/>
      <c r="W593" s="166"/>
      <c r="X593" s="166"/>
      <c r="Y593" s="718"/>
      <c r="Z593" s="719"/>
      <c r="AA593" s="719"/>
      <c r="AB593" s="166"/>
      <c r="AC593" s="166"/>
      <c r="AD593" s="166"/>
      <c r="AE593" s="87"/>
      <c r="AF593" s="87"/>
      <c r="AG593" s="87"/>
      <c r="AH593" s="87"/>
      <c r="AI593" s="87"/>
      <c r="AJ593" s="87"/>
      <c r="AK593" s="87"/>
      <c r="AL593" s="87"/>
      <c r="AM593" s="87"/>
    </row>
    <row r="594">
      <c r="A594" s="87"/>
      <c r="B594" s="166"/>
      <c r="C594" s="166"/>
      <c r="D594" s="166"/>
      <c r="E594" s="166"/>
      <c r="F594" s="714"/>
      <c r="G594" s="166"/>
      <c r="H594" s="166"/>
      <c r="I594" s="166"/>
      <c r="J594" s="166"/>
      <c r="K594" s="166"/>
      <c r="L594" s="166"/>
      <c r="M594" s="166"/>
      <c r="N594" s="715"/>
      <c r="O594" s="166"/>
      <c r="P594" s="166"/>
      <c r="Q594" s="716"/>
      <c r="R594" s="714"/>
      <c r="S594" s="717"/>
      <c r="T594" s="714"/>
      <c r="U594" s="166"/>
      <c r="V594" s="166"/>
      <c r="W594" s="166"/>
      <c r="X594" s="166"/>
      <c r="Y594" s="718"/>
      <c r="Z594" s="719"/>
      <c r="AA594" s="719"/>
      <c r="AB594" s="166"/>
      <c r="AC594" s="166"/>
      <c r="AD594" s="166"/>
      <c r="AE594" s="87"/>
      <c r="AF594" s="87"/>
      <c r="AG594" s="87"/>
      <c r="AH594" s="87"/>
      <c r="AI594" s="87"/>
      <c r="AJ594" s="87"/>
      <c r="AK594" s="87"/>
      <c r="AL594" s="87"/>
      <c r="AM594" s="87"/>
    </row>
    <row r="595">
      <c r="A595" s="87"/>
      <c r="B595" s="166"/>
      <c r="C595" s="166"/>
      <c r="D595" s="166"/>
      <c r="E595" s="166"/>
      <c r="F595" s="714"/>
      <c r="G595" s="166"/>
      <c r="H595" s="166"/>
      <c r="I595" s="166"/>
      <c r="J595" s="166"/>
      <c r="K595" s="166"/>
      <c r="L595" s="166"/>
      <c r="M595" s="166"/>
      <c r="N595" s="715"/>
      <c r="O595" s="166"/>
      <c r="P595" s="166"/>
      <c r="Q595" s="716"/>
      <c r="R595" s="714"/>
      <c r="S595" s="717"/>
      <c r="T595" s="714"/>
      <c r="U595" s="166"/>
      <c r="V595" s="166"/>
      <c r="W595" s="166"/>
      <c r="X595" s="166"/>
      <c r="Y595" s="718"/>
      <c r="Z595" s="719"/>
      <c r="AA595" s="719"/>
      <c r="AB595" s="166"/>
      <c r="AC595" s="166"/>
      <c r="AD595" s="166"/>
      <c r="AE595" s="87"/>
      <c r="AF595" s="87"/>
      <c r="AG595" s="87"/>
      <c r="AH595" s="87"/>
      <c r="AI595" s="87"/>
      <c r="AJ595" s="87"/>
      <c r="AK595" s="87"/>
      <c r="AL595" s="87"/>
      <c r="AM595" s="87"/>
    </row>
    <row r="596">
      <c r="A596" s="87"/>
      <c r="B596" s="166"/>
      <c r="C596" s="166"/>
      <c r="D596" s="166"/>
      <c r="E596" s="166"/>
      <c r="F596" s="714"/>
      <c r="G596" s="166"/>
      <c r="H596" s="166"/>
      <c r="I596" s="166"/>
      <c r="J596" s="166"/>
      <c r="K596" s="166"/>
      <c r="L596" s="166"/>
      <c r="M596" s="166"/>
      <c r="N596" s="715"/>
      <c r="O596" s="166"/>
      <c r="P596" s="166"/>
      <c r="Q596" s="716"/>
      <c r="R596" s="714"/>
      <c r="S596" s="717"/>
      <c r="T596" s="714"/>
      <c r="U596" s="166"/>
      <c r="V596" s="166"/>
      <c r="W596" s="166"/>
      <c r="X596" s="166"/>
      <c r="Y596" s="718"/>
      <c r="Z596" s="719"/>
      <c r="AA596" s="719"/>
      <c r="AB596" s="166"/>
      <c r="AC596" s="166"/>
      <c r="AD596" s="166"/>
      <c r="AE596" s="87"/>
      <c r="AF596" s="87"/>
      <c r="AG596" s="87"/>
      <c r="AH596" s="87"/>
      <c r="AI596" s="87"/>
      <c r="AJ596" s="87"/>
      <c r="AK596" s="87"/>
      <c r="AL596" s="87"/>
      <c r="AM596" s="87"/>
    </row>
    <row r="597">
      <c r="A597" s="87"/>
      <c r="B597" s="166"/>
      <c r="C597" s="166"/>
      <c r="D597" s="166"/>
      <c r="E597" s="166"/>
      <c r="F597" s="714"/>
      <c r="G597" s="166"/>
      <c r="H597" s="166"/>
      <c r="I597" s="166"/>
      <c r="J597" s="166"/>
      <c r="K597" s="166"/>
      <c r="L597" s="166"/>
      <c r="M597" s="166"/>
      <c r="N597" s="715"/>
      <c r="O597" s="166"/>
      <c r="P597" s="166"/>
      <c r="Q597" s="716"/>
      <c r="R597" s="714"/>
      <c r="S597" s="717"/>
      <c r="T597" s="714"/>
      <c r="U597" s="166"/>
      <c r="V597" s="166"/>
      <c r="W597" s="166"/>
      <c r="X597" s="166"/>
      <c r="Y597" s="718"/>
      <c r="Z597" s="719"/>
      <c r="AA597" s="719"/>
      <c r="AB597" s="166"/>
      <c r="AC597" s="166"/>
      <c r="AD597" s="166"/>
      <c r="AE597" s="87"/>
      <c r="AF597" s="87"/>
      <c r="AG597" s="87"/>
      <c r="AH597" s="87"/>
      <c r="AI597" s="87"/>
      <c r="AJ597" s="87"/>
      <c r="AK597" s="87"/>
      <c r="AL597" s="87"/>
      <c r="AM597" s="87"/>
    </row>
    <row r="598">
      <c r="A598" s="87"/>
      <c r="B598" s="166"/>
      <c r="C598" s="166"/>
      <c r="D598" s="166"/>
      <c r="E598" s="166"/>
      <c r="F598" s="714"/>
      <c r="G598" s="166"/>
      <c r="H598" s="166"/>
      <c r="I598" s="166"/>
      <c r="J598" s="166"/>
      <c r="K598" s="166"/>
      <c r="L598" s="166"/>
      <c r="M598" s="166"/>
      <c r="N598" s="715"/>
      <c r="O598" s="166"/>
      <c r="P598" s="166"/>
      <c r="Q598" s="716"/>
      <c r="R598" s="714"/>
      <c r="S598" s="717"/>
      <c r="T598" s="714"/>
      <c r="U598" s="166"/>
      <c r="V598" s="166"/>
      <c r="W598" s="166"/>
      <c r="X598" s="166"/>
      <c r="Y598" s="718"/>
      <c r="Z598" s="719"/>
      <c r="AA598" s="719"/>
      <c r="AB598" s="166"/>
      <c r="AC598" s="166"/>
      <c r="AD598" s="166"/>
      <c r="AE598" s="87"/>
      <c r="AF598" s="87"/>
      <c r="AG598" s="87"/>
      <c r="AH598" s="87"/>
      <c r="AI598" s="87"/>
      <c r="AJ598" s="87"/>
      <c r="AK598" s="87"/>
      <c r="AL598" s="87"/>
      <c r="AM598" s="87"/>
    </row>
    <row r="599">
      <c r="A599" s="87"/>
      <c r="B599" s="166"/>
      <c r="C599" s="166"/>
      <c r="D599" s="166"/>
      <c r="E599" s="166"/>
      <c r="F599" s="714"/>
      <c r="G599" s="166"/>
      <c r="H599" s="166"/>
      <c r="I599" s="166"/>
      <c r="J599" s="166"/>
      <c r="K599" s="166"/>
      <c r="L599" s="166"/>
      <c r="M599" s="166"/>
      <c r="N599" s="715"/>
      <c r="O599" s="166"/>
      <c r="P599" s="166"/>
      <c r="Q599" s="716"/>
      <c r="R599" s="714"/>
      <c r="S599" s="717"/>
      <c r="T599" s="714"/>
      <c r="U599" s="166"/>
      <c r="V599" s="166"/>
      <c r="W599" s="166"/>
      <c r="X599" s="166"/>
      <c r="Y599" s="718"/>
      <c r="Z599" s="719"/>
      <c r="AA599" s="719"/>
      <c r="AB599" s="166"/>
      <c r="AC599" s="166"/>
      <c r="AD599" s="166"/>
      <c r="AE599" s="87"/>
      <c r="AF599" s="87"/>
      <c r="AG599" s="87"/>
      <c r="AH599" s="87"/>
      <c r="AI599" s="87"/>
      <c r="AJ599" s="87"/>
      <c r="AK599" s="87"/>
      <c r="AL599" s="87"/>
      <c r="AM599" s="87"/>
    </row>
    <row r="600">
      <c r="A600" s="87"/>
      <c r="B600" s="166"/>
      <c r="C600" s="166"/>
      <c r="D600" s="166"/>
      <c r="E600" s="166"/>
      <c r="F600" s="714"/>
      <c r="G600" s="166"/>
      <c r="H600" s="166"/>
      <c r="I600" s="166"/>
      <c r="J600" s="166"/>
      <c r="K600" s="166"/>
      <c r="L600" s="166"/>
      <c r="M600" s="166"/>
      <c r="N600" s="715"/>
      <c r="O600" s="166"/>
      <c r="P600" s="166"/>
      <c r="Q600" s="716"/>
      <c r="R600" s="714"/>
      <c r="S600" s="717"/>
      <c r="T600" s="714"/>
      <c r="U600" s="166"/>
      <c r="V600" s="166"/>
      <c r="W600" s="166"/>
      <c r="X600" s="166"/>
      <c r="Y600" s="718"/>
      <c r="Z600" s="719"/>
      <c r="AA600" s="719"/>
      <c r="AB600" s="166"/>
      <c r="AC600" s="166"/>
      <c r="AD600" s="166"/>
      <c r="AE600" s="87"/>
      <c r="AF600" s="87"/>
      <c r="AG600" s="87"/>
      <c r="AH600" s="87"/>
      <c r="AI600" s="87"/>
      <c r="AJ600" s="87"/>
      <c r="AK600" s="87"/>
      <c r="AL600" s="87"/>
      <c r="AM600" s="87"/>
    </row>
    <row r="601">
      <c r="A601" s="87"/>
      <c r="B601" s="166"/>
      <c r="C601" s="166"/>
      <c r="D601" s="166"/>
      <c r="E601" s="166"/>
      <c r="F601" s="714"/>
      <c r="G601" s="166"/>
      <c r="H601" s="166"/>
      <c r="I601" s="166"/>
      <c r="J601" s="166"/>
      <c r="K601" s="166"/>
      <c r="L601" s="166"/>
      <c r="M601" s="166"/>
      <c r="N601" s="715"/>
      <c r="O601" s="166"/>
      <c r="P601" s="166"/>
      <c r="Q601" s="716"/>
      <c r="R601" s="714"/>
      <c r="S601" s="717"/>
      <c r="T601" s="714"/>
      <c r="U601" s="166"/>
      <c r="V601" s="166"/>
      <c r="W601" s="166"/>
      <c r="X601" s="166"/>
      <c r="Y601" s="718"/>
      <c r="Z601" s="719"/>
      <c r="AA601" s="719"/>
      <c r="AB601" s="166"/>
      <c r="AC601" s="166"/>
      <c r="AD601" s="166"/>
      <c r="AE601" s="87"/>
      <c r="AF601" s="87"/>
      <c r="AG601" s="87"/>
      <c r="AH601" s="87"/>
      <c r="AI601" s="87"/>
      <c r="AJ601" s="87"/>
      <c r="AK601" s="87"/>
      <c r="AL601" s="87"/>
      <c r="AM601" s="87"/>
    </row>
    <row r="602">
      <c r="A602" s="87"/>
      <c r="B602" s="166"/>
      <c r="C602" s="166"/>
      <c r="D602" s="166"/>
      <c r="E602" s="166"/>
      <c r="F602" s="714"/>
      <c r="G602" s="166"/>
      <c r="H602" s="166"/>
      <c r="I602" s="166"/>
      <c r="J602" s="166"/>
      <c r="K602" s="166"/>
      <c r="L602" s="166"/>
      <c r="M602" s="166"/>
      <c r="N602" s="715"/>
      <c r="O602" s="166"/>
      <c r="P602" s="166"/>
      <c r="Q602" s="716"/>
      <c r="R602" s="714"/>
      <c r="S602" s="717"/>
      <c r="T602" s="714"/>
      <c r="U602" s="166"/>
      <c r="V602" s="166"/>
      <c r="W602" s="166"/>
      <c r="X602" s="166"/>
      <c r="Y602" s="718"/>
      <c r="Z602" s="719"/>
      <c r="AA602" s="719"/>
      <c r="AB602" s="166"/>
      <c r="AC602" s="166"/>
      <c r="AD602" s="166"/>
      <c r="AE602" s="87"/>
      <c r="AF602" s="87"/>
      <c r="AG602" s="87"/>
      <c r="AH602" s="87"/>
      <c r="AI602" s="87"/>
      <c r="AJ602" s="87"/>
      <c r="AK602" s="87"/>
      <c r="AL602" s="87"/>
      <c r="AM602" s="87"/>
    </row>
    <row r="603">
      <c r="A603" s="87"/>
      <c r="B603" s="166"/>
      <c r="C603" s="166"/>
      <c r="D603" s="166"/>
      <c r="E603" s="166"/>
      <c r="F603" s="714"/>
      <c r="G603" s="166"/>
      <c r="H603" s="166"/>
      <c r="I603" s="166"/>
      <c r="J603" s="166"/>
      <c r="K603" s="166"/>
      <c r="L603" s="166"/>
      <c r="M603" s="166"/>
      <c r="N603" s="715"/>
      <c r="O603" s="166"/>
      <c r="P603" s="166"/>
      <c r="Q603" s="716"/>
      <c r="R603" s="714"/>
      <c r="S603" s="717"/>
      <c r="T603" s="714"/>
      <c r="U603" s="166"/>
      <c r="V603" s="166"/>
      <c r="W603" s="166"/>
      <c r="X603" s="166"/>
      <c r="Y603" s="718"/>
      <c r="Z603" s="719"/>
      <c r="AA603" s="719"/>
      <c r="AB603" s="166"/>
      <c r="AC603" s="166"/>
      <c r="AD603" s="166"/>
      <c r="AE603" s="87"/>
      <c r="AF603" s="87"/>
      <c r="AG603" s="87"/>
      <c r="AH603" s="87"/>
      <c r="AI603" s="87"/>
      <c r="AJ603" s="87"/>
      <c r="AK603" s="87"/>
      <c r="AL603" s="87"/>
      <c r="AM603" s="87"/>
    </row>
    <row r="604">
      <c r="A604" s="87"/>
      <c r="B604" s="166"/>
      <c r="C604" s="166"/>
      <c r="D604" s="166"/>
      <c r="E604" s="166"/>
      <c r="F604" s="714"/>
      <c r="G604" s="166"/>
      <c r="H604" s="166"/>
      <c r="I604" s="166"/>
      <c r="J604" s="166"/>
      <c r="K604" s="166"/>
      <c r="L604" s="166"/>
      <c r="M604" s="166"/>
      <c r="N604" s="715"/>
      <c r="O604" s="166"/>
      <c r="P604" s="166"/>
      <c r="Q604" s="716"/>
      <c r="R604" s="714"/>
      <c r="S604" s="717"/>
      <c r="T604" s="714"/>
      <c r="U604" s="166"/>
      <c r="V604" s="166"/>
      <c r="W604" s="166"/>
      <c r="X604" s="166"/>
      <c r="Y604" s="718"/>
      <c r="Z604" s="719"/>
      <c r="AA604" s="719"/>
      <c r="AB604" s="166"/>
      <c r="AC604" s="166"/>
      <c r="AD604" s="166"/>
      <c r="AE604" s="87"/>
      <c r="AF604" s="87"/>
      <c r="AG604" s="87"/>
      <c r="AH604" s="87"/>
      <c r="AI604" s="87"/>
      <c r="AJ604" s="87"/>
      <c r="AK604" s="87"/>
      <c r="AL604" s="87"/>
      <c r="AM604" s="87"/>
    </row>
    <row r="605">
      <c r="A605" s="87"/>
      <c r="B605" s="166"/>
      <c r="C605" s="166"/>
      <c r="D605" s="166"/>
      <c r="E605" s="166"/>
      <c r="F605" s="714"/>
      <c r="G605" s="166"/>
      <c r="H605" s="166"/>
      <c r="I605" s="166"/>
      <c r="J605" s="166"/>
      <c r="K605" s="166"/>
      <c r="L605" s="166"/>
      <c r="M605" s="166"/>
      <c r="N605" s="715"/>
      <c r="O605" s="166"/>
      <c r="P605" s="166"/>
      <c r="Q605" s="716"/>
      <c r="R605" s="714"/>
      <c r="S605" s="717"/>
      <c r="T605" s="714"/>
      <c r="U605" s="166"/>
      <c r="V605" s="166"/>
      <c r="W605" s="166"/>
      <c r="X605" s="166"/>
      <c r="Y605" s="718"/>
      <c r="Z605" s="719"/>
      <c r="AA605" s="719"/>
      <c r="AB605" s="166"/>
      <c r="AC605" s="166"/>
      <c r="AD605" s="166"/>
      <c r="AE605" s="87"/>
      <c r="AF605" s="87"/>
      <c r="AG605" s="87"/>
      <c r="AH605" s="87"/>
      <c r="AI605" s="87"/>
      <c r="AJ605" s="87"/>
      <c r="AK605" s="87"/>
      <c r="AL605" s="87"/>
      <c r="AM605" s="87"/>
    </row>
    <row r="606">
      <c r="A606" s="87"/>
      <c r="B606" s="166"/>
      <c r="C606" s="166"/>
      <c r="D606" s="166"/>
      <c r="E606" s="166"/>
      <c r="F606" s="714"/>
      <c r="G606" s="166"/>
      <c r="H606" s="166"/>
      <c r="I606" s="166"/>
      <c r="J606" s="166"/>
      <c r="K606" s="166"/>
      <c r="L606" s="166"/>
      <c r="M606" s="166"/>
      <c r="N606" s="715"/>
      <c r="O606" s="166"/>
      <c r="P606" s="166"/>
      <c r="Q606" s="716"/>
      <c r="R606" s="714"/>
      <c r="S606" s="717"/>
      <c r="T606" s="714"/>
      <c r="U606" s="166"/>
      <c r="V606" s="166"/>
      <c r="W606" s="166"/>
      <c r="X606" s="166"/>
      <c r="Y606" s="718"/>
      <c r="Z606" s="719"/>
      <c r="AA606" s="719"/>
      <c r="AB606" s="166"/>
      <c r="AC606" s="166"/>
      <c r="AD606" s="166"/>
      <c r="AE606" s="87"/>
      <c r="AF606" s="87"/>
      <c r="AG606" s="87"/>
      <c r="AH606" s="87"/>
      <c r="AI606" s="87"/>
      <c r="AJ606" s="87"/>
      <c r="AK606" s="87"/>
      <c r="AL606" s="87"/>
      <c r="AM606" s="87"/>
    </row>
    <row r="607">
      <c r="A607" s="87"/>
      <c r="B607" s="166"/>
      <c r="C607" s="166"/>
      <c r="D607" s="166"/>
      <c r="E607" s="166"/>
      <c r="F607" s="714"/>
      <c r="G607" s="166"/>
      <c r="H607" s="166"/>
      <c r="I607" s="166"/>
      <c r="J607" s="166"/>
      <c r="K607" s="166"/>
      <c r="L607" s="166"/>
      <c r="M607" s="166"/>
      <c r="N607" s="715"/>
      <c r="O607" s="166"/>
      <c r="P607" s="166"/>
      <c r="Q607" s="716"/>
      <c r="R607" s="714"/>
      <c r="S607" s="717"/>
      <c r="T607" s="714"/>
      <c r="U607" s="166"/>
      <c r="V607" s="166"/>
      <c r="W607" s="166"/>
      <c r="X607" s="166"/>
      <c r="Y607" s="718"/>
      <c r="Z607" s="719"/>
      <c r="AA607" s="719"/>
      <c r="AB607" s="166"/>
      <c r="AC607" s="166"/>
      <c r="AD607" s="166"/>
      <c r="AE607" s="87"/>
      <c r="AF607" s="87"/>
      <c r="AG607" s="87"/>
      <c r="AH607" s="87"/>
      <c r="AI607" s="87"/>
      <c r="AJ607" s="87"/>
      <c r="AK607" s="87"/>
      <c r="AL607" s="87"/>
      <c r="AM607" s="87"/>
    </row>
    <row r="608">
      <c r="A608" s="87"/>
      <c r="B608" s="166"/>
      <c r="C608" s="166"/>
      <c r="D608" s="166"/>
      <c r="E608" s="166"/>
      <c r="F608" s="714"/>
      <c r="G608" s="166"/>
      <c r="H608" s="166"/>
      <c r="I608" s="166"/>
      <c r="J608" s="166"/>
      <c r="K608" s="166"/>
      <c r="L608" s="166"/>
      <c r="M608" s="166"/>
      <c r="N608" s="715"/>
      <c r="O608" s="166"/>
      <c r="P608" s="166"/>
      <c r="Q608" s="716"/>
      <c r="R608" s="714"/>
      <c r="S608" s="717"/>
      <c r="T608" s="714"/>
      <c r="U608" s="166"/>
      <c r="V608" s="166"/>
      <c r="W608" s="166"/>
      <c r="X608" s="166"/>
      <c r="Y608" s="718"/>
      <c r="Z608" s="719"/>
      <c r="AA608" s="719"/>
      <c r="AB608" s="166"/>
      <c r="AC608" s="166"/>
      <c r="AD608" s="166"/>
      <c r="AE608" s="87"/>
      <c r="AF608" s="87"/>
      <c r="AG608" s="87"/>
      <c r="AH608" s="87"/>
      <c r="AI608" s="87"/>
      <c r="AJ608" s="87"/>
      <c r="AK608" s="87"/>
      <c r="AL608" s="87"/>
      <c r="AM608" s="87"/>
    </row>
    <row r="609">
      <c r="A609" s="87"/>
      <c r="B609" s="166"/>
      <c r="C609" s="166"/>
      <c r="D609" s="166"/>
      <c r="E609" s="166"/>
      <c r="F609" s="714"/>
      <c r="G609" s="166"/>
      <c r="H609" s="166"/>
      <c r="I609" s="166"/>
      <c r="J609" s="166"/>
      <c r="K609" s="166"/>
      <c r="L609" s="166"/>
      <c r="M609" s="166"/>
      <c r="N609" s="715"/>
      <c r="O609" s="166"/>
      <c r="P609" s="166"/>
      <c r="Q609" s="716"/>
      <c r="R609" s="714"/>
      <c r="S609" s="717"/>
      <c r="T609" s="714"/>
      <c r="U609" s="166"/>
      <c r="V609" s="166"/>
      <c r="W609" s="166"/>
      <c r="X609" s="166"/>
      <c r="Y609" s="718"/>
      <c r="Z609" s="719"/>
      <c r="AA609" s="719"/>
      <c r="AB609" s="166"/>
      <c r="AC609" s="166"/>
      <c r="AD609" s="166"/>
      <c r="AE609" s="87"/>
      <c r="AF609" s="87"/>
      <c r="AG609" s="87"/>
      <c r="AH609" s="87"/>
      <c r="AI609" s="87"/>
      <c r="AJ609" s="87"/>
      <c r="AK609" s="87"/>
      <c r="AL609" s="87"/>
      <c r="AM609" s="87"/>
    </row>
    <row r="610">
      <c r="A610" s="87"/>
      <c r="B610" s="166"/>
      <c r="C610" s="166"/>
      <c r="D610" s="166"/>
      <c r="E610" s="166"/>
      <c r="F610" s="714"/>
      <c r="G610" s="166"/>
      <c r="H610" s="166"/>
      <c r="I610" s="166"/>
      <c r="J610" s="166"/>
      <c r="K610" s="166"/>
      <c r="L610" s="166"/>
      <c r="M610" s="166"/>
      <c r="N610" s="715"/>
      <c r="O610" s="166"/>
      <c r="P610" s="166"/>
      <c r="Q610" s="716"/>
      <c r="R610" s="714"/>
      <c r="S610" s="717"/>
      <c r="T610" s="714"/>
      <c r="U610" s="166"/>
      <c r="V610" s="166"/>
      <c r="W610" s="166"/>
      <c r="X610" s="166"/>
      <c r="Y610" s="718"/>
      <c r="Z610" s="719"/>
      <c r="AA610" s="719"/>
      <c r="AB610" s="166"/>
      <c r="AC610" s="166"/>
      <c r="AD610" s="166"/>
      <c r="AE610" s="87"/>
      <c r="AF610" s="87"/>
      <c r="AG610" s="87"/>
      <c r="AH610" s="87"/>
      <c r="AI610" s="87"/>
      <c r="AJ610" s="87"/>
      <c r="AK610" s="87"/>
      <c r="AL610" s="87"/>
      <c r="AM610" s="87"/>
    </row>
    <row r="611">
      <c r="A611" s="87"/>
      <c r="B611" s="166"/>
      <c r="C611" s="166"/>
      <c r="D611" s="166"/>
      <c r="E611" s="166"/>
      <c r="F611" s="714"/>
      <c r="G611" s="166"/>
      <c r="H611" s="166"/>
      <c r="I611" s="166"/>
      <c r="J611" s="166"/>
      <c r="K611" s="166"/>
      <c r="L611" s="166"/>
      <c r="M611" s="166"/>
      <c r="N611" s="715"/>
      <c r="O611" s="166"/>
      <c r="P611" s="166"/>
      <c r="Q611" s="716"/>
      <c r="R611" s="714"/>
      <c r="S611" s="717"/>
      <c r="T611" s="714"/>
      <c r="U611" s="166"/>
      <c r="V611" s="166"/>
      <c r="W611" s="166"/>
      <c r="X611" s="166"/>
      <c r="Y611" s="718"/>
      <c r="Z611" s="719"/>
      <c r="AA611" s="719"/>
      <c r="AB611" s="166"/>
      <c r="AC611" s="166"/>
      <c r="AD611" s="166"/>
      <c r="AE611" s="87"/>
      <c r="AF611" s="87"/>
      <c r="AG611" s="87"/>
      <c r="AH611" s="87"/>
      <c r="AI611" s="87"/>
      <c r="AJ611" s="87"/>
      <c r="AK611" s="87"/>
      <c r="AL611" s="87"/>
      <c r="AM611" s="87"/>
    </row>
    <row r="612">
      <c r="A612" s="87"/>
      <c r="B612" s="166"/>
      <c r="C612" s="166"/>
      <c r="D612" s="166"/>
      <c r="E612" s="166"/>
      <c r="F612" s="714"/>
      <c r="G612" s="166"/>
      <c r="H612" s="166"/>
      <c r="I612" s="166"/>
      <c r="J612" s="166"/>
      <c r="K612" s="166"/>
      <c r="L612" s="166"/>
      <c r="M612" s="166"/>
      <c r="N612" s="715"/>
      <c r="O612" s="166"/>
      <c r="P612" s="166"/>
      <c r="Q612" s="716"/>
      <c r="R612" s="714"/>
      <c r="S612" s="717"/>
      <c r="T612" s="714"/>
      <c r="U612" s="166"/>
      <c r="V612" s="166"/>
      <c r="W612" s="166"/>
      <c r="X612" s="166"/>
      <c r="Y612" s="718"/>
      <c r="Z612" s="719"/>
      <c r="AA612" s="719"/>
      <c r="AB612" s="166"/>
      <c r="AC612" s="166"/>
      <c r="AD612" s="166"/>
      <c r="AE612" s="87"/>
      <c r="AF612" s="87"/>
      <c r="AG612" s="87"/>
      <c r="AH612" s="87"/>
      <c r="AI612" s="87"/>
      <c r="AJ612" s="87"/>
      <c r="AK612" s="87"/>
      <c r="AL612" s="87"/>
      <c r="AM612" s="87"/>
    </row>
    <row r="613">
      <c r="A613" s="87"/>
      <c r="B613" s="166"/>
      <c r="C613" s="166"/>
      <c r="D613" s="166"/>
      <c r="E613" s="166"/>
      <c r="F613" s="714"/>
      <c r="G613" s="166"/>
      <c r="H613" s="166"/>
      <c r="I613" s="166"/>
      <c r="J613" s="166"/>
      <c r="K613" s="166"/>
      <c r="L613" s="166"/>
      <c r="M613" s="166"/>
      <c r="N613" s="715"/>
      <c r="O613" s="166"/>
      <c r="P613" s="166"/>
      <c r="Q613" s="716"/>
      <c r="R613" s="714"/>
      <c r="S613" s="717"/>
      <c r="T613" s="714"/>
      <c r="U613" s="166"/>
      <c r="V613" s="166"/>
      <c r="W613" s="166"/>
      <c r="X613" s="166"/>
      <c r="Y613" s="718"/>
      <c r="Z613" s="719"/>
      <c r="AA613" s="719"/>
      <c r="AB613" s="166"/>
      <c r="AC613" s="166"/>
      <c r="AD613" s="166"/>
      <c r="AE613" s="87"/>
      <c r="AF613" s="87"/>
      <c r="AG613" s="87"/>
      <c r="AH613" s="87"/>
      <c r="AI613" s="87"/>
      <c r="AJ613" s="87"/>
      <c r="AK613" s="87"/>
      <c r="AL613" s="87"/>
      <c r="AM613" s="87"/>
    </row>
    <row r="614">
      <c r="A614" s="87"/>
      <c r="B614" s="166"/>
      <c r="C614" s="166"/>
      <c r="D614" s="166"/>
      <c r="E614" s="166"/>
      <c r="F614" s="714"/>
      <c r="G614" s="166"/>
      <c r="H614" s="166"/>
      <c r="I614" s="166"/>
      <c r="J614" s="166"/>
      <c r="K614" s="166"/>
      <c r="L614" s="166"/>
      <c r="M614" s="166"/>
      <c r="N614" s="715"/>
      <c r="O614" s="166"/>
      <c r="P614" s="166"/>
      <c r="Q614" s="716"/>
      <c r="R614" s="714"/>
      <c r="S614" s="717"/>
      <c r="T614" s="714"/>
      <c r="U614" s="166"/>
      <c r="V614" s="166"/>
      <c r="W614" s="166"/>
      <c r="X614" s="166"/>
      <c r="Y614" s="718"/>
      <c r="Z614" s="719"/>
      <c r="AA614" s="719"/>
      <c r="AB614" s="166"/>
      <c r="AC614" s="166"/>
      <c r="AD614" s="166"/>
      <c r="AE614" s="87"/>
      <c r="AF614" s="87"/>
      <c r="AG614" s="87"/>
      <c r="AH614" s="87"/>
      <c r="AI614" s="87"/>
      <c r="AJ614" s="87"/>
      <c r="AK614" s="87"/>
      <c r="AL614" s="87"/>
      <c r="AM614" s="87"/>
    </row>
    <row r="615">
      <c r="A615" s="87"/>
      <c r="B615" s="166"/>
      <c r="C615" s="166"/>
      <c r="D615" s="166"/>
      <c r="E615" s="166"/>
      <c r="F615" s="714"/>
      <c r="G615" s="166"/>
      <c r="H615" s="166"/>
      <c r="I615" s="166"/>
      <c r="J615" s="166"/>
      <c r="K615" s="166"/>
      <c r="L615" s="166"/>
      <c r="M615" s="166"/>
      <c r="N615" s="715"/>
      <c r="O615" s="166"/>
      <c r="P615" s="166"/>
      <c r="Q615" s="716"/>
      <c r="R615" s="714"/>
      <c r="S615" s="717"/>
      <c r="T615" s="714"/>
      <c r="U615" s="166"/>
      <c r="V615" s="166"/>
      <c r="W615" s="166"/>
      <c r="X615" s="166"/>
      <c r="Y615" s="718"/>
      <c r="Z615" s="719"/>
      <c r="AA615" s="719"/>
      <c r="AB615" s="166"/>
      <c r="AC615" s="166"/>
      <c r="AD615" s="166"/>
      <c r="AE615" s="87"/>
      <c r="AF615" s="87"/>
      <c r="AG615" s="87"/>
      <c r="AH615" s="87"/>
      <c r="AI615" s="87"/>
      <c r="AJ615" s="87"/>
      <c r="AK615" s="87"/>
      <c r="AL615" s="87"/>
      <c r="AM615" s="87"/>
    </row>
    <row r="616">
      <c r="A616" s="87"/>
      <c r="B616" s="166"/>
      <c r="C616" s="166"/>
      <c r="D616" s="166"/>
      <c r="E616" s="166"/>
      <c r="F616" s="714"/>
      <c r="G616" s="166"/>
      <c r="H616" s="166"/>
      <c r="I616" s="166"/>
      <c r="J616" s="166"/>
      <c r="K616" s="166"/>
      <c r="L616" s="166"/>
      <c r="M616" s="166"/>
      <c r="N616" s="715"/>
      <c r="O616" s="166"/>
      <c r="P616" s="166"/>
      <c r="Q616" s="716"/>
      <c r="R616" s="714"/>
      <c r="S616" s="717"/>
      <c r="T616" s="714"/>
      <c r="U616" s="166"/>
      <c r="V616" s="166"/>
      <c r="W616" s="166"/>
      <c r="X616" s="166"/>
      <c r="Y616" s="718"/>
      <c r="Z616" s="719"/>
      <c r="AA616" s="719"/>
      <c r="AB616" s="166"/>
      <c r="AC616" s="166"/>
      <c r="AD616" s="166"/>
      <c r="AE616" s="87"/>
      <c r="AF616" s="87"/>
      <c r="AG616" s="87"/>
      <c r="AH616" s="87"/>
      <c r="AI616" s="87"/>
      <c r="AJ616" s="87"/>
      <c r="AK616" s="87"/>
      <c r="AL616" s="87"/>
      <c r="AM616" s="87"/>
    </row>
    <row r="617">
      <c r="A617" s="87"/>
      <c r="B617" s="166"/>
      <c r="C617" s="166"/>
      <c r="D617" s="166"/>
      <c r="E617" s="166"/>
      <c r="F617" s="714"/>
      <c r="G617" s="166"/>
      <c r="H617" s="166"/>
      <c r="I617" s="166"/>
      <c r="J617" s="166"/>
      <c r="K617" s="166"/>
      <c r="L617" s="166"/>
      <c r="M617" s="166"/>
      <c r="N617" s="715"/>
      <c r="O617" s="166"/>
      <c r="P617" s="166"/>
      <c r="Q617" s="716"/>
      <c r="R617" s="714"/>
      <c r="S617" s="717"/>
      <c r="T617" s="714"/>
      <c r="U617" s="166"/>
      <c r="V617" s="166"/>
      <c r="W617" s="166"/>
      <c r="X617" s="166"/>
      <c r="Y617" s="718"/>
      <c r="Z617" s="719"/>
      <c r="AA617" s="719"/>
      <c r="AB617" s="166"/>
      <c r="AC617" s="166"/>
      <c r="AD617" s="166"/>
      <c r="AE617" s="87"/>
      <c r="AF617" s="87"/>
      <c r="AG617" s="87"/>
      <c r="AH617" s="87"/>
      <c r="AI617" s="87"/>
      <c r="AJ617" s="87"/>
      <c r="AK617" s="87"/>
      <c r="AL617" s="87"/>
      <c r="AM617" s="87"/>
    </row>
    <row r="618">
      <c r="A618" s="87"/>
      <c r="B618" s="166"/>
      <c r="C618" s="166"/>
      <c r="D618" s="166"/>
      <c r="E618" s="166"/>
      <c r="F618" s="714"/>
      <c r="G618" s="166"/>
      <c r="H618" s="166"/>
      <c r="I618" s="166"/>
      <c r="J618" s="166"/>
      <c r="K618" s="166"/>
      <c r="L618" s="166"/>
      <c r="M618" s="166"/>
      <c r="N618" s="715"/>
      <c r="O618" s="166"/>
      <c r="P618" s="166"/>
      <c r="Q618" s="716"/>
      <c r="R618" s="714"/>
      <c r="S618" s="717"/>
      <c r="T618" s="714"/>
      <c r="U618" s="166"/>
      <c r="V618" s="166"/>
      <c r="W618" s="166"/>
      <c r="X618" s="166"/>
      <c r="Y618" s="718"/>
      <c r="Z618" s="719"/>
      <c r="AA618" s="719"/>
      <c r="AB618" s="166"/>
      <c r="AC618" s="166"/>
      <c r="AD618" s="166"/>
      <c r="AE618" s="87"/>
      <c r="AF618" s="87"/>
      <c r="AG618" s="87"/>
      <c r="AH618" s="87"/>
      <c r="AI618" s="87"/>
      <c r="AJ618" s="87"/>
      <c r="AK618" s="87"/>
      <c r="AL618" s="87"/>
      <c r="AM618" s="87"/>
    </row>
    <row r="619">
      <c r="A619" s="87"/>
      <c r="B619" s="166"/>
      <c r="C619" s="166"/>
      <c r="D619" s="166"/>
      <c r="E619" s="166"/>
      <c r="F619" s="714"/>
      <c r="G619" s="166"/>
      <c r="H619" s="166"/>
      <c r="I619" s="166"/>
      <c r="J619" s="166"/>
      <c r="K619" s="166"/>
      <c r="L619" s="166"/>
      <c r="M619" s="166"/>
      <c r="N619" s="715"/>
      <c r="O619" s="166"/>
      <c r="P619" s="166"/>
      <c r="Q619" s="716"/>
      <c r="R619" s="714"/>
      <c r="S619" s="717"/>
      <c r="T619" s="714"/>
      <c r="U619" s="166"/>
      <c r="V619" s="166"/>
      <c r="W619" s="166"/>
      <c r="X619" s="166"/>
      <c r="Y619" s="718"/>
      <c r="Z619" s="719"/>
      <c r="AA619" s="719"/>
      <c r="AB619" s="166"/>
      <c r="AC619" s="166"/>
      <c r="AD619" s="166"/>
      <c r="AE619" s="87"/>
      <c r="AF619" s="87"/>
      <c r="AG619" s="87"/>
      <c r="AH619" s="87"/>
      <c r="AI619" s="87"/>
      <c r="AJ619" s="87"/>
      <c r="AK619" s="87"/>
      <c r="AL619" s="87"/>
      <c r="AM619" s="87"/>
    </row>
    <row r="620">
      <c r="A620" s="87"/>
      <c r="B620" s="166"/>
      <c r="C620" s="166"/>
      <c r="D620" s="166"/>
      <c r="E620" s="166"/>
      <c r="F620" s="714"/>
      <c r="G620" s="166"/>
      <c r="H620" s="166"/>
      <c r="I620" s="166"/>
      <c r="J620" s="166"/>
      <c r="K620" s="166"/>
      <c r="L620" s="166"/>
      <c r="M620" s="166"/>
      <c r="N620" s="715"/>
      <c r="O620" s="166"/>
      <c r="P620" s="166"/>
      <c r="Q620" s="716"/>
      <c r="R620" s="714"/>
      <c r="S620" s="717"/>
      <c r="T620" s="714"/>
      <c r="U620" s="166"/>
      <c r="V620" s="166"/>
      <c r="W620" s="166"/>
      <c r="X620" s="166"/>
      <c r="Y620" s="718"/>
      <c r="Z620" s="719"/>
      <c r="AA620" s="719"/>
      <c r="AB620" s="166"/>
      <c r="AC620" s="166"/>
      <c r="AD620" s="166"/>
      <c r="AE620" s="87"/>
      <c r="AF620" s="87"/>
      <c r="AG620" s="87"/>
      <c r="AH620" s="87"/>
      <c r="AI620" s="87"/>
      <c r="AJ620" s="87"/>
      <c r="AK620" s="87"/>
      <c r="AL620" s="87"/>
      <c r="AM620" s="87"/>
    </row>
    <row r="621">
      <c r="A621" s="87"/>
      <c r="B621" s="166"/>
      <c r="C621" s="166"/>
      <c r="D621" s="166"/>
      <c r="E621" s="166"/>
      <c r="F621" s="714"/>
      <c r="G621" s="166"/>
      <c r="H621" s="166"/>
      <c r="I621" s="166"/>
      <c r="J621" s="166"/>
      <c r="K621" s="166"/>
      <c r="L621" s="166"/>
      <c r="M621" s="166"/>
      <c r="N621" s="715"/>
      <c r="O621" s="166"/>
      <c r="P621" s="166"/>
      <c r="Q621" s="716"/>
      <c r="R621" s="714"/>
      <c r="S621" s="717"/>
      <c r="T621" s="714"/>
      <c r="U621" s="166"/>
      <c r="V621" s="166"/>
      <c r="W621" s="166"/>
      <c r="X621" s="166"/>
      <c r="Y621" s="718"/>
      <c r="Z621" s="719"/>
      <c r="AA621" s="719"/>
      <c r="AB621" s="166"/>
      <c r="AC621" s="166"/>
      <c r="AD621" s="166"/>
      <c r="AE621" s="87"/>
      <c r="AF621" s="87"/>
      <c r="AG621" s="87"/>
      <c r="AH621" s="87"/>
      <c r="AI621" s="87"/>
      <c r="AJ621" s="87"/>
      <c r="AK621" s="87"/>
      <c r="AL621" s="87"/>
      <c r="AM621" s="87"/>
    </row>
    <row r="622">
      <c r="A622" s="87"/>
      <c r="B622" s="166"/>
      <c r="C622" s="166"/>
      <c r="D622" s="166"/>
      <c r="E622" s="166"/>
      <c r="F622" s="714"/>
      <c r="G622" s="166"/>
      <c r="H622" s="166"/>
      <c r="I622" s="166"/>
      <c r="J622" s="166"/>
      <c r="K622" s="166"/>
      <c r="L622" s="166"/>
      <c r="M622" s="166"/>
      <c r="N622" s="715"/>
      <c r="O622" s="166"/>
      <c r="P622" s="166"/>
      <c r="Q622" s="716"/>
      <c r="R622" s="714"/>
      <c r="S622" s="717"/>
      <c r="T622" s="714"/>
      <c r="U622" s="166"/>
      <c r="V622" s="166"/>
      <c r="W622" s="166"/>
      <c r="X622" s="166"/>
      <c r="Y622" s="718"/>
      <c r="Z622" s="719"/>
      <c r="AA622" s="719"/>
      <c r="AB622" s="166"/>
      <c r="AC622" s="166"/>
      <c r="AD622" s="166"/>
      <c r="AE622" s="87"/>
      <c r="AF622" s="87"/>
      <c r="AG622" s="87"/>
      <c r="AH622" s="87"/>
      <c r="AI622" s="87"/>
      <c r="AJ622" s="87"/>
      <c r="AK622" s="87"/>
      <c r="AL622" s="87"/>
      <c r="AM622" s="87"/>
    </row>
    <row r="623">
      <c r="A623" s="87"/>
      <c r="B623" s="166"/>
      <c r="C623" s="166"/>
      <c r="D623" s="166"/>
      <c r="E623" s="166"/>
      <c r="F623" s="714"/>
      <c r="G623" s="166"/>
      <c r="H623" s="166"/>
      <c r="I623" s="166"/>
      <c r="J623" s="166"/>
      <c r="K623" s="166"/>
      <c r="L623" s="166"/>
      <c r="M623" s="166"/>
      <c r="N623" s="715"/>
      <c r="O623" s="166"/>
      <c r="P623" s="166"/>
      <c r="Q623" s="716"/>
      <c r="R623" s="714"/>
      <c r="S623" s="717"/>
      <c r="T623" s="714"/>
      <c r="U623" s="166"/>
      <c r="V623" s="166"/>
      <c r="W623" s="166"/>
      <c r="X623" s="166"/>
      <c r="Y623" s="718"/>
      <c r="Z623" s="719"/>
      <c r="AA623" s="719"/>
      <c r="AB623" s="166"/>
      <c r="AC623" s="166"/>
      <c r="AD623" s="166"/>
      <c r="AE623" s="87"/>
      <c r="AF623" s="87"/>
      <c r="AG623" s="87"/>
      <c r="AH623" s="87"/>
      <c r="AI623" s="87"/>
      <c r="AJ623" s="87"/>
      <c r="AK623" s="87"/>
      <c r="AL623" s="87"/>
      <c r="AM623" s="87"/>
    </row>
    <row r="624">
      <c r="A624" s="87"/>
      <c r="B624" s="166"/>
      <c r="C624" s="166"/>
      <c r="D624" s="166"/>
      <c r="E624" s="166"/>
      <c r="F624" s="714"/>
      <c r="G624" s="166"/>
      <c r="H624" s="166"/>
      <c r="I624" s="166"/>
      <c r="J624" s="166"/>
      <c r="K624" s="166"/>
      <c r="L624" s="166"/>
      <c r="M624" s="166"/>
      <c r="N624" s="715"/>
      <c r="O624" s="166"/>
      <c r="P624" s="166"/>
      <c r="Q624" s="716"/>
      <c r="R624" s="714"/>
      <c r="S624" s="717"/>
      <c r="T624" s="714"/>
      <c r="U624" s="166"/>
      <c r="V624" s="166"/>
      <c r="W624" s="166"/>
      <c r="X624" s="166"/>
      <c r="Y624" s="718"/>
      <c r="Z624" s="719"/>
      <c r="AA624" s="719"/>
      <c r="AB624" s="166"/>
      <c r="AC624" s="166"/>
      <c r="AD624" s="166"/>
      <c r="AE624" s="87"/>
      <c r="AF624" s="87"/>
      <c r="AG624" s="87"/>
      <c r="AH624" s="87"/>
      <c r="AI624" s="87"/>
      <c r="AJ624" s="87"/>
      <c r="AK624" s="87"/>
      <c r="AL624" s="87"/>
      <c r="AM624" s="87"/>
    </row>
    <row r="625">
      <c r="A625" s="87"/>
      <c r="B625" s="166"/>
      <c r="C625" s="166"/>
      <c r="D625" s="166"/>
      <c r="E625" s="166"/>
      <c r="F625" s="714"/>
      <c r="G625" s="166"/>
      <c r="H625" s="166"/>
      <c r="I625" s="166"/>
      <c r="J625" s="166"/>
      <c r="K625" s="166"/>
      <c r="L625" s="166"/>
      <c r="M625" s="166"/>
      <c r="N625" s="715"/>
      <c r="O625" s="166"/>
      <c r="P625" s="166"/>
      <c r="Q625" s="716"/>
      <c r="R625" s="714"/>
      <c r="S625" s="717"/>
      <c r="T625" s="714"/>
      <c r="U625" s="166"/>
      <c r="V625" s="166"/>
      <c r="W625" s="166"/>
      <c r="X625" s="166"/>
      <c r="Y625" s="718"/>
      <c r="Z625" s="719"/>
      <c r="AA625" s="719"/>
      <c r="AB625" s="166"/>
      <c r="AC625" s="166"/>
      <c r="AD625" s="166"/>
      <c r="AE625" s="87"/>
      <c r="AF625" s="87"/>
      <c r="AG625" s="87"/>
      <c r="AH625" s="87"/>
      <c r="AI625" s="87"/>
      <c r="AJ625" s="87"/>
      <c r="AK625" s="87"/>
      <c r="AL625" s="87"/>
      <c r="AM625" s="87"/>
    </row>
    <row r="626">
      <c r="A626" s="87"/>
      <c r="B626" s="166"/>
      <c r="C626" s="166"/>
      <c r="D626" s="166"/>
      <c r="E626" s="166"/>
      <c r="F626" s="714"/>
      <c r="G626" s="166"/>
      <c r="H626" s="166"/>
      <c r="I626" s="166"/>
      <c r="J626" s="166"/>
      <c r="K626" s="166"/>
      <c r="L626" s="166"/>
      <c r="M626" s="166"/>
      <c r="N626" s="715"/>
      <c r="O626" s="166"/>
      <c r="P626" s="166"/>
      <c r="Q626" s="716"/>
      <c r="R626" s="714"/>
      <c r="S626" s="717"/>
      <c r="T626" s="714"/>
      <c r="U626" s="166"/>
      <c r="V626" s="166"/>
      <c r="W626" s="166"/>
      <c r="X626" s="166"/>
      <c r="Y626" s="718"/>
      <c r="Z626" s="719"/>
      <c r="AA626" s="719"/>
      <c r="AB626" s="166"/>
      <c r="AC626" s="166"/>
      <c r="AD626" s="166"/>
      <c r="AE626" s="87"/>
      <c r="AF626" s="87"/>
      <c r="AG626" s="87"/>
      <c r="AH626" s="87"/>
      <c r="AI626" s="87"/>
      <c r="AJ626" s="87"/>
      <c r="AK626" s="87"/>
      <c r="AL626" s="87"/>
      <c r="AM626" s="87"/>
    </row>
    <row r="627">
      <c r="A627" s="87"/>
      <c r="B627" s="166"/>
      <c r="C627" s="166"/>
      <c r="D627" s="166"/>
      <c r="E627" s="166"/>
      <c r="F627" s="714"/>
      <c r="G627" s="166"/>
      <c r="H627" s="166"/>
      <c r="I627" s="166"/>
      <c r="J627" s="166"/>
      <c r="K627" s="166"/>
      <c r="L627" s="166"/>
      <c r="M627" s="166"/>
      <c r="N627" s="715"/>
      <c r="O627" s="166"/>
      <c r="P627" s="166"/>
      <c r="Q627" s="716"/>
      <c r="R627" s="714"/>
      <c r="S627" s="717"/>
      <c r="T627" s="714"/>
      <c r="U627" s="166"/>
      <c r="V627" s="166"/>
      <c r="W627" s="166"/>
      <c r="X627" s="166"/>
      <c r="Y627" s="718"/>
      <c r="Z627" s="719"/>
      <c r="AA627" s="719"/>
      <c r="AB627" s="166"/>
      <c r="AC627" s="166"/>
      <c r="AD627" s="166"/>
      <c r="AE627" s="87"/>
      <c r="AF627" s="87"/>
      <c r="AG627" s="87"/>
      <c r="AH627" s="87"/>
      <c r="AI627" s="87"/>
      <c r="AJ627" s="87"/>
      <c r="AK627" s="87"/>
      <c r="AL627" s="87"/>
      <c r="AM627" s="87"/>
    </row>
    <row r="628">
      <c r="A628" s="87"/>
      <c r="B628" s="166"/>
      <c r="C628" s="166"/>
      <c r="D628" s="166"/>
      <c r="E628" s="166"/>
      <c r="F628" s="714"/>
      <c r="G628" s="166"/>
      <c r="H628" s="166"/>
      <c r="I628" s="166"/>
      <c r="J628" s="166"/>
      <c r="K628" s="166"/>
      <c r="L628" s="166"/>
      <c r="M628" s="166"/>
      <c r="N628" s="715"/>
      <c r="O628" s="166"/>
      <c r="P628" s="166"/>
      <c r="Q628" s="716"/>
      <c r="R628" s="714"/>
      <c r="S628" s="717"/>
      <c r="T628" s="714"/>
      <c r="U628" s="166"/>
      <c r="V628" s="166"/>
      <c r="W628" s="166"/>
      <c r="X628" s="166"/>
      <c r="Y628" s="718"/>
      <c r="Z628" s="719"/>
      <c r="AA628" s="719"/>
      <c r="AB628" s="166"/>
      <c r="AC628" s="166"/>
      <c r="AD628" s="166"/>
      <c r="AE628" s="87"/>
      <c r="AF628" s="87"/>
      <c r="AG628" s="87"/>
      <c r="AH628" s="87"/>
      <c r="AI628" s="87"/>
      <c r="AJ628" s="87"/>
      <c r="AK628" s="87"/>
      <c r="AL628" s="87"/>
      <c r="AM628" s="87"/>
    </row>
    <row r="629">
      <c r="A629" s="87"/>
      <c r="B629" s="166"/>
      <c r="C629" s="166"/>
      <c r="D629" s="166"/>
      <c r="E629" s="166"/>
      <c r="F629" s="714"/>
      <c r="G629" s="166"/>
      <c r="H629" s="166"/>
      <c r="I629" s="166"/>
      <c r="J629" s="166"/>
      <c r="K629" s="166"/>
      <c r="L629" s="166"/>
      <c r="M629" s="166"/>
      <c r="N629" s="715"/>
      <c r="O629" s="166"/>
      <c r="P629" s="166"/>
      <c r="Q629" s="716"/>
      <c r="R629" s="714"/>
      <c r="S629" s="717"/>
      <c r="T629" s="714"/>
      <c r="U629" s="166"/>
      <c r="V629" s="166"/>
      <c r="W629" s="166"/>
      <c r="X629" s="166"/>
      <c r="Y629" s="718"/>
      <c r="Z629" s="719"/>
      <c r="AA629" s="719"/>
      <c r="AB629" s="166"/>
      <c r="AC629" s="166"/>
      <c r="AD629" s="166"/>
      <c r="AE629" s="87"/>
      <c r="AF629" s="87"/>
      <c r="AG629" s="87"/>
      <c r="AH629" s="87"/>
      <c r="AI629" s="87"/>
      <c r="AJ629" s="87"/>
      <c r="AK629" s="87"/>
      <c r="AL629" s="87"/>
      <c r="AM629" s="87"/>
    </row>
    <row r="630">
      <c r="A630" s="87"/>
      <c r="B630" s="166"/>
      <c r="C630" s="166"/>
      <c r="D630" s="166"/>
      <c r="E630" s="166"/>
      <c r="F630" s="714"/>
      <c r="G630" s="166"/>
      <c r="H630" s="166"/>
      <c r="I630" s="166"/>
      <c r="J630" s="166"/>
      <c r="K630" s="166"/>
      <c r="L630" s="166"/>
      <c r="M630" s="166"/>
      <c r="N630" s="715"/>
      <c r="O630" s="166"/>
      <c r="P630" s="166"/>
      <c r="Q630" s="716"/>
      <c r="R630" s="714"/>
      <c r="S630" s="717"/>
      <c r="T630" s="714"/>
      <c r="U630" s="166"/>
      <c r="V630" s="166"/>
      <c r="W630" s="166"/>
      <c r="X630" s="166"/>
      <c r="Y630" s="718"/>
      <c r="Z630" s="719"/>
      <c r="AA630" s="719"/>
      <c r="AB630" s="166"/>
      <c r="AC630" s="166"/>
      <c r="AD630" s="166"/>
      <c r="AE630" s="87"/>
      <c r="AF630" s="87"/>
      <c r="AG630" s="87"/>
      <c r="AH630" s="87"/>
      <c r="AI630" s="87"/>
      <c r="AJ630" s="87"/>
      <c r="AK630" s="87"/>
      <c r="AL630" s="87"/>
      <c r="AM630" s="87"/>
    </row>
    <row r="631">
      <c r="A631" s="87"/>
      <c r="B631" s="166"/>
      <c r="C631" s="166"/>
      <c r="D631" s="166"/>
      <c r="E631" s="166"/>
      <c r="F631" s="714"/>
      <c r="G631" s="166"/>
      <c r="H631" s="166"/>
      <c r="I631" s="166"/>
      <c r="J631" s="166"/>
      <c r="K631" s="166"/>
      <c r="L631" s="166"/>
      <c r="M631" s="166"/>
      <c r="N631" s="715"/>
      <c r="O631" s="166"/>
      <c r="P631" s="166"/>
      <c r="Q631" s="716"/>
      <c r="R631" s="714"/>
      <c r="S631" s="717"/>
      <c r="T631" s="714"/>
      <c r="U631" s="166"/>
      <c r="V631" s="166"/>
      <c r="W631" s="166"/>
      <c r="X631" s="166"/>
      <c r="Y631" s="718"/>
      <c r="Z631" s="719"/>
      <c r="AA631" s="719"/>
      <c r="AB631" s="166"/>
      <c r="AC631" s="166"/>
      <c r="AD631" s="166"/>
      <c r="AE631" s="87"/>
      <c r="AF631" s="87"/>
      <c r="AG631" s="87"/>
      <c r="AH631" s="87"/>
      <c r="AI631" s="87"/>
      <c r="AJ631" s="87"/>
      <c r="AK631" s="87"/>
      <c r="AL631" s="87"/>
      <c r="AM631" s="87"/>
    </row>
    <row r="632">
      <c r="A632" s="87"/>
      <c r="B632" s="166"/>
      <c r="C632" s="166"/>
      <c r="D632" s="166"/>
      <c r="E632" s="166"/>
      <c r="F632" s="714"/>
      <c r="G632" s="166"/>
      <c r="H632" s="166"/>
      <c r="I632" s="166"/>
      <c r="J632" s="166"/>
      <c r="K632" s="166"/>
      <c r="L632" s="166"/>
      <c r="M632" s="166"/>
      <c r="N632" s="715"/>
      <c r="O632" s="166"/>
      <c r="P632" s="166"/>
      <c r="Q632" s="716"/>
      <c r="R632" s="714"/>
      <c r="S632" s="717"/>
      <c r="T632" s="714"/>
      <c r="U632" s="166"/>
      <c r="V632" s="166"/>
      <c r="W632" s="166"/>
      <c r="X632" s="166"/>
      <c r="Y632" s="718"/>
      <c r="Z632" s="719"/>
      <c r="AA632" s="719"/>
      <c r="AB632" s="166"/>
      <c r="AC632" s="166"/>
      <c r="AD632" s="166"/>
      <c r="AE632" s="87"/>
      <c r="AF632" s="87"/>
      <c r="AG632" s="87"/>
      <c r="AH632" s="87"/>
      <c r="AI632" s="87"/>
      <c r="AJ632" s="87"/>
      <c r="AK632" s="87"/>
      <c r="AL632" s="87"/>
      <c r="AM632" s="87"/>
    </row>
    <row r="633">
      <c r="A633" s="87"/>
      <c r="B633" s="166"/>
      <c r="C633" s="166"/>
      <c r="D633" s="166"/>
      <c r="E633" s="166"/>
      <c r="F633" s="714"/>
      <c r="G633" s="166"/>
      <c r="H633" s="166"/>
      <c r="I633" s="166"/>
      <c r="J633" s="166"/>
      <c r="K633" s="166"/>
      <c r="L633" s="166"/>
      <c r="M633" s="166"/>
      <c r="N633" s="715"/>
      <c r="O633" s="166"/>
      <c r="P633" s="166"/>
      <c r="Q633" s="716"/>
      <c r="R633" s="714"/>
      <c r="S633" s="717"/>
      <c r="T633" s="714"/>
      <c r="U633" s="166"/>
      <c r="V633" s="166"/>
      <c r="W633" s="166"/>
      <c r="X633" s="166"/>
      <c r="Y633" s="718"/>
      <c r="Z633" s="719"/>
      <c r="AA633" s="719"/>
      <c r="AB633" s="166"/>
      <c r="AC633" s="166"/>
      <c r="AD633" s="166"/>
      <c r="AE633" s="87"/>
      <c r="AF633" s="87"/>
      <c r="AG633" s="87"/>
      <c r="AH633" s="87"/>
      <c r="AI633" s="87"/>
      <c r="AJ633" s="87"/>
      <c r="AK633" s="87"/>
      <c r="AL633" s="87"/>
      <c r="AM633" s="87"/>
    </row>
    <row r="634">
      <c r="A634" s="87"/>
      <c r="B634" s="166"/>
      <c r="C634" s="166"/>
      <c r="D634" s="166"/>
      <c r="E634" s="166"/>
      <c r="F634" s="714"/>
      <c r="G634" s="166"/>
      <c r="H634" s="166"/>
      <c r="I634" s="166"/>
      <c r="J634" s="166"/>
      <c r="K634" s="166"/>
      <c r="L634" s="166"/>
      <c r="M634" s="166"/>
      <c r="N634" s="715"/>
      <c r="O634" s="166"/>
      <c r="P634" s="166"/>
      <c r="Q634" s="716"/>
      <c r="R634" s="714"/>
      <c r="S634" s="717"/>
      <c r="T634" s="714"/>
      <c r="U634" s="166"/>
      <c r="V634" s="166"/>
      <c r="W634" s="166"/>
      <c r="X634" s="166"/>
      <c r="Y634" s="718"/>
      <c r="Z634" s="719"/>
      <c r="AA634" s="719"/>
      <c r="AB634" s="166"/>
      <c r="AC634" s="166"/>
      <c r="AD634" s="166"/>
      <c r="AE634" s="87"/>
      <c r="AF634" s="87"/>
      <c r="AG634" s="87"/>
      <c r="AH634" s="87"/>
      <c r="AI634" s="87"/>
      <c r="AJ634" s="87"/>
      <c r="AK634" s="87"/>
      <c r="AL634" s="87"/>
      <c r="AM634" s="87"/>
    </row>
    <row r="635">
      <c r="A635" s="87"/>
      <c r="B635" s="166"/>
      <c r="C635" s="166"/>
      <c r="D635" s="166"/>
      <c r="E635" s="166"/>
      <c r="F635" s="714"/>
      <c r="G635" s="166"/>
      <c r="H635" s="166"/>
      <c r="I635" s="166"/>
      <c r="J635" s="166"/>
      <c r="K635" s="166"/>
      <c r="L635" s="166"/>
      <c r="M635" s="166"/>
      <c r="N635" s="715"/>
      <c r="O635" s="166"/>
      <c r="P635" s="166"/>
      <c r="Q635" s="716"/>
      <c r="R635" s="714"/>
      <c r="S635" s="717"/>
      <c r="T635" s="714"/>
      <c r="U635" s="166"/>
      <c r="V635" s="166"/>
      <c r="W635" s="166"/>
      <c r="X635" s="166"/>
      <c r="Y635" s="718"/>
      <c r="Z635" s="719"/>
      <c r="AA635" s="719"/>
      <c r="AB635" s="166"/>
      <c r="AC635" s="166"/>
      <c r="AD635" s="166"/>
      <c r="AE635" s="87"/>
      <c r="AF635" s="87"/>
      <c r="AG635" s="87"/>
      <c r="AH635" s="87"/>
      <c r="AI635" s="87"/>
      <c r="AJ635" s="87"/>
      <c r="AK635" s="87"/>
      <c r="AL635" s="87"/>
      <c r="AM635" s="87"/>
    </row>
    <row r="636">
      <c r="A636" s="87"/>
      <c r="B636" s="166"/>
      <c r="C636" s="166"/>
      <c r="D636" s="166"/>
      <c r="E636" s="166"/>
      <c r="F636" s="714"/>
      <c r="G636" s="166"/>
      <c r="H636" s="166"/>
      <c r="I636" s="166"/>
      <c r="J636" s="166"/>
      <c r="K636" s="166"/>
      <c r="L636" s="166"/>
      <c r="M636" s="166"/>
      <c r="N636" s="715"/>
      <c r="O636" s="166"/>
      <c r="P636" s="166"/>
      <c r="Q636" s="716"/>
      <c r="R636" s="714"/>
      <c r="S636" s="717"/>
      <c r="T636" s="714"/>
      <c r="U636" s="166"/>
      <c r="V636" s="166"/>
      <c r="W636" s="166"/>
      <c r="X636" s="166"/>
      <c r="Y636" s="718"/>
      <c r="Z636" s="719"/>
      <c r="AA636" s="719"/>
      <c r="AB636" s="166"/>
      <c r="AC636" s="166"/>
      <c r="AD636" s="166"/>
      <c r="AE636" s="87"/>
      <c r="AF636" s="87"/>
      <c r="AG636" s="87"/>
      <c r="AH636" s="87"/>
      <c r="AI636" s="87"/>
      <c r="AJ636" s="87"/>
      <c r="AK636" s="87"/>
      <c r="AL636" s="87"/>
      <c r="AM636" s="87"/>
    </row>
    <row r="637">
      <c r="A637" s="87"/>
      <c r="B637" s="166"/>
      <c r="C637" s="166"/>
      <c r="D637" s="166"/>
      <c r="E637" s="166"/>
      <c r="F637" s="714"/>
      <c r="G637" s="166"/>
      <c r="H637" s="166"/>
      <c r="I637" s="166"/>
      <c r="J637" s="166"/>
      <c r="K637" s="166"/>
      <c r="L637" s="166"/>
      <c r="M637" s="166"/>
      <c r="N637" s="715"/>
      <c r="O637" s="166"/>
      <c r="P637" s="166"/>
      <c r="Q637" s="716"/>
      <c r="R637" s="714"/>
      <c r="S637" s="717"/>
      <c r="T637" s="714"/>
      <c r="U637" s="166"/>
      <c r="V637" s="166"/>
      <c r="W637" s="166"/>
      <c r="X637" s="166"/>
      <c r="Y637" s="718"/>
      <c r="Z637" s="719"/>
      <c r="AA637" s="719"/>
      <c r="AB637" s="166"/>
      <c r="AC637" s="166"/>
      <c r="AD637" s="166"/>
      <c r="AE637" s="87"/>
      <c r="AF637" s="87"/>
      <c r="AG637" s="87"/>
      <c r="AH637" s="87"/>
      <c r="AI637" s="87"/>
      <c r="AJ637" s="87"/>
      <c r="AK637" s="87"/>
      <c r="AL637" s="87"/>
      <c r="AM637" s="87"/>
    </row>
    <row r="638">
      <c r="A638" s="87"/>
      <c r="B638" s="166"/>
      <c r="C638" s="166"/>
      <c r="D638" s="166"/>
      <c r="E638" s="166"/>
      <c r="F638" s="714"/>
      <c r="G638" s="166"/>
      <c r="H638" s="166"/>
      <c r="I638" s="166"/>
      <c r="J638" s="166"/>
      <c r="K638" s="166"/>
      <c r="L638" s="166"/>
      <c r="M638" s="166"/>
      <c r="N638" s="715"/>
      <c r="O638" s="166"/>
      <c r="P638" s="166"/>
      <c r="Q638" s="716"/>
      <c r="R638" s="714"/>
      <c r="S638" s="717"/>
      <c r="T638" s="714"/>
      <c r="U638" s="166"/>
      <c r="V638" s="166"/>
      <c r="W638" s="166"/>
      <c r="X638" s="166"/>
      <c r="Y638" s="718"/>
      <c r="Z638" s="719"/>
      <c r="AA638" s="719"/>
      <c r="AB638" s="166"/>
      <c r="AC638" s="166"/>
      <c r="AD638" s="166"/>
      <c r="AE638" s="87"/>
      <c r="AF638" s="87"/>
      <c r="AG638" s="87"/>
      <c r="AH638" s="87"/>
      <c r="AI638" s="87"/>
      <c r="AJ638" s="87"/>
      <c r="AK638" s="87"/>
      <c r="AL638" s="87"/>
      <c r="AM638" s="87"/>
    </row>
    <row r="639">
      <c r="A639" s="87"/>
      <c r="B639" s="166"/>
      <c r="C639" s="166"/>
      <c r="D639" s="166"/>
      <c r="E639" s="166"/>
      <c r="F639" s="714"/>
      <c r="G639" s="166"/>
      <c r="H639" s="166"/>
      <c r="I639" s="166"/>
      <c r="J639" s="166"/>
      <c r="K639" s="166"/>
      <c r="L639" s="166"/>
      <c r="M639" s="166"/>
      <c r="N639" s="715"/>
      <c r="O639" s="166"/>
      <c r="P639" s="166"/>
      <c r="Q639" s="716"/>
      <c r="R639" s="714"/>
      <c r="S639" s="717"/>
      <c r="T639" s="714"/>
      <c r="U639" s="166"/>
      <c r="V639" s="166"/>
      <c r="W639" s="166"/>
      <c r="X639" s="166"/>
      <c r="Y639" s="718"/>
      <c r="Z639" s="719"/>
      <c r="AA639" s="719"/>
      <c r="AB639" s="166"/>
      <c r="AC639" s="166"/>
      <c r="AD639" s="166"/>
      <c r="AE639" s="87"/>
      <c r="AF639" s="87"/>
      <c r="AG639" s="87"/>
      <c r="AH639" s="87"/>
      <c r="AI639" s="87"/>
      <c r="AJ639" s="87"/>
      <c r="AK639" s="87"/>
      <c r="AL639" s="87"/>
      <c r="AM639" s="87"/>
    </row>
    <row r="640">
      <c r="A640" s="87"/>
      <c r="B640" s="166"/>
      <c r="C640" s="166"/>
      <c r="D640" s="166"/>
      <c r="E640" s="166"/>
      <c r="F640" s="714"/>
      <c r="G640" s="166"/>
      <c r="H640" s="166"/>
      <c r="I640" s="166"/>
      <c r="J640" s="166"/>
      <c r="K640" s="166"/>
      <c r="L640" s="166"/>
      <c r="M640" s="166"/>
      <c r="N640" s="715"/>
      <c r="O640" s="166"/>
      <c r="P640" s="166"/>
      <c r="Q640" s="716"/>
      <c r="R640" s="714"/>
      <c r="S640" s="717"/>
      <c r="T640" s="714"/>
      <c r="U640" s="166"/>
      <c r="V640" s="166"/>
      <c r="W640" s="166"/>
      <c r="X640" s="166"/>
      <c r="Y640" s="718"/>
      <c r="Z640" s="719"/>
      <c r="AA640" s="719"/>
      <c r="AB640" s="166"/>
      <c r="AC640" s="166"/>
      <c r="AD640" s="166"/>
      <c r="AE640" s="87"/>
      <c r="AF640" s="87"/>
      <c r="AG640" s="87"/>
      <c r="AH640" s="87"/>
      <c r="AI640" s="87"/>
      <c r="AJ640" s="87"/>
      <c r="AK640" s="87"/>
      <c r="AL640" s="87"/>
      <c r="AM640" s="87"/>
    </row>
    <row r="641">
      <c r="A641" s="87"/>
      <c r="B641" s="166"/>
      <c r="C641" s="166"/>
      <c r="D641" s="166"/>
      <c r="E641" s="166"/>
      <c r="F641" s="714"/>
      <c r="G641" s="166"/>
      <c r="H641" s="166"/>
      <c r="I641" s="166"/>
      <c r="J641" s="166"/>
      <c r="K641" s="166"/>
      <c r="L641" s="166"/>
      <c r="M641" s="166"/>
      <c r="N641" s="715"/>
      <c r="O641" s="166"/>
      <c r="P641" s="166"/>
      <c r="Q641" s="716"/>
      <c r="R641" s="714"/>
      <c r="S641" s="717"/>
      <c r="T641" s="714"/>
      <c r="U641" s="166"/>
      <c r="V641" s="166"/>
      <c r="W641" s="166"/>
      <c r="X641" s="166"/>
      <c r="Y641" s="718"/>
      <c r="Z641" s="719"/>
      <c r="AA641" s="719"/>
      <c r="AB641" s="166"/>
      <c r="AC641" s="166"/>
      <c r="AD641" s="166"/>
      <c r="AE641" s="87"/>
      <c r="AF641" s="87"/>
      <c r="AG641" s="87"/>
      <c r="AH641" s="87"/>
      <c r="AI641" s="87"/>
      <c r="AJ641" s="87"/>
      <c r="AK641" s="87"/>
      <c r="AL641" s="87"/>
      <c r="AM641" s="87"/>
    </row>
    <row r="642">
      <c r="A642" s="87"/>
      <c r="B642" s="166"/>
      <c r="C642" s="166"/>
      <c r="D642" s="166"/>
      <c r="E642" s="166"/>
      <c r="F642" s="714"/>
      <c r="G642" s="166"/>
      <c r="H642" s="166"/>
      <c r="I642" s="166"/>
      <c r="J642" s="166"/>
      <c r="K642" s="166"/>
      <c r="L642" s="166"/>
      <c r="M642" s="166"/>
      <c r="N642" s="715"/>
      <c r="O642" s="166"/>
      <c r="P642" s="166"/>
      <c r="Q642" s="716"/>
      <c r="R642" s="714"/>
      <c r="S642" s="717"/>
      <c r="T642" s="714"/>
      <c r="U642" s="166"/>
      <c r="V642" s="166"/>
      <c r="W642" s="166"/>
      <c r="X642" s="166"/>
      <c r="Y642" s="718"/>
      <c r="Z642" s="719"/>
      <c r="AA642" s="719"/>
      <c r="AB642" s="166"/>
      <c r="AC642" s="166"/>
      <c r="AD642" s="166"/>
      <c r="AE642" s="87"/>
      <c r="AF642" s="87"/>
      <c r="AG642" s="87"/>
      <c r="AH642" s="87"/>
      <c r="AI642" s="87"/>
      <c r="AJ642" s="87"/>
      <c r="AK642" s="87"/>
      <c r="AL642" s="87"/>
      <c r="AM642" s="87"/>
    </row>
    <row r="643">
      <c r="A643" s="87"/>
      <c r="B643" s="166"/>
      <c r="C643" s="166"/>
      <c r="D643" s="166"/>
      <c r="E643" s="166"/>
      <c r="F643" s="714"/>
      <c r="G643" s="166"/>
      <c r="H643" s="166"/>
      <c r="I643" s="166"/>
      <c r="J643" s="166"/>
      <c r="K643" s="166"/>
      <c r="L643" s="166"/>
      <c r="M643" s="166"/>
      <c r="N643" s="715"/>
      <c r="O643" s="166"/>
      <c r="P643" s="166"/>
      <c r="Q643" s="716"/>
      <c r="R643" s="714"/>
      <c r="S643" s="717"/>
      <c r="T643" s="714"/>
      <c r="U643" s="166"/>
      <c r="V643" s="166"/>
      <c r="W643" s="166"/>
      <c r="X643" s="166"/>
      <c r="Y643" s="718"/>
      <c r="Z643" s="719"/>
      <c r="AA643" s="719"/>
      <c r="AB643" s="166"/>
      <c r="AC643" s="166"/>
      <c r="AD643" s="166"/>
      <c r="AE643" s="87"/>
      <c r="AF643" s="87"/>
      <c r="AG643" s="87"/>
      <c r="AH643" s="87"/>
      <c r="AI643" s="87"/>
      <c r="AJ643" s="87"/>
      <c r="AK643" s="87"/>
      <c r="AL643" s="87"/>
      <c r="AM643" s="87"/>
    </row>
    <row r="644">
      <c r="A644" s="87"/>
      <c r="B644" s="166"/>
      <c r="C644" s="166"/>
      <c r="D644" s="166"/>
      <c r="E644" s="166"/>
      <c r="F644" s="714"/>
      <c r="G644" s="166"/>
      <c r="H644" s="166"/>
      <c r="I644" s="166"/>
      <c r="J644" s="166"/>
      <c r="K644" s="166"/>
      <c r="L644" s="166"/>
      <c r="M644" s="166"/>
      <c r="N644" s="715"/>
      <c r="O644" s="166"/>
      <c r="P644" s="166"/>
      <c r="Q644" s="716"/>
      <c r="R644" s="714"/>
      <c r="S644" s="717"/>
      <c r="T644" s="714"/>
      <c r="U644" s="166"/>
      <c r="V644" s="166"/>
      <c r="W644" s="166"/>
      <c r="X644" s="166"/>
      <c r="Y644" s="718"/>
      <c r="Z644" s="719"/>
      <c r="AA644" s="719"/>
      <c r="AB644" s="166"/>
      <c r="AC644" s="166"/>
      <c r="AD644" s="166"/>
      <c r="AE644" s="87"/>
      <c r="AF644" s="87"/>
      <c r="AG644" s="87"/>
      <c r="AH644" s="87"/>
      <c r="AI644" s="87"/>
      <c r="AJ644" s="87"/>
      <c r="AK644" s="87"/>
      <c r="AL644" s="87"/>
      <c r="AM644" s="87"/>
    </row>
    <row r="645">
      <c r="A645" s="87"/>
      <c r="B645" s="166"/>
      <c r="C645" s="166"/>
      <c r="D645" s="166"/>
      <c r="E645" s="166"/>
      <c r="F645" s="714"/>
      <c r="G645" s="166"/>
      <c r="H645" s="166"/>
      <c r="I645" s="166"/>
      <c r="J645" s="166"/>
      <c r="K645" s="166"/>
      <c r="L645" s="166"/>
      <c r="M645" s="166"/>
      <c r="N645" s="715"/>
      <c r="O645" s="166"/>
      <c r="P645" s="166"/>
      <c r="Q645" s="716"/>
      <c r="R645" s="714"/>
      <c r="S645" s="717"/>
      <c r="T645" s="714"/>
      <c r="U645" s="166"/>
      <c r="V645" s="166"/>
      <c r="W645" s="166"/>
      <c r="X645" s="166"/>
      <c r="Y645" s="718"/>
      <c r="Z645" s="719"/>
      <c r="AA645" s="719"/>
      <c r="AB645" s="166"/>
      <c r="AC645" s="166"/>
      <c r="AD645" s="166"/>
      <c r="AE645" s="87"/>
      <c r="AF645" s="87"/>
      <c r="AG645" s="87"/>
      <c r="AH645" s="87"/>
      <c r="AI645" s="87"/>
      <c r="AJ645" s="87"/>
      <c r="AK645" s="87"/>
      <c r="AL645" s="87"/>
      <c r="AM645" s="87"/>
    </row>
    <row r="646">
      <c r="A646" s="87"/>
      <c r="B646" s="166"/>
      <c r="C646" s="166"/>
      <c r="D646" s="166"/>
      <c r="E646" s="166"/>
      <c r="F646" s="714"/>
      <c r="G646" s="166"/>
      <c r="H646" s="166"/>
      <c r="I646" s="166"/>
      <c r="J646" s="166"/>
      <c r="K646" s="166"/>
      <c r="L646" s="166"/>
      <c r="M646" s="166"/>
      <c r="N646" s="715"/>
      <c r="O646" s="166"/>
      <c r="P646" s="166"/>
      <c r="Q646" s="716"/>
      <c r="R646" s="714"/>
      <c r="S646" s="717"/>
      <c r="T646" s="714"/>
      <c r="U646" s="166"/>
      <c r="V646" s="166"/>
      <c r="W646" s="166"/>
      <c r="X646" s="166"/>
      <c r="Y646" s="718"/>
      <c r="Z646" s="719"/>
      <c r="AA646" s="719"/>
      <c r="AB646" s="166"/>
      <c r="AC646" s="166"/>
      <c r="AD646" s="166"/>
      <c r="AE646" s="87"/>
      <c r="AF646" s="87"/>
      <c r="AG646" s="87"/>
      <c r="AH646" s="87"/>
      <c r="AI646" s="87"/>
      <c r="AJ646" s="87"/>
      <c r="AK646" s="87"/>
      <c r="AL646" s="87"/>
      <c r="AM646" s="87"/>
    </row>
    <row r="647">
      <c r="A647" s="87"/>
      <c r="B647" s="166"/>
      <c r="C647" s="166"/>
      <c r="D647" s="166"/>
      <c r="E647" s="166"/>
      <c r="F647" s="714"/>
      <c r="G647" s="166"/>
      <c r="H647" s="166"/>
      <c r="I647" s="166"/>
      <c r="J647" s="166"/>
      <c r="K647" s="166"/>
      <c r="L647" s="166"/>
      <c r="M647" s="166"/>
      <c r="N647" s="715"/>
      <c r="O647" s="166"/>
      <c r="P647" s="166"/>
      <c r="Q647" s="716"/>
      <c r="R647" s="714"/>
      <c r="S647" s="717"/>
      <c r="T647" s="714"/>
      <c r="U647" s="166"/>
      <c r="V647" s="166"/>
      <c r="W647" s="166"/>
      <c r="X647" s="166"/>
      <c r="Y647" s="718"/>
      <c r="Z647" s="719"/>
      <c r="AA647" s="719"/>
      <c r="AB647" s="166"/>
      <c r="AC647" s="166"/>
      <c r="AD647" s="166"/>
      <c r="AE647" s="87"/>
      <c r="AF647" s="87"/>
      <c r="AG647" s="87"/>
      <c r="AH647" s="87"/>
      <c r="AI647" s="87"/>
      <c r="AJ647" s="87"/>
      <c r="AK647" s="87"/>
      <c r="AL647" s="87"/>
      <c r="AM647" s="87"/>
    </row>
    <row r="648">
      <c r="A648" s="87"/>
      <c r="B648" s="166"/>
      <c r="C648" s="166"/>
      <c r="D648" s="166"/>
      <c r="E648" s="166"/>
      <c r="F648" s="714"/>
      <c r="G648" s="166"/>
      <c r="H648" s="166"/>
      <c r="I648" s="166"/>
      <c r="J648" s="166"/>
      <c r="K648" s="166"/>
      <c r="L648" s="166"/>
      <c r="M648" s="166"/>
      <c r="N648" s="715"/>
      <c r="O648" s="166"/>
      <c r="P648" s="166"/>
      <c r="Q648" s="716"/>
      <c r="R648" s="714"/>
      <c r="S648" s="717"/>
      <c r="T648" s="714"/>
      <c r="U648" s="166"/>
      <c r="V648" s="166"/>
      <c r="W648" s="166"/>
      <c r="X648" s="166"/>
      <c r="Y648" s="718"/>
      <c r="Z648" s="719"/>
      <c r="AA648" s="719"/>
      <c r="AB648" s="166"/>
      <c r="AC648" s="166"/>
      <c r="AD648" s="166"/>
      <c r="AE648" s="87"/>
      <c r="AF648" s="87"/>
      <c r="AG648" s="87"/>
      <c r="AH648" s="87"/>
      <c r="AI648" s="87"/>
      <c r="AJ648" s="87"/>
      <c r="AK648" s="87"/>
      <c r="AL648" s="87"/>
      <c r="AM648" s="87"/>
    </row>
    <row r="649">
      <c r="A649" s="87"/>
      <c r="B649" s="166"/>
      <c r="C649" s="166"/>
      <c r="D649" s="166"/>
      <c r="E649" s="166"/>
      <c r="F649" s="714"/>
      <c r="G649" s="166"/>
      <c r="H649" s="166"/>
      <c r="I649" s="166"/>
      <c r="J649" s="166"/>
      <c r="K649" s="166"/>
      <c r="L649" s="166"/>
      <c r="M649" s="166"/>
      <c r="N649" s="715"/>
      <c r="O649" s="166"/>
      <c r="P649" s="166"/>
      <c r="Q649" s="716"/>
      <c r="R649" s="714"/>
      <c r="S649" s="717"/>
      <c r="T649" s="714"/>
      <c r="U649" s="166"/>
      <c r="V649" s="166"/>
      <c r="W649" s="166"/>
      <c r="X649" s="166"/>
      <c r="Y649" s="718"/>
      <c r="Z649" s="719"/>
      <c r="AA649" s="719"/>
      <c r="AB649" s="166"/>
      <c r="AC649" s="166"/>
      <c r="AD649" s="166"/>
      <c r="AE649" s="87"/>
      <c r="AF649" s="87"/>
      <c r="AG649" s="87"/>
      <c r="AH649" s="87"/>
      <c r="AI649" s="87"/>
      <c r="AJ649" s="87"/>
      <c r="AK649" s="87"/>
      <c r="AL649" s="87"/>
      <c r="AM649" s="87"/>
    </row>
    <row r="650">
      <c r="A650" s="87"/>
      <c r="B650" s="166"/>
      <c r="C650" s="166"/>
      <c r="D650" s="166"/>
      <c r="E650" s="166"/>
      <c r="F650" s="714"/>
      <c r="G650" s="166"/>
      <c r="H650" s="166"/>
      <c r="I650" s="166"/>
      <c r="J650" s="166"/>
      <c r="K650" s="166"/>
      <c r="L650" s="166"/>
      <c r="M650" s="166"/>
      <c r="N650" s="715"/>
      <c r="O650" s="166"/>
      <c r="P650" s="166"/>
      <c r="Q650" s="716"/>
      <c r="R650" s="714"/>
      <c r="S650" s="717"/>
      <c r="T650" s="714"/>
      <c r="U650" s="166"/>
      <c r="V650" s="166"/>
      <c r="W650" s="166"/>
      <c r="X650" s="166"/>
      <c r="Y650" s="718"/>
      <c r="Z650" s="719"/>
      <c r="AA650" s="719"/>
      <c r="AB650" s="166"/>
      <c r="AC650" s="166"/>
      <c r="AD650" s="166"/>
      <c r="AE650" s="87"/>
      <c r="AF650" s="87"/>
      <c r="AG650" s="87"/>
      <c r="AH650" s="87"/>
      <c r="AI650" s="87"/>
      <c r="AJ650" s="87"/>
      <c r="AK650" s="87"/>
      <c r="AL650" s="87"/>
      <c r="AM650" s="87"/>
    </row>
    <row r="651">
      <c r="A651" s="87"/>
      <c r="B651" s="166"/>
      <c r="C651" s="166"/>
      <c r="D651" s="166"/>
      <c r="E651" s="166"/>
      <c r="F651" s="714"/>
      <c r="G651" s="166"/>
      <c r="H651" s="166"/>
      <c r="I651" s="166"/>
      <c r="J651" s="166"/>
      <c r="K651" s="166"/>
      <c r="L651" s="166"/>
      <c r="M651" s="166"/>
      <c r="N651" s="715"/>
      <c r="O651" s="166"/>
      <c r="P651" s="166"/>
      <c r="Q651" s="716"/>
      <c r="R651" s="714"/>
      <c r="S651" s="717"/>
      <c r="T651" s="714"/>
      <c r="U651" s="166"/>
      <c r="V651" s="166"/>
      <c r="W651" s="166"/>
      <c r="X651" s="166"/>
      <c r="Y651" s="718"/>
      <c r="Z651" s="719"/>
      <c r="AA651" s="719"/>
      <c r="AB651" s="166"/>
      <c r="AC651" s="166"/>
      <c r="AD651" s="166"/>
      <c r="AE651" s="87"/>
      <c r="AF651" s="87"/>
      <c r="AG651" s="87"/>
      <c r="AH651" s="87"/>
      <c r="AI651" s="87"/>
      <c r="AJ651" s="87"/>
      <c r="AK651" s="87"/>
      <c r="AL651" s="87"/>
      <c r="AM651" s="87"/>
    </row>
    <row r="652">
      <c r="A652" s="87"/>
      <c r="B652" s="166"/>
      <c r="C652" s="166"/>
      <c r="D652" s="166"/>
      <c r="E652" s="166"/>
      <c r="F652" s="714"/>
      <c r="G652" s="166"/>
      <c r="H652" s="166"/>
      <c r="I652" s="166"/>
      <c r="J652" s="166"/>
      <c r="K652" s="166"/>
      <c r="L652" s="166"/>
      <c r="M652" s="166"/>
      <c r="N652" s="715"/>
      <c r="O652" s="166"/>
      <c r="P652" s="166"/>
      <c r="Q652" s="716"/>
      <c r="R652" s="714"/>
      <c r="S652" s="717"/>
      <c r="T652" s="714"/>
      <c r="U652" s="166"/>
      <c r="V652" s="166"/>
      <c r="W652" s="166"/>
      <c r="X652" s="166"/>
      <c r="Y652" s="718"/>
      <c r="Z652" s="719"/>
      <c r="AA652" s="719"/>
      <c r="AB652" s="166"/>
      <c r="AC652" s="166"/>
      <c r="AD652" s="166"/>
      <c r="AE652" s="87"/>
      <c r="AF652" s="87"/>
      <c r="AG652" s="87"/>
      <c r="AH652" s="87"/>
      <c r="AI652" s="87"/>
      <c r="AJ652" s="87"/>
      <c r="AK652" s="87"/>
      <c r="AL652" s="87"/>
      <c r="AM652" s="87"/>
    </row>
    <row r="653">
      <c r="A653" s="87"/>
      <c r="B653" s="166"/>
      <c r="C653" s="166"/>
      <c r="D653" s="166"/>
      <c r="E653" s="166"/>
      <c r="F653" s="714"/>
      <c r="G653" s="166"/>
      <c r="H653" s="166"/>
      <c r="I653" s="166"/>
      <c r="J653" s="166"/>
      <c r="K653" s="166"/>
      <c r="L653" s="166"/>
      <c r="M653" s="166"/>
      <c r="N653" s="715"/>
      <c r="O653" s="166"/>
      <c r="P653" s="166"/>
      <c r="Q653" s="716"/>
      <c r="R653" s="714"/>
      <c r="S653" s="717"/>
      <c r="T653" s="714"/>
      <c r="U653" s="166"/>
      <c r="V653" s="166"/>
      <c r="W653" s="166"/>
      <c r="X653" s="166"/>
      <c r="Y653" s="718"/>
      <c r="Z653" s="719"/>
      <c r="AA653" s="719"/>
      <c r="AB653" s="166"/>
      <c r="AC653" s="166"/>
      <c r="AD653" s="166"/>
      <c r="AE653" s="87"/>
      <c r="AF653" s="87"/>
      <c r="AG653" s="87"/>
      <c r="AH653" s="87"/>
      <c r="AI653" s="87"/>
      <c r="AJ653" s="87"/>
      <c r="AK653" s="87"/>
      <c r="AL653" s="87"/>
      <c r="AM653" s="87"/>
    </row>
    <row r="654">
      <c r="A654" s="87"/>
      <c r="B654" s="166"/>
      <c r="C654" s="166"/>
      <c r="D654" s="166"/>
      <c r="E654" s="166"/>
      <c r="F654" s="714"/>
      <c r="G654" s="166"/>
      <c r="H654" s="166"/>
      <c r="I654" s="166"/>
      <c r="J654" s="166"/>
      <c r="K654" s="166"/>
      <c r="L654" s="166"/>
      <c r="M654" s="166"/>
      <c r="N654" s="715"/>
      <c r="O654" s="166"/>
      <c r="P654" s="166"/>
      <c r="Q654" s="716"/>
      <c r="R654" s="714"/>
      <c r="S654" s="717"/>
      <c r="T654" s="714"/>
      <c r="U654" s="166"/>
      <c r="V654" s="166"/>
      <c r="W654" s="166"/>
      <c r="X654" s="166"/>
      <c r="Y654" s="718"/>
      <c r="Z654" s="719"/>
      <c r="AA654" s="719"/>
      <c r="AB654" s="166"/>
      <c r="AC654" s="166"/>
      <c r="AD654" s="166"/>
      <c r="AE654" s="87"/>
      <c r="AF654" s="87"/>
      <c r="AG654" s="87"/>
      <c r="AH654" s="87"/>
      <c r="AI654" s="87"/>
      <c r="AJ654" s="87"/>
      <c r="AK654" s="87"/>
      <c r="AL654" s="87"/>
      <c r="AM654" s="87"/>
    </row>
    <row r="655">
      <c r="A655" s="87"/>
      <c r="B655" s="166"/>
      <c r="C655" s="166"/>
      <c r="D655" s="166"/>
      <c r="E655" s="166"/>
      <c r="F655" s="714"/>
      <c r="G655" s="166"/>
      <c r="H655" s="166"/>
      <c r="I655" s="166"/>
      <c r="J655" s="166"/>
      <c r="K655" s="166"/>
      <c r="L655" s="166"/>
      <c r="M655" s="166"/>
      <c r="N655" s="715"/>
      <c r="O655" s="166"/>
      <c r="P655" s="166"/>
      <c r="Q655" s="716"/>
      <c r="R655" s="714"/>
      <c r="S655" s="717"/>
      <c r="T655" s="714"/>
      <c r="U655" s="166"/>
      <c r="V655" s="166"/>
      <c r="W655" s="166"/>
      <c r="X655" s="166"/>
      <c r="Y655" s="718"/>
      <c r="Z655" s="719"/>
      <c r="AA655" s="719"/>
      <c r="AB655" s="166"/>
      <c r="AC655" s="166"/>
      <c r="AD655" s="166"/>
      <c r="AE655" s="87"/>
      <c r="AF655" s="87"/>
      <c r="AG655" s="87"/>
      <c r="AH655" s="87"/>
      <c r="AI655" s="87"/>
      <c r="AJ655" s="87"/>
      <c r="AK655" s="87"/>
      <c r="AL655" s="87"/>
      <c r="AM655" s="87"/>
    </row>
    <row r="656">
      <c r="A656" s="87"/>
      <c r="B656" s="166"/>
      <c r="C656" s="166"/>
      <c r="D656" s="166"/>
      <c r="E656" s="166"/>
      <c r="F656" s="714"/>
      <c r="G656" s="166"/>
      <c r="H656" s="166"/>
      <c r="I656" s="166"/>
      <c r="J656" s="166"/>
      <c r="K656" s="166"/>
      <c r="L656" s="166"/>
      <c r="M656" s="166"/>
      <c r="N656" s="715"/>
      <c r="O656" s="166"/>
      <c r="P656" s="166"/>
      <c r="Q656" s="716"/>
      <c r="R656" s="714"/>
      <c r="S656" s="717"/>
      <c r="T656" s="714"/>
      <c r="U656" s="166"/>
      <c r="V656" s="166"/>
      <c r="W656" s="166"/>
      <c r="X656" s="166"/>
      <c r="Y656" s="718"/>
      <c r="Z656" s="719"/>
      <c r="AA656" s="719"/>
      <c r="AB656" s="166"/>
      <c r="AC656" s="166"/>
      <c r="AD656" s="166"/>
      <c r="AE656" s="87"/>
      <c r="AF656" s="87"/>
      <c r="AG656" s="87"/>
      <c r="AH656" s="87"/>
      <c r="AI656" s="87"/>
      <c r="AJ656" s="87"/>
      <c r="AK656" s="87"/>
      <c r="AL656" s="87"/>
      <c r="AM656" s="87"/>
    </row>
    <row r="657">
      <c r="A657" s="87"/>
      <c r="B657" s="166"/>
      <c r="C657" s="166"/>
      <c r="D657" s="166"/>
      <c r="E657" s="166"/>
      <c r="F657" s="714"/>
      <c r="G657" s="166"/>
      <c r="H657" s="166"/>
      <c r="I657" s="166"/>
      <c r="J657" s="166"/>
      <c r="K657" s="166"/>
      <c r="L657" s="166"/>
      <c r="M657" s="166"/>
      <c r="N657" s="715"/>
      <c r="O657" s="166"/>
      <c r="P657" s="166"/>
      <c r="Q657" s="716"/>
      <c r="R657" s="714"/>
      <c r="S657" s="717"/>
      <c r="T657" s="714"/>
      <c r="U657" s="166"/>
      <c r="V657" s="166"/>
      <c r="W657" s="166"/>
      <c r="X657" s="166"/>
      <c r="Y657" s="718"/>
      <c r="Z657" s="719"/>
      <c r="AA657" s="719"/>
      <c r="AB657" s="166"/>
      <c r="AC657" s="166"/>
      <c r="AD657" s="166"/>
      <c r="AE657" s="87"/>
      <c r="AF657" s="87"/>
      <c r="AG657" s="87"/>
      <c r="AH657" s="87"/>
      <c r="AI657" s="87"/>
      <c r="AJ657" s="87"/>
      <c r="AK657" s="87"/>
      <c r="AL657" s="87"/>
      <c r="AM657" s="87"/>
    </row>
    <row r="658">
      <c r="A658" s="87"/>
      <c r="B658" s="166"/>
      <c r="C658" s="166"/>
      <c r="D658" s="166"/>
      <c r="E658" s="166"/>
      <c r="F658" s="714"/>
      <c r="G658" s="166"/>
      <c r="H658" s="166"/>
      <c r="I658" s="166"/>
      <c r="J658" s="166"/>
      <c r="K658" s="166"/>
      <c r="L658" s="166"/>
      <c r="M658" s="166"/>
      <c r="N658" s="715"/>
      <c r="O658" s="166"/>
      <c r="P658" s="166"/>
      <c r="Q658" s="716"/>
      <c r="R658" s="714"/>
      <c r="S658" s="717"/>
      <c r="T658" s="714"/>
      <c r="U658" s="166"/>
      <c r="V658" s="166"/>
      <c r="W658" s="166"/>
      <c r="X658" s="166"/>
      <c r="Y658" s="718"/>
      <c r="Z658" s="719"/>
      <c r="AA658" s="719"/>
      <c r="AB658" s="166"/>
      <c r="AC658" s="166"/>
      <c r="AD658" s="166"/>
      <c r="AE658" s="87"/>
      <c r="AF658" s="87"/>
      <c r="AG658" s="87"/>
      <c r="AH658" s="87"/>
      <c r="AI658" s="87"/>
      <c r="AJ658" s="87"/>
      <c r="AK658" s="87"/>
      <c r="AL658" s="87"/>
      <c r="AM658" s="87"/>
    </row>
    <row r="659">
      <c r="A659" s="87"/>
      <c r="B659" s="166"/>
      <c r="C659" s="166"/>
      <c r="D659" s="166"/>
      <c r="E659" s="166"/>
      <c r="F659" s="714"/>
      <c r="G659" s="166"/>
      <c r="H659" s="166"/>
      <c r="I659" s="166"/>
      <c r="J659" s="166"/>
      <c r="K659" s="166"/>
      <c r="L659" s="166"/>
      <c r="M659" s="166"/>
      <c r="N659" s="715"/>
      <c r="O659" s="166"/>
      <c r="P659" s="166"/>
      <c r="Q659" s="716"/>
      <c r="R659" s="714"/>
      <c r="S659" s="717"/>
      <c r="T659" s="714"/>
      <c r="U659" s="166"/>
      <c r="V659" s="166"/>
      <c r="W659" s="166"/>
      <c r="X659" s="166"/>
      <c r="Y659" s="718"/>
      <c r="Z659" s="719"/>
      <c r="AA659" s="719"/>
      <c r="AB659" s="166"/>
      <c r="AC659" s="166"/>
      <c r="AD659" s="166"/>
      <c r="AE659" s="87"/>
      <c r="AF659" s="87"/>
      <c r="AG659" s="87"/>
      <c r="AH659" s="87"/>
      <c r="AI659" s="87"/>
      <c r="AJ659" s="87"/>
      <c r="AK659" s="87"/>
      <c r="AL659" s="87"/>
      <c r="AM659" s="87"/>
    </row>
    <row r="660">
      <c r="A660" s="87"/>
      <c r="B660" s="166"/>
      <c r="C660" s="166"/>
      <c r="D660" s="166"/>
      <c r="E660" s="166"/>
      <c r="F660" s="714"/>
      <c r="G660" s="166"/>
      <c r="H660" s="166"/>
      <c r="I660" s="166"/>
      <c r="J660" s="166"/>
      <c r="K660" s="166"/>
      <c r="L660" s="166"/>
      <c r="M660" s="166"/>
      <c r="N660" s="715"/>
      <c r="O660" s="166"/>
      <c r="P660" s="166"/>
      <c r="Q660" s="716"/>
      <c r="R660" s="714"/>
      <c r="S660" s="717"/>
      <c r="T660" s="714"/>
      <c r="U660" s="166"/>
      <c r="V660" s="166"/>
      <c r="W660" s="166"/>
      <c r="X660" s="166"/>
      <c r="Y660" s="718"/>
      <c r="Z660" s="719"/>
      <c r="AA660" s="719"/>
      <c r="AB660" s="166"/>
      <c r="AC660" s="166"/>
      <c r="AD660" s="166"/>
      <c r="AE660" s="87"/>
      <c r="AF660" s="87"/>
      <c r="AG660" s="87"/>
      <c r="AH660" s="87"/>
      <c r="AI660" s="87"/>
      <c r="AJ660" s="87"/>
      <c r="AK660" s="87"/>
      <c r="AL660" s="87"/>
      <c r="AM660" s="87"/>
    </row>
    <row r="661">
      <c r="A661" s="87"/>
      <c r="B661" s="166"/>
      <c r="C661" s="166"/>
      <c r="D661" s="166"/>
      <c r="E661" s="166"/>
      <c r="F661" s="714"/>
      <c r="G661" s="166"/>
      <c r="H661" s="166"/>
      <c r="I661" s="166"/>
      <c r="J661" s="166"/>
      <c r="K661" s="166"/>
      <c r="L661" s="166"/>
      <c r="M661" s="166"/>
      <c r="N661" s="715"/>
      <c r="O661" s="166"/>
      <c r="P661" s="166"/>
      <c r="Q661" s="716"/>
      <c r="R661" s="714"/>
      <c r="S661" s="717"/>
      <c r="T661" s="714"/>
      <c r="U661" s="166"/>
      <c r="V661" s="166"/>
      <c r="W661" s="166"/>
      <c r="X661" s="166"/>
      <c r="Y661" s="718"/>
      <c r="Z661" s="719"/>
      <c r="AA661" s="719"/>
      <c r="AB661" s="166"/>
      <c r="AC661" s="166"/>
      <c r="AD661" s="166"/>
      <c r="AE661" s="87"/>
      <c r="AF661" s="87"/>
      <c r="AG661" s="87"/>
      <c r="AH661" s="87"/>
      <c r="AI661" s="87"/>
      <c r="AJ661" s="87"/>
      <c r="AK661" s="87"/>
      <c r="AL661" s="87"/>
      <c r="AM661" s="87"/>
    </row>
    <row r="662">
      <c r="A662" s="87"/>
      <c r="B662" s="166"/>
      <c r="C662" s="166"/>
      <c r="D662" s="166"/>
      <c r="E662" s="166"/>
      <c r="F662" s="714"/>
      <c r="G662" s="166"/>
      <c r="H662" s="166"/>
      <c r="I662" s="166"/>
      <c r="J662" s="166"/>
      <c r="K662" s="166"/>
      <c r="L662" s="166"/>
      <c r="M662" s="166"/>
      <c r="N662" s="715"/>
      <c r="O662" s="166"/>
      <c r="P662" s="166"/>
      <c r="Q662" s="716"/>
      <c r="R662" s="714"/>
      <c r="S662" s="717"/>
      <c r="T662" s="714"/>
      <c r="U662" s="166"/>
      <c r="V662" s="166"/>
      <c r="W662" s="166"/>
      <c r="X662" s="166"/>
      <c r="Y662" s="718"/>
      <c r="Z662" s="719"/>
      <c r="AA662" s="719"/>
      <c r="AB662" s="166"/>
      <c r="AC662" s="166"/>
      <c r="AD662" s="166"/>
      <c r="AE662" s="87"/>
      <c r="AF662" s="87"/>
      <c r="AG662" s="87"/>
      <c r="AH662" s="87"/>
      <c r="AI662" s="87"/>
      <c r="AJ662" s="87"/>
      <c r="AK662" s="87"/>
      <c r="AL662" s="87"/>
      <c r="AM662" s="87"/>
    </row>
    <row r="663">
      <c r="A663" s="87"/>
      <c r="B663" s="166"/>
      <c r="C663" s="166"/>
      <c r="D663" s="166"/>
      <c r="E663" s="166"/>
      <c r="F663" s="714"/>
      <c r="G663" s="166"/>
      <c r="H663" s="166"/>
      <c r="I663" s="166"/>
      <c r="J663" s="166"/>
      <c r="K663" s="166"/>
      <c r="L663" s="166"/>
      <c r="M663" s="166"/>
      <c r="N663" s="715"/>
      <c r="O663" s="166"/>
      <c r="P663" s="166"/>
      <c r="Q663" s="716"/>
      <c r="R663" s="714"/>
      <c r="S663" s="717"/>
      <c r="T663" s="714"/>
      <c r="U663" s="166"/>
      <c r="V663" s="166"/>
      <c r="W663" s="166"/>
      <c r="X663" s="166"/>
      <c r="Y663" s="718"/>
      <c r="Z663" s="719"/>
      <c r="AA663" s="719"/>
      <c r="AB663" s="166"/>
      <c r="AC663" s="166"/>
      <c r="AD663" s="166"/>
      <c r="AE663" s="87"/>
      <c r="AF663" s="87"/>
      <c r="AG663" s="87"/>
      <c r="AH663" s="87"/>
      <c r="AI663" s="87"/>
      <c r="AJ663" s="87"/>
      <c r="AK663" s="87"/>
      <c r="AL663" s="87"/>
      <c r="AM663" s="87"/>
    </row>
    <row r="664">
      <c r="A664" s="87"/>
      <c r="B664" s="166"/>
      <c r="C664" s="166"/>
      <c r="D664" s="166"/>
      <c r="E664" s="166"/>
      <c r="F664" s="714"/>
      <c r="G664" s="166"/>
      <c r="H664" s="166"/>
      <c r="I664" s="166"/>
      <c r="J664" s="166"/>
      <c r="K664" s="166"/>
      <c r="L664" s="166"/>
      <c r="M664" s="166"/>
      <c r="N664" s="715"/>
      <c r="O664" s="166"/>
      <c r="P664" s="166"/>
      <c r="Q664" s="716"/>
      <c r="R664" s="714"/>
      <c r="S664" s="717"/>
      <c r="T664" s="714"/>
      <c r="U664" s="166"/>
      <c r="V664" s="166"/>
      <c r="W664" s="166"/>
      <c r="X664" s="166"/>
      <c r="Y664" s="718"/>
      <c r="Z664" s="719"/>
      <c r="AA664" s="719"/>
      <c r="AB664" s="166"/>
      <c r="AC664" s="166"/>
      <c r="AD664" s="166"/>
      <c r="AE664" s="87"/>
      <c r="AF664" s="87"/>
      <c r="AG664" s="87"/>
      <c r="AH664" s="87"/>
      <c r="AI664" s="87"/>
      <c r="AJ664" s="87"/>
      <c r="AK664" s="87"/>
      <c r="AL664" s="87"/>
      <c r="AM664" s="87"/>
    </row>
    <row r="665">
      <c r="A665" s="87"/>
      <c r="B665" s="166"/>
      <c r="C665" s="166"/>
      <c r="D665" s="166"/>
      <c r="E665" s="166"/>
      <c r="F665" s="714"/>
      <c r="G665" s="166"/>
      <c r="H665" s="166"/>
      <c r="I665" s="166"/>
      <c r="J665" s="166"/>
      <c r="K665" s="166"/>
      <c r="L665" s="166"/>
      <c r="M665" s="166"/>
      <c r="N665" s="715"/>
      <c r="O665" s="166"/>
      <c r="P665" s="166"/>
      <c r="Q665" s="716"/>
      <c r="R665" s="714"/>
      <c r="S665" s="717"/>
      <c r="T665" s="714"/>
      <c r="U665" s="166"/>
      <c r="V665" s="166"/>
      <c r="W665" s="166"/>
      <c r="X665" s="166"/>
      <c r="Y665" s="718"/>
      <c r="Z665" s="719"/>
      <c r="AA665" s="719"/>
      <c r="AB665" s="166"/>
      <c r="AC665" s="166"/>
      <c r="AD665" s="166"/>
      <c r="AE665" s="87"/>
      <c r="AF665" s="87"/>
      <c r="AG665" s="87"/>
      <c r="AH665" s="87"/>
      <c r="AI665" s="87"/>
      <c r="AJ665" s="87"/>
      <c r="AK665" s="87"/>
      <c r="AL665" s="87"/>
      <c r="AM665" s="87"/>
    </row>
    <row r="666">
      <c r="A666" s="87"/>
      <c r="B666" s="166"/>
      <c r="C666" s="166"/>
      <c r="D666" s="166"/>
      <c r="E666" s="166"/>
      <c r="F666" s="714"/>
      <c r="G666" s="166"/>
      <c r="H666" s="166"/>
      <c r="I666" s="166"/>
      <c r="J666" s="166"/>
      <c r="K666" s="166"/>
      <c r="L666" s="166"/>
      <c r="M666" s="166"/>
      <c r="N666" s="715"/>
      <c r="O666" s="166"/>
      <c r="P666" s="166"/>
      <c r="Q666" s="716"/>
      <c r="R666" s="714"/>
      <c r="S666" s="717"/>
      <c r="T666" s="714"/>
      <c r="U666" s="166"/>
      <c r="V666" s="166"/>
      <c r="W666" s="166"/>
      <c r="X666" s="166"/>
      <c r="Y666" s="718"/>
      <c r="Z666" s="719"/>
      <c r="AA666" s="719"/>
      <c r="AB666" s="166"/>
      <c r="AC666" s="166"/>
      <c r="AD666" s="166"/>
      <c r="AE666" s="87"/>
      <c r="AF666" s="87"/>
      <c r="AG666" s="87"/>
      <c r="AH666" s="87"/>
      <c r="AI666" s="87"/>
      <c r="AJ666" s="87"/>
      <c r="AK666" s="87"/>
      <c r="AL666" s="87"/>
      <c r="AM666" s="87"/>
    </row>
    <row r="667">
      <c r="A667" s="87"/>
      <c r="B667" s="166"/>
      <c r="C667" s="166"/>
      <c r="D667" s="166"/>
      <c r="E667" s="166"/>
      <c r="F667" s="714"/>
      <c r="G667" s="166"/>
      <c r="H667" s="166"/>
      <c r="I667" s="166"/>
      <c r="J667" s="166"/>
      <c r="K667" s="166"/>
      <c r="L667" s="166"/>
      <c r="M667" s="166"/>
      <c r="N667" s="715"/>
      <c r="O667" s="166"/>
      <c r="P667" s="166"/>
      <c r="Q667" s="716"/>
      <c r="R667" s="714"/>
      <c r="S667" s="717"/>
      <c r="T667" s="714"/>
      <c r="U667" s="166"/>
      <c r="V667" s="166"/>
      <c r="W667" s="166"/>
      <c r="X667" s="166"/>
      <c r="Y667" s="718"/>
      <c r="Z667" s="719"/>
      <c r="AA667" s="719"/>
      <c r="AB667" s="166"/>
      <c r="AC667" s="166"/>
      <c r="AD667" s="166"/>
      <c r="AE667" s="87"/>
      <c r="AF667" s="87"/>
      <c r="AG667" s="87"/>
      <c r="AH667" s="87"/>
      <c r="AI667" s="87"/>
      <c r="AJ667" s="87"/>
      <c r="AK667" s="87"/>
      <c r="AL667" s="87"/>
      <c r="AM667" s="87"/>
    </row>
    <row r="668">
      <c r="A668" s="87"/>
      <c r="B668" s="166"/>
      <c r="C668" s="166"/>
      <c r="D668" s="166"/>
      <c r="E668" s="166"/>
      <c r="F668" s="714"/>
      <c r="G668" s="166"/>
      <c r="H668" s="166"/>
      <c r="I668" s="166"/>
      <c r="J668" s="166"/>
      <c r="K668" s="166"/>
      <c r="L668" s="166"/>
      <c r="M668" s="166"/>
      <c r="N668" s="715"/>
      <c r="O668" s="166"/>
      <c r="P668" s="166"/>
      <c r="Q668" s="716"/>
      <c r="R668" s="714"/>
      <c r="S668" s="717"/>
      <c r="T668" s="714"/>
      <c r="U668" s="166"/>
      <c r="V668" s="166"/>
      <c r="W668" s="166"/>
      <c r="X668" s="166"/>
      <c r="Y668" s="718"/>
      <c r="Z668" s="719"/>
      <c r="AA668" s="719"/>
      <c r="AB668" s="166"/>
      <c r="AC668" s="166"/>
      <c r="AD668" s="166"/>
      <c r="AE668" s="87"/>
      <c r="AF668" s="87"/>
      <c r="AG668" s="87"/>
      <c r="AH668" s="87"/>
      <c r="AI668" s="87"/>
      <c r="AJ668" s="87"/>
      <c r="AK668" s="87"/>
      <c r="AL668" s="87"/>
      <c r="AM668" s="87"/>
    </row>
    <row r="669">
      <c r="A669" s="87"/>
      <c r="B669" s="166"/>
      <c r="C669" s="166"/>
      <c r="D669" s="166"/>
      <c r="E669" s="166"/>
      <c r="F669" s="714"/>
      <c r="G669" s="166"/>
      <c r="H669" s="166"/>
      <c r="I669" s="166"/>
      <c r="J669" s="166"/>
      <c r="K669" s="166"/>
      <c r="L669" s="166"/>
      <c r="M669" s="166"/>
      <c r="N669" s="715"/>
      <c r="O669" s="166"/>
      <c r="P669" s="166"/>
      <c r="Q669" s="716"/>
      <c r="R669" s="714"/>
      <c r="S669" s="717"/>
      <c r="T669" s="714"/>
      <c r="U669" s="166"/>
      <c r="V669" s="166"/>
      <c r="W669" s="166"/>
      <c r="X669" s="166"/>
      <c r="Y669" s="718"/>
      <c r="Z669" s="719"/>
      <c r="AA669" s="719"/>
      <c r="AB669" s="166"/>
      <c r="AC669" s="166"/>
      <c r="AD669" s="166"/>
      <c r="AE669" s="87"/>
      <c r="AF669" s="87"/>
      <c r="AG669" s="87"/>
      <c r="AH669" s="87"/>
      <c r="AI669" s="87"/>
      <c r="AJ669" s="87"/>
      <c r="AK669" s="87"/>
      <c r="AL669" s="87"/>
      <c r="AM669" s="87"/>
    </row>
    <row r="670">
      <c r="A670" s="87"/>
      <c r="B670" s="166"/>
      <c r="C670" s="166"/>
      <c r="D670" s="166"/>
      <c r="E670" s="166"/>
      <c r="F670" s="714"/>
      <c r="G670" s="166"/>
      <c r="H670" s="166"/>
      <c r="I670" s="166"/>
      <c r="J670" s="166"/>
      <c r="K670" s="166"/>
      <c r="L670" s="166"/>
      <c r="M670" s="166"/>
      <c r="N670" s="715"/>
      <c r="O670" s="166"/>
      <c r="P670" s="166"/>
      <c r="Q670" s="716"/>
      <c r="R670" s="714"/>
      <c r="S670" s="717"/>
      <c r="T670" s="714"/>
      <c r="U670" s="166"/>
      <c r="V670" s="166"/>
      <c r="W670" s="166"/>
      <c r="X670" s="166"/>
      <c r="Y670" s="718"/>
      <c r="Z670" s="719"/>
      <c r="AA670" s="719"/>
      <c r="AB670" s="166"/>
      <c r="AC670" s="166"/>
      <c r="AD670" s="166"/>
      <c r="AE670" s="87"/>
      <c r="AF670" s="87"/>
      <c r="AG670" s="87"/>
      <c r="AH670" s="87"/>
      <c r="AI670" s="87"/>
      <c r="AJ670" s="87"/>
      <c r="AK670" s="87"/>
      <c r="AL670" s="87"/>
      <c r="AM670" s="87"/>
    </row>
    <row r="671">
      <c r="A671" s="87"/>
      <c r="B671" s="166"/>
      <c r="C671" s="166"/>
      <c r="D671" s="166"/>
      <c r="E671" s="166"/>
      <c r="F671" s="714"/>
      <c r="G671" s="166"/>
      <c r="H671" s="166"/>
      <c r="I671" s="166"/>
      <c r="J671" s="166"/>
      <c r="K671" s="166"/>
      <c r="L671" s="166"/>
      <c r="M671" s="166"/>
      <c r="N671" s="715"/>
      <c r="O671" s="166"/>
      <c r="P671" s="166"/>
      <c r="Q671" s="716"/>
      <c r="R671" s="714"/>
      <c r="S671" s="717"/>
      <c r="T671" s="714"/>
      <c r="U671" s="166"/>
      <c r="V671" s="166"/>
      <c r="W671" s="166"/>
      <c r="X671" s="166"/>
      <c r="Y671" s="718"/>
      <c r="Z671" s="719"/>
      <c r="AA671" s="719"/>
      <c r="AB671" s="166"/>
      <c r="AC671" s="166"/>
      <c r="AD671" s="166"/>
      <c r="AE671" s="87"/>
      <c r="AF671" s="87"/>
      <c r="AG671" s="87"/>
      <c r="AH671" s="87"/>
      <c r="AI671" s="87"/>
      <c r="AJ671" s="87"/>
      <c r="AK671" s="87"/>
      <c r="AL671" s="87"/>
      <c r="AM671" s="87"/>
    </row>
    <row r="672">
      <c r="A672" s="87"/>
      <c r="B672" s="166"/>
      <c r="C672" s="166"/>
      <c r="D672" s="166"/>
      <c r="E672" s="166"/>
      <c r="F672" s="714"/>
      <c r="G672" s="166"/>
      <c r="H672" s="166"/>
      <c r="I672" s="166"/>
      <c r="J672" s="166"/>
      <c r="K672" s="166"/>
      <c r="L672" s="166"/>
      <c r="M672" s="166"/>
      <c r="N672" s="715"/>
      <c r="O672" s="166"/>
      <c r="P672" s="166"/>
      <c r="Q672" s="716"/>
      <c r="R672" s="714"/>
      <c r="S672" s="717"/>
      <c r="T672" s="714"/>
      <c r="U672" s="166"/>
      <c r="V672" s="166"/>
      <c r="W672" s="166"/>
      <c r="X672" s="166"/>
      <c r="Y672" s="718"/>
      <c r="Z672" s="719"/>
      <c r="AA672" s="719"/>
      <c r="AB672" s="166"/>
      <c r="AC672" s="166"/>
      <c r="AD672" s="166"/>
      <c r="AE672" s="87"/>
      <c r="AF672" s="87"/>
      <c r="AG672" s="87"/>
      <c r="AH672" s="87"/>
      <c r="AI672" s="87"/>
      <c r="AJ672" s="87"/>
      <c r="AK672" s="87"/>
      <c r="AL672" s="87"/>
      <c r="AM672" s="87"/>
    </row>
    <row r="673">
      <c r="A673" s="87"/>
      <c r="B673" s="166"/>
      <c r="C673" s="166"/>
      <c r="D673" s="166"/>
      <c r="E673" s="166"/>
      <c r="F673" s="714"/>
      <c r="G673" s="166"/>
      <c r="H673" s="166"/>
      <c r="I673" s="166"/>
      <c r="J673" s="166"/>
      <c r="K673" s="166"/>
      <c r="L673" s="166"/>
      <c r="M673" s="166"/>
      <c r="N673" s="715"/>
      <c r="O673" s="166"/>
      <c r="P673" s="166"/>
      <c r="Q673" s="716"/>
      <c r="R673" s="714"/>
      <c r="S673" s="717"/>
      <c r="T673" s="714"/>
      <c r="U673" s="166"/>
      <c r="V673" s="166"/>
      <c r="W673" s="166"/>
      <c r="X673" s="166"/>
      <c r="Y673" s="718"/>
      <c r="Z673" s="719"/>
      <c r="AA673" s="719"/>
      <c r="AB673" s="166"/>
      <c r="AC673" s="166"/>
      <c r="AD673" s="166"/>
      <c r="AE673" s="87"/>
      <c r="AF673" s="87"/>
      <c r="AG673" s="87"/>
      <c r="AH673" s="87"/>
      <c r="AI673" s="87"/>
      <c r="AJ673" s="87"/>
      <c r="AK673" s="87"/>
      <c r="AL673" s="87"/>
      <c r="AM673" s="87"/>
    </row>
    <row r="674">
      <c r="A674" s="87"/>
      <c r="B674" s="166"/>
      <c r="C674" s="166"/>
      <c r="D674" s="166"/>
      <c r="E674" s="166"/>
      <c r="F674" s="714"/>
      <c r="G674" s="166"/>
      <c r="H674" s="166"/>
      <c r="I674" s="166"/>
      <c r="J674" s="166"/>
      <c r="K674" s="166"/>
      <c r="L674" s="166"/>
      <c r="M674" s="166"/>
      <c r="N674" s="715"/>
      <c r="O674" s="166"/>
      <c r="P674" s="166"/>
      <c r="Q674" s="716"/>
      <c r="R674" s="714"/>
      <c r="S674" s="717"/>
      <c r="T674" s="714"/>
      <c r="U674" s="166"/>
      <c r="V674" s="166"/>
      <c r="W674" s="166"/>
      <c r="X674" s="166"/>
      <c r="Y674" s="718"/>
      <c r="Z674" s="719"/>
      <c r="AA674" s="719"/>
      <c r="AB674" s="166"/>
      <c r="AC674" s="166"/>
      <c r="AD674" s="166"/>
      <c r="AE674" s="87"/>
      <c r="AF674" s="87"/>
      <c r="AG674" s="87"/>
      <c r="AH674" s="87"/>
      <c r="AI674" s="87"/>
      <c r="AJ674" s="87"/>
      <c r="AK674" s="87"/>
      <c r="AL674" s="87"/>
      <c r="AM674" s="87"/>
    </row>
    <row r="675">
      <c r="A675" s="87"/>
      <c r="B675" s="166"/>
      <c r="C675" s="166"/>
      <c r="D675" s="166"/>
      <c r="E675" s="166"/>
      <c r="F675" s="714"/>
      <c r="G675" s="166"/>
      <c r="H675" s="166"/>
      <c r="I675" s="166"/>
      <c r="J675" s="166"/>
      <c r="K675" s="166"/>
      <c r="L675" s="166"/>
      <c r="M675" s="166"/>
      <c r="N675" s="715"/>
      <c r="O675" s="166"/>
      <c r="P675" s="166"/>
      <c r="Q675" s="716"/>
      <c r="R675" s="714"/>
      <c r="S675" s="717"/>
      <c r="T675" s="714"/>
      <c r="U675" s="166"/>
      <c r="V675" s="166"/>
      <c r="W675" s="166"/>
      <c r="X675" s="166"/>
      <c r="Y675" s="718"/>
      <c r="Z675" s="719"/>
      <c r="AA675" s="719"/>
      <c r="AB675" s="166"/>
      <c r="AC675" s="166"/>
      <c r="AD675" s="166"/>
      <c r="AE675" s="87"/>
      <c r="AF675" s="87"/>
      <c r="AG675" s="87"/>
      <c r="AH675" s="87"/>
      <c r="AI675" s="87"/>
      <c r="AJ675" s="87"/>
      <c r="AK675" s="87"/>
      <c r="AL675" s="87"/>
      <c r="AM675" s="87"/>
    </row>
    <row r="676">
      <c r="A676" s="87"/>
      <c r="B676" s="166"/>
      <c r="C676" s="166"/>
      <c r="D676" s="166"/>
      <c r="E676" s="166"/>
      <c r="F676" s="714"/>
      <c r="G676" s="166"/>
      <c r="H676" s="166"/>
      <c r="I676" s="166"/>
      <c r="J676" s="166"/>
      <c r="K676" s="166"/>
      <c r="L676" s="166"/>
      <c r="M676" s="166"/>
      <c r="N676" s="715"/>
      <c r="O676" s="166"/>
      <c r="P676" s="166"/>
      <c r="Q676" s="716"/>
      <c r="R676" s="714"/>
      <c r="S676" s="717"/>
      <c r="T676" s="714"/>
      <c r="U676" s="166"/>
      <c r="V676" s="166"/>
      <c r="W676" s="166"/>
      <c r="X676" s="166"/>
      <c r="Y676" s="718"/>
      <c r="Z676" s="719"/>
      <c r="AA676" s="719"/>
      <c r="AB676" s="166"/>
      <c r="AC676" s="166"/>
      <c r="AD676" s="166"/>
      <c r="AE676" s="87"/>
      <c r="AF676" s="87"/>
      <c r="AG676" s="87"/>
      <c r="AH676" s="87"/>
      <c r="AI676" s="87"/>
      <c r="AJ676" s="87"/>
      <c r="AK676" s="87"/>
      <c r="AL676" s="87"/>
      <c r="AM676" s="87"/>
    </row>
    <row r="677">
      <c r="A677" s="87"/>
      <c r="B677" s="166"/>
      <c r="C677" s="166"/>
      <c r="D677" s="166"/>
      <c r="E677" s="166"/>
      <c r="F677" s="714"/>
      <c r="G677" s="166"/>
      <c r="H677" s="166"/>
      <c r="I677" s="166"/>
      <c r="J677" s="166"/>
      <c r="K677" s="166"/>
      <c r="L677" s="166"/>
      <c r="M677" s="166"/>
      <c r="N677" s="715"/>
      <c r="O677" s="166"/>
      <c r="P677" s="166"/>
      <c r="Q677" s="716"/>
      <c r="R677" s="714"/>
      <c r="S677" s="717"/>
      <c r="T677" s="714"/>
      <c r="U677" s="166"/>
      <c r="V677" s="166"/>
      <c r="W677" s="166"/>
      <c r="X677" s="166"/>
      <c r="Y677" s="718"/>
      <c r="Z677" s="719"/>
      <c r="AA677" s="719"/>
      <c r="AB677" s="166"/>
      <c r="AC677" s="166"/>
      <c r="AD677" s="166"/>
      <c r="AE677" s="87"/>
      <c r="AF677" s="87"/>
      <c r="AG677" s="87"/>
      <c r="AH677" s="87"/>
      <c r="AI677" s="87"/>
      <c r="AJ677" s="87"/>
      <c r="AK677" s="87"/>
      <c r="AL677" s="87"/>
      <c r="AM677" s="87"/>
    </row>
    <row r="678">
      <c r="A678" s="87"/>
      <c r="B678" s="166"/>
      <c r="C678" s="166"/>
      <c r="D678" s="166"/>
      <c r="E678" s="166"/>
      <c r="F678" s="714"/>
      <c r="G678" s="166"/>
      <c r="H678" s="166"/>
      <c r="I678" s="166"/>
      <c r="J678" s="166"/>
      <c r="K678" s="166"/>
      <c r="L678" s="166"/>
      <c r="M678" s="166"/>
      <c r="N678" s="715"/>
      <c r="O678" s="166"/>
      <c r="P678" s="166"/>
      <c r="Q678" s="716"/>
      <c r="R678" s="714"/>
      <c r="S678" s="717"/>
      <c r="T678" s="714"/>
      <c r="U678" s="166"/>
      <c r="V678" s="166"/>
      <c r="W678" s="166"/>
      <c r="X678" s="166"/>
      <c r="Y678" s="718"/>
      <c r="Z678" s="719"/>
      <c r="AA678" s="719"/>
      <c r="AB678" s="166"/>
      <c r="AC678" s="166"/>
      <c r="AD678" s="166"/>
      <c r="AE678" s="87"/>
      <c r="AF678" s="87"/>
      <c r="AG678" s="87"/>
      <c r="AH678" s="87"/>
      <c r="AI678" s="87"/>
      <c r="AJ678" s="87"/>
      <c r="AK678" s="87"/>
      <c r="AL678" s="87"/>
      <c r="AM678" s="87"/>
    </row>
    <row r="679">
      <c r="A679" s="87"/>
      <c r="B679" s="166"/>
      <c r="C679" s="166"/>
      <c r="D679" s="166"/>
      <c r="E679" s="166"/>
      <c r="F679" s="714"/>
      <c r="G679" s="166"/>
      <c r="H679" s="166"/>
      <c r="I679" s="166"/>
      <c r="J679" s="166"/>
      <c r="K679" s="166"/>
      <c r="L679" s="166"/>
      <c r="M679" s="166"/>
      <c r="N679" s="715"/>
      <c r="O679" s="166"/>
      <c r="P679" s="166"/>
      <c r="Q679" s="716"/>
      <c r="R679" s="714"/>
      <c r="S679" s="717"/>
      <c r="T679" s="714"/>
      <c r="U679" s="166"/>
      <c r="V679" s="166"/>
      <c r="W679" s="166"/>
      <c r="X679" s="166"/>
      <c r="Y679" s="718"/>
      <c r="Z679" s="719"/>
      <c r="AA679" s="719"/>
      <c r="AB679" s="166"/>
      <c r="AC679" s="166"/>
      <c r="AD679" s="166"/>
      <c r="AE679" s="87"/>
      <c r="AF679" s="87"/>
      <c r="AG679" s="87"/>
      <c r="AH679" s="87"/>
      <c r="AI679" s="87"/>
      <c r="AJ679" s="87"/>
      <c r="AK679" s="87"/>
      <c r="AL679" s="87"/>
      <c r="AM679" s="87"/>
    </row>
    <row r="680">
      <c r="A680" s="87"/>
      <c r="B680" s="166"/>
      <c r="C680" s="166"/>
      <c r="D680" s="166"/>
      <c r="E680" s="166"/>
      <c r="F680" s="714"/>
      <c r="G680" s="166"/>
      <c r="H680" s="166"/>
      <c r="I680" s="166"/>
      <c r="J680" s="166"/>
      <c r="K680" s="166"/>
      <c r="L680" s="166"/>
      <c r="M680" s="166"/>
      <c r="N680" s="715"/>
      <c r="O680" s="166"/>
      <c r="P680" s="166"/>
      <c r="Q680" s="716"/>
      <c r="R680" s="714"/>
      <c r="S680" s="717"/>
      <c r="T680" s="714"/>
      <c r="U680" s="166"/>
      <c r="V680" s="166"/>
      <c r="W680" s="166"/>
      <c r="X680" s="166"/>
      <c r="Y680" s="718"/>
      <c r="Z680" s="719"/>
      <c r="AA680" s="719"/>
      <c r="AB680" s="166"/>
      <c r="AC680" s="166"/>
      <c r="AD680" s="166"/>
      <c r="AE680" s="87"/>
      <c r="AF680" s="87"/>
      <c r="AG680" s="87"/>
      <c r="AH680" s="87"/>
      <c r="AI680" s="87"/>
      <c r="AJ680" s="87"/>
      <c r="AK680" s="87"/>
      <c r="AL680" s="87"/>
      <c r="AM680" s="87"/>
    </row>
    <row r="681">
      <c r="A681" s="87"/>
      <c r="B681" s="166"/>
      <c r="C681" s="166"/>
      <c r="D681" s="166"/>
      <c r="E681" s="166"/>
      <c r="F681" s="714"/>
      <c r="G681" s="166"/>
      <c r="H681" s="166"/>
      <c r="I681" s="166"/>
      <c r="J681" s="166"/>
      <c r="K681" s="166"/>
      <c r="L681" s="166"/>
      <c r="M681" s="166"/>
      <c r="N681" s="715"/>
      <c r="O681" s="166"/>
      <c r="P681" s="166"/>
      <c r="Q681" s="716"/>
      <c r="R681" s="714"/>
      <c r="S681" s="717"/>
      <c r="T681" s="714"/>
      <c r="U681" s="166"/>
      <c r="V681" s="166"/>
      <c r="W681" s="166"/>
      <c r="X681" s="166"/>
      <c r="Y681" s="718"/>
      <c r="Z681" s="719"/>
      <c r="AA681" s="719"/>
      <c r="AB681" s="166"/>
      <c r="AC681" s="166"/>
      <c r="AD681" s="166"/>
      <c r="AE681" s="87"/>
      <c r="AF681" s="87"/>
      <c r="AG681" s="87"/>
      <c r="AH681" s="87"/>
      <c r="AI681" s="87"/>
      <c r="AJ681" s="87"/>
      <c r="AK681" s="87"/>
      <c r="AL681" s="87"/>
      <c r="AM681" s="87"/>
    </row>
    <row r="682">
      <c r="A682" s="87"/>
      <c r="B682" s="166"/>
      <c r="C682" s="166"/>
      <c r="D682" s="166"/>
      <c r="E682" s="166"/>
      <c r="F682" s="714"/>
      <c r="G682" s="166"/>
      <c r="H682" s="166"/>
      <c r="I682" s="166"/>
      <c r="J682" s="166"/>
      <c r="K682" s="166"/>
      <c r="L682" s="166"/>
      <c r="M682" s="166"/>
      <c r="N682" s="715"/>
      <c r="O682" s="166"/>
      <c r="P682" s="166"/>
      <c r="Q682" s="716"/>
      <c r="R682" s="714"/>
      <c r="S682" s="717"/>
      <c r="T682" s="714"/>
      <c r="U682" s="166"/>
      <c r="V682" s="166"/>
      <c r="W682" s="166"/>
      <c r="X682" s="166"/>
      <c r="Y682" s="718"/>
      <c r="Z682" s="719"/>
      <c r="AA682" s="719"/>
      <c r="AB682" s="166"/>
      <c r="AC682" s="166"/>
      <c r="AD682" s="166"/>
      <c r="AE682" s="87"/>
      <c r="AF682" s="87"/>
      <c r="AG682" s="87"/>
      <c r="AH682" s="87"/>
      <c r="AI682" s="87"/>
      <c r="AJ682" s="87"/>
      <c r="AK682" s="87"/>
      <c r="AL682" s="87"/>
      <c r="AM682" s="87"/>
    </row>
    <row r="683">
      <c r="A683" s="87"/>
      <c r="B683" s="166"/>
      <c r="C683" s="166"/>
      <c r="D683" s="166"/>
      <c r="E683" s="166"/>
      <c r="F683" s="714"/>
      <c r="G683" s="166"/>
      <c r="H683" s="166"/>
      <c r="I683" s="166"/>
      <c r="J683" s="166"/>
      <c r="K683" s="166"/>
      <c r="L683" s="166"/>
      <c r="M683" s="166"/>
      <c r="N683" s="715"/>
      <c r="O683" s="166"/>
      <c r="P683" s="166"/>
      <c r="Q683" s="716"/>
      <c r="R683" s="714"/>
      <c r="S683" s="717"/>
      <c r="T683" s="714"/>
      <c r="U683" s="166"/>
      <c r="V683" s="166"/>
      <c r="W683" s="166"/>
      <c r="X683" s="166"/>
      <c r="Y683" s="718"/>
      <c r="Z683" s="719"/>
      <c r="AA683" s="719"/>
      <c r="AB683" s="166"/>
      <c r="AC683" s="166"/>
      <c r="AD683" s="166"/>
      <c r="AE683" s="87"/>
      <c r="AF683" s="87"/>
      <c r="AG683" s="87"/>
      <c r="AH683" s="87"/>
      <c r="AI683" s="87"/>
      <c r="AJ683" s="87"/>
      <c r="AK683" s="87"/>
      <c r="AL683" s="87"/>
      <c r="AM683" s="87"/>
    </row>
    <row r="684">
      <c r="A684" s="87"/>
      <c r="B684" s="166"/>
      <c r="C684" s="166"/>
      <c r="D684" s="166"/>
      <c r="E684" s="166"/>
      <c r="F684" s="714"/>
      <c r="G684" s="166"/>
      <c r="H684" s="166"/>
      <c r="I684" s="166"/>
      <c r="J684" s="166"/>
      <c r="K684" s="166"/>
      <c r="L684" s="166"/>
      <c r="M684" s="166"/>
      <c r="N684" s="715"/>
      <c r="O684" s="166"/>
      <c r="P684" s="166"/>
      <c r="Q684" s="716"/>
      <c r="R684" s="714"/>
      <c r="S684" s="717"/>
      <c r="T684" s="714"/>
      <c r="U684" s="166"/>
      <c r="V684" s="166"/>
      <c r="W684" s="166"/>
      <c r="X684" s="166"/>
      <c r="Y684" s="718"/>
      <c r="Z684" s="719"/>
      <c r="AA684" s="719"/>
      <c r="AB684" s="166"/>
      <c r="AC684" s="166"/>
      <c r="AD684" s="166"/>
      <c r="AE684" s="87"/>
      <c r="AF684" s="87"/>
      <c r="AG684" s="87"/>
      <c r="AH684" s="87"/>
      <c r="AI684" s="87"/>
      <c r="AJ684" s="87"/>
      <c r="AK684" s="87"/>
      <c r="AL684" s="87"/>
      <c r="AM684" s="87"/>
    </row>
    <row r="685">
      <c r="A685" s="87"/>
      <c r="B685" s="166"/>
      <c r="C685" s="166"/>
      <c r="D685" s="166"/>
      <c r="E685" s="166"/>
      <c r="F685" s="714"/>
      <c r="G685" s="166"/>
      <c r="H685" s="166"/>
      <c r="I685" s="166"/>
      <c r="J685" s="166"/>
      <c r="K685" s="166"/>
      <c r="L685" s="166"/>
      <c r="M685" s="166"/>
      <c r="N685" s="715"/>
      <c r="O685" s="166"/>
      <c r="P685" s="166"/>
      <c r="Q685" s="716"/>
      <c r="R685" s="714"/>
      <c r="S685" s="717"/>
      <c r="T685" s="714"/>
      <c r="U685" s="166"/>
      <c r="V685" s="166"/>
      <c r="W685" s="166"/>
      <c r="X685" s="166"/>
      <c r="Y685" s="718"/>
      <c r="Z685" s="719"/>
      <c r="AA685" s="719"/>
      <c r="AB685" s="166"/>
      <c r="AC685" s="166"/>
      <c r="AD685" s="166"/>
      <c r="AE685" s="87"/>
      <c r="AF685" s="87"/>
      <c r="AG685" s="87"/>
      <c r="AH685" s="87"/>
      <c r="AI685" s="87"/>
      <c r="AJ685" s="87"/>
      <c r="AK685" s="87"/>
      <c r="AL685" s="87"/>
      <c r="AM685" s="87"/>
    </row>
    <row r="686">
      <c r="A686" s="87"/>
      <c r="B686" s="166"/>
      <c r="C686" s="166"/>
      <c r="D686" s="166"/>
      <c r="E686" s="166"/>
      <c r="F686" s="714"/>
      <c r="G686" s="166"/>
      <c r="H686" s="166"/>
      <c r="I686" s="166"/>
      <c r="J686" s="166"/>
      <c r="K686" s="166"/>
      <c r="L686" s="166"/>
      <c r="M686" s="166"/>
      <c r="N686" s="715"/>
      <c r="O686" s="166"/>
      <c r="P686" s="166"/>
      <c r="Q686" s="716"/>
      <c r="R686" s="714"/>
      <c r="S686" s="717"/>
      <c r="T686" s="714"/>
      <c r="U686" s="166"/>
      <c r="V686" s="166"/>
      <c r="W686" s="166"/>
      <c r="X686" s="166"/>
      <c r="Y686" s="718"/>
      <c r="Z686" s="719"/>
      <c r="AA686" s="719"/>
      <c r="AB686" s="166"/>
      <c r="AC686" s="166"/>
      <c r="AD686" s="166"/>
      <c r="AE686" s="87"/>
      <c r="AF686" s="87"/>
      <c r="AG686" s="87"/>
      <c r="AH686" s="87"/>
      <c r="AI686" s="87"/>
      <c r="AJ686" s="87"/>
      <c r="AK686" s="87"/>
      <c r="AL686" s="87"/>
      <c r="AM686" s="87"/>
    </row>
    <row r="687">
      <c r="A687" s="87"/>
      <c r="B687" s="166"/>
      <c r="C687" s="166"/>
      <c r="D687" s="166"/>
      <c r="E687" s="166"/>
      <c r="F687" s="714"/>
      <c r="G687" s="166"/>
      <c r="H687" s="166"/>
      <c r="I687" s="166"/>
      <c r="J687" s="166"/>
      <c r="K687" s="166"/>
      <c r="L687" s="166"/>
      <c r="M687" s="166"/>
      <c r="N687" s="715"/>
      <c r="O687" s="166"/>
      <c r="P687" s="166"/>
      <c r="Q687" s="716"/>
      <c r="R687" s="714"/>
      <c r="S687" s="717"/>
      <c r="T687" s="714"/>
      <c r="U687" s="166"/>
      <c r="V687" s="166"/>
      <c r="W687" s="166"/>
      <c r="X687" s="166"/>
      <c r="Y687" s="718"/>
      <c r="Z687" s="719"/>
      <c r="AA687" s="719"/>
      <c r="AB687" s="166"/>
      <c r="AC687" s="166"/>
      <c r="AD687" s="166"/>
      <c r="AE687" s="87"/>
      <c r="AF687" s="87"/>
      <c r="AG687" s="87"/>
      <c r="AH687" s="87"/>
      <c r="AI687" s="87"/>
      <c r="AJ687" s="87"/>
      <c r="AK687" s="87"/>
      <c r="AL687" s="87"/>
      <c r="AM687" s="87"/>
    </row>
    <row r="688">
      <c r="A688" s="87"/>
      <c r="B688" s="166"/>
      <c r="C688" s="166"/>
      <c r="D688" s="166"/>
      <c r="E688" s="166"/>
      <c r="F688" s="714"/>
      <c r="G688" s="166"/>
      <c r="H688" s="166"/>
      <c r="I688" s="166"/>
      <c r="J688" s="166"/>
      <c r="K688" s="166"/>
      <c r="L688" s="166"/>
      <c r="M688" s="166"/>
      <c r="N688" s="715"/>
      <c r="O688" s="166"/>
      <c r="P688" s="166"/>
      <c r="Q688" s="716"/>
      <c r="R688" s="714"/>
      <c r="S688" s="717"/>
      <c r="T688" s="714"/>
      <c r="U688" s="166"/>
      <c r="V688" s="166"/>
      <c r="W688" s="166"/>
      <c r="X688" s="166"/>
      <c r="Y688" s="718"/>
      <c r="Z688" s="719"/>
      <c r="AA688" s="719"/>
      <c r="AB688" s="166"/>
      <c r="AC688" s="166"/>
      <c r="AD688" s="166"/>
      <c r="AE688" s="87"/>
      <c r="AF688" s="87"/>
      <c r="AG688" s="87"/>
      <c r="AH688" s="87"/>
      <c r="AI688" s="87"/>
      <c r="AJ688" s="87"/>
      <c r="AK688" s="87"/>
      <c r="AL688" s="87"/>
      <c r="AM688" s="87"/>
    </row>
    <row r="689">
      <c r="A689" s="87"/>
      <c r="B689" s="166"/>
      <c r="C689" s="166"/>
      <c r="D689" s="166"/>
      <c r="E689" s="166"/>
      <c r="F689" s="714"/>
      <c r="G689" s="166"/>
      <c r="H689" s="166"/>
      <c r="I689" s="166"/>
      <c r="J689" s="166"/>
      <c r="K689" s="166"/>
      <c r="L689" s="166"/>
      <c r="M689" s="166"/>
      <c r="N689" s="715"/>
      <c r="O689" s="166"/>
      <c r="P689" s="166"/>
      <c r="Q689" s="716"/>
      <c r="R689" s="714"/>
      <c r="S689" s="717"/>
      <c r="T689" s="714"/>
      <c r="U689" s="166"/>
      <c r="V689" s="166"/>
      <c r="W689" s="166"/>
      <c r="X689" s="166"/>
      <c r="Y689" s="718"/>
      <c r="Z689" s="719"/>
      <c r="AA689" s="719"/>
      <c r="AB689" s="166"/>
      <c r="AC689" s="166"/>
      <c r="AD689" s="166"/>
      <c r="AE689" s="87"/>
      <c r="AF689" s="87"/>
      <c r="AG689" s="87"/>
      <c r="AH689" s="87"/>
      <c r="AI689" s="87"/>
      <c r="AJ689" s="87"/>
      <c r="AK689" s="87"/>
      <c r="AL689" s="87"/>
      <c r="AM689" s="87"/>
    </row>
    <row r="690">
      <c r="A690" s="87"/>
      <c r="B690" s="166"/>
      <c r="C690" s="166"/>
      <c r="D690" s="166"/>
      <c r="E690" s="166"/>
      <c r="F690" s="714"/>
      <c r="G690" s="166"/>
      <c r="H690" s="166"/>
      <c r="I690" s="166"/>
      <c r="J690" s="166"/>
      <c r="K690" s="166"/>
      <c r="L690" s="166"/>
      <c r="M690" s="166"/>
      <c r="N690" s="715"/>
      <c r="O690" s="166"/>
      <c r="P690" s="166"/>
      <c r="Q690" s="716"/>
      <c r="R690" s="714"/>
      <c r="S690" s="717"/>
      <c r="T690" s="714"/>
      <c r="U690" s="166"/>
      <c r="V690" s="166"/>
      <c r="W690" s="166"/>
      <c r="X690" s="166"/>
      <c r="Y690" s="718"/>
      <c r="Z690" s="719"/>
      <c r="AA690" s="719"/>
      <c r="AB690" s="166"/>
      <c r="AC690" s="166"/>
      <c r="AD690" s="166"/>
      <c r="AE690" s="87"/>
      <c r="AF690" s="87"/>
      <c r="AG690" s="87"/>
      <c r="AH690" s="87"/>
      <c r="AI690" s="87"/>
      <c r="AJ690" s="87"/>
      <c r="AK690" s="87"/>
      <c r="AL690" s="87"/>
      <c r="AM690" s="87"/>
    </row>
    <row r="691">
      <c r="A691" s="87"/>
      <c r="B691" s="166"/>
      <c r="C691" s="166"/>
      <c r="D691" s="166"/>
      <c r="E691" s="166"/>
      <c r="F691" s="714"/>
      <c r="G691" s="166"/>
      <c r="H691" s="166"/>
      <c r="I691" s="166"/>
      <c r="J691" s="166"/>
      <c r="K691" s="166"/>
      <c r="L691" s="166"/>
      <c r="M691" s="166"/>
      <c r="N691" s="715"/>
      <c r="O691" s="166"/>
      <c r="P691" s="166"/>
      <c r="Q691" s="716"/>
      <c r="R691" s="714"/>
      <c r="S691" s="717"/>
      <c r="T691" s="714"/>
      <c r="U691" s="166"/>
      <c r="V691" s="166"/>
      <c r="W691" s="166"/>
      <c r="X691" s="166"/>
      <c r="Y691" s="718"/>
      <c r="Z691" s="719"/>
      <c r="AA691" s="719"/>
      <c r="AB691" s="166"/>
      <c r="AC691" s="166"/>
      <c r="AD691" s="166"/>
      <c r="AE691" s="87"/>
      <c r="AF691" s="87"/>
      <c r="AG691" s="87"/>
      <c r="AH691" s="87"/>
      <c r="AI691" s="87"/>
      <c r="AJ691" s="87"/>
      <c r="AK691" s="87"/>
      <c r="AL691" s="87"/>
      <c r="AM691" s="87"/>
    </row>
    <row r="692">
      <c r="A692" s="87"/>
      <c r="B692" s="166"/>
      <c r="C692" s="166"/>
      <c r="D692" s="166"/>
      <c r="E692" s="166"/>
      <c r="F692" s="714"/>
      <c r="G692" s="166"/>
      <c r="H692" s="166"/>
      <c r="I692" s="166"/>
      <c r="J692" s="166"/>
      <c r="K692" s="166"/>
      <c r="L692" s="166"/>
      <c r="M692" s="166"/>
      <c r="N692" s="715"/>
      <c r="O692" s="166"/>
      <c r="P692" s="166"/>
      <c r="Q692" s="716"/>
      <c r="R692" s="714"/>
      <c r="S692" s="717"/>
      <c r="T692" s="714"/>
      <c r="U692" s="166"/>
      <c r="V692" s="166"/>
      <c r="W692" s="166"/>
      <c r="X692" s="166"/>
      <c r="Y692" s="718"/>
      <c r="Z692" s="719"/>
      <c r="AA692" s="719"/>
      <c r="AB692" s="166"/>
      <c r="AC692" s="166"/>
      <c r="AD692" s="166"/>
      <c r="AE692" s="87"/>
      <c r="AF692" s="87"/>
      <c r="AG692" s="87"/>
      <c r="AH692" s="87"/>
      <c r="AI692" s="87"/>
      <c r="AJ692" s="87"/>
      <c r="AK692" s="87"/>
      <c r="AL692" s="87"/>
      <c r="AM692" s="87"/>
    </row>
    <row r="693">
      <c r="A693" s="87"/>
      <c r="B693" s="166"/>
      <c r="C693" s="166"/>
      <c r="D693" s="166"/>
      <c r="E693" s="166"/>
      <c r="F693" s="714"/>
      <c r="G693" s="166"/>
      <c r="H693" s="166"/>
      <c r="I693" s="166"/>
      <c r="J693" s="166"/>
      <c r="K693" s="166"/>
      <c r="L693" s="166"/>
      <c r="M693" s="166"/>
      <c r="N693" s="715"/>
      <c r="O693" s="166"/>
      <c r="P693" s="166"/>
      <c r="Q693" s="716"/>
      <c r="R693" s="714"/>
      <c r="S693" s="717"/>
      <c r="T693" s="714"/>
      <c r="U693" s="166"/>
      <c r="V693" s="166"/>
      <c r="W693" s="166"/>
      <c r="X693" s="166"/>
      <c r="Y693" s="718"/>
      <c r="Z693" s="719"/>
      <c r="AA693" s="719"/>
      <c r="AB693" s="166"/>
      <c r="AC693" s="166"/>
      <c r="AD693" s="166"/>
      <c r="AE693" s="87"/>
      <c r="AF693" s="87"/>
      <c r="AG693" s="87"/>
      <c r="AH693" s="87"/>
      <c r="AI693" s="87"/>
      <c r="AJ693" s="87"/>
      <c r="AK693" s="87"/>
      <c r="AL693" s="87"/>
      <c r="AM693" s="87"/>
    </row>
    <row r="694">
      <c r="A694" s="87"/>
      <c r="B694" s="166"/>
      <c r="C694" s="166"/>
      <c r="D694" s="166"/>
      <c r="E694" s="166"/>
      <c r="F694" s="714"/>
      <c r="G694" s="166"/>
      <c r="H694" s="166"/>
      <c r="I694" s="166"/>
      <c r="J694" s="166"/>
      <c r="K694" s="166"/>
      <c r="L694" s="166"/>
      <c r="M694" s="166"/>
      <c r="N694" s="715"/>
      <c r="O694" s="166"/>
      <c r="P694" s="166"/>
      <c r="Q694" s="716"/>
      <c r="R694" s="714"/>
      <c r="S694" s="717"/>
      <c r="T694" s="714"/>
      <c r="U694" s="166"/>
      <c r="V694" s="166"/>
      <c r="W694" s="166"/>
      <c r="X694" s="166"/>
      <c r="Y694" s="718"/>
      <c r="Z694" s="719"/>
      <c r="AA694" s="719"/>
      <c r="AB694" s="166"/>
      <c r="AC694" s="166"/>
      <c r="AD694" s="166"/>
      <c r="AE694" s="87"/>
      <c r="AF694" s="87"/>
      <c r="AG694" s="87"/>
      <c r="AH694" s="87"/>
      <c r="AI694" s="87"/>
      <c r="AJ694" s="87"/>
      <c r="AK694" s="87"/>
      <c r="AL694" s="87"/>
      <c r="AM694" s="87"/>
    </row>
    <row r="695">
      <c r="A695" s="87"/>
      <c r="B695" s="166"/>
      <c r="C695" s="166"/>
      <c r="D695" s="166"/>
      <c r="E695" s="166"/>
      <c r="F695" s="714"/>
      <c r="G695" s="166"/>
      <c r="H695" s="166"/>
      <c r="I695" s="166"/>
      <c r="J695" s="166"/>
      <c r="K695" s="166"/>
      <c r="L695" s="166"/>
      <c r="M695" s="166"/>
      <c r="N695" s="715"/>
      <c r="O695" s="166"/>
      <c r="P695" s="166"/>
      <c r="Q695" s="716"/>
      <c r="R695" s="714"/>
      <c r="S695" s="717"/>
      <c r="T695" s="714"/>
      <c r="U695" s="166"/>
      <c r="V695" s="166"/>
      <c r="W695" s="166"/>
      <c r="X695" s="166"/>
      <c r="Y695" s="718"/>
      <c r="Z695" s="719"/>
      <c r="AA695" s="719"/>
      <c r="AB695" s="166"/>
      <c r="AC695" s="166"/>
      <c r="AD695" s="166"/>
      <c r="AE695" s="87"/>
      <c r="AF695" s="87"/>
      <c r="AG695" s="87"/>
      <c r="AH695" s="87"/>
      <c r="AI695" s="87"/>
      <c r="AJ695" s="87"/>
      <c r="AK695" s="87"/>
      <c r="AL695" s="87"/>
      <c r="AM695" s="87"/>
    </row>
    <row r="696">
      <c r="A696" s="87"/>
      <c r="B696" s="166"/>
      <c r="C696" s="166"/>
      <c r="D696" s="166"/>
      <c r="E696" s="166"/>
      <c r="F696" s="714"/>
      <c r="G696" s="166"/>
      <c r="H696" s="166"/>
      <c r="I696" s="166"/>
      <c r="J696" s="166"/>
      <c r="K696" s="166"/>
      <c r="L696" s="166"/>
      <c r="M696" s="166"/>
      <c r="N696" s="715"/>
      <c r="O696" s="166"/>
      <c r="P696" s="166"/>
      <c r="Q696" s="716"/>
      <c r="R696" s="714"/>
      <c r="S696" s="717"/>
      <c r="T696" s="714"/>
      <c r="U696" s="166"/>
      <c r="V696" s="166"/>
      <c r="W696" s="166"/>
      <c r="X696" s="166"/>
      <c r="Y696" s="718"/>
      <c r="Z696" s="719"/>
      <c r="AA696" s="719"/>
      <c r="AB696" s="166"/>
      <c r="AC696" s="166"/>
      <c r="AD696" s="166"/>
      <c r="AE696" s="87"/>
      <c r="AF696" s="87"/>
      <c r="AG696" s="87"/>
      <c r="AH696" s="87"/>
      <c r="AI696" s="87"/>
      <c r="AJ696" s="87"/>
      <c r="AK696" s="87"/>
      <c r="AL696" s="87"/>
      <c r="AM696" s="87"/>
    </row>
    <row r="697">
      <c r="A697" s="87"/>
      <c r="B697" s="166"/>
      <c r="C697" s="166"/>
      <c r="D697" s="166"/>
      <c r="E697" s="166"/>
      <c r="F697" s="714"/>
      <c r="G697" s="166"/>
      <c r="H697" s="166"/>
      <c r="I697" s="166"/>
      <c r="J697" s="166"/>
      <c r="K697" s="166"/>
      <c r="L697" s="166"/>
      <c r="M697" s="166"/>
      <c r="N697" s="715"/>
      <c r="O697" s="166"/>
      <c r="P697" s="166"/>
      <c r="Q697" s="716"/>
      <c r="R697" s="714"/>
      <c r="S697" s="717"/>
      <c r="T697" s="714"/>
      <c r="U697" s="166"/>
      <c r="V697" s="166"/>
      <c r="W697" s="166"/>
      <c r="X697" s="166"/>
      <c r="Y697" s="718"/>
      <c r="Z697" s="719"/>
      <c r="AA697" s="719"/>
      <c r="AB697" s="166"/>
      <c r="AC697" s="166"/>
      <c r="AD697" s="166"/>
      <c r="AE697" s="87"/>
      <c r="AF697" s="87"/>
      <c r="AG697" s="87"/>
      <c r="AH697" s="87"/>
      <c r="AI697" s="87"/>
      <c r="AJ697" s="87"/>
      <c r="AK697" s="87"/>
      <c r="AL697" s="87"/>
      <c r="AM697" s="87"/>
    </row>
    <row r="698">
      <c r="A698" s="87"/>
      <c r="B698" s="166"/>
      <c r="C698" s="166"/>
      <c r="D698" s="166"/>
      <c r="E698" s="166"/>
      <c r="F698" s="714"/>
      <c r="G698" s="166"/>
      <c r="H698" s="166"/>
      <c r="I698" s="166"/>
      <c r="J698" s="166"/>
      <c r="K698" s="166"/>
      <c r="L698" s="166"/>
      <c r="M698" s="166"/>
      <c r="N698" s="715"/>
      <c r="O698" s="166"/>
      <c r="P698" s="166"/>
      <c r="Q698" s="716"/>
      <c r="R698" s="714"/>
      <c r="S698" s="717"/>
      <c r="T698" s="714"/>
      <c r="U698" s="166"/>
      <c r="V698" s="166"/>
      <c r="W698" s="166"/>
      <c r="X698" s="166"/>
      <c r="Y698" s="718"/>
      <c r="Z698" s="719"/>
      <c r="AA698" s="719"/>
      <c r="AB698" s="166"/>
      <c r="AC698" s="166"/>
      <c r="AD698" s="166"/>
      <c r="AE698" s="87"/>
      <c r="AF698" s="87"/>
      <c r="AG698" s="87"/>
      <c r="AH698" s="87"/>
      <c r="AI698" s="87"/>
      <c r="AJ698" s="87"/>
      <c r="AK698" s="87"/>
      <c r="AL698" s="87"/>
      <c r="AM698" s="87"/>
    </row>
    <row r="699">
      <c r="A699" s="87"/>
      <c r="B699" s="166"/>
      <c r="C699" s="166"/>
      <c r="D699" s="166"/>
      <c r="E699" s="166"/>
      <c r="F699" s="714"/>
      <c r="G699" s="166"/>
      <c r="H699" s="166"/>
      <c r="I699" s="166"/>
      <c r="J699" s="166"/>
      <c r="K699" s="166"/>
      <c r="L699" s="166"/>
      <c r="M699" s="166"/>
      <c r="N699" s="715"/>
      <c r="O699" s="166"/>
      <c r="P699" s="166"/>
      <c r="Q699" s="716"/>
      <c r="R699" s="714"/>
      <c r="S699" s="717"/>
      <c r="T699" s="714"/>
      <c r="U699" s="166"/>
      <c r="V699" s="166"/>
      <c r="W699" s="166"/>
      <c r="X699" s="166"/>
      <c r="Y699" s="718"/>
      <c r="Z699" s="719"/>
      <c r="AA699" s="719"/>
      <c r="AB699" s="166"/>
      <c r="AC699" s="166"/>
      <c r="AD699" s="166"/>
      <c r="AE699" s="87"/>
      <c r="AF699" s="87"/>
      <c r="AG699" s="87"/>
      <c r="AH699" s="87"/>
      <c r="AI699" s="87"/>
      <c r="AJ699" s="87"/>
      <c r="AK699" s="87"/>
      <c r="AL699" s="87"/>
      <c r="AM699" s="87"/>
    </row>
    <row r="700">
      <c r="A700" s="87"/>
      <c r="B700" s="166"/>
      <c r="C700" s="166"/>
      <c r="D700" s="166"/>
      <c r="E700" s="166"/>
      <c r="F700" s="714"/>
      <c r="G700" s="166"/>
      <c r="H700" s="166"/>
      <c r="I700" s="166"/>
      <c r="J700" s="166"/>
      <c r="K700" s="166"/>
      <c r="L700" s="166"/>
      <c r="M700" s="166"/>
      <c r="N700" s="715"/>
      <c r="O700" s="166"/>
      <c r="P700" s="166"/>
      <c r="Q700" s="716"/>
      <c r="R700" s="714"/>
      <c r="S700" s="717"/>
      <c r="T700" s="714"/>
      <c r="U700" s="166"/>
      <c r="V700" s="166"/>
      <c r="W700" s="166"/>
      <c r="X700" s="166"/>
      <c r="Y700" s="718"/>
      <c r="Z700" s="719"/>
      <c r="AA700" s="719"/>
      <c r="AB700" s="166"/>
      <c r="AC700" s="166"/>
      <c r="AD700" s="166"/>
      <c r="AE700" s="87"/>
      <c r="AF700" s="87"/>
      <c r="AG700" s="87"/>
      <c r="AH700" s="87"/>
      <c r="AI700" s="87"/>
      <c r="AJ700" s="87"/>
      <c r="AK700" s="87"/>
      <c r="AL700" s="87"/>
      <c r="AM700" s="87"/>
    </row>
    <row r="701">
      <c r="A701" s="87"/>
      <c r="B701" s="166"/>
      <c r="C701" s="166"/>
      <c r="D701" s="166"/>
      <c r="E701" s="166"/>
      <c r="F701" s="714"/>
      <c r="G701" s="166"/>
      <c r="H701" s="166"/>
      <c r="I701" s="166"/>
      <c r="J701" s="166"/>
      <c r="K701" s="166"/>
      <c r="L701" s="166"/>
      <c r="M701" s="166"/>
      <c r="N701" s="715"/>
      <c r="O701" s="166"/>
      <c r="P701" s="166"/>
      <c r="Q701" s="716"/>
      <c r="R701" s="714"/>
      <c r="S701" s="717"/>
      <c r="T701" s="714"/>
      <c r="U701" s="166"/>
      <c r="V701" s="166"/>
      <c r="W701" s="166"/>
      <c r="X701" s="166"/>
      <c r="Y701" s="718"/>
      <c r="Z701" s="719"/>
      <c r="AA701" s="719"/>
      <c r="AB701" s="166"/>
      <c r="AC701" s="166"/>
      <c r="AD701" s="166"/>
      <c r="AE701" s="87"/>
      <c r="AF701" s="87"/>
      <c r="AG701" s="87"/>
      <c r="AH701" s="87"/>
      <c r="AI701" s="87"/>
      <c r="AJ701" s="87"/>
      <c r="AK701" s="87"/>
      <c r="AL701" s="87"/>
      <c r="AM701" s="87"/>
    </row>
    <row r="702">
      <c r="A702" s="87"/>
      <c r="B702" s="166"/>
      <c r="C702" s="166"/>
      <c r="D702" s="166"/>
      <c r="E702" s="166"/>
      <c r="F702" s="714"/>
      <c r="G702" s="166"/>
      <c r="H702" s="166"/>
      <c r="I702" s="166"/>
      <c r="J702" s="166"/>
      <c r="K702" s="166"/>
      <c r="L702" s="166"/>
      <c r="M702" s="166"/>
      <c r="N702" s="715"/>
      <c r="O702" s="166"/>
      <c r="P702" s="166"/>
      <c r="Q702" s="716"/>
      <c r="R702" s="714"/>
      <c r="S702" s="717"/>
      <c r="T702" s="714"/>
      <c r="U702" s="166"/>
      <c r="V702" s="166"/>
      <c r="W702" s="166"/>
      <c r="X702" s="166"/>
      <c r="Y702" s="718"/>
      <c r="Z702" s="719"/>
      <c r="AA702" s="719"/>
      <c r="AB702" s="166"/>
      <c r="AC702" s="166"/>
      <c r="AD702" s="166"/>
      <c r="AE702" s="87"/>
      <c r="AF702" s="87"/>
      <c r="AG702" s="87"/>
      <c r="AH702" s="87"/>
      <c r="AI702" s="87"/>
      <c r="AJ702" s="87"/>
      <c r="AK702" s="87"/>
      <c r="AL702" s="87"/>
      <c r="AM702" s="87"/>
    </row>
    <row r="703">
      <c r="A703" s="87"/>
      <c r="B703" s="166"/>
      <c r="C703" s="166"/>
      <c r="D703" s="166"/>
      <c r="E703" s="166"/>
      <c r="F703" s="714"/>
      <c r="G703" s="166"/>
      <c r="H703" s="166"/>
      <c r="I703" s="166"/>
      <c r="J703" s="166"/>
      <c r="K703" s="166"/>
      <c r="L703" s="166"/>
      <c r="M703" s="166"/>
      <c r="N703" s="715"/>
      <c r="O703" s="166"/>
      <c r="P703" s="166"/>
      <c r="Q703" s="716"/>
      <c r="R703" s="714"/>
      <c r="S703" s="717"/>
      <c r="T703" s="714"/>
      <c r="U703" s="166"/>
      <c r="V703" s="166"/>
      <c r="W703" s="166"/>
      <c r="X703" s="166"/>
      <c r="Y703" s="718"/>
      <c r="Z703" s="719"/>
      <c r="AA703" s="719"/>
      <c r="AB703" s="166"/>
      <c r="AC703" s="166"/>
      <c r="AD703" s="166"/>
      <c r="AE703" s="87"/>
      <c r="AF703" s="87"/>
      <c r="AG703" s="87"/>
      <c r="AH703" s="87"/>
      <c r="AI703" s="87"/>
      <c r="AJ703" s="87"/>
      <c r="AK703" s="87"/>
      <c r="AL703" s="87"/>
      <c r="AM703" s="87"/>
    </row>
    <row r="704">
      <c r="A704" s="87"/>
      <c r="B704" s="166"/>
      <c r="C704" s="166"/>
      <c r="D704" s="166"/>
      <c r="E704" s="166"/>
      <c r="F704" s="714"/>
      <c r="G704" s="166"/>
      <c r="H704" s="166"/>
      <c r="I704" s="166"/>
      <c r="J704" s="166"/>
      <c r="K704" s="166"/>
      <c r="L704" s="166"/>
      <c r="M704" s="166"/>
      <c r="N704" s="715"/>
      <c r="O704" s="166"/>
      <c r="P704" s="166"/>
      <c r="Q704" s="716"/>
      <c r="R704" s="714"/>
      <c r="S704" s="717"/>
      <c r="T704" s="714"/>
      <c r="U704" s="166"/>
      <c r="V704" s="166"/>
      <c r="W704" s="166"/>
      <c r="X704" s="166"/>
      <c r="Y704" s="718"/>
      <c r="Z704" s="719"/>
      <c r="AA704" s="719"/>
      <c r="AB704" s="166"/>
      <c r="AC704" s="166"/>
      <c r="AD704" s="166"/>
      <c r="AE704" s="87"/>
      <c r="AF704" s="87"/>
      <c r="AG704" s="87"/>
      <c r="AH704" s="87"/>
      <c r="AI704" s="87"/>
      <c r="AJ704" s="87"/>
      <c r="AK704" s="87"/>
      <c r="AL704" s="87"/>
      <c r="AM704" s="87"/>
    </row>
    <row r="705">
      <c r="A705" s="87"/>
      <c r="B705" s="166"/>
      <c r="C705" s="166"/>
      <c r="D705" s="166"/>
      <c r="E705" s="166"/>
      <c r="F705" s="714"/>
      <c r="G705" s="166"/>
      <c r="H705" s="166"/>
      <c r="I705" s="166"/>
      <c r="J705" s="166"/>
      <c r="K705" s="166"/>
      <c r="L705" s="166"/>
      <c r="M705" s="166"/>
      <c r="N705" s="715"/>
      <c r="O705" s="166"/>
      <c r="P705" s="166"/>
      <c r="Q705" s="716"/>
      <c r="R705" s="714"/>
      <c r="S705" s="717"/>
      <c r="T705" s="714"/>
      <c r="U705" s="166"/>
      <c r="V705" s="166"/>
      <c r="W705" s="166"/>
      <c r="X705" s="166"/>
      <c r="Y705" s="718"/>
      <c r="Z705" s="719"/>
      <c r="AA705" s="719"/>
      <c r="AB705" s="166"/>
      <c r="AC705" s="166"/>
      <c r="AD705" s="166"/>
      <c r="AE705" s="87"/>
      <c r="AF705" s="87"/>
      <c r="AG705" s="87"/>
      <c r="AH705" s="87"/>
      <c r="AI705" s="87"/>
      <c r="AJ705" s="87"/>
      <c r="AK705" s="87"/>
      <c r="AL705" s="87"/>
      <c r="AM705" s="87"/>
    </row>
    <row r="706">
      <c r="A706" s="87"/>
      <c r="B706" s="166"/>
      <c r="C706" s="166"/>
      <c r="D706" s="166"/>
      <c r="E706" s="166"/>
      <c r="F706" s="714"/>
      <c r="G706" s="166"/>
      <c r="H706" s="166"/>
      <c r="I706" s="166"/>
      <c r="J706" s="166"/>
      <c r="K706" s="166"/>
      <c r="L706" s="166"/>
      <c r="M706" s="166"/>
      <c r="N706" s="715"/>
      <c r="O706" s="166"/>
      <c r="P706" s="166"/>
      <c r="Q706" s="716"/>
      <c r="R706" s="714"/>
      <c r="S706" s="717"/>
      <c r="T706" s="714"/>
      <c r="U706" s="166"/>
      <c r="V706" s="166"/>
      <c r="W706" s="166"/>
      <c r="X706" s="166"/>
      <c r="Y706" s="718"/>
      <c r="Z706" s="719"/>
      <c r="AA706" s="719"/>
      <c r="AB706" s="166"/>
      <c r="AC706" s="166"/>
      <c r="AD706" s="166"/>
      <c r="AE706" s="87"/>
      <c r="AF706" s="87"/>
      <c r="AG706" s="87"/>
      <c r="AH706" s="87"/>
      <c r="AI706" s="87"/>
      <c r="AJ706" s="87"/>
      <c r="AK706" s="87"/>
      <c r="AL706" s="87"/>
      <c r="AM706" s="87"/>
    </row>
    <row r="707">
      <c r="A707" s="87"/>
      <c r="B707" s="166"/>
      <c r="C707" s="166"/>
      <c r="D707" s="166"/>
      <c r="E707" s="166"/>
      <c r="F707" s="714"/>
      <c r="G707" s="166"/>
      <c r="H707" s="166"/>
      <c r="I707" s="166"/>
      <c r="J707" s="166"/>
      <c r="K707" s="166"/>
      <c r="L707" s="166"/>
      <c r="M707" s="166"/>
      <c r="N707" s="715"/>
      <c r="O707" s="166"/>
      <c r="P707" s="166"/>
      <c r="Q707" s="716"/>
      <c r="R707" s="714"/>
      <c r="S707" s="717"/>
      <c r="T707" s="714"/>
      <c r="U707" s="166"/>
      <c r="V707" s="166"/>
      <c r="W707" s="166"/>
      <c r="X707" s="166"/>
      <c r="Y707" s="718"/>
      <c r="Z707" s="719"/>
      <c r="AA707" s="719"/>
      <c r="AB707" s="166"/>
      <c r="AC707" s="166"/>
      <c r="AD707" s="166"/>
      <c r="AE707" s="87"/>
      <c r="AF707" s="87"/>
      <c r="AG707" s="87"/>
      <c r="AH707" s="87"/>
      <c r="AI707" s="87"/>
      <c r="AJ707" s="87"/>
      <c r="AK707" s="87"/>
      <c r="AL707" s="87"/>
      <c r="AM707" s="87"/>
    </row>
    <row r="708">
      <c r="A708" s="87"/>
      <c r="B708" s="166"/>
      <c r="C708" s="166"/>
      <c r="D708" s="166"/>
      <c r="E708" s="166"/>
      <c r="F708" s="714"/>
      <c r="G708" s="166"/>
      <c r="H708" s="166"/>
      <c r="I708" s="166"/>
      <c r="J708" s="166"/>
      <c r="K708" s="166"/>
      <c r="L708" s="166"/>
      <c r="M708" s="166"/>
      <c r="N708" s="715"/>
      <c r="O708" s="166"/>
      <c r="P708" s="166"/>
      <c r="Q708" s="716"/>
      <c r="R708" s="714"/>
      <c r="S708" s="717"/>
      <c r="T708" s="714"/>
      <c r="U708" s="166"/>
      <c r="V708" s="166"/>
      <c r="W708" s="166"/>
      <c r="X708" s="166"/>
      <c r="Y708" s="718"/>
      <c r="Z708" s="719"/>
      <c r="AA708" s="719"/>
      <c r="AB708" s="166"/>
      <c r="AC708" s="166"/>
      <c r="AD708" s="166"/>
      <c r="AE708" s="87"/>
      <c r="AF708" s="87"/>
      <c r="AG708" s="87"/>
      <c r="AH708" s="87"/>
      <c r="AI708" s="87"/>
      <c r="AJ708" s="87"/>
      <c r="AK708" s="87"/>
      <c r="AL708" s="87"/>
      <c r="AM708" s="87"/>
    </row>
    <row r="709">
      <c r="A709" s="87"/>
      <c r="B709" s="166"/>
      <c r="C709" s="166"/>
      <c r="D709" s="166"/>
      <c r="E709" s="166"/>
      <c r="F709" s="714"/>
      <c r="G709" s="166"/>
      <c r="H709" s="166"/>
      <c r="I709" s="166"/>
      <c r="J709" s="166"/>
      <c r="K709" s="166"/>
      <c r="L709" s="166"/>
      <c r="M709" s="166"/>
      <c r="N709" s="715"/>
      <c r="O709" s="166"/>
      <c r="P709" s="166"/>
      <c r="Q709" s="716"/>
      <c r="R709" s="714"/>
      <c r="S709" s="717"/>
      <c r="T709" s="714"/>
      <c r="U709" s="166"/>
      <c r="V709" s="166"/>
      <c r="W709" s="166"/>
      <c r="X709" s="166"/>
      <c r="Y709" s="718"/>
      <c r="Z709" s="719"/>
      <c r="AA709" s="719"/>
      <c r="AB709" s="166"/>
      <c r="AC709" s="166"/>
      <c r="AD709" s="166"/>
      <c r="AE709" s="87"/>
      <c r="AF709" s="87"/>
      <c r="AG709" s="87"/>
      <c r="AH709" s="87"/>
      <c r="AI709" s="87"/>
      <c r="AJ709" s="87"/>
      <c r="AK709" s="87"/>
      <c r="AL709" s="87"/>
      <c r="AM709" s="87"/>
    </row>
    <row r="710">
      <c r="A710" s="87"/>
      <c r="B710" s="166"/>
      <c r="C710" s="166"/>
      <c r="D710" s="166"/>
      <c r="E710" s="166"/>
      <c r="F710" s="714"/>
      <c r="G710" s="166"/>
      <c r="H710" s="166"/>
      <c r="I710" s="166"/>
      <c r="J710" s="166"/>
      <c r="K710" s="166"/>
      <c r="L710" s="166"/>
      <c r="M710" s="166"/>
      <c r="N710" s="715"/>
      <c r="O710" s="166"/>
      <c r="P710" s="166"/>
      <c r="Q710" s="716"/>
      <c r="R710" s="714"/>
      <c r="S710" s="717"/>
      <c r="T710" s="714"/>
      <c r="U710" s="166"/>
      <c r="V710" s="166"/>
      <c r="W710" s="166"/>
      <c r="X710" s="166"/>
      <c r="Y710" s="718"/>
      <c r="Z710" s="719"/>
      <c r="AA710" s="719"/>
      <c r="AB710" s="166"/>
      <c r="AC710" s="166"/>
      <c r="AD710" s="166"/>
      <c r="AE710" s="87"/>
      <c r="AF710" s="87"/>
      <c r="AG710" s="87"/>
      <c r="AH710" s="87"/>
      <c r="AI710" s="87"/>
      <c r="AJ710" s="87"/>
      <c r="AK710" s="87"/>
      <c r="AL710" s="87"/>
      <c r="AM710" s="87"/>
    </row>
    <row r="711">
      <c r="A711" s="87"/>
      <c r="B711" s="166"/>
      <c r="C711" s="166"/>
      <c r="D711" s="166"/>
      <c r="E711" s="166"/>
      <c r="F711" s="714"/>
      <c r="G711" s="166"/>
      <c r="H711" s="166"/>
      <c r="I711" s="166"/>
      <c r="J711" s="166"/>
      <c r="K711" s="166"/>
      <c r="L711" s="166"/>
      <c r="M711" s="166"/>
      <c r="N711" s="715"/>
      <c r="O711" s="166"/>
      <c r="P711" s="166"/>
      <c r="Q711" s="716"/>
      <c r="R711" s="714"/>
      <c r="S711" s="717"/>
      <c r="T711" s="714"/>
      <c r="U711" s="166"/>
      <c r="V711" s="166"/>
      <c r="W711" s="166"/>
      <c r="X711" s="166"/>
      <c r="Y711" s="718"/>
      <c r="Z711" s="719"/>
      <c r="AA711" s="719"/>
      <c r="AB711" s="166"/>
      <c r="AC711" s="166"/>
      <c r="AD711" s="166"/>
      <c r="AE711" s="87"/>
      <c r="AF711" s="87"/>
      <c r="AG711" s="87"/>
      <c r="AH711" s="87"/>
      <c r="AI711" s="87"/>
      <c r="AJ711" s="87"/>
      <c r="AK711" s="87"/>
      <c r="AL711" s="87"/>
      <c r="AM711" s="87"/>
    </row>
    <row r="712">
      <c r="A712" s="87"/>
      <c r="B712" s="166"/>
      <c r="C712" s="166"/>
      <c r="D712" s="166"/>
      <c r="E712" s="166"/>
      <c r="F712" s="714"/>
      <c r="G712" s="166"/>
      <c r="H712" s="166"/>
      <c r="I712" s="166"/>
      <c r="J712" s="166"/>
      <c r="K712" s="166"/>
      <c r="L712" s="166"/>
      <c r="M712" s="166"/>
      <c r="N712" s="715"/>
      <c r="O712" s="166"/>
      <c r="P712" s="166"/>
      <c r="Q712" s="716"/>
      <c r="R712" s="714"/>
      <c r="S712" s="717"/>
      <c r="T712" s="714"/>
      <c r="U712" s="166"/>
      <c r="V712" s="166"/>
      <c r="W712" s="166"/>
      <c r="X712" s="166"/>
      <c r="Y712" s="718"/>
      <c r="Z712" s="719"/>
      <c r="AA712" s="719"/>
      <c r="AB712" s="166"/>
      <c r="AC712" s="166"/>
      <c r="AD712" s="166"/>
      <c r="AE712" s="87"/>
      <c r="AF712" s="87"/>
      <c r="AG712" s="87"/>
      <c r="AH712" s="87"/>
      <c r="AI712" s="87"/>
      <c r="AJ712" s="87"/>
      <c r="AK712" s="87"/>
      <c r="AL712" s="87"/>
      <c r="AM712" s="87"/>
    </row>
    <row r="713">
      <c r="A713" s="87"/>
      <c r="B713" s="166"/>
      <c r="C713" s="166"/>
      <c r="D713" s="166"/>
      <c r="E713" s="166"/>
      <c r="F713" s="714"/>
      <c r="G713" s="166"/>
      <c r="H713" s="166"/>
      <c r="I713" s="166"/>
      <c r="J713" s="166"/>
      <c r="K713" s="166"/>
      <c r="L713" s="166"/>
      <c r="M713" s="166"/>
      <c r="N713" s="715"/>
      <c r="O713" s="166"/>
      <c r="P713" s="166"/>
      <c r="Q713" s="716"/>
      <c r="R713" s="714"/>
      <c r="S713" s="717"/>
      <c r="T713" s="714"/>
      <c r="U713" s="166"/>
      <c r="V713" s="166"/>
      <c r="W713" s="166"/>
      <c r="X713" s="166"/>
      <c r="Y713" s="718"/>
      <c r="Z713" s="719"/>
      <c r="AA713" s="719"/>
      <c r="AB713" s="166"/>
      <c r="AC713" s="166"/>
      <c r="AD713" s="166"/>
      <c r="AE713" s="87"/>
      <c r="AF713" s="87"/>
      <c r="AG713" s="87"/>
      <c r="AH713" s="87"/>
      <c r="AI713" s="87"/>
      <c r="AJ713" s="87"/>
      <c r="AK713" s="87"/>
      <c r="AL713" s="87"/>
      <c r="AM713" s="87"/>
    </row>
    <row r="714">
      <c r="A714" s="87"/>
      <c r="B714" s="166"/>
      <c r="C714" s="166"/>
      <c r="D714" s="166"/>
      <c r="E714" s="166"/>
      <c r="F714" s="714"/>
      <c r="G714" s="166"/>
      <c r="H714" s="166"/>
      <c r="I714" s="166"/>
      <c r="J714" s="166"/>
      <c r="K714" s="166"/>
      <c r="L714" s="166"/>
      <c r="M714" s="166"/>
      <c r="N714" s="715"/>
      <c r="O714" s="166"/>
      <c r="P714" s="166"/>
      <c r="Q714" s="716"/>
      <c r="R714" s="714"/>
      <c r="S714" s="717"/>
      <c r="T714" s="714"/>
      <c r="U714" s="166"/>
      <c r="V714" s="166"/>
      <c r="W714" s="166"/>
      <c r="X714" s="166"/>
      <c r="Y714" s="718"/>
      <c r="Z714" s="719"/>
      <c r="AA714" s="719"/>
      <c r="AB714" s="166"/>
      <c r="AC714" s="166"/>
      <c r="AD714" s="166"/>
      <c r="AE714" s="87"/>
      <c r="AF714" s="87"/>
      <c r="AG714" s="87"/>
      <c r="AH714" s="87"/>
      <c r="AI714" s="87"/>
      <c r="AJ714" s="87"/>
      <c r="AK714" s="87"/>
      <c r="AL714" s="87"/>
      <c r="AM714" s="87"/>
    </row>
    <row r="715">
      <c r="A715" s="87"/>
      <c r="B715" s="166"/>
      <c r="C715" s="166"/>
      <c r="D715" s="166"/>
      <c r="E715" s="166"/>
      <c r="F715" s="714"/>
      <c r="G715" s="166"/>
      <c r="H715" s="166"/>
      <c r="I715" s="166"/>
      <c r="J715" s="166"/>
      <c r="K715" s="166"/>
      <c r="L715" s="166"/>
      <c r="M715" s="166"/>
      <c r="N715" s="715"/>
      <c r="O715" s="166"/>
      <c r="P715" s="166"/>
      <c r="Q715" s="716"/>
      <c r="R715" s="714"/>
      <c r="S715" s="717"/>
      <c r="T715" s="714"/>
      <c r="U715" s="166"/>
      <c r="V715" s="166"/>
      <c r="W715" s="166"/>
      <c r="X715" s="166"/>
      <c r="Y715" s="718"/>
      <c r="Z715" s="719"/>
      <c r="AA715" s="719"/>
      <c r="AB715" s="166"/>
      <c r="AC715" s="166"/>
      <c r="AD715" s="166"/>
      <c r="AE715" s="87"/>
      <c r="AF715" s="87"/>
      <c r="AG715" s="87"/>
      <c r="AH715" s="87"/>
      <c r="AI715" s="87"/>
      <c r="AJ715" s="87"/>
      <c r="AK715" s="87"/>
      <c r="AL715" s="87"/>
      <c r="AM715" s="87"/>
    </row>
    <row r="716">
      <c r="A716" s="87"/>
      <c r="B716" s="166"/>
      <c r="C716" s="166"/>
      <c r="D716" s="166"/>
      <c r="E716" s="166"/>
      <c r="F716" s="714"/>
      <c r="G716" s="166"/>
      <c r="H716" s="166"/>
      <c r="I716" s="166"/>
      <c r="J716" s="166"/>
      <c r="K716" s="166"/>
      <c r="L716" s="166"/>
      <c r="M716" s="166"/>
      <c r="N716" s="715"/>
      <c r="O716" s="166"/>
      <c r="P716" s="166"/>
      <c r="Q716" s="716"/>
      <c r="R716" s="714"/>
      <c r="S716" s="717"/>
      <c r="T716" s="714"/>
      <c r="U716" s="166"/>
      <c r="V716" s="166"/>
      <c r="W716" s="166"/>
      <c r="X716" s="166"/>
      <c r="Y716" s="718"/>
      <c r="Z716" s="719"/>
      <c r="AA716" s="719"/>
      <c r="AB716" s="166"/>
      <c r="AC716" s="166"/>
      <c r="AD716" s="166"/>
      <c r="AE716" s="87"/>
      <c r="AF716" s="87"/>
      <c r="AG716" s="87"/>
      <c r="AH716" s="87"/>
      <c r="AI716" s="87"/>
      <c r="AJ716" s="87"/>
      <c r="AK716" s="87"/>
      <c r="AL716" s="87"/>
      <c r="AM716" s="87"/>
    </row>
    <row r="717">
      <c r="A717" s="87"/>
      <c r="B717" s="166"/>
      <c r="C717" s="166"/>
      <c r="D717" s="166"/>
      <c r="E717" s="166"/>
      <c r="F717" s="714"/>
      <c r="G717" s="166"/>
      <c r="H717" s="166"/>
      <c r="I717" s="166"/>
      <c r="J717" s="166"/>
      <c r="K717" s="166"/>
      <c r="L717" s="166"/>
      <c r="M717" s="166"/>
      <c r="N717" s="715"/>
      <c r="O717" s="166"/>
      <c r="P717" s="166"/>
      <c r="Q717" s="716"/>
      <c r="R717" s="714"/>
      <c r="S717" s="717"/>
      <c r="T717" s="714"/>
      <c r="U717" s="166"/>
      <c r="V717" s="166"/>
      <c r="W717" s="166"/>
      <c r="X717" s="166"/>
      <c r="Y717" s="718"/>
      <c r="Z717" s="719"/>
      <c r="AA717" s="719"/>
      <c r="AB717" s="166"/>
      <c r="AC717" s="166"/>
      <c r="AD717" s="166"/>
      <c r="AE717" s="87"/>
      <c r="AF717" s="87"/>
      <c r="AG717" s="87"/>
      <c r="AH717" s="87"/>
      <c r="AI717" s="87"/>
      <c r="AJ717" s="87"/>
      <c r="AK717" s="87"/>
      <c r="AL717" s="87"/>
      <c r="AM717" s="87"/>
    </row>
    <row r="718">
      <c r="A718" s="87"/>
      <c r="B718" s="166"/>
      <c r="C718" s="166"/>
      <c r="D718" s="166"/>
      <c r="E718" s="166"/>
      <c r="F718" s="714"/>
      <c r="G718" s="166"/>
      <c r="H718" s="166"/>
      <c r="I718" s="166"/>
      <c r="J718" s="166"/>
      <c r="K718" s="166"/>
      <c r="L718" s="166"/>
      <c r="M718" s="166"/>
      <c r="N718" s="715"/>
      <c r="O718" s="166"/>
      <c r="P718" s="166"/>
      <c r="Q718" s="716"/>
      <c r="R718" s="714"/>
      <c r="S718" s="717"/>
      <c r="T718" s="714"/>
      <c r="U718" s="166"/>
      <c r="V718" s="166"/>
      <c r="W718" s="166"/>
      <c r="X718" s="166"/>
      <c r="Y718" s="718"/>
      <c r="Z718" s="719"/>
      <c r="AA718" s="719"/>
      <c r="AB718" s="166"/>
      <c r="AC718" s="166"/>
      <c r="AD718" s="166"/>
      <c r="AE718" s="87"/>
      <c r="AF718" s="87"/>
      <c r="AG718" s="87"/>
      <c r="AH718" s="87"/>
      <c r="AI718" s="87"/>
      <c r="AJ718" s="87"/>
      <c r="AK718" s="87"/>
      <c r="AL718" s="87"/>
      <c r="AM718" s="87"/>
    </row>
    <row r="719">
      <c r="A719" s="87"/>
      <c r="B719" s="166"/>
      <c r="C719" s="166"/>
      <c r="D719" s="166"/>
      <c r="E719" s="166"/>
      <c r="F719" s="714"/>
      <c r="G719" s="166"/>
      <c r="H719" s="166"/>
      <c r="I719" s="166"/>
      <c r="J719" s="166"/>
      <c r="K719" s="166"/>
      <c r="L719" s="166"/>
      <c r="M719" s="166"/>
      <c r="N719" s="715"/>
      <c r="O719" s="166"/>
      <c r="P719" s="166"/>
      <c r="Q719" s="716"/>
      <c r="R719" s="714"/>
      <c r="S719" s="717"/>
      <c r="T719" s="714"/>
      <c r="U719" s="166"/>
      <c r="V719" s="166"/>
      <c r="W719" s="166"/>
      <c r="X719" s="166"/>
      <c r="Y719" s="718"/>
      <c r="Z719" s="719"/>
      <c r="AA719" s="719"/>
      <c r="AB719" s="166"/>
      <c r="AC719" s="166"/>
      <c r="AD719" s="166"/>
      <c r="AE719" s="87"/>
      <c r="AF719" s="87"/>
      <c r="AG719" s="87"/>
      <c r="AH719" s="87"/>
      <c r="AI719" s="87"/>
      <c r="AJ719" s="87"/>
      <c r="AK719" s="87"/>
      <c r="AL719" s="87"/>
      <c r="AM719" s="87"/>
    </row>
    <row r="720">
      <c r="A720" s="87"/>
      <c r="B720" s="166"/>
      <c r="C720" s="166"/>
      <c r="D720" s="166"/>
      <c r="E720" s="166"/>
      <c r="F720" s="714"/>
      <c r="G720" s="166"/>
      <c r="H720" s="166"/>
      <c r="I720" s="166"/>
      <c r="J720" s="166"/>
      <c r="K720" s="166"/>
      <c r="L720" s="166"/>
      <c r="M720" s="166"/>
      <c r="N720" s="715"/>
      <c r="O720" s="166"/>
      <c r="P720" s="166"/>
      <c r="Q720" s="716"/>
      <c r="R720" s="714"/>
      <c r="S720" s="717"/>
      <c r="T720" s="714"/>
      <c r="U720" s="166"/>
      <c r="V720" s="166"/>
      <c r="W720" s="166"/>
      <c r="X720" s="166"/>
      <c r="Y720" s="718"/>
      <c r="Z720" s="719"/>
      <c r="AA720" s="719"/>
      <c r="AB720" s="166"/>
      <c r="AC720" s="166"/>
      <c r="AD720" s="166"/>
      <c r="AE720" s="87"/>
      <c r="AF720" s="87"/>
      <c r="AG720" s="87"/>
      <c r="AH720" s="87"/>
      <c r="AI720" s="87"/>
      <c r="AJ720" s="87"/>
      <c r="AK720" s="87"/>
      <c r="AL720" s="87"/>
      <c r="AM720" s="87"/>
    </row>
    <row r="721">
      <c r="A721" s="87"/>
      <c r="B721" s="166"/>
      <c r="C721" s="166"/>
      <c r="D721" s="166"/>
      <c r="E721" s="166"/>
      <c r="F721" s="714"/>
      <c r="G721" s="166"/>
      <c r="H721" s="166"/>
      <c r="I721" s="166"/>
      <c r="J721" s="166"/>
      <c r="K721" s="166"/>
      <c r="L721" s="166"/>
      <c r="M721" s="166"/>
      <c r="N721" s="715"/>
      <c r="O721" s="166"/>
      <c r="P721" s="166"/>
      <c r="Q721" s="716"/>
      <c r="R721" s="714"/>
      <c r="S721" s="717"/>
      <c r="T721" s="714"/>
      <c r="U721" s="166"/>
      <c r="V721" s="166"/>
      <c r="W721" s="166"/>
      <c r="X721" s="166"/>
      <c r="Y721" s="718"/>
      <c r="Z721" s="719"/>
      <c r="AA721" s="719"/>
      <c r="AB721" s="166"/>
      <c r="AC721" s="166"/>
      <c r="AD721" s="166"/>
      <c r="AE721" s="87"/>
      <c r="AF721" s="87"/>
      <c r="AG721" s="87"/>
      <c r="AH721" s="87"/>
      <c r="AI721" s="87"/>
      <c r="AJ721" s="87"/>
      <c r="AK721" s="87"/>
      <c r="AL721" s="87"/>
      <c r="AM721" s="87"/>
    </row>
    <row r="722">
      <c r="A722" s="87"/>
      <c r="B722" s="166"/>
      <c r="C722" s="166"/>
      <c r="D722" s="166"/>
      <c r="E722" s="166"/>
      <c r="F722" s="714"/>
      <c r="G722" s="166"/>
      <c r="H722" s="166"/>
      <c r="I722" s="166"/>
      <c r="J722" s="166"/>
      <c r="K722" s="166"/>
      <c r="L722" s="166"/>
      <c r="M722" s="166"/>
      <c r="N722" s="715"/>
      <c r="O722" s="166"/>
      <c r="P722" s="166"/>
      <c r="Q722" s="716"/>
      <c r="R722" s="714"/>
      <c r="S722" s="717"/>
      <c r="T722" s="714"/>
      <c r="U722" s="166"/>
      <c r="V722" s="166"/>
      <c r="W722" s="166"/>
      <c r="X722" s="166"/>
      <c r="Y722" s="718"/>
      <c r="Z722" s="719"/>
      <c r="AA722" s="719"/>
      <c r="AB722" s="166"/>
      <c r="AC722" s="166"/>
      <c r="AD722" s="166"/>
      <c r="AE722" s="87"/>
      <c r="AF722" s="87"/>
      <c r="AG722" s="87"/>
      <c r="AH722" s="87"/>
      <c r="AI722" s="87"/>
      <c r="AJ722" s="87"/>
      <c r="AK722" s="87"/>
      <c r="AL722" s="87"/>
      <c r="AM722" s="87"/>
    </row>
    <row r="723">
      <c r="A723" s="87"/>
      <c r="B723" s="166"/>
      <c r="C723" s="166"/>
      <c r="D723" s="166"/>
      <c r="E723" s="166"/>
      <c r="F723" s="714"/>
      <c r="G723" s="166"/>
      <c r="H723" s="166"/>
      <c r="I723" s="166"/>
      <c r="J723" s="166"/>
      <c r="K723" s="166"/>
      <c r="L723" s="166"/>
      <c r="M723" s="166"/>
      <c r="N723" s="715"/>
      <c r="O723" s="166"/>
      <c r="P723" s="166"/>
      <c r="Q723" s="716"/>
      <c r="R723" s="714"/>
      <c r="S723" s="717"/>
      <c r="T723" s="714"/>
      <c r="U723" s="166"/>
      <c r="V723" s="166"/>
      <c r="W723" s="166"/>
      <c r="X723" s="166"/>
      <c r="Y723" s="718"/>
      <c r="Z723" s="719"/>
      <c r="AA723" s="719"/>
      <c r="AB723" s="166"/>
      <c r="AC723" s="166"/>
      <c r="AD723" s="166"/>
      <c r="AE723" s="87"/>
      <c r="AF723" s="87"/>
      <c r="AG723" s="87"/>
      <c r="AH723" s="87"/>
      <c r="AI723" s="87"/>
      <c r="AJ723" s="87"/>
      <c r="AK723" s="87"/>
      <c r="AL723" s="87"/>
      <c r="AM723" s="87"/>
    </row>
    <row r="724">
      <c r="A724" s="87"/>
      <c r="B724" s="166"/>
      <c r="C724" s="166"/>
      <c r="D724" s="166"/>
      <c r="E724" s="166"/>
      <c r="F724" s="714"/>
      <c r="G724" s="166"/>
      <c r="H724" s="166"/>
      <c r="I724" s="166"/>
      <c r="J724" s="166"/>
      <c r="K724" s="166"/>
      <c r="L724" s="166"/>
      <c r="M724" s="166"/>
      <c r="N724" s="715"/>
      <c r="O724" s="166"/>
      <c r="P724" s="166"/>
      <c r="Q724" s="716"/>
      <c r="R724" s="714"/>
      <c r="S724" s="717"/>
      <c r="T724" s="714"/>
      <c r="U724" s="166"/>
      <c r="V724" s="166"/>
      <c r="W724" s="166"/>
      <c r="X724" s="166"/>
      <c r="Y724" s="718"/>
      <c r="Z724" s="719"/>
      <c r="AA724" s="719"/>
      <c r="AB724" s="166"/>
      <c r="AC724" s="166"/>
      <c r="AD724" s="166"/>
      <c r="AE724" s="87"/>
      <c r="AF724" s="87"/>
      <c r="AG724" s="87"/>
      <c r="AH724" s="87"/>
      <c r="AI724" s="87"/>
      <c r="AJ724" s="87"/>
      <c r="AK724" s="87"/>
      <c r="AL724" s="87"/>
      <c r="AM724" s="87"/>
    </row>
    <row r="725">
      <c r="A725" s="87"/>
      <c r="B725" s="166"/>
      <c r="C725" s="166"/>
      <c r="D725" s="166"/>
      <c r="E725" s="166"/>
      <c r="F725" s="714"/>
      <c r="G725" s="166"/>
      <c r="H725" s="166"/>
      <c r="I725" s="166"/>
      <c r="J725" s="166"/>
      <c r="K725" s="166"/>
      <c r="L725" s="166"/>
      <c r="M725" s="166"/>
      <c r="N725" s="715"/>
      <c r="O725" s="166"/>
      <c r="P725" s="166"/>
      <c r="Q725" s="716"/>
      <c r="R725" s="714"/>
      <c r="S725" s="717"/>
      <c r="T725" s="714"/>
      <c r="U725" s="166"/>
      <c r="V725" s="166"/>
      <c r="W725" s="166"/>
      <c r="X725" s="166"/>
      <c r="Y725" s="718"/>
      <c r="Z725" s="719"/>
      <c r="AA725" s="719"/>
      <c r="AB725" s="166"/>
      <c r="AC725" s="166"/>
      <c r="AD725" s="166"/>
      <c r="AE725" s="87"/>
      <c r="AF725" s="87"/>
      <c r="AG725" s="87"/>
      <c r="AH725" s="87"/>
      <c r="AI725" s="87"/>
      <c r="AJ725" s="87"/>
      <c r="AK725" s="87"/>
      <c r="AL725" s="87"/>
      <c r="AM725" s="87"/>
    </row>
    <row r="726">
      <c r="A726" s="87"/>
      <c r="B726" s="166"/>
      <c r="C726" s="166"/>
      <c r="D726" s="166"/>
      <c r="E726" s="166"/>
      <c r="F726" s="714"/>
      <c r="G726" s="166"/>
      <c r="H726" s="166"/>
      <c r="I726" s="166"/>
      <c r="J726" s="166"/>
      <c r="K726" s="166"/>
      <c r="L726" s="166"/>
      <c r="M726" s="166"/>
      <c r="N726" s="715"/>
      <c r="O726" s="166"/>
      <c r="P726" s="166"/>
      <c r="Q726" s="716"/>
      <c r="R726" s="714"/>
      <c r="S726" s="717"/>
      <c r="T726" s="714"/>
      <c r="U726" s="166"/>
      <c r="V726" s="166"/>
      <c r="W726" s="166"/>
      <c r="X726" s="166"/>
      <c r="Y726" s="718"/>
      <c r="Z726" s="719"/>
      <c r="AA726" s="719"/>
      <c r="AB726" s="166"/>
      <c r="AC726" s="166"/>
      <c r="AD726" s="166"/>
      <c r="AE726" s="87"/>
      <c r="AF726" s="87"/>
      <c r="AG726" s="87"/>
      <c r="AH726" s="87"/>
      <c r="AI726" s="87"/>
      <c r="AJ726" s="87"/>
      <c r="AK726" s="87"/>
      <c r="AL726" s="87"/>
      <c r="AM726" s="87"/>
    </row>
    <row r="727">
      <c r="A727" s="87"/>
      <c r="B727" s="166"/>
      <c r="C727" s="166"/>
      <c r="D727" s="166"/>
      <c r="E727" s="166"/>
      <c r="F727" s="714"/>
      <c r="G727" s="166"/>
      <c r="H727" s="166"/>
      <c r="I727" s="166"/>
      <c r="J727" s="166"/>
      <c r="K727" s="166"/>
      <c r="L727" s="166"/>
      <c r="M727" s="166"/>
      <c r="N727" s="715"/>
      <c r="O727" s="166"/>
      <c r="P727" s="166"/>
      <c r="Q727" s="716"/>
      <c r="R727" s="714"/>
      <c r="S727" s="717"/>
      <c r="T727" s="714"/>
      <c r="U727" s="166"/>
      <c r="V727" s="166"/>
      <c r="W727" s="166"/>
      <c r="X727" s="166"/>
      <c r="Y727" s="718"/>
      <c r="Z727" s="719"/>
      <c r="AA727" s="719"/>
      <c r="AB727" s="166"/>
      <c r="AC727" s="166"/>
      <c r="AD727" s="166"/>
      <c r="AE727" s="87"/>
      <c r="AF727" s="87"/>
      <c r="AG727" s="87"/>
      <c r="AH727" s="87"/>
      <c r="AI727" s="87"/>
      <c r="AJ727" s="87"/>
      <c r="AK727" s="87"/>
      <c r="AL727" s="87"/>
      <c r="AM727" s="87"/>
    </row>
    <row r="728">
      <c r="A728" s="87"/>
      <c r="B728" s="166"/>
      <c r="C728" s="166"/>
      <c r="D728" s="166"/>
      <c r="E728" s="166"/>
      <c r="F728" s="714"/>
      <c r="G728" s="166"/>
      <c r="H728" s="166"/>
      <c r="I728" s="166"/>
      <c r="J728" s="166"/>
      <c r="K728" s="166"/>
      <c r="L728" s="166"/>
      <c r="M728" s="166"/>
      <c r="N728" s="715"/>
      <c r="O728" s="166"/>
      <c r="P728" s="166"/>
      <c r="Q728" s="716"/>
      <c r="R728" s="714"/>
      <c r="S728" s="717"/>
      <c r="T728" s="714"/>
      <c r="U728" s="166"/>
      <c r="V728" s="166"/>
      <c r="W728" s="166"/>
      <c r="X728" s="166"/>
      <c r="Y728" s="718"/>
      <c r="Z728" s="719"/>
      <c r="AA728" s="719"/>
      <c r="AB728" s="166"/>
      <c r="AC728" s="166"/>
      <c r="AD728" s="166"/>
      <c r="AE728" s="87"/>
      <c r="AF728" s="87"/>
      <c r="AG728" s="87"/>
      <c r="AH728" s="87"/>
      <c r="AI728" s="87"/>
      <c r="AJ728" s="87"/>
      <c r="AK728" s="87"/>
      <c r="AL728" s="87"/>
      <c r="AM728" s="87"/>
    </row>
    <row r="729">
      <c r="A729" s="87"/>
      <c r="B729" s="166"/>
      <c r="C729" s="166"/>
      <c r="D729" s="166"/>
      <c r="E729" s="166"/>
      <c r="F729" s="714"/>
      <c r="G729" s="166"/>
      <c r="H729" s="166"/>
      <c r="I729" s="166"/>
      <c r="J729" s="166"/>
      <c r="K729" s="166"/>
      <c r="L729" s="166"/>
      <c r="M729" s="166"/>
      <c r="N729" s="715"/>
      <c r="O729" s="166"/>
      <c r="P729" s="166"/>
      <c r="Q729" s="716"/>
      <c r="R729" s="714"/>
      <c r="S729" s="717"/>
      <c r="T729" s="714"/>
      <c r="U729" s="166"/>
      <c r="V729" s="166"/>
      <c r="W729" s="166"/>
      <c r="X729" s="166"/>
      <c r="Y729" s="718"/>
      <c r="Z729" s="719"/>
      <c r="AA729" s="719"/>
      <c r="AB729" s="166"/>
      <c r="AC729" s="166"/>
      <c r="AD729" s="166"/>
      <c r="AE729" s="87"/>
      <c r="AF729" s="87"/>
      <c r="AG729" s="87"/>
      <c r="AH729" s="87"/>
      <c r="AI729" s="87"/>
      <c r="AJ729" s="87"/>
      <c r="AK729" s="87"/>
      <c r="AL729" s="87"/>
      <c r="AM729" s="87"/>
    </row>
    <row r="730">
      <c r="A730" s="87"/>
      <c r="B730" s="166"/>
      <c r="C730" s="166"/>
      <c r="D730" s="166"/>
      <c r="E730" s="166"/>
      <c r="F730" s="714"/>
      <c r="G730" s="166"/>
      <c r="H730" s="166"/>
      <c r="I730" s="166"/>
      <c r="J730" s="166"/>
      <c r="K730" s="166"/>
      <c r="L730" s="166"/>
      <c r="M730" s="166"/>
      <c r="N730" s="715"/>
      <c r="O730" s="166"/>
      <c r="P730" s="166"/>
      <c r="Q730" s="716"/>
      <c r="R730" s="714"/>
      <c r="S730" s="717"/>
      <c r="T730" s="714"/>
      <c r="U730" s="166"/>
      <c r="V730" s="166"/>
      <c r="W730" s="166"/>
      <c r="X730" s="166"/>
      <c r="Y730" s="718"/>
      <c r="Z730" s="719"/>
      <c r="AA730" s="719"/>
      <c r="AB730" s="166"/>
      <c r="AC730" s="166"/>
      <c r="AD730" s="166"/>
      <c r="AE730" s="87"/>
      <c r="AF730" s="87"/>
      <c r="AG730" s="87"/>
      <c r="AH730" s="87"/>
      <c r="AI730" s="87"/>
      <c r="AJ730" s="87"/>
      <c r="AK730" s="87"/>
      <c r="AL730" s="87"/>
      <c r="AM730" s="87"/>
    </row>
    <row r="731">
      <c r="A731" s="87"/>
      <c r="B731" s="166"/>
      <c r="C731" s="166"/>
      <c r="D731" s="166"/>
      <c r="E731" s="166"/>
      <c r="F731" s="714"/>
      <c r="G731" s="166"/>
      <c r="H731" s="166"/>
      <c r="I731" s="166"/>
      <c r="J731" s="166"/>
      <c r="K731" s="166"/>
      <c r="L731" s="166"/>
      <c r="M731" s="166"/>
      <c r="N731" s="715"/>
      <c r="O731" s="166"/>
      <c r="P731" s="166"/>
      <c r="Q731" s="716"/>
      <c r="R731" s="714"/>
      <c r="S731" s="717"/>
      <c r="T731" s="714"/>
      <c r="U731" s="166"/>
      <c r="V731" s="166"/>
      <c r="W731" s="166"/>
      <c r="X731" s="166"/>
      <c r="Y731" s="718"/>
      <c r="Z731" s="719"/>
      <c r="AA731" s="719"/>
      <c r="AB731" s="166"/>
      <c r="AC731" s="166"/>
      <c r="AD731" s="166"/>
      <c r="AE731" s="87"/>
      <c r="AF731" s="87"/>
      <c r="AG731" s="87"/>
      <c r="AH731" s="87"/>
      <c r="AI731" s="87"/>
      <c r="AJ731" s="87"/>
      <c r="AK731" s="87"/>
      <c r="AL731" s="87"/>
      <c r="AM731" s="87"/>
    </row>
    <row r="732">
      <c r="A732" s="87"/>
      <c r="B732" s="166"/>
      <c r="C732" s="166"/>
      <c r="D732" s="166"/>
      <c r="E732" s="166"/>
      <c r="F732" s="714"/>
      <c r="G732" s="166"/>
      <c r="H732" s="166"/>
      <c r="I732" s="166"/>
      <c r="J732" s="166"/>
      <c r="K732" s="166"/>
      <c r="L732" s="166"/>
      <c r="M732" s="166"/>
      <c r="N732" s="715"/>
      <c r="O732" s="166"/>
      <c r="P732" s="166"/>
      <c r="Q732" s="716"/>
      <c r="R732" s="714"/>
      <c r="S732" s="717"/>
      <c r="T732" s="714"/>
      <c r="U732" s="166"/>
      <c r="V732" s="166"/>
      <c r="W732" s="166"/>
      <c r="X732" s="166"/>
      <c r="Y732" s="718"/>
      <c r="Z732" s="719"/>
      <c r="AA732" s="719"/>
      <c r="AB732" s="166"/>
      <c r="AC732" s="166"/>
      <c r="AD732" s="166"/>
      <c r="AE732" s="87"/>
      <c r="AF732" s="87"/>
      <c r="AG732" s="87"/>
      <c r="AH732" s="87"/>
      <c r="AI732" s="87"/>
      <c r="AJ732" s="87"/>
      <c r="AK732" s="87"/>
      <c r="AL732" s="87"/>
      <c r="AM732" s="87"/>
    </row>
    <row r="733">
      <c r="A733" s="87"/>
      <c r="B733" s="166"/>
      <c r="C733" s="166"/>
      <c r="D733" s="166"/>
      <c r="E733" s="166"/>
      <c r="F733" s="714"/>
      <c r="G733" s="166"/>
      <c r="H733" s="166"/>
      <c r="I733" s="166"/>
      <c r="J733" s="166"/>
      <c r="K733" s="166"/>
      <c r="L733" s="166"/>
      <c r="M733" s="166"/>
      <c r="N733" s="715"/>
      <c r="O733" s="166"/>
      <c r="P733" s="166"/>
      <c r="Q733" s="716"/>
      <c r="R733" s="714"/>
      <c r="S733" s="717"/>
      <c r="T733" s="714"/>
      <c r="U733" s="166"/>
      <c r="V733" s="166"/>
      <c r="W733" s="166"/>
      <c r="X733" s="166"/>
      <c r="Y733" s="718"/>
      <c r="Z733" s="719"/>
      <c r="AA733" s="719"/>
      <c r="AB733" s="166"/>
      <c r="AC733" s="166"/>
      <c r="AD733" s="166"/>
      <c r="AE733" s="87"/>
      <c r="AF733" s="87"/>
      <c r="AG733" s="87"/>
      <c r="AH733" s="87"/>
      <c r="AI733" s="87"/>
      <c r="AJ733" s="87"/>
      <c r="AK733" s="87"/>
      <c r="AL733" s="87"/>
      <c r="AM733" s="87"/>
    </row>
    <row r="734">
      <c r="A734" s="87"/>
      <c r="B734" s="166"/>
      <c r="C734" s="166"/>
      <c r="D734" s="166"/>
      <c r="E734" s="166"/>
      <c r="F734" s="714"/>
      <c r="G734" s="166"/>
      <c r="H734" s="166"/>
      <c r="I734" s="166"/>
      <c r="J734" s="166"/>
      <c r="K734" s="166"/>
      <c r="L734" s="166"/>
      <c r="M734" s="166"/>
      <c r="N734" s="715"/>
      <c r="O734" s="166"/>
      <c r="P734" s="166"/>
      <c r="Q734" s="716"/>
      <c r="R734" s="714"/>
      <c r="S734" s="717"/>
      <c r="T734" s="714"/>
      <c r="U734" s="166"/>
      <c r="V734" s="166"/>
      <c r="W734" s="166"/>
      <c r="X734" s="166"/>
      <c r="Y734" s="718"/>
      <c r="Z734" s="719"/>
      <c r="AA734" s="719"/>
      <c r="AB734" s="166"/>
      <c r="AC734" s="166"/>
      <c r="AD734" s="166"/>
      <c r="AE734" s="87"/>
      <c r="AF734" s="87"/>
      <c r="AG734" s="87"/>
      <c r="AH734" s="87"/>
      <c r="AI734" s="87"/>
      <c r="AJ734" s="87"/>
      <c r="AK734" s="87"/>
      <c r="AL734" s="87"/>
      <c r="AM734" s="87"/>
    </row>
    <row r="735">
      <c r="A735" s="87"/>
      <c r="B735" s="166"/>
      <c r="C735" s="166"/>
      <c r="D735" s="166"/>
      <c r="E735" s="166"/>
      <c r="F735" s="714"/>
      <c r="G735" s="166"/>
      <c r="H735" s="166"/>
      <c r="I735" s="166"/>
      <c r="J735" s="166"/>
      <c r="K735" s="166"/>
      <c r="L735" s="166"/>
      <c r="M735" s="166"/>
      <c r="N735" s="715"/>
      <c r="O735" s="166"/>
      <c r="P735" s="166"/>
      <c r="Q735" s="716"/>
      <c r="R735" s="714"/>
      <c r="S735" s="717"/>
      <c r="T735" s="714"/>
      <c r="U735" s="166"/>
      <c r="V735" s="166"/>
      <c r="W735" s="166"/>
      <c r="X735" s="166"/>
      <c r="Y735" s="718"/>
      <c r="Z735" s="719"/>
      <c r="AA735" s="719"/>
      <c r="AB735" s="166"/>
      <c r="AC735" s="166"/>
      <c r="AD735" s="166"/>
      <c r="AE735" s="87"/>
      <c r="AF735" s="87"/>
      <c r="AG735" s="87"/>
      <c r="AH735" s="87"/>
      <c r="AI735" s="87"/>
      <c r="AJ735" s="87"/>
      <c r="AK735" s="87"/>
      <c r="AL735" s="87"/>
      <c r="AM735" s="87"/>
    </row>
    <row r="736">
      <c r="A736" s="87"/>
      <c r="B736" s="166"/>
      <c r="C736" s="166"/>
      <c r="D736" s="166"/>
      <c r="E736" s="166"/>
      <c r="F736" s="714"/>
      <c r="G736" s="166"/>
      <c r="H736" s="166"/>
      <c r="I736" s="166"/>
      <c r="J736" s="166"/>
      <c r="K736" s="166"/>
      <c r="L736" s="166"/>
      <c r="M736" s="166"/>
      <c r="N736" s="715"/>
      <c r="O736" s="166"/>
      <c r="P736" s="166"/>
      <c r="Q736" s="716"/>
      <c r="R736" s="714"/>
      <c r="S736" s="717"/>
      <c r="T736" s="714"/>
      <c r="U736" s="166"/>
      <c r="V736" s="166"/>
      <c r="W736" s="166"/>
      <c r="X736" s="166"/>
      <c r="Y736" s="718"/>
      <c r="Z736" s="719"/>
      <c r="AA736" s="719"/>
      <c r="AB736" s="166"/>
      <c r="AC736" s="166"/>
      <c r="AD736" s="166"/>
      <c r="AE736" s="87"/>
      <c r="AF736" s="87"/>
      <c r="AG736" s="87"/>
      <c r="AH736" s="87"/>
      <c r="AI736" s="87"/>
      <c r="AJ736" s="87"/>
      <c r="AK736" s="87"/>
      <c r="AL736" s="87"/>
      <c r="AM736" s="87"/>
    </row>
    <row r="737">
      <c r="A737" s="87"/>
      <c r="B737" s="166"/>
      <c r="C737" s="166"/>
      <c r="D737" s="166"/>
      <c r="E737" s="166"/>
      <c r="F737" s="714"/>
      <c r="G737" s="166"/>
      <c r="H737" s="166"/>
      <c r="I737" s="166"/>
      <c r="J737" s="166"/>
      <c r="K737" s="166"/>
      <c r="L737" s="166"/>
      <c r="M737" s="166"/>
      <c r="N737" s="715"/>
      <c r="O737" s="166"/>
      <c r="P737" s="166"/>
      <c r="Q737" s="716"/>
      <c r="R737" s="714"/>
      <c r="S737" s="717"/>
      <c r="T737" s="714"/>
      <c r="U737" s="166"/>
      <c r="V737" s="166"/>
      <c r="W737" s="166"/>
      <c r="X737" s="166"/>
      <c r="Y737" s="718"/>
      <c r="Z737" s="719"/>
      <c r="AA737" s="719"/>
      <c r="AB737" s="166"/>
      <c r="AC737" s="166"/>
      <c r="AD737" s="166"/>
      <c r="AE737" s="87"/>
      <c r="AF737" s="87"/>
      <c r="AG737" s="87"/>
      <c r="AH737" s="87"/>
      <c r="AI737" s="87"/>
      <c r="AJ737" s="87"/>
      <c r="AK737" s="87"/>
      <c r="AL737" s="87"/>
      <c r="AM737" s="87"/>
    </row>
    <row r="738">
      <c r="A738" s="87"/>
      <c r="B738" s="166"/>
      <c r="C738" s="166"/>
      <c r="D738" s="166"/>
      <c r="E738" s="166"/>
      <c r="F738" s="714"/>
      <c r="G738" s="166"/>
      <c r="H738" s="166"/>
      <c r="I738" s="166"/>
      <c r="J738" s="166"/>
      <c r="K738" s="166"/>
      <c r="L738" s="166"/>
      <c r="M738" s="166"/>
      <c r="N738" s="715"/>
      <c r="O738" s="166"/>
      <c r="P738" s="166"/>
      <c r="Q738" s="716"/>
      <c r="R738" s="714"/>
      <c r="S738" s="717"/>
      <c r="T738" s="714"/>
      <c r="U738" s="166"/>
      <c r="V738" s="166"/>
      <c r="W738" s="166"/>
      <c r="X738" s="166"/>
      <c r="Y738" s="718"/>
      <c r="Z738" s="719"/>
      <c r="AA738" s="719"/>
      <c r="AB738" s="166"/>
      <c r="AC738" s="166"/>
      <c r="AD738" s="166"/>
      <c r="AE738" s="87"/>
      <c r="AF738" s="87"/>
      <c r="AG738" s="87"/>
      <c r="AH738" s="87"/>
      <c r="AI738" s="87"/>
      <c r="AJ738" s="87"/>
      <c r="AK738" s="87"/>
      <c r="AL738" s="87"/>
      <c r="AM738" s="87"/>
    </row>
    <row r="739">
      <c r="A739" s="87"/>
      <c r="B739" s="166"/>
      <c r="C739" s="166"/>
      <c r="D739" s="166"/>
      <c r="E739" s="166"/>
      <c r="F739" s="714"/>
      <c r="G739" s="166"/>
      <c r="H739" s="166"/>
      <c r="I739" s="166"/>
      <c r="J739" s="166"/>
      <c r="K739" s="166"/>
      <c r="L739" s="166"/>
      <c r="M739" s="166"/>
      <c r="N739" s="715"/>
      <c r="O739" s="166"/>
      <c r="P739" s="166"/>
      <c r="Q739" s="716"/>
      <c r="R739" s="714"/>
      <c r="S739" s="717"/>
      <c r="T739" s="714"/>
      <c r="U739" s="166"/>
      <c r="V739" s="166"/>
      <c r="W739" s="166"/>
      <c r="X739" s="166"/>
      <c r="Y739" s="718"/>
      <c r="Z739" s="719"/>
      <c r="AA739" s="719"/>
      <c r="AB739" s="166"/>
      <c r="AC739" s="166"/>
      <c r="AD739" s="166"/>
      <c r="AE739" s="87"/>
      <c r="AF739" s="87"/>
      <c r="AG739" s="87"/>
      <c r="AH739" s="87"/>
      <c r="AI739" s="87"/>
      <c r="AJ739" s="87"/>
      <c r="AK739" s="87"/>
      <c r="AL739" s="87"/>
      <c r="AM739" s="87"/>
    </row>
    <row r="740">
      <c r="A740" s="87"/>
      <c r="B740" s="166"/>
      <c r="C740" s="166"/>
      <c r="D740" s="166"/>
      <c r="E740" s="166"/>
      <c r="F740" s="714"/>
      <c r="G740" s="166"/>
      <c r="H740" s="166"/>
      <c r="I740" s="166"/>
      <c r="J740" s="166"/>
      <c r="K740" s="166"/>
      <c r="L740" s="166"/>
      <c r="M740" s="166"/>
      <c r="N740" s="715"/>
      <c r="O740" s="166"/>
      <c r="P740" s="166"/>
      <c r="Q740" s="716"/>
      <c r="R740" s="714"/>
      <c r="S740" s="717"/>
      <c r="T740" s="714"/>
      <c r="U740" s="166"/>
      <c r="V740" s="166"/>
      <c r="W740" s="166"/>
      <c r="X740" s="166"/>
      <c r="Y740" s="718"/>
      <c r="Z740" s="719"/>
      <c r="AA740" s="719"/>
      <c r="AB740" s="166"/>
      <c r="AC740" s="166"/>
      <c r="AD740" s="166"/>
      <c r="AE740" s="87"/>
      <c r="AF740" s="87"/>
      <c r="AG740" s="87"/>
      <c r="AH740" s="87"/>
      <c r="AI740" s="87"/>
      <c r="AJ740" s="87"/>
      <c r="AK740" s="87"/>
      <c r="AL740" s="87"/>
      <c r="AM740" s="87"/>
    </row>
    <row r="741">
      <c r="A741" s="87"/>
      <c r="B741" s="166"/>
      <c r="C741" s="166"/>
      <c r="D741" s="166"/>
      <c r="E741" s="166"/>
      <c r="F741" s="714"/>
      <c r="G741" s="166"/>
      <c r="H741" s="166"/>
      <c r="I741" s="166"/>
      <c r="J741" s="166"/>
      <c r="K741" s="166"/>
      <c r="L741" s="166"/>
      <c r="M741" s="166"/>
      <c r="N741" s="715"/>
      <c r="O741" s="166"/>
      <c r="P741" s="166"/>
      <c r="Q741" s="716"/>
      <c r="R741" s="714"/>
      <c r="S741" s="717"/>
      <c r="T741" s="714"/>
      <c r="U741" s="166"/>
      <c r="V741" s="166"/>
      <c r="W741" s="166"/>
      <c r="X741" s="166"/>
      <c r="Y741" s="718"/>
      <c r="Z741" s="719"/>
      <c r="AA741" s="719"/>
      <c r="AB741" s="166"/>
      <c r="AC741" s="166"/>
      <c r="AD741" s="166"/>
      <c r="AE741" s="87"/>
      <c r="AF741" s="87"/>
      <c r="AG741" s="87"/>
      <c r="AH741" s="87"/>
      <c r="AI741" s="87"/>
      <c r="AJ741" s="87"/>
      <c r="AK741" s="87"/>
      <c r="AL741" s="87"/>
      <c r="AM741" s="87"/>
    </row>
    <row r="742">
      <c r="A742" s="87"/>
      <c r="B742" s="166"/>
      <c r="C742" s="166"/>
      <c r="D742" s="166"/>
      <c r="E742" s="166"/>
      <c r="F742" s="714"/>
      <c r="G742" s="166"/>
      <c r="H742" s="166"/>
      <c r="I742" s="166"/>
      <c r="J742" s="166"/>
      <c r="K742" s="166"/>
      <c r="L742" s="166"/>
      <c r="M742" s="166"/>
      <c r="N742" s="715"/>
      <c r="O742" s="166"/>
      <c r="P742" s="166"/>
      <c r="Q742" s="716"/>
      <c r="R742" s="714"/>
      <c r="S742" s="717"/>
      <c r="T742" s="714"/>
      <c r="U742" s="166"/>
      <c r="V742" s="166"/>
      <c r="W742" s="166"/>
      <c r="X742" s="166"/>
      <c r="Y742" s="718"/>
      <c r="Z742" s="719"/>
      <c r="AA742" s="719"/>
      <c r="AB742" s="166"/>
      <c r="AC742" s="166"/>
      <c r="AD742" s="166"/>
      <c r="AE742" s="87"/>
      <c r="AF742" s="87"/>
      <c r="AG742" s="87"/>
      <c r="AH742" s="87"/>
      <c r="AI742" s="87"/>
      <c r="AJ742" s="87"/>
      <c r="AK742" s="87"/>
      <c r="AL742" s="87"/>
      <c r="AM742" s="87"/>
    </row>
    <row r="743">
      <c r="A743" s="87"/>
      <c r="B743" s="166"/>
      <c r="C743" s="166"/>
      <c r="D743" s="166"/>
      <c r="E743" s="166"/>
      <c r="F743" s="714"/>
      <c r="G743" s="166"/>
      <c r="H743" s="166"/>
      <c r="I743" s="166"/>
      <c r="J743" s="166"/>
      <c r="K743" s="166"/>
      <c r="L743" s="166"/>
      <c r="M743" s="166"/>
      <c r="N743" s="715"/>
      <c r="O743" s="166"/>
      <c r="P743" s="166"/>
      <c r="Q743" s="716"/>
      <c r="R743" s="714"/>
      <c r="S743" s="717"/>
      <c r="T743" s="714"/>
      <c r="U743" s="166"/>
      <c r="V743" s="166"/>
      <c r="W743" s="166"/>
      <c r="X743" s="166"/>
      <c r="Y743" s="718"/>
      <c r="Z743" s="719"/>
      <c r="AA743" s="719"/>
      <c r="AB743" s="166"/>
      <c r="AC743" s="166"/>
      <c r="AD743" s="166"/>
      <c r="AE743" s="87"/>
      <c r="AF743" s="87"/>
      <c r="AG743" s="87"/>
      <c r="AH743" s="87"/>
      <c r="AI743" s="87"/>
      <c r="AJ743" s="87"/>
      <c r="AK743" s="87"/>
      <c r="AL743" s="87"/>
      <c r="AM743" s="87"/>
    </row>
    <row r="744">
      <c r="A744" s="87"/>
      <c r="B744" s="166"/>
      <c r="C744" s="166"/>
      <c r="D744" s="166"/>
      <c r="E744" s="166"/>
      <c r="F744" s="714"/>
      <c r="G744" s="166"/>
      <c r="H744" s="166"/>
      <c r="I744" s="166"/>
      <c r="J744" s="166"/>
      <c r="K744" s="166"/>
      <c r="L744" s="166"/>
      <c r="M744" s="166"/>
      <c r="N744" s="715"/>
      <c r="O744" s="166"/>
      <c r="P744" s="166"/>
      <c r="Q744" s="716"/>
      <c r="R744" s="714"/>
      <c r="S744" s="717"/>
      <c r="T744" s="714"/>
      <c r="U744" s="166"/>
      <c r="V744" s="166"/>
      <c r="W744" s="166"/>
      <c r="X744" s="166"/>
      <c r="Y744" s="718"/>
      <c r="Z744" s="719"/>
      <c r="AA744" s="719"/>
      <c r="AB744" s="166"/>
      <c r="AC744" s="166"/>
      <c r="AD744" s="166"/>
      <c r="AE744" s="87"/>
      <c r="AF744" s="87"/>
      <c r="AG744" s="87"/>
      <c r="AH744" s="87"/>
      <c r="AI744" s="87"/>
      <c r="AJ744" s="87"/>
      <c r="AK744" s="87"/>
      <c r="AL744" s="87"/>
      <c r="AM744" s="87"/>
    </row>
    <row r="745">
      <c r="A745" s="87"/>
      <c r="B745" s="166"/>
      <c r="C745" s="166"/>
      <c r="D745" s="166"/>
      <c r="E745" s="166"/>
      <c r="F745" s="714"/>
      <c r="G745" s="166"/>
      <c r="H745" s="166"/>
      <c r="I745" s="166"/>
      <c r="J745" s="166"/>
      <c r="K745" s="166"/>
      <c r="L745" s="166"/>
      <c r="M745" s="166"/>
      <c r="N745" s="715"/>
      <c r="O745" s="166"/>
      <c r="P745" s="166"/>
      <c r="Q745" s="716"/>
      <c r="R745" s="714"/>
      <c r="S745" s="717"/>
      <c r="T745" s="714"/>
      <c r="U745" s="166"/>
      <c r="V745" s="166"/>
      <c r="W745" s="166"/>
      <c r="X745" s="166"/>
      <c r="Y745" s="718"/>
      <c r="Z745" s="719"/>
      <c r="AA745" s="719"/>
      <c r="AB745" s="166"/>
      <c r="AC745" s="166"/>
      <c r="AD745" s="166"/>
      <c r="AE745" s="87"/>
      <c r="AF745" s="87"/>
      <c r="AG745" s="87"/>
      <c r="AH745" s="87"/>
      <c r="AI745" s="87"/>
      <c r="AJ745" s="87"/>
      <c r="AK745" s="87"/>
      <c r="AL745" s="87"/>
      <c r="AM745" s="87"/>
    </row>
    <row r="746">
      <c r="A746" s="87"/>
      <c r="B746" s="166"/>
      <c r="C746" s="166"/>
      <c r="D746" s="166"/>
      <c r="E746" s="166"/>
      <c r="F746" s="714"/>
      <c r="G746" s="166"/>
      <c r="H746" s="166"/>
      <c r="I746" s="166"/>
      <c r="J746" s="166"/>
      <c r="K746" s="166"/>
      <c r="L746" s="166"/>
      <c r="M746" s="166"/>
      <c r="N746" s="715"/>
      <c r="O746" s="166"/>
      <c r="P746" s="166"/>
      <c r="Q746" s="716"/>
      <c r="R746" s="714"/>
      <c r="S746" s="717"/>
      <c r="T746" s="714"/>
      <c r="U746" s="166"/>
      <c r="V746" s="166"/>
      <c r="W746" s="166"/>
      <c r="X746" s="166"/>
      <c r="Y746" s="718"/>
      <c r="Z746" s="719"/>
      <c r="AA746" s="719"/>
      <c r="AB746" s="166"/>
      <c r="AC746" s="166"/>
      <c r="AD746" s="166"/>
      <c r="AE746" s="87"/>
      <c r="AF746" s="87"/>
      <c r="AG746" s="87"/>
      <c r="AH746" s="87"/>
      <c r="AI746" s="87"/>
      <c r="AJ746" s="87"/>
      <c r="AK746" s="87"/>
      <c r="AL746" s="87"/>
      <c r="AM746" s="87"/>
    </row>
    <row r="747">
      <c r="A747" s="87"/>
      <c r="B747" s="166"/>
      <c r="C747" s="166"/>
      <c r="D747" s="166"/>
      <c r="E747" s="166"/>
      <c r="F747" s="714"/>
      <c r="G747" s="166"/>
      <c r="H747" s="166"/>
      <c r="I747" s="166"/>
      <c r="J747" s="166"/>
      <c r="K747" s="166"/>
      <c r="L747" s="166"/>
      <c r="M747" s="166"/>
      <c r="N747" s="715"/>
      <c r="O747" s="166"/>
      <c r="P747" s="166"/>
      <c r="Q747" s="716"/>
      <c r="R747" s="714"/>
      <c r="S747" s="717"/>
      <c r="T747" s="714"/>
      <c r="U747" s="166"/>
      <c r="V747" s="166"/>
      <c r="W747" s="166"/>
      <c r="X747" s="166"/>
      <c r="Y747" s="718"/>
      <c r="Z747" s="719"/>
      <c r="AA747" s="719"/>
      <c r="AB747" s="166"/>
      <c r="AC747" s="166"/>
      <c r="AD747" s="166"/>
      <c r="AE747" s="87"/>
      <c r="AF747" s="87"/>
      <c r="AG747" s="87"/>
      <c r="AH747" s="87"/>
      <c r="AI747" s="87"/>
      <c r="AJ747" s="87"/>
      <c r="AK747" s="87"/>
      <c r="AL747" s="87"/>
      <c r="AM747" s="87"/>
    </row>
    <row r="748">
      <c r="A748" s="87"/>
      <c r="B748" s="166"/>
      <c r="C748" s="166"/>
      <c r="D748" s="166"/>
      <c r="E748" s="166"/>
      <c r="F748" s="714"/>
      <c r="G748" s="166"/>
      <c r="H748" s="166"/>
      <c r="I748" s="166"/>
      <c r="J748" s="166"/>
      <c r="K748" s="166"/>
      <c r="L748" s="166"/>
      <c r="M748" s="166"/>
      <c r="N748" s="715"/>
      <c r="O748" s="166"/>
      <c r="P748" s="166"/>
      <c r="Q748" s="716"/>
      <c r="R748" s="714"/>
      <c r="S748" s="717"/>
      <c r="T748" s="714"/>
      <c r="U748" s="166"/>
      <c r="V748" s="166"/>
      <c r="W748" s="166"/>
      <c r="X748" s="166"/>
      <c r="Y748" s="718"/>
      <c r="Z748" s="719"/>
      <c r="AA748" s="719"/>
      <c r="AB748" s="166"/>
      <c r="AC748" s="166"/>
      <c r="AD748" s="166"/>
      <c r="AE748" s="87"/>
      <c r="AF748" s="87"/>
      <c r="AG748" s="87"/>
      <c r="AH748" s="87"/>
      <c r="AI748" s="87"/>
      <c r="AJ748" s="87"/>
      <c r="AK748" s="87"/>
      <c r="AL748" s="87"/>
      <c r="AM748" s="87"/>
    </row>
    <row r="749">
      <c r="A749" s="87"/>
      <c r="B749" s="166"/>
      <c r="C749" s="166"/>
      <c r="D749" s="166"/>
      <c r="E749" s="166"/>
      <c r="F749" s="714"/>
      <c r="G749" s="166"/>
      <c r="H749" s="166"/>
      <c r="I749" s="166"/>
      <c r="J749" s="166"/>
      <c r="K749" s="166"/>
      <c r="L749" s="166"/>
      <c r="M749" s="166"/>
      <c r="N749" s="715"/>
      <c r="O749" s="166"/>
      <c r="P749" s="166"/>
      <c r="Q749" s="716"/>
      <c r="R749" s="714"/>
      <c r="S749" s="717"/>
      <c r="T749" s="714"/>
      <c r="U749" s="166"/>
      <c r="V749" s="166"/>
      <c r="W749" s="166"/>
      <c r="X749" s="166"/>
      <c r="Y749" s="718"/>
      <c r="Z749" s="719"/>
      <c r="AA749" s="719"/>
      <c r="AB749" s="166"/>
      <c r="AC749" s="166"/>
      <c r="AD749" s="166"/>
      <c r="AE749" s="87"/>
      <c r="AF749" s="87"/>
      <c r="AG749" s="87"/>
      <c r="AH749" s="87"/>
      <c r="AI749" s="87"/>
      <c r="AJ749" s="87"/>
      <c r="AK749" s="87"/>
      <c r="AL749" s="87"/>
      <c r="AM749" s="87"/>
    </row>
    <row r="750">
      <c r="A750" s="87"/>
      <c r="B750" s="166"/>
      <c r="C750" s="166"/>
      <c r="D750" s="166"/>
      <c r="E750" s="166"/>
      <c r="F750" s="714"/>
      <c r="G750" s="166"/>
      <c r="H750" s="166"/>
      <c r="I750" s="166"/>
      <c r="J750" s="166"/>
      <c r="K750" s="166"/>
      <c r="L750" s="166"/>
      <c r="M750" s="166"/>
      <c r="N750" s="715"/>
      <c r="O750" s="166"/>
      <c r="P750" s="166"/>
      <c r="Q750" s="716"/>
      <c r="R750" s="714"/>
      <c r="S750" s="717"/>
      <c r="T750" s="714"/>
      <c r="U750" s="166"/>
      <c r="V750" s="166"/>
      <c r="W750" s="166"/>
      <c r="X750" s="166"/>
      <c r="Y750" s="718"/>
      <c r="Z750" s="719"/>
      <c r="AA750" s="719"/>
      <c r="AB750" s="166"/>
      <c r="AC750" s="166"/>
      <c r="AD750" s="166"/>
      <c r="AE750" s="87"/>
      <c r="AF750" s="87"/>
      <c r="AG750" s="87"/>
      <c r="AH750" s="87"/>
      <c r="AI750" s="87"/>
      <c r="AJ750" s="87"/>
      <c r="AK750" s="87"/>
      <c r="AL750" s="87"/>
      <c r="AM750" s="87"/>
    </row>
    <row r="751">
      <c r="A751" s="87"/>
      <c r="B751" s="166"/>
      <c r="C751" s="166"/>
      <c r="D751" s="166"/>
      <c r="E751" s="166"/>
      <c r="F751" s="714"/>
      <c r="G751" s="166"/>
      <c r="H751" s="166"/>
      <c r="I751" s="166"/>
      <c r="J751" s="166"/>
      <c r="K751" s="166"/>
      <c r="L751" s="166"/>
      <c r="M751" s="166"/>
      <c r="N751" s="715"/>
      <c r="O751" s="166"/>
      <c r="P751" s="166"/>
      <c r="Q751" s="716"/>
      <c r="R751" s="714"/>
      <c r="S751" s="717"/>
      <c r="T751" s="714"/>
      <c r="U751" s="166"/>
      <c r="V751" s="166"/>
      <c r="W751" s="166"/>
      <c r="X751" s="166"/>
      <c r="Y751" s="718"/>
      <c r="Z751" s="719"/>
      <c r="AA751" s="719"/>
      <c r="AB751" s="166"/>
      <c r="AC751" s="166"/>
      <c r="AD751" s="166"/>
      <c r="AE751" s="87"/>
      <c r="AF751" s="87"/>
      <c r="AG751" s="87"/>
      <c r="AH751" s="87"/>
      <c r="AI751" s="87"/>
      <c r="AJ751" s="87"/>
      <c r="AK751" s="87"/>
      <c r="AL751" s="87"/>
      <c r="AM751" s="87"/>
    </row>
    <row r="752">
      <c r="A752" s="87"/>
      <c r="B752" s="166"/>
      <c r="C752" s="166"/>
      <c r="D752" s="166"/>
      <c r="E752" s="166"/>
      <c r="F752" s="714"/>
      <c r="G752" s="166"/>
      <c r="H752" s="166"/>
      <c r="I752" s="166"/>
      <c r="J752" s="166"/>
      <c r="K752" s="166"/>
      <c r="L752" s="166"/>
      <c r="M752" s="166"/>
      <c r="N752" s="715"/>
      <c r="O752" s="166"/>
      <c r="P752" s="166"/>
      <c r="Q752" s="716"/>
      <c r="R752" s="714"/>
      <c r="S752" s="717"/>
      <c r="T752" s="714"/>
      <c r="U752" s="166"/>
      <c r="V752" s="166"/>
      <c r="W752" s="166"/>
      <c r="X752" s="166"/>
      <c r="Y752" s="718"/>
      <c r="Z752" s="719"/>
      <c r="AA752" s="719"/>
      <c r="AB752" s="166"/>
      <c r="AC752" s="166"/>
      <c r="AD752" s="166"/>
      <c r="AE752" s="87"/>
      <c r="AF752" s="87"/>
      <c r="AG752" s="87"/>
      <c r="AH752" s="87"/>
      <c r="AI752" s="87"/>
      <c r="AJ752" s="87"/>
      <c r="AK752" s="87"/>
      <c r="AL752" s="87"/>
      <c r="AM752" s="87"/>
    </row>
    <row r="753">
      <c r="A753" s="87"/>
      <c r="B753" s="166"/>
      <c r="C753" s="166"/>
      <c r="D753" s="166"/>
      <c r="E753" s="166"/>
      <c r="F753" s="714"/>
      <c r="G753" s="166"/>
      <c r="H753" s="166"/>
      <c r="I753" s="166"/>
      <c r="J753" s="166"/>
      <c r="K753" s="166"/>
      <c r="L753" s="166"/>
      <c r="M753" s="166"/>
      <c r="N753" s="715"/>
      <c r="O753" s="166"/>
      <c r="P753" s="166"/>
      <c r="Q753" s="716"/>
      <c r="R753" s="714"/>
      <c r="S753" s="717"/>
      <c r="T753" s="714"/>
      <c r="U753" s="166"/>
      <c r="V753" s="166"/>
      <c r="W753" s="166"/>
      <c r="X753" s="166"/>
      <c r="Y753" s="718"/>
      <c r="Z753" s="719"/>
      <c r="AA753" s="719"/>
      <c r="AB753" s="166"/>
      <c r="AC753" s="166"/>
      <c r="AD753" s="166"/>
      <c r="AE753" s="87"/>
      <c r="AF753" s="87"/>
      <c r="AG753" s="87"/>
      <c r="AH753" s="87"/>
      <c r="AI753" s="87"/>
      <c r="AJ753" s="87"/>
      <c r="AK753" s="87"/>
      <c r="AL753" s="87"/>
      <c r="AM753" s="87"/>
    </row>
    <row r="754">
      <c r="A754" s="87"/>
      <c r="B754" s="166"/>
      <c r="C754" s="166"/>
      <c r="D754" s="166"/>
      <c r="E754" s="166"/>
      <c r="F754" s="714"/>
      <c r="G754" s="166"/>
      <c r="H754" s="166"/>
      <c r="I754" s="166"/>
      <c r="J754" s="166"/>
      <c r="K754" s="166"/>
      <c r="L754" s="166"/>
      <c r="M754" s="166"/>
      <c r="N754" s="715"/>
      <c r="O754" s="166"/>
      <c r="P754" s="166"/>
      <c r="Q754" s="716"/>
      <c r="R754" s="714"/>
      <c r="S754" s="717"/>
      <c r="T754" s="714"/>
      <c r="U754" s="166"/>
      <c r="V754" s="166"/>
      <c r="W754" s="166"/>
      <c r="X754" s="166"/>
      <c r="Y754" s="718"/>
      <c r="Z754" s="719"/>
      <c r="AA754" s="719"/>
      <c r="AB754" s="166"/>
      <c r="AC754" s="166"/>
      <c r="AD754" s="166"/>
      <c r="AE754" s="87"/>
      <c r="AF754" s="87"/>
      <c r="AG754" s="87"/>
      <c r="AH754" s="87"/>
      <c r="AI754" s="87"/>
      <c r="AJ754" s="87"/>
      <c r="AK754" s="87"/>
      <c r="AL754" s="87"/>
      <c r="AM754" s="87"/>
    </row>
    <row r="755">
      <c r="A755" s="87"/>
      <c r="B755" s="166"/>
      <c r="C755" s="166"/>
      <c r="D755" s="166"/>
      <c r="E755" s="166"/>
      <c r="F755" s="714"/>
      <c r="G755" s="166"/>
      <c r="H755" s="166"/>
      <c r="I755" s="166"/>
      <c r="J755" s="166"/>
      <c r="K755" s="166"/>
      <c r="L755" s="166"/>
      <c r="M755" s="166"/>
      <c r="N755" s="715"/>
      <c r="O755" s="166"/>
      <c r="P755" s="166"/>
      <c r="Q755" s="716"/>
      <c r="R755" s="714"/>
      <c r="S755" s="717"/>
      <c r="T755" s="714"/>
      <c r="U755" s="166"/>
      <c r="V755" s="166"/>
      <c r="W755" s="166"/>
      <c r="X755" s="166"/>
      <c r="Y755" s="718"/>
      <c r="Z755" s="719"/>
      <c r="AA755" s="719"/>
      <c r="AB755" s="166"/>
      <c r="AC755" s="166"/>
      <c r="AD755" s="166"/>
      <c r="AE755" s="87"/>
      <c r="AF755" s="87"/>
      <c r="AG755" s="87"/>
      <c r="AH755" s="87"/>
      <c r="AI755" s="87"/>
      <c r="AJ755" s="87"/>
      <c r="AK755" s="87"/>
      <c r="AL755" s="87"/>
      <c r="AM755" s="87"/>
    </row>
    <row r="756">
      <c r="A756" s="87"/>
      <c r="B756" s="166"/>
      <c r="C756" s="166"/>
      <c r="D756" s="166"/>
      <c r="E756" s="166"/>
      <c r="F756" s="714"/>
      <c r="G756" s="166"/>
      <c r="H756" s="166"/>
      <c r="I756" s="166"/>
      <c r="J756" s="166"/>
      <c r="K756" s="166"/>
      <c r="L756" s="166"/>
      <c r="M756" s="166"/>
      <c r="N756" s="715"/>
      <c r="O756" s="166"/>
      <c r="P756" s="166"/>
      <c r="Q756" s="716"/>
      <c r="R756" s="714"/>
      <c r="S756" s="717"/>
      <c r="T756" s="714"/>
      <c r="U756" s="166"/>
      <c r="V756" s="166"/>
      <c r="W756" s="166"/>
      <c r="X756" s="166"/>
      <c r="Y756" s="718"/>
      <c r="Z756" s="719"/>
      <c r="AA756" s="719"/>
      <c r="AB756" s="166"/>
      <c r="AC756" s="166"/>
      <c r="AD756" s="166"/>
      <c r="AE756" s="87"/>
      <c r="AF756" s="87"/>
      <c r="AG756" s="87"/>
      <c r="AH756" s="87"/>
      <c r="AI756" s="87"/>
      <c r="AJ756" s="87"/>
      <c r="AK756" s="87"/>
      <c r="AL756" s="87"/>
      <c r="AM756" s="87"/>
    </row>
    <row r="757">
      <c r="A757" s="87"/>
      <c r="B757" s="166"/>
      <c r="C757" s="166"/>
      <c r="D757" s="166"/>
      <c r="E757" s="166"/>
      <c r="F757" s="714"/>
      <c r="G757" s="166"/>
      <c r="H757" s="166"/>
      <c r="I757" s="166"/>
      <c r="J757" s="166"/>
      <c r="K757" s="166"/>
      <c r="L757" s="166"/>
      <c r="M757" s="166"/>
      <c r="N757" s="715"/>
      <c r="O757" s="166"/>
      <c r="P757" s="166"/>
      <c r="Q757" s="716"/>
      <c r="R757" s="714"/>
      <c r="S757" s="717"/>
      <c r="T757" s="714"/>
      <c r="U757" s="166"/>
      <c r="V757" s="166"/>
      <c r="W757" s="166"/>
      <c r="X757" s="166"/>
      <c r="Y757" s="718"/>
      <c r="Z757" s="719"/>
      <c r="AA757" s="719"/>
      <c r="AB757" s="166"/>
      <c r="AC757" s="166"/>
      <c r="AD757" s="166"/>
      <c r="AE757" s="87"/>
      <c r="AF757" s="87"/>
      <c r="AG757" s="87"/>
      <c r="AH757" s="87"/>
      <c r="AI757" s="87"/>
      <c r="AJ757" s="87"/>
      <c r="AK757" s="87"/>
      <c r="AL757" s="87"/>
      <c r="AM757" s="87"/>
    </row>
    <row r="758">
      <c r="A758" s="87"/>
      <c r="B758" s="166"/>
      <c r="C758" s="166"/>
      <c r="D758" s="166"/>
      <c r="E758" s="166"/>
      <c r="F758" s="714"/>
      <c r="G758" s="166"/>
      <c r="H758" s="166"/>
      <c r="I758" s="166"/>
      <c r="J758" s="166"/>
      <c r="K758" s="166"/>
      <c r="L758" s="166"/>
      <c r="M758" s="166"/>
      <c r="N758" s="715"/>
      <c r="O758" s="166"/>
      <c r="P758" s="166"/>
      <c r="Q758" s="716"/>
      <c r="R758" s="714"/>
      <c r="S758" s="717"/>
      <c r="T758" s="714"/>
      <c r="U758" s="166"/>
      <c r="V758" s="166"/>
      <c r="W758" s="166"/>
      <c r="X758" s="166"/>
      <c r="Y758" s="718"/>
      <c r="Z758" s="719"/>
      <c r="AA758" s="719"/>
      <c r="AB758" s="166"/>
      <c r="AC758" s="166"/>
      <c r="AD758" s="166"/>
      <c r="AE758" s="87"/>
      <c r="AF758" s="87"/>
      <c r="AG758" s="87"/>
      <c r="AH758" s="87"/>
      <c r="AI758" s="87"/>
      <c r="AJ758" s="87"/>
      <c r="AK758" s="87"/>
      <c r="AL758" s="87"/>
      <c r="AM758" s="87"/>
    </row>
    <row r="759">
      <c r="A759" s="87"/>
      <c r="B759" s="166"/>
      <c r="C759" s="166"/>
      <c r="D759" s="166"/>
      <c r="E759" s="166"/>
      <c r="F759" s="714"/>
      <c r="G759" s="166"/>
      <c r="H759" s="166"/>
      <c r="I759" s="166"/>
      <c r="J759" s="166"/>
      <c r="K759" s="166"/>
      <c r="L759" s="166"/>
      <c r="M759" s="166"/>
      <c r="N759" s="715"/>
      <c r="O759" s="166"/>
      <c r="P759" s="166"/>
      <c r="Q759" s="716"/>
      <c r="R759" s="714"/>
      <c r="S759" s="717"/>
      <c r="T759" s="714"/>
      <c r="U759" s="166"/>
      <c r="V759" s="166"/>
      <c r="W759" s="166"/>
      <c r="X759" s="166"/>
      <c r="Y759" s="718"/>
      <c r="Z759" s="719"/>
      <c r="AA759" s="719"/>
      <c r="AB759" s="166"/>
      <c r="AC759" s="166"/>
      <c r="AD759" s="166"/>
      <c r="AE759" s="87"/>
      <c r="AF759" s="87"/>
      <c r="AG759" s="87"/>
      <c r="AH759" s="87"/>
      <c r="AI759" s="87"/>
      <c r="AJ759" s="87"/>
      <c r="AK759" s="87"/>
      <c r="AL759" s="87"/>
      <c r="AM759" s="87"/>
    </row>
    <row r="760">
      <c r="A760" s="87"/>
      <c r="B760" s="166"/>
      <c r="C760" s="166"/>
      <c r="D760" s="166"/>
      <c r="E760" s="166"/>
      <c r="F760" s="714"/>
      <c r="G760" s="166"/>
      <c r="H760" s="166"/>
      <c r="I760" s="166"/>
      <c r="J760" s="166"/>
      <c r="K760" s="166"/>
      <c r="L760" s="166"/>
      <c r="M760" s="166"/>
      <c r="N760" s="715"/>
      <c r="O760" s="166"/>
      <c r="P760" s="166"/>
      <c r="Q760" s="716"/>
      <c r="R760" s="714"/>
      <c r="S760" s="717"/>
      <c r="T760" s="714"/>
      <c r="U760" s="166"/>
      <c r="V760" s="166"/>
      <c r="W760" s="166"/>
      <c r="X760" s="166"/>
      <c r="Y760" s="718"/>
      <c r="Z760" s="719"/>
      <c r="AA760" s="719"/>
      <c r="AB760" s="166"/>
      <c r="AC760" s="166"/>
      <c r="AD760" s="166"/>
      <c r="AE760" s="87"/>
      <c r="AF760" s="87"/>
      <c r="AG760" s="87"/>
      <c r="AH760" s="87"/>
      <c r="AI760" s="87"/>
      <c r="AJ760" s="87"/>
      <c r="AK760" s="87"/>
      <c r="AL760" s="87"/>
      <c r="AM760" s="87"/>
    </row>
    <row r="761">
      <c r="A761" s="87"/>
      <c r="B761" s="166"/>
      <c r="C761" s="166"/>
      <c r="D761" s="166"/>
      <c r="E761" s="166"/>
      <c r="F761" s="714"/>
      <c r="G761" s="166"/>
      <c r="H761" s="166"/>
      <c r="I761" s="166"/>
      <c r="J761" s="166"/>
      <c r="K761" s="166"/>
      <c r="L761" s="166"/>
      <c r="M761" s="166"/>
      <c r="N761" s="715"/>
      <c r="O761" s="166"/>
      <c r="P761" s="166"/>
      <c r="Q761" s="716"/>
      <c r="R761" s="714"/>
      <c r="S761" s="717"/>
      <c r="T761" s="714"/>
      <c r="U761" s="166"/>
      <c r="V761" s="166"/>
      <c r="W761" s="166"/>
      <c r="X761" s="166"/>
      <c r="Y761" s="718"/>
      <c r="Z761" s="719"/>
      <c r="AA761" s="719"/>
      <c r="AB761" s="166"/>
      <c r="AC761" s="166"/>
      <c r="AD761" s="166"/>
      <c r="AE761" s="87"/>
      <c r="AF761" s="87"/>
      <c r="AG761" s="87"/>
      <c r="AH761" s="87"/>
      <c r="AI761" s="87"/>
      <c r="AJ761" s="87"/>
      <c r="AK761" s="87"/>
      <c r="AL761" s="87"/>
      <c r="AM761" s="87"/>
    </row>
    <row r="762">
      <c r="A762" s="87"/>
      <c r="B762" s="166"/>
      <c r="C762" s="166"/>
      <c r="D762" s="166"/>
      <c r="E762" s="166"/>
      <c r="F762" s="714"/>
      <c r="G762" s="166"/>
      <c r="H762" s="166"/>
      <c r="I762" s="166"/>
      <c r="J762" s="166"/>
      <c r="K762" s="166"/>
      <c r="L762" s="166"/>
      <c r="M762" s="166"/>
      <c r="N762" s="715"/>
      <c r="O762" s="166"/>
      <c r="P762" s="166"/>
      <c r="Q762" s="716"/>
      <c r="R762" s="714"/>
      <c r="S762" s="717"/>
      <c r="T762" s="714"/>
      <c r="U762" s="166"/>
      <c r="V762" s="166"/>
      <c r="W762" s="166"/>
      <c r="X762" s="166"/>
      <c r="Y762" s="718"/>
      <c r="Z762" s="719"/>
      <c r="AA762" s="719"/>
      <c r="AB762" s="166"/>
      <c r="AC762" s="166"/>
      <c r="AD762" s="166"/>
      <c r="AE762" s="87"/>
      <c r="AF762" s="87"/>
      <c r="AG762" s="87"/>
      <c r="AH762" s="87"/>
      <c r="AI762" s="87"/>
      <c r="AJ762" s="87"/>
      <c r="AK762" s="87"/>
      <c r="AL762" s="87"/>
      <c r="AM762" s="87"/>
    </row>
    <row r="763">
      <c r="A763" s="87"/>
      <c r="B763" s="166"/>
      <c r="C763" s="166"/>
      <c r="D763" s="166"/>
      <c r="E763" s="166"/>
      <c r="F763" s="714"/>
      <c r="G763" s="166"/>
      <c r="H763" s="166"/>
      <c r="I763" s="166"/>
      <c r="J763" s="166"/>
      <c r="K763" s="166"/>
      <c r="L763" s="166"/>
      <c r="M763" s="166"/>
      <c r="N763" s="715"/>
      <c r="O763" s="166"/>
      <c r="P763" s="166"/>
      <c r="Q763" s="716"/>
      <c r="R763" s="714"/>
      <c r="S763" s="717"/>
      <c r="T763" s="714"/>
      <c r="U763" s="166"/>
      <c r="V763" s="166"/>
      <c r="W763" s="166"/>
      <c r="X763" s="166"/>
      <c r="Y763" s="718"/>
      <c r="Z763" s="719"/>
      <c r="AA763" s="719"/>
      <c r="AB763" s="166"/>
      <c r="AC763" s="166"/>
      <c r="AD763" s="166"/>
      <c r="AE763" s="87"/>
      <c r="AF763" s="87"/>
      <c r="AG763" s="87"/>
      <c r="AH763" s="87"/>
      <c r="AI763" s="87"/>
      <c r="AJ763" s="87"/>
      <c r="AK763" s="87"/>
      <c r="AL763" s="87"/>
      <c r="AM763" s="87"/>
    </row>
    <row r="764">
      <c r="A764" s="87"/>
      <c r="B764" s="166"/>
      <c r="C764" s="166"/>
      <c r="D764" s="166"/>
      <c r="E764" s="166"/>
      <c r="F764" s="714"/>
      <c r="G764" s="166"/>
      <c r="H764" s="166"/>
      <c r="I764" s="166"/>
      <c r="J764" s="166"/>
      <c r="K764" s="166"/>
      <c r="L764" s="166"/>
      <c r="M764" s="166"/>
      <c r="N764" s="715"/>
      <c r="O764" s="166"/>
      <c r="P764" s="166"/>
      <c r="Q764" s="716"/>
      <c r="R764" s="714"/>
      <c r="S764" s="717"/>
      <c r="T764" s="714"/>
      <c r="U764" s="166"/>
      <c r="V764" s="166"/>
      <c r="W764" s="166"/>
      <c r="X764" s="166"/>
      <c r="Y764" s="718"/>
      <c r="Z764" s="719"/>
      <c r="AA764" s="719"/>
      <c r="AB764" s="166"/>
      <c r="AC764" s="166"/>
      <c r="AD764" s="166"/>
      <c r="AE764" s="87"/>
      <c r="AF764" s="87"/>
      <c r="AG764" s="87"/>
      <c r="AH764" s="87"/>
      <c r="AI764" s="87"/>
      <c r="AJ764" s="87"/>
      <c r="AK764" s="87"/>
      <c r="AL764" s="87"/>
      <c r="AM764" s="87"/>
    </row>
    <row r="765">
      <c r="A765" s="87"/>
      <c r="B765" s="166"/>
      <c r="C765" s="166"/>
      <c r="D765" s="166"/>
      <c r="E765" s="166"/>
      <c r="F765" s="714"/>
      <c r="G765" s="166"/>
      <c r="H765" s="166"/>
      <c r="I765" s="166"/>
      <c r="J765" s="166"/>
      <c r="K765" s="166"/>
      <c r="L765" s="166"/>
      <c r="M765" s="166"/>
      <c r="N765" s="715"/>
      <c r="O765" s="166"/>
      <c r="P765" s="166"/>
      <c r="Q765" s="716"/>
      <c r="R765" s="714"/>
      <c r="S765" s="717"/>
      <c r="T765" s="714"/>
      <c r="U765" s="166"/>
      <c r="V765" s="166"/>
      <c r="W765" s="166"/>
      <c r="X765" s="166"/>
      <c r="Y765" s="718"/>
      <c r="Z765" s="719"/>
      <c r="AA765" s="719"/>
      <c r="AB765" s="166"/>
      <c r="AC765" s="166"/>
      <c r="AD765" s="166"/>
      <c r="AE765" s="87"/>
      <c r="AF765" s="87"/>
      <c r="AG765" s="87"/>
      <c r="AH765" s="87"/>
      <c r="AI765" s="87"/>
      <c r="AJ765" s="87"/>
      <c r="AK765" s="87"/>
      <c r="AL765" s="87"/>
      <c r="AM765" s="87"/>
    </row>
    <row r="766">
      <c r="A766" s="87"/>
      <c r="B766" s="166"/>
      <c r="C766" s="166"/>
      <c r="D766" s="166"/>
      <c r="E766" s="166"/>
      <c r="F766" s="714"/>
      <c r="G766" s="166"/>
      <c r="H766" s="166"/>
      <c r="I766" s="166"/>
      <c r="J766" s="166"/>
      <c r="K766" s="166"/>
      <c r="L766" s="166"/>
      <c r="M766" s="166"/>
      <c r="N766" s="715"/>
      <c r="O766" s="166"/>
      <c r="P766" s="166"/>
      <c r="Q766" s="716"/>
      <c r="R766" s="714"/>
      <c r="S766" s="717"/>
      <c r="T766" s="714"/>
      <c r="U766" s="166"/>
      <c r="V766" s="166"/>
      <c r="W766" s="166"/>
      <c r="X766" s="166"/>
      <c r="Y766" s="718"/>
      <c r="Z766" s="719"/>
      <c r="AA766" s="719"/>
      <c r="AB766" s="166"/>
      <c r="AC766" s="166"/>
      <c r="AD766" s="166"/>
      <c r="AE766" s="87"/>
      <c r="AF766" s="87"/>
      <c r="AG766" s="87"/>
      <c r="AH766" s="87"/>
      <c r="AI766" s="87"/>
      <c r="AJ766" s="87"/>
      <c r="AK766" s="87"/>
      <c r="AL766" s="87"/>
      <c r="AM766" s="87"/>
    </row>
    <row r="767">
      <c r="A767" s="87"/>
      <c r="B767" s="166"/>
      <c r="C767" s="166"/>
      <c r="D767" s="166"/>
      <c r="E767" s="166"/>
      <c r="F767" s="714"/>
      <c r="G767" s="166"/>
      <c r="H767" s="166"/>
      <c r="I767" s="166"/>
      <c r="J767" s="166"/>
      <c r="K767" s="166"/>
      <c r="L767" s="166"/>
      <c r="M767" s="166"/>
      <c r="N767" s="715"/>
      <c r="O767" s="166"/>
      <c r="P767" s="166"/>
      <c r="Q767" s="716"/>
      <c r="R767" s="714"/>
      <c r="S767" s="717"/>
      <c r="T767" s="714"/>
      <c r="U767" s="166"/>
      <c r="V767" s="166"/>
      <c r="W767" s="166"/>
      <c r="X767" s="166"/>
      <c r="Y767" s="718"/>
      <c r="Z767" s="719"/>
      <c r="AA767" s="719"/>
      <c r="AB767" s="166"/>
      <c r="AC767" s="166"/>
      <c r="AD767" s="166"/>
      <c r="AE767" s="87"/>
      <c r="AF767" s="87"/>
      <c r="AG767" s="87"/>
      <c r="AH767" s="87"/>
      <c r="AI767" s="87"/>
      <c r="AJ767" s="87"/>
      <c r="AK767" s="87"/>
      <c r="AL767" s="87"/>
      <c r="AM767" s="87"/>
    </row>
    <row r="768">
      <c r="A768" s="87"/>
      <c r="B768" s="166"/>
      <c r="C768" s="166"/>
      <c r="D768" s="166"/>
      <c r="E768" s="166"/>
      <c r="F768" s="714"/>
      <c r="G768" s="166"/>
      <c r="H768" s="166"/>
      <c r="I768" s="166"/>
      <c r="J768" s="166"/>
      <c r="K768" s="166"/>
      <c r="L768" s="166"/>
      <c r="M768" s="166"/>
      <c r="N768" s="715"/>
      <c r="O768" s="166"/>
      <c r="P768" s="166"/>
      <c r="Q768" s="716"/>
      <c r="R768" s="714"/>
      <c r="S768" s="717"/>
      <c r="T768" s="714"/>
      <c r="U768" s="166"/>
      <c r="V768" s="166"/>
      <c r="W768" s="166"/>
      <c r="X768" s="166"/>
      <c r="Y768" s="718"/>
      <c r="Z768" s="719"/>
      <c r="AA768" s="719"/>
      <c r="AB768" s="166"/>
      <c r="AC768" s="166"/>
      <c r="AD768" s="166"/>
      <c r="AE768" s="87"/>
      <c r="AF768" s="87"/>
      <c r="AG768" s="87"/>
      <c r="AH768" s="87"/>
      <c r="AI768" s="87"/>
      <c r="AJ768" s="87"/>
      <c r="AK768" s="87"/>
      <c r="AL768" s="87"/>
      <c r="AM768" s="87"/>
    </row>
    <row r="769">
      <c r="A769" s="87"/>
      <c r="B769" s="166"/>
      <c r="C769" s="166"/>
      <c r="D769" s="166"/>
      <c r="E769" s="166"/>
      <c r="F769" s="714"/>
      <c r="G769" s="166"/>
      <c r="H769" s="166"/>
      <c r="I769" s="166"/>
      <c r="J769" s="166"/>
      <c r="K769" s="166"/>
      <c r="L769" s="166"/>
      <c r="M769" s="166"/>
      <c r="N769" s="715"/>
      <c r="O769" s="166"/>
      <c r="P769" s="166"/>
      <c r="Q769" s="716"/>
      <c r="R769" s="714"/>
      <c r="S769" s="717"/>
      <c r="T769" s="714"/>
      <c r="U769" s="166"/>
      <c r="V769" s="166"/>
      <c r="W769" s="166"/>
      <c r="X769" s="166"/>
      <c r="Y769" s="718"/>
      <c r="Z769" s="719"/>
      <c r="AA769" s="719"/>
      <c r="AB769" s="166"/>
      <c r="AC769" s="166"/>
      <c r="AD769" s="166"/>
      <c r="AE769" s="87"/>
      <c r="AF769" s="87"/>
      <c r="AG769" s="87"/>
      <c r="AH769" s="87"/>
      <c r="AI769" s="87"/>
      <c r="AJ769" s="87"/>
      <c r="AK769" s="87"/>
      <c r="AL769" s="87"/>
      <c r="AM769" s="87"/>
    </row>
    <row r="770">
      <c r="A770" s="87"/>
      <c r="B770" s="166"/>
      <c r="C770" s="166"/>
      <c r="D770" s="166"/>
      <c r="E770" s="166"/>
      <c r="F770" s="714"/>
      <c r="G770" s="166"/>
      <c r="H770" s="166"/>
      <c r="I770" s="166"/>
      <c r="J770" s="166"/>
      <c r="K770" s="166"/>
      <c r="L770" s="166"/>
      <c r="M770" s="166"/>
      <c r="N770" s="715"/>
      <c r="O770" s="166"/>
      <c r="P770" s="166"/>
      <c r="Q770" s="716"/>
      <c r="R770" s="714"/>
      <c r="S770" s="717"/>
      <c r="T770" s="714"/>
      <c r="U770" s="166"/>
      <c r="V770" s="166"/>
      <c r="W770" s="166"/>
      <c r="X770" s="166"/>
      <c r="Y770" s="718"/>
      <c r="Z770" s="719"/>
      <c r="AA770" s="719"/>
      <c r="AB770" s="166"/>
      <c r="AC770" s="166"/>
      <c r="AD770" s="166"/>
      <c r="AE770" s="87"/>
      <c r="AF770" s="87"/>
      <c r="AG770" s="87"/>
      <c r="AH770" s="87"/>
      <c r="AI770" s="87"/>
      <c r="AJ770" s="87"/>
      <c r="AK770" s="87"/>
      <c r="AL770" s="87"/>
      <c r="AM770" s="87"/>
    </row>
    <row r="771">
      <c r="A771" s="87"/>
      <c r="B771" s="166"/>
      <c r="C771" s="166"/>
      <c r="D771" s="166"/>
      <c r="E771" s="166"/>
      <c r="F771" s="714"/>
      <c r="G771" s="166"/>
      <c r="H771" s="166"/>
      <c r="I771" s="166"/>
      <c r="J771" s="166"/>
      <c r="K771" s="166"/>
      <c r="L771" s="166"/>
      <c r="M771" s="166"/>
      <c r="N771" s="715"/>
      <c r="O771" s="166"/>
      <c r="P771" s="166"/>
      <c r="Q771" s="716"/>
      <c r="R771" s="714"/>
      <c r="S771" s="717"/>
      <c r="T771" s="714"/>
      <c r="U771" s="166"/>
      <c r="V771" s="166"/>
      <c r="W771" s="166"/>
      <c r="X771" s="166"/>
      <c r="Y771" s="718"/>
      <c r="Z771" s="719"/>
      <c r="AA771" s="719"/>
      <c r="AB771" s="166"/>
      <c r="AC771" s="166"/>
      <c r="AD771" s="166"/>
      <c r="AE771" s="87"/>
      <c r="AF771" s="87"/>
      <c r="AG771" s="87"/>
      <c r="AH771" s="87"/>
      <c r="AI771" s="87"/>
      <c r="AJ771" s="87"/>
      <c r="AK771" s="87"/>
      <c r="AL771" s="87"/>
      <c r="AM771" s="87"/>
    </row>
    <row r="772">
      <c r="A772" s="87"/>
      <c r="B772" s="166"/>
      <c r="C772" s="166"/>
      <c r="D772" s="166"/>
      <c r="E772" s="166"/>
      <c r="F772" s="714"/>
      <c r="G772" s="166"/>
      <c r="H772" s="166"/>
      <c r="I772" s="166"/>
      <c r="J772" s="166"/>
      <c r="K772" s="166"/>
      <c r="L772" s="166"/>
      <c r="M772" s="166"/>
      <c r="N772" s="715"/>
      <c r="O772" s="166"/>
      <c r="P772" s="166"/>
      <c r="Q772" s="716"/>
      <c r="R772" s="714"/>
      <c r="S772" s="717"/>
      <c r="T772" s="714"/>
      <c r="U772" s="166"/>
      <c r="V772" s="166"/>
      <c r="W772" s="166"/>
      <c r="X772" s="166"/>
      <c r="Y772" s="718"/>
      <c r="Z772" s="719"/>
      <c r="AA772" s="719"/>
      <c r="AB772" s="166"/>
      <c r="AC772" s="166"/>
      <c r="AD772" s="166"/>
      <c r="AE772" s="87"/>
      <c r="AF772" s="87"/>
      <c r="AG772" s="87"/>
      <c r="AH772" s="87"/>
      <c r="AI772" s="87"/>
      <c r="AJ772" s="87"/>
      <c r="AK772" s="87"/>
      <c r="AL772" s="87"/>
      <c r="AM772" s="87"/>
    </row>
    <row r="773">
      <c r="A773" s="87"/>
      <c r="B773" s="166"/>
      <c r="C773" s="166"/>
      <c r="D773" s="166"/>
      <c r="E773" s="166"/>
      <c r="F773" s="714"/>
      <c r="G773" s="166"/>
      <c r="H773" s="166"/>
      <c r="I773" s="166"/>
      <c r="J773" s="166"/>
      <c r="K773" s="166"/>
      <c r="L773" s="166"/>
      <c r="M773" s="166"/>
      <c r="N773" s="715"/>
      <c r="O773" s="166"/>
      <c r="P773" s="166"/>
      <c r="Q773" s="716"/>
      <c r="R773" s="714"/>
      <c r="S773" s="717"/>
      <c r="T773" s="714"/>
      <c r="U773" s="166"/>
      <c r="V773" s="166"/>
      <c r="W773" s="166"/>
      <c r="X773" s="166"/>
      <c r="Y773" s="718"/>
      <c r="Z773" s="719"/>
      <c r="AA773" s="719"/>
      <c r="AB773" s="166"/>
      <c r="AC773" s="166"/>
      <c r="AD773" s="166"/>
      <c r="AE773" s="87"/>
      <c r="AF773" s="87"/>
      <c r="AG773" s="87"/>
      <c r="AH773" s="87"/>
      <c r="AI773" s="87"/>
      <c r="AJ773" s="87"/>
      <c r="AK773" s="87"/>
      <c r="AL773" s="87"/>
      <c r="AM773" s="87"/>
    </row>
    <row r="774">
      <c r="A774" s="87"/>
      <c r="B774" s="166"/>
      <c r="C774" s="166"/>
      <c r="D774" s="166"/>
      <c r="E774" s="166"/>
      <c r="F774" s="714"/>
      <c r="G774" s="166"/>
      <c r="H774" s="166"/>
      <c r="I774" s="166"/>
      <c r="J774" s="166"/>
      <c r="K774" s="166"/>
      <c r="L774" s="166"/>
      <c r="M774" s="166"/>
      <c r="N774" s="715"/>
      <c r="O774" s="166"/>
      <c r="P774" s="166"/>
      <c r="Q774" s="716"/>
      <c r="R774" s="714"/>
      <c r="S774" s="717"/>
      <c r="T774" s="714"/>
      <c r="U774" s="166"/>
      <c r="V774" s="166"/>
      <c r="W774" s="166"/>
      <c r="X774" s="166"/>
      <c r="Y774" s="718"/>
      <c r="Z774" s="719"/>
      <c r="AA774" s="719"/>
      <c r="AB774" s="166"/>
      <c r="AC774" s="166"/>
      <c r="AD774" s="166"/>
      <c r="AE774" s="87"/>
      <c r="AF774" s="87"/>
      <c r="AG774" s="87"/>
      <c r="AH774" s="87"/>
      <c r="AI774" s="87"/>
      <c r="AJ774" s="87"/>
      <c r="AK774" s="87"/>
      <c r="AL774" s="87"/>
      <c r="AM774" s="87"/>
    </row>
    <row r="775">
      <c r="A775" s="87"/>
      <c r="B775" s="166"/>
      <c r="C775" s="166"/>
      <c r="D775" s="166"/>
      <c r="E775" s="166"/>
      <c r="F775" s="714"/>
      <c r="G775" s="166"/>
      <c r="H775" s="166"/>
      <c r="I775" s="166"/>
      <c r="J775" s="166"/>
      <c r="K775" s="166"/>
      <c r="L775" s="166"/>
      <c r="M775" s="166"/>
      <c r="N775" s="715"/>
      <c r="O775" s="166"/>
      <c r="P775" s="166"/>
      <c r="Q775" s="716"/>
      <c r="R775" s="714"/>
      <c r="S775" s="717"/>
      <c r="T775" s="714"/>
      <c r="U775" s="166"/>
      <c r="V775" s="166"/>
      <c r="W775" s="166"/>
      <c r="X775" s="166"/>
      <c r="Y775" s="718"/>
      <c r="Z775" s="719"/>
      <c r="AA775" s="719"/>
      <c r="AB775" s="166"/>
      <c r="AC775" s="166"/>
      <c r="AD775" s="166"/>
      <c r="AE775" s="87"/>
      <c r="AF775" s="87"/>
      <c r="AG775" s="87"/>
      <c r="AH775" s="87"/>
      <c r="AI775" s="87"/>
      <c r="AJ775" s="87"/>
      <c r="AK775" s="87"/>
      <c r="AL775" s="87"/>
      <c r="AM775" s="87"/>
    </row>
    <row r="776">
      <c r="A776" s="87"/>
      <c r="B776" s="166"/>
      <c r="C776" s="166"/>
      <c r="D776" s="166"/>
      <c r="E776" s="166"/>
      <c r="F776" s="714"/>
      <c r="G776" s="166"/>
      <c r="H776" s="166"/>
      <c r="I776" s="166"/>
      <c r="J776" s="166"/>
      <c r="K776" s="166"/>
      <c r="L776" s="166"/>
      <c r="M776" s="166"/>
      <c r="N776" s="715"/>
      <c r="O776" s="166"/>
      <c r="P776" s="166"/>
      <c r="Q776" s="716"/>
      <c r="R776" s="714"/>
      <c r="S776" s="717"/>
      <c r="T776" s="714"/>
      <c r="U776" s="166"/>
      <c r="V776" s="166"/>
      <c r="W776" s="166"/>
      <c r="X776" s="166"/>
      <c r="Y776" s="718"/>
      <c r="Z776" s="719"/>
      <c r="AA776" s="719"/>
      <c r="AB776" s="166"/>
      <c r="AC776" s="166"/>
      <c r="AD776" s="166"/>
      <c r="AE776" s="87"/>
      <c r="AF776" s="87"/>
      <c r="AG776" s="87"/>
      <c r="AH776" s="87"/>
      <c r="AI776" s="87"/>
      <c r="AJ776" s="87"/>
      <c r="AK776" s="87"/>
      <c r="AL776" s="87"/>
      <c r="AM776" s="87"/>
    </row>
    <row r="777">
      <c r="A777" s="87"/>
      <c r="B777" s="166"/>
      <c r="C777" s="166"/>
      <c r="D777" s="166"/>
      <c r="E777" s="166"/>
      <c r="F777" s="714"/>
      <c r="G777" s="166"/>
      <c r="H777" s="166"/>
      <c r="I777" s="166"/>
      <c r="J777" s="166"/>
      <c r="K777" s="166"/>
      <c r="L777" s="166"/>
      <c r="M777" s="166"/>
      <c r="N777" s="715"/>
      <c r="O777" s="166"/>
      <c r="P777" s="166"/>
      <c r="Q777" s="716"/>
      <c r="R777" s="714"/>
      <c r="S777" s="717"/>
      <c r="T777" s="714"/>
      <c r="U777" s="166"/>
      <c r="V777" s="166"/>
      <c r="W777" s="166"/>
      <c r="X777" s="166"/>
      <c r="Y777" s="718"/>
      <c r="Z777" s="719"/>
      <c r="AA777" s="719"/>
      <c r="AB777" s="166"/>
      <c r="AC777" s="166"/>
      <c r="AD777" s="166"/>
      <c r="AE777" s="87"/>
      <c r="AF777" s="87"/>
      <c r="AG777" s="87"/>
      <c r="AH777" s="87"/>
      <c r="AI777" s="87"/>
      <c r="AJ777" s="87"/>
      <c r="AK777" s="87"/>
      <c r="AL777" s="87"/>
      <c r="AM777" s="87"/>
    </row>
    <row r="778">
      <c r="A778" s="87"/>
      <c r="B778" s="166"/>
      <c r="C778" s="166"/>
      <c r="D778" s="166"/>
      <c r="E778" s="166"/>
      <c r="F778" s="714"/>
      <c r="G778" s="166"/>
      <c r="H778" s="166"/>
      <c r="I778" s="166"/>
      <c r="J778" s="166"/>
      <c r="K778" s="166"/>
      <c r="L778" s="166"/>
      <c r="M778" s="166"/>
      <c r="N778" s="715"/>
      <c r="O778" s="166"/>
      <c r="P778" s="166"/>
      <c r="Q778" s="716"/>
      <c r="R778" s="714"/>
      <c r="S778" s="717"/>
      <c r="T778" s="714"/>
      <c r="U778" s="166"/>
      <c r="V778" s="166"/>
      <c r="W778" s="166"/>
      <c r="X778" s="166"/>
      <c r="Y778" s="718"/>
      <c r="Z778" s="719"/>
      <c r="AA778" s="719"/>
      <c r="AB778" s="166"/>
      <c r="AC778" s="166"/>
      <c r="AD778" s="166"/>
      <c r="AE778" s="87"/>
      <c r="AF778" s="87"/>
      <c r="AG778" s="87"/>
      <c r="AH778" s="87"/>
      <c r="AI778" s="87"/>
      <c r="AJ778" s="87"/>
      <c r="AK778" s="87"/>
      <c r="AL778" s="87"/>
      <c r="AM778" s="87"/>
    </row>
    <row r="779">
      <c r="A779" s="87"/>
      <c r="B779" s="166"/>
      <c r="C779" s="166"/>
      <c r="D779" s="166"/>
      <c r="E779" s="166"/>
      <c r="F779" s="714"/>
      <c r="G779" s="166"/>
      <c r="H779" s="166"/>
      <c r="I779" s="166"/>
      <c r="J779" s="166"/>
      <c r="K779" s="166"/>
      <c r="L779" s="166"/>
      <c r="M779" s="166"/>
      <c r="N779" s="715"/>
      <c r="O779" s="166"/>
      <c r="P779" s="166"/>
      <c r="Q779" s="716"/>
      <c r="R779" s="714"/>
      <c r="S779" s="717"/>
      <c r="T779" s="714"/>
      <c r="U779" s="166"/>
      <c r="V779" s="166"/>
      <c r="W779" s="166"/>
      <c r="X779" s="166"/>
      <c r="Y779" s="718"/>
      <c r="Z779" s="719"/>
      <c r="AA779" s="719"/>
      <c r="AB779" s="166"/>
      <c r="AC779" s="166"/>
      <c r="AD779" s="166"/>
      <c r="AE779" s="87"/>
      <c r="AF779" s="87"/>
      <c r="AG779" s="87"/>
      <c r="AH779" s="87"/>
      <c r="AI779" s="87"/>
      <c r="AJ779" s="87"/>
      <c r="AK779" s="87"/>
      <c r="AL779" s="87"/>
      <c r="AM779" s="87"/>
    </row>
    <row r="780">
      <c r="A780" s="87"/>
      <c r="B780" s="166"/>
      <c r="C780" s="166"/>
      <c r="D780" s="166"/>
      <c r="E780" s="166"/>
      <c r="F780" s="714"/>
      <c r="G780" s="166"/>
      <c r="H780" s="166"/>
      <c r="I780" s="166"/>
      <c r="J780" s="166"/>
      <c r="K780" s="166"/>
      <c r="L780" s="166"/>
      <c r="M780" s="166"/>
      <c r="N780" s="715"/>
      <c r="O780" s="166"/>
      <c r="P780" s="166"/>
      <c r="Q780" s="716"/>
      <c r="R780" s="714"/>
      <c r="S780" s="717"/>
      <c r="T780" s="714"/>
      <c r="U780" s="166"/>
      <c r="V780" s="166"/>
      <c r="W780" s="166"/>
      <c r="X780" s="166"/>
      <c r="Y780" s="718"/>
      <c r="Z780" s="719"/>
      <c r="AA780" s="719"/>
      <c r="AB780" s="166"/>
      <c r="AC780" s="166"/>
      <c r="AD780" s="166"/>
      <c r="AE780" s="87"/>
      <c r="AF780" s="87"/>
      <c r="AG780" s="87"/>
      <c r="AH780" s="87"/>
      <c r="AI780" s="87"/>
      <c r="AJ780" s="87"/>
      <c r="AK780" s="87"/>
      <c r="AL780" s="87"/>
      <c r="AM780" s="87"/>
    </row>
    <row r="781">
      <c r="A781" s="87"/>
      <c r="B781" s="166"/>
      <c r="C781" s="166"/>
      <c r="D781" s="166"/>
      <c r="E781" s="166"/>
      <c r="F781" s="714"/>
      <c r="G781" s="166"/>
      <c r="H781" s="166"/>
      <c r="I781" s="166"/>
      <c r="J781" s="166"/>
      <c r="K781" s="166"/>
      <c r="L781" s="166"/>
      <c r="M781" s="166"/>
      <c r="N781" s="715"/>
      <c r="O781" s="166"/>
      <c r="P781" s="166"/>
      <c r="Q781" s="716"/>
      <c r="R781" s="714"/>
      <c r="S781" s="717"/>
      <c r="T781" s="714"/>
      <c r="U781" s="166"/>
      <c r="V781" s="166"/>
      <c r="W781" s="166"/>
      <c r="X781" s="166"/>
      <c r="Y781" s="718"/>
      <c r="Z781" s="719"/>
      <c r="AA781" s="719"/>
      <c r="AB781" s="166"/>
      <c r="AC781" s="166"/>
      <c r="AD781" s="166"/>
      <c r="AE781" s="87"/>
      <c r="AF781" s="87"/>
      <c r="AG781" s="87"/>
      <c r="AH781" s="87"/>
      <c r="AI781" s="87"/>
      <c r="AJ781" s="87"/>
      <c r="AK781" s="87"/>
      <c r="AL781" s="87"/>
      <c r="AM781" s="87"/>
    </row>
    <row r="782">
      <c r="A782" s="87"/>
      <c r="B782" s="166"/>
      <c r="C782" s="166"/>
      <c r="D782" s="166"/>
      <c r="E782" s="166"/>
      <c r="F782" s="714"/>
      <c r="G782" s="166"/>
      <c r="H782" s="166"/>
      <c r="I782" s="166"/>
      <c r="J782" s="166"/>
      <c r="K782" s="166"/>
      <c r="L782" s="166"/>
      <c r="M782" s="166"/>
      <c r="N782" s="715"/>
      <c r="O782" s="166"/>
      <c r="P782" s="166"/>
      <c r="Q782" s="716"/>
      <c r="R782" s="714"/>
      <c r="S782" s="717"/>
      <c r="T782" s="714"/>
      <c r="U782" s="166"/>
      <c r="V782" s="166"/>
      <c r="W782" s="166"/>
      <c r="X782" s="166"/>
      <c r="Y782" s="718"/>
      <c r="Z782" s="719"/>
      <c r="AA782" s="719"/>
      <c r="AB782" s="166"/>
      <c r="AC782" s="166"/>
      <c r="AD782" s="166"/>
      <c r="AE782" s="87"/>
      <c r="AF782" s="87"/>
      <c r="AG782" s="87"/>
      <c r="AH782" s="87"/>
      <c r="AI782" s="87"/>
      <c r="AJ782" s="87"/>
      <c r="AK782" s="87"/>
      <c r="AL782" s="87"/>
      <c r="AM782" s="87"/>
    </row>
    <row r="783">
      <c r="A783" s="87"/>
      <c r="B783" s="166"/>
      <c r="C783" s="166"/>
      <c r="D783" s="166"/>
      <c r="E783" s="166"/>
      <c r="F783" s="714"/>
      <c r="G783" s="166"/>
      <c r="H783" s="166"/>
      <c r="I783" s="166"/>
      <c r="J783" s="166"/>
      <c r="K783" s="166"/>
      <c r="L783" s="166"/>
      <c r="M783" s="166"/>
      <c r="N783" s="715"/>
      <c r="O783" s="166"/>
      <c r="P783" s="166"/>
      <c r="Q783" s="716"/>
      <c r="R783" s="714"/>
      <c r="S783" s="717"/>
      <c r="T783" s="714"/>
      <c r="U783" s="166"/>
      <c r="V783" s="166"/>
      <c r="W783" s="166"/>
      <c r="X783" s="166"/>
      <c r="Y783" s="718"/>
      <c r="Z783" s="719"/>
      <c r="AA783" s="719"/>
      <c r="AB783" s="166"/>
      <c r="AC783" s="166"/>
      <c r="AD783" s="166"/>
      <c r="AE783" s="87"/>
      <c r="AF783" s="87"/>
      <c r="AG783" s="87"/>
      <c r="AH783" s="87"/>
      <c r="AI783" s="87"/>
      <c r="AJ783" s="87"/>
      <c r="AK783" s="87"/>
      <c r="AL783" s="87"/>
      <c r="AM783" s="87"/>
    </row>
    <row r="784">
      <c r="A784" s="87"/>
      <c r="B784" s="166"/>
      <c r="C784" s="166"/>
      <c r="D784" s="166"/>
      <c r="E784" s="166"/>
      <c r="F784" s="714"/>
      <c r="G784" s="166"/>
      <c r="H784" s="166"/>
      <c r="I784" s="166"/>
      <c r="J784" s="166"/>
      <c r="K784" s="166"/>
      <c r="L784" s="166"/>
      <c r="M784" s="166"/>
      <c r="N784" s="715"/>
      <c r="O784" s="166"/>
      <c r="P784" s="166"/>
      <c r="Q784" s="716"/>
      <c r="R784" s="714"/>
      <c r="S784" s="717"/>
      <c r="T784" s="714"/>
      <c r="U784" s="166"/>
      <c r="V784" s="166"/>
      <c r="W784" s="166"/>
      <c r="X784" s="166"/>
      <c r="Y784" s="718"/>
      <c r="Z784" s="719"/>
      <c r="AA784" s="719"/>
      <c r="AB784" s="166"/>
      <c r="AC784" s="166"/>
      <c r="AD784" s="166"/>
      <c r="AE784" s="87"/>
      <c r="AF784" s="87"/>
      <c r="AG784" s="87"/>
      <c r="AH784" s="87"/>
      <c r="AI784" s="87"/>
      <c r="AJ784" s="87"/>
      <c r="AK784" s="87"/>
      <c r="AL784" s="87"/>
      <c r="AM784" s="87"/>
    </row>
    <row r="785">
      <c r="A785" s="87"/>
      <c r="B785" s="166"/>
      <c r="C785" s="166"/>
      <c r="D785" s="166"/>
      <c r="E785" s="166"/>
      <c r="F785" s="714"/>
      <c r="G785" s="166"/>
      <c r="H785" s="166"/>
      <c r="I785" s="166"/>
      <c r="J785" s="166"/>
      <c r="K785" s="166"/>
      <c r="L785" s="166"/>
      <c r="M785" s="166"/>
      <c r="N785" s="715"/>
      <c r="O785" s="166"/>
      <c r="P785" s="166"/>
      <c r="Q785" s="716"/>
      <c r="R785" s="714"/>
      <c r="S785" s="717"/>
      <c r="T785" s="714"/>
      <c r="U785" s="166"/>
      <c r="V785" s="166"/>
      <c r="W785" s="166"/>
      <c r="X785" s="166"/>
      <c r="Y785" s="718"/>
      <c r="Z785" s="719"/>
      <c r="AA785" s="719"/>
      <c r="AB785" s="166"/>
      <c r="AC785" s="166"/>
      <c r="AD785" s="166"/>
      <c r="AE785" s="87"/>
      <c r="AF785" s="87"/>
      <c r="AG785" s="87"/>
      <c r="AH785" s="87"/>
      <c r="AI785" s="87"/>
      <c r="AJ785" s="87"/>
      <c r="AK785" s="87"/>
      <c r="AL785" s="87"/>
      <c r="AM785" s="87"/>
    </row>
    <row r="786">
      <c r="A786" s="87"/>
      <c r="B786" s="166"/>
      <c r="C786" s="166"/>
      <c r="D786" s="166"/>
      <c r="E786" s="166"/>
      <c r="F786" s="714"/>
      <c r="G786" s="166"/>
      <c r="H786" s="166"/>
      <c r="I786" s="166"/>
      <c r="J786" s="166"/>
      <c r="K786" s="166"/>
      <c r="L786" s="166"/>
      <c r="M786" s="166"/>
      <c r="N786" s="715"/>
      <c r="O786" s="166"/>
      <c r="P786" s="166"/>
      <c r="Q786" s="716"/>
      <c r="R786" s="714"/>
      <c r="S786" s="717"/>
      <c r="T786" s="714"/>
      <c r="U786" s="166"/>
      <c r="V786" s="166"/>
      <c r="W786" s="166"/>
      <c r="X786" s="166"/>
      <c r="Y786" s="718"/>
      <c r="Z786" s="719"/>
      <c r="AA786" s="719"/>
      <c r="AB786" s="166"/>
      <c r="AC786" s="166"/>
      <c r="AD786" s="166"/>
      <c r="AE786" s="87"/>
      <c r="AF786" s="87"/>
      <c r="AG786" s="87"/>
      <c r="AH786" s="87"/>
      <c r="AI786" s="87"/>
      <c r="AJ786" s="87"/>
      <c r="AK786" s="87"/>
      <c r="AL786" s="87"/>
      <c r="AM786" s="87"/>
    </row>
    <row r="787">
      <c r="A787" s="87"/>
      <c r="B787" s="166"/>
      <c r="C787" s="166"/>
      <c r="D787" s="166"/>
      <c r="E787" s="166"/>
      <c r="F787" s="714"/>
      <c r="G787" s="166"/>
      <c r="H787" s="166"/>
      <c r="I787" s="166"/>
      <c r="J787" s="166"/>
      <c r="K787" s="166"/>
      <c r="L787" s="166"/>
      <c r="M787" s="166"/>
      <c r="N787" s="715"/>
      <c r="O787" s="166"/>
      <c r="P787" s="166"/>
      <c r="Q787" s="716"/>
      <c r="R787" s="714"/>
      <c r="S787" s="717"/>
      <c r="T787" s="714"/>
      <c r="U787" s="166"/>
      <c r="V787" s="166"/>
      <c r="W787" s="166"/>
      <c r="X787" s="166"/>
      <c r="Y787" s="718"/>
      <c r="Z787" s="719"/>
      <c r="AA787" s="719"/>
      <c r="AB787" s="166"/>
      <c r="AC787" s="166"/>
      <c r="AD787" s="166"/>
      <c r="AE787" s="87"/>
      <c r="AF787" s="87"/>
      <c r="AG787" s="87"/>
      <c r="AH787" s="87"/>
      <c r="AI787" s="87"/>
      <c r="AJ787" s="87"/>
      <c r="AK787" s="87"/>
      <c r="AL787" s="87"/>
      <c r="AM787" s="87"/>
    </row>
    <row r="788">
      <c r="A788" s="87"/>
      <c r="B788" s="166"/>
      <c r="C788" s="166"/>
      <c r="D788" s="166"/>
      <c r="E788" s="166"/>
      <c r="F788" s="714"/>
      <c r="G788" s="166"/>
      <c r="H788" s="166"/>
      <c r="I788" s="166"/>
      <c r="J788" s="166"/>
      <c r="K788" s="166"/>
      <c r="L788" s="166"/>
      <c r="M788" s="166"/>
      <c r="N788" s="715"/>
      <c r="O788" s="166"/>
      <c r="P788" s="166"/>
      <c r="Q788" s="716"/>
      <c r="R788" s="714"/>
      <c r="S788" s="717"/>
      <c r="T788" s="714"/>
      <c r="U788" s="166"/>
      <c r="V788" s="166"/>
      <c r="W788" s="166"/>
      <c r="X788" s="166"/>
      <c r="Y788" s="718"/>
      <c r="Z788" s="719"/>
      <c r="AA788" s="719"/>
      <c r="AB788" s="166"/>
      <c r="AC788" s="166"/>
      <c r="AD788" s="166"/>
      <c r="AE788" s="87"/>
      <c r="AF788" s="87"/>
      <c r="AG788" s="87"/>
      <c r="AH788" s="87"/>
      <c r="AI788" s="87"/>
      <c r="AJ788" s="87"/>
      <c r="AK788" s="87"/>
      <c r="AL788" s="87"/>
      <c r="AM788" s="87"/>
    </row>
    <row r="789">
      <c r="A789" s="87"/>
      <c r="B789" s="166"/>
      <c r="C789" s="166"/>
      <c r="D789" s="166"/>
      <c r="E789" s="166"/>
      <c r="F789" s="714"/>
      <c r="G789" s="166"/>
      <c r="H789" s="166"/>
      <c r="I789" s="166"/>
      <c r="J789" s="166"/>
      <c r="K789" s="166"/>
      <c r="L789" s="166"/>
      <c r="M789" s="166"/>
      <c r="N789" s="715"/>
      <c r="O789" s="166"/>
      <c r="P789" s="166"/>
      <c r="Q789" s="716"/>
      <c r="R789" s="714"/>
      <c r="S789" s="717"/>
      <c r="T789" s="714"/>
      <c r="U789" s="166"/>
      <c r="V789" s="166"/>
      <c r="W789" s="166"/>
      <c r="X789" s="166"/>
      <c r="Y789" s="718"/>
      <c r="Z789" s="719"/>
      <c r="AA789" s="719"/>
      <c r="AB789" s="166"/>
      <c r="AC789" s="166"/>
      <c r="AD789" s="166"/>
      <c r="AE789" s="87"/>
      <c r="AF789" s="87"/>
      <c r="AG789" s="87"/>
      <c r="AH789" s="87"/>
      <c r="AI789" s="87"/>
      <c r="AJ789" s="87"/>
      <c r="AK789" s="87"/>
      <c r="AL789" s="87"/>
      <c r="AM789" s="87"/>
    </row>
    <row r="790">
      <c r="A790" s="87"/>
      <c r="B790" s="166"/>
      <c r="C790" s="166"/>
      <c r="D790" s="166"/>
      <c r="E790" s="166"/>
      <c r="F790" s="714"/>
      <c r="G790" s="166"/>
      <c r="H790" s="166"/>
      <c r="I790" s="166"/>
      <c r="J790" s="166"/>
      <c r="K790" s="166"/>
      <c r="L790" s="166"/>
      <c r="M790" s="166"/>
      <c r="N790" s="715"/>
      <c r="O790" s="166"/>
      <c r="P790" s="166"/>
      <c r="Q790" s="716"/>
      <c r="R790" s="714"/>
      <c r="S790" s="717"/>
      <c r="T790" s="714"/>
      <c r="U790" s="166"/>
      <c r="V790" s="166"/>
      <c r="W790" s="166"/>
      <c r="X790" s="166"/>
      <c r="Y790" s="718"/>
      <c r="Z790" s="719"/>
      <c r="AA790" s="719"/>
      <c r="AB790" s="166"/>
      <c r="AC790" s="166"/>
      <c r="AD790" s="166"/>
      <c r="AE790" s="87"/>
      <c r="AF790" s="87"/>
      <c r="AG790" s="87"/>
      <c r="AH790" s="87"/>
      <c r="AI790" s="87"/>
      <c r="AJ790" s="87"/>
      <c r="AK790" s="87"/>
      <c r="AL790" s="87"/>
      <c r="AM790" s="87"/>
    </row>
    <row r="791">
      <c r="A791" s="87"/>
      <c r="B791" s="166"/>
      <c r="C791" s="166"/>
      <c r="D791" s="166"/>
      <c r="E791" s="166"/>
      <c r="F791" s="714"/>
      <c r="G791" s="166"/>
      <c r="H791" s="166"/>
      <c r="I791" s="166"/>
      <c r="J791" s="166"/>
      <c r="K791" s="166"/>
      <c r="L791" s="166"/>
      <c r="M791" s="166"/>
      <c r="N791" s="715"/>
      <c r="O791" s="166"/>
      <c r="P791" s="166"/>
      <c r="Q791" s="716"/>
      <c r="R791" s="714"/>
      <c r="S791" s="717"/>
      <c r="T791" s="714"/>
      <c r="U791" s="166"/>
      <c r="V791" s="166"/>
      <c r="W791" s="166"/>
      <c r="X791" s="166"/>
      <c r="Y791" s="718"/>
      <c r="Z791" s="719"/>
      <c r="AA791" s="719"/>
      <c r="AB791" s="166"/>
      <c r="AC791" s="166"/>
      <c r="AD791" s="166"/>
      <c r="AE791" s="87"/>
      <c r="AF791" s="87"/>
      <c r="AG791" s="87"/>
      <c r="AH791" s="87"/>
      <c r="AI791" s="87"/>
      <c r="AJ791" s="87"/>
      <c r="AK791" s="87"/>
      <c r="AL791" s="87"/>
      <c r="AM791" s="87"/>
    </row>
    <row r="792">
      <c r="A792" s="87"/>
      <c r="B792" s="166"/>
      <c r="C792" s="166"/>
      <c r="D792" s="166"/>
      <c r="E792" s="166"/>
      <c r="F792" s="714"/>
      <c r="G792" s="166"/>
      <c r="H792" s="166"/>
      <c r="I792" s="166"/>
      <c r="J792" s="166"/>
      <c r="K792" s="166"/>
      <c r="L792" s="166"/>
      <c r="M792" s="166"/>
      <c r="N792" s="715"/>
      <c r="O792" s="166"/>
      <c r="P792" s="166"/>
      <c r="Q792" s="716"/>
      <c r="R792" s="714"/>
      <c r="S792" s="717"/>
      <c r="T792" s="714"/>
      <c r="U792" s="166"/>
      <c r="V792" s="166"/>
      <c r="W792" s="166"/>
      <c r="X792" s="166"/>
      <c r="Y792" s="718"/>
      <c r="Z792" s="719"/>
      <c r="AA792" s="719"/>
      <c r="AB792" s="166"/>
      <c r="AC792" s="166"/>
      <c r="AD792" s="166"/>
      <c r="AE792" s="87"/>
      <c r="AF792" s="87"/>
      <c r="AG792" s="87"/>
      <c r="AH792" s="87"/>
      <c r="AI792" s="87"/>
      <c r="AJ792" s="87"/>
      <c r="AK792" s="87"/>
      <c r="AL792" s="87"/>
      <c r="AM792" s="87"/>
    </row>
    <row r="793">
      <c r="A793" s="87"/>
      <c r="B793" s="166"/>
      <c r="C793" s="166"/>
      <c r="D793" s="166"/>
      <c r="E793" s="166"/>
      <c r="F793" s="714"/>
      <c r="G793" s="166"/>
      <c r="H793" s="166"/>
      <c r="I793" s="166"/>
      <c r="J793" s="166"/>
      <c r="K793" s="166"/>
      <c r="L793" s="166"/>
      <c r="M793" s="166"/>
      <c r="N793" s="715"/>
      <c r="O793" s="166"/>
      <c r="P793" s="166"/>
      <c r="Q793" s="716"/>
      <c r="R793" s="714"/>
      <c r="S793" s="717"/>
      <c r="T793" s="714"/>
      <c r="U793" s="166"/>
      <c r="V793" s="166"/>
      <c r="W793" s="166"/>
      <c r="X793" s="166"/>
      <c r="Y793" s="718"/>
      <c r="Z793" s="719"/>
      <c r="AA793" s="719"/>
      <c r="AB793" s="166"/>
      <c r="AC793" s="166"/>
      <c r="AD793" s="166"/>
      <c r="AE793" s="87"/>
      <c r="AF793" s="87"/>
      <c r="AG793" s="87"/>
      <c r="AH793" s="87"/>
      <c r="AI793" s="87"/>
      <c r="AJ793" s="87"/>
      <c r="AK793" s="87"/>
      <c r="AL793" s="87"/>
      <c r="AM793" s="87"/>
    </row>
    <row r="794">
      <c r="A794" s="87"/>
      <c r="B794" s="166"/>
      <c r="C794" s="166"/>
      <c r="D794" s="166"/>
      <c r="E794" s="166"/>
      <c r="F794" s="714"/>
      <c r="G794" s="166"/>
      <c r="H794" s="166"/>
      <c r="I794" s="166"/>
      <c r="J794" s="166"/>
      <c r="K794" s="166"/>
      <c r="L794" s="166"/>
      <c r="M794" s="166"/>
      <c r="N794" s="715"/>
      <c r="O794" s="166"/>
      <c r="P794" s="166"/>
      <c r="Q794" s="716"/>
      <c r="R794" s="714"/>
      <c r="S794" s="717"/>
      <c r="T794" s="714"/>
      <c r="U794" s="166"/>
      <c r="V794" s="166"/>
      <c r="W794" s="166"/>
      <c r="X794" s="166"/>
      <c r="Y794" s="718"/>
      <c r="Z794" s="719"/>
      <c r="AA794" s="719"/>
      <c r="AB794" s="166"/>
      <c r="AC794" s="166"/>
      <c r="AD794" s="166"/>
      <c r="AE794" s="87"/>
      <c r="AF794" s="87"/>
      <c r="AG794" s="87"/>
      <c r="AH794" s="87"/>
      <c r="AI794" s="87"/>
      <c r="AJ794" s="87"/>
      <c r="AK794" s="87"/>
      <c r="AL794" s="87"/>
      <c r="AM794" s="87"/>
    </row>
    <row r="795">
      <c r="A795" s="87"/>
      <c r="B795" s="166"/>
      <c r="C795" s="166"/>
      <c r="D795" s="166"/>
      <c r="E795" s="166"/>
      <c r="F795" s="714"/>
      <c r="G795" s="166"/>
      <c r="H795" s="166"/>
      <c r="I795" s="166"/>
      <c r="J795" s="166"/>
      <c r="K795" s="166"/>
      <c r="L795" s="166"/>
      <c r="M795" s="166"/>
      <c r="N795" s="715"/>
      <c r="O795" s="166"/>
      <c r="P795" s="166"/>
      <c r="Q795" s="716"/>
      <c r="R795" s="714"/>
      <c r="S795" s="717"/>
      <c r="T795" s="714"/>
      <c r="U795" s="166"/>
      <c r="V795" s="166"/>
      <c r="W795" s="166"/>
      <c r="X795" s="166"/>
      <c r="Y795" s="718"/>
      <c r="Z795" s="719"/>
      <c r="AA795" s="719"/>
      <c r="AB795" s="166"/>
      <c r="AC795" s="166"/>
      <c r="AD795" s="166"/>
      <c r="AE795" s="87"/>
      <c r="AF795" s="87"/>
      <c r="AG795" s="87"/>
      <c r="AH795" s="87"/>
      <c r="AI795" s="87"/>
      <c r="AJ795" s="87"/>
      <c r="AK795" s="87"/>
      <c r="AL795" s="87"/>
      <c r="AM795" s="87"/>
    </row>
    <row r="796">
      <c r="A796" s="87"/>
      <c r="B796" s="166"/>
      <c r="C796" s="166"/>
      <c r="D796" s="166"/>
      <c r="E796" s="166"/>
      <c r="F796" s="714"/>
      <c r="G796" s="166"/>
      <c r="H796" s="166"/>
      <c r="I796" s="166"/>
      <c r="J796" s="166"/>
      <c r="K796" s="166"/>
      <c r="L796" s="166"/>
      <c r="M796" s="166"/>
      <c r="N796" s="715"/>
      <c r="O796" s="166"/>
      <c r="P796" s="166"/>
      <c r="Q796" s="716"/>
      <c r="R796" s="714"/>
      <c r="S796" s="717"/>
      <c r="T796" s="714"/>
      <c r="U796" s="166"/>
      <c r="V796" s="166"/>
      <c r="W796" s="166"/>
      <c r="X796" s="166"/>
      <c r="Y796" s="718"/>
      <c r="Z796" s="719"/>
      <c r="AA796" s="719"/>
      <c r="AB796" s="166"/>
      <c r="AC796" s="166"/>
      <c r="AD796" s="166"/>
      <c r="AE796" s="87"/>
      <c r="AF796" s="87"/>
      <c r="AG796" s="87"/>
      <c r="AH796" s="87"/>
      <c r="AI796" s="87"/>
      <c r="AJ796" s="87"/>
      <c r="AK796" s="87"/>
      <c r="AL796" s="87"/>
      <c r="AM796" s="87"/>
    </row>
    <row r="797">
      <c r="A797" s="87"/>
      <c r="B797" s="166"/>
      <c r="C797" s="166"/>
      <c r="D797" s="166"/>
      <c r="E797" s="166"/>
      <c r="F797" s="714"/>
      <c r="G797" s="166"/>
      <c r="H797" s="166"/>
      <c r="I797" s="166"/>
      <c r="J797" s="166"/>
      <c r="K797" s="166"/>
      <c r="L797" s="166"/>
      <c r="M797" s="166"/>
      <c r="N797" s="715"/>
      <c r="O797" s="166"/>
      <c r="P797" s="166"/>
      <c r="Q797" s="716"/>
      <c r="R797" s="714"/>
      <c r="S797" s="717"/>
      <c r="T797" s="714"/>
      <c r="U797" s="166"/>
      <c r="V797" s="166"/>
      <c r="W797" s="166"/>
      <c r="X797" s="166"/>
      <c r="Y797" s="718"/>
      <c r="Z797" s="719"/>
      <c r="AA797" s="719"/>
      <c r="AB797" s="166"/>
      <c r="AC797" s="166"/>
      <c r="AD797" s="166"/>
      <c r="AE797" s="87"/>
      <c r="AF797" s="87"/>
      <c r="AG797" s="87"/>
      <c r="AH797" s="87"/>
      <c r="AI797" s="87"/>
      <c r="AJ797" s="87"/>
      <c r="AK797" s="87"/>
      <c r="AL797" s="87"/>
      <c r="AM797" s="87"/>
    </row>
    <row r="798">
      <c r="A798" s="87"/>
      <c r="B798" s="166"/>
      <c r="C798" s="166"/>
      <c r="D798" s="166"/>
      <c r="E798" s="166"/>
      <c r="F798" s="714"/>
      <c r="G798" s="166"/>
      <c r="H798" s="166"/>
      <c r="I798" s="166"/>
      <c r="J798" s="166"/>
      <c r="K798" s="166"/>
      <c r="L798" s="166"/>
      <c r="M798" s="166"/>
      <c r="N798" s="715"/>
      <c r="O798" s="166"/>
      <c r="P798" s="166"/>
      <c r="Q798" s="716"/>
      <c r="R798" s="714"/>
      <c r="S798" s="717"/>
      <c r="T798" s="714"/>
      <c r="U798" s="166"/>
      <c r="V798" s="166"/>
      <c r="W798" s="166"/>
      <c r="X798" s="166"/>
      <c r="Y798" s="718"/>
      <c r="Z798" s="719"/>
      <c r="AA798" s="719"/>
      <c r="AB798" s="166"/>
      <c r="AC798" s="166"/>
      <c r="AD798" s="166"/>
      <c r="AE798" s="87"/>
      <c r="AF798" s="87"/>
      <c r="AG798" s="87"/>
      <c r="AH798" s="87"/>
      <c r="AI798" s="87"/>
      <c r="AJ798" s="87"/>
      <c r="AK798" s="87"/>
      <c r="AL798" s="87"/>
      <c r="AM798" s="87"/>
    </row>
    <row r="799">
      <c r="A799" s="87"/>
      <c r="B799" s="166"/>
      <c r="C799" s="166"/>
      <c r="D799" s="166"/>
      <c r="E799" s="166"/>
      <c r="F799" s="714"/>
      <c r="G799" s="166"/>
      <c r="H799" s="166"/>
      <c r="I799" s="166"/>
      <c r="J799" s="166"/>
      <c r="K799" s="166"/>
      <c r="L799" s="166"/>
      <c r="M799" s="166"/>
      <c r="N799" s="715"/>
      <c r="O799" s="166"/>
      <c r="P799" s="166"/>
      <c r="Q799" s="716"/>
      <c r="R799" s="714"/>
      <c r="S799" s="717"/>
      <c r="T799" s="714"/>
      <c r="U799" s="166"/>
      <c r="V799" s="166"/>
      <c r="W799" s="166"/>
      <c r="X799" s="166"/>
      <c r="Y799" s="718"/>
      <c r="Z799" s="719"/>
      <c r="AA799" s="719"/>
      <c r="AB799" s="166"/>
      <c r="AC799" s="166"/>
      <c r="AD799" s="166"/>
      <c r="AE799" s="87"/>
      <c r="AF799" s="87"/>
      <c r="AG799" s="87"/>
      <c r="AH799" s="87"/>
      <c r="AI799" s="87"/>
      <c r="AJ799" s="87"/>
      <c r="AK799" s="87"/>
      <c r="AL799" s="87"/>
      <c r="AM799" s="87"/>
    </row>
    <row r="800">
      <c r="A800" s="87"/>
      <c r="B800" s="166"/>
      <c r="C800" s="166"/>
      <c r="D800" s="166"/>
      <c r="E800" s="166"/>
      <c r="F800" s="714"/>
      <c r="G800" s="166"/>
      <c r="H800" s="166"/>
      <c r="I800" s="166"/>
      <c r="J800" s="166"/>
      <c r="K800" s="166"/>
      <c r="L800" s="166"/>
      <c r="M800" s="166"/>
      <c r="N800" s="715"/>
      <c r="O800" s="166"/>
      <c r="P800" s="166"/>
      <c r="Q800" s="716"/>
      <c r="R800" s="714"/>
      <c r="S800" s="717"/>
      <c r="T800" s="714"/>
      <c r="U800" s="166"/>
      <c r="V800" s="166"/>
      <c r="W800" s="166"/>
      <c r="X800" s="166"/>
      <c r="Y800" s="718"/>
      <c r="Z800" s="719"/>
      <c r="AA800" s="719"/>
      <c r="AB800" s="166"/>
      <c r="AC800" s="166"/>
      <c r="AD800" s="166"/>
      <c r="AE800" s="87"/>
      <c r="AF800" s="87"/>
      <c r="AG800" s="87"/>
      <c r="AH800" s="87"/>
      <c r="AI800" s="87"/>
      <c r="AJ800" s="87"/>
      <c r="AK800" s="87"/>
      <c r="AL800" s="87"/>
      <c r="AM800" s="87"/>
    </row>
    <row r="801">
      <c r="A801" s="87"/>
      <c r="B801" s="166"/>
      <c r="C801" s="166"/>
      <c r="D801" s="166"/>
      <c r="E801" s="166"/>
      <c r="F801" s="714"/>
      <c r="G801" s="166"/>
      <c r="H801" s="166"/>
      <c r="I801" s="166"/>
      <c r="J801" s="166"/>
      <c r="K801" s="166"/>
      <c r="L801" s="166"/>
      <c r="M801" s="166"/>
      <c r="N801" s="715"/>
      <c r="O801" s="166"/>
      <c r="P801" s="166"/>
      <c r="Q801" s="716"/>
      <c r="R801" s="714"/>
      <c r="S801" s="717"/>
      <c r="T801" s="714"/>
      <c r="U801" s="166"/>
      <c r="V801" s="166"/>
      <c r="W801" s="166"/>
      <c r="X801" s="166"/>
      <c r="Y801" s="718"/>
      <c r="Z801" s="719"/>
      <c r="AA801" s="719"/>
      <c r="AB801" s="166"/>
      <c r="AC801" s="166"/>
      <c r="AD801" s="166"/>
      <c r="AE801" s="87"/>
      <c r="AF801" s="87"/>
      <c r="AG801" s="87"/>
      <c r="AH801" s="87"/>
      <c r="AI801" s="87"/>
      <c r="AJ801" s="87"/>
      <c r="AK801" s="87"/>
      <c r="AL801" s="87"/>
      <c r="AM801" s="87"/>
    </row>
    <row r="802">
      <c r="A802" s="87"/>
      <c r="B802" s="166"/>
      <c r="C802" s="166"/>
      <c r="D802" s="166"/>
      <c r="E802" s="166"/>
      <c r="F802" s="714"/>
      <c r="G802" s="166"/>
      <c r="H802" s="166"/>
      <c r="I802" s="166"/>
      <c r="J802" s="166"/>
      <c r="K802" s="166"/>
      <c r="L802" s="166"/>
      <c r="M802" s="166"/>
      <c r="N802" s="715"/>
      <c r="O802" s="166"/>
      <c r="P802" s="166"/>
      <c r="Q802" s="716"/>
      <c r="R802" s="714"/>
      <c r="S802" s="717"/>
      <c r="T802" s="714"/>
      <c r="U802" s="166"/>
      <c r="V802" s="166"/>
      <c r="W802" s="166"/>
      <c r="X802" s="166"/>
      <c r="Y802" s="718"/>
      <c r="Z802" s="719"/>
      <c r="AA802" s="719"/>
      <c r="AB802" s="166"/>
      <c r="AC802" s="166"/>
      <c r="AD802" s="166"/>
      <c r="AE802" s="87"/>
      <c r="AF802" s="87"/>
      <c r="AG802" s="87"/>
      <c r="AH802" s="87"/>
      <c r="AI802" s="87"/>
      <c r="AJ802" s="87"/>
      <c r="AK802" s="87"/>
      <c r="AL802" s="87"/>
      <c r="AM802" s="87"/>
    </row>
    <row r="803">
      <c r="A803" s="87"/>
      <c r="B803" s="166"/>
      <c r="C803" s="166"/>
      <c r="D803" s="166"/>
      <c r="E803" s="166"/>
      <c r="F803" s="714"/>
      <c r="G803" s="166"/>
      <c r="H803" s="166"/>
      <c r="I803" s="166"/>
      <c r="J803" s="166"/>
      <c r="K803" s="166"/>
      <c r="L803" s="166"/>
      <c r="M803" s="166"/>
      <c r="N803" s="715"/>
      <c r="O803" s="166"/>
      <c r="P803" s="166"/>
      <c r="Q803" s="716"/>
      <c r="R803" s="714"/>
      <c r="S803" s="717"/>
      <c r="T803" s="714"/>
      <c r="U803" s="166"/>
      <c r="V803" s="166"/>
      <c r="W803" s="166"/>
      <c r="X803" s="166"/>
      <c r="Y803" s="718"/>
      <c r="Z803" s="719"/>
      <c r="AA803" s="719"/>
      <c r="AB803" s="166"/>
      <c r="AC803" s="166"/>
      <c r="AD803" s="166"/>
      <c r="AE803" s="87"/>
      <c r="AF803" s="87"/>
      <c r="AG803" s="87"/>
      <c r="AH803" s="87"/>
      <c r="AI803" s="87"/>
      <c r="AJ803" s="87"/>
      <c r="AK803" s="87"/>
      <c r="AL803" s="87"/>
      <c r="AM803" s="87"/>
    </row>
    <row r="804">
      <c r="A804" s="87"/>
      <c r="B804" s="166"/>
      <c r="C804" s="166"/>
      <c r="D804" s="166"/>
      <c r="E804" s="166"/>
      <c r="F804" s="714"/>
      <c r="G804" s="166"/>
      <c r="H804" s="166"/>
      <c r="I804" s="166"/>
      <c r="J804" s="166"/>
      <c r="K804" s="166"/>
      <c r="L804" s="166"/>
      <c r="M804" s="166"/>
      <c r="N804" s="715"/>
      <c r="O804" s="166"/>
      <c r="P804" s="166"/>
      <c r="Q804" s="716"/>
      <c r="R804" s="714"/>
      <c r="S804" s="717"/>
      <c r="T804" s="714"/>
      <c r="U804" s="166"/>
      <c r="V804" s="166"/>
      <c r="W804" s="166"/>
      <c r="X804" s="166"/>
      <c r="Y804" s="718"/>
      <c r="Z804" s="719"/>
      <c r="AA804" s="719"/>
      <c r="AB804" s="166"/>
      <c r="AC804" s="166"/>
      <c r="AD804" s="166"/>
      <c r="AE804" s="87"/>
      <c r="AF804" s="87"/>
      <c r="AG804" s="87"/>
      <c r="AH804" s="87"/>
      <c r="AI804" s="87"/>
      <c r="AJ804" s="87"/>
      <c r="AK804" s="87"/>
      <c r="AL804" s="87"/>
      <c r="AM804" s="87"/>
    </row>
    <row r="805">
      <c r="A805" s="87"/>
      <c r="B805" s="166"/>
      <c r="C805" s="166"/>
      <c r="D805" s="166"/>
      <c r="E805" s="166"/>
      <c r="F805" s="714"/>
      <c r="G805" s="166"/>
      <c r="H805" s="166"/>
      <c r="I805" s="166"/>
      <c r="J805" s="166"/>
      <c r="K805" s="166"/>
      <c r="L805" s="166"/>
      <c r="M805" s="166"/>
      <c r="N805" s="715"/>
      <c r="O805" s="166"/>
      <c r="P805" s="166"/>
      <c r="Q805" s="716"/>
      <c r="R805" s="714"/>
      <c r="S805" s="717"/>
      <c r="T805" s="714"/>
      <c r="U805" s="166"/>
      <c r="V805" s="166"/>
      <c r="W805" s="166"/>
      <c r="X805" s="166"/>
      <c r="Y805" s="718"/>
      <c r="Z805" s="719"/>
      <c r="AA805" s="719"/>
      <c r="AB805" s="166"/>
      <c r="AC805" s="166"/>
      <c r="AD805" s="166"/>
      <c r="AE805" s="87"/>
      <c r="AF805" s="87"/>
      <c r="AG805" s="87"/>
      <c r="AH805" s="87"/>
      <c r="AI805" s="87"/>
      <c r="AJ805" s="87"/>
      <c r="AK805" s="87"/>
      <c r="AL805" s="87"/>
      <c r="AM805" s="87"/>
    </row>
    <row r="806">
      <c r="A806" s="87"/>
      <c r="B806" s="166"/>
      <c r="C806" s="166"/>
      <c r="D806" s="166"/>
      <c r="E806" s="166"/>
      <c r="F806" s="714"/>
      <c r="G806" s="166"/>
      <c r="H806" s="166"/>
      <c r="I806" s="166"/>
      <c r="J806" s="166"/>
      <c r="K806" s="166"/>
      <c r="L806" s="166"/>
      <c r="M806" s="166"/>
      <c r="N806" s="715"/>
      <c r="O806" s="166"/>
      <c r="P806" s="166"/>
      <c r="Q806" s="716"/>
      <c r="R806" s="714"/>
      <c r="S806" s="717"/>
      <c r="T806" s="714"/>
      <c r="U806" s="166"/>
      <c r="V806" s="166"/>
      <c r="W806" s="166"/>
      <c r="X806" s="166"/>
      <c r="Y806" s="718"/>
      <c r="Z806" s="719"/>
      <c r="AA806" s="719"/>
      <c r="AB806" s="166"/>
      <c r="AC806" s="166"/>
      <c r="AD806" s="166"/>
      <c r="AE806" s="87"/>
      <c r="AF806" s="87"/>
      <c r="AG806" s="87"/>
      <c r="AH806" s="87"/>
      <c r="AI806" s="87"/>
      <c r="AJ806" s="87"/>
      <c r="AK806" s="87"/>
      <c r="AL806" s="87"/>
      <c r="AM806" s="87"/>
    </row>
    <row r="807">
      <c r="A807" s="87"/>
      <c r="B807" s="166"/>
      <c r="C807" s="166"/>
      <c r="D807" s="166"/>
      <c r="E807" s="166"/>
      <c r="F807" s="714"/>
      <c r="G807" s="166"/>
      <c r="H807" s="166"/>
      <c r="I807" s="166"/>
      <c r="J807" s="166"/>
      <c r="K807" s="166"/>
      <c r="L807" s="166"/>
      <c r="M807" s="166"/>
      <c r="N807" s="715"/>
      <c r="O807" s="166"/>
      <c r="P807" s="166"/>
      <c r="Q807" s="716"/>
      <c r="R807" s="714"/>
      <c r="S807" s="717"/>
      <c r="T807" s="714"/>
      <c r="U807" s="166"/>
      <c r="V807" s="166"/>
      <c r="W807" s="166"/>
      <c r="X807" s="166"/>
      <c r="Y807" s="718"/>
      <c r="Z807" s="719"/>
      <c r="AA807" s="719"/>
      <c r="AB807" s="166"/>
      <c r="AC807" s="166"/>
      <c r="AD807" s="166"/>
      <c r="AE807" s="87"/>
      <c r="AF807" s="87"/>
      <c r="AG807" s="87"/>
      <c r="AH807" s="87"/>
      <c r="AI807" s="87"/>
      <c r="AJ807" s="87"/>
      <c r="AK807" s="87"/>
      <c r="AL807" s="87"/>
      <c r="AM807" s="87"/>
    </row>
    <row r="808">
      <c r="A808" s="87"/>
      <c r="B808" s="166"/>
      <c r="C808" s="166"/>
      <c r="D808" s="166"/>
      <c r="E808" s="166"/>
      <c r="F808" s="714"/>
      <c r="G808" s="166"/>
      <c r="H808" s="166"/>
      <c r="I808" s="166"/>
      <c r="J808" s="166"/>
      <c r="K808" s="166"/>
      <c r="L808" s="166"/>
      <c r="M808" s="166"/>
      <c r="N808" s="715"/>
      <c r="O808" s="166"/>
      <c r="P808" s="166"/>
      <c r="Q808" s="716"/>
      <c r="R808" s="714"/>
      <c r="S808" s="717"/>
      <c r="T808" s="714"/>
      <c r="U808" s="166"/>
      <c r="V808" s="166"/>
      <c r="W808" s="166"/>
      <c r="X808" s="166"/>
      <c r="Y808" s="718"/>
      <c r="Z808" s="719"/>
      <c r="AA808" s="719"/>
      <c r="AB808" s="166"/>
      <c r="AC808" s="166"/>
      <c r="AD808" s="166"/>
      <c r="AE808" s="87"/>
      <c r="AF808" s="87"/>
      <c r="AG808" s="87"/>
      <c r="AH808" s="87"/>
      <c r="AI808" s="87"/>
      <c r="AJ808" s="87"/>
      <c r="AK808" s="87"/>
      <c r="AL808" s="87"/>
      <c r="AM808" s="87"/>
    </row>
    <row r="809">
      <c r="A809" s="87"/>
      <c r="B809" s="166"/>
      <c r="C809" s="166"/>
      <c r="D809" s="166"/>
      <c r="E809" s="166"/>
      <c r="F809" s="714"/>
      <c r="G809" s="166"/>
      <c r="H809" s="166"/>
      <c r="I809" s="166"/>
      <c r="J809" s="166"/>
      <c r="K809" s="166"/>
      <c r="L809" s="166"/>
      <c r="M809" s="166"/>
      <c r="N809" s="715"/>
      <c r="O809" s="166"/>
      <c r="P809" s="166"/>
      <c r="Q809" s="716"/>
      <c r="R809" s="714"/>
      <c r="S809" s="717"/>
      <c r="T809" s="714"/>
      <c r="U809" s="166"/>
      <c r="V809" s="166"/>
      <c r="W809" s="166"/>
      <c r="X809" s="166"/>
      <c r="Y809" s="718"/>
      <c r="Z809" s="719"/>
      <c r="AA809" s="719"/>
      <c r="AB809" s="166"/>
      <c r="AC809" s="166"/>
      <c r="AD809" s="166"/>
      <c r="AE809" s="87"/>
      <c r="AF809" s="87"/>
      <c r="AG809" s="87"/>
      <c r="AH809" s="87"/>
      <c r="AI809" s="87"/>
      <c r="AJ809" s="87"/>
      <c r="AK809" s="87"/>
      <c r="AL809" s="87"/>
      <c r="AM809" s="87"/>
    </row>
    <row r="810">
      <c r="A810" s="87"/>
      <c r="B810" s="166"/>
      <c r="C810" s="166"/>
      <c r="D810" s="166"/>
      <c r="E810" s="166"/>
      <c r="F810" s="714"/>
      <c r="G810" s="166"/>
      <c r="H810" s="166"/>
      <c r="I810" s="166"/>
      <c r="J810" s="166"/>
      <c r="K810" s="166"/>
      <c r="L810" s="166"/>
      <c r="M810" s="166"/>
      <c r="N810" s="715"/>
      <c r="O810" s="166"/>
      <c r="P810" s="166"/>
      <c r="Q810" s="716"/>
      <c r="R810" s="714"/>
      <c r="S810" s="717"/>
      <c r="T810" s="714"/>
      <c r="U810" s="166"/>
      <c r="V810" s="166"/>
      <c r="W810" s="166"/>
      <c r="X810" s="166"/>
      <c r="Y810" s="718"/>
      <c r="Z810" s="719"/>
      <c r="AA810" s="719"/>
      <c r="AB810" s="166"/>
      <c r="AC810" s="166"/>
      <c r="AD810" s="166"/>
      <c r="AE810" s="87"/>
      <c r="AF810" s="87"/>
      <c r="AG810" s="87"/>
      <c r="AH810" s="87"/>
      <c r="AI810" s="87"/>
      <c r="AJ810" s="87"/>
      <c r="AK810" s="87"/>
      <c r="AL810" s="87"/>
      <c r="AM810" s="87"/>
    </row>
    <row r="811">
      <c r="A811" s="87"/>
      <c r="B811" s="166"/>
      <c r="C811" s="166"/>
      <c r="D811" s="166"/>
      <c r="E811" s="166"/>
      <c r="F811" s="714"/>
      <c r="G811" s="166"/>
      <c r="H811" s="166"/>
      <c r="I811" s="166"/>
      <c r="J811" s="166"/>
      <c r="K811" s="166"/>
      <c r="L811" s="166"/>
      <c r="M811" s="166"/>
      <c r="N811" s="715"/>
      <c r="O811" s="166"/>
      <c r="P811" s="166"/>
      <c r="Q811" s="716"/>
      <c r="R811" s="714"/>
      <c r="S811" s="717"/>
      <c r="T811" s="714"/>
      <c r="U811" s="166"/>
      <c r="V811" s="166"/>
      <c r="W811" s="166"/>
      <c r="X811" s="166"/>
      <c r="Y811" s="718"/>
      <c r="Z811" s="719"/>
      <c r="AA811" s="719"/>
      <c r="AB811" s="166"/>
      <c r="AC811" s="166"/>
      <c r="AD811" s="166"/>
      <c r="AE811" s="87"/>
      <c r="AF811" s="87"/>
      <c r="AG811" s="87"/>
      <c r="AH811" s="87"/>
      <c r="AI811" s="87"/>
      <c r="AJ811" s="87"/>
      <c r="AK811" s="87"/>
      <c r="AL811" s="87"/>
      <c r="AM811" s="87"/>
    </row>
    <row r="812">
      <c r="A812" s="87"/>
      <c r="B812" s="166"/>
      <c r="C812" s="166"/>
      <c r="D812" s="166"/>
      <c r="E812" s="166"/>
      <c r="F812" s="714"/>
      <c r="G812" s="166"/>
      <c r="H812" s="166"/>
      <c r="I812" s="166"/>
      <c r="J812" s="166"/>
      <c r="K812" s="166"/>
      <c r="L812" s="166"/>
      <c r="M812" s="166"/>
      <c r="N812" s="715"/>
      <c r="O812" s="166"/>
      <c r="P812" s="166"/>
      <c r="Q812" s="716"/>
      <c r="R812" s="714"/>
      <c r="S812" s="717"/>
      <c r="T812" s="714"/>
      <c r="U812" s="166"/>
      <c r="V812" s="166"/>
      <c r="W812" s="166"/>
      <c r="X812" s="166"/>
      <c r="Y812" s="718"/>
      <c r="Z812" s="719"/>
      <c r="AA812" s="719"/>
      <c r="AB812" s="166"/>
      <c r="AC812" s="166"/>
      <c r="AD812" s="166"/>
      <c r="AE812" s="87"/>
      <c r="AF812" s="87"/>
      <c r="AG812" s="87"/>
      <c r="AH812" s="87"/>
      <c r="AI812" s="87"/>
      <c r="AJ812" s="87"/>
      <c r="AK812" s="87"/>
      <c r="AL812" s="87"/>
      <c r="AM812" s="87"/>
    </row>
    <row r="813">
      <c r="A813" s="87"/>
      <c r="B813" s="166"/>
      <c r="C813" s="166"/>
      <c r="D813" s="166"/>
      <c r="E813" s="166"/>
      <c r="F813" s="714"/>
      <c r="G813" s="166"/>
      <c r="H813" s="166"/>
      <c r="I813" s="166"/>
      <c r="J813" s="166"/>
      <c r="K813" s="166"/>
      <c r="L813" s="166"/>
      <c r="M813" s="166"/>
      <c r="N813" s="715"/>
      <c r="O813" s="166"/>
      <c r="P813" s="166"/>
      <c r="Q813" s="716"/>
      <c r="R813" s="714"/>
      <c r="S813" s="717"/>
      <c r="T813" s="714"/>
      <c r="U813" s="166"/>
      <c r="V813" s="166"/>
      <c r="W813" s="166"/>
      <c r="X813" s="166"/>
      <c r="Y813" s="718"/>
      <c r="Z813" s="719"/>
      <c r="AA813" s="719"/>
      <c r="AB813" s="166"/>
      <c r="AC813" s="166"/>
      <c r="AD813" s="166"/>
      <c r="AE813" s="87"/>
      <c r="AF813" s="87"/>
      <c r="AG813" s="87"/>
      <c r="AH813" s="87"/>
      <c r="AI813" s="87"/>
      <c r="AJ813" s="87"/>
      <c r="AK813" s="87"/>
      <c r="AL813" s="87"/>
      <c r="AM813" s="87"/>
    </row>
    <row r="814">
      <c r="A814" s="87"/>
      <c r="B814" s="166"/>
      <c r="C814" s="166"/>
      <c r="D814" s="166"/>
      <c r="E814" s="166"/>
      <c r="F814" s="714"/>
      <c r="G814" s="166"/>
      <c r="H814" s="166"/>
      <c r="I814" s="166"/>
      <c r="J814" s="166"/>
      <c r="K814" s="166"/>
      <c r="L814" s="166"/>
      <c r="M814" s="166"/>
      <c r="N814" s="715"/>
      <c r="O814" s="166"/>
      <c r="P814" s="166"/>
      <c r="Q814" s="716"/>
      <c r="R814" s="714"/>
      <c r="S814" s="717"/>
      <c r="T814" s="714"/>
      <c r="U814" s="166"/>
      <c r="V814" s="166"/>
      <c r="W814" s="166"/>
      <c r="X814" s="166"/>
      <c r="Y814" s="718"/>
      <c r="Z814" s="719"/>
      <c r="AA814" s="719"/>
      <c r="AB814" s="166"/>
      <c r="AC814" s="166"/>
      <c r="AD814" s="166"/>
      <c r="AE814" s="87"/>
      <c r="AF814" s="87"/>
      <c r="AG814" s="87"/>
      <c r="AH814" s="87"/>
      <c r="AI814" s="87"/>
      <c r="AJ814" s="87"/>
      <c r="AK814" s="87"/>
      <c r="AL814" s="87"/>
      <c r="AM814" s="87"/>
    </row>
    <row r="815">
      <c r="A815" s="87"/>
      <c r="B815" s="166"/>
      <c r="C815" s="166"/>
      <c r="D815" s="166"/>
      <c r="E815" s="166"/>
      <c r="F815" s="714"/>
      <c r="G815" s="166"/>
      <c r="H815" s="166"/>
      <c r="I815" s="166"/>
      <c r="J815" s="166"/>
      <c r="K815" s="166"/>
      <c r="L815" s="166"/>
      <c r="M815" s="166"/>
      <c r="N815" s="715"/>
      <c r="O815" s="166"/>
      <c r="P815" s="166"/>
      <c r="Q815" s="716"/>
      <c r="R815" s="714"/>
      <c r="S815" s="717"/>
      <c r="T815" s="714"/>
      <c r="U815" s="166"/>
      <c r="V815" s="166"/>
      <c r="W815" s="166"/>
      <c r="X815" s="166"/>
      <c r="Y815" s="718"/>
      <c r="Z815" s="719"/>
      <c r="AA815" s="719"/>
      <c r="AB815" s="166"/>
      <c r="AC815" s="166"/>
      <c r="AD815" s="166"/>
      <c r="AE815" s="87"/>
      <c r="AF815" s="87"/>
      <c r="AG815" s="87"/>
      <c r="AH815" s="87"/>
      <c r="AI815" s="87"/>
      <c r="AJ815" s="87"/>
      <c r="AK815" s="87"/>
      <c r="AL815" s="87"/>
      <c r="AM815" s="87"/>
    </row>
    <row r="816">
      <c r="A816" s="87"/>
      <c r="B816" s="166"/>
      <c r="C816" s="166"/>
      <c r="D816" s="166"/>
      <c r="E816" s="166"/>
      <c r="F816" s="714"/>
      <c r="G816" s="166"/>
      <c r="H816" s="166"/>
      <c r="I816" s="166"/>
      <c r="J816" s="166"/>
      <c r="K816" s="166"/>
      <c r="L816" s="166"/>
      <c r="M816" s="166"/>
      <c r="N816" s="715"/>
      <c r="O816" s="166"/>
      <c r="P816" s="166"/>
      <c r="Q816" s="716"/>
      <c r="R816" s="714"/>
      <c r="S816" s="717"/>
      <c r="T816" s="714"/>
      <c r="U816" s="166"/>
      <c r="V816" s="166"/>
      <c r="W816" s="166"/>
      <c r="X816" s="166"/>
      <c r="Y816" s="718"/>
      <c r="Z816" s="719"/>
      <c r="AA816" s="719"/>
      <c r="AB816" s="166"/>
      <c r="AC816" s="166"/>
      <c r="AD816" s="166"/>
      <c r="AE816" s="87"/>
      <c r="AF816" s="87"/>
      <c r="AG816" s="87"/>
      <c r="AH816" s="87"/>
      <c r="AI816" s="87"/>
      <c r="AJ816" s="87"/>
      <c r="AK816" s="87"/>
      <c r="AL816" s="87"/>
      <c r="AM816" s="87"/>
    </row>
    <row r="817">
      <c r="A817" s="87"/>
      <c r="B817" s="166"/>
      <c r="C817" s="166"/>
      <c r="D817" s="166"/>
      <c r="E817" s="166"/>
      <c r="F817" s="714"/>
      <c r="G817" s="166"/>
      <c r="H817" s="166"/>
      <c r="I817" s="166"/>
      <c r="J817" s="166"/>
      <c r="K817" s="166"/>
      <c r="L817" s="166"/>
      <c r="M817" s="166"/>
      <c r="N817" s="715"/>
      <c r="O817" s="166"/>
      <c r="P817" s="166"/>
      <c r="Q817" s="716"/>
      <c r="R817" s="714"/>
      <c r="S817" s="717"/>
      <c r="T817" s="714"/>
      <c r="U817" s="166"/>
      <c r="V817" s="166"/>
      <c r="W817" s="166"/>
      <c r="X817" s="166"/>
      <c r="Y817" s="718"/>
      <c r="Z817" s="719"/>
      <c r="AA817" s="719"/>
      <c r="AB817" s="166"/>
      <c r="AC817" s="166"/>
      <c r="AD817" s="166"/>
      <c r="AE817" s="87"/>
      <c r="AF817" s="87"/>
      <c r="AG817" s="87"/>
      <c r="AH817" s="87"/>
      <c r="AI817" s="87"/>
      <c r="AJ817" s="87"/>
      <c r="AK817" s="87"/>
      <c r="AL817" s="87"/>
      <c r="AM817" s="87"/>
    </row>
    <row r="818">
      <c r="A818" s="87"/>
      <c r="B818" s="166"/>
      <c r="C818" s="166"/>
      <c r="D818" s="166"/>
      <c r="E818" s="166"/>
      <c r="F818" s="714"/>
      <c r="G818" s="166"/>
      <c r="H818" s="166"/>
      <c r="I818" s="166"/>
      <c r="J818" s="166"/>
      <c r="K818" s="166"/>
      <c r="L818" s="166"/>
      <c r="M818" s="166"/>
      <c r="N818" s="715"/>
      <c r="O818" s="166"/>
      <c r="P818" s="166"/>
      <c r="Q818" s="716"/>
      <c r="R818" s="714"/>
      <c r="S818" s="717"/>
      <c r="T818" s="714"/>
      <c r="U818" s="166"/>
      <c r="V818" s="166"/>
      <c r="W818" s="166"/>
      <c r="X818" s="166"/>
      <c r="Y818" s="718"/>
      <c r="Z818" s="719"/>
      <c r="AA818" s="719"/>
      <c r="AB818" s="166"/>
      <c r="AC818" s="166"/>
      <c r="AD818" s="166"/>
      <c r="AE818" s="87"/>
      <c r="AF818" s="87"/>
      <c r="AG818" s="87"/>
      <c r="AH818" s="87"/>
      <c r="AI818" s="87"/>
      <c r="AJ818" s="87"/>
      <c r="AK818" s="87"/>
      <c r="AL818" s="87"/>
      <c r="AM818" s="87"/>
    </row>
    <row r="819">
      <c r="A819" s="87"/>
      <c r="B819" s="166"/>
      <c r="C819" s="166"/>
      <c r="D819" s="166"/>
      <c r="E819" s="166"/>
      <c r="F819" s="714"/>
      <c r="G819" s="166"/>
      <c r="H819" s="166"/>
      <c r="I819" s="166"/>
      <c r="J819" s="166"/>
      <c r="K819" s="166"/>
      <c r="L819" s="166"/>
      <c r="M819" s="166"/>
      <c r="N819" s="715"/>
      <c r="O819" s="166"/>
      <c r="P819" s="166"/>
      <c r="Q819" s="716"/>
      <c r="R819" s="714"/>
      <c r="S819" s="717"/>
      <c r="T819" s="714"/>
      <c r="U819" s="166"/>
      <c r="V819" s="166"/>
      <c r="W819" s="166"/>
      <c r="X819" s="166"/>
      <c r="Y819" s="718"/>
      <c r="Z819" s="719"/>
      <c r="AA819" s="719"/>
      <c r="AB819" s="166"/>
      <c r="AC819" s="166"/>
      <c r="AD819" s="166"/>
      <c r="AE819" s="87"/>
      <c r="AF819" s="87"/>
      <c r="AG819" s="87"/>
      <c r="AH819" s="87"/>
      <c r="AI819" s="87"/>
      <c r="AJ819" s="87"/>
      <c r="AK819" s="87"/>
      <c r="AL819" s="87"/>
      <c r="AM819" s="87"/>
    </row>
    <row r="820">
      <c r="A820" s="87"/>
      <c r="B820" s="166"/>
      <c r="C820" s="166"/>
      <c r="D820" s="166"/>
      <c r="E820" s="166"/>
      <c r="F820" s="714"/>
      <c r="G820" s="166"/>
      <c r="H820" s="166"/>
      <c r="I820" s="166"/>
      <c r="J820" s="166"/>
      <c r="K820" s="166"/>
      <c r="L820" s="166"/>
      <c r="M820" s="166"/>
      <c r="N820" s="715"/>
      <c r="O820" s="166"/>
      <c r="P820" s="166"/>
      <c r="Q820" s="716"/>
      <c r="R820" s="714"/>
      <c r="S820" s="717"/>
      <c r="T820" s="714"/>
      <c r="U820" s="166"/>
      <c r="V820" s="166"/>
      <c r="W820" s="166"/>
      <c r="X820" s="166"/>
      <c r="Y820" s="718"/>
      <c r="Z820" s="719"/>
      <c r="AA820" s="719"/>
      <c r="AB820" s="166"/>
      <c r="AC820" s="166"/>
      <c r="AD820" s="166"/>
      <c r="AE820" s="87"/>
      <c r="AF820" s="87"/>
      <c r="AG820" s="87"/>
      <c r="AH820" s="87"/>
      <c r="AI820" s="87"/>
      <c r="AJ820" s="87"/>
      <c r="AK820" s="87"/>
      <c r="AL820" s="87"/>
      <c r="AM820" s="87"/>
    </row>
    <row r="821">
      <c r="A821" s="87"/>
      <c r="B821" s="166"/>
      <c r="C821" s="166"/>
      <c r="D821" s="166"/>
      <c r="E821" s="166"/>
      <c r="F821" s="714"/>
      <c r="G821" s="166"/>
      <c r="H821" s="166"/>
      <c r="I821" s="166"/>
      <c r="J821" s="166"/>
      <c r="K821" s="166"/>
      <c r="L821" s="166"/>
      <c r="M821" s="166"/>
      <c r="N821" s="715"/>
      <c r="O821" s="166"/>
      <c r="P821" s="166"/>
      <c r="Q821" s="716"/>
      <c r="R821" s="714"/>
      <c r="S821" s="717"/>
      <c r="T821" s="714"/>
      <c r="U821" s="166"/>
      <c r="V821" s="166"/>
      <c r="W821" s="166"/>
      <c r="X821" s="166"/>
      <c r="Y821" s="718"/>
      <c r="Z821" s="719"/>
      <c r="AA821" s="719"/>
      <c r="AB821" s="166"/>
      <c r="AC821" s="166"/>
      <c r="AD821" s="166"/>
      <c r="AE821" s="87"/>
      <c r="AF821" s="87"/>
      <c r="AG821" s="87"/>
      <c r="AH821" s="87"/>
      <c r="AI821" s="87"/>
      <c r="AJ821" s="87"/>
      <c r="AK821" s="87"/>
      <c r="AL821" s="87"/>
      <c r="AM821" s="87"/>
    </row>
    <row r="822">
      <c r="A822" s="87"/>
      <c r="B822" s="166"/>
      <c r="C822" s="166"/>
      <c r="D822" s="166"/>
      <c r="E822" s="166"/>
      <c r="F822" s="714"/>
      <c r="G822" s="166"/>
      <c r="H822" s="166"/>
      <c r="I822" s="166"/>
      <c r="J822" s="166"/>
      <c r="K822" s="166"/>
      <c r="L822" s="166"/>
      <c r="M822" s="166"/>
      <c r="N822" s="715"/>
      <c r="O822" s="166"/>
      <c r="P822" s="166"/>
      <c r="Q822" s="716"/>
      <c r="R822" s="714"/>
      <c r="S822" s="717"/>
      <c r="T822" s="714"/>
      <c r="U822" s="166"/>
      <c r="V822" s="166"/>
      <c r="W822" s="166"/>
      <c r="X822" s="166"/>
      <c r="Y822" s="718"/>
      <c r="Z822" s="719"/>
      <c r="AA822" s="719"/>
      <c r="AB822" s="166"/>
      <c r="AC822" s="166"/>
      <c r="AD822" s="166"/>
      <c r="AE822" s="87"/>
      <c r="AF822" s="87"/>
      <c r="AG822" s="87"/>
      <c r="AH822" s="87"/>
      <c r="AI822" s="87"/>
      <c r="AJ822" s="87"/>
      <c r="AK822" s="87"/>
      <c r="AL822" s="87"/>
      <c r="AM822" s="87"/>
    </row>
    <row r="823">
      <c r="A823" s="87"/>
      <c r="B823" s="166"/>
      <c r="C823" s="166"/>
      <c r="D823" s="166"/>
      <c r="E823" s="166"/>
      <c r="F823" s="714"/>
      <c r="G823" s="166"/>
      <c r="H823" s="166"/>
      <c r="I823" s="166"/>
      <c r="J823" s="166"/>
      <c r="K823" s="166"/>
      <c r="L823" s="166"/>
      <c r="M823" s="166"/>
      <c r="N823" s="715"/>
      <c r="O823" s="166"/>
      <c r="P823" s="166"/>
      <c r="Q823" s="716"/>
      <c r="R823" s="714"/>
      <c r="S823" s="717"/>
      <c r="T823" s="714"/>
      <c r="U823" s="166"/>
      <c r="V823" s="166"/>
      <c r="W823" s="166"/>
      <c r="X823" s="166"/>
      <c r="Y823" s="718"/>
      <c r="Z823" s="719"/>
      <c r="AA823" s="719"/>
      <c r="AB823" s="166"/>
      <c r="AC823" s="166"/>
      <c r="AD823" s="166"/>
      <c r="AE823" s="87"/>
      <c r="AF823" s="87"/>
      <c r="AG823" s="87"/>
      <c r="AH823" s="87"/>
      <c r="AI823" s="87"/>
      <c r="AJ823" s="87"/>
      <c r="AK823" s="87"/>
      <c r="AL823" s="87"/>
      <c r="AM823" s="87"/>
    </row>
    <row r="824">
      <c r="A824" s="87"/>
      <c r="B824" s="166"/>
      <c r="C824" s="166"/>
      <c r="D824" s="166"/>
      <c r="E824" s="166"/>
      <c r="F824" s="714"/>
      <c r="G824" s="166"/>
      <c r="H824" s="166"/>
      <c r="I824" s="166"/>
      <c r="J824" s="166"/>
      <c r="K824" s="166"/>
      <c r="L824" s="166"/>
      <c r="M824" s="166"/>
      <c r="N824" s="715"/>
      <c r="O824" s="166"/>
      <c r="P824" s="166"/>
      <c r="Q824" s="716"/>
      <c r="R824" s="714"/>
      <c r="S824" s="717"/>
      <c r="T824" s="714"/>
      <c r="U824" s="166"/>
      <c r="V824" s="166"/>
      <c r="W824" s="166"/>
      <c r="X824" s="166"/>
      <c r="Y824" s="718"/>
      <c r="Z824" s="719"/>
      <c r="AA824" s="719"/>
      <c r="AB824" s="166"/>
      <c r="AC824" s="166"/>
      <c r="AD824" s="166"/>
      <c r="AE824" s="87"/>
      <c r="AF824" s="87"/>
      <c r="AG824" s="87"/>
      <c r="AH824" s="87"/>
      <c r="AI824" s="87"/>
      <c r="AJ824" s="87"/>
      <c r="AK824" s="87"/>
      <c r="AL824" s="87"/>
      <c r="AM824" s="87"/>
    </row>
    <row r="825">
      <c r="A825" s="87"/>
      <c r="B825" s="166"/>
      <c r="C825" s="166"/>
      <c r="D825" s="166"/>
      <c r="E825" s="166"/>
      <c r="F825" s="714"/>
      <c r="G825" s="166"/>
      <c r="H825" s="166"/>
      <c r="I825" s="166"/>
      <c r="J825" s="166"/>
      <c r="K825" s="166"/>
      <c r="L825" s="166"/>
      <c r="M825" s="166"/>
      <c r="N825" s="715"/>
      <c r="O825" s="166"/>
      <c r="P825" s="166"/>
      <c r="Q825" s="716"/>
      <c r="R825" s="714"/>
      <c r="S825" s="717"/>
      <c r="T825" s="714"/>
      <c r="U825" s="166"/>
      <c r="V825" s="166"/>
      <c r="W825" s="166"/>
      <c r="X825" s="166"/>
      <c r="Y825" s="718"/>
      <c r="Z825" s="719"/>
      <c r="AA825" s="719"/>
      <c r="AB825" s="166"/>
      <c r="AC825" s="166"/>
      <c r="AD825" s="166"/>
      <c r="AE825" s="87"/>
      <c r="AF825" s="87"/>
      <c r="AG825" s="87"/>
      <c r="AH825" s="87"/>
      <c r="AI825" s="87"/>
      <c r="AJ825" s="87"/>
      <c r="AK825" s="87"/>
      <c r="AL825" s="87"/>
      <c r="AM825" s="87"/>
    </row>
    <row r="826">
      <c r="A826" s="87"/>
      <c r="B826" s="166"/>
      <c r="C826" s="166"/>
      <c r="D826" s="166"/>
      <c r="E826" s="166"/>
      <c r="F826" s="714"/>
      <c r="G826" s="166"/>
      <c r="H826" s="166"/>
      <c r="I826" s="166"/>
      <c r="J826" s="166"/>
      <c r="K826" s="166"/>
      <c r="L826" s="166"/>
      <c r="M826" s="166"/>
      <c r="N826" s="715"/>
      <c r="O826" s="166"/>
      <c r="P826" s="166"/>
      <c r="Q826" s="716"/>
      <c r="R826" s="714"/>
      <c r="S826" s="717"/>
      <c r="T826" s="714"/>
      <c r="U826" s="166"/>
      <c r="V826" s="166"/>
      <c r="W826" s="166"/>
      <c r="X826" s="166"/>
      <c r="Y826" s="718"/>
      <c r="Z826" s="719"/>
      <c r="AA826" s="719"/>
      <c r="AB826" s="166"/>
      <c r="AC826" s="166"/>
      <c r="AD826" s="166"/>
      <c r="AE826" s="87"/>
      <c r="AF826" s="87"/>
      <c r="AG826" s="87"/>
      <c r="AH826" s="87"/>
      <c r="AI826" s="87"/>
      <c r="AJ826" s="87"/>
      <c r="AK826" s="87"/>
      <c r="AL826" s="87"/>
      <c r="AM826" s="87"/>
    </row>
    <row r="827">
      <c r="A827" s="87"/>
      <c r="B827" s="166"/>
      <c r="C827" s="166"/>
      <c r="D827" s="166"/>
      <c r="E827" s="166"/>
      <c r="F827" s="714"/>
      <c r="G827" s="166"/>
      <c r="H827" s="166"/>
      <c r="I827" s="166"/>
      <c r="J827" s="166"/>
      <c r="K827" s="166"/>
      <c r="L827" s="166"/>
      <c r="M827" s="166"/>
      <c r="N827" s="715"/>
      <c r="O827" s="166"/>
      <c r="P827" s="166"/>
      <c r="Q827" s="716"/>
      <c r="R827" s="714"/>
      <c r="S827" s="717"/>
      <c r="T827" s="714"/>
      <c r="U827" s="166"/>
      <c r="V827" s="166"/>
      <c r="W827" s="166"/>
      <c r="X827" s="166"/>
      <c r="Y827" s="718"/>
      <c r="Z827" s="719"/>
      <c r="AA827" s="719"/>
      <c r="AB827" s="166"/>
      <c r="AC827" s="166"/>
      <c r="AD827" s="166"/>
      <c r="AE827" s="87"/>
      <c r="AF827" s="87"/>
      <c r="AG827" s="87"/>
      <c r="AH827" s="87"/>
      <c r="AI827" s="87"/>
      <c r="AJ827" s="87"/>
      <c r="AK827" s="87"/>
      <c r="AL827" s="87"/>
      <c r="AM827" s="87"/>
    </row>
    <row r="828">
      <c r="A828" s="87"/>
      <c r="B828" s="166"/>
      <c r="C828" s="166"/>
      <c r="D828" s="166"/>
      <c r="E828" s="166"/>
      <c r="F828" s="714"/>
      <c r="G828" s="166"/>
      <c r="H828" s="166"/>
      <c r="I828" s="166"/>
      <c r="J828" s="166"/>
      <c r="K828" s="166"/>
      <c r="L828" s="166"/>
      <c r="M828" s="166"/>
      <c r="N828" s="715"/>
      <c r="O828" s="166"/>
      <c r="P828" s="166"/>
      <c r="Q828" s="716"/>
      <c r="R828" s="714"/>
      <c r="S828" s="717"/>
      <c r="T828" s="714"/>
      <c r="U828" s="166"/>
      <c r="V828" s="166"/>
      <c r="W828" s="166"/>
      <c r="X828" s="166"/>
      <c r="Y828" s="718"/>
      <c r="Z828" s="719"/>
      <c r="AA828" s="719"/>
      <c r="AB828" s="166"/>
      <c r="AC828" s="166"/>
      <c r="AD828" s="166"/>
      <c r="AE828" s="87"/>
      <c r="AF828" s="87"/>
      <c r="AG828" s="87"/>
      <c r="AH828" s="87"/>
      <c r="AI828" s="87"/>
      <c r="AJ828" s="87"/>
      <c r="AK828" s="87"/>
      <c r="AL828" s="87"/>
      <c r="AM828" s="87"/>
    </row>
    <row r="829">
      <c r="A829" s="87"/>
      <c r="B829" s="166"/>
      <c r="C829" s="166"/>
      <c r="D829" s="166"/>
      <c r="E829" s="166"/>
      <c r="F829" s="714"/>
      <c r="G829" s="166"/>
      <c r="H829" s="166"/>
      <c r="I829" s="166"/>
      <c r="J829" s="166"/>
      <c r="K829" s="166"/>
      <c r="L829" s="166"/>
      <c r="M829" s="166"/>
      <c r="N829" s="715"/>
      <c r="O829" s="166"/>
      <c r="P829" s="166"/>
      <c r="Q829" s="716"/>
      <c r="R829" s="714"/>
      <c r="S829" s="717"/>
      <c r="T829" s="714"/>
      <c r="U829" s="166"/>
      <c r="V829" s="166"/>
      <c r="W829" s="166"/>
      <c r="X829" s="166"/>
      <c r="Y829" s="718"/>
      <c r="Z829" s="719"/>
      <c r="AA829" s="719"/>
      <c r="AB829" s="166"/>
      <c r="AC829" s="166"/>
      <c r="AD829" s="166"/>
      <c r="AE829" s="87"/>
      <c r="AF829" s="87"/>
      <c r="AG829" s="87"/>
      <c r="AH829" s="87"/>
      <c r="AI829" s="87"/>
      <c r="AJ829" s="87"/>
      <c r="AK829" s="87"/>
      <c r="AL829" s="87"/>
      <c r="AM829" s="87"/>
    </row>
    <row r="830">
      <c r="A830" s="87"/>
      <c r="B830" s="166"/>
      <c r="C830" s="166"/>
      <c r="D830" s="166"/>
      <c r="E830" s="166"/>
      <c r="F830" s="714"/>
      <c r="G830" s="166"/>
      <c r="H830" s="166"/>
      <c r="I830" s="166"/>
      <c r="J830" s="166"/>
      <c r="K830" s="166"/>
      <c r="L830" s="166"/>
      <c r="M830" s="166"/>
      <c r="N830" s="715"/>
      <c r="O830" s="166"/>
      <c r="P830" s="166"/>
      <c r="Q830" s="716"/>
      <c r="R830" s="714"/>
      <c r="S830" s="717"/>
      <c r="T830" s="714"/>
      <c r="U830" s="166"/>
      <c r="V830" s="166"/>
      <c r="W830" s="166"/>
      <c r="X830" s="166"/>
      <c r="Y830" s="718"/>
      <c r="Z830" s="719"/>
      <c r="AA830" s="719"/>
      <c r="AB830" s="166"/>
      <c r="AC830" s="166"/>
      <c r="AD830" s="166"/>
      <c r="AE830" s="87"/>
      <c r="AF830" s="87"/>
      <c r="AG830" s="87"/>
      <c r="AH830" s="87"/>
      <c r="AI830" s="87"/>
      <c r="AJ830" s="87"/>
      <c r="AK830" s="87"/>
      <c r="AL830" s="87"/>
      <c r="AM830" s="87"/>
    </row>
    <row r="831">
      <c r="A831" s="87"/>
      <c r="B831" s="166"/>
      <c r="C831" s="166"/>
      <c r="D831" s="166"/>
      <c r="E831" s="166"/>
      <c r="F831" s="714"/>
      <c r="G831" s="166"/>
      <c r="H831" s="166"/>
      <c r="I831" s="166"/>
      <c r="J831" s="166"/>
      <c r="K831" s="166"/>
      <c r="L831" s="166"/>
      <c r="M831" s="166"/>
      <c r="N831" s="715"/>
      <c r="O831" s="166"/>
      <c r="P831" s="166"/>
      <c r="Q831" s="716"/>
      <c r="R831" s="714"/>
      <c r="S831" s="717"/>
      <c r="T831" s="714"/>
      <c r="U831" s="166"/>
      <c r="V831" s="166"/>
      <c r="W831" s="166"/>
      <c r="X831" s="166"/>
      <c r="Y831" s="718"/>
      <c r="Z831" s="719"/>
      <c r="AA831" s="719"/>
      <c r="AB831" s="166"/>
      <c r="AC831" s="166"/>
      <c r="AD831" s="166"/>
      <c r="AE831" s="87"/>
      <c r="AF831" s="87"/>
      <c r="AG831" s="87"/>
      <c r="AH831" s="87"/>
      <c r="AI831" s="87"/>
      <c r="AJ831" s="87"/>
      <c r="AK831" s="87"/>
      <c r="AL831" s="87"/>
      <c r="AM831" s="87"/>
    </row>
    <row r="832">
      <c r="A832" s="87"/>
      <c r="B832" s="166"/>
      <c r="C832" s="166"/>
      <c r="D832" s="166"/>
      <c r="E832" s="166"/>
      <c r="F832" s="714"/>
      <c r="G832" s="166"/>
      <c r="H832" s="166"/>
      <c r="I832" s="166"/>
      <c r="J832" s="166"/>
      <c r="K832" s="166"/>
      <c r="L832" s="166"/>
      <c r="M832" s="166"/>
      <c r="N832" s="715"/>
      <c r="O832" s="166"/>
      <c r="P832" s="166"/>
      <c r="Q832" s="716"/>
      <c r="R832" s="714"/>
      <c r="S832" s="717"/>
      <c r="T832" s="714"/>
      <c r="U832" s="166"/>
      <c r="V832" s="166"/>
      <c r="W832" s="166"/>
      <c r="X832" s="166"/>
      <c r="Y832" s="718"/>
      <c r="Z832" s="719"/>
      <c r="AA832" s="719"/>
      <c r="AB832" s="166"/>
      <c r="AC832" s="166"/>
      <c r="AD832" s="166"/>
      <c r="AE832" s="87"/>
      <c r="AF832" s="87"/>
      <c r="AG832" s="87"/>
      <c r="AH832" s="87"/>
      <c r="AI832" s="87"/>
      <c r="AJ832" s="87"/>
      <c r="AK832" s="87"/>
      <c r="AL832" s="87"/>
      <c r="AM832" s="87"/>
    </row>
    <row r="833">
      <c r="A833" s="87"/>
      <c r="B833" s="166"/>
      <c r="C833" s="166"/>
      <c r="D833" s="166"/>
      <c r="E833" s="166"/>
      <c r="F833" s="714"/>
      <c r="G833" s="166"/>
      <c r="H833" s="166"/>
      <c r="I833" s="166"/>
      <c r="J833" s="166"/>
      <c r="K833" s="166"/>
      <c r="L833" s="166"/>
      <c r="M833" s="166"/>
      <c r="N833" s="715"/>
      <c r="O833" s="166"/>
      <c r="P833" s="166"/>
      <c r="Q833" s="716"/>
      <c r="R833" s="714"/>
      <c r="S833" s="717"/>
      <c r="T833" s="714"/>
      <c r="U833" s="166"/>
      <c r="V833" s="166"/>
      <c r="W833" s="166"/>
      <c r="X833" s="166"/>
      <c r="Y833" s="718"/>
      <c r="Z833" s="719"/>
      <c r="AA833" s="719"/>
      <c r="AB833" s="166"/>
      <c r="AC833" s="166"/>
      <c r="AD833" s="166"/>
      <c r="AE833" s="87"/>
      <c r="AF833" s="87"/>
      <c r="AG833" s="87"/>
      <c r="AH833" s="87"/>
      <c r="AI833" s="87"/>
      <c r="AJ833" s="87"/>
      <c r="AK833" s="87"/>
      <c r="AL833" s="87"/>
      <c r="AM833" s="87"/>
    </row>
    <row r="834">
      <c r="A834" s="87"/>
      <c r="B834" s="166"/>
      <c r="C834" s="166"/>
      <c r="D834" s="166"/>
      <c r="E834" s="166"/>
      <c r="F834" s="714"/>
      <c r="G834" s="166"/>
      <c r="H834" s="166"/>
      <c r="I834" s="166"/>
      <c r="J834" s="166"/>
      <c r="K834" s="166"/>
      <c r="L834" s="166"/>
      <c r="M834" s="166"/>
      <c r="N834" s="715"/>
      <c r="O834" s="166"/>
      <c r="P834" s="166"/>
      <c r="Q834" s="716"/>
      <c r="R834" s="714"/>
      <c r="S834" s="717"/>
      <c r="T834" s="714"/>
      <c r="U834" s="166"/>
      <c r="V834" s="166"/>
      <c r="W834" s="166"/>
      <c r="X834" s="166"/>
      <c r="Y834" s="718"/>
      <c r="Z834" s="719"/>
      <c r="AA834" s="719"/>
      <c r="AB834" s="166"/>
      <c r="AC834" s="166"/>
      <c r="AD834" s="166"/>
      <c r="AE834" s="87"/>
      <c r="AF834" s="87"/>
      <c r="AG834" s="87"/>
      <c r="AH834" s="87"/>
      <c r="AI834" s="87"/>
      <c r="AJ834" s="87"/>
      <c r="AK834" s="87"/>
      <c r="AL834" s="87"/>
      <c r="AM834" s="87"/>
    </row>
    <row r="835">
      <c r="A835" s="87"/>
      <c r="B835" s="166"/>
      <c r="C835" s="166"/>
      <c r="D835" s="166"/>
      <c r="E835" s="166"/>
      <c r="F835" s="714"/>
      <c r="G835" s="166"/>
      <c r="H835" s="166"/>
      <c r="I835" s="166"/>
      <c r="J835" s="166"/>
      <c r="K835" s="166"/>
      <c r="L835" s="166"/>
      <c r="M835" s="166"/>
      <c r="N835" s="715"/>
      <c r="O835" s="166"/>
      <c r="P835" s="166"/>
      <c r="Q835" s="716"/>
      <c r="R835" s="714"/>
      <c r="S835" s="717"/>
      <c r="T835" s="714"/>
      <c r="U835" s="166"/>
      <c r="V835" s="166"/>
      <c r="W835" s="166"/>
      <c r="X835" s="166"/>
      <c r="Y835" s="718"/>
      <c r="Z835" s="719"/>
      <c r="AA835" s="719"/>
      <c r="AB835" s="166"/>
      <c r="AC835" s="166"/>
      <c r="AD835" s="166"/>
      <c r="AE835" s="87"/>
      <c r="AF835" s="87"/>
      <c r="AG835" s="87"/>
      <c r="AH835" s="87"/>
      <c r="AI835" s="87"/>
      <c r="AJ835" s="87"/>
      <c r="AK835" s="87"/>
      <c r="AL835" s="87"/>
      <c r="AM835" s="87"/>
    </row>
    <row r="836">
      <c r="A836" s="87"/>
      <c r="B836" s="166"/>
      <c r="C836" s="166"/>
      <c r="D836" s="166"/>
      <c r="E836" s="166"/>
      <c r="F836" s="714"/>
      <c r="G836" s="166"/>
      <c r="H836" s="166"/>
      <c r="I836" s="166"/>
      <c r="J836" s="166"/>
      <c r="K836" s="166"/>
      <c r="L836" s="166"/>
      <c r="M836" s="166"/>
      <c r="N836" s="715"/>
      <c r="O836" s="166"/>
      <c r="P836" s="166"/>
      <c r="Q836" s="716"/>
      <c r="R836" s="714"/>
      <c r="S836" s="717"/>
      <c r="T836" s="714"/>
      <c r="U836" s="166"/>
      <c r="V836" s="166"/>
      <c r="W836" s="166"/>
      <c r="X836" s="166"/>
      <c r="Y836" s="718"/>
      <c r="Z836" s="719"/>
      <c r="AA836" s="719"/>
      <c r="AB836" s="166"/>
      <c r="AC836" s="166"/>
      <c r="AD836" s="166"/>
      <c r="AE836" s="87"/>
      <c r="AF836" s="87"/>
      <c r="AG836" s="87"/>
      <c r="AH836" s="87"/>
      <c r="AI836" s="87"/>
      <c r="AJ836" s="87"/>
      <c r="AK836" s="87"/>
      <c r="AL836" s="87"/>
      <c r="AM836" s="87"/>
    </row>
    <row r="837">
      <c r="A837" s="87"/>
      <c r="B837" s="166"/>
      <c r="C837" s="166"/>
      <c r="D837" s="166"/>
      <c r="E837" s="166"/>
      <c r="F837" s="714"/>
      <c r="G837" s="166"/>
      <c r="H837" s="166"/>
      <c r="I837" s="166"/>
      <c r="J837" s="166"/>
      <c r="K837" s="166"/>
      <c r="L837" s="166"/>
      <c r="M837" s="166"/>
      <c r="N837" s="715"/>
      <c r="O837" s="166"/>
      <c r="P837" s="166"/>
      <c r="Q837" s="716"/>
      <c r="R837" s="714"/>
      <c r="S837" s="717"/>
      <c r="T837" s="714"/>
      <c r="U837" s="166"/>
      <c r="V837" s="166"/>
      <c r="W837" s="166"/>
      <c r="X837" s="166"/>
      <c r="Y837" s="718"/>
      <c r="Z837" s="719"/>
      <c r="AA837" s="719"/>
      <c r="AB837" s="166"/>
      <c r="AC837" s="166"/>
      <c r="AD837" s="166"/>
      <c r="AE837" s="87"/>
      <c r="AF837" s="87"/>
      <c r="AG837" s="87"/>
      <c r="AH837" s="87"/>
      <c r="AI837" s="87"/>
      <c r="AJ837" s="87"/>
      <c r="AK837" s="87"/>
      <c r="AL837" s="87"/>
      <c r="AM837" s="87"/>
    </row>
    <row r="838">
      <c r="A838" s="87"/>
      <c r="B838" s="166"/>
      <c r="C838" s="166"/>
      <c r="D838" s="166"/>
      <c r="E838" s="166"/>
      <c r="F838" s="714"/>
      <c r="G838" s="166"/>
      <c r="H838" s="166"/>
      <c r="I838" s="166"/>
      <c r="J838" s="166"/>
      <c r="K838" s="166"/>
      <c r="L838" s="166"/>
      <c r="M838" s="166"/>
      <c r="N838" s="715"/>
      <c r="O838" s="166"/>
      <c r="P838" s="166"/>
      <c r="Q838" s="716"/>
      <c r="R838" s="714"/>
      <c r="S838" s="717"/>
      <c r="T838" s="714"/>
      <c r="U838" s="166"/>
      <c r="V838" s="166"/>
      <c r="W838" s="166"/>
      <c r="X838" s="166"/>
      <c r="Y838" s="718"/>
      <c r="Z838" s="719"/>
      <c r="AA838" s="719"/>
      <c r="AB838" s="166"/>
      <c r="AC838" s="166"/>
      <c r="AD838" s="166"/>
      <c r="AE838" s="87"/>
      <c r="AF838" s="87"/>
      <c r="AG838" s="87"/>
      <c r="AH838" s="87"/>
      <c r="AI838" s="87"/>
      <c r="AJ838" s="87"/>
      <c r="AK838" s="87"/>
      <c r="AL838" s="87"/>
      <c r="AM838" s="87"/>
    </row>
    <row r="839">
      <c r="A839" s="87"/>
      <c r="B839" s="166"/>
      <c r="C839" s="166"/>
      <c r="D839" s="166"/>
      <c r="E839" s="166"/>
      <c r="F839" s="714"/>
      <c r="G839" s="166"/>
      <c r="H839" s="166"/>
      <c r="I839" s="166"/>
      <c r="J839" s="166"/>
      <c r="K839" s="166"/>
      <c r="L839" s="166"/>
      <c r="M839" s="166"/>
      <c r="N839" s="715"/>
      <c r="O839" s="166"/>
      <c r="P839" s="166"/>
      <c r="Q839" s="716"/>
      <c r="R839" s="714"/>
      <c r="S839" s="717"/>
      <c r="T839" s="714"/>
      <c r="U839" s="166"/>
      <c r="V839" s="166"/>
      <c r="W839" s="166"/>
      <c r="X839" s="166"/>
      <c r="Y839" s="718"/>
      <c r="Z839" s="719"/>
      <c r="AA839" s="719"/>
      <c r="AB839" s="166"/>
      <c r="AC839" s="166"/>
      <c r="AD839" s="166"/>
      <c r="AE839" s="87"/>
      <c r="AF839" s="87"/>
      <c r="AG839" s="87"/>
      <c r="AH839" s="87"/>
      <c r="AI839" s="87"/>
      <c r="AJ839" s="87"/>
      <c r="AK839" s="87"/>
      <c r="AL839" s="87"/>
      <c r="AM839" s="87"/>
    </row>
    <row r="840">
      <c r="A840" s="87"/>
      <c r="B840" s="166"/>
      <c r="C840" s="166"/>
      <c r="D840" s="166"/>
      <c r="E840" s="166"/>
      <c r="F840" s="714"/>
      <c r="G840" s="166"/>
      <c r="H840" s="166"/>
      <c r="I840" s="166"/>
      <c r="J840" s="166"/>
      <c r="K840" s="166"/>
      <c r="L840" s="166"/>
      <c r="M840" s="166"/>
      <c r="N840" s="715"/>
      <c r="O840" s="166"/>
      <c r="P840" s="166"/>
      <c r="Q840" s="716"/>
      <c r="R840" s="714"/>
      <c r="S840" s="717"/>
      <c r="T840" s="714"/>
      <c r="U840" s="166"/>
      <c r="V840" s="166"/>
      <c r="W840" s="166"/>
      <c r="X840" s="166"/>
      <c r="Y840" s="718"/>
      <c r="Z840" s="719"/>
      <c r="AA840" s="719"/>
      <c r="AB840" s="166"/>
      <c r="AC840" s="166"/>
      <c r="AD840" s="166"/>
      <c r="AE840" s="87"/>
      <c r="AF840" s="87"/>
      <c r="AG840" s="87"/>
      <c r="AH840" s="87"/>
      <c r="AI840" s="87"/>
      <c r="AJ840" s="87"/>
      <c r="AK840" s="87"/>
      <c r="AL840" s="87"/>
      <c r="AM840" s="87"/>
    </row>
    <row r="841">
      <c r="A841" s="87"/>
      <c r="B841" s="166"/>
      <c r="C841" s="166"/>
      <c r="D841" s="166"/>
      <c r="E841" s="166"/>
      <c r="F841" s="714"/>
      <c r="G841" s="166"/>
      <c r="H841" s="166"/>
      <c r="I841" s="166"/>
      <c r="J841" s="166"/>
      <c r="K841" s="166"/>
      <c r="L841" s="166"/>
      <c r="M841" s="166"/>
      <c r="N841" s="715"/>
      <c r="O841" s="166"/>
      <c r="P841" s="166"/>
      <c r="Q841" s="716"/>
      <c r="R841" s="714"/>
      <c r="S841" s="717"/>
      <c r="T841" s="714"/>
      <c r="U841" s="166"/>
      <c r="V841" s="166"/>
      <c r="W841" s="166"/>
      <c r="X841" s="166"/>
      <c r="Y841" s="718"/>
      <c r="Z841" s="719"/>
      <c r="AA841" s="719"/>
      <c r="AB841" s="166"/>
      <c r="AC841" s="166"/>
      <c r="AD841" s="166"/>
      <c r="AE841" s="87"/>
      <c r="AF841" s="87"/>
      <c r="AG841" s="87"/>
      <c r="AH841" s="87"/>
      <c r="AI841" s="87"/>
      <c r="AJ841" s="87"/>
      <c r="AK841" s="87"/>
      <c r="AL841" s="87"/>
      <c r="AM841" s="87"/>
    </row>
    <row r="842">
      <c r="A842" s="87"/>
      <c r="B842" s="166"/>
      <c r="C842" s="166"/>
      <c r="D842" s="166"/>
      <c r="E842" s="166"/>
      <c r="F842" s="714"/>
      <c r="G842" s="166"/>
      <c r="H842" s="166"/>
      <c r="I842" s="166"/>
      <c r="J842" s="166"/>
      <c r="K842" s="166"/>
      <c r="L842" s="166"/>
      <c r="M842" s="166"/>
      <c r="N842" s="715"/>
      <c r="O842" s="166"/>
      <c r="P842" s="166"/>
      <c r="Q842" s="716"/>
      <c r="R842" s="714"/>
      <c r="S842" s="717"/>
      <c r="T842" s="714"/>
      <c r="U842" s="166"/>
      <c r="V842" s="166"/>
      <c r="W842" s="166"/>
      <c r="X842" s="166"/>
      <c r="Y842" s="718"/>
      <c r="Z842" s="719"/>
      <c r="AA842" s="719"/>
      <c r="AB842" s="166"/>
      <c r="AC842" s="166"/>
      <c r="AD842" s="166"/>
      <c r="AE842" s="87"/>
      <c r="AF842" s="87"/>
      <c r="AG842" s="87"/>
      <c r="AH842" s="87"/>
      <c r="AI842" s="87"/>
      <c r="AJ842" s="87"/>
      <c r="AK842" s="87"/>
      <c r="AL842" s="87"/>
      <c r="AM842" s="87"/>
    </row>
    <row r="843">
      <c r="A843" s="87"/>
      <c r="B843" s="166"/>
      <c r="C843" s="166"/>
      <c r="D843" s="166"/>
      <c r="E843" s="166"/>
      <c r="F843" s="714"/>
      <c r="G843" s="166"/>
      <c r="H843" s="166"/>
      <c r="I843" s="166"/>
      <c r="J843" s="166"/>
      <c r="K843" s="166"/>
      <c r="L843" s="166"/>
      <c r="M843" s="166"/>
      <c r="N843" s="715"/>
      <c r="O843" s="166"/>
      <c r="P843" s="166"/>
      <c r="Q843" s="716"/>
      <c r="R843" s="714"/>
      <c r="S843" s="717"/>
      <c r="T843" s="714"/>
      <c r="U843" s="166"/>
      <c r="V843" s="166"/>
      <c r="W843" s="166"/>
      <c r="X843" s="166"/>
      <c r="Y843" s="718"/>
      <c r="Z843" s="719"/>
      <c r="AA843" s="719"/>
      <c r="AB843" s="166"/>
      <c r="AC843" s="166"/>
      <c r="AD843" s="166"/>
      <c r="AE843" s="87"/>
      <c r="AF843" s="87"/>
      <c r="AG843" s="87"/>
      <c r="AH843" s="87"/>
      <c r="AI843" s="87"/>
      <c r="AJ843" s="87"/>
      <c r="AK843" s="87"/>
      <c r="AL843" s="87"/>
      <c r="AM843" s="87"/>
    </row>
    <row r="844">
      <c r="A844" s="87"/>
      <c r="B844" s="166"/>
      <c r="C844" s="166"/>
      <c r="D844" s="166"/>
      <c r="E844" s="166"/>
      <c r="F844" s="714"/>
      <c r="G844" s="166"/>
      <c r="H844" s="166"/>
      <c r="I844" s="166"/>
      <c r="J844" s="166"/>
      <c r="K844" s="166"/>
      <c r="L844" s="166"/>
      <c r="M844" s="166"/>
      <c r="N844" s="715"/>
      <c r="O844" s="166"/>
      <c r="P844" s="166"/>
      <c r="Q844" s="716"/>
      <c r="R844" s="714"/>
      <c r="S844" s="717"/>
      <c r="T844" s="714"/>
      <c r="U844" s="166"/>
      <c r="V844" s="166"/>
      <c r="W844" s="166"/>
      <c r="X844" s="166"/>
      <c r="Y844" s="718"/>
      <c r="Z844" s="719"/>
      <c r="AA844" s="719"/>
      <c r="AB844" s="166"/>
      <c r="AC844" s="166"/>
      <c r="AD844" s="166"/>
      <c r="AE844" s="87"/>
      <c r="AF844" s="87"/>
      <c r="AG844" s="87"/>
      <c r="AH844" s="87"/>
      <c r="AI844" s="87"/>
      <c r="AJ844" s="87"/>
      <c r="AK844" s="87"/>
      <c r="AL844" s="87"/>
      <c r="AM844" s="87"/>
    </row>
    <row r="845">
      <c r="A845" s="87"/>
      <c r="B845" s="166"/>
      <c r="C845" s="166"/>
      <c r="D845" s="166"/>
      <c r="E845" s="166"/>
      <c r="F845" s="714"/>
      <c r="G845" s="166"/>
      <c r="H845" s="166"/>
      <c r="I845" s="166"/>
      <c r="J845" s="166"/>
      <c r="K845" s="166"/>
      <c r="L845" s="166"/>
      <c r="M845" s="166"/>
      <c r="N845" s="715"/>
      <c r="O845" s="166"/>
      <c r="P845" s="166"/>
      <c r="Q845" s="716"/>
      <c r="R845" s="714"/>
      <c r="S845" s="717"/>
      <c r="T845" s="714"/>
      <c r="U845" s="166"/>
      <c r="V845" s="166"/>
      <c r="W845" s="166"/>
      <c r="X845" s="166"/>
      <c r="Y845" s="718"/>
      <c r="Z845" s="719"/>
      <c r="AA845" s="719"/>
      <c r="AB845" s="166"/>
      <c r="AC845" s="166"/>
      <c r="AD845" s="166"/>
      <c r="AE845" s="87"/>
      <c r="AF845" s="87"/>
      <c r="AG845" s="87"/>
      <c r="AH845" s="87"/>
      <c r="AI845" s="87"/>
      <c r="AJ845" s="87"/>
      <c r="AK845" s="87"/>
      <c r="AL845" s="87"/>
      <c r="AM845" s="87"/>
    </row>
    <row r="846">
      <c r="A846" s="87"/>
      <c r="B846" s="166"/>
      <c r="C846" s="166"/>
      <c r="D846" s="166"/>
      <c r="E846" s="166"/>
      <c r="F846" s="714"/>
      <c r="G846" s="166"/>
      <c r="H846" s="166"/>
      <c r="I846" s="166"/>
      <c r="J846" s="166"/>
      <c r="K846" s="166"/>
      <c r="L846" s="166"/>
      <c r="M846" s="166"/>
      <c r="N846" s="715"/>
      <c r="O846" s="166"/>
      <c r="P846" s="166"/>
      <c r="Q846" s="716"/>
      <c r="R846" s="714"/>
      <c r="S846" s="717"/>
      <c r="T846" s="714"/>
      <c r="U846" s="166"/>
      <c r="V846" s="166"/>
      <c r="W846" s="166"/>
      <c r="X846" s="166"/>
      <c r="Y846" s="718"/>
      <c r="Z846" s="719"/>
      <c r="AA846" s="719"/>
      <c r="AB846" s="166"/>
      <c r="AC846" s="166"/>
      <c r="AD846" s="166"/>
      <c r="AE846" s="87"/>
      <c r="AF846" s="87"/>
      <c r="AG846" s="87"/>
      <c r="AH846" s="87"/>
      <c r="AI846" s="87"/>
      <c r="AJ846" s="87"/>
      <c r="AK846" s="87"/>
      <c r="AL846" s="87"/>
      <c r="AM846" s="87"/>
    </row>
    <row r="847">
      <c r="A847" s="87"/>
      <c r="B847" s="166"/>
      <c r="C847" s="166"/>
      <c r="D847" s="166"/>
      <c r="E847" s="166"/>
      <c r="F847" s="714"/>
      <c r="G847" s="166"/>
      <c r="H847" s="166"/>
      <c r="I847" s="166"/>
      <c r="J847" s="166"/>
      <c r="K847" s="166"/>
      <c r="L847" s="166"/>
      <c r="M847" s="166"/>
      <c r="N847" s="715"/>
      <c r="O847" s="166"/>
      <c r="P847" s="166"/>
      <c r="Q847" s="716"/>
      <c r="R847" s="714"/>
      <c r="S847" s="717"/>
      <c r="T847" s="714"/>
      <c r="U847" s="166"/>
      <c r="V847" s="166"/>
      <c r="W847" s="166"/>
      <c r="X847" s="166"/>
      <c r="Y847" s="718"/>
      <c r="Z847" s="719"/>
      <c r="AA847" s="719"/>
      <c r="AB847" s="166"/>
      <c r="AC847" s="166"/>
      <c r="AD847" s="166"/>
      <c r="AE847" s="87"/>
      <c r="AF847" s="87"/>
      <c r="AG847" s="87"/>
      <c r="AH847" s="87"/>
      <c r="AI847" s="87"/>
      <c r="AJ847" s="87"/>
      <c r="AK847" s="87"/>
      <c r="AL847" s="87"/>
      <c r="AM847" s="87"/>
    </row>
    <row r="848">
      <c r="A848" s="87"/>
      <c r="B848" s="166"/>
      <c r="C848" s="166"/>
      <c r="D848" s="166"/>
      <c r="E848" s="166"/>
      <c r="F848" s="714"/>
      <c r="G848" s="166"/>
      <c r="H848" s="166"/>
      <c r="I848" s="166"/>
      <c r="J848" s="166"/>
      <c r="K848" s="166"/>
      <c r="L848" s="166"/>
      <c r="M848" s="166"/>
      <c r="N848" s="715"/>
      <c r="O848" s="166"/>
      <c r="P848" s="166"/>
      <c r="Q848" s="716"/>
      <c r="R848" s="714"/>
      <c r="S848" s="717"/>
      <c r="T848" s="714"/>
      <c r="U848" s="166"/>
      <c r="V848" s="166"/>
      <c r="W848" s="166"/>
      <c r="X848" s="166"/>
      <c r="Y848" s="718"/>
      <c r="Z848" s="719"/>
      <c r="AA848" s="719"/>
      <c r="AB848" s="166"/>
      <c r="AC848" s="166"/>
      <c r="AD848" s="166"/>
      <c r="AE848" s="87"/>
      <c r="AF848" s="87"/>
      <c r="AG848" s="87"/>
      <c r="AH848" s="87"/>
      <c r="AI848" s="87"/>
      <c r="AJ848" s="87"/>
      <c r="AK848" s="87"/>
      <c r="AL848" s="87"/>
      <c r="AM848" s="87"/>
    </row>
    <row r="849">
      <c r="A849" s="87"/>
      <c r="B849" s="166"/>
      <c r="C849" s="166"/>
      <c r="D849" s="166"/>
      <c r="E849" s="166"/>
      <c r="F849" s="714"/>
      <c r="G849" s="166"/>
      <c r="H849" s="166"/>
      <c r="I849" s="166"/>
      <c r="J849" s="166"/>
      <c r="K849" s="166"/>
      <c r="L849" s="166"/>
      <c r="M849" s="166"/>
      <c r="N849" s="715"/>
      <c r="O849" s="166"/>
      <c r="P849" s="166"/>
      <c r="Q849" s="716"/>
      <c r="R849" s="714"/>
      <c r="S849" s="717"/>
      <c r="T849" s="714"/>
      <c r="U849" s="166"/>
      <c r="V849" s="166"/>
      <c r="W849" s="166"/>
      <c r="X849" s="166"/>
      <c r="Y849" s="718"/>
      <c r="Z849" s="719"/>
      <c r="AA849" s="719"/>
      <c r="AB849" s="166"/>
      <c r="AC849" s="166"/>
      <c r="AD849" s="166"/>
      <c r="AE849" s="87"/>
      <c r="AF849" s="87"/>
      <c r="AG849" s="87"/>
      <c r="AH849" s="87"/>
      <c r="AI849" s="87"/>
      <c r="AJ849" s="87"/>
      <c r="AK849" s="87"/>
      <c r="AL849" s="87"/>
      <c r="AM849" s="87"/>
    </row>
    <row r="850">
      <c r="A850" s="87"/>
      <c r="B850" s="166"/>
      <c r="C850" s="166"/>
      <c r="D850" s="166"/>
      <c r="E850" s="166"/>
      <c r="F850" s="714"/>
      <c r="G850" s="166"/>
      <c r="H850" s="166"/>
      <c r="I850" s="166"/>
      <c r="J850" s="166"/>
      <c r="K850" s="166"/>
      <c r="L850" s="166"/>
      <c r="M850" s="166"/>
      <c r="N850" s="715"/>
      <c r="O850" s="166"/>
      <c r="P850" s="166"/>
      <c r="Q850" s="716"/>
      <c r="R850" s="714"/>
      <c r="S850" s="717"/>
      <c r="T850" s="714"/>
      <c r="U850" s="166"/>
      <c r="V850" s="166"/>
      <c r="W850" s="166"/>
      <c r="X850" s="166"/>
      <c r="Y850" s="718"/>
      <c r="Z850" s="719"/>
      <c r="AA850" s="719"/>
      <c r="AB850" s="166"/>
      <c r="AC850" s="166"/>
      <c r="AD850" s="166"/>
      <c r="AE850" s="87"/>
      <c r="AF850" s="87"/>
      <c r="AG850" s="87"/>
      <c r="AH850" s="87"/>
      <c r="AI850" s="87"/>
      <c r="AJ850" s="87"/>
      <c r="AK850" s="87"/>
      <c r="AL850" s="87"/>
      <c r="AM850" s="87"/>
    </row>
    <row r="851">
      <c r="A851" s="87"/>
      <c r="B851" s="166"/>
      <c r="C851" s="166"/>
      <c r="D851" s="166"/>
      <c r="E851" s="166"/>
      <c r="F851" s="714"/>
      <c r="G851" s="166"/>
      <c r="H851" s="166"/>
      <c r="I851" s="166"/>
      <c r="J851" s="166"/>
      <c r="K851" s="166"/>
      <c r="L851" s="166"/>
      <c r="M851" s="166"/>
      <c r="N851" s="715"/>
      <c r="O851" s="166"/>
      <c r="P851" s="166"/>
      <c r="Q851" s="716"/>
      <c r="R851" s="714"/>
      <c r="S851" s="717"/>
      <c r="T851" s="714"/>
      <c r="U851" s="166"/>
      <c r="V851" s="166"/>
      <c r="W851" s="166"/>
      <c r="X851" s="166"/>
      <c r="Y851" s="718"/>
      <c r="Z851" s="719"/>
      <c r="AA851" s="719"/>
      <c r="AB851" s="166"/>
      <c r="AC851" s="166"/>
      <c r="AD851" s="166"/>
      <c r="AE851" s="87"/>
      <c r="AF851" s="87"/>
      <c r="AG851" s="87"/>
      <c r="AH851" s="87"/>
      <c r="AI851" s="87"/>
      <c r="AJ851" s="87"/>
      <c r="AK851" s="87"/>
      <c r="AL851" s="87"/>
      <c r="AM851" s="87"/>
    </row>
    <row r="852">
      <c r="A852" s="87"/>
      <c r="B852" s="166"/>
      <c r="C852" s="166"/>
      <c r="D852" s="166"/>
      <c r="E852" s="166"/>
      <c r="F852" s="714"/>
      <c r="G852" s="166"/>
      <c r="H852" s="166"/>
      <c r="I852" s="166"/>
      <c r="J852" s="166"/>
      <c r="K852" s="166"/>
      <c r="L852" s="166"/>
      <c r="M852" s="166"/>
      <c r="N852" s="715"/>
      <c r="O852" s="166"/>
      <c r="P852" s="166"/>
      <c r="Q852" s="716"/>
      <c r="R852" s="714"/>
      <c r="S852" s="717"/>
      <c r="T852" s="714"/>
      <c r="U852" s="166"/>
      <c r="V852" s="166"/>
      <c r="W852" s="166"/>
      <c r="X852" s="166"/>
      <c r="Y852" s="718"/>
      <c r="Z852" s="719"/>
      <c r="AA852" s="719"/>
      <c r="AB852" s="166"/>
      <c r="AC852" s="166"/>
      <c r="AD852" s="166"/>
      <c r="AE852" s="87"/>
      <c r="AF852" s="87"/>
      <c r="AG852" s="87"/>
      <c r="AH852" s="87"/>
      <c r="AI852" s="87"/>
      <c r="AJ852" s="87"/>
      <c r="AK852" s="87"/>
      <c r="AL852" s="87"/>
      <c r="AM852" s="87"/>
    </row>
    <row r="853">
      <c r="A853" s="87"/>
      <c r="B853" s="166"/>
      <c r="C853" s="166"/>
      <c r="D853" s="166"/>
      <c r="E853" s="166"/>
      <c r="F853" s="714"/>
      <c r="G853" s="166"/>
      <c r="H853" s="166"/>
      <c r="I853" s="166"/>
      <c r="J853" s="166"/>
      <c r="K853" s="166"/>
      <c r="L853" s="166"/>
      <c r="M853" s="166"/>
      <c r="N853" s="715"/>
      <c r="O853" s="166"/>
      <c r="P853" s="166"/>
      <c r="Q853" s="716"/>
      <c r="R853" s="714"/>
      <c r="S853" s="717"/>
      <c r="T853" s="714"/>
      <c r="U853" s="166"/>
      <c r="V853" s="166"/>
      <c r="W853" s="166"/>
      <c r="X853" s="166"/>
      <c r="Y853" s="718"/>
      <c r="Z853" s="719"/>
      <c r="AA853" s="719"/>
      <c r="AB853" s="166"/>
      <c r="AC853" s="166"/>
      <c r="AD853" s="166"/>
      <c r="AE853" s="87"/>
      <c r="AF853" s="87"/>
      <c r="AG853" s="87"/>
      <c r="AH853" s="87"/>
      <c r="AI853" s="87"/>
      <c r="AJ853" s="87"/>
      <c r="AK853" s="87"/>
      <c r="AL853" s="87"/>
      <c r="AM853" s="87"/>
    </row>
    <row r="854">
      <c r="A854" s="87"/>
      <c r="B854" s="166"/>
      <c r="C854" s="166"/>
      <c r="D854" s="166"/>
      <c r="E854" s="166"/>
      <c r="F854" s="714"/>
      <c r="G854" s="166"/>
      <c r="H854" s="166"/>
      <c r="I854" s="166"/>
      <c r="J854" s="166"/>
      <c r="K854" s="166"/>
      <c r="L854" s="166"/>
      <c r="M854" s="166"/>
      <c r="N854" s="715"/>
      <c r="O854" s="166"/>
      <c r="P854" s="166"/>
      <c r="Q854" s="716"/>
      <c r="R854" s="714"/>
      <c r="S854" s="717"/>
      <c r="T854" s="714"/>
      <c r="U854" s="166"/>
      <c r="V854" s="166"/>
      <c r="W854" s="166"/>
      <c r="X854" s="166"/>
      <c r="Y854" s="718"/>
      <c r="Z854" s="719"/>
      <c r="AA854" s="719"/>
      <c r="AB854" s="166"/>
      <c r="AC854" s="166"/>
      <c r="AD854" s="166"/>
      <c r="AE854" s="87"/>
      <c r="AF854" s="87"/>
      <c r="AG854" s="87"/>
      <c r="AH854" s="87"/>
      <c r="AI854" s="87"/>
      <c r="AJ854" s="87"/>
      <c r="AK854" s="87"/>
      <c r="AL854" s="87"/>
      <c r="AM854" s="87"/>
    </row>
    <row r="855">
      <c r="A855" s="87"/>
      <c r="B855" s="166"/>
      <c r="C855" s="166"/>
      <c r="D855" s="166"/>
      <c r="E855" s="166"/>
      <c r="F855" s="714"/>
      <c r="G855" s="166"/>
      <c r="H855" s="166"/>
      <c r="I855" s="166"/>
      <c r="J855" s="166"/>
      <c r="K855" s="166"/>
      <c r="L855" s="166"/>
      <c r="M855" s="166"/>
      <c r="N855" s="715"/>
      <c r="O855" s="166"/>
      <c r="P855" s="166"/>
      <c r="Q855" s="716"/>
      <c r="R855" s="714"/>
      <c r="S855" s="717"/>
      <c r="T855" s="714"/>
      <c r="U855" s="166"/>
      <c r="V855" s="166"/>
      <c r="W855" s="166"/>
      <c r="X855" s="166"/>
      <c r="Y855" s="718"/>
      <c r="Z855" s="719"/>
      <c r="AA855" s="719"/>
      <c r="AB855" s="166"/>
      <c r="AC855" s="166"/>
      <c r="AD855" s="166"/>
      <c r="AE855" s="87"/>
      <c r="AF855" s="87"/>
      <c r="AG855" s="87"/>
      <c r="AH855" s="87"/>
      <c r="AI855" s="87"/>
      <c r="AJ855" s="87"/>
      <c r="AK855" s="87"/>
      <c r="AL855" s="87"/>
      <c r="AM855" s="87"/>
    </row>
    <row r="856">
      <c r="A856" s="87"/>
      <c r="B856" s="166"/>
      <c r="C856" s="166"/>
      <c r="D856" s="166"/>
      <c r="E856" s="166"/>
      <c r="F856" s="714"/>
      <c r="G856" s="166"/>
      <c r="H856" s="166"/>
      <c r="I856" s="166"/>
      <c r="J856" s="166"/>
      <c r="K856" s="166"/>
      <c r="L856" s="166"/>
      <c r="M856" s="166"/>
      <c r="N856" s="715"/>
      <c r="O856" s="166"/>
      <c r="P856" s="166"/>
      <c r="Q856" s="716"/>
      <c r="R856" s="714"/>
      <c r="S856" s="717"/>
      <c r="T856" s="714"/>
      <c r="U856" s="166"/>
      <c r="V856" s="166"/>
      <c r="W856" s="166"/>
      <c r="X856" s="166"/>
      <c r="Y856" s="718"/>
      <c r="Z856" s="719"/>
      <c r="AA856" s="719"/>
      <c r="AB856" s="166"/>
      <c r="AC856" s="166"/>
      <c r="AD856" s="166"/>
      <c r="AE856" s="87"/>
      <c r="AF856" s="87"/>
      <c r="AG856" s="87"/>
      <c r="AH856" s="87"/>
      <c r="AI856" s="87"/>
      <c r="AJ856" s="87"/>
      <c r="AK856" s="87"/>
      <c r="AL856" s="87"/>
      <c r="AM856" s="87"/>
    </row>
    <row r="857">
      <c r="A857" s="87"/>
      <c r="B857" s="166"/>
      <c r="C857" s="166"/>
      <c r="D857" s="166"/>
      <c r="E857" s="166"/>
      <c r="F857" s="714"/>
      <c r="G857" s="166"/>
      <c r="H857" s="166"/>
      <c r="I857" s="166"/>
      <c r="J857" s="166"/>
      <c r="K857" s="166"/>
      <c r="L857" s="166"/>
      <c r="M857" s="166"/>
      <c r="N857" s="715"/>
      <c r="O857" s="166"/>
      <c r="P857" s="166"/>
      <c r="Q857" s="716"/>
      <c r="R857" s="714"/>
      <c r="S857" s="717"/>
      <c r="T857" s="714"/>
      <c r="U857" s="166"/>
      <c r="V857" s="166"/>
      <c r="W857" s="166"/>
      <c r="X857" s="166"/>
      <c r="Y857" s="718"/>
      <c r="Z857" s="719"/>
      <c r="AA857" s="719"/>
      <c r="AB857" s="166"/>
      <c r="AC857" s="166"/>
      <c r="AD857" s="166"/>
      <c r="AE857" s="87"/>
      <c r="AF857" s="87"/>
      <c r="AG857" s="87"/>
      <c r="AH857" s="87"/>
      <c r="AI857" s="87"/>
      <c r="AJ857" s="87"/>
      <c r="AK857" s="87"/>
      <c r="AL857" s="87"/>
      <c r="AM857" s="87"/>
    </row>
    <row r="858">
      <c r="A858" s="87"/>
      <c r="B858" s="166"/>
      <c r="C858" s="166"/>
      <c r="D858" s="166"/>
      <c r="E858" s="166"/>
      <c r="F858" s="714"/>
      <c r="G858" s="166"/>
      <c r="H858" s="166"/>
      <c r="I858" s="166"/>
      <c r="J858" s="166"/>
      <c r="K858" s="166"/>
      <c r="L858" s="166"/>
      <c r="M858" s="166"/>
      <c r="N858" s="715"/>
      <c r="O858" s="166"/>
      <c r="P858" s="166"/>
      <c r="Q858" s="716"/>
      <c r="R858" s="714"/>
      <c r="S858" s="717"/>
      <c r="T858" s="714"/>
      <c r="U858" s="166"/>
      <c r="V858" s="166"/>
      <c r="W858" s="166"/>
      <c r="X858" s="166"/>
      <c r="Y858" s="718"/>
      <c r="Z858" s="719"/>
      <c r="AA858" s="719"/>
      <c r="AB858" s="166"/>
      <c r="AC858" s="166"/>
      <c r="AD858" s="166"/>
      <c r="AE858" s="87"/>
      <c r="AF858" s="87"/>
      <c r="AG858" s="87"/>
      <c r="AH858" s="87"/>
      <c r="AI858" s="87"/>
      <c r="AJ858" s="87"/>
      <c r="AK858" s="87"/>
      <c r="AL858" s="87"/>
      <c r="AM858" s="87"/>
    </row>
    <row r="859">
      <c r="A859" s="87"/>
      <c r="B859" s="166"/>
      <c r="C859" s="166"/>
      <c r="D859" s="166"/>
      <c r="E859" s="166"/>
      <c r="F859" s="714"/>
      <c r="G859" s="166"/>
      <c r="H859" s="166"/>
      <c r="I859" s="166"/>
      <c r="J859" s="166"/>
      <c r="K859" s="166"/>
      <c r="L859" s="166"/>
      <c r="M859" s="166"/>
      <c r="N859" s="715"/>
      <c r="O859" s="166"/>
      <c r="P859" s="166"/>
      <c r="Q859" s="716"/>
      <c r="R859" s="714"/>
      <c r="S859" s="717"/>
      <c r="T859" s="714"/>
      <c r="U859" s="166"/>
      <c r="V859" s="166"/>
      <c r="W859" s="166"/>
      <c r="X859" s="166"/>
      <c r="Y859" s="718"/>
      <c r="Z859" s="719"/>
      <c r="AA859" s="719"/>
      <c r="AB859" s="166"/>
      <c r="AC859" s="166"/>
      <c r="AD859" s="166"/>
      <c r="AE859" s="87"/>
      <c r="AF859" s="87"/>
      <c r="AG859" s="87"/>
      <c r="AH859" s="87"/>
      <c r="AI859" s="87"/>
      <c r="AJ859" s="87"/>
      <c r="AK859" s="87"/>
      <c r="AL859" s="87"/>
      <c r="AM859" s="87"/>
    </row>
    <row r="860">
      <c r="A860" s="87"/>
      <c r="B860" s="166"/>
      <c r="C860" s="166"/>
      <c r="D860" s="166"/>
      <c r="E860" s="166"/>
      <c r="F860" s="714"/>
      <c r="G860" s="166"/>
      <c r="H860" s="166"/>
      <c r="I860" s="166"/>
      <c r="J860" s="166"/>
      <c r="K860" s="166"/>
      <c r="L860" s="166"/>
      <c r="M860" s="166"/>
      <c r="N860" s="715"/>
      <c r="O860" s="166"/>
      <c r="P860" s="166"/>
      <c r="Q860" s="716"/>
      <c r="R860" s="714"/>
      <c r="S860" s="717"/>
      <c r="T860" s="714"/>
      <c r="U860" s="166"/>
      <c r="V860" s="166"/>
      <c r="W860" s="166"/>
      <c r="X860" s="166"/>
      <c r="Y860" s="718"/>
      <c r="Z860" s="719"/>
      <c r="AA860" s="719"/>
      <c r="AB860" s="166"/>
      <c r="AC860" s="166"/>
      <c r="AD860" s="166"/>
      <c r="AE860" s="87"/>
      <c r="AF860" s="87"/>
      <c r="AG860" s="87"/>
      <c r="AH860" s="87"/>
      <c r="AI860" s="87"/>
      <c r="AJ860" s="87"/>
      <c r="AK860" s="87"/>
      <c r="AL860" s="87"/>
      <c r="AM860" s="87"/>
    </row>
    <row r="861">
      <c r="A861" s="87"/>
      <c r="B861" s="166"/>
      <c r="C861" s="166"/>
      <c r="D861" s="166"/>
      <c r="E861" s="166"/>
      <c r="F861" s="714"/>
      <c r="G861" s="166"/>
      <c r="H861" s="166"/>
      <c r="I861" s="166"/>
      <c r="J861" s="166"/>
      <c r="K861" s="166"/>
      <c r="L861" s="166"/>
      <c r="M861" s="166"/>
      <c r="N861" s="715"/>
      <c r="O861" s="166"/>
      <c r="P861" s="166"/>
      <c r="Q861" s="716"/>
      <c r="R861" s="714"/>
      <c r="S861" s="717"/>
      <c r="T861" s="714"/>
      <c r="U861" s="166"/>
      <c r="V861" s="166"/>
      <c r="W861" s="166"/>
      <c r="X861" s="166"/>
      <c r="Y861" s="718"/>
      <c r="Z861" s="719"/>
      <c r="AA861" s="719"/>
      <c r="AB861" s="166"/>
      <c r="AC861" s="166"/>
      <c r="AD861" s="166"/>
      <c r="AE861" s="87"/>
      <c r="AF861" s="87"/>
      <c r="AG861" s="87"/>
      <c r="AH861" s="87"/>
      <c r="AI861" s="87"/>
      <c r="AJ861" s="87"/>
      <c r="AK861" s="87"/>
      <c r="AL861" s="87"/>
      <c r="AM861" s="87"/>
    </row>
    <row r="862">
      <c r="A862" s="87"/>
      <c r="B862" s="166"/>
      <c r="C862" s="166"/>
      <c r="D862" s="166"/>
      <c r="E862" s="166"/>
      <c r="F862" s="714"/>
      <c r="G862" s="166"/>
      <c r="H862" s="166"/>
      <c r="I862" s="166"/>
      <c r="J862" s="166"/>
      <c r="K862" s="166"/>
      <c r="L862" s="166"/>
      <c r="M862" s="166"/>
      <c r="N862" s="715"/>
      <c r="O862" s="166"/>
      <c r="P862" s="166"/>
      <c r="Q862" s="716"/>
      <c r="R862" s="714"/>
      <c r="S862" s="717"/>
      <c r="T862" s="714"/>
      <c r="U862" s="166"/>
      <c r="V862" s="166"/>
      <c r="W862" s="166"/>
      <c r="X862" s="166"/>
      <c r="Y862" s="718"/>
      <c r="Z862" s="719"/>
      <c r="AA862" s="719"/>
      <c r="AB862" s="166"/>
      <c r="AC862" s="166"/>
      <c r="AD862" s="166"/>
      <c r="AE862" s="87"/>
      <c r="AF862" s="87"/>
      <c r="AG862" s="87"/>
      <c r="AH862" s="87"/>
      <c r="AI862" s="87"/>
      <c r="AJ862" s="87"/>
      <c r="AK862" s="87"/>
      <c r="AL862" s="87"/>
      <c r="AM862" s="87"/>
    </row>
    <row r="863">
      <c r="A863" s="87"/>
      <c r="B863" s="166"/>
      <c r="C863" s="166"/>
      <c r="D863" s="166"/>
      <c r="E863" s="166"/>
      <c r="F863" s="714"/>
      <c r="G863" s="166"/>
      <c r="H863" s="166"/>
      <c r="I863" s="166"/>
      <c r="J863" s="166"/>
      <c r="K863" s="166"/>
      <c r="L863" s="166"/>
      <c r="M863" s="166"/>
      <c r="N863" s="715"/>
      <c r="O863" s="166"/>
      <c r="P863" s="166"/>
      <c r="Q863" s="716"/>
      <c r="R863" s="714"/>
      <c r="S863" s="717"/>
      <c r="T863" s="714"/>
      <c r="U863" s="166"/>
      <c r="V863" s="166"/>
      <c r="W863" s="166"/>
      <c r="X863" s="166"/>
      <c r="Y863" s="718"/>
      <c r="Z863" s="719"/>
      <c r="AA863" s="719"/>
      <c r="AB863" s="166"/>
      <c r="AC863" s="166"/>
      <c r="AD863" s="166"/>
      <c r="AE863" s="87"/>
      <c r="AF863" s="87"/>
      <c r="AG863" s="87"/>
      <c r="AH863" s="87"/>
      <c r="AI863" s="87"/>
      <c r="AJ863" s="87"/>
      <c r="AK863" s="87"/>
      <c r="AL863" s="87"/>
      <c r="AM863" s="87"/>
    </row>
    <row r="864">
      <c r="A864" s="87"/>
      <c r="B864" s="166"/>
      <c r="C864" s="166"/>
      <c r="D864" s="166"/>
      <c r="E864" s="166"/>
      <c r="F864" s="714"/>
      <c r="G864" s="166"/>
      <c r="H864" s="166"/>
      <c r="I864" s="166"/>
      <c r="J864" s="166"/>
      <c r="K864" s="166"/>
      <c r="L864" s="166"/>
      <c r="M864" s="166"/>
      <c r="N864" s="715"/>
      <c r="O864" s="166"/>
      <c r="P864" s="166"/>
      <c r="Q864" s="716"/>
      <c r="R864" s="714"/>
      <c r="S864" s="717"/>
      <c r="T864" s="714"/>
      <c r="U864" s="166"/>
      <c r="V864" s="166"/>
      <c r="W864" s="166"/>
      <c r="X864" s="166"/>
      <c r="Y864" s="718"/>
      <c r="Z864" s="719"/>
      <c r="AA864" s="719"/>
      <c r="AB864" s="166"/>
      <c r="AC864" s="166"/>
      <c r="AD864" s="166"/>
      <c r="AE864" s="87"/>
      <c r="AF864" s="87"/>
      <c r="AG864" s="87"/>
      <c r="AH864" s="87"/>
      <c r="AI864" s="87"/>
      <c r="AJ864" s="87"/>
      <c r="AK864" s="87"/>
      <c r="AL864" s="87"/>
      <c r="AM864" s="87"/>
    </row>
    <row r="865">
      <c r="A865" s="87"/>
      <c r="B865" s="166"/>
      <c r="C865" s="166"/>
      <c r="D865" s="166"/>
      <c r="E865" s="166"/>
      <c r="F865" s="714"/>
      <c r="G865" s="166"/>
      <c r="H865" s="166"/>
      <c r="I865" s="166"/>
      <c r="J865" s="166"/>
      <c r="K865" s="166"/>
      <c r="L865" s="166"/>
      <c r="M865" s="166"/>
      <c r="N865" s="715"/>
      <c r="O865" s="166"/>
      <c r="P865" s="166"/>
      <c r="Q865" s="716"/>
      <c r="R865" s="714"/>
      <c r="S865" s="717"/>
      <c r="T865" s="714"/>
      <c r="U865" s="166"/>
      <c r="V865" s="166"/>
      <c r="W865" s="166"/>
      <c r="X865" s="166"/>
      <c r="Y865" s="718"/>
      <c r="Z865" s="719"/>
      <c r="AA865" s="719"/>
      <c r="AB865" s="166"/>
      <c r="AC865" s="166"/>
      <c r="AD865" s="166"/>
      <c r="AE865" s="87"/>
      <c r="AF865" s="87"/>
      <c r="AG865" s="87"/>
      <c r="AH865" s="87"/>
      <c r="AI865" s="87"/>
      <c r="AJ865" s="87"/>
      <c r="AK865" s="87"/>
      <c r="AL865" s="87"/>
      <c r="AM865" s="87"/>
    </row>
    <row r="866">
      <c r="A866" s="87"/>
      <c r="B866" s="166"/>
      <c r="C866" s="166"/>
      <c r="D866" s="166"/>
      <c r="E866" s="166"/>
      <c r="F866" s="714"/>
      <c r="G866" s="166"/>
      <c r="H866" s="166"/>
      <c r="I866" s="166"/>
      <c r="J866" s="166"/>
      <c r="K866" s="166"/>
      <c r="L866" s="166"/>
      <c r="M866" s="166"/>
      <c r="N866" s="715"/>
      <c r="O866" s="166"/>
      <c r="P866" s="166"/>
      <c r="Q866" s="716"/>
      <c r="R866" s="714"/>
      <c r="S866" s="717"/>
      <c r="T866" s="714"/>
      <c r="U866" s="166"/>
      <c r="V866" s="166"/>
      <c r="W866" s="166"/>
      <c r="X866" s="166"/>
      <c r="Y866" s="718"/>
      <c r="Z866" s="719"/>
      <c r="AA866" s="719"/>
      <c r="AB866" s="166"/>
      <c r="AC866" s="166"/>
      <c r="AD866" s="166"/>
      <c r="AE866" s="87"/>
      <c r="AF866" s="87"/>
      <c r="AG866" s="87"/>
      <c r="AH866" s="87"/>
      <c r="AI866" s="87"/>
      <c r="AJ866" s="87"/>
      <c r="AK866" s="87"/>
      <c r="AL866" s="87"/>
      <c r="AM866" s="87"/>
    </row>
    <row r="867">
      <c r="A867" s="87"/>
      <c r="B867" s="166"/>
      <c r="C867" s="166"/>
      <c r="D867" s="166"/>
      <c r="E867" s="166"/>
      <c r="F867" s="714"/>
      <c r="G867" s="166"/>
      <c r="H867" s="166"/>
      <c r="I867" s="166"/>
      <c r="J867" s="166"/>
      <c r="K867" s="166"/>
      <c r="L867" s="166"/>
      <c r="M867" s="166"/>
      <c r="N867" s="715"/>
      <c r="O867" s="166"/>
      <c r="P867" s="166"/>
      <c r="Q867" s="716"/>
      <c r="R867" s="714"/>
      <c r="S867" s="717"/>
      <c r="T867" s="714"/>
      <c r="U867" s="166"/>
      <c r="V867" s="166"/>
      <c r="W867" s="166"/>
      <c r="X867" s="166"/>
      <c r="Y867" s="718"/>
      <c r="Z867" s="719"/>
      <c r="AA867" s="719"/>
      <c r="AB867" s="166"/>
      <c r="AC867" s="166"/>
      <c r="AD867" s="166"/>
      <c r="AE867" s="87"/>
      <c r="AF867" s="87"/>
      <c r="AG867" s="87"/>
      <c r="AH867" s="87"/>
      <c r="AI867" s="87"/>
      <c r="AJ867" s="87"/>
      <c r="AK867" s="87"/>
      <c r="AL867" s="87"/>
      <c r="AM867" s="87"/>
    </row>
    <row r="868">
      <c r="A868" s="87"/>
      <c r="B868" s="166"/>
      <c r="C868" s="166"/>
      <c r="D868" s="166"/>
      <c r="E868" s="166"/>
      <c r="F868" s="714"/>
      <c r="G868" s="166"/>
      <c r="H868" s="166"/>
      <c r="I868" s="166"/>
      <c r="J868" s="166"/>
      <c r="K868" s="166"/>
      <c r="L868" s="166"/>
      <c r="M868" s="166"/>
      <c r="N868" s="715"/>
      <c r="O868" s="166"/>
      <c r="P868" s="166"/>
      <c r="Q868" s="716"/>
      <c r="R868" s="714"/>
      <c r="S868" s="717"/>
      <c r="T868" s="714"/>
      <c r="U868" s="166"/>
      <c r="V868" s="166"/>
      <c r="W868" s="166"/>
      <c r="X868" s="166"/>
      <c r="Y868" s="718"/>
      <c r="Z868" s="719"/>
      <c r="AA868" s="719"/>
      <c r="AB868" s="166"/>
      <c r="AC868" s="166"/>
      <c r="AD868" s="166"/>
      <c r="AE868" s="87"/>
      <c r="AF868" s="87"/>
      <c r="AG868" s="87"/>
      <c r="AH868" s="87"/>
      <c r="AI868" s="87"/>
      <c r="AJ868" s="87"/>
      <c r="AK868" s="87"/>
      <c r="AL868" s="87"/>
      <c r="AM868" s="87"/>
    </row>
    <row r="869">
      <c r="A869" s="87"/>
      <c r="B869" s="166"/>
      <c r="C869" s="166"/>
      <c r="D869" s="166"/>
      <c r="E869" s="166"/>
      <c r="F869" s="714"/>
      <c r="G869" s="166"/>
      <c r="H869" s="166"/>
      <c r="I869" s="166"/>
      <c r="J869" s="166"/>
      <c r="K869" s="166"/>
      <c r="L869" s="166"/>
      <c r="M869" s="166"/>
      <c r="N869" s="715"/>
      <c r="O869" s="166"/>
      <c r="P869" s="166"/>
      <c r="Q869" s="716"/>
      <c r="R869" s="714"/>
      <c r="S869" s="717"/>
      <c r="T869" s="714"/>
      <c r="U869" s="166"/>
      <c r="V869" s="166"/>
      <c r="W869" s="166"/>
      <c r="X869" s="166"/>
      <c r="Y869" s="718"/>
      <c r="Z869" s="719"/>
      <c r="AA869" s="719"/>
      <c r="AB869" s="166"/>
      <c r="AC869" s="166"/>
      <c r="AD869" s="166"/>
      <c r="AE869" s="87"/>
      <c r="AF869" s="87"/>
      <c r="AG869" s="87"/>
      <c r="AH869" s="87"/>
      <c r="AI869" s="87"/>
      <c r="AJ869" s="87"/>
      <c r="AK869" s="87"/>
      <c r="AL869" s="87"/>
      <c r="AM869" s="87"/>
    </row>
    <row r="870">
      <c r="A870" s="87"/>
      <c r="B870" s="166"/>
      <c r="C870" s="166"/>
      <c r="D870" s="166"/>
      <c r="E870" s="166"/>
      <c r="F870" s="714"/>
      <c r="G870" s="166"/>
      <c r="H870" s="166"/>
      <c r="I870" s="166"/>
      <c r="J870" s="166"/>
      <c r="K870" s="166"/>
      <c r="L870" s="166"/>
      <c r="M870" s="166"/>
      <c r="N870" s="715"/>
      <c r="O870" s="166"/>
      <c r="P870" s="166"/>
      <c r="Q870" s="716"/>
      <c r="R870" s="714"/>
      <c r="S870" s="717"/>
      <c r="T870" s="714"/>
      <c r="U870" s="166"/>
      <c r="V870" s="166"/>
      <c r="W870" s="166"/>
      <c r="X870" s="166"/>
      <c r="Y870" s="718"/>
      <c r="Z870" s="719"/>
      <c r="AA870" s="719"/>
      <c r="AB870" s="166"/>
      <c r="AC870" s="166"/>
      <c r="AD870" s="166"/>
      <c r="AE870" s="87"/>
      <c r="AF870" s="87"/>
      <c r="AG870" s="87"/>
      <c r="AH870" s="87"/>
      <c r="AI870" s="87"/>
      <c r="AJ870" s="87"/>
      <c r="AK870" s="87"/>
      <c r="AL870" s="87"/>
      <c r="AM870" s="87"/>
    </row>
    <row r="871">
      <c r="A871" s="87"/>
      <c r="B871" s="166"/>
      <c r="C871" s="166"/>
      <c r="D871" s="166"/>
      <c r="E871" s="166"/>
      <c r="F871" s="714"/>
      <c r="G871" s="166"/>
      <c r="H871" s="166"/>
      <c r="I871" s="166"/>
      <c r="J871" s="166"/>
      <c r="K871" s="166"/>
      <c r="L871" s="166"/>
      <c r="M871" s="166"/>
      <c r="N871" s="715"/>
      <c r="O871" s="166"/>
      <c r="P871" s="166"/>
      <c r="Q871" s="716"/>
      <c r="R871" s="714"/>
      <c r="S871" s="717"/>
      <c r="T871" s="714"/>
      <c r="U871" s="166"/>
      <c r="V871" s="166"/>
      <c r="W871" s="166"/>
      <c r="X871" s="166"/>
      <c r="Y871" s="718"/>
      <c r="Z871" s="719"/>
      <c r="AA871" s="719"/>
      <c r="AB871" s="166"/>
      <c r="AC871" s="166"/>
      <c r="AD871" s="166"/>
      <c r="AE871" s="87"/>
      <c r="AF871" s="87"/>
      <c r="AG871" s="87"/>
      <c r="AH871" s="87"/>
      <c r="AI871" s="87"/>
      <c r="AJ871" s="87"/>
      <c r="AK871" s="87"/>
      <c r="AL871" s="87"/>
      <c r="AM871" s="87"/>
    </row>
    <row r="872">
      <c r="A872" s="87"/>
      <c r="B872" s="166"/>
      <c r="C872" s="166"/>
      <c r="D872" s="166"/>
      <c r="E872" s="166"/>
      <c r="F872" s="714"/>
      <c r="G872" s="166"/>
      <c r="H872" s="166"/>
      <c r="I872" s="166"/>
      <c r="J872" s="166"/>
      <c r="K872" s="166"/>
      <c r="L872" s="166"/>
      <c r="M872" s="166"/>
      <c r="N872" s="715"/>
      <c r="O872" s="166"/>
      <c r="P872" s="166"/>
      <c r="Q872" s="716"/>
      <c r="R872" s="714"/>
      <c r="S872" s="717"/>
      <c r="T872" s="714"/>
      <c r="U872" s="166"/>
      <c r="V872" s="166"/>
      <c r="W872" s="166"/>
      <c r="X872" s="166"/>
      <c r="Y872" s="718"/>
      <c r="Z872" s="719"/>
      <c r="AA872" s="719"/>
      <c r="AB872" s="166"/>
      <c r="AC872" s="166"/>
      <c r="AD872" s="166"/>
      <c r="AE872" s="87"/>
      <c r="AF872" s="87"/>
      <c r="AG872" s="87"/>
      <c r="AH872" s="87"/>
      <c r="AI872" s="87"/>
      <c r="AJ872" s="87"/>
      <c r="AK872" s="87"/>
      <c r="AL872" s="87"/>
      <c r="AM872" s="87"/>
    </row>
    <row r="873">
      <c r="A873" s="87"/>
      <c r="B873" s="166"/>
      <c r="C873" s="166"/>
      <c r="D873" s="166"/>
      <c r="E873" s="166"/>
      <c r="F873" s="714"/>
      <c r="G873" s="166"/>
      <c r="H873" s="166"/>
      <c r="I873" s="166"/>
      <c r="J873" s="166"/>
      <c r="K873" s="166"/>
      <c r="L873" s="166"/>
      <c r="M873" s="166"/>
      <c r="N873" s="715"/>
      <c r="O873" s="166"/>
      <c r="P873" s="166"/>
      <c r="Q873" s="716"/>
      <c r="R873" s="714"/>
      <c r="S873" s="717"/>
      <c r="T873" s="714"/>
      <c r="U873" s="166"/>
      <c r="V873" s="166"/>
      <c r="W873" s="166"/>
      <c r="X873" s="166"/>
      <c r="Y873" s="718"/>
      <c r="Z873" s="719"/>
      <c r="AA873" s="719"/>
      <c r="AB873" s="166"/>
      <c r="AC873" s="166"/>
      <c r="AD873" s="166"/>
      <c r="AE873" s="87"/>
      <c r="AF873" s="87"/>
      <c r="AG873" s="87"/>
      <c r="AH873" s="87"/>
      <c r="AI873" s="87"/>
      <c r="AJ873" s="87"/>
      <c r="AK873" s="87"/>
      <c r="AL873" s="87"/>
      <c r="AM873" s="87"/>
    </row>
    <row r="874">
      <c r="A874" s="87"/>
      <c r="B874" s="166"/>
      <c r="C874" s="166"/>
      <c r="D874" s="166"/>
      <c r="E874" s="166"/>
      <c r="F874" s="714"/>
      <c r="G874" s="166"/>
      <c r="H874" s="166"/>
      <c r="I874" s="166"/>
      <c r="J874" s="166"/>
      <c r="K874" s="166"/>
      <c r="L874" s="166"/>
      <c r="M874" s="166"/>
      <c r="N874" s="715"/>
      <c r="O874" s="166"/>
      <c r="P874" s="166"/>
      <c r="Q874" s="716"/>
      <c r="R874" s="714"/>
      <c r="S874" s="717"/>
      <c r="T874" s="714"/>
      <c r="U874" s="166"/>
      <c r="V874" s="166"/>
      <c r="W874" s="166"/>
      <c r="X874" s="166"/>
      <c r="Y874" s="718"/>
      <c r="Z874" s="719"/>
      <c r="AA874" s="719"/>
      <c r="AB874" s="166"/>
      <c r="AC874" s="166"/>
      <c r="AD874" s="166"/>
      <c r="AE874" s="87"/>
      <c r="AF874" s="87"/>
      <c r="AG874" s="87"/>
      <c r="AH874" s="87"/>
      <c r="AI874" s="87"/>
      <c r="AJ874" s="87"/>
      <c r="AK874" s="87"/>
      <c r="AL874" s="87"/>
      <c r="AM874" s="87"/>
    </row>
    <row r="875">
      <c r="A875" s="87"/>
      <c r="B875" s="166"/>
      <c r="C875" s="166"/>
      <c r="D875" s="166"/>
      <c r="E875" s="166"/>
      <c r="F875" s="714"/>
      <c r="G875" s="166"/>
      <c r="H875" s="166"/>
      <c r="I875" s="166"/>
      <c r="J875" s="166"/>
      <c r="K875" s="166"/>
      <c r="L875" s="166"/>
      <c r="M875" s="166"/>
      <c r="N875" s="715"/>
      <c r="O875" s="166"/>
      <c r="P875" s="166"/>
      <c r="Q875" s="716"/>
      <c r="R875" s="714"/>
      <c r="S875" s="717"/>
      <c r="T875" s="714"/>
      <c r="U875" s="166"/>
      <c r="V875" s="166"/>
      <c r="W875" s="166"/>
      <c r="X875" s="166"/>
      <c r="Y875" s="718"/>
      <c r="Z875" s="719"/>
      <c r="AA875" s="719"/>
      <c r="AB875" s="166"/>
      <c r="AC875" s="166"/>
      <c r="AD875" s="166"/>
      <c r="AE875" s="87"/>
      <c r="AF875" s="87"/>
      <c r="AG875" s="87"/>
      <c r="AH875" s="87"/>
      <c r="AI875" s="87"/>
      <c r="AJ875" s="87"/>
      <c r="AK875" s="87"/>
      <c r="AL875" s="87"/>
      <c r="AM875" s="87"/>
    </row>
    <row r="876">
      <c r="A876" s="87"/>
      <c r="B876" s="166"/>
      <c r="C876" s="166"/>
      <c r="D876" s="166"/>
      <c r="E876" s="166"/>
      <c r="F876" s="714"/>
      <c r="G876" s="166"/>
      <c r="H876" s="166"/>
      <c r="I876" s="166"/>
      <c r="J876" s="166"/>
      <c r="K876" s="166"/>
      <c r="L876" s="166"/>
      <c r="M876" s="166"/>
      <c r="N876" s="715"/>
      <c r="O876" s="166"/>
      <c r="P876" s="166"/>
      <c r="Q876" s="716"/>
      <c r="R876" s="714"/>
      <c r="S876" s="717"/>
      <c r="T876" s="714"/>
      <c r="U876" s="166"/>
      <c r="V876" s="166"/>
      <c r="W876" s="166"/>
      <c r="X876" s="166"/>
      <c r="Y876" s="718"/>
      <c r="Z876" s="719"/>
      <c r="AA876" s="719"/>
      <c r="AB876" s="166"/>
      <c r="AC876" s="166"/>
      <c r="AD876" s="166"/>
      <c r="AE876" s="87"/>
      <c r="AF876" s="87"/>
      <c r="AG876" s="87"/>
      <c r="AH876" s="87"/>
      <c r="AI876" s="87"/>
      <c r="AJ876" s="87"/>
      <c r="AK876" s="87"/>
      <c r="AL876" s="87"/>
      <c r="AM876" s="87"/>
    </row>
    <row r="877">
      <c r="A877" s="87"/>
      <c r="B877" s="166"/>
      <c r="C877" s="166"/>
      <c r="D877" s="166"/>
      <c r="E877" s="166"/>
      <c r="F877" s="714"/>
      <c r="G877" s="166"/>
      <c r="H877" s="166"/>
      <c r="I877" s="166"/>
      <c r="J877" s="166"/>
      <c r="K877" s="166"/>
      <c r="L877" s="166"/>
      <c r="M877" s="166"/>
      <c r="N877" s="715"/>
      <c r="O877" s="166"/>
      <c r="P877" s="166"/>
      <c r="Q877" s="716"/>
      <c r="R877" s="714"/>
      <c r="S877" s="717"/>
      <c r="T877" s="714"/>
      <c r="U877" s="166"/>
      <c r="V877" s="166"/>
      <c r="W877" s="166"/>
      <c r="X877" s="166"/>
      <c r="Y877" s="718"/>
      <c r="Z877" s="719"/>
      <c r="AA877" s="719"/>
      <c r="AB877" s="166"/>
      <c r="AC877" s="166"/>
      <c r="AD877" s="166"/>
      <c r="AE877" s="87"/>
      <c r="AF877" s="87"/>
      <c r="AG877" s="87"/>
      <c r="AH877" s="87"/>
      <c r="AI877" s="87"/>
      <c r="AJ877" s="87"/>
      <c r="AK877" s="87"/>
      <c r="AL877" s="87"/>
      <c r="AM877" s="87"/>
    </row>
    <row r="878">
      <c r="A878" s="87"/>
      <c r="B878" s="166"/>
      <c r="C878" s="166"/>
      <c r="D878" s="166"/>
      <c r="E878" s="166"/>
      <c r="F878" s="714"/>
      <c r="G878" s="166"/>
      <c r="H878" s="166"/>
      <c r="I878" s="166"/>
      <c r="J878" s="166"/>
      <c r="K878" s="166"/>
      <c r="L878" s="166"/>
      <c r="M878" s="166"/>
      <c r="N878" s="715"/>
      <c r="O878" s="166"/>
      <c r="P878" s="166"/>
      <c r="Q878" s="716"/>
      <c r="R878" s="714"/>
      <c r="S878" s="717"/>
      <c r="T878" s="714"/>
      <c r="U878" s="166"/>
      <c r="V878" s="166"/>
      <c r="W878" s="166"/>
      <c r="X878" s="166"/>
      <c r="Y878" s="718"/>
      <c r="Z878" s="719"/>
      <c r="AA878" s="719"/>
      <c r="AB878" s="166"/>
      <c r="AC878" s="166"/>
      <c r="AD878" s="166"/>
      <c r="AE878" s="87"/>
      <c r="AF878" s="87"/>
      <c r="AG878" s="87"/>
      <c r="AH878" s="87"/>
      <c r="AI878" s="87"/>
      <c r="AJ878" s="87"/>
      <c r="AK878" s="87"/>
      <c r="AL878" s="87"/>
      <c r="AM878" s="87"/>
    </row>
    <row r="879">
      <c r="A879" s="87"/>
      <c r="B879" s="166"/>
      <c r="C879" s="166"/>
      <c r="D879" s="166"/>
      <c r="E879" s="166"/>
      <c r="F879" s="714"/>
      <c r="G879" s="166"/>
      <c r="H879" s="166"/>
      <c r="I879" s="166"/>
      <c r="J879" s="166"/>
      <c r="K879" s="166"/>
      <c r="L879" s="166"/>
      <c r="M879" s="166"/>
      <c r="N879" s="715"/>
      <c r="O879" s="166"/>
      <c r="P879" s="166"/>
      <c r="Q879" s="716"/>
      <c r="R879" s="714"/>
      <c r="S879" s="717"/>
      <c r="T879" s="714"/>
      <c r="U879" s="166"/>
      <c r="V879" s="166"/>
      <c r="W879" s="166"/>
      <c r="X879" s="166"/>
      <c r="Y879" s="718"/>
      <c r="Z879" s="719"/>
      <c r="AA879" s="719"/>
      <c r="AB879" s="166"/>
      <c r="AC879" s="166"/>
      <c r="AD879" s="166"/>
      <c r="AE879" s="87"/>
      <c r="AF879" s="87"/>
      <c r="AG879" s="87"/>
      <c r="AH879" s="87"/>
      <c r="AI879" s="87"/>
      <c r="AJ879" s="87"/>
      <c r="AK879" s="87"/>
      <c r="AL879" s="87"/>
      <c r="AM879" s="87"/>
    </row>
    <row r="880">
      <c r="A880" s="87"/>
      <c r="B880" s="166"/>
      <c r="C880" s="166"/>
      <c r="D880" s="166"/>
      <c r="E880" s="166"/>
      <c r="F880" s="714"/>
      <c r="G880" s="166"/>
      <c r="H880" s="166"/>
      <c r="I880" s="166"/>
      <c r="J880" s="166"/>
      <c r="K880" s="166"/>
      <c r="L880" s="166"/>
      <c r="M880" s="166"/>
      <c r="N880" s="715"/>
      <c r="O880" s="166"/>
      <c r="P880" s="166"/>
      <c r="Q880" s="716"/>
      <c r="R880" s="714"/>
      <c r="S880" s="717"/>
      <c r="T880" s="714"/>
      <c r="U880" s="166"/>
      <c r="V880" s="166"/>
      <c r="W880" s="166"/>
      <c r="X880" s="166"/>
      <c r="Y880" s="718"/>
      <c r="Z880" s="719"/>
      <c r="AA880" s="719"/>
      <c r="AB880" s="166"/>
      <c r="AC880" s="166"/>
      <c r="AD880" s="166"/>
      <c r="AE880" s="87"/>
      <c r="AF880" s="87"/>
      <c r="AG880" s="87"/>
      <c r="AH880" s="87"/>
      <c r="AI880" s="87"/>
      <c r="AJ880" s="87"/>
      <c r="AK880" s="87"/>
      <c r="AL880" s="87"/>
      <c r="AM880" s="87"/>
    </row>
    <row r="881">
      <c r="A881" s="87"/>
      <c r="B881" s="166"/>
      <c r="C881" s="166"/>
      <c r="D881" s="166"/>
      <c r="E881" s="166"/>
      <c r="F881" s="714"/>
      <c r="G881" s="166"/>
      <c r="H881" s="166"/>
      <c r="I881" s="166"/>
      <c r="J881" s="166"/>
      <c r="K881" s="166"/>
      <c r="L881" s="166"/>
      <c r="M881" s="166"/>
      <c r="N881" s="715"/>
      <c r="O881" s="166"/>
      <c r="P881" s="166"/>
      <c r="Q881" s="716"/>
      <c r="R881" s="714"/>
      <c r="S881" s="717"/>
      <c r="T881" s="714"/>
      <c r="U881" s="166"/>
      <c r="V881" s="166"/>
      <c r="W881" s="166"/>
      <c r="X881" s="166"/>
      <c r="Y881" s="718"/>
      <c r="Z881" s="719"/>
      <c r="AA881" s="719"/>
      <c r="AB881" s="166"/>
      <c r="AC881" s="166"/>
      <c r="AD881" s="166"/>
      <c r="AE881" s="87"/>
      <c r="AF881" s="87"/>
      <c r="AG881" s="87"/>
      <c r="AH881" s="87"/>
      <c r="AI881" s="87"/>
      <c r="AJ881" s="87"/>
      <c r="AK881" s="87"/>
      <c r="AL881" s="87"/>
      <c r="AM881" s="87"/>
    </row>
    <row r="882">
      <c r="A882" s="87"/>
      <c r="B882" s="166"/>
      <c r="C882" s="166"/>
      <c r="D882" s="166"/>
      <c r="E882" s="166"/>
      <c r="F882" s="714"/>
      <c r="G882" s="166"/>
      <c r="H882" s="166"/>
      <c r="I882" s="166"/>
      <c r="J882" s="166"/>
      <c r="K882" s="166"/>
      <c r="L882" s="166"/>
      <c r="M882" s="166"/>
      <c r="N882" s="715"/>
      <c r="O882" s="166"/>
      <c r="P882" s="166"/>
      <c r="Q882" s="716"/>
      <c r="R882" s="714"/>
      <c r="S882" s="717"/>
      <c r="T882" s="714"/>
      <c r="U882" s="166"/>
      <c r="V882" s="166"/>
      <c r="W882" s="166"/>
      <c r="X882" s="166"/>
      <c r="Y882" s="718"/>
      <c r="Z882" s="719"/>
      <c r="AA882" s="719"/>
      <c r="AB882" s="166"/>
      <c r="AC882" s="166"/>
      <c r="AD882" s="166"/>
      <c r="AE882" s="87"/>
      <c r="AF882" s="87"/>
      <c r="AG882" s="87"/>
      <c r="AH882" s="87"/>
      <c r="AI882" s="87"/>
      <c r="AJ882" s="87"/>
      <c r="AK882" s="87"/>
      <c r="AL882" s="87"/>
      <c r="AM882" s="87"/>
    </row>
    <row r="883">
      <c r="A883" s="87"/>
      <c r="B883" s="166"/>
      <c r="C883" s="166"/>
      <c r="D883" s="166"/>
      <c r="E883" s="166"/>
      <c r="F883" s="714"/>
      <c r="G883" s="166"/>
      <c r="H883" s="166"/>
      <c r="I883" s="166"/>
      <c r="J883" s="166"/>
      <c r="K883" s="166"/>
      <c r="L883" s="166"/>
      <c r="M883" s="166"/>
      <c r="N883" s="715"/>
      <c r="O883" s="166"/>
      <c r="P883" s="166"/>
      <c r="Q883" s="716"/>
      <c r="R883" s="714"/>
      <c r="S883" s="717"/>
      <c r="T883" s="714"/>
      <c r="U883" s="166"/>
      <c r="V883" s="166"/>
      <c r="W883" s="166"/>
      <c r="X883" s="166"/>
      <c r="Y883" s="718"/>
      <c r="Z883" s="719"/>
      <c r="AA883" s="719"/>
      <c r="AB883" s="166"/>
      <c r="AC883" s="166"/>
      <c r="AD883" s="166"/>
      <c r="AE883" s="87"/>
      <c r="AF883" s="87"/>
      <c r="AG883" s="87"/>
      <c r="AH883" s="87"/>
      <c r="AI883" s="87"/>
      <c r="AJ883" s="87"/>
      <c r="AK883" s="87"/>
      <c r="AL883" s="87"/>
      <c r="AM883" s="87"/>
    </row>
    <row r="884">
      <c r="A884" s="87"/>
      <c r="B884" s="166"/>
      <c r="C884" s="166"/>
      <c r="D884" s="166"/>
      <c r="E884" s="166"/>
      <c r="F884" s="714"/>
      <c r="G884" s="166"/>
      <c r="H884" s="166"/>
      <c r="I884" s="166"/>
      <c r="J884" s="166"/>
      <c r="K884" s="166"/>
      <c r="L884" s="166"/>
      <c r="M884" s="166"/>
      <c r="N884" s="715"/>
      <c r="O884" s="166"/>
      <c r="P884" s="166"/>
      <c r="Q884" s="716"/>
      <c r="R884" s="714"/>
      <c r="S884" s="717"/>
      <c r="T884" s="714"/>
      <c r="U884" s="166"/>
      <c r="V884" s="166"/>
      <c r="W884" s="166"/>
      <c r="X884" s="166"/>
      <c r="Y884" s="718"/>
      <c r="Z884" s="719"/>
      <c r="AA884" s="719"/>
      <c r="AB884" s="166"/>
      <c r="AC884" s="166"/>
      <c r="AD884" s="166"/>
      <c r="AE884" s="87"/>
      <c r="AF884" s="87"/>
      <c r="AG884" s="87"/>
      <c r="AH884" s="87"/>
      <c r="AI884" s="87"/>
      <c r="AJ884" s="87"/>
      <c r="AK884" s="87"/>
      <c r="AL884" s="87"/>
      <c r="AM884" s="87"/>
    </row>
    <row r="885">
      <c r="A885" s="87"/>
      <c r="B885" s="166"/>
      <c r="C885" s="166"/>
      <c r="D885" s="166"/>
      <c r="E885" s="166"/>
      <c r="F885" s="714"/>
      <c r="G885" s="166"/>
      <c r="H885" s="166"/>
      <c r="I885" s="166"/>
      <c r="J885" s="166"/>
      <c r="K885" s="166"/>
      <c r="L885" s="166"/>
      <c r="M885" s="166"/>
      <c r="N885" s="715"/>
      <c r="O885" s="166"/>
      <c r="P885" s="166"/>
      <c r="Q885" s="716"/>
      <c r="R885" s="714"/>
      <c r="S885" s="717"/>
      <c r="T885" s="714"/>
      <c r="U885" s="166"/>
      <c r="V885" s="166"/>
      <c r="W885" s="166"/>
      <c r="X885" s="166"/>
      <c r="Y885" s="718"/>
      <c r="Z885" s="719"/>
      <c r="AA885" s="719"/>
      <c r="AB885" s="166"/>
      <c r="AC885" s="166"/>
      <c r="AD885" s="166"/>
      <c r="AE885" s="87"/>
      <c r="AF885" s="87"/>
      <c r="AG885" s="87"/>
      <c r="AH885" s="87"/>
      <c r="AI885" s="87"/>
      <c r="AJ885" s="87"/>
      <c r="AK885" s="87"/>
      <c r="AL885" s="87"/>
      <c r="AM885" s="87"/>
    </row>
    <row r="886">
      <c r="A886" s="87"/>
      <c r="B886" s="166"/>
      <c r="C886" s="166"/>
      <c r="D886" s="166"/>
      <c r="E886" s="166"/>
      <c r="F886" s="714"/>
      <c r="G886" s="166"/>
      <c r="H886" s="166"/>
      <c r="I886" s="166"/>
      <c r="J886" s="166"/>
      <c r="K886" s="166"/>
      <c r="L886" s="166"/>
      <c r="M886" s="166"/>
      <c r="N886" s="715"/>
      <c r="O886" s="166"/>
      <c r="P886" s="166"/>
      <c r="Q886" s="716"/>
      <c r="R886" s="714"/>
      <c r="S886" s="717"/>
      <c r="T886" s="714"/>
      <c r="U886" s="166"/>
      <c r="V886" s="166"/>
      <c r="W886" s="166"/>
      <c r="X886" s="166"/>
      <c r="Y886" s="718"/>
      <c r="Z886" s="719"/>
      <c r="AA886" s="719"/>
      <c r="AB886" s="166"/>
      <c r="AC886" s="166"/>
      <c r="AD886" s="166"/>
      <c r="AE886" s="87"/>
      <c r="AF886" s="87"/>
      <c r="AG886" s="87"/>
      <c r="AH886" s="87"/>
      <c r="AI886" s="87"/>
      <c r="AJ886" s="87"/>
      <c r="AK886" s="87"/>
      <c r="AL886" s="87"/>
      <c r="AM886" s="87"/>
    </row>
    <row r="887">
      <c r="A887" s="87"/>
      <c r="B887" s="166"/>
      <c r="C887" s="166"/>
      <c r="D887" s="166"/>
      <c r="E887" s="166"/>
      <c r="F887" s="714"/>
      <c r="G887" s="166"/>
      <c r="H887" s="166"/>
      <c r="I887" s="166"/>
      <c r="J887" s="166"/>
      <c r="K887" s="166"/>
      <c r="L887" s="166"/>
      <c r="M887" s="166"/>
      <c r="N887" s="715"/>
      <c r="O887" s="166"/>
      <c r="P887" s="166"/>
      <c r="Q887" s="716"/>
      <c r="R887" s="714"/>
      <c r="S887" s="717"/>
      <c r="T887" s="714"/>
      <c r="U887" s="166"/>
      <c r="V887" s="166"/>
      <c r="W887" s="166"/>
      <c r="X887" s="166"/>
      <c r="Y887" s="718"/>
      <c r="Z887" s="719"/>
      <c r="AA887" s="719"/>
      <c r="AB887" s="166"/>
      <c r="AC887" s="166"/>
      <c r="AD887" s="166"/>
      <c r="AE887" s="87"/>
      <c r="AF887" s="87"/>
      <c r="AG887" s="87"/>
      <c r="AH887" s="87"/>
      <c r="AI887" s="87"/>
      <c r="AJ887" s="87"/>
      <c r="AK887" s="87"/>
      <c r="AL887" s="87"/>
      <c r="AM887" s="87"/>
    </row>
    <row r="888">
      <c r="A888" s="87"/>
      <c r="B888" s="166"/>
      <c r="C888" s="166"/>
      <c r="D888" s="166"/>
      <c r="E888" s="166"/>
      <c r="F888" s="714"/>
      <c r="G888" s="166"/>
      <c r="H888" s="166"/>
      <c r="I888" s="166"/>
      <c r="J888" s="166"/>
      <c r="K888" s="166"/>
      <c r="L888" s="166"/>
      <c r="M888" s="166"/>
      <c r="N888" s="715"/>
      <c r="O888" s="166"/>
      <c r="P888" s="166"/>
      <c r="Q888" s="716"/>
      <c r="R888" s="714"/>
      <c r="S888" s="717"/>
      <c r="T888" s="714"/>
      <c r="U888" s="166"/>
      <c r="V888" s="166"/>
      <c r="W888" s="166"/>
      <c r="X888" s="166"/>
      <c r="Y888" s="718"/>
      <c r="Z888" s="719"/>
      <c r="AA888" s="719"/>
      <c r="AB888" s="166"/>
      <c r="AC888" s="166"/>
      <c r="AD888" s="166"/>
      <c r="AE888" s="87"/>
      <c r="AF888" s="87"/>
      <c r="AG888" s="87"/>
      <c r="AH888" s="87"/>
      <c r="AI888" s="87"/>
      <c r="AJ888" s="87"/>
      <c r="AK888" s="87"/>
      <c r="AL888" s="87"/>
      <c r="AM888" s="87"/>
    </row>
    <row r="889">
      <c r="A889" s="87"/>
      <c r="B889" s="166"/>
      <c r="C889" s="166"/>
      <c r="D889" s="166"/>
      <c r="E889" s="166"/>
      <c r="F889" s="714"/>
      <c r="G889" s="166"/>
      <c r="H889" s="166"/>
      <c r="I889" s="166"/>
      <c r="J889" s="166"/>
      <c r="K889" s="166"/>
      <c r="L889" s="166"/>
      <c r="M889" s="166"/>
      <c r="N889" s="715"/>
      <c r="O889" s="166"/>
      <c r="P889" s="166"/>
      <c r="Q889" s="716"/>
      <c r="R889" s="714"/>
      <c r="S889" s="717"/>
      <c r="T889" s="714"/>
      <c r="U889" s="166"/>
      <c r="V889" s="166"/>
      <c r="W889" s="166"/>
      <c r="X889" s="166"/>
      <c r="Y889" s="718"/>
      <c r="Z889" s="719"/>
      <c r="AA889" s="719"/>
      <c r="AB889" s="166"/>
      <c r="AC889" s="166"/>
      <c r="AD889" s="166"/>
      <c r="AE889" s="87"/>
      <c r="AF889" s="87"/>
      <c r="AG889" s="87"/>
      <c r="AH889" s="87"/>
      <c r="AI889" s="87"/>
      <c r="AJ889" s="87"/>
      <c r="AK889" s="87"/>
      <c r="AL889" s="87"/>
      <c r="AM889" s="87"/>
    </row>
    <row r="890">
      <c r="A890" s="87"/>
      <c r="B890" s="166"/>
      <c r="C890" s="166"/>
      <c r="D890" s="166"/>
      <c r="E890" s="166"/>
      <c r="F890" s="714"/>
      <c r="G890" s="166"/>
      <c r="H890" s="166"/>
      <c r="I890" s="166"/>
      <c r="J890" s="166"/>
      <c r="K890" s="166"/>
      <c r="L890" s="166"/>
      <c r="M890" s="166"/>
      <c r="N890" s="715"/>
      <c r="O890" s="166"/>
      <c r="P890" s="166"/>
      <c r="Q890" s="716"/>
      <c r="R890" s="714"/>
      <c r="S890" s="717"/>
      <c r="T890" s="714"/>
      <c r="U890" s="166"/>
      <c r="V890" s="166"/>
      <c r="W890" s="166"/>
      <c r="X890" s="166"/>
      <c r="Y890" s="718"/>
      <c r="Z890" s="719"/>
      <c r="AA890" s="719"/>
      <c r="AB890" s="166"/>
      <c r="AC890" s="166"/>
      <c r="AD890" s="166"/>
      <c r="AE890" s="87"/>
      <c r="AF890" s="87"/>
      <c r="AG890" s="87"/>
      <c r="AH890" s="87"/>
      <c r="AI890" s="87"/>
      <c r="AJ890" s="87"/>
      <c r="AK890" s="87"/>
      <c r="AL890" s="87"/>
      <c r="AM890" s="87"/>
    </row>
    <row r="891">
      <c r="A891" s="87"/>
      <c r="B891" s="166"/>
      <c r="C891" s="166"/>
      <c r="D891" s="166"/>
      <c r="E891" s="166"/>
      <c r="F891" s="714"/>
      <c r="G891" s="166"/>
      <c r="H891" s="166"/>
      <c r="I891" s="166"/>
      <c r="J891" s="166"/>
      <c r="K891" s="166"/>
      <c r="L891" s="166"/>
      <c r="M891" s="166"/>
      <c r="N891" s="715"/>
      <c r="O891" s="166"/>
      <c r="P891" s="166"/>
      <c r="Q891" s="716"/>
      <c r="R891" s="714"/>
      <c r="S891" s="717"/>
      <c r="T891" s="714"/>
      <c r="U891" s="166"/>
      <c r="V891" s="166"/>
      <c r="W891" s="166"/>
      <c r="X891" s="166"/>
      <c r="Y891" s="718"/>
      <c r="Z891" s="719"/>
      <c r="AA891" s="719"/>
      <c r="AB891" s="166"/>
      <c r="AC891" s="166"/>
      <c r="AD891" s="166"/>
      <c r="AE891" s="87"/>
      <c r="AF891" s="87"/>
      <c r="AG891" s="87"/>
      <c r="AH891" s="87"/>
      <c r="AI891" s="87"/>
      <c r="AJ891" s="87"/>
      <c r="AK891" s="87"/>
      <c r="AL891" s="87"/>
      <c r="AM891" s="87"/>
    </row>
    <row r="892">
      <c r="A892" s="87"/>
      <c r="B892" s="166"/>
      <c r="C892" s="166"/>
      <c r="D892" s="166"/>
      <c r="E892" s="166"/>
      <c r="F892" s="714"/>
      <c r="G892" s="166"/>
      <c r="H892" s="166"/>
      <c r="I892" s="166"/>
      <c r="J892" s="166"/>
      <c r="K892" s="166"/>
      <c r="L892" s="166"/>
      <c r="M892" s="166"/>
      <c r="N892" s="715"/>
      <c r="O892" s="166"/>
      <c r="P892" s="166"/>
      <c r="Q892" s="716"/>
      <c r="R892" s="714"/>
      <c r="S892" s="717"/>
      <c r="T892" s="714"/>
      <c r="U892" s="166"/>
      <c r="V892" s="166"/>
      <c r="W892" s="166"/>
      <c r="X892" s="166"/>
      <c r="Y892" s="718"/>
      <c r="Z892" s="719"/>
      <c r="AA892" s="719"/>
      <c r="AB892" s="166"/>
      <c r="AC892" s="166"/>
      <c r="AD892" s="166"/>
      <c r="AE892" s="87"/>
      <c r="AF892" s="87"/>
      <c r="AG892" s="87"/>
      <c r="AH892" s="87"/>
      <c r="AI892" s="87"/>
      <c r="AJ892" s="87"/>
      <c r="AK892" s="87"/>
      <c r="AL892" s="87"/>
      <c r="AM892" s="87"/>
    </row>
    <row r="893">
      <c r="A893" s="87"/>
      <c r="B893" s="166"/>
      <c r="C893" s="166"/>
      <c r="D893" s="166"/>
      <c r="E893" s="166"/>
      <c r="F893" s="714"/>
      <c r="G893" s="166"/>
      <c r="H893" s="166"/>
      <c r="I893" s="166"/>
      <c r="J893" s="166"/>
      <c r="K893" s="166"/>
      <c r="L893" s="166"/>
      <c r="M893" s="166"/>
      <c r="N893" s="715"/>
      <c r="O893" s="166"/>
      <c r="P893" s="166"/>
      <c r="Q893" s="716"/>
      <c r="R893" s="714"/>
      <c r="S893" s="717"/>
      <c r="T893" s="714"/>
      <c r="U893" s="166"/>
      <c r="V893" s="166"/>
      <c r="W893" s="166"/>
      <c r="X893" s="166"/>
      <c r="Y893" s="718"/>
      <c r="Z893" s="719"/>
      <c r="AA893" s="719"/>
      <c r="AB893" s="166"/>
      <c r="AC893" s="166"/>
      <c r="AD893" s="166"/>
      <c r="AE893" s="87"/>
      <c r="AF893" s="87"/>
      <c r="AG893" s="87"/>
      <c r="AH893" s="87"/>
      <c r="AI893" s="87"/>
      <c r="AJ893" s="87"/>
      <c r="AK893" s="87"/>
      <c r="AL893" s="87"/>
      <c r="AM893" s="87"/>
    </row>
    <row r="894">
      <c r="A894" s="87"/>
      <c r="B894" s="166"/>
      <c r="C894" s="166"/>
      <c r="D894" s="166"/>
      <c r="E894" s="166"/>
      <c r="F894" s="714"/>
      <c r="G894" s="166"/>
      <c r="H894" s="166"/>
      <c r="I894" s="166"/>
      <c r="J894" s="166"/>
      <c r="K894" s="166"/>
      <c r="L894" s="166"/>
      <c r="M894" s="166"/>
      <c r="N894" s="715"/>
      <c r="O894" s="166"/>
      <c r="P894" s="166"/>
      <c r="Q894" s="716"/>
      <c r="R894" s="714"/>
      <c r="S894" s="717"/>
      <c r="T894" s="714"/>
      <c r="U894" s="166"/>
      <c r="V894" s="166"/>
      <c r="W894" s="166"/>
      <c r="X894" s="166"/>
      <c r="Y894" s="718"/>
      <c r="Z894" s="719"/>
      <c r="AA894" s="719"/>
      <c r="AB894" s="166"/>
      <c r="AC894" s="166"/>
      <c r="AD894" s="166"/>
      <c r="AE894" s="87"/>
      <c r="AF894" s="87"/>
      <c r="AG894" s="87"/>
      <c r="AH894" s="87"/>
      <c r="AI894" s="87"/>
      <c r="AJ894" s="87"/>
      <c r="AK894" s="87"/>
      <c r="AL894" s="87"/>
      <c r="AM894" s="87"/>
    </row>
    <row r="895">
      <c r="A895" s="87"/>
      <c r="B895" s="166"/>
      <c r="C895" s="166"/>
      <c r="D895" s="166"/>
      <c r="E895" s="166"/>
      <c r="F895" s="714"/>
      <c r="G895" s="166"/>
      <c r="H895" s="166"/>
      <c r="I895" s="166"/>
      <c r="J895" s="166"/>
      <c r="K895" s="166"/>
      <c r="L895" s="166"/>
      <c r="M895" s="166"/>
      <c r="N895" s="715"/>
      <c r="O895" s="166"/>
      <c r="P895" s="166"/>
      <c r="Q895" s="716"/>
      <c r="R895" s="714"/>
      <c r="S895" s="717"/>
      <c r="T895" s="714"/>
      <c r="U895" s="166"/>
      <c r="V895" s="166"/>
      <c r="W895" s="166"/>
      <c r="X895" s="166"/>
      <c r="Y895" s="718"/>
      <c r="Z895" s="719"/>
      <c r="AA895" s="719"/>
      <c r="AB895" s="166"/>
      <c r="AC895" s="166"/>
      <c r="AD895" s="166"/>
      <c r="AE895" s="87"/>
      <c r="AF895" s="87"/>
      <c r="AG895" s="87"/>
      <c r="AH895" s="87"/>
      <c r="AI895" s="87"/>
      <c r="AJ895" s="87"/>
      <c r="AK895" s="87"/>
      <c r="AL895" s="87"/>
      <c r="AM895" s="87"/>
    </row>
    <row r="896">
      <c r="A896" s="87"/>
      <c r="B896" s="166"/>
      <c r="C896" s="166"/>
      <c r="D896" s="166"/>
      <c r="E896" s="166"/>
      <c r="F896" s="714"/>
      <c r="G896" s="166"/>
      <c r="H896" s="166"/>
      <c r="I896" s="166"/>
      <c r="J896" s="166"/>
      <c r="K896" s="166"/>
      <c r="L896" s="166"/>
      <c r="M896" s="166"/>
      <c r="N896" s="715"/>
      <c r="O896" s="166"/>
      <c r="P896" s="166"/>
      <c r="Q896" s="716"/>
      <c r="R896" s="714"/>
      <c r="S896" s="717"/>
      <c r="T896" s="714"/>
      <c r="U896" s="166"/>
      <c r="V896" s="166"/>
      <c r="W896" s="166"/>
      <c r="X896" s="166"/>
      <c r="Y896" s="718"/>
      <c r="Z896" s="719"/>
      <c r="AA896" s="719"/>
      <c r="AB896" s="166"/>
      <c r="AC896" s="166"/>
      <c r="AD896" s="166"/>
      <c r="AE896" s="87"/>
      <c r="AF896" s="87"/>
      <c r="AG896" s="87"/>
      <c r="AH896" s="87"/>
      <c r="AI896" s="87"/>
      <c r="AJ896" s="87"/>
      <c r="AK896" s="87"/>
      <c r="AL896" s="87"/>
      <c r="AM896" s="87"/>
    </row>
    <row r="897">
      <c r="A897" s="87"/>
      <c r="B897" s="166"/>
      <c r="C897" s="166"/>
      <c r="D897" s="166"/>
      <c r="E897" s="166"/>
      <c r="F897" s="714"/>
      <c r="G897" s="166"/>
      <c r="H897" s="166"/>
      <c r="I897" s="166"/>
      <c r="J897" s="166"/>
      <c r="K897" s="166"/>
      <c r="L897" s="166"/>
      <c r="M897" s="166"/>
      <c r="N897" s="715"/>
      <c r="O897" s="166"/>
      <c r="P897" s="166"/>
      <c r="Q897" s="716"/>
      <c r="R897" s="714"/>
      <c r="S897" s="717"/>
      <c r="T897" s="714"/>
      <c r="U897" s="166"/>
      <c r="V897" s="166"/>
      <c r="W897" s="166"/>
      <c r="X897" s="166"/>
      <c r="Y897" s="718"/>
      <c r="Z897" s="719"/>
      <c r="AA897" s="719"/>
      <c r="AB897" s="166"/>
      <c r="AC897" s="166"/>
      <c r="AD897" s="166"/>
      <c r="AE897" s="87"/>
      <c r="AF897" s="87"/>
      <c r="AG897" s="87"/>
      <c r="AH897" s="87"/>
      <c r="AI897" s="87"/>
      <c r="AJ897" s="87"/>
      <c r="AK897" s="87"/>
      <c r="AL897" s="87"/>
      <c r="AM897" s="87"/>
    </row>
    <row r="898">
      <c r="A898" s="87"/>
      <c r="B898" s="166"/>
      <c r="C898" s="166"/>
      <c r="D898" s="166"/>
      <c r="E898" s="166"/>
      <c r="F898" s="714"/>
      <c r="G898" s="166"/>
      <c r="H898" s="166"/>
      <c r="I898" s="166"/>
      <c r="J898" s="166"/>
      <c r="K898" s="166"/>
      <c r="L898" s="166"/>
      <c r="M898" s="166"/>
      <c r="N898" s="715"/>
      <c r="O898" s="166"/>
      <c r="P898" s="166"/>
      <c r="Q898" s="716"/>
      <c r="R898" s="714"/>
      <c r="S898" s="717"/>
      <c r="T898" s="714"/>
      <c r="U898" s="166"/>
      <c r="V898" s="166"/>
      <c r="W898" s="166"/>
      <c r="X898" s="166"/>
      <c r="Y898" s="718"/>
      <c r="Z898" s="719"/>
      <c r="AA898" s="719"/>
      <c r="AB898" s="166"/>
      <c r="AC898" s="166"/>
      <c r="AD898" s="166"/>
      <c r="AE898" s="87"/>
      <c r="AF898" s="87"/>
      <c r="AG898" s="87"/>
      <c r="AH898" s="87"/>
      <c r="AI898" s="87"/>
      <c r="AJ898" s="87"/>
      <c r="AK898" s="87"/>
      <c r="AL898" s="87"/>
      <c r="AM898" s="87"/>
    </row>
    <row r="899">
      <c r="A899" s="87"/>
      <c r="B899" s="166"/>
      <c r="C899" s="166"/>
      <c r="D899" s="166"/>
      <c r="E899" s="166"/>
      <c r="F899" s="714"/>
      <c r="G899" s="166"/>
      <c r="H899" s="166"/>
      <c r="I899" s="166"/>
      <c r="J899" s="166"/>
      <c r="K899" s="166"/>
      <c r="L899" s="166"/>
      <c r="M899" s="166"/>
      <c r="N899" s="715"/>
      <c r="O899" s="166"/>
      <c r="P899" s="166"/>
      <c r="Q899" s="716"/>
      <c r="R899" s="714"/>
      <c r="S899" s="717"/>
      <c r="T899" s="714"/>
      <c r="U899" s="166"/>
      <c r="V899" s="166"/>
      <c r="W899" s="166"/>
      <c r="X899" s="166"/>
      <c r="Y899" s="718"/>
      <c r="Z899" s="719"/>
      <c r="AA899" s="719"/>
      <c r="AB899" s="166"/>
      <c r="AC899" s="166"/>
      <c r="AD899" s="166"/>
      <c r="AE899" s="87"/>
      <c r="AF899" s="87"/>
      <c r="AG899" s="87"/>
      <c r="AH899" s="87"/>
      <c r="AI899" s="87"/>
      <c r="AJ899" s="87"/>
      <c r="AK899" s="87"/>
      <c r="AL899" s="87"/>
      <c r="AM899" s="87"/>
    </row>
    <row r="900">
      <c r="A900" s="87"/>
      <c r="B900" s="166"/>
      <c r="C900" s="166"/>
      <c r="D900" s="166"/>
      <c r="E900" s="166"/>
      <c r="F900" s="714"/>
      <c r="G900" s="166"/>
      <c r="H900" s="166"/>
      <c r="I900" s="166"/>
      <c r="J900" s="166"/>
      <c r="K900" s="166"/>
      <c r="L900" s="166"/>
      <c r="M900" s="166"/>
      <c r="N900" s="715"/>
      <c r="O900" s="166"/>
      <c r="P900" s="166"/>
      <c r="Q900" s="716"/>
      <c r="R900" s="714"/>
      <c r="S900" s="717"/>
      <c r="T900" s="714"/>
      <c r="U900" s="166"/>
      <c r="V900" s="166"/>
      <c r="W900" s="166"/>
      <c r="X900" s="166"/>
      <c r="Y900" s="718"/>
      <c r="Z900" s="719"/>
      <c r="AA900" s="719"/>
      <c r="AB900" s="166"/>
      <c r="AC900" s="166"/>
      <c r="AD900" s="166"/>
      <c r="AE900" s="87"/>
      <c r="AF900" s="87"/>
      <c r="AG900" s="87"/>
      <c r="AH900" s="87"/>
      <c r="AI900" s="87"/>
      <c r="AJ900" s="87"/>
      <c r="AK900" s="87"/>
      <c r="AL900" s="87"/>
      <c r="AM900" s="87"/>
    </row>
    <row r="901">
      <c r="A901" s="87"/>
      <c r="B901" s="166"/>
      <c r="C901" s="166"/>
      <c r="D901" s="166"/>
      <c r="E901" s="166"/>
      <c r="F901" s="714"/>
      <c r="G901" s="166"/>
      <c r="H901" s="166"/>
      <c r="I901" s="166"/>
      <c r="J901" s="166"/>
      <c r="K901" s="166"/>
      <c r="L901" s="166"/>
      <c r="M901" s="166"/>
      <c r="N901" s="715"/>
      <c r="O901" s="166"/>
      <c r="P901" s="166"/>
      <c r="Q901" s="716"/>
      <c r="R901" s="714"/>
      <c r="S901" s="717"/>
      <c r="T901" s="714"/>
      <c r="U901" s="166"/>
      <c r="V901" s="166"/>
      <c r="W901" s="166"/>
      <c r="X901" s="166"/>
      <c r="Y901" s="718"/>
      <c r="Z901" s="719"/>
      <c r="AA901" s="719"/>
      <c r="AB901" s="166"/>
      <c r="AC901" s="166"/>
      <c r="AD901" s="166"/>
      <c r="AE901" s="87"/>
      <c r="AF901" s="87"/>
      <c r="AG901" s="87"/>
      <c r="AH901" s="87"/>
      <c r="AI901" s="87"/>
      <c r="AJ901" s="87"/>
      <c r="AK901" s="87"/>
      <c r="AL901" s="87"/>
      <c r="AM901" s="87"/>
    </row>
    <row r="902">
      <c r="A902" s="87"/>
      <c r="B902" s="166"/>
      <c r="C902" s="166"/>
      <c r="D902" s="166"/>
      <c r="E902" s="166"/>
      <c r="F902" s="714"/>
      <c r="G902" s="166"/>
      <c r="H902" s="166"/>
      <c r="I902" s="166"/>
      <c r="J902" s="166"/>
      <c r="K902" s="166"/>
      <c r="L902" s="166"/>
      <c r="M902" s="166"/>
      <c r="N902" s="715"/>
      <c r="O902" s="166"/>
      <c r="P902" s="166"/>
      <c r="Q902" s="716"/>
      <c r="R902" s="714"/>
      <c r="S902" s="717"/>
      <c r="T902" s="714"/>
      <c r="U902" s="166"/>
      <c r="V902" s="166"/>
      <c r="W902" s="166"/>
      <c r="X902" s="166"/>
      <c r="Y902" s="718"/>
      <c r="Z902" s="719"/>
      <c r="AA902" s="719"/>
      <c r="AB902" s="166"/>
      <c r="AC902" s="166"/>
      <c r="AD902" s="166"/>
      <c r="AE902" s="87"/>
      <c r="AF902" s="87"/>
      <c r="AG902" s="87"/>
      <c r="AH902" s="87"/>
      <c r="AI902" s="87"/>
      <c r="AJ902" s="87"/>
      <c r="AK902" s="87"/>
      <c r="AL902" s="87"/>
      <c r="AM902" s="87"/>
    </row>
    <row r="903">
      <c r="A903" s="87"/>
      <c r="B903" s="166"/>
      <c r="C903" s="166"/>
      <c r="D903" s="166"/>
      <c r="E903" s="166"/>
      <c r="F903" s="714"/>
      <c r="G903" s="166"/>
      <c r="H903" s="166"/>
      <c r="I903" s="166"/>
      <c r="J903" s="166"/>
      <c r="K903" s="166"/>
      <c r="L903" s="166"/>
      <c r="M903" s="166"/>
      <c r="N903" s="715"/>
      <c r="O903" s="166"/>
      <c r="P903" s="166"/>
      <c r="Q903" s="716"/>
      <c r="R903" s="714"/>
      <c r="S903" s="717"/>
      <c r="T903" s="714"/>
      <c r="U903" s="166"/>
      <c r="V903" s="166"/>
      <c r="W903" s="166"/>
      <c r="X903" s="166"/>
      <c r="Y903" s="718"/>
      <c r="Z903" s="719"/>
      <c r="AA903" s="719"/>
      <c r="AB903" s="166"/>
      <c r="AC903" s="166"/>
      <c r="AD903" s="166"/>
      <c r="AE903" s="87"/>
      <c r="AF903" s="87"/>
      <c r="AG903" s="87"/>
      <c r="AH903" s="87"/>
      <c r="AI903" s="87"/>
      <c r="AJ903" s="87"/>
      <c r="AK903" s="87"/>
      <c r="AL903" s="87"/>
      <c r="AM903" s="87"/>
    </row>
    <row r="904">
      <c r="A904" s="87"/>
      <c r="B904" s="166"/>
      <c r="C904" s="166"/>
      <c r="D904" s="166"/>
      <c r="E904" s="166"/>
      <c r="F904" s="714"/>
      <c r="G904" s="166"/>
      <c r="H904" s="166"/>
      <c r="I904" s="166"/>
      <c r="J904" s="166"/>
      <c r="K904" s="166"/>
      <c r="L904" s="166"/>
      <c r="M904" s="166"/>
      <c r="N904" s="715"/>
      <c r="O904" s="166"/>
      <c r="P904" s="166"/>
      <c r="Q904" s="716"/>
      <c r="R904" s="714"/>
      <c r="S904" s="717"/>
      <c r="T904" s="714"/>
      <c r="U904" s="166"/>
      <c r="V904" s="166"/>
      <c r="W904" s="166"/>
      <c r="X904" s="166"/>
      <c r="Y904" s="718"/>
      <c r="Z904" s="719"/>
      <c r="AA904" s="719"/>
      <c r="AB904" s="166"/>
      <c r="AC904" s="166"/>
      <c r="AD904" s="166"/>
      <c r="AE904" s="87"/>
      <c r="AF904" s="87"/>
      <c r="AG904" s="87"/>
      <c r="AH904" s="87"/>
      <c r="AI904" s="87"/>
      <c r="AJ904" s="87"/>
      <c r="AK904" s="87"/>
      <c r="AL904" s="87"/>
      <c r="AM904" s="87"/>
    </row>
    <row r="905">
      <c r="A905" s="87"/>
      <c r="B905" s="166"/>
      <c r="C905" s="166"/>
      <c r="D905" s="166"/>
      <c r="E905" s="166"/>
      <c r="F905" s="714"/>
      <c r="G905" s="166"/>
      <c r="H905" s="166"/>
      <c r="I905" s="166"/>
      <c r="J905" s="166"/>
      <c r="K905" s="166"/>
      <c r="L905" s="166"/>
      <c r="M905" s="166"/>
      <c r="N905" s="715"/>
      <c r="O905" s="166"/>
      <c r="P905" s="166"/>
      <c r="Q905" s="716"/>
      <c r="R905" s="714"/>
      <c r="S905" s="717"/>
      <c r="T905" s="714"/>
      <c r="U905" s="166"/>
      <c r="V905" s="166"/>
      <c r="W905" s="166"/>
      <c r="X905" s="166"/>
      <c r="Y905" s="718"/>
      <c r="Z905" s="719"/>
      <c r="AA905" s="719"/>
      <c r="AB905" s="166"/>
      <c r="AC905" s="166"/>
      <c r="AD905" s="166"/>
      <c r="AE905" s="87"/>
      <c r="AF905" s="87"/>
      <c r="AG905" s="87"/>
      <c r="AH905" s="87"/>
      <c r="AI905" s="87"/>
      <c r="AJ905" s="87"/>
      <c r="AK905" s="87"/>
      <c r="AL905" s="87"/>
      <c r="AM905" s="87"/>
    </row>
    <row r="906">
      <c r="A906" s="87"/>
      <c r="B906" s="166"/>
      <c r="C906" s="166"/>
      <c r="D906" s="166"/>
      <c r="E906" s="166"/>
      <c r="F906" s="714"/>
      <c r="G906" s="166"/>
      <c r="H906" s="166"/>
      <c r="I906" s="166"/>
      <c r="J906" s="166"/>
      <c r="K906" s="166"/>
      <c r="L906" s="166"/>
      <c r="M906" s="166"/>
      <c r="N906" s="715"/>
      <c r="O906" s="166"/>
      <c r="P906" s="166"/>
      <c r="Q906" s="716"/>
      <c r="R906" s="714"/>
      <c r="S906" s="717"/>
      <c r="T906" s="714"/>
      <c r="U906" s="166"/>
      <c r="V906" s="166"/>
      <c r="W906" s="166"/>
      <c r="X906" s="166"/>
      <c r="Y906" s="718"/>
      <c r="Z906" s="719"/>
      <c r="AA906" s="719"/>
      <c r="AB906" s="166"/>
      <c r="AC906" s="166"/>
      <c r="AD906" s="166"/>
      <c r="AE906" s="87"/>
      <c r="AF906" s="87"/>
      <c r="AG906" s="87"/>
      <c r="AH906" s="87"/>
      <c r="AI906" s="87"/>
      <c r="AJ906" s="87"/>
      <c r="AK906" s="87"/>
      <c r="AL906" s="87"/>
      <c r="AM906" s="87"/>
    </row>
    <row r="907">
      <c r="A907" s="87"/>
      <c r="B907" s="166"/>
      <c r="C907" s="166"/>
      <c r="D907" s="166"/>
      <c r="E907" s="166"/>
      <c r="F907" s="714"/>
      <c r="G907" s="166"/>
      <c r="H907" s="166"/>
      <c r="I907" s="166"/>
      <c r="J907" s="166"/>
      <c r="K907" s="166"/>
      <c r="L907" s="166"/>
      <c r="M907" s="166"/>
      <c r="N907" s="715"/>
      <c r="O907" s="166"/>
      <c r="P907" s="166"/>
      <c r="Q907" s="716"/>
      <c r="R907" s="714"/>
      <c r="S907" s="717"/>
      <c r="T907" s="714"/>
      <c r="U907" s="166"/>
      <c r="V907" s="166"/>
      <c r="W907" s="166"/>
      <c r="X907" s="166"/>
      <c r="Y907" s="718"/>
      <c r="Z907" s="719"/>
      <c r="AA907" s="719"/>
      <c r="AB907" s="166"/>
      <c r="AC907" s="166"/>
      <c r="AD907" s="166"/>
      <c r="AE907" s="87"/>
      <c r="AF907" s="87"/>
      <c r="AG907" s="87"/>
      <c r="AH907" s="87"/>
      <c r="AI907" s="87"/>
      <c r="AJ907" s="87"/>
      <c r="AK907" s="87"/>
      <c r="AL907" s="87"/>
      <c r="AM907" s="87"/>
    </row>
    <row r="908">
      <c r="A908" s="87"/>
      <c r="B908" s="166"/>
      <c r="C908" s="166"/>
      <c r="D908" s="166"/>
      <c r="E908" s="166"/>
      <c r="F908" s="714"/>
      <c r="G908" s="166"/>
      <c r="H908" s="166"/>
      <c r="I908" s="166"/>
      <c r="J908" s="166"/>
      <c r="K908" s="166"/>
      <c r="L908" s="166"/>
      <c r="M908" s="166"/>
      <c r="N908" s="715"/>
      <c r="O908" s="166"/>
      <c r="P908" s="166"/>
      <c r="Q908" s="716"/>
      <c r="R908" s="714"/>
      <c r="S908" s="717"/>
      <c r="T908" s="714"/>
      <c r="U908" s="166"/>
      <c r="V908" s="166"/>
      <c r="W908" s="166"/>
      <c r="X908" s="166"/>
      <c r="Y908" s="718"/>
      <c r="Z908" s="719"/>
      <c r="AA908" s="719"/>
      <c r="AB908" s="166"/>
      <c r="AC908" s="166"/>
      <c r="AD908" s="166"/>
      <c r="AE908" s="87"/>
      <c r="AF908" s="87"/>
      <c r="AG908" s="87"/>
      <c r="AH908" s="87"/>
      <c r="AI908" s="87"/>
      <c r="AJ908" s="87"/>
      <c r="AK908" s="87"/>
      <c r="AL908" s="87"/>
      <c r="AM908" s="87"/>
    </row>
    <row r="909">
      <c r="A909" s="87"/>
      <c r="B909" s="166"/>
      <c r="C909" s="166"/>
      <c r="D909" s="166"/>
      <c r="E909" s="166"/>
      <c r="F909" s="714"/>
      <c r="G909" s="166"/>
      <c r="H909" s="166"/>
      <c r="I909" s="166"/>
      <c r="J909" s="166"/>
      <c r="K909" s="166"/>
      <c r="L909" s="166"/>
      <c r="M909" s="166"/>
      <c r="N909" s="715"/>
      <c r="O909" s="166"/>
      <c r="P909" s="166"/>
      <c r="Q909" s="716"/>
      <c r="R909" s="714"/>
      <c r="S909" s="717"/>
      <c r="T909" s="714"/>
      <c r="U909" s="166"/>
      <c r="V909" s="166"/>
      <c r="W909" s="166"/>
      <c r="X909" s="166"/>
      <c r="Y909" s="718"/>
      <c r="Z909" s="719"/>
      <c r="AA909" s="719"/>
      <c r="AB909" s="166"/>
      <c r="AC909" s="166"/>
      <c r="AD909" s="166"/>
      <c r="AE909" s="87"/>
      <c r="AF909" s="87"/>
      <c r="AG909" s="87"/>
      <c r="AH909" s="87"/>
      <c r="AI909" s="87"/>
      <c r="AJ909" s="87"/>
      <c r="AK909" s="87"/>
      <c r="AL909" s="87"/>
      <c r="AM909" s="87"/>
    </row>
    <row r="910">
      <c r="A910" s="87"/>
      <c r="B910" s="166"/>
      <c r="C910" s="166"/>
      <c r="D910" s="166"/>
      <c r="E910" s="166"/>
      <c r="F910" s="714"/>
      <c r="G910" s="166"/>
      <c r="H910" s="166"/>
      <c r="I910" s="166"/>
      <c r="J910" s="166"/>
      <c r="K910" s="166"/>
      <c r="L910" s="166"/>
      <c r="M910" s="166"/>
      <c r="N910" s="715"/>
      <c r="O910" s="166"/>
      <c r="P910" s="166"/>
      <c r="Q910" s="716"/>
      <c r="R910" s="714"/>
      <c r="S910" s="717"/>
      <c r="T910" s="714"/>
      <c r="U910" s="166"/>
      <c r="V910" s="166"/>
      <c r="W910" s="166"/>
      <c r="X910" s="166"/>
      <c r="Y910" s="718"/>
      <c r="Z910" s="719"/>
      <c r="AA910" s="719"/>
      <c r="AB910" s="166"/>
      <c r="AC910" s="166"/>
      <c r="AD910" s="166"/>
      <c r="AE910" s="87"/>
      <c r="AF910" s="87"/>
      <c r="AG910" s="87"/>
      <c r="AH910" s="87"/>
      <c r="AI910" s="87"/>
      <c r="AJ910" s="87"/>
      <c r="AK910" s="87"/>
      <c r="AL910" s="87"/>
      <c r="AM910" s="87"/>
    </row>
    <row r="911">
      <c r="A911" s="87"/>
      <c r="B911" s="166"/>
      <c r="C911" s="166"/>
      <c r="D911" s="166"/>
      <c r="E911" s="166"/>
      <c r="F911" s="714"/>
      <c r="G911" s="166"/>
      <c r="H911" s="166"/>
      <c r="I911" s="166"/>
      <c r="J911" s="166"/>
      <c r="K911" s="166"/>
      <c r="L911" s="166"/>
      <c r="M911" s="166"/>
      <c r="N911" s="715"/>
      <c r="O911" s="166"/>
      <c r="P911" s="166"/>
      <c r="Q911" s="716"/>
      <c r="R911" s="714"/>
      <c r="S911" s="717"/>
      <c r="T911" s="714"/>
      <c r="U911" s="166"/>
      <c r="V911" s="166"/>
      <c r="W911" s="166"/>
      <c r="X911" s="166"/>
      <c r="Y911" s="718"/>
      <c r="Z911" s="719"/>
      <c r="AA911" s="719"/>
      <c r="AB911" s="166"/>
      <c r="AC911" s="166"/>
      <c r="AD911" s="166"/>
      <c r="AE911" s="87"/>
      <c r="AF911" s="87"/>
      <c r="AG911" s="87"/>
      <c r="AH911" s="87"/>
      <c r="AI911" s="87"/>
      <c r="AJ911" s="87"/>
      <c r="AK911" s="87"/>
      <c r="AL911" s="87"/>
      <c r="AM911" s="87"/>
    </row>
    <row r="912">
      <c r="A912" s="87"/>
      <c r="B912" s="166"/>
      <c r="C912" s="166"/>
      <c r="D912" s="166"/>
      <c r="E912" s="166"/>
      <c r="F912" s="714"/>
      <c r="G912" s="166"/>
      <c r="H912" s="166"/>
      <c r="I912" s="166"/>
      <c r="J912" s="166"/>
      <c r="K912" s="166"/>
      <c r="L912" s="166"/>
      <c r="M912" s="166"/>
      <c r="N912" s="715"/>
      <c r="O912" s="166"/>
      <c r="P912" s="166"/>
      <c r="Q912" s="716"/>
      <c r="R912" s="714"/>
      <c r="S912" s="717"/>
      <c r="T912" s="714"/>
      <c r="U912" s="166"/>
      <c r="V912" s="166"/>
      <c r="W912" s="166"/>
      <c r="X912" s="166"/>
      <c r="Y912" s="718"/>
      <c r="Z912" s="719"/>
      <c r="AA912" s="719"/>
      <c r="AB912" s="166"/>
      <c r="AC912" s="166"/>
      <c r="AD912" s="166"/>
      <c r="AE912" s="87"/>
      <c r="AF912" s="87"/>
      <c r="AG912" s="87"/>
      <c r="AH912" s="87"/>
      <c r="AI912" s="87"/>
      <c r="AJ912" s="87"/>
      <c r="AK912" s="87"/>
      <c r="AL912" s="87"/>
      <c r="AM912" s="87"/>
    </row>
    <row r="913">
      <c r="A913" s="87"/>
      <c r="B913" s="166"/>
      <c r="C913" s="166"/>
      <c r="D913" s="166"/>
      <c r="E913" s="166"/>
      <c r="F913" s="714"/>
      <c r="G913" s="166"/>
      <c r="H913" s="166"/>
      <c r="I913" s="166"/>
      <c r="J913" s="166"/>
      <c r="K913" s="166"/>
      <c r="L913" s="166"/>
      <c r="M913" s="166"/>
      <c r="N913" s="715"/>
      <c r="O913" s="166"/>
      <c r="P913" s="166"/>
      <c r="Q913" s="716"/>
      <c r="R913" s="714"/>
      <c r="S913" s="717"/>
      <c r="T913" s="714"/>
      <c r="U913" s="166"/>
      <c r="V913" s="166"/>
      <c r="W913" s="166"/>
      <c r="X913" s="166"/>
      <c r="Y913" s="718"/>
      <c r="Z913" s="719"/>
      <c r="AA913" s="719"/>
      <c r="AB913" s="166"/>
      <c r="AC913" s="166"/>
      <c r="AD913" s="166"/>
      <c r="AE913" s="87"/>
      <c r="AF913" s="87"/>
      <c r="AG913" s="87"/>
      <c r="AH913" s="87"/>
      <c r="AI913" s="87"/>
      <c r="AJ913" s="87"/>
      <c r="AK913" s="87"/>
      <c r="AL913" s="87"/>
      <c r="AM913" s="87"/>
    </row>
    <row r="914">
      <c r="A914" s="87"/>
      <c r="B914" s="166"/>
      <c r="C914" s="166"/>
      <c r="D914" s="166"/>
      <c r="E914" s="166"/>
      <c r="F914" s="714"/>
      <c r="G914" s="166"/>
      <c r="H914" s="166"/>
      <c r="I914" s="166"/>
      <c r="J914" s="166"/>
      <c r="K914" s="166"/>
      <c r="L914" s="166"/>
      <c r="M914" s="166"/>
      <c r="N914" s="715"/>
      <c r="O914" s="166"/>
      <c r="P914" s="166"/>
      <c r="Q914" s="716"/>
      <c r="R914" s="714"/>
      <c r="S914" s="717"/>
      <c r="T914" s="714"/>
      <c r="U914" s="166"/>
      <c r="V914" s="166"/>
      <c r="W914" s="166"/>
      <c r="X914" s="166"/>
      <c r="Y914" s="718"/>
      <c r="Z914" s="719"/>
      <c r="AA914" s="719"/>
      <c r="AB914" s="166"/>
      <c r="AC914" s="166"/>
      <c r="AD914" s="166"/>
      <c r="AE914" s="87"/>
      <c r="AF914" s="87"/>
      <c r="AG914" s="87"/>
      <c r="AH914" s="87"/>
      <c r="AI914" s="87"/>
      <c r="AJ914" s="87"/>
      <c r="AK914" s="87"/>
      <c r="AL914" s="87"/>
      <c r="AM914" s="87"/>
    </row>
    <row r="915">
      <c r="A915" s="87"/>
      <c r="B915" s="166"/>
      <c r="C915" s="166"/>
      <c r="D915" s="166"/>
      <c r="E915" s="166"/>
      <c r="F915" s="714"/>
      <c r="G915" s="166"/>
      <c r="H915" s="166"/>
      <c r="I915" s="166"/>
      <c r="J915" s="166"/>
      <c r="K915" s="166"/>
      <c r="L915" s="166"/>
      <c r="M915" s="166"/>
      <c r="N915" s="715"/>
      <c r="O915" s="166"/>
      <c r="P915" s="166"/>
      <c r="Q915" s="716"/>
      <c r="R915" s="714"/>
      <c r="S915" s="717"/>
      <c r="T915" s="714"/>
      <c r="U915" s="166"/>
      <c r="V915" s="166"/>
      <c r="W915" s="166"/>
      <c r="X915" s="166"/>
      <c r="Y915" s="718"/>
      <c r="Z915" s="719"/>
      <c r="AA915" s="719"/>
      <c r="AB915" s="166"/>
      <c r="AC915" s="166"/>
      <c r="AD915" s="166"/>
      <c r="AE915" s="87"/>
      <c r="AF915" s="87"/>
      <c r="AG915" s="87"/>
      <c r="AH915" s="87"/>
      <c r="AI915" s="87"/>
      <c r="AJ915" s="87"/>
      <c r="AK915" s="87"/>
      <c r="AL915" s="87"/>
      <c r="AM915" s="87"/>
    </row>
    <row r="916">
      <c r="A916" s="87"/>
      <c r="B916" s="166"/>
      <c r="C916" s="166"/>
      <c r="D916" s="166"/>
      <c r="E916" s="166"/>
      <c r="F916" s="714"/>
      <c r="G916" s="166"/>
      <c r="H916" s="166"/>
      <c r="I916" s="166"/>
      <c r="J916" s="166"/>
      <c r="K916" s="166"/>
      <c r="L916" s="166"/>
      <c r="M916" s="166"/>
      <c r="N916" s="715"/>
      <c r="O916" s="166"/>
      <c r="P916" s="166"/>
      <c r="Q916" s="716"/>
      <c r="R916" s="714"/>
      <c r="S916" s="717"/>
      <c r="T916" s="714"/>
      <c r="U916" s="166"/>
      <c r="V916" s="166"/>
      <c r="W916" s="166"/>
      <c r="X916" s="166"/>
      <c r="Y916" s="718"/>
      <c r="Z916" s="719"/>
      <c r="AA916" s="719"/>
      <c r="AB916" s="166"/>
      <c r="AC916" s="166"/>
      <c r="AD916" s="166"/>
      <c r="AE916" s="87"/>
      <c r="AF916" s="87"/>
      <c r="AG916" s="87"/>
      <c r="AH916" s="87"/>
      <c r="AI916" s="87"/>
      <c r="AJ916" s="87"/>
      <c r="AK916" s="87"/>
      <c r="AL916" s="87"/>
      <c r="AM916" s="87"/>
    </row>
    <row r="917">
      <c r="A917" s="87"/>
      <c r="B917" s="166"/>
      <c r="C917" s="166"/>
      <c r="D917" s="166"/>
      <c r="E917" s="166"/>
      <c r="F917" s="714"/>
      <c r="G917" s="166"/>
      <c r="H917" s="166"/>
      <c r="I917" s="166"/>
      <c r="J917" s="166"/>
      <c r="K917" s="166"/>
      <c r="L917" s="166"/>
      <c r="M917" s="166"/>
      <c r="N917" s="715"/>
      <c r="O917" s="166"/>
      <c r="P917" s="166"/>
      <c r="Q917" s="716"/>
      <c r="R917" s="714"/>
      <c r="S917" s="717"/>
      <c r="T917" s="714"/>
      <c r="U917" s="166"/>
      <c r="V917" s="166"/>
      <c r="W917" s="166"/>
      <c r="X917" s="166"/>
      <c r="Y917" s="718"/>
      <c r="Z917" s="719"/>
      <c r="AA917" s="719"/>
      <c r="AB917" s="166"/>
      <c r="AC917" s="166"/>
      <c r="AD917" s="166"/>
      <c r="AE917" s="87"/>
      <c r="AF917" s="87"/>
      <c r="AG917" s="87"/>
      <c r="AH917" s="87"/>
      <c r="AI917" s="87"/>
      <c r="AJ917" s="87"/>
      <c r="AK917" s="87"/>
      <c r="AL917" s="87"/>
      <c r="AM917" s="87"/>
    </row>
    <row r="918">
      <c r="A918" s="87"/>
      <c r="B918" s="166"/>
      <c r="C918" s="166"/>
      <c r="D918" s="166"/>
      <c r="E918" s="166"/>
      <c r="F918" s="714"/>
      <c r="G918" s="166"/>
      <c r="H918" s="166"/>
      <c r="I918" s="166"/>
      <c r="J918" s="166"/>
      <c r="K918" s="166"/>
      <c r="L918" s="166"/>
      <c r="M918" s="166"/>
      <c r="N918" s="715"/>
      <c r="O918" s="166"/>
      <c r="P918" s="166"/>
      <c r="Q918" s="716"/>
      <c r="R918" s="714"/>
      <c r="S918" s="717"/>
      <c r="T918" s="714"/>
      <c r="U918" s="166"/>
      <c r="V918" s="166"/>
      <c r="W918" s="166"/>
      <c r="X918" s="166"/>
      <c r="Y918" s="718"/>
      <c r="Z918" s="719"/>
      <c r="AA918" s="719"/>
      <c r="AB918" s="166"/>
      <c r="AC918" s="166"/>
      <c r="AD918" s="166"/>
      <c r="AE918" s="87"/>
      <c r="AF918" s="87"/>
      <c r="AG918" s="87"/>
      <c r="AH918" s="87"/>
      <c r="AI918" s="87"/>
      <c r="AJ918" s="87"/>
      <c r="AK918" s="87"/>
      <c r="AL918" s="87"/>
      <c r="AM918" s="87"/>
    </row>
    <row r="919">
      <c r="A919" s="87"/>
      <c r="B919" s="166"/>
      <c r="C919" s="166"/>
      <c r="D919" s="166"/>
      <c r="E919" s="166"/>
      <c r="F919" s="714"/>
      <c r="G919" s="166"/>
      <c r="H919" s="166"/>
      <c r="I919" s="166"/>
      <c r="J919" s="166"/>
      <c r="K919" s="166"/>
      <c r="L919" s="166"/>
      <c r="M919" s="166"/>
      <c r="N919" s="715"/>
      <c r="O919" s="166"/>
      <c r="P919" s="166"/>
      <c r="Q919" s="716"/>
      <c r="R919" s="714"/>
      <c r="S919" s="717"/>
      <c r="T919" s="714"/>
      <c r="U919" s="166"/>
      <c r="V919" s="166"/>
      <c r="W919" s="166"/>
      <c r="X919" s="166"/>
      <c r="Y919" s="718"/>
      <c r="Z919" s="719"/>
      <c r="AA919" s="719"/>
      <c r="AB919" s="166"/>
      <c r="AC919" s="166"/>
      <c r="AD919" s="166"/>
      <c r="AE919" s="87"/>
      <c r="AF919" s="87"/>
      <c r="AG919" s="87"/>
      <c r="AH919" s="87"/>
      <c r="AI919" s="87"/>
      <c r="AJ919" s="87"/>
      <c r="AK919" s="87"/>
      <c r="AL919" s="87"/>
      <c r="AM919" s="87"/>
    </row>
    <row r="920">
      <c r="A920" s="87"/>
      <c r="B920" s="166"/>
      <c r="C920" s="166"/>
      <c r="D920" s="166"/>
      <c r="E920" s="166"/>
      <c r="F920" s="714"/>
      <c r="G920" s="166"/>
      <c r="H920" s="166"/>
      <c r="I920" s="166"/>
      <c r="J920" s="166"/>
      <c r="K920" s="166"/>
      <c r="L920" s="166"/>
      <c r="M920" s="166"/>
      <c r="N920" s="715"/>
      <c r="O920" s="166"/>
      <c r="P920" s="166"/>
      <c r="Q920" s="716"/>
      <c r="R920" s="714"/>
      <c r="S920" s="717"/>
      <c r="T920" s="714"/>
      <c r="U920" s="166"/>
      <c r="V920" s="166"/>
      <c r="W920" s="166"/>
      <c r="X920" s="166"/>
      <c r="Y920" s="718"/>
      <c r="Z920" s="719"/>
      <c r="AA920" s="719"/>
      <c r="AB920" s="166"/>
      <c r="AC920" s="166"/>
      <c r="AD920" s="166"/>
      <c r="AE920" s="87"/>
      <c r="AF920" s="87"/>
      <c r="AG920" s="87"/>
      <c r="AH920" s="87"/>
      <c r="AI920" s="87"/>
      <c r="AJ920" s="87"/>
      <c r="AK920" s="87"/>
      <c r="AL920" s="87"/>
      <c r="AM920" s="87"/>
    </row>
    <row r="921">
      <c r="A921" s="87"/>
      <c r="B921" s="166"/>
      <c r="C921" s="166"/>
      <c r="D921" s="166"/>
      <c r="E921" s="166"/>
      <c r="F921" s="714"/>
      <c r="G921" s="166"/>
      <c r="H921" s="166"/>
      <c r="I921" s="166"/>
      <c r="J921" s="166"/>
      <c r="K921" s="166"/>
      <c r="L921" s="166"/>
      <c r="M921" s="166"/>
      <c r="N921" s="715"/>
      <c r="O921" s="166"/>
      <c r="P921" s="166"/>
      <c r="Q921" s="716"/>
      <c r="R921" s="714"/>
      <c r="S921" s="717"/>
      <c r="T921" s="714"/>
      <c r="U921" s="166"/>
      <c r="V921" s="166"/>
      <c r="W921" s="166"/>
      <c r="X921" s="166"/>
      <c r="Y921" s="718"/>
      <c r="Z921" s="719"/>
      <c r="AA921" s="719"/>
      <c r="AB921" s="166"/>
      <c r="AC921" s="166"/>
      <c r="AD921" s="166"/>
      <c r="AE921" s="87"/>
      <c r="AF921" s="87"/>
      <c r="AG921" s="87"/>
      <c r="AH921" s="87"/>
      <c r="AI921" s="87"/>
      <c r="AJ921" s="87"/>
      <c r="AK921" s="87"/>
      <c r="AL921" s="87"/>
      <c r="AM921" s="87"/>
    </row>
    <row r="922">
      <c r="A922" s="87"/>
      <c r="B922" s="166"/>
      <c r="C922" s="166"/>
      <c r="D922" s="166"/>
      <c r="E922" s="166"/>
      <c r="F922" s="714"/>
      <c r="G922" s="166"/>
      <c r="H922" s="166"/>
      <c r="I922" s="166"/>
      <c r="J922" s="166"/>
      <c r="K922" s="166"/>
      <c r="L922" s="166"/>
      <c r="M922" s="166"/>
      <c r="N922" s="715"/>
      <c r="O922" s="166"/>
      <c r="P922" s="166"/>
      <c r="Q922" s="716"/>
      <c r="R922" s="714"/>
      <c r="S922" s="717"/>
      <c r="T922" s="714"/>
      <c r="U922" s="166"/>
      <c r="V922" s="166"/>
      <c r="W922" s="166"/>
      <c r="X922" s="166"/>
      <c r="Y922" s="718"/>
      <c r="Z922" s="719"/>
      <c r="AA922" s="719"/>
      <c r="AB922" s="166"/>
      <c r="AC922" s="166"/>
      <c r="AD922" s="166"/>
      <c r="AE922" s="87"/>
      <c r="AF922" s="87"/>
      <c r="AG922" s="87"/>
      <c r="AH922" s="87"/>
      <c r="AI922" s="87"/>
      <c r="AJ922" s="87"/>
      <c r="AK922" s="87"/>
      <c r="AL922" s="87"/>
      <c r="AM922" s="87"/>
    </row>
    <row r="923">
      <c r="A923" s="87"/>
      <c r="B923" s="166"/>
      <c r="C923" s="166"/>
      <c r="D923" s="166"/>
      <c r="E923" s="166"/>
      <c r="F923" s="714"/>
      <c r="G923" s="166"/>
      <c r="H923" s="166"/>
      <c r="I923" s="166"/>
      <c r="J923" s="166"/>
      <c r="K923" s="166"/>
      <c r="L923" s="166"/>
      <c r="M923" s="166"/>
      <c r="N923" s="715"/>
      <c r="O923" s="166"/>
      <c r="P923" s="166"/>
      <c r="Q923" s="716"/>
      <c r="R923" s="714"/>
      <c r="S923" s="717"/>
      <c r="T923" s="714"/>
      <c r="U923" s="166"/>
      <c r="V923" s="166"/>
      <c r="W923" s="166"/>
      <c r="X923" s="166"/>
      <c r="Y923" s="718"/>
      <c r="Z923" s="719"/>
      <c r="AA923" s="719"/>
      <c r="AB923" s="166"/>
      <c r="AC923" s="166"/>
      <c r="AD923" s="166"/>
      <c r="AE923" s="87"/>
      <c r="AF923" s="87"/>
      <c r="AG923" s="87"/>
      <c r="AH923" s="87"/>
      <c r="AI923" s="87"/>
      <c r="AJ923" s="87"/>
      <c r="AK923" s="87"/>
      <c r="AL923" s="87"/>
      <c r="AM923" s="87"/>
    </row>
    <row r="924">
      <c r="A924" s="87"/>
      <c r="B924" s="166"/>
      <c r="C924" s="166"/>
      <c r="D924" s="166"/>
      <c r="E924" s="166"/>
      <c r="F924" s="714"/>
      <c r="G924" s="166"/>
      <c r="H924" s="166"/>
      <c r="I924" s="166"/>
      <c r="J924" s="166"/>
      <c r="K924" s="166"/>
      <c r="L924" s="166"/>
      <c r="M924" s="166"/>
      <c r="N924" s="715"/>
      <c r="O924" s="166"/>
      <c r="P924" s="166"/>
      <c r="Q924" s="716"/>
      <c r="R924" s="714"/>
      <c r="S924" s="717"/>
      <c r="T924" s="714"/>
      <c r="U924" s="166"/>
      <c r="V924" s="166"/>
      <c r="W924" s="166"/>
      <c r="X924" s="166"/>
      <c r="Y924" s="718"/>
      <c r="Z924" s="719"/>
      <c r="AA924" s="719"/>
      <c r="AB924" s="166"/>
      <c r="AC924" s="166"/>
      <c r="AD924" s="166"/>
      <c r="AE924" s="87"/>
      <c r="AF924" s="87"/>
      <c r="AG924" s="87"/>
      <c r="AH924" s="87"/>
      <c r="AI924" s="87"/>
      <c r="AJ924" s="87"/>
      <c r="AK924" s="87"/>
      <c r="AL924" s="87"/>
      <c r="AM924" s="87"/>
    </row>
    <row r="925">
      <c r="A925" s="87"/>
      <c r="B925" s="166"/>
      <c r="C925" s="166"/>
      <c r="D925" s="166"/>
      <c r="E925" s="166"/>
      <c r="F925" s="714"/>
      <c r="G925" s="166"/>
      <c r="H925" s="166"/>
      <c r="I925" s="166"/>
      <c r="J925" s="166"/>
      <c r="K925" s="166"/>
      <c r="L925" s="166"/>
      <c r="M925" s="166"/>
      <c r="N925" s="715"/>
      <c r="O925" s="166"/>
      <c r="P925" s="166"/>
      <c r="Q925" s="716"/>
      <c r="R925" s="714"/>
      <c r="S925" s="717"/>
      <c r="T925" s="714"/>
      <c r="U925" s="166"/>
      <c r="V925" s="166"/>
      <c r="W925" s="166"/>
      <c r="X925" s="166"/>
      <c r="Y925" s="718"/>
      <c r="Z925" s="719"/>
      <c r="AA925" s="719"/>
      <c r="AB925" s="166"/>
      <c r="AC925" s="166"/>
      <c r="AD925" s="166"/>
      <c r="AE925" s="87"/>
      <c r="AF925" s="87"/>
      <c r="AG925" s="87"/>
      <c r="AH925" s="87"/>
      <c r="AI925" s="87"/>
      <c r="AJ925" s="87"/>
      <c r="AK925" s="87"/>
      <c r="AL925" s="87"/>
      <c r="AM925" s="87"/>
    </row>
    <row r="926">
      <c r="A926" s="87"/>
      <c r="B926" s="166"/>
      <c r="C926" s="166"/>
      <c r="D926" s="166"/>
      <c r="E926" s="166"/>
      <c r="F926" s="714"/>
      <c r="G926" s="166"/>
      <c r="H926" s="166"/>
      <c r="I926" s="166"/>
      <c r="J926" s="166"/>
      <c r="K926" s="166"/>
      <c r="L926" s="166"/>
      <c r="M926" s="166"/>
      <c r="N926" s="715"/>
      <c r="O926" s="166"/>
      <c r="P926" s="166"/>
      <c r="Q926" s="716"/>
      <c r="R926" s="714"/>
      <c r="S926" s="717"/>
      <c r="T926" s="714"/>
      <c r="U926" s="166"/>
      <c r="V926" s="166"/>
      <c r="W926" s="166"/>
      <c r="X926" s="166"/>
      <c r="Y926" s="718"/>
      <c r="Z926" s="719"/>
      <c r="AA926" s="719"/>
      <c r="AB926" s="166"/>
      <c r="AC926" s="166"/>
      <c r="AD926" s="166"/>
      <c r="AE926" s="87"/>
      <c r="AF926" s="87"/>
      <c r="AG926" s="87"/>
      <c r="AH926" s="87"/>
      <c r="AI926" s="87"/>
      <c r="AJ926" s="87"/>
      <c r="AK926" s="87"/>
      <c r="AL926" s="87"/>
      <c r="AM926" s="87"/>
    </row>
    <row r="927">
      <c r="A927" s="87"/>
      <c r="B927" s="166"/>
      <c r="C927" s="166"/>
      <c r="D927" s="166"/>
      <c r="E927" s="166"/>
      <c r="F927" s="714"/>
      <c r="G927" s="166"/>
      <c r="H927" s="166"/>
      <c r="I927" s="166"/>
      <c r="J927" s="166"/>
      <c r="K927" s="166"/>
      <c r="L927" s="166"/>
      <c r="M927" s="166"/>
      <c r="N927" s="715"/>
      <c r="O927" s="166"/>
      <c r="P927" s="166"/>
      <c r="Q927" s="716"/>
      <c r="R927" s="714"/>
      <c r="S927" s="717"/>
      <c r="T927" s="714"/>
      <c r="U927" s="166"/>
      <c r="V927" s="166"/>
      <c r="W927" s="166"/>
      <c r="X927" s="166"/>
      <c r="Y927" s="718"/>
      <c r="Z927" s="719"/>
      <c r="AA927" s="719"/>
      <c r="AB927" s="166"/>
      <c r="AC927" s="166"/>
      <c r="AD927" s="166"/>
      <c r="AE927" s="87"/>
      <c r="AF927" s="87"/>
      <c r="AG927" s="87"/>
      <c r="AH927" s="87"/>
      <c r="AI927" s="87"/>
      <c r="AJ927" s="87"/>
      <c r="AK927" s="87"/>
      <c r="AL927" s="87"/>
      <c r="AM927" s="87"/>
    </row>
    <row r="928">
      <c r="A928" s="87"/>
      <c r="B928" s="166"/>
      <c r="C928" s="166"/>
      <c r="D928" s="166"/>
      <c r="E928" s="166"/>
      <c r="F928" s="714"/>
      <c r="G928" s="166"/>
      <c r="H928" s="166"/>
      <c r="I928" s="166"/>
      <c r="J928" s="166"/>
      <c r="K928" s="166"/>
      <c r="L928" s="166"/>
      <c r="M928" s="166"/>
      <c r="N928" s="715"/>
      <c r="O928" s="166"/>
      <c r="P928" s="166"/>
      <c r="Q928" s="716"/>
      <c r="R928" s="714"/>
      <c r="S928" s="717"/>
      <c r="T928" s="714"/>
      <c r="U928" s="166"/>
      <c r="V928" s="166"/>
      <c r="W928" s="166"/>
      <c r="X928" s="166"/>
      <c r="Y928" s="718"/>
      <c r="Z928" s="719"/>
      <c r="AA928" s="719"/>
      <c r="AB928" s="166"/>
      <c r="AC928" s="166"/>
      <c r="AD928" s="166"/>
      <c r="AE928" s="87"/>
      <c r="AF928" s="87"/>
      <c r="AG928" s="87"/>
      <c r="AH928" s="87"/>
      <c r="AI928" s="87"/>
      <c r="AJ928" s="87"/>
      <c r="AK928" s="87"/>
      <c r="AL928" s="87"/>
      <c r="AM928" s="87"/>
    </row>
    <row r="929">
      <c r="A929" s="87"/>
      <c r="B929" s="166"/>
      <c r="C929" s="166"/>
      <c r="D929" s="166"/>
      <c r="E929" s="166"/>
      <c r="F929" s="714"/>
      <c r="G929" s="166"/>
      <c r="H929" s="166"/>
      <c r="I929" s="166"/>
      <c r="J929" s="166"/>
      <c r="K929" s="166"/>
      <c r="L929" s="166"/>
      <c r="M929" s="166"/>
      <c r="N929" s="715"/>
      <c r="O929" s="166"/>
      <c r="P929" s="166"/>
      <c r="Q929" s="716"/>
      <c r="R929" s="714"/>
      <c r="S929" s="717"/>
      <c r="T929" s="714"/>
      <c r="U929" s="166"/>
      <c r="V929" s="166"/>
      <c r="W929" s="166"/>
      <c r="X929" s="166"/>
      <c r="Y929" s="718"/>
      <c r="Z929" s="719"/>
      <c r="AA929" s="719"/>
      <c r="AB929" s="166"/>
      <c r="AC929" s="166"/>
      <c r="AD929" s="166"/>
      <c r="AE929" s="87"/>
      <c r="AF929" s="87"/>
      <c r="AG929" s="87"/>
      <c r="AH929" s="87"/>
      <c r="AI929" s="87"/>
      <c r="AJ929" s="87"/>
      <c r="AK929" s="87"/>
      <c r="AL929" s="87"/>
      <c r="AM929" s="87"/>
    </row>
    <row r="930">
      <c r="A930" s="87"/>
      <c r="B930" s="166"/>
      <c r="C930" s="166"/>
      <c r="D930" s="166"/>
      <c r="E930" s="166"/>
      <c r="F930" s="714"/>
      <c r="G930" s="166"/>
      <c r="H930" s="166"/>
      <c r="I930" s="166"/>
      <c r="J930" s="166"/>
      <c r="K930" s="166"/>
      <c r="L930" s="166"/>
      <c r="M930" s="166"/>
      <c r="N930" s="715"/>
      <c r="O930" s="166"/>
      <c r="P930" s="166"/>
      <c r="Q930" s="716"/>
      <c r="R930" s="714"/>
      <c r="S930" s="717"/>
      <c r="T930" s="714"/>
      <c r="U930" s="166"/>
      <c r="V930" s="166"/>
      <c r="W930" s="166"/>
      <c r="X930" s="166"/>
      <c r="Y930" s="718"/>
      <c r="Z930" s="719"/>
      <c r="AA930" s="719"/>
      <c r="AB930" s="166"/>
      <c r="AC930" s="166"/>
      <c r="AD930" s="166"/>
      <c r="AE930" s="87"/>
      <c r="AF930" s="87"/>
      <c r="AG930" s="87"/>
      <c r="AH930" s="87"/>
      <c r="AI930" s="87"/>
      <c r="AJ930" s="87"/>
      <c r="AK930" s="87"/>
      <c r="AL930" s="87"/>
      <c r="AM930" s="87"/>
    </row>
    <row r="931">
      <c r="A931" s="87"/>
      <c r="B931" s="166"/>
      <c r="C931" s="166"/>
      <c r="D931" s="166"/>
      <c r="E931" s="166"/>
      <c r="F931" s="714"/>
      <c r="G931" s="166"/>
      <c r="H931" s="166"/>
      <c r="I931" s="166"/>
      <c r="J931" s="166"/>
      <c r="K931" s="166"/>
      <c r="L931" s="166"/>
      <c r="M931" s="166"/>
      <c r="N931" s="715"/>
      <c r="O931" s="166"/>
      <c r="P931" s="166"/>
      <c r="Q931" s="716"/>
      <c r="R931" s="714"/>
      <c r="S931" s="717"/>
      <c r="T931" s="714"/>
      <c r="U931" s="166"/>
      <c r="V931" s="166"/>
      <c r="W931" s="166"/>
      <c r="X931" s="166"/>
      <c r="Y931" s="718"/>
      <c r="Z931" s="719"/>
      <c r="AA931" s="719"/>
      <c r="AB931" s="166"/>
      <c r="AC931" s="166"/>
      <c r="AD931" s="166"/>
      <c r="AE931" s="87"/>
      <c r="AF931" s="87"/>
      <c r="AG931" s="87"/>
      <c r="AH931" s="87"/>
      <c r="AI931" s="87"/>
      <c r="AJ931" s="87"/>
      <c r="AK931" s="87"/>
      <c r="AL931" s="87"/>
      <c r="AM931" s="87"/>
    </row>
    <row r="932">
      <c r="A932" s="87"/>
      <c r="B932" s="166"/>
      <c r="C932" s="166"/>
      <c r="D932" s="166"/>
      <c r="E932" s="166"/>
      <c r="F932" s="714"/>
      <c r="G932" s="166"/>
      <c r="H932" s="166"/>
      <c r="I932" s="166"/>
      <c r="J932" s="166"/>
      <c r="K932" s="166"/>
      <c r="L932" s="166"/>
      <c r="M932" s="166"/>
      <c r="N932" s="715"/>
      <c r="O932" s="166"/>
      <c r="P932" s="166"/>
      <c r="Q932" s="716"/>
      <c r="R932" s="714"/>
      <c r="S932" s="717"/>
      <c r="T932" s="714"/>
      <c r="U932" s="166"/>
      <c r="V932" s="166"/>
      <c r="W932" s="166"/>
      <c r="X932" s="166"/>
      <c r="Y932" s="718"/>
      <c r="Z932" s="719"/>
      <c r="AA932" s="719"/>
      <c r="AB932" s="166"/>
      <c r="AC932" s="166"/>
      <c r="AD932" s="166"/>
      <c r="AE932" s="87"/>
      <c r="AF932" s="87"/>
      <c r="AG932" s="87"/>
      <c r="AH932" s="87"/>
      <c r="AI932" s="87"/>
      <c r="AJ932" s="87"/>
      <c r="AK932" s="87"/>
      <c r="AL932" s="87"/>
      <c r="AM932" s="87"/>
    </row>
    <row r="933">
      <c r="A933" s="87"/>
      <c r="B933" s="166"/>
      <c r="C933" s="166"/>
      <c r="D933" s="166"/>
      <c r="E933" s="166"/>
      <c r="F933" s="714"/>
      <c r="G933" s="166"/>
      <c r="H933" s="166"/>
      <c r="I933" s="166"/>
      <c r="J933" s="166"/>
      <c r="K933" s="166"/>
      <c r="L933" s="166"/>
      <c r="M933" s="166"/>
      <c r="N933" s="715"/>
      <c r="O933" s="166"/>
      <c r="P933" s="166"/>
      <c r="Q933" s="716"/>
      <c r="R933" s="714"/>
      <c r="S933" s="717"/>
      <c r="T933" s="714"/>
      <c r="U933" s="166"/>
      <c r="V933" s="166"/>
      <c r="W933" s="166"/>
      <c r="X933" s="166"/>
      <c r="Y933" s="718"/>
      <c r="Z933" s="719"/>
      <c r="AA933" s="719"/>
      <c r="AB933" s="166"/>
      <c r="AC933" s="166"/>
      <c r="AD933" s="166"/>
      <c r="AE933" s="87"/>
      <c r="AF933" s="87"/>
      <c r="AG933" s="87"/>
      <c r="AH933" s="87"/>
      <c r="AI933" s="87"/>
      <c r="AJ933" s="87"/>
      <c r="AK933" s="87"/>
      <c r="AL933" s="87"/>
      <c r="AM933" s="87"/>
    </row>
    <row r="934">
      <c r="A934" s="87"/>
      <c r="B934" s="166"/>
      <c r="C934" s="166"/>
      <c r="D934" s="166"/>
      <c r="E934" s="166"/>
      <c r="F934" s="714"/>
      <c r="G934" s="166"/>
      <c r="H934" s="166"/>
      <c r="I934" s="166"/>
      <c r="J934" s="166"/>
      <c r="K934" s="166"/>
      <c r="L934" s="166"/>
      <c r="M934" s="166"/>
      <c r="N934" s="715"/>
      <c r="O934" s="166"/>
      <c r="P934" s="166"/>
      <c r="Q934" s="716"/>
      <c r="R934" s="714"/>
      <c r="S934" s="717"/>
      <c r="T934" s="714"/>
      <c r="U934" s="166"/>
      <c r="V934" s="166"/>
      <c r="W934" s="166"/>
      <c r="X934" s="166"/>
      <c r="Y934" s="718"/>
      <c r="Z934" s="719"/>
      <c r="AA934" s="719"/>
      <c r="AB934" s="166"/>
      <c r="AC934" s="166"/>
      <c r="AD934" s="166"/>
      <c r="AE934" s="87"/>
      <c r="AF934" s="87"/>
      <c r="AG934" s="87"/>
      <c r="AH934" s="87"/>
      <c r="AI934" s="87"/>
      <c r="AJ934" s="87"/>
      <c r="AK934" s="87"/>
      <c r="AL934" s="87"/>
      <c r="AM934" s="87"/>
    </row>
    <row r="935">
      <c r="A935" s="87"/>
      <c r="B935" s="166"/>
      <c r="C935" s="166"/>
      <c r="D935" s="166"/>
      <c r="E935" s="166"/>
      <c r="F935" s="714"/>
      <c r="G935" s="166"/>
      <c r="H935" s="166"/>
      <c r="I935" s="166"/>
      <c r="J935" s="166"/>
      <c r="K935" s="166"/>
      <c r="L935" s="166"/>
      <c r="M935" s="166"/>
      <c r="N935" s="715"/>
      <c r="O935" s="166"/>
      <c r="P935" s="166"/>
      <c r="Q935" s="716"/>
      <c r="R935" s="714"/>
      <c r="S935" s="717"/>
      <c r="T935" s="714"/>
      <c r="U935" s="166"/>
      <c r="V935" s="166"/>
      <c r="W935" s="166"/>
      <c r="X935" s="166"/>
      <c r="Y935" s="718"/>
      <c r="Z935" s="719"/>
      <c r="AA935" s="719"/>
      <c r="AB935" s="166"/>
      <c r="AC935" s="166"/>
      <c r="AD935" s="166"/>
      <c r="AE935" s="87"/>
      <c r="AF935" s="87"/>
      <c r="AG935" s="87"/>
      <c r="AH935" s="87"/>
      <c r="AI935" s="87"/>
      <c r="AJ935" s="87"/>
      <c r="AK935" s="87"/>
      <c r="AL935" s="87"/>
      <c r="AM935" s="87"/>
    </row>
    <row r="936">
      <c r="A936" s="87"/>
      <c r="B936" s="166"/>
      <c r="C936" s="166"/>
      <c r="D936" s="166"/>
      <c r="E936" s="166"/>
      <c r="F936" s="714"/>
      <c r="G936" s="166"/>
      <c r="H936" s="166"/>
      <c r="I936" s="166"/>
      <c r="J936" s="166"/>
      <c r="K936" s="166"/>
      <c r="L936" s="166"/>
      <c r="M936" s="166"/>
      <c r="N936" s="715"/>
      <c r="O936" s="166"/>
      <c r="P936" s="166"/>
      <c r="Q936" s="716"/>
      <c r="R936" s="714"/>
      <c r="S936" s="717"/>
      <c r="T936" s="714"/>
      <c r="U936" s="166"/>
      <c r="V936" s="166"/>
      <c r="W936" s="166"/>
      <c r="X936" s="166"/>
      <c r="Y936" s="718"/>
      <c r="Z936" s="719"/>
      <c r="AA936" s="719"/>
      <c r="AB936" s="166"/>
      <c r="AC936" s="166"/>
      <c r="AD936" s="166"/>
      <c r="AE936" s="87"/>
      <c r="AF936" s="87"/>
      <c r="AG936" s="87"/>
      <c r="AH936" s="87"/>
      <c r="AI936" s="87"/>
      <c r="AJ936" s="87"/>
      <c r="AK936" s="87"/>
      <c r="AL936" s="87"/>
      <c r="AM936" s="87"/>
    </row>
    <row r="937">
      <c r="A937" s="87"/>
      <c r="B937" s="166"/>
      <c r="C937" s="166"/>
      <c r="D937" s="166"/>
      <c r="E937" s="166"/>
      <c r="F937" s="714"/>
      <c r="G937" s="166"/>
      <c r="H937" s="166"/>
      <c r="I937" s="166"/>
      <c r="J937" s="166"/>
      <c r="K937" s="166"/>
      <c r="L937" s="166"/>
      <c r="M937" s="166"/>
      <c r="N937" s="715"/>
      <c r="O937" s="166"/>
      <c r="P937" s="166"/>
      <c r="Q937" s="716"/>
      <c r="R937" s="714"/>
      <c r="S937" s="717"/>
      <c r="T937" s="714"/>
      <c r="U937" s="166"/>
      <c r="V937" s="166"/>
      <c r="W937" s="166"/>
      <c r="X937" s="166"/>
      <c r="Y937" s="718"/>
      <c r="Z937" s="719"/>
      <c r="AA937" s="719"/>
      <c r="AB937" s="166"/>
      <c r="AC937" s="166"/>
      <c r="AD937" s="166"/>
      <c r="AE937" s="87"/>
      <c r="AF937" s="87"/>
      <c r="AG937" s="87"/>
      <c r="AH937" s="87"/>
      <c r="AI937" s="87"/>
      <c r="AJ937" s="87"/>
      <c r="AK937" s="87"/>
      <c r="AL937" s="87"/>
      <c r="AM937" s="87"/>
    </row>
    <row r="938">
      <c r="A938" s="87"/>
      <c r="B938" s="166"/>
      <c r="C938" s="166"/>
      <c r="D938" s="166"/>
      <c r="E938" s="166"/>
      <c r="F938" s="714"/>
      <c r="G938" s="166"/>
      <c r="H938" s="166"/>
      <c r="I938" s="166"/>
      <c r="J938" s="166"/>
      <c r="K938" s="166"/>
      <c r="L938" s="166"/>
      <c r="M938" s="166"/>
      <c r="N938" s="715"/>
      <c r="O938" s="166"/>
      <c r="P938" s="166"/>
      <c r="Q938" s="716"/>
      <c r="R938" s="714"/>
      <c r="S938" s="717"/>
      <c r="T938" s="714"/>
      <c r="U938" s="166"/>
      <c r="V938" s="166"/>
      <c r="W938" s="166"/>
      <c r="X938" s="166"/>
      <c r="Y938" s="718"/>
      <c r="Z938" s="719"/>
      <c r="AA938" s="719"/>
      <c r="AB938" s="166"/>
      <c r="AC938" s="166"/>
      <c r="AD938" s="166"/>
      <c r="AE938" s="87"/>
      <c r="AF938" s="87"/>
      <c r="AG938" s="87"/>
      <c r="AH938" s="87"/>
      <c r="AI938" s="87"/>
      <c r="AJ938" s="87"/>
      <c r="AK938" s="87"/>
      <c r="AL938" s="87"/>
      <c r="AM938" s="87"/>
    </row>
    <row r="939">
      <c r="A939" s="87"/>
      <c r="B939" s="166"/>
      <c r="C939" s="166"/>
      <c r="D939" s="166"/>
      <c r="E939" s="166"/>
      <c r="F939" s="714"/>
      <c r="G939" s="166"/>
      <c r="H939" s="166"/>
      <c r="I939" s="166"/>
      <c r="J939" s="166"/>
      <c r="K939" s="166"/>
      <c r="L939" s="166"/>
      <c r="M939" s="166"/>
      <c r="N939" s="715"/>
      <c r="O939" s="166"/>
      <c r="P939" s="166"/>
      <c r="Q939" s="716"/>
      <c r="R939" s="714"/>
      <c r="S939" s="717"/>
      <c r="T939" s="714"/>
      <c r="U939" s="166"/>
      <c r="V939" s="166"/>
      <c r="W939" s="166"/>
      <c r="X939" s="166"/>
      <c r="Y939" s="718"/>
      <c r="Z939" s="719"/>
      <c r="AA939" s="719"/>
      <c r="AB939" s="166"/>
      <c r="AC939" s="166"/>
      <c r="AD939" s="166"/>
      <c r="AE939" s="87"/>
      <c r="AF939" s="87"/>
      <c r="AG939" s="87"/>
      <c r="AH939" s="87"/>
      <c r="AI939" s="87"/>
      <c r="AJ939" s="87"/>
      <c r="AK939" s="87"/>
      <c r="AL939" s="87"/>
      <c r="AM939" s="87"/>
    </row>
    <row r="940">
      <c r="A940" s="87"/>
      <c r="B940" s="166"/>
      <c r="C940" s="166"/>
      <c r="D940" s="166"/>
      <c r="E940" s="166"/>
      <c r="F940" s="714"/>
      <c r="G940" s="166"/>
      <c r="H940" s="166"/>
      <c r="I940" s="166"/>
      <c r="J940" s="166"/>
      <c r="K940" s="166"/>
      <c r="L940" s="166"/>
      <c r="M940" s="166"/>
      <c r="N940" s="715"/>
      <c r="O940" s="166"/>
      <c r="P940" s="166"/>
      <c r="Q940" s="716"/>
      <c r="R940" s="714"/>
      <c r="S940" s="717"/>
      <c r="T940" s="714"/>
      <c r="U940" s="166"/>
      <c r="V940" s="166"/>
      <c r="W940" s="166"/>
      <c r="X940" s="166"/>
      <c r="Y940" s="718"/>
      <c r="Z940" s="719"/>
      <c r="AA940" s="719"/>
      <c r="AB940" s="166"/>
      <c r="AC940" s="166"/>
      <c r="AD940" s="166"/>
      <c r="AE940" s="87"/>
      <c r="AF940" s="87"/>
      <c r="AG940" s="87"/>
      <c r="AH940" s="87"/>
      <c r="AI940" s="87"/>
      <c r="AJ940" s="87"/>
      <c r="AK940" s="87"/>
      <c r="AL940" s="87"/>
      <c r="AM940" s="87"/>
    </row>
    <row r="941">
      <c r="A941" s="87"/>
      <c r="B941" s="166"/>
      <c r="C941" s="166"/>
      <c r="D941" s="166"/>
      <c r="E941" s="166"/>
      <c r="F941" s="714"/>
      <c r="G941" s="166"/>
      <c r="H941" s="166"/>
      <c r="I941" s="166"/>
      <c r="J941" s="166"/>
      <c r="K941" s="166"/>
      <c r="L941" s="166"/>
      <c r="M941" s="166"/>
      <c r="N941" s="715"/>
      <c r="O941" s="166"/>
      <c r="P941" s="166"/>
      <c r="Q941" s="716"/>
      <c r="R941" s="714"/>
      <c r="S941" s="717"/>
      <c r="T941" s="714"/>
      <c r="U941" s="166"/>
      <c r="V941" s="166"/>
      <c r="W941" s="166"/>
      <c r="X941" s="166"/>
      <c r="Y941" s="718"/>
      <c r="Z941" s="719"/>
      <c r="AA941" s="719"/>
      <c r="AB941" s="166"/>
      <c r="AC941" s="166"/>
      <c r="AD941" s="166"/>
      <c r="AE941" s="87"/>
      <c r="AF941" s="87"/>
      <c r="AG941" s="87"/>
      <c r="AH941" s="87"/>
      <c r="AI941" s="87"/>
      <c r="AJ941" s="87"/>
      <c r="AK941" s="87"/>
      <c r="AL941" s="87"/>
      <c r="AM941" s="87"/>
    </row>
    <row r="942">
      <c r="A942" s="87"/>
      <c r="B942" s="166"/>
      <c r="C942" s="166"/>
      <c r="D942" s="166"/>
      <c r="E942" s="166"/>
      <c r="F942" s="714"/>
      <c r="G942" s="166"/>
      <c r="H942" s="166"/>
      <c r="I942" s="166"/>
      <c r="J942" s="166"/>
      <c r="K942" s="166"/>
      <c r="L942" s="166"/>
      <c r="M942" s="166"/>
      <c r="N942" s="715"/>
      <c r="O942" s="166"/>
      <c r="P942" s="166"/>
      <c r="Q942" s="716"/>
      <c r="R942" s="714"/>
      <c r="S942" s="717"/>
      <c r="T942" s="714"/>
      <c r="U942" s="166"/>
      <c r="V942" s="166"/>
      <c r="W942" s="166"/>
      <c r="X942" s="166"/>
      <c r="Y942" s="718"/>
      <c r="Z942" s="719"/>
      <c r="AA942" s="719"/>
      <c r="AB942" s="166"/>
      <c r="AC942" s="166"/>
      <c r="AD942" s="166"/>
      <c r="AE942" s="87"/>
      <c r="AF942" s="87"/>
      <c r="AG942" s="87"/>
      <c r="AH942" s="87"/>
      <c r="AI942" s="87"/>
      <c r="AJ942" s="87"/>
      <c r="AK942" s="87"/>
      <c r="AL942" s="87"/>
      <c r="AM942" s="87"/>
    </row>
    <row r="943">
      <c r="A943" s="87"/>
      <c r="B943" s="166"/>
      <c r="C943" s="166"/>
      <c r="D943" s="166"/>
      <c r="E943" s="166"/>
      <c r="F943" s="714"/>
      <c r="G943" s="166"/>
      <c r="H943" s="166"/>
      <c r="I943" s="166"/>
      <c r="J943" s="166"/>
      <c r="K943" s="166"/>
      <c r="L943" s="166"/>
      <c r="M943" s="166"/>
      <c r="N943" s="715"/>
      <c r="O943" s="166"/>
      <c r="P943" s="166"/>
      <c r="Q943" s="716"/>
      <c r="R943" s="714"/>
      <c r="S943" s="717"/>
      <c r="T943" s="714"/>
      <c r="U943" s="166"/>
      <c r="V943" s="166"/>
      <c r="W943" s="166"/>
      <c r="X943" s="166"/>
      <c r="Y943" s="718"/>
      <c r="Z943" s="719"/>
      <c r="AA943" s="719"/>
      <c r="AB943" s="166"/>
      <c r="AC943" s="166"/>
      <c r="AD943" s="166"/>
      <c r="AE943" s="87"/>
      <c r="AF943" s="87"/>
      <c r="AG943" s="87"/>
      <c r="AH943" s="87"/>
      <c r="AI943" s="87"/>
      <c r="AJ943" s="87"/>
      <c r="AK943" s="87"/>
      <c r="AL943" s="87"/>
      <c r="AM943" s="87"/>
    </row>
    <row r="944">
      <c r="A944" s="87"/>
      <c r="B944" s="166"/>
      <c r="C944" s="166"/>
      <c r="D944" s="166"/>
      <c r="E944" s="166"/>
      <c r="F944" s="714"/>
      <c r="G944" s="166"/>
      <c r="H944" s="166"/>
      <c r="I944" s="166"/>
      <c r="J944" s="166"/>
      <c r="K944" s="166"/>
      <c r="L944" s="166"/>
      <c r="M944" s="166"/>
      <c r="N944" s="727"/>
      <c r="O944" s="166"/>
      <c r="P944" s="166"/>
      <c r="Q944" s="716"/>
      <c r="R944" s="714"/>
      <c r="S944" s="717"/>
      <c r="T944" s="714"/>
      <c r="U944" s="166"/>
      <c r="V944" s="166"/>
      <c r="W944" s="166"/>
      <c r="X944" s="166"/>
      <c r="Y944" s="156"/>
      <c r="Z944" s="166"/>
      <c r="AA944" s="166"/>
      <c r="AB944" s="166"/>
      <c r="AC944" s="166"/>
      <c r="AD944" s="166"/>
      <c r="AE944" s="87"/>
      <c r="AF944" s="87"/>
      <c r="AG944" s="87"/>
      <c r="AH944" s="87"/>
      <c r="AI944" s="87"/>
      <c r="AJ944" s="87"/>
      <c r="AK944" s="87"/>
      <c r="AL944" s="87"/>
      <c r="AM944" s="87"/>
    </row>
    <row r="945">
      <c r="A945" s="87"/>
      <c r="B945" s="166"/>
      <c r="C945" s="166"/>
      <c r="D945" s="166"/>
      <c r="E945" s="166"/>
      <c r="F945" s="714"/>
      <c r="G945" s="166"/>
      <c r="H945" s="166"/>
      <c r="I945" s="166"/>
      <c r="J945" s="166"/>
      <c r="K945" s="166"/>
      <c r="L945" s="166"/>
      <c r="M945" s="166"/>
      <c r="N945" s="727"/>
      <c r="O945" s="166"/>
      <c r="P945" s="166"/>
      <c r="Q945" s="716"/>
      <c r="R945" s="714"/>
      <c r="S945" s="717"/>
      <c r="T945" s="714"/>
      <c r="U945" s="166"/>
      <c r="V945" s="166"/>
      <c r="W945" s="166"/>
      <c r="X945" s="166"/>
      <c r="Y945" s="156"/>
      <c r="Z945" s="166"/>
      <c r="AA945" s="166"/>
      <c r="AB945" s="166"/>
      <c r="AC945" s="166"/>
      <c r="AD945" s="166"/>
      <c r="AE945" s="87"/>
      <c r="AF945" s="87"/>
      <c r="AG945" s="87"/>
      <c r="AH945" s="87"/>
      <c r="AI945" s="87"/>
      <c r="AJ945" s="87"/>
      <c r="AK945" s="87"/>
      <c r="AL945" s="87"/>
      <c r="AM945" s="87"/>
    </row>
    <row r="946">
      <c r="A946" s="87"/>
      <c r="B946" s="166"/>
      <c r="C946" s="166"/>
      <c r="D946" s="166"/>
      <c r="E946" s="166"/>
      <c r="F946" s="714"/>
      <c r="G946" s="166"/>
      <c r="H946" s="166"/>
      <c r="I946" s="166"/>
      <c r="J946" s="166"/>
      <c r="K946" s="166"/>
      <c r="L946" s="166"/>
      <c r="M946" s="166"/>
      <c r="N946" s="727"/>
      <c r="O946" s="166"/>
      <c r="P946" s="166"/>
      <c r="Q946" s="716"/>
      <c r="R946" s="714"/>
      <c r="S946" s="717"/>
      <c r="T946" s="714"/>
      <c r="U946" s="166"/>
      <c r="V946" s="166"/>
      <c r="W946" s="166"/>
      <c r="X946" s="166"/>
      <c r="Y946" s="156"/>
      <c r="Z946" s="166"/>
      <c r="AA946" s="166"/>
      <c r="AB946" s="166"/>
      <c r="AC946" s="166"/>
      <c r="AD946" s="166"/>
      <c r="AE946" s="87"/>
      <c r="AF946" s="87"/>
      <c r="AG946" s="87"/>
      <c r="AH946" s="87"/>
      <c r="AI946" s="87"/>
      <c r="AJ946" s="87"/>
      <c r="AK946" s="87"/>
      <c r="AL946" s="87"/>
      <c r="AM946" s="87"/>
    </row>
    <row r="947">
      <c r="A947" s="87"/>
      <c r="B947" s="166"/>
      <c r="C947" s="166"/>
      <c r="D947" s="166"/>
      <c r="E947" s="166"/>
      <c r="F947" s="714"/>
      <c r="G947" s="166"/>
      <c r="H947" s="166"/>
      <c r="I947" s="166"/>
      <c r="J947" s="166"/>
      <c r="K947" s="166"/>
      <c r="L947" s="166"/>
      <c r="M947" s="166"/>
      <c r="N947" s="727"/>
      <c r="O947" s="166"/>
      <c r="P947" s="166"/>
      <c r="Q947" s="716"/>
      <c r="R947" s="714"/>
      <c r="S947" s="717"/>
      <c r="T947" s="714"/>
      <c r="U947" s="166"/>
      <c r="V947" s="166"/>
      <c r="W947" s="166"/>
      <c r="X947" s="166"/>
      <c r="Y947" s="156"/>
      <c r="Z947" s="166"/>
      <c r="AA947" s="166"/>
      <c r="AB947" s="166"/>
      <c r="AC947" s="166"/>
      <c r="AD947" s="166"/>
      <c r="AE947" s="87"/>
      <c r="AF947" s="87"/>
      <c r="AG947" s="87"/>
      <c r="AH947" s="87"/>
      <c r="AI947" s="87"/>
      <c r="AJ947" s="87"/>
      <c r="AK947" s="87"/>
      <c r="AL947" s="87"/>
      <c r="AM947" s="87"/>
    </row>
    <row r="948">
      <c r="A948" s="87"/>
      <c r="B948" s="166"/>
      <c r="C948" s="166"/>
      <c r="D948" s="166"/>
      <c r="E948" s="166"/>
      <c r="F948" s="714"/>
      <c r="G948" s="166"/>
      <c r="H948" s="166"/>
      <c r="I948" s="166"/>
      <c r="J948" s="166"/>
      <c r="K948" s="166"/>
      <c r="L948" s="166"/>
      <c r="M948" s="166"/>
      <c r="N948" s="727"/>
      <c r="O948" s="166"/>
      <c r="P948" s="166"/>
      <c r="Q948" s="716"/>
      <c r="R948" s="714"/>
      <c r="S948" s="717"/>
      <c r="T948" s="714"/>
      <c r="U948" s="166"/>
      <c r="V948" s="166"/>
      <c r="W948" s="166"/>
      <c r="X948" s="166"/>
      <c r="Y948" s="156"/>
      <c r="Z948" s="166"/>
      <c r="AA948" s="166"/>
      <c r="AB948" s="166"/>
      <c r="AC948" s="166"/>
      <c r="AD948" s="166"/>
      <c r="AE948" s="87"/>
      <c r="AF948" s="87"/>
      <c r="AG948" s="87"/>
      <c r="AH948" s="87"/>
      <c r="AI948" s="87"/>
      <c r="AJ948" s="87"/>
      <c r="AK948" s="87"/>
      <c r="AL948" s="87"/>
      <c r="AM948" s="87"/>
    </row>
    <row r="949">
      <c r="A949" s="87"/>
      <c r="B949" s="166"/>
      <c r="C949" s="166"/>
      <c r="D949" s="166"/>
      <c r="E949" s="166"/>
      <c r="F949" s="714"/>
      <c r="G949" s="166"/>
      <c r="H949" s="166"/>
      <c r="I949" s="166"/>
      <c r="J949" s="166"/>
      <c r="K949" s="166"/>
      <c r="L949" s="166"/>
      <c r="M949" s="166"/>
      <c r="N949" s="727"/>
      <c r="O949" s="166"/>
      <c r="P949" s="166"/>
      <c r="Q949" s="716"/>
      <c r="R949" s="714"/>
      <c r="S949" s="717"/>
      <c r="T949" s="714"/>
      <c r="U949" s="166"/>
      <c r="V949" s="166"/>
      <c r="W949" s="166"/>
      <c r="X949" s="166"/>
      <c r="Y949" s="156"/>
      <c r="Z949" s="166"/>
      <c r="AA949" s="166"/>
      <c r="AB949" s="166"/>
      <c r="AC949" s="166"/>
      <c r="AD949" s="166"/>
      <c r="AE949" s="87"/>
      <c r="AF949" s="87"/>
      <c r="AG949" s="87"/>
      <c r="AH949" s="87"/>
      <c r="AI949" s="87"/>
      <c r="AJ949" s="87"/>
      <c r="AK949" s="87"/>
      <c r="AL949" s="87"/>
      <c r="AM949" s="87"/>
    </row>
    <row r="950">
      <c r="A950" s="87"/>
      <c r="B950" s="166"/>
      <c r="C950" s="166"/>
      <c r="D950" s="166"/>
      <c r="E950" s="166"/>
      <c r="F950" s="714"/>
      <c r="G950" s="166"/>
      <c r="H950" s="166"/>
      <c r="I950" s="166"/>
      <c r="J950" s="166"/>
      <c r="K950" s="166"/>
      <c r="L950" s="166"/>
      <c r="M950" s="166"/>
      <c r="N950" s="727"/>
      <c r="O950" s="166"/>
      <c r="P950" s="166"/>
      <c r="Q950" s="716"/>
      <c r="R950" s="714"/>
      <c r="S950" s="717"/>
      <c r="T950" s="714"/>
      <c r="U950" s="166"/>
      <c r="V950" s="166"/>
      <c r="W950" s="166"/>
      <c r="X950" s="166"/>
      <c r="Y950" s="156"/>
      <c r="Z950" s="166"/>
      <c r="AA950" s="166"/>
      <c r="AB950" s="166"/>
      <c r="AC950" s="166"/>
      <c r="AD950" s="166"/>
      <c r="AE950" s="87"/>
      <c r="AF950" s="87"/>
      <c r="AG950" s="87"/>
      <c r="AH950" s="87"/>
      <c r="AI950" s="87"/>
      <c r="AJ950" s="87"/>
      <c r="AK950" s="87"/>
      <c r="AL950" s="87"/>
      <c r="AM950" s="87"/>
    </row>
    <row r="951">
      <c r="A951" s="87"/>
      <c r="B951" s="166"/>
      <c r="C951" s="166"/>
      <c r="D951" s="166"/>
      <c r="E951" s="166"/>
      <c r="F951" s="714"/>
      <c r="G951" s="166"/>
      <c r="H951" s="166"/>
      <c r="I951" s="166"/>
      <c r="J951" s="166"/>
      <c r="K951" s="166"/>
      <c r="L951" s="166"/>
      <c r="M951" s="166"/>
      <c r="N951" s="727"/>
      <c r="O951" s="166"/>
      <c r="P951" s="166"/>
      <c r="Q951" s="716"/>
      <c r="R951" s="714"/>
      <c r="S951" s="717"/>
      <c r="T951" s="714"/>
      <c r="U951" s="166"/>
      <c r="V951" s="166"/>
      <c r="W951" s="166"/>
      <c r="X951" s="166"/>
      <c r="Y951" s="156"/>
      <c r="Z951" s="166"/>
      <c r="AA951" s="166"/>
      <c r="AB951" s="166"/>
      <c r="AC951" s="166"/>
      <c r="AD951" s="166"/>
      <c r="AE951" s="87"/>
      <c r="AF951" s="87"/>
      <c r="AG951" s="87"/>
      <c r="AH951" s="87"/>
      <c r="AI951" s="87"/>
      <c r="AJ951" s="87"/>
      <c r="AK951" s="87"/>
      <c r="AL951" s="87"/>
      <c r="AM951" s="87"/>
    </row>
    <row r="952">
      <c r="A952" s="87"/>
      <c r="B952" s="166"/>
      <c r="C952" s="166"/>
      <c r="D952" s="166"/>
      <c r="E952" s="166"/>
      <c r="F952" s="714"/>
      <c r="G952" s="166"/>
      <c r="H952" s="166"/>
      <c r="I952" s="166"/>
      <c r="J952" s="166"/>
      <c r="K952" s="166"/>
      <c r="L952" s="166"/>
      <c r="M952" s="166"/>
      <c r="N952" s="727"/>
      <c r="O952" s="166"/>
      <c r="P952" s="166"/>
      <c r="Q952" s="716"/>
      <c r="R952" s="714"/>
      <c r="S952" s="717"/>
      <c r="T952" s="714"/>
      <c r="U952" s="166"/>
      <c r="V952" s="166"/>
      <c r="W952" s="166"/>
      <c r="X952" s="166"/>
      <c r="Y952" s="156"/>
      <c r="Z952" s="166"/>
      <c r="AA952" s="166"/>
      <c r="AB952" s="166"/>
      <c r="AC952" s="166"/>
      <c r="AD952" s="166"/>
      <c r="AE952" s="87"/>
      <c r="AF952" s="87"/>
      <c r="AG952" s="87"/>
      <c r="AH952" s="87"/>
      <c r="AI952" s="87"/>
      <c r="AJ952" s="87"/>
      <c r="AK952" s="87"/>
      <c r="AL952" s="87"/>
      <c r="AM952" s="87"/>
    </row>
    <row r="953">
      <c r="A953" s="87"/>
      <c r="B953" s="166"/>
      <c r="C953" s="166"/>
      <c r="D953" s="166"/>
      <c r="E953" s="166"/>
      <c r="F953" s="714"/>
      <c r="G953" s="166"/>
      <c r="H953" s="166"/>
      <c r="I953" s="166"/>
      <c r="J953" s="166"/>
      <c r="K953" s="166"/>
      <c r="L953" s="166"/>
      <c r="M953" s="166"/>
      <c r="N953" s="727"/>
      <c r="O953" s="166"/>
      <c r="P953" s="166"/>
      <c r="Q953" s="716"/>
      <c r="R953" s="714"/>
      <c r="S953" s="717"/>
      <c r="T953" s="714"/>
      <c r="U953" s="166"/>
      <c r="V953" s="166"/>
      <c r="W953" s="166"/>
      <c r="X953" s="166"/>
      <c r="Y953" s="156"/>
      <c r="Z953" s="166"/>
      <c r="AA953" s="166"/>
      <c r="AB953" s="166"/>
      <c r="AC953" s="166"/>
      <c r="AD953" s="166"/>
      <c r="AE953" s="87"/>
      <c r="AF953" s="87"/>
      <c r="AG953" s="87"/>
      <c r="AH953" s="87"/>
      <c r="AI953" s="87"/>
      <c r="AJ953" s="87"/>
      <c r="AK953" s="87"/>
      <c r="AL953" s="87"/>
      <c r="AM953" s="87"/>
    </row>
    <row r="954">
      <c r="A954" s="87"/>
      <c r="B954" s="166"/>
      <c r="C954" s="166"/>
      <c r="D954" s="166"/>
      <c r="E954" s="166"/>
      <c r="F954" s="714"/>
      <c r="G954" s="166"/>
      <c r="H954" s="166"/>
      <c r="I954" s="166"/>
      <c r="J954" s="166"/>
      <c r="K954" s="166"/>
      <c r="L954" s="166"/>
      <c r="M954" s="166"/>
      <c r="N954" s="727"/>
      <c r="O954" s="166"/>
      <c r="P954" s="166"/>
      <c r="Q954" s="716"/>
      <c r="R954" s="714"/>
      <c r="S954" s="717"/>
      <c r="T954" s="714"/>
      <c r="U954" s="166"/>
      <c r="V954" s="166"/>
      <c r="W954" s="166"/>
      <c r="X954" s="166"/>
      <c r="Y954" s="156"/>
      <c r="Z954" s="166"/>
      <c r="AA954" s="166"/>
      <c r="AB954" s="166"/>
      <c r="AC954" s="166"/>
      <c r="AD954" s="166"/>
      <c r="AE954" s="87"/>
      <c r="AF954" s="87"/>
      <c r="AG954" s="87"/>
      <c r="AH954" s="87"/>
      <c r="AI954" s="87"/>
      <c r="AJ954" s="87"/>
      <c r="AK954" s="87"/>
      <c r="AL954" s="87"/>
      <c r="AM954" s="87"/>
    </row>
    <row r="955">
      <c r="A955" s="87"/>
      <c r="B955" s="166"/>
      <c r="C955" s="166"/>
      <c r="D955" s="166"/>
      <c r="E955" s="166"/>
      <c r="F955" s="714"/>
      <c r="G955" s="166"/>
      <c r="H955" s="166"/>
      <c r="I955" s="166"/>
      <c r="J955" s="166"/>
      <c r="K955" s="166"/>
      <c r="L955" s="166"/>
      <c r="M955" s="166"/>
      <c r="N955" s="727"/>
      <c r="O955" s="166"/>
      <c r="P955" s="166"/>
      <c r="Q955" s="716"/>
      <c r="R955" s="714"/>
      <c r="S955" s="717"/>
      <c r="T955" s="714"/>
      <c r="U955" s="166"/>
      <c r="V955" s="166"/>
      <c r="W955" s="166"/>
      <c r="X955" s="166"/>
      <c r="Y955" s="156"/>
      <c r="Z955" s="166"/>
      <c r="AA955" s="166"/>
      <c r="AB955" s="166"/>
      <c r="AC955" s="166"/>
      <c r="AD955" s="166"/>
      <c r="AE955" s="87"/>
      <c r="AF955" s="87"/>
      <c r="AG955" s="87"/>
      <c r="AH955" s="87"/>
      <c r="AI955" s="87"/>
      <c r="AJ955" s="87"/>
      <c r="AK955" s="87"/>
      <c r="AL955" s="87"/>
      <c r="AM955" s="87"/>
    </row>
    <row r="956">
      <c r="A956" s="87"/>
      <c r="B956" s="166"/>
      <c r="C956" s="166"/>
      <c r="D956" s="166"/>
      <c r="E956" s="166"/>
      <c r="F956" s="714"/>
      <c r="G956" s="166"/>
      <c r="H956" s="166"/>
      <c r="I956" s="166"/>
      <c r="J956" s="166"/>
      <c r="K956" s="166"/>
      <c r="L956" s="166"/>
      <c r="M956" s="166"/>
      <c r="N956" s="727"/>
      <c r="O956" s="166"/>
      <c r="P956" s="166"/>
      <c r="Q956" s="716"/>
      <c r="R956" s="714"/>
      <c r="S956" s="717"/>
      <c r="T956" s="714"/>
      <c r="U956" s="166"/>
      <c r="V956" s="166"/>
      <c r="W956" s="166"/>
      <c r="X956" s="166"/>
      <c r="Y956" s="156"/>
      <c r="Z956" s="166"/>
      <c r="AA956" s="166"/>
      <c r="AB956" s="166"/>
      <c r="AC956" s="166"/>
      <c r="AD956" s="166"/>
      <c r="AE956" s="87"/>
      <c r="AF956" s="87"/>
      <c r="AG956" s="87"/>
      <c r="AH956" s="87"/>
      <c r="AI956" s="87"/>
      <c r="AJ956" s="87"/>
      <c r="AK956" s="87"/>
      <c r="AL956" s="87"/>
      <c r="AM956" s="87"/>
    </row>
    <row r="957">
      <c r="A957" s="87"/>
      <c r="B957" s="166"/>
      <c r="C957" s="166"/>
      <c r="D957" s="166"/>
      <c r="E957" s="166"/>
      <c r="F957" s="714"/>
      <c r="G957" s="166"/>
      <c r="H957" s="166"/>
      <c r="I957" s="166"/>
      <c r="J957" s="166"/>
      <c r="K957" s="166"/>
      <c r="L957" s="166"/>
      <c r="M957" s="166"/>
      <c r="N957" s="727"/>
      <c r="O957" s="166"/>
      <c r="P957" s="166"/>
      <c r="Q957" s="716"/>
      <c r="R957" s="714"/>
      <c r="S957" s="717"/>
      <c r="T957" s="714"/>
      <c r="U957" s="166"/>
      <c r="V957" s="166"/>
      <c r="W957" s="166"/>
      <c r="X957" s="166"/>
      <c r="Y957" s="156"/>
      <c r="Z957" s="166"/>
      <c r="AA957" s="166"/>
      <c r="AB957" s="166"/>
      <c r="AC957" s="166"/>
      <c r="AD957" s="166"/>
      <c r="AE957" s="87"/>
      <c r="AF957" s="87"/>
      <c r="AG957" s="87"/>
      <c r="AH957" s="87"/>
      <c r="AI957" s="87"/>
      <c r="AJ957" s="87"/>
      <c r="AK957" s="87"/>
      <c r="AL957" s="87"/>
      <c r="AM957" s="87"/>
    </row>
    <row r="958">
      <c r="A958" s="87"/>
      <c r="B958" s="166"/>
      <c r="C958" s="166"/>
      <c r="D958" s="166"/>
      <c r="E958" s="166"/>
      <c r="F958" s="714"/>
      <c r="G958" s="166"/>
      <c r="H958" s="166"/>
      <c r="I958" s="166"/>
      <c r="J958" s="166"/>
      <c r="K958" s="166"/>
      <c r="L958" s="166"/>
      <c r="M958" s="166"/>
      <c r="N958" s="727"/>
      <c r="O958" s="166"/>
      <c r="P958" s="166"/>
      <c r="Q958" s="716"/>
      <c r="R958" s="714"/>
      <c r="S958" s="717"/>
      <c r="T958" s="714"/>
      <c r="U958" s="166"/>
      <c r="V958" s="166"/>
      <c r="W958" s="166"/>
      <c r="X958" s="166"/>
      <c r="Y958" s="156"/>
      <c r="Z958" s="166"/>
      <c r="AA958" s="166"/>
      <c r="AB958" s="166"/>
      <c r="AC958" s="166"/>
      <c r="AD958" s="166"/>
      <c r="AE958" s="87"/>
      <c r="AF958" s="87"/>
      <c r="AG958" s="87"/>
      <c r="AH958" s="87"/>
      <c r="AI958" s="87"/>
      <c r="AJ958" s="87"/>
      <c r="AK958" s="87"/>
      <c r="AL958" s="87"/>
      <c r="AM958" s="87"/>
    </row>
    <row r="959">
      <c r="A959" s="87"/>
      <c r="B959" s="166"/>
      <c r="C959" s="166"/>
      <c r="D959" s="166"/>
      <c r="E959" s="166"/>
      <c r="F959" s="714"/>
      <c r="G959" s="166"/>
      <c r="H959" s="166"/>
      <c r="I959" s="166"/>
      <c r="J959" s="166"/>
      <c r="K959" s="166"/>
      <c r="L959" s="166"/>
      <c r="M959" s="166"/>
      <c r="N959" s="727"/>
      <c r="O959" s="166"/>
      <c r="P959" s="166"/>
      <c r="Q959" s="716"/>
      <c r="R959" s="714"/>
      <c r="S959" s="717"/>
      <c r="T959" s="714"/>
      <c r="U959" s="166"/>
      <c r="V959" s="166"/>
      <c r="W959" s="166"/>
      <c r="X959" s="166"/>
      <c r="Y959" s="156"/>
      <c r="Z959" s="166"/>
      <c r="AA959" s="166"/>
      <c r="AB959" s="166"/>
      <c r="AC959" s="166"/>
      <c r="AD959" s="166"/>
      <c r="AE959" s="87"/>
      <c r="AF959" s="87"/>
      <c r="AG959" s="87"/>
      <c r="AH959" s="87"/>
      <c r="AI959" s="87"/>
      <c r="AJ959" s="87"/>
      <c r="AK959" s="87"/>
      <c r="AL959" s="87"/>
      <c r="AM959" s="87"/>
    </row>
    <row r="960">
      <c r="A960" s="87"/>
      <c r="B960" s="166"/>
      <c r="C960" s="166"/>
      <c r="D960" s="166"/>
      <c r="E960" s="166"/>
      <c r="F960" s="714"/>
      <c r="G960" s="166"/>
      <c r="H960" s="166"/>
      <c r="I960" s="166"/>
      <c r="J960" s="166"/>
      <c r="K960" s="166"/>
      <c r="L960" s="166"/>
      <c r="M960" s="166"/>
      <c r="N960" s="727"/>
      <c r="O960" s="166"/>
      <c r="P960" s="166"/>
      <c r="Q960" s="716"/>
      <c r="R960" s="714"/>
      <c r="S960" s="717"/>
      <c r="T960" s="714"/>
      <c r="U960" s="166"/>
      <c r="V960" s="166"/>
      <c r="W960" s="166"/>
      <c r="X960" s="166"/>
      <c r="Y960" s="156"/>
      <c r="Z960" s="166"/>
      <c r="AA960" s="166"/>
      <c r="AB960" s="166"/>
      <c r="AC960" s="166"/>
      <c r="AD960" s="166"/>
      <c r="AE960" s="87"/>
      <c r="AF960" s="87"/>
      <c r="AG960" s="87"/>
      <c r="AH960" s="87"/>
      <c r="AI960" s="87"/>
      <c r="AJ960" s="87"/>
      <c r="AK960" s="87"/>
      <c r="AL960" s="87"/>
      <c r="AM960" s="87"/>
    </row>
    <row r="961">
      <c r="A961" s="87"/>
      <c r="B961" s="166"/>
      <c r="C961" s="166"/>
      <c r="D961" s="166"/>
      <c r="E961" s="166"/>
      <c r="F961" s="714"/>
      <c r="G961" s="166"/>
      <c r="H961" s="166"/>
      <c r="I961" s="166"/>
      <c r="J961" s="166"/>
      <c r="K961" s="166"/>
      <c r="L961" s="166"/>
      <c r="M961" s="166"/>
      <c r="N961" s="727"/>
      <c r="O961" s="166"/>
      <c r="P961" s="166"/>
      <c r="Q961" s="716"/>
      <c r="R961" s="714"/>
      <c r="S961" s="717"/>
      <c r="T961" s="714"/>
      <c r="U961" s="166"/>
      <c r="V961" s="166"/>
      <c r="W961" s="166"/>
      <c r="X961" s="166"/>
      <c r="Y961" s="156"/>
      <c r="Z961" s="166"/>
      <c r="AA961" s="166"/>
      <c r="AB961" s="166"/>
      <c r="AC961" s="166"/>
      <c r="AD961" s="166"/>
      <c r="AE961" s="87"/>
      <c r="AF961" s="87"/>
      <c r="AG961" s="87"/>
      <c r="AH961" s="87"/>
      <c r="AI961" s="87"/>
      <c r="AJ961" s="87"/>
      <c r="AK961" s="87"/>
      <c r="AL961" s="87"/>
      <c r="AM961" s="87"/>
    </row>
    <row r="962">
      <c r="A962" s="87"/>
      <c r="B962" s="166"/>
      <c r="C962" s="166"/>
      <c r="D962" s="166"/>
      <c r="E962" s="166"/>
      <c r="F962" s="714"/>
      <c r="G962" s="166"/>
      <c r="H962" s="166"/>
      <c r="I962" s="166"/>
      <c r="J962" s="166"/>
      <c r="K962" s="166"/>
      <c r="L962" s="166"/>
      <c r="M962" s="166"/>
      <c r="N962" s="727"/>
      <c r="O962" s="166"/>
      <c r="P962" s="166"/>
      <c r="Q962" s="716"/>
      <c r="R962" s="714"/>
      <c r="S962" s="717"/>
      <c r="T962" s="714"/>
      <c r="U962" s="166"/>
      <c r="V962" s="166"/>
      <c r="W962" s="166"/>
      <c r="X962" s="166"/>
      <c r="Y962" s="156"/>
      <c r="Z962" s="166"/>
      <c r="AA962" s="166"/>
      <c r="AB962" s="166"/>
      <c r="AC962" s="166"/>
      <c r="AD962" s="166"/>
      <c r="AE962" s="87"/>
      <c r="AF962" s="87"/>
      <c r="AG962" s="87"/>
      <c r="AH962" s="87"/>
      <c r="AI962" s="87"/>
      <c r="AJ962" s="87"/>
      <c r="AK962" s="87"/>
      <c r="AL962" s="87"/>
      <c r="AM962" s="87"/>
    </row>
    <row r="963">
      <c r="A963" s="87"/>
      <c r="B963" s="166"/>
      <c r="C963" s="166"/>
      <c r="D963" s="166"/>
      <c r="E963" s="166"/>
      <c r="F963" s="714"/>
      <c r="G963" s="166"/>
      <c r="H963" s="166"/>
      <c r="I963" s="166"/>
      <c r="J963" s="166"/>
      <c r="K963" s="166"/>
      <c r="L963" s="166"/>
      <c r="M963" s="166"/>
      <c r="N963" s="727"/>
      <c r="O963" s="166"/>
      <c r="P963" s="166"/>
      <c r="Q963" s="716"/>
      <c r="R963" s="714"/>
      <c r="S963" s="717"/>
      <c r="T963" s="714"/>
      <c r="U963" s="166"/>
      <c r="V963" s="166"/>
      <c r="W963" s="166"/>
      <c r="X963" s="166"/>
      <c r="Y963" s="156"/>
      <c r="Z963" s="166"/>
      <c r="AA963" s="166"/>
      <c r="AB963" s="166"/>
      <c r="AC963" s="166"/>
      <c r="AD963" s="166"/>
      <c r="AE963" s="87"/>
      <c r="AF963" s="87"/>
      <c r="AG963" s="87"/>
      <c r="AH963" s="87"/>
      <c r="AI963" s="87"/>
      <c r="AJ963" s="87"/>
      <c r="AK963" s="87"/>
      <c r="AL963" s="87"/>
      <c r="AM963" s="87"/>
    </row>
    <row r="964">
      <c r="A964" s="87"/>
      <c r="B964" s="166"/>
      <c r="C964" s="166"/>
      <c r="D964" s="166"/>
      <c r="E964" s="166"/>
      <c r="F964" s="714"/>
      <c r="G964" s="166"/>
      <c r="H964" s="166"/>
      <c r="I964" s="166"/>
      <c r="J964" s="166"/>
      <c r="K964" s="166"/>
      <c r="L964" s="166"/>
      <c r="M964" s="166"/>
      <c r="N964" s="727"/>
      <c r="O964" s="166"/>
      <c r="P964" s="166"/>
      <c r="Q964" s="716"/>
      <c r="R964" s="714"/>
      <c r="S964" s="717"/>
      <c r="T964" s="714"/>
      <c r="U964" s="166"/>
      <c r="V964" s="166"/>
      <c r="W964" s="166"/>
      <c r="X964" s="166"/>
      <c r="Y964" s="156"/>
      <c r="Z964" s="166"/>
      <c r="AA964" s="166"/>
      <c r="AB964" s="166"/>
      <c r="AC964" s="166"/>
      <c r="AD964" s="166"/>
      <c r="AE964" s="87"/>
      <c r="AF964" s="87"/>
      <c r="AG964" s="87"/>
      <c r="AH964" s="87"/>
      <c r="AI964" s="87"/>
      <c r="AJ964" s="87"/>
      <c r="AK964" s="87"/>
      <c r="AL964" s="87"/>
      <c r="AM964" s="87"/>
    </row>
    <row r="965">
      <c r="A965" s="87"/>
      <c r="B965" s="166"/>
      <c r="C965" s="166"/>
      <c r="D965" s="166"/>
      <c r="E965" s="166"/>
      <c r="F965" s="714"/>
      <c r="G965" s="166"/>
      <c r="H965" s="166"/>
      <c r="I965" s="166"/>
      <c r="J965" s="166"/>
      <c r="K965" s="166"/>
      <c r="L965" s="166"/>
      <c r="M965" s="166"/>
      <c r="N965" s="727"/>
      <c r="O965" s="166"/>
      <c r="P965" s="166"/>
      <c r="Q965" s="716"/>
      <c r="R965" s="714"/>
      <c r="S965" s="717"/>
      <c r="T965" s="714"/>
      <c r="U965" s="166"/>
      <c r="V965" s="166"/>
      <c r="W965" s="166"/>
      <c r="X965" s="166"/>
      <c r="Y965" s="156"/>
      <c r="Z965" s="166"/>
      <c r="AA965" s="166"/>
      <c r="AB965" s="166"/>
      <c r="AC965" s="166"/>
      <c r="AD965" s="166"/>
      <c r="AE965" s="87"/>
      <c r="AF965" s="87"/>
      <c r="AG965" s="87"/>
      <c r="AH965" s="87"/>
      <c r="AI965" s="87"/>
      <c r="AJ965" s="87"/>
      <c r="AK965" s="87"/>
      <c r="AL965" s="87"/>
      <c r="AM965" s="87"/>
    </row>
    <row r="966">
      <c r="A966" s="87"/>
      <c r="B966" s="166"/>
      <c r="C966" s="166"/>
      <c r="D966" s="166"/>
      <c r="E966" s="166"/>
      <c r="F966" s="714"/>
      <c r="G966" s="166"/>
      <c r="H966" s="166"/>
      <c r="I966" s="166"/>
      <c r="J966" s="166"/>
      <c r="K966" s="166"/>
      <c r="L966" s="166"/>
      <c r="M966" s="166"/>
      <c r="N966" s="727"/>
      <c r="O966" s="166"/>
      <c r="P966" s="166"/>
      <c r="Q966" s="716"/>
      <c r="R966" s="714"/>
      <c r="S966" s="717"/>
      <c r="T966" s="714"/>
      <c r="U966" s="166"/>
      <c r="V966" s="166"/>
      <c r="W966" s="166"/>
      <c r="X966" s="166"/>
      <c r="Y966" s="156"/>
      <c r="Z966" s="166"/>
      <c r="AA966" s="166"/>
      <c r="AB966" s="166"/>
      <c r="AC966" s="166"/>
      <c r="AD966" s="166"/>
      <c r="AE966" s="87"/>
      <c r="AF966" s="87"/>
      <c r="AG966" s="87"/>
      <c r="AH966" s="87"/>
      <c r="AI966" s="87"/>
      <c r="AJ966" s="87"/>
      <c r="AK966" s="87"/>
      <c r="AL966" s="87"/>
      <c r="AM966" s="87"/>
    </row>
    <row r="967">
      <c r="A967" s="87"/>
      <c r="B967" s="166"/>
      <c r="C967" s="166"/>
      <c r="D967" s="166"/>
      <c r="E967" s="166"/>
      <c r="F967" s="714"/>
      <c r="G967" s="166"/>
      <c r="H967" s="166"/>
      <c r="I967" s="166"/>
      <c r="J967" s="166"/>
      <c r="K967" s="166"/>
      <c r="L967" s="166"/>
      <c r="M967" s="166"/>
      <c r="N967" s="727"/>
      <c r="O967" s="166"/>
      <c r="P967" s="166"/>
      <c r="Q967" s="716"/>
      <c r="R967" s="714"/>
      <c r="S967" s="717"/>
      <c r="T967" s="714"/>
      <c r="U967" s="166"/>
      <c r="V967" s="166"/>
      <c r="W967" s="166"/>
      <c r="X967" s="166"/>
      <c r="Y967" s="156"/>
      <c r="Z967" s="166"/>
      <c r="AA967" s="166"/>
      <c r="AB967" s="166"/>
      <c r="AC967" s="166"/>
      <c r="AD967" s="166"/>
      <c r="AE967" s="87"/>
      <c r="AF967" s="87"/>
      <c r="AG967" s="87"/>
      <c r="AH967" s="87"/>
      <c r="AI967" s="87"/>
      <c r="AJ967" s="87"/>
      <c r="AK967" s="87"/>
      <c r="AL967" s="87"/>
      <c r="AM967" s="87"/>
    </row>
    <row r="968">
      <c r="A968" s="87"/>
      <c r="B968" s="166"/>
      <c r="C968" s="166"/>
      <c r="D968" s="166"/>
      <c r="E968" s="166"/>
      <c r="F968" s="714"/>
      <c r="G968" s="166"/>
      <c r="H968" s="166"/>
      <c r="I968" s="166"/>
      <c r="J968" s="166"/>
      <c r="K968" s="166"/>
      <c r="L968" s="166"/>
      <c r="M968" s="166"/>
      <c r="N968" s="727"/>
      <c r="O968" s="166"/>
      <c r="P968" s="166"/>
      <c r="Q968" s="716"/>
      <c r="R968" s="714"/>
      <c r="S968" s="717"/>
      <c r="T968" s="714"/>
      <c r="U968" s="166"/>
      <c r="V968" s="166"/>
      <c r="W968" s="166"/>
      <c r="X968" s="166"/>
      <c r="Y968" s="156"/>
      <c r="Z968" s="166"/>
      <c r="AA968" s="166"/>
      <c r="AB968" s="166"/>
      <c r="AC968" s="166"/>
      <c r="AD968" s="166"/>
      <c r="AE968" s="87"/>
      <c r="AF968" s="87"/>
      <c r="AG968" s="87"/>
      <c r="AH968" s="87"/>
      <c r="AI968" s="87"/>
      <c r="AJ968" s="87"/>
      <c r="AK968" s="87"/>
      <c r="AL968" s="87"/>
      <c r="AM968" s="87"/>
    </row>
    <row r="969">
      <c r="A969" s="87"/>
      <c r="B969" s="166"/>
      <c r="C969" s="166"/>
      <c r="D969" s="166"/>
      <c r="E969" s="166"/>
      <c r="F969" s="714"/>
      <c r="G969" s="166"/>
      <c r="H969" s="166"/>
      <c r="I969" s="166"/>
      <c r="J969" s="166"/>
      <c r="K969" s="166"/>
      <c r="L969" s="166"/>
      <c r="M969" s="166"/>
      <c r="N969" s="727"/>
      <c r="O969" s="166"/>
      <c r="P969" s="166"/>
      <c r="Q969" s="716"/>
      <c r="R969" s="714"/>
      <c r="S969" s="717"/>
      <c r="T969" s="714"/>
      <c r="U969" s="166"/>
      <c r="V969" s="166"/>
      <c r="W969" s="166"/>
      <c r="X969" s="166"/>
      <c r="Y969" s="156"/>
      <c r="Z969" s="166"/>
      <c r="AA969" s="166"/>
      <c r="AB969" s="166"/>
      <c r="AC969" s="166"/>
      <c r="AD969" s="166"/>
      <c r="AE969" s="87"/>
      <c r="AF969" s="87"/>
      <c r="AG969" s="87"/>
      <c r="AH969" s="87"/>
      <c r="AI969" s="87"/>
      <c r="AJ969" s="87"/>
      <c r="AK969" s="87"/>
      <c r="AL969" s="87"/>
      <c r="AM969" s="87"/>
    </row>
    <row r="970">
      <c r="A970" s="87"/>
      <c r="B970" s="166"/>
      <c r="C970" s="166"/>
      <c r="D970" s="166"/>
      <c r="E970" s="166"/>
      <c r="F970" s="714"/>
      <c r="G970" s="166"/>
      <c r="H970" s="166"/>
      <c r="I970" s="166"/>
      <c r="J970" s="166"/>
      <c r="K970" s="166"/>
      <c r="L970" s="166"/>
      <c r="M970" s="166"/>
      <c r="N970" s="727"/>
      <c r="O970" s="166"/>
      <c r="P970" s="166"/>
      <c r="Q970" s="716"/>
      <c r="R970" s="714"/>
      <c r="S970" s="717"/>
      <c r="T970" s="714"/>
      <c r="U970" s="166"/>
      <c r="V970" s="166"/>
      <c r="W970" s="166"/>
      <c r="X970" s="166"/>
      <c r="Y970" s="156"/>
      <c r="Z970" s="166"/>
      <c r="AA970" s="166"/>
      <c r="AB970" s="166"/>
      <c r="AC970" s="166"/>
      <c r="AD970" s="166"/>
      <c r="AE970" s="87"/>
      <c r="AF970" s="87"/>
      <c r="AG970" s="87"/>
      <c r="AH970" s="87"/>
      <c r="AI970" s="87"/>
      <c r="AJ970" s="87"/>
      <c r="AK970" s="87"/>
      <c r="AL970" s="87"/>
      <c r="AM970" s="87"/>
    </row>
    <row r="971">
      <c r="A971" s="87"/>
      <c r="B971" s="166"/>
      <c r="C971" s="166"/>
      <c r="D971" s="166"/>
      <c r="E971" s="166"/>
      <c r="F971" s="714"/>
      <c r="G971" s="166"/>
      <c r="H971" s="166"/>
      <c r="I971" s="166"/>
      <c r="J971" s="166"/>
      <c r="K971" s="166"/>
      <c r="L971" s="166"/>
      <c r="M971" s="166"/>
      <c r="N971" s="727"/>
      <c r="O971" s="166"/>
      <c r="P971" s="166"/>
      <c r="Q971" s="716"/>
      <c r="R971" s="714"/>
      <c r="S971" s="717"/>
      <c r="T971" s="714"/>
      <c r="U971" s="166"/>
      <c r="V971" s="166"/>
      <c r="W971" s="166"/>
      <c r="X971" s="166"/>
      <c r="Y971" s="156"/>
      <c r="Z971" s="166"/>
      <c r="AA971" s="166"/>
      <c r="AB971" s="166"/>
      <c r="AC971" s="166"/>
      <c r="AD971" s="166"/>
      <c r="AE971" s="87"/>
      <c r="AF971" s="87"/>
      <c r="AG971" s="87"/>
      <c r="AH971" s="87"/>
      <c r="AI971" s="87"/>
      <c r="AJ971" s="87"/>
      <c r="AK971" s="87"/>
      <c r="AL971" s="87"/>
      <c r="AM971" s="87"/>
    </row>
    <row r="972">
      <c r="A972" s="87"/>
      <c r="B972" s="166"/>
      <c r="C972" s="166"/>
      <c r="D972" s="166"/>
      <c r="E972" s="166"/>
      <c r="F972" s="714"/>
      <c r="G972" s="166"/>
      <c r="H972" s="166"/>
      <c r="I972" s="166"/>
      <c r="J972" s="166"/>
      <c r="K972" s="166"/>
      <c r="L972" s="166"/>
      <c r="M972" s="166"/>
      <c r="N972" s="727"/>
      <c r="O972" s="166"/>
      <c r="P972" s="166"/>
      <c r="Q972" s="716"/>
      <c r="R972" s="714"/>
      <c r="S972" s="717"/>
      <c r="T972" s="714"/>
      <c r="U972" s="166"/>
      <c r="V972" s="166"/>
      <c r="W972" s="166"/>
      <c r="X972" s="166"/>
      <c r="Y972" s="156"/>
      <c r="Z972" s="166"/>
      <c r="AA972" s="166"/>
      <c r="AB972" s="166"/>
      <c r="AC972" s="166"/>
      <c r="AD972" s="166"/>
      <c r="AE972" s="87"/>
      <c r="AF972" s="87"/>
      <c r="AG972" s="87"/>
      <c r="AH972" s="87"/>
      <c r="AI972" s="87"/>
      <c r="AJ972" s="87"/>
      <c r="AK972" s="87"/>
      <c r="AL972" s="87"/>
      <c r="AM972" s="87"/>
    </row>
    <row r="973">
      <c r="A973" s="87"/>
      <c r="B973" s="166"/>
      <c r="C973" s="166"/>
      <c r="D973" s="166"/>
      <c r="E973" s="166"/>
      <c r="F973" s="714"/>
      <c r="G973" s="166"/>
      <c r="H973" s="166"/>
      <c r="I973" s="166"/>
      <c r="J973" s="166"/>
      <c r="K973" s="166"/>
      <c r="L973" s="166"/>
      <c r="M973" s="166"/>
      <c r="N973" s="727"/>
      <c r="O973" s="166"/>
      <c r="P973" s="166"/>
      <c r="Q973" s="716"/>
      <c r="R973" s="714"/>
      <c r="S973" s="717"/>
      <c r="T973" s="714"/>
      <c r="U973" s="166"/>
      <c r="V973" s="166"/>
      <c r="W973" s="166"/>
      <c r="X973" s="166"/>
      <c r="Y973" s="156"/>
      <c r="Z973" s="166"/>
      <c r="AA973" s="166"/>
      <c r="AB973" s="166"/>
      <c r="AC973" s="166"/>
      <c r="AD973" s="166"/>
      <c r="AE973" s="87"/>
      <c r="AF973" s="87"/>
      <c r="AG973" s="87"/>
      <c r="AH973" s="87"/>
      <c r="AI973" s="87"/>
      <c r="AJ973" s="87"/>
      <c r="AK973" s="87"/>
      <c r="AL973" s="87"/>
      <c r="AM973" s="87"/>
    </row>
    <row r="974">
      <c r="A974" s="87"/>
      <c r="B974" s="166"/>
      <c r="C974" s="166"/>
      <c r="D974" s="166"/>
      <c r="E974" s="166"/>
      <c r="F974" s="714"/>
      <c r="G974" s="166"/>
      <c r="H974" s="166"/>
      <c r="I974" s="166"/>
      <c r="J974" s="166"/>
      <c r="K974" s="166"/>
      <c r="L974" s="166"/>
      <c r="M974" s="166"/>
      <c r="N974" s="727"/>
      <c r="O974" s="166"/>
      <c r="P974" s="166"/>
      <c r="Q974" s="716"/>
      <c r="R974" s="714"/>
      <c r="S974" s="717"/>
      <c r="T974" s="714"/>
      <c r="U974" s="166"/>
      <c r="V974" s="166"/>
      <c r="W974" s="166"/>
      <c r="X974" s="166"/>
      <c r="Y974" s="156"/>
      <c r="Z974" s="166"/>
      <c r="AA974" s="166"/>
      <c r="AB974" s="166"/>
      <c r="AC974" s="166"/>
      <c r="AD974" s="166"/>
      <c r="AE974" s="87"/>
      <c r="AF974" s="87"/>
      <c r="AG974" s="87"/>
      <c r="AH974" s="87"/>
      <c r="AI974" s="87"/>
      <c r="AJ974" s="87"/>
      <c r="AK974" s="87"/>
      <c r="AL974" s="87"/>
      <c r="AM974" s="87"/>
    </row>
    <row r="975">
      <c r="A975" s="87"/>
      <c r="B975" s="166"/>
      <c r="C975" s="166"/>
      <c r="D975" s="166"/>
      <c r="E975" s="166"/>
      <c r="F975" s="714"/>
      <c r="G975" s="166"/>
      <c r="H975" s="166"/>
      <c r="I975" s="166"/>
      <c r="J975" s="166"/>
      <c r="K975" s="166"/>
      <c r="L975" s="166"/>
      <c r="M975" s="166"/>
      <c r="N975" s="727"/>
      <c r="O975" s="166"/>
      <c r="P975" s="166"/>
      <c r="Q975" s="716"/>
      <c r="R975" s="714"/>
      <c r="S975" s="717"/>
      <c r="T975" s="714"/>
      <c r="U975" s="166"/>
      <c r="V975" s="166"/>
      <c r="W975" s="166"/>
      <c r="X975" s="166"/>
      <c r="Y975" s="156"/>
      <c r="Z975" s="166"/>
      <c r="AA975" s="166"/>
      <c r="AB975" s="166"/>
      <c r="AC975" s="166"/>
      <c r="AD975" s="166"/>
      <c r="AE975" s="87"/>
      <c r="AF975" s="87"/>
      <c r="AG975" s="87"/>
      <c r="AH975" s="87"/>
      <c r="AI975" s="87"/>
      <c r="AJ975" s="87"/>
      <c r="AK975" s="87"/>
      <c r="AL975" s="87"/>
      <c r="AM975" s="87"/>
    </row>
    <row r="976">
      <c r="A976" s="87"/>
      <c r="B976" s="166"/>
      <c r="C976" s="166"/>
      <c r="D976" s="166"/>
      <c r="E976" s="166"/>
      <c r="F976" s="714"/>
      <c r="G976" s="166"/>
      <c r="H976" s="166"/>
      <c r="I976" s="166"/>
      <c r="J976" s="166"/>
      <c r="K976" s="166"/>
      <c r="L976" s="166"/>
      <c r="M976" s="166"/>
      <c r="N976" s="727"/>
      <c r="O976" s="166"/>
      <c r="P976" s="166"/>
      <c r="Q976" s="716"/>
      <c r="R976" s="714"/>
      <c r="S976" s="717"/>
      <c r="T976" s="714"/>
      <c r="U976" s="166"/>
      <c r="V976" s="166"/>
      <c r="W976" s="166"/>
      <c r="X976" s="166"/>
      <c r="Y976" s="156"/>
      <c r="Z976" s="166"/>
      <c r="AA976" s="166"/>
      <c r="AB976" s="166"/>
      <c r="AC976" s="166"/>
      <c r="AD976" s="166"/>
      <c r="AE976" s="87"/>
      <c r="AF976" s="87"/>
      <c r="AG976" s="87"/>
      <c r="AH976" s="87"/>
      <c r="AI976" s="87"/>
      <c r="AJ976" s="87"/>
      <c r="AK976" s="87"/>
      <c r="AL976" s="87"/>
      <c r="AM976" s="87"/>
    </row>
    <row r="977">
      <c r="A977" s="87"/>
      <c r="B977" s="166"/>
      <c r="C977" s="166"/>
      <c r="D977" s="166"/>
      <c r="E977" s="166"/>
      <c r="F977" s="714"/>
      <c r="G977" s="166"/>
      <c r="H977" s="166"/>
      <c r="I977" s="166"/>
      <c r="J977" s="166"/>
      <c r="K977" s="166"/>
      <c r="L977" s="166"/>
      <c r="M977" s="166"/>
      <c r="N977" s="727"/>
      <c r="O977" s="166"/>
      <c r="P977" s="166"/>
      <c r="Q977" s="716"/>
      <c r="R977" s="714"/>
      <c r="S977" s="717"/>
      <c r="T977" s="714"/>
      <c r="U977" s="166"/>
      <c r="V977" s="166"/>
      <c r="W977" s="166"/>
      <c r="X977" s="166"/>
      <c r="Y977" s="156"/>
      <c r="Z977" s="166"/>
      <c r="AA977" s="166"/>
      <c r="AB977" s="166"/>
      <c r="AC977" s="166"/>
      <c r="AD977" s="166"/>
      <c r="AE977" s="87"/>
      <c r="AF977" s="87"/>
      <c r="AG977" s="87"/>
      <c r="AH977" s="87"/>
      <c r="AI977" s="87"/>
      <c r="AJ977" s="87"/>
      <c r="AK977" s="87"/>
      <c r="AL977" s="87"/>
      <c r="AM977" s="87"/>
    </row>
    <row r="978">
      <c r="A978" s="87"/>
      <c r="B978" s="166"/>
      <c r="C978" s="166"/>
      <c r="D978" s="166"/>
      <c r="E978" s="166"/>
      <c r="F978" s="714"/>
      <c r="G978" s="166"/>
      <c r="H978" s="166"/>
      <c r="I978" s="166"/>
      <c r="J978" s="166"/>
      <c r="K978" s="166"/>
      <c r="L978" s="166"/>
      <c r="M978" s="166"/>
      <c r="N978" s="727"/>
      <c r="O978" s="166"/>
      <c r="P978" s="166"/>
      <c r="Q978" s="716"/>
      <c r="R978" s="714"/>
      <c r="S978" s="717"/>
      <c r="T978" s="714"/>
      <c r="U978" s="166"/>
      <c r="V978" s="166"/>
      <c r="W978" s="166"/>
      <c r="X978" s="166"/>
      <c r="Y978" s="156"/>
      <c r="Z978" s="166"/>
      <c r="AA978" s="166"/>
      <c r="AB978" s="166"/>
      <c r="AC978" s="166"/>
      <c r="AD978" s="166"/>
      <c r="AE978" s="87"/>
      <c r="AF978" s="87"/>
      <c r="AG978" s="87"/>
      <c r="AH978" s="87"/>
      <c r="AI978" s="87"/>
      <c r="AJ978" s="87"/>
      <c r="AK978" s="87"/>
      <c r="AL978" s="87"/>
      <c r="AM978" s="87"/>
    </row>
    <row r="979">
      <c r="A979" s="87"/>
      <c r="B979" s="166"/>
      <c r="C979" s="166"/>
      <c r="D979" s="166"/>
      <c r="E979" s="166"/>
      <c r="F979" s="714"/>
      <c r="G979" s="166"/>
      <c r="H979" s="166"/>
      <c r="I979" s="166"/>
      <c r="J979" s="166"/>
      <c r="K979" s="166"/>
      <c r="L979" s="166"/>
      <c r="M979" s="166"/>
      <c r="N979" s="727"/>
      <c r="O979" s="166"/>
      <c r="P979" s="166"/>
      <c r="Q979" s="716"/>
      <c r="R979" s="714"/>
      <c r="S979" s="717"/>
      <c r="T979" s="714"/>
      <c r="U979" s="166"/>
      <c r="V979" s="166"/>
      <c r="W979" s="166"/>
      <c r="X979" s="166"/>
      <c r="Y979" s="156"/>
      <c r="Z979" s="166"/>
      <c r="AA979" s="166"/>
      <c r="AB979" s="166"/>
      <c r="AC979" s="166"/>
      <c r="AD979" s="166"/>
      <c r="AE979" s="87"/>
      <c r="AF979" s="87"/>
      <c r="AG979" s="87"/>
      <c r="AH979" s="87"/>
      <c r="AI979" s="87"/>
      <c r="AJ979" s="87"/>
      <c r="AK979" s="87"/>
      <c r="AL979" s="87"/>
      <c r="AM979" s="87"/>
    </row>
    <row r="980">
      <c r="A980" s="87"/>
      <c r="B980" s="166"/>
      <c r="C980" s="166"/>
      <c r="D980" s="166"/>
      <c r="E980" s="166"/>
      <c r="F980" s="714"/>
      <c r="G980" s="166"/>
      <c r="H980" s="166"/>
      <c r="I980" s="166"/>
      <c r="J980" s="166"/>
      <c r="K980" s="166"/>
      <c r="L980" s="166"/>
      <c r="M980" s="166"/>
      <c r="N980" s="727"/>
      <c r="O980" s="166"/>
      <c r="P980" s="166"/>
      <c r="Q980" s="716"/>
      <c r="R980" s="714"/>
      <c r="S980" s="717"/>
      <c r="T980" s="714"/>
      <c r="U980" s="166"/>
      <c r="V980" s="166"/>
      <c r="W980" s="166"/>
      <c r="X980" s="166"/>
      <c r="Y980" s="156"/>
      <c r="Z980" s="166"/>
      <c r="AA980" s="166"/>
      <c r="AB980" s="166"/>
      <c r="AC980" s="166"/>
      <c r="AD980" s="166"/>
      <c r="AE980" s="87"/>
      <c r="AF980" s="87"/>
      <c r="AG980" s="87"/>
      <c r="AH980" s="87"/>
      <c r="AI980" s="87"/>
      <c r="AJ980" s="87"/>
      <c r="AK980" s="87"/>
      <c r="AL980" s="87"/>
      <c r="AM980" s="87"/>
    </row>
    <row r="981">
      <c r="A981" s="87"/>
      <c r="B981" s="166"/>
      <c r="C981" s="166"/>
      <c r="D981" s="166"/>
      <c r="E981" s="166"/>
      <c r="F981" s="714"/>
      <c r="G981" s="166"/>
      <c r="H981" s="166"/>
      <c r="I981" s="166"/>
      <c r="J981" s="166"/>
      <c r="K981" s="166"/>
      <c r="L981" s="166"/>
      <c r="M981" s="166"/>
      <c r="N981" s="727"/>
      <c r="O981" s="166"/>
      <c r="P981" s="166"/>
      <c r="Q981" s="716"/>
      <c r="R981" s="714"/>
      <c r="S981" s="717"/>
      <c r="T981" s="714"/>
      <c r="U981" s="166"/>
      <c r="V981" s="166"/>
      <c r="W981" s="166"/>
      <c r="X981" s="166"/>
      <c r="Y981" s="156"/>
      <c r="Z981" s="166"/>
      <c r="AA981" s="166"/>
      <c r="AB981" s="166"/>
      <c r="AC981" s="166"/>
      <c r="AD981" s="166"/>
      <c r="AE981" s="87"/>
      <c r="AF981" s="87"/>
      <c r="AG981" s="87"/>
      <c r="AH981" s="87"/>
      <c r="AI981" s="87"/>
      <c r="AJ981" s="87"/>
      <c r="AK981" s="87"/>
      <c r="AL981" s="87"/>
      <c r="AM981" s="87"/>
    </row>
    <row r="982">
      <c r="A982" s="87"/>
      <c r="B982" s="166"/>
      <c r="C982" s="166"/>
      <c r="D982" s="166"/>
      <c r="E982" s="166"/>
      <c r="F982" s="714"/>
      <c r="G982" s="166"/>
      <c r="H982" s="166"/>
      <c r="I982" s="166"/>
      <c r="J982" s="166"/>
      <c r="K982" s="166"/>
      <c r="L982" s="166"/>
      <c r="M982" s="166"/>
      <c r="N982" s="727"/>
      <c r="O982" s="166"/>
      <c r="P982" s="166"/>
      <c r="Q982" s="716"/>
      <c r="R982" s="714"/>
      <c r="S982" s="717"/>
      <c r="T982" s="714"/>
      <c r="U982" s="166"/>
      <c r="V982" s="166"/>
      <c r="W982" s="166"/>
      <c r="X982" s="166"/>
      <c r="Y982" s="156"/>
      <c r="Z982" s="166"/>
      <c r="AA982" s="166"/>
      <c r="AB982" s="166"/>
      <c r="AC982" s="166"/>
      <c r="AD982" s="166"/>
      <c r="AE982" s="87"/>
      <c r="AF982" s="87"/>
      <c r="AG982" s="87"/>
      <c r="AH982" s="87"/>
      <c r="AI982" s="87"/>
      <c r="AJ982" s="87"/>
      <c r="AK982" s="87"/>
      <c r="AL982" s="87"/>
      <c r="AM982" s="87"/>
    </row>
    <row r="983">
      <c r="A983" s="87"/>
      <c r="B983" s="166"/>
      <c r="C983" s="166"/>
      <c r="D983" s="166"/>
      <c r="E983" s="166"/>
      <c r="F983" s="714"/>
      <c r="G983" s="166"/>
      <c r="H983" s="166"/>
      <c r="I983" s="166"/>
      <c r="J983" s="166"/>
      <c r="K983" s="166"/>
      <c r="L983" s="166"/>
      <c r="M983" s="166"/>
      <c r="N983" s="727"/>
      <c r="O983" s="166"/>
      <c r="P983" s="166"/>
      <c r="Q983" s="716"/>
      <c r="R983" s="714"/>
      <c r="S983" s="717"/>
      <c r="T983" s="714"/>
      <c r="U983" s="166"/>
      <c r="V983" s="166"/>
      <c r="W983" s="166"/>
      <c r="X983" s="166"/>
      <c r="Y983" s="156"/>
      <c r="Z983" s="166"/>
      <c r="AA983" s="166"/>
      <c r="AB983" s="166"/>
      <c r="AC983" s="166"/>
      <c r="AD983" s="166"/>
      <c r="AE983" s="87"/>
      <c r="AF983" s="87"/>
      <c r="AG983" s="87"/>
      <c r="AH983" s="87"/>
      <c r="AI983" s="87"/>
      <c r="AJ983" s="87"/>
      <c r="AK983" s="87"/>
      <c r="AL983" s="87"/>
      <c r="AM983" s="87"/>
    </row>
    <row r="984">
      <c r="A984" s="87"/>
      <c r="B984" s="166"/>
      <c r="C984" s="166"/>
      <c r="D984" s="166"/>
      <c r="E984" s="166"/>
      <c r="F984" s="714"/>
      <c r="G984" s="166"/>
      <c r="H984" s="166"/>
      <c r="I984" s="166"/>
      <c r="J984" s="166"/>
      <c r="K984" s="166"/>
      <c r="L984" s="166"/>
      <c r="M984" s="166"/>
      <c r="N984" s="727"/>
      <c r="O984" s="166"/>
      <c r="P984" s="166"/>
      <c r="Q984" s="716"/>
      <c r="R984" s="714"/>
      <c r="S984" s="717"/>
      <c r="T984" s="714"/>
      <c r="U984" s="166"/>
      <c r="V984" s="166"/>
      <c r="W984" s="166"/>
      <c r="X984" s="166"/>
      <c r="Y984" s="156"/>
      <c r="Z984" s="166"/>
      <c r="AA984" s="166"/>
      <c r="AB984" s="166"/>
      <c r="AC984" s="166"/>
      <c r="AD984" s="166"/>
      <c r="AE984" s="87"/>
      <c r="AF984" s="87"/>
      <c r="AG984" s="87"/>
      <c r="AH984" s="87"/>
      <c r="AI984" s="87"/>
      <c r="AJ984" s="87"/>
      <c r="AK984" s="87"/>
      <c r="AL984" s="87"/>
      <c r="AM984" s="87"/>
    </row>
    <row r="985">
      <c r="A985" s="87"/>
      <c r="B985" s="166"/>
      <c r="C985" s="166"/>
      <c r="D985" s="166"/>
      <c r="E985" s="166"/>
      <c r="F985" s="714"/>
      <c r="G985" s="166"/>
      <c r="H985" s="166"/>
      <c r="I985" s="166"/>
      <c r="J985" s="166"/>
      <c r="K985" s="166"/>
      <c r="L985" s="166"/>
      <c r="M985" s="166"/>
      <c r="N985" s="727"/>
      <c r="O985" s="166"/>
      <c r="P985" s="166"/>
      <c r="Q985" s="716"/>
      <c r="R985" s="714"/>
      <c r="S985" s="717"/>
      <c r="T985" s="714"/>
      <c r="U985" s="166"/>
      <c r="V985" s="166"/>
      <c r="W985" s="166"/>
      <c r="X985" s="166"/>
      <c r="Y985" s="156"/>
      <c r="Z985" s="166"/>
      <c r="AA985" s="166"/>
      <c r="AB985" s="166"/>
      <c r="AC985" s="166"/>
      <c r="AD985" s="166"/>
      <c r="AE985" s="87"/>
      <c r="AF985" s="87"/>
      <c r="AG985" s="87"/>
      <c r="AH985" s="87"/>
      <c r="AI985" s="87"/>
      <c r="AJ985" s="87"/>
      <c r="AK985" s="87"/>
      <c r="AL985" s="87"/>
      <c r="AM985" s="87"/>
    </row>
    <row r="986">
      <c r="A986" s="87"/>
      <c r="B986" s="166"/>
      <c r="C986" s="166"/>
      <c r="D986" s="166"/>
      <c r="E986" s="166"/>
      <c r="F986" s="714"/>
      <c r="G986" s="166"/>
      <c r="H986" s="166"/>
      <c r="I986" s="166"/>
      <c r="J986" s="166"/>
      <c r="K986" s="166"/>
      <c r="L986" s="166"/>
      <c r="M986" s="166"/>
      <c r="N986" s="727"/>
      <c r="O986" s="166"/>
      <c r="P986" s="166"/>
      <c r="Q986" s="716"/>
      <c r="R986" s="714"/>
      <c r="S986" s="717"/>
      <c r="T986" s="714"/>
      <c r="U986" s="166"/>
      <c r="V986" s="166"/>
      <c r="W986" s="166"/>
      <c r="X986" s="166"/>
      <c r="Y986" s="156"/>
      <c r="Z986" s="166"/>
      <c r="AA986" s="166"/>
      <c r="AB986" s="166"/>
      <c r="AC986" s="166"/>
      <c r="AD986" s="166"/>
      <c r="AE986" s="87"/>
      <c r="AF986" s="87"/>
      <c r="AG986" s="87"/>
      <c r="AH986" s="87"/>
      <c r="AI986" s="87"/>
      <c r="AJ986" s="87"/>
      <c r="AK986" s="87"/>
      <c r="AL986" s="87"/>
      <c r="AM986" s="87"/>
    </row>
    <row r="987">
      <c r="A987" s="87"/>
      <c r="B987" s="166"/>
      <c r="C987" s="166"/>
      <c r="D987" s="166"/>
      <c r="E987" s="166"/>
      <c r="F987" s="714"/>
      <c r="G987" s="166"/>
      <c r="H987" s="166"/>
      <c r="I987" s="166"/>
      <c r="J987" s="166"/>
      <c r="K987" s="166"/>
      <c r="L987" s="166"/>
      <c r="M987" s="166"/>
      <c r="N987" s="727"/>
      <c r="O987" s="166"/>
      <c r="P987" s="166"/>
      <c r="Q987" s="716"/>
      <c r="R987" s="714"/>
      <c r="S987" s="717"/>
      <c r="T987" s="714"/>
      <c r="U987" s="166"/>
      <c r="V987" s="166"/>
      <c r="W987" s="166"/>
      <c r="X987" s="166"/>
      <c r="Y987" s="156"/>
      <c r="Z987" s="166"/>
      <c r="AA987" s="166"/>
      <c r="AB987" s="166"/>
      <c r="AC987" s="166"/>
      <c r="AD987" s="166"/>
      <c r="AE987" s="87"/>
      <c r="AF987" s="87"/>
      <c r="AG987" s="87"/>
      <c r="AH987" s="87"/>
      <c r="AI987" s="87"/>
      <c r="AJ987" s="87"/>
      <c r="AK987" s="87"/>
      <c r="AL987" s="87"/>
      <c r="AM987" s="87"/>
    </row>
    <row r="988">
      <c r="A988" s="87"/>
      <c r="B988" s="166"/>
      <c r="C988" s="166"/>
      <c r="D988" s="166"/>
      <c r="E988" s="166"/>
      <c r="F988" s="714"/>
      <c r="G988" s="166"/>
      <c r="H988" s="166"/>
      <c r="I988" s="166"/>
      <c r="J988" s="166"/>
      <c r="K988" s="166"/>
      <c r="L988" s="166"/>
      <c r="M988" s="166"/>
      <c r="N988" s="727"/>
      <c r="O988" s="166"/>
      <c r="P988" s="166"/>
      <c r="Q988" s="716"/>
      <c r="R988" s="714"/>
      <c r="S988" s="717"/>
      <c r="T988" s="714"/>
      <c r="U988" s="166"/>
      <c r="V988" s="166"/>
      <c r="W988" s="166"/>
      <c r="X988" s="166"/>
      <c r="Y988" s="156"/>
      <c r="Z988" s="166"/>
      <c r="AA988" s="166"/>
      <c r="AB988" s="166"/>
      <c r="AC988" s="166"/>
      <c r="AD988" s="166"/>
      <c r="AE988" s="87"/>
      <c r="AF988" s="87"/>
      <c r="AG988" s="87"/>
      <c r="AH988" s="87"/>
      <c r="AI988" s="87"/>
      <c r="AJ988" s="87"/>
      <c r="AK988" s="87"/>
      <c r="AL988" s="87"/>
      <c r="AM988" s="87"/>
    </row>
    <row r="989">
      <c r="A989" s="87"/>
      <c r="B989" s="166"/>
      <c r="C989" s="166"/>
      <c r="D989" s="166"/>
      <c r="E989" s="166"/>
      <c r="F989" s="714"/>
      <c r="G989" s="166"/>
      <c r="H989" s="166"/>
      <c r="I989" s="166"/>
      <c r="J989" s="166"/>
      <c r="K989" s="166"/>
      <c r="L989" s="166"/>
      <c r="M989" s="166"/>
      <c r="N989" s="727"/>
      <c r="O989" s="166"/>
      <c r="P989" s="166"/>
      <c r="Q989" s="716"/>
      <c r="R989" s="714"/>
      <c r="S989" s="717"/>
      <c r="T989" s="714"/>
      <c r="U989" s="166"/>
      <c r="V989" s="166"/>
      <c r="W989" s="166"/>
      <c r="X989" s="166"/>
      <c r="Y989" s="156"/>
      <c r="Z989" s="166"/>
      <c r="AA989" s="166"/>
      <c r="AB989" s="166"/>
      <c r="AC989" s="166"/>
      <c r="AD989" s="166"/>
      <c r="AE989" s="87"/>
      <c r="AF989" s="87"/>
      <c r="AG989" s="87"/>
      <c r="AH989" s="87"/>
      <c r="AI989" s="87"/>
      <c r="AJ989" s="87"/>
      <c r="AK989" s="87"/>
      <c r="AL989" s="87"/>
      <c r="AM989" s="87"/>
    </row>
  </sheetData>
  <autoFilter ref="$A$6:$AM$12"/>
  <conditionalFormatting sqref="E7:E45">
    <cfRule type="containsText" dxfId="11" priority="1" operator="containsText" text="OPEN">
      <formula>NOT(ISERROR(SEARCH(("OPEN"),(E7))))</formula>
    </cfRule>
  </conditionalFormatting>
  <conditionalFormatting sqref="E7:E45">
    <cfRule type="containsText" dxfId="10" priority="2" operator="containsText" text="CLOSE">
      <formula>NOT(ISERROR(SEARCH(("CLOSE"),(E7))))</formula>
    </cfRule>
  </conditionalFormatting>
  <conditionalFormatting sqref="E7:E45">
    <cfRule type="expression" dxfId="16" priority="3">
      <formula>$E7="Close"</formula>
    </cfRule>
  </conditionalFormatting>
  <conditionalFormatting sqref="E7:E989">
    <cfRule type="containsText" dxfId="10" priority="4" operator="containsText" text="close">
      <formula>NOT(ISERROR(SEARCH(("close"),(E7))))</formula>
    </cfRule>
  </conditionalFormatting>
  <conditionalFormatting sqref="E7:E989">
    <cfRule type="containsText" dxfId="11" priority="5" operator="containsText" text="on-going">
      <formula>NOT(ISERROR(SEARCH(("on-going"),(E7))))</formula>
    </cfRule>
  </conditionalFormatting>
  <conditionalFormatting sqref="B7:AC989">
    <cfRule type="expression" dxfId="16" priority="6">
      <formula>$E7="Close"</formula>
    </cfRule>
  </conditionalFormatting>
  <dataValidations>
    <dataValidation type="custom" allowBlank="1" showDropDown="1" showErrorMessage="1" sqref="W7:Y12">
      <formula1>OR(NOT(ISERROR(DATEVALUE(W7))), AND(ISNUMBER(W7), LEFT(CELL("format", W7))="D"))</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pane xSplit="10.0" topLeftCell="K1" activePane="topRight" state="frozen"/>
      <selection activeCell="L2" sqref="L2" pane="topRight"/>
    </sheetView>
  </sheetViews>
  <sheetFormatPr customHeight="1" defaultColWidth="12.63" defaultRowHeight="15.75"/>
  <cols>
    <col customWidth="1" min="1" max="1" width="1.25"/>
    <col customWidth="1" min="2" max="2" width="4.88"/>
    <col customWidth="1" min="3" max="3" width="8.75"/>
    <col customWidth="1" min="6" max="6" width="24.75"/>
    <col customWidth="1" min="7" max="7" width="14.38"/>
    <col customWidth="1" min="8" max="8" width="21.0"/>
    <col customWidth="1" min="9" max="9" width="18.25"/>
    <col customWidth="1" min="12" max="12" width="25.25"/>
    <col customWidth="1" min="14" max="14" width="10.63"/>
    <col customWidth="1" min="15" max="16" width="10.13"/>
    <col customWidth="1" min="17" max="17" width="10.38"/>
    <col customWidth="1" min="18" max="18" width="10.13"/>
    <col customWidth="1" min="19" max="21" width="13.75"/>
    <col customWidth="1" min="22" max="22" width="23.38"/>
    <col customWidth="1" min="23" max="23" width="29.5"/>
    <col customWidth="1" min="24" max="24" width="19.88"/>
    <col customWidth="1" min="26" max="26" width="17.13"/>
    <col customWidth="1" min="32" max="32" width="20.13"/>
  </cols>
  <sheetData>
    <row r="1">
      <c r="A1" s="131"/>
      <c r="B1" s="640" t="s">
        <v>2015</v>
      </c>
      <c r="C1" s="135"/>
      <c r="D1" s="630"/>
      <c r="E1" s="131"/>
      <c r="F1" s="728"/>
      <c r="G1" s="135"/>
      <c r="H1" s="729"/>
      <c r="I1" s="135"/>
      <c r="J1" s="131"/>
      <c r="K1" s="730"/>
      <c r="L1" s="133"/>
      <c r="M1" s="131"/>
      <c r="N1" s="133"/>
      <c r="O1" s="731"/>
      <c r="P1" s="133"/>
      <c r="Q1" s="732"/>
      <c r="R1" s="733"/>
      <c r="S1" s="133"/>
      <c r="T1" s="734"/>
      <c r="U1" s="734"/>
      <c r="V1" s="735"/>
      <c r="W1" s="131"/>
      <c r="X1" s="732"/>
      <c r="Y1" s="135"/>
      <c r="Z1" s="131"/>
      <c r="AA1" s="135"/>
      <c r="AB1" s="736"/>
      <c r="AC1" s="736"/>
      <c r="AD1" s="736"/>
      <c r="AE1" s="131"/>
      <c r="AF1" s="131"/>
      <c r="AG1" s="135"/>
      <c r="AH1" s="131"/>
      <c r="AI1" s="131"/>
      <c r="AJ1" s="131"/>
    </row>
    <row r="2">
      <c r="A2" s="131"/>
      <c r="B2" s="173" t="s">
        <v>2016</v>
      </c>
      <c r="C2" s="135"/>
      <c r="D2" s="135"/>
      <c r="E2" s="131"/>
      <c r="F2" s="728"/>
      <c r="G2" s="135"/>
      <c r="H2" s="737" t="s">
        <v>1362</v>
      </c>
      <c r="I2" s="647">
        <f t="shared" ref="I2:I3" si="1">countif(E:E,H2)</f>
        <v>18</v>
      </c>
      <c r="J2" s="648">
        <f>I2/(I2+I3)</f>
        <v>1</v>
      </c>
      <c r="K2" s="730"/>
      <c r="L2" s="133"/>
      <c r="M2" s="131"/>
      <c r="N2" s="133"/>
      <c r="O2" s="731"/>
      <c r="P2" s="133"/>
      <c r="Q2" s="732"/>
      <c r="R2" s="733"/>
      <c r="S2" s="133"/>
      <c r="T2" s="734"/>
      <c r="U2" s="734"/>
      <c r="V2" s="735"/>
      <c r="W2" s="131"/>
      <c r="X2" s="732"/>
      <c r="Y2" s="135"/>
      <c r="Z2" s="131"/>
      <c r="AA2" s="135"/>
      <c r="AB2" s="736"/>
      <c r="AC2" s="736"/>
      <c r="AD2" s="736"/>
      <c r="AE2" s="131"/>
      <c r="AF2" s="131"/>
      <c r="AG2" s="135"/>
      <c r="AH2" s="131"/>
      <c r="AI2" s="131"/>
      <c r="AJ2" s="131"/>
    </row>
    <row r="3">
      <c r="A3" s="131"/>
      <c r="B3" s="135"/>
      <c r="C3" s="135"/>
      <c r="D3" s="135"/>
      <c r="E3" s="131"/>
      <c r="F3" s="728"/>
      <c r="G3" s="135"/>
      <c r="H3" s="738" t="s">
        <v>2057</v>
      </c>
      <c r="I3" s="647">
        <f t="shared" si="1"/>
        <v>0</v>
      </c>
      <c r="J3" s="653">
        <f>I3/(I2+I3)</f>
        <v>0</v>
      </c>
      <c r="K3" s="730"/>
      <c r="L3" s="133"/>
      <c r="M3" s="131"/>
      <c r="N3" s="133"/>
      <c r="O3" s="731"/>
      <c r="P3" s="133"/>
      <c r="Q3" s="732"/>
      <c r="R3" s="733"/>
      <c r="S3" s="133"/>
      <c r="T3" s="734"/>
      <c r="U3" s="734"/>
      <c r="V3" s="735"/>
      <c r="W3" s="131"/>
      <c r="X3" s="732"/>
      <c r="Y3" s="135"/>
      <c r="Z3" s="131"/>
      <c r="AA3" s="135"/>
      <c r="AB3" s="736"/>
      <c r="AC3" s="736"/>
      <c r="AD3" s="736"/>
      <c r="AE3" s="131"/>
      <c r="AF3" s="131"/>
      <c r="AG3" s="135"/>
      <c r="AH3" s="131"/>
      <c r="AI3" s="131"/>
      <c r="AJ3" s="131"/>
    </row>
    <row r="4" ht="10.5" customHeight="1">
      <c r="A4" s="739"/>
      <c r="B4" s="739"/>
      <c r="C4" s="739"/>
      <c r="D4" s="739"/>
      <c r="E4" s="739"/>
      <c r="F4" s="740"/>
      <c r="G4" s="741"/>
      <c r="H4" s="742"/>
      <c r="I4" s="739"/>
      <c r="J4" s="739"/>
      <c r="K4" s="743"/>
      <c r="L4" s="744"/>
      <c r="M4" s="739"/>
      <c r="N4" s="745"/>
      <c r="O4" s="732"/>
      <c r="P4" s="744"/>
      <c r="Q4" s="732"/>
      <c r="R4" s="746"/>
      <c r="S4" s="744"/>
      <c r="T4" s="747"/>
      <c r="U4" s="747"/>
      <c r="V4" s="748"/>
      <c r="W4" s="741"/>
      <c r="X4" s="732"/>
      <c r="Y4" s="739"/>
      <c r="Z4" s="739"/>
      <c r="AA4" s="739"/>
      <c r="AB4" s="749"/>
      <c r="AC4" s="749"/>
      <c r="AD4" s="749"/>
      <c r="AE4" s="739"/>
      <c r="AF4" s="739"/>
      <c r="AG4" s="739"/>
      <c r="AH4" s="739"/>
      <c r="AI4" s="739"/>
      <c r="AJ4" s="739"/>
    </row>
    <row r="5" ht="18.75" customHeight="1">
      <c r="A5" s="131"/>
      <c r="B5" s="135"/>
      <c r="C5" s="135"/>
      <c r="D5" s="750" t="s">
        <v>2019</v>
      </c>
      <c r="E5" s="751" t="s">
        <v>2018</v>
      </c>
      <c r="F5" s="751" t="s">
        <v>2018</v>
      </c>
      <c r="G5" s="751" t="s">
        <v>2018</v>
      </c>
      <c r="H5" s="751" t="s">
        <v>2018</v>
      </c>
      <c r="I5" s="750" t="s">
        <v>2019</v>
      </c>
      <c r="J5" s="752" t="s">
        <v>2019</v>
      </c>
      <c r="K5" s="753" t="s">
        <v>2018</v>
      </c>
      <c r="L5" s="754" t="s">
        <v>2019</v>
      </c>
      <c r="M5" s="752" t="s">
        <v>2019</v>
      </c>
      <c r="N5" s="755" t="s">
        <v>2018</v>
      </c>
      <c r="O5" s="752" t="s">
        <v>2019</v>
      </c>
      <c r="P5" s="754" t="s">
        <v>2019</v>
      </c>
      <c r="Q5" s="756" t="s">
        <v>2019</v>
      </c>
      <c r="R5" s="757" t="s">
        <v>2019</v>
      </c>
      <c r="S5" s="758" t="s">
        <v>2058</v>
      </c>
      <c r="T5" s="759" t="s">
        <v>2019</v>
      </c>
      <c r="U5" s="759" t="s">
        <v>2019</v>
      </c>
      <c r="V5" s="760" t="s">
        <v>2059</v>
      </c>
      <c r="W5" s="131"/>
      <c r="X5" s="732"/>
      <c r="Y5" s="135"/>
      <c r="Z5" s="131"/>
      <c r="AA5" s="135"/>
      <c r="AB5" s="736"/>
      <c r="AC5" s="736"/>
      <c r="AD5" s="736"/>
      <c r="AE5" s="131"/>
      <c r="AF5" s="131"/>
      <c r="AG5" s="135"/>
      <c r="AH5" s="131"/>
      <c r="AI5" s="131"/>
      <c r="AJ5" s="131"/>
    </row>
    <row r="6" ht="38.25" customHeight="1">
      <c r="A6" s="135"/>
      <c r="B6" s="667" t="s">
        <v>1858</v>
      </c>
      <c r="C6" s="667" t="s">
        <v>2021</v>
      </c>
      <c r="D6" s="667" t="s">
        <v>2022</v>
      </c>
      <c r="E6" s="667" t="s">
        <v>2023</v>
      </c>
      <c r="F6" s="668" t="s">
        <v>2024</v>
      </c>
      <c r="G6" s="668" t="s">
        <v>280</v>
      </c>
      <c r="H6" s="669" t="s">
        <v>2025</v>
      </c>
      <c r="I6" s="668" t="s">
        <v>2026</v>
      </c>
      <c r="J6" s="668" t="s">
        <v>1425</v>
      </c>
      <c r="K6" s="670" t="s">
        <v>2060</v>
      </c>
      <c r="L6" s="667" t="s">
        <v>1427</v>
      </c>
      <c r="M6" s="667" t="s">
        <v>2061</v>
      </c>
      <c r="N6" s="667" t="s">
        <v>2028</v>
      </c>
      <c r="O6" s="667" t="s">
        <v>2029</v>
      </c>
      <c r="P6" s="667" t="s">
        <v>2030</v>
      </c>
      <c r="Q6" s="761" t="s">
        <v>2031</v>
      </c>
      <c r="R6" s="762" t="s">
        <v>2032</v>
      </c>
      <c r="S6" s="667" t="s">
        <v>2062</v>
      </c>
      <c r="T6" s="763" t="s">
        <v>2063</v>
      </c>
      <c r="U6" s="763" t="s">
        <v>2064</v>
      </c>
      <c r="V6" s="763" t="s">
        <v>2033</v>
      </c>
      <c r="W6" s="667" t="s">
        <v>2034</v>
      </c>
      <c r="X6" s="669" t="s">
        <v>2065</v>
      </c>
      <c r="Y6" s="764" t="s">
        <v>2036</v>
      </c>
      <c r="Z6" s="765" t="s">
        <v>1430</v>
      </c>
      <c r="AA6" s="764" t="s">
        <v>2037</v>
      </c>
      <c r="AB6" s="763" t="s">
        <v>2038</v>
      </c>
      <c r="AC6" s="763" t="s">
        <v>2039</v>
      </c>
      <c r="AD6" s="766" t="s">
        <v>2040</v>
      </c>
      <c r="AE6" s="673" t="s">
        <v>2009</v>
      </c>
      <c r="AF6" s="673" t="s">
        <v>214</v>
      </c>
      <c r="AG6" s="673" t="s">
        <v>2042</v>
      </c>
      <c r="AH6" s="135"/>
      <c r="AI6" s="135"/>
      <c r="AJ6" s="135"/>
    </row>
    <row r="7" ht="27.0" customHeight="1">
      <c r="A7" s="1"/>
      <c r="B7" s="767">
        <v>1.0</v>
      </c>
      <c r="C7" s="767" t="s">
        <v>277</v>
      </c>
      <c r="D7" s="767" t="s">
        <v>2043</v>
      </c>
      <c r="E7" s="292" t="str">
        <f t="shared" ref="E7:E24" si="2">if(isblank(F7),"",IFs(isblank(AB7),"On-going",AC7="Finish","Close",isblank(AD7),"Open",isblank(AD7)=false,"Close"))</f>
        <v>Close</v>
      </c>
      <c r="F7" s="768" t="s">
        <v>1348</v>
      </c>
      <c r="G7" s="767" t="s">
        <v>376</v>
      </c>
      <c r="H7" s="769" t="s">
        <v>1348</v>
      </c>
      <c r="I7" s="767" t="s">
        <v>1348</v>
      </c>
      <c r="J7" s="767" t="s">
        <v>1490</v>
      </c>
      <c r="K7" s="770" t="s">
        <v>2066</v>
      </c>
      <c r="L7" s="771" t="s">
        <v>2067</v>
      </c>
      <c r="M7" s="767" t="s">
        <v>1490</v>
      </c>
      <c r="N7" s="767" t="s">
        <v>2046</v>
      </c>
      <c r="O7" s="767" t="s">
        <v>2045</v>
      </c>
      <c r="P7" s="767" t="s">
        <v>2046</v>
      </c>
      <c r="Q7" s="772">
        <v>0.029</v>
      </c>
      <c r="R7" s="773">
        <v>42.97</v>
      </c>
      <c r="S7" s="774" t="s">
        <v>2068</v>
      </c>
      <c r="T7" s="774" t="s">
        <v>2069</v>
      </c>
      <c r="U7" s="774" t="s">
        <v>2070</v>
      </c>
      <c r="V7" s="775" t="s">
        <v>1445</v>
      </c>
      <c r="W7" s="771" t="s">
        <v>2071</v>
      </c>
      <c r="X7" s="776" t="s">
        <v>1493</v>
      </c>
      <c r="Y7" s="767" t="s">
        <v>2048</v>
      </c>
      <c r="Z7" s="767" t="s">
        <v>1492</v>
      </c>
      <c r="AA7" s="767" t="s">
        <v>2049</v>
      </c>
      <c r="AB7" s="710">
        <v>45762.0</v>
      </c>
      <c r="AC7" s="710">
        <v>45764.0</v>
      </c>
      <c r="AD7" s="710">
        <v>45768.0</v>
      </c>
      <c r="AE7" s="777"/>
      <c r="AF7" s="778"/>
      <c r="AG7" s="767">
        <v>2685.0</v>
      </c>
      <c r="AH7" s="1"/>
      <c r="AI7" s="1"/>
      <c r="AJ7" s="1"/>
    </row>
    <row r="8" ht="27.0" customHeight="1">
      <c r="A8" s="1"/>
      <c r="B8" s="369">
        <v>2.0</v>
      </c>
      <c r="C8" s="779" t="s">
        <v>277</v>
      </c>
      <c r="D8" s="297" t="s">
        <v>2043</v>
      </c>
      <c r="E8" s="292" t="str">
        <f t="shared" si="2"/>
        <v>Close</v>
      </c>
      <c r="F8" s="768" t="s">
        <v>1374</v>
      </c>
      <c r="G8" s="779" t="s">
        <v>377</v>
      </c>
      <c r="H8" s="780" t="s">
        <v>1374</v>
      </c>
      <c r="I8" s="781" t="s">
        <v>1374</v>
      </c>
      <c r="J8" s="292" t="s">
        <v>1501</v>
      </c>
      <c r="K8" s="782"/>
      <c r="L8" s="313" t="s">
        <v>2072</v>
      </c>
      <c r="M8" s="292" t="s">
        <v>1501</v>
      </c>
      <c r="N8" s="292" t="s">
        <v>2073</v>
      </c>
      <c r="O8" s="292" t="s">
        <v>2074</v>
      </c>
      <c r="P8" s="292" t="s">
        <v>2046</v>
      </c>
      <c r="Q8" s="783">
        <v>0.0254</v>
      </c>
      <c r="R8" s="784">
        <v>30.57</v>
      </c>
      <c r="S8" s="785"/>
      <c r="T8" s="785"/>
      <c r="U8" s="785"/>
      <c r="V8" s="313" t="s">
        <v>1445</v>
      </c>
      <c r="W8" s="692" t="s">
        <v>2075</v>
      </c>
      <c r="X8" s="786" t="s">
        <v>1504</v>
      </c>
      <c r="Y8" s="292" t="s">
        <v>2048</v>
      </c>
      <c r="Z8" s="692" t="s">
        <v>1503</v>
      </c>
      <c r="AA8" s="292" t="s">
        <v>2049</v>
      </c>
      <c r="AB8" s="787">
        <v>45762.0</v>
      </c>
      <c r="AC8" s="787">
        <v>45764.0</v>
      </c>
      <c r="AD8" s="787">
        <v>45768.0</v>
      </c>
      <c r="AE8" s="292" t="s">
        <v>1367</v>
      </c>
      <c r="AF8" s="691"/>
      <c r="AG8" s="292">
        <v>2677.0</v>
      </c>
      <c r="AH8" s="1"/>
      <c r="AI8" s="1"/>
      <c r="AJ8" s="1"/>
    </row>
    <row r="9" ht="27.0" customHeight="1">
      <c r="A9" s="1"/>
      <c r="B9" s="767">
        <v>3.0</v>
      </c>
      <c r="C9" s="779" t="s">
        <v>277</v>
      </c>
      <c r="D9" s="297" t="s">
        <v>2043</v>
      </c>
      <c r="E9" s="292" t="str">
        <f t="shared" si="2"/>
        <v>Close</v>
      </c>
      <c r="F9" s="768" t="s">
        <v>2076</v>
      </c>
      <c r="G9" s="779" t="s">
        <v>377</v>
      </c>
      <c r="H9" s="780" t="s">
        <v>2076</v>
      </c>
      <c r="I9" s="781" t="s">
        <v>2076</v>
      </c>
      <c r="J9" s="292" t="s">
        <v>1501</v>
      </c>
      <c r="K9" s="782"/>
      <c r="L9" s="313" t="s">
        <v>2072</v>
      </c>
      <c r="M9" s="292" t="s">
        <v>1501</v>
      </c>
      <c r="N9" s="292" t="s">
        <v>2073</v>
      </c>
      <c r="O9" s="292" t="s">
        <v>2074</v>
      </c>
      <c r="P9" s="292" t="s">
        <v>2046</v>
      </c>
      <c r="Q9" s="783">
        <v>0.0254</v>
      </c>
      <c r="R9" s="784">
        <v>27.44</v>
      </c>
      <c r="S9" s="785"/>
      <c r="T9" s="785"/>
      <c r="U9" s="785"/>
      <c r="V9" s="313" t="s">
        <v>1445</v>
      </c>
      <c r="W9" s="692" t="s">
        <v>2077</v>
      </c>
      <c r="X9" s="786" t="s">
        <v>1504</v>
      </c>
      <c r="Y9" s="292" t="s">
        <v>2048</v>
      </c>
      <c r="Z9" s="692" t="s">
        <v>1503</v>
      </c>
      <c r="AA9" s="292" t="s">
        <v>2049</v>
      </c>
      <c r="AB9" s="787">
        <v>45762.0</v>
      </c>
      <c r="AC9" s="787">
        <v>45764.0</v>
      </c>
      <c r="AD9" s="787">
        <v>45768.0</v>
      </c>
      <c r="AE9" s="292" t="s">
        <v>1594</v>
      </c>
      <c r="AF9" s="691"/>
      <c r="AG9" s="292">
        <v>2673.0</v>
      </c>
      <c r="AH9" s="1"/>
      <c r="AI9" s="1"/>
      <c r="AJ9" s="1"/>
    </row>
    <row r="10" ht="27.0" customHeight="1">
      <c r="A10" s="1"/>
      <c r="B10" s="369">
        <v>4.0</v>
      </c>
      <c r="C10" s="779" t="s">
        <v>277</v>
      </c>
      <c r="D10" s="297" t="s">
        <v>2043</v>
      </c>
      <c r="E10" s="292" t="str">
        <f t="shared" si="2"/>
        <v>Close</v>
      </c>
      <c r="F10" s="768" t="s">
        <v>2078</v>
      </c>
      <c r="G10" s="779" t="s">
        <v>377</v>
      </c>
      <c r="H10" s="780" t="s">
        <v>2078</v>
      </c>
      <c r="I10" s="781" t="s">
        <v>2078</v>
      </c>
      <c r="J10" s="292" t="s">
        <v>1501</v>
      </c>
      <c r="K10" s="782"/>
      <c r="L10" s="313" t="s">
        <v>2072</v>
      </c>
      <c r="M10" s="292" t="s">
        <v>1501</v>
      </c>
      <c r="N10" s="292" t="s">
        <v>2073</v>
      </c>
      <c r="O10" s="292" t="s">
        <v>2074</v>
      </c>
      <c r="P10" s="292" t="s">
        <v>2046</v>
      </c>
      <c r="Q10" s="783">
        <v>0.0254</v>
      </c>
      <c r="R10" s="784">
        <v>31.22</v>
      </c>
      <c r="S10" s="785"/>
      <c r="T10" s="785"/>
      <c r="U10" s="785"/>
      <c r="V10" s="313" t="s">
        <v>1445</v>
      </c>
      <c r="W10" s="692" t="s">
        <v>2079</v>
      </c>
      <c r="X10" s="786" t="s">
        <v>1504</v>
      </c>
      <c r="Y10" s="292" t="s">
        <v>2048</v>
      </c>
      <c r="Z10" s="692" t="s">
        <v>1503</v>
      </c>
      <c r="AA10" s="292" t="s">
        <v>2049</v>
      </c>
      <c r="AB10" s="787">
        <v>45762.0</v>
      </c>
      <c r="AC10" s="787">
        <v>45764.0</v>
      </c>
      <c r="AD10" s="787">
        <v>45768.0</v>
      </c>
      <c r="AE10" s="292" t="s">
        <v>1604</v>
      </c>
      <c r="AF10" s="691"/>
      <c r="AG10" s="292">
        <v>2670.0</v>
      </c>
      <c r="AH10" s="1"/>
      <c r="AI10" s="1"/>
      <c r="AJ10" s="1"/>
    </row>
    <row r="11" ht="27.0" customHeight="1">
      <c r="A11" s="1"/>
      <c r="B11" s="767">
        <v>5.0</v>
      </c>
      <c r="C11" s="779" t="s">
        <v>277</v>
      </c>
      <c r="D11" s="297" t="s">
        <v>2043</v>
      </c>
      <c r="E11" s="292" t="str">
        <f t="shared" si="2"/>
        <v>Close</v>
      </c>
      <c r="F11" s="768" t="s">
        <v>1349</v>
      </c>
      <c r="G11" s="779" t="s">
        <v>377</v>
      </c>
      <c r="H11" s="780" t="s">
        <v>1349</v>
      </c>
      <c r="I11" s="781" t="s">
        <v>1349</v>
      </c>
      <c r="J11" s="292" t="s">
        <v>1501</v>
      </c>
      <c r="K11" s="782"/>
      <c r="L11" s="313" t="s">
        <v>2072</v>
      </c>
      <c r="M11" s="292" t="s">
        <v>1501</v>
      </c>
      <c r="N11" s="292" t="s">
        <v>2073</v>
      </c>
      <c r="O11" s="292" t="s">
        <v>2074</v>
      </c>
      <c r="P11" s="292" t="s">
        <v>2046</v>
      </c>
      <c r="Q11" s="783">
        <v>0.0254</v>
      </c>
      <c r="R11" s="784">
        <v>27.21</v>
      </c>
      <c r="S11" s="785"/>
      <c r="T11" s="785"/>
      <c r="U11" s="785"/>
      <c r="V11" s="313" t="s">
        <v>1445</v>
      </c>
      <c r="W11" s="692" t="s">
        <v>2080</v>
      </c>
      <c r="X11" s="786" t="s">
        <v>1504</v>
      </c>
      <c r="Y11" s="292" t="s">
        <v>2048</v>
      </c>
      <c r="Z11" s="692" t="s">
        <v>1503</v>
      </c>
      <c r="AA11" s="292" t="s">
        <v>2049</v>
      </c>
      <c r="AB11" s="787">
        <v>45762.0</v>
      </c>
      <c r="AC11" s="787">
        <v>45764.0</v>
      </c>
      <c r="AD11" s="787">
        <v>45768.0</v>
      </c>
      <c r="AE11" s="292" t="s">
        <v>1339</v>
      </c>
      <c r="AF11" s="691"/>
      <c r="AG11" s="292">
        <v>2668.0</v>
      </c>
      <c r="AH11" s="1"/>
      <c r="AI11" s="1"/>
      <c r="AJ11" s="1"/>
    </row>
    <row r="12" ht="27.0" customHeight="1">
      <c r="A12" s="1"/>
      <c r="B12" s="369">
        <v>6.0</v>
      </c>
      <c r="C12" s="779" t="s">
        <v>277</v>
      </c>
      <c r="D12" s="292" t="s">
        <v>278</v>
      </c>
      <c r="E12" s="292" t="str">
        <f t="shared" si="2"/>
        <v>Close</v>
      </c>
      <c r="F12" s="768" t="s">
        <v>2081</v>
      </c>
      <c r="G12" s="292" t="s">
        <v>2082</v>
      </c>
      <c r="H12" s="788" t="s">
        <v>2081</v>
      </c>
      <c r="I12" s="781" t="s">
        <v>1374</v>
      </c>
      <c r="J12" s="292" t="s">
        <v>1501</v>
      </c>
      <c r="K12" s="782"/>
      <c r="L12" s="305" t="s">
        <v>2072</v>
      </c>
      <c r="M12" s="292" t="s">
        <v>1501</v>
      </c>
      <c r="N12" s="292" t="s">
        <v>2073</v>
      </c>
      <c r="O12" s="292" t="s">
        <v>2074</v>
      </c>
      <c r="P12" s="292" t="s">
        <v>2046</v>
      </c>
      <c r="Q12" s="783">
        <v>0.0254</v>
      </c>
      <c r="R12" s="789">
        <f t="array" ref="R12">if(isblank(F12),"",xlookup(H12,'Ike 提供_20250505'!D:D,'Ike 提供_20250505'!N:N,"",0,1))</f>
        <v>22.27</v>
      </c>
      <c r="S12" s="785"/>
      <c r="T12" s="790"/>
      <c r="U12" s="790"/>
      <c r="V12" s="313" t="s">
        <v>1445</v>
      </c>
      <c r="W12" s="692" t="s">
        <v>2083</v>
      </c>
      <c r="X12" s="786" t="s">
        <v>1504</v>
      </c>
      <c r="Y12" s="292" t="s">
        <v>2048</v>
      </c>
      <c r="Z12" s="692" t="s">
        <v>1503</v>
      </c>
      <c r="AA12" s="292" t="s">
        <v>2049</v>
      </c>
      <c r="AB12" s="787">
        <v>45790.0</v>
      </c>
      <c r="AC12" s="791">
        <f t="shared" ref="AC12:AC19" si="3">if(isblank(AB12),"",_xlfn.WORKDAY.INTL(AB12,3,11))</f>
        <v>45793</v>
      </c>
      <c r="AD12" s="787">
        <v>45792.0</v>
      </c>
      <c r="AE12" s="292" t="s">
        <v>1367</v>
      </c>
      <c r="AF12" s="691"/>
      <c r="AG12" s="310">
        <v>3048.0</v>
      </c>
      <c r="AH12" s="1"/>
      <c r="AI12" s="1"/>
      <c r="AJ12" s="1"/>
    </row>
    <row r="13">
      <c r="A13" s="134"/>
      <c r="B13" s="369">
        <v>7.0</v>
      </c>
      <c r="C13" s="779" t="s">
        <v>277</v>
      </c>
      <c r="D13" s="292" t="s">
        <v>278</v>
      </c>
      <c r="E13" s="292" t="str">
        <f t="shared" si="2"/>
        <v>Close</v>
      </c>
      <c r="F13" s="768" t="s">
        <v>2084</v>
      </c>
      <c r="G13" s="292" t="s">
        <v>2082</v>
      </c>
      <c r="H13" s="788" t="s">
        <v>2084</v>
      </c>
      <c r="I13" s="792" t="s">
        <v>2076</v>
      </c>
      <c r="J13" s="292" t="s">
        <v>1501</v>
      </c>
      <c r="K13" s="793"/>
      <c r="L13" s="305" t="s">
        <v>2072</v>
      </c>
      <c r="M13" s="292" t="s">
        <v>1501</v>
      </c>
      <c r="N13" s="292" t="s">
        <v>2073</v>
      </c>
      <c r="O13" s="292" t="s">
        <v>2074</v>
      </c>
      <c r="P13" s="292" t="s">
        <v>2046</v>
      </c>
      <c r="Q13" s="783">
        <v>0.0254</v>
      </c>
      <c r="R13" s="789">
        <f t="array" ref="R13">if(isblank(F13),"",xlookup(H13,'Ike 提供_20250505'!D:D,'Ike 提供_20250505'!N:N,"",0,1))</f>
        <v>22.57</v>
      </c>
      <c r="S13" s="794"/>
      <c r="T13" s="795"/>
      <c r="U13" s="795"/>
      <c r="V13" s="313" t="s">
        <v>1445</v>
      </c>
      <c r="W13" s="796" t="s">
        <v>2085</v>
      </c>
      <c r="X13" s="786" t="s">
        <v>1504</v>
      </c>
      <c r="Y13" s="292" t="s">
        <v>2048</v>
      </c>
      <c r="Z13" s="692" t="s">
        <v>1503</v>
      </c>
      <c r="AA13" s="292" t="s">
        <v>2049</v>
      </c>
      <c r="AB13" s="787">
        <v>45790.0</v>
      </c>
      <c r="AC13" s="791">
        <f t="shared" si="3"/>
        <v>45793</v>
      </c>
      <c r="AD13" s="787">
        <v>45792.0</v>
      </c>
      <c r="AE13" s="292" t="s">
        <v>1594</v>
      </c>
      <c r="AF13" s="797"/>
      <c r="AG13" s="798">
        <v>3047.0</v>
      </c>
      <c r="AH13" s="1"/>
      <c r="AI13" s="134"/>
      <c r="AJ13" s="134"/>
    </row>
    <row r="14">
      <c r="A14" s="134"/>
      <c r="B14" s="369">
        <v>8.0</v>
      </c>
      <c r="C14" s="779" t="s">
        <v>277</v>
      </c>
      <c r="D14" s="292" t="s">
        <v>278</v>
      </c>
      <c r="E14" s="292" t="str">
        <f t="shared" si="2"/>
        <v>Close</v>
      </c>
      <c r="F14" s="768" t="s">
        <v>2086</v>
      </c>
      <c r="G14" s="292" t="s">
        <v>2082</v>
      </c>
      <c r="H14" s="788" t="s">
        <v>2086</v>
      </c>
      <c r="I14" s="792" t="s">
        <v>2078</v>
      </c>
      <c r="J14" s="292" t="s">
        <v>1501</v>
      </c>
      <c r="K14" s="793"/>
      <c r="L14" s="305" t="s">
        <v>2072</v>
      </c>
      <c r="M14" s="292" t="s">
        <v>1501</v>
      </c>
      <c r="N14" s="292" t="s">
        <v>2073</v>
      </c>
      <c r="O14" s="292" t="s">
        <v>2074</v>
      </c>
      <c r="P14" s="292" t="s">
        <v>2046</v>
      </c>
      <c r="Q14" s="783">
        <v>0.0254</v>
      </c>
      <c r="R14" s="789">
        <f t="array" ref="R14">if(isblank(F14),"",xlookup(H14,'Ike 提供_20250505'!D:D,'Ike 提供_20250505'!N:N,"",0,1))</f>
        <v>22.67</v>
      </c>
      <c r="S14" s="794"/>
      <c r="T14" s="795"/>
      <c r="U14" s="795"/>
      <c r="V14" s="313" t="s">
        <v>1445</v>
      </c>
      <c r="W14" s="796" t="s">
        <v>2087</v>
      </c>
      <c r="X14" s="786" t="s">
        <v>1504</v>
      </c>
      <c r="Y14" s="292" t="s">
        <v>2048</v>
      </c>
      <c r="Z14" s="692" t="s">
        <v>1503</v>
      </c>
      <c r="AA14" s="292" t="s">
        <v>2049</v>
      </c>
      <c r="AB14" s="787">
        <v>45790.0</v>
      </c>
      <c r="AC14" s="791">
        <f t="shared" si="3"/>
        <v>45793</v>
      </c>
      <c r="AD14" s="787">
        <v>45792.0</v>
      </c>
      <c r="AE14" s="292" t="s">
        <v>1604</v>
      </c>
      <c r="AF14" s="797"/>
      <c r="AG14" s="798">
        <v>3046.0</v>
      </c>
      <c r="AH14" s="1"/>
      <c r="AI14" s="134"/>
      <c r="AJ14" s="134"/>
    </row>
    <row r="15">
      <c r="A15" s="134"/>
      <c r="B15" s="369">
        <v>9.0</v>
      </c>
      <c r="C15" s="779" t="s">
        <v>277</v>
      </c>
      <c r="D15" s="292" t="s">
        <v>278</v>
      </c>
      <c r="E15" s="292" t="str">
        <f t="shared" si="2"/>
        <v>Close</v>
      </c>
      <c r="F15" s="768" t="s">
        <v>2088</v>
      </c>
      <c r="G15" s="292" t="s">
        <v>2082</v>
      </c>
      <c r="H15" s="788" t="s">
        <v>2088</v>
      </c>
      <c r="I15" s="792" t="s">
        <v>1349</v>
      </c>
      <c r="J15" s="292" t="s">
        <v>1501</v>
      </c>
      <c r="K15" s="793"/>
      <c r="L15" s="305" t="s">
        <v>2072</v>
      </c>
      <c r="M15" s="292" t="s">
        <v>1501</v>
      </c>
      <c r="N15" s="292" t="s">
        <v>2073</v>
      </c>
      <c r="O15" s="292" t="s">
        <v>2074</v>
      </c>
      <c r="P15" s="292" t="s">
        <v>2046</v>
      </c>
      <c r="Q15" s="783">
        <v>0.0254</v>
      </c>
      <c r="R15" s="789">
        <f t="array" ref="R15">if(isblank(F15),"",xlookup(H15,'Ike 提供_20250505'!D:D,'Ike 提供_20250505'!N:N,"",0,1))</f>
        <v>22.67</v>
      </c>
      <c r="S15" s="794"/>
      <c r="T15" s="795"/>
      <c r="U15" s="795"/>
      <c r="V15" s="313" t="s">
        <v>1445</v>
      </c>
      <c r="W15" s="796" t="s">
        <v>2089</v>
      </c>
      <c r="X15" s="786" t="s">
        <v>1504</v>
      </c>
      <c r="Y15" s="292" t="s">
        <v>2048</v>
      </c>
      <c r="Z15" s="692" t="s">
        <v>1503</v>
      </c>
      <c r="AA15" s="292" t="s">
        <v>2049</v>
      </c>
      <c r="AB15" s="787">
        <v>45790.0</v>
      </c>
      <c r="AC15" s="791">
        <f t="shared" si="3"/>
        <v>45793</v>
      </c>
      <c r="AD15" s="787">
        <v>45792.0</v>
      </c>
      <c r="AE15" s="292" t="s">
        <v>1339</v>
      </c>
      <c r="AF15" s="797"/>
      <c r="AG15" s="798">
        <v>3045.0</v>
      </c>
      <c r="AH15" s="1"/>
      <c r="AI15" s="134"/>
      <c r="AJ15" s="134"/>
    </row>
    <row r="16">
      <c r="A16" s="134"/>
      <c r="B16" s="369">
        <v>10.0</v>
      </c>
      <c r="C16" s="779" t="s">
        <v>277</v>
      </c>
      <c r="D16" s="292" t="s">
        <v>278</v>
      </c>
      <c r="E16" s="292" t="str">
        <f t="shared" si="2"/>
        <v>Close</v>
      </c>
      <c r="F16" s="799" t="s">
        <v>2090</v>
      </c>
      <c r="G16" s="800" t="s">
        <v>2091</v>
      </c>
      <c r="H16" s="788" t="s">
        <v>2090</v>
      </c>
      <c r="I16" s="792" t="s">
        <v>1374</v>
      </c>
      <c r="J16" s="292" t="s">
        <v>1501</v>
      </c>
      <c r="K16" s="793"/>
      <c r="L16" s="801" t="s">
        <v>2092</v>
      </c>
      <c r="M16" s="292" t="s">
        <v>1501</v>
      </c>
      <c r="N16" s="292" t="s">
        <v>2073</v>
      </c>
      <c r="O16" s="292" t="s">
        <v>2074</v>
      </c>
      <c r="P16" s="292" t="s">
        <v>2046</v>
      </c>
      <c r="Q16" s="802">
        <v>0.01435</v>
      </c>
      <c r="R16" s="789">
        <f t="array" ref="R16">if(isblank(F16),"",xlookup(H16,'Ike 提供_20250505'!D:D,'Ike 提供_20250505'!N:N,"",0,1))</f>
        <v>4.55</v>
      </c>
      <c r="S16" s="794"/>
      <c r="T16" s="795"/>
      <c r="U16" s="795"/>
      <c r="V16" s="803" t="s">
        <v>1445</v>
      </c>
      <c r="W16" s="796" t="s">
        <v>2093</v>
      </c>
      <c r="X16" s="786" t="s">
        <v>1504</v>
      </c>
      <c r="Y16" s="292" t="s">
        <v>2048</v>
      </c>
      <c r="Z16" s="692" t="s">
        <v>1503</v>
      </c>
      <c r="AA16" s="292" t="s">
        <v>2049</v>
      </c>
      <c r="AB16" s="787">
        <v>45790.0</v>
      </c>
      <c r="AC16" s="791">
        <f t="shared" si="3"/>
        <v>45793</v>
      </c>
      <c r="AD16" s="787">
        <v>45792.0</v>
      </c>
      <c r="AE16" s="292" t="s">
        <v>1367</v>
      </c>
      <c r="AF16" s="797"/>
      <c r="AG16" s="798">
        <v>3044.0</v>
      </c>
      <c r="AH16" s="1"/>
      <c r="AI16" s="134"/>
      <c r="AJ16" s="134"/>
    </row>
    <row r="17">
      <c r="A17" s="134"/>
      <c r="B17" s="369">
        <v>11.0</v>
      </c>
      <c r="C17" s="779" t="s">
        <v>277</v>
      </c>
      <c r="D17" s="292" t="s">
        <v>278</v>
      </c>
      <c r="E17" s="292" t="str">
        <f t="shared" si="2"/>
        <v>Close</v>
      </c>
      <c r="F17" s="799" t="s">
        <v>2094</v>
      </c>
      <c r="G17" s="800" t="s">
        <v>2091</v>
      </c>
      <c r="H17" s="788" t="s">
        <v>2094</v>
      </c>
      <c r="I17" s="792" t="s">
        <v>2076</v>
      </c>
      <c r="J17" s="292" t="s">
        <v>1501</v>
      </c>
      <c r="K17" s="793"/>
      <c r="L17" s="801" t="s">
        <v>2092</v>
      </c>
      <c r="M17" s="292" t="s">
        <v>1501</v>
      </c>
      <c r="N17" s="292" t="s">
        <v>2073</v>
      </c>
      <c r="O17" s="292" t="s">
        <v>2074</v>
      </c>
      <c r="P17" s="292" t="s">
        <v>2046</v>
      </c>
      <c r="Q17" s="802">
        <v>0.01435</v>
      </c>
      <c r="R17" s="789">
        <f t="array" ref="R17">if(isblank(F17),"",xlookup(H17,'Ike 提供_20250505'!D:D,'Ike 提供_20250505'!N:N,"",0,1))</f>
        <v>4.85</v>
      </c>
      <c r="S17" s="794"/>
      <c r="T17" s="795"/>
      <c r="U17" s="795"/>
      <c r="V17" s="803" t="s">
        <v>1445</v>
      </c>
      <c r="W17" s="796" t="s">
        <v>2095</v>
      </c>
      <c r="X17" s="786" t="s">
        <v>1504</v>
      </c>
      <c r="Y17" s="292" t="s">
        <v>2048</v>
      </c>
      <c r="Z17" s="692" t="s">
        <v>1503</v>
      </c>
      <c r="AA17" s="292" t="s">
        <v>2049</v>
      </c>
      <c r="AB17" s="787">
        <v>45790.0</v>
      </c>
      <c r="AC17" s="791">
        <f t="shared" si="3"/>
        <v>45793</v>
      </c>
      <c r="AD17" s="787">
        <v>45792.0</v>
      </c>
      <c r="AE17" s="292" t="s">
        <v>1594</v>
      </c>
      <c r="AF17" s="797"/>
      <c r="AG17" s="798">
        <v>3043.0</v>
      </c>
      <c r="AH17" s="1"/>
      <c r="AI17" s="134"/>
      <c r="AJ17" s="134"/>
    </row>
    <row r="18">
      <c r="A18" s="134"/>
      <c r="B18" s="369">
        <v>12.0</v>
      </c>
      <c r="C18" s="779" t="s">
        <v>277</v>
      </c>
      <c r="D18" s="292" t="s">
        <v>278</v>
      </c>
      <c r="E18" s="292" t="str">
        <f t="shared" si="2"/>
        <v>Close</v>
      </c>
      <c r="F18" s="799" t="s">
        <v>2096</v>
      </c>
      <c r="G18" s="800" t="s">
        <v>2091</v>
      </c>
      <c r="H18" s="788" t="s">
        <v>2096</v>
      </c>
      <c r="I18" s="792" t="s">
        <v>2078</v>
      </c>
      <c r="J18" s="292" t="s">
        <v>1501</v>
      </c>
      <c r="K18" s="793"/>
      <c r="L18" s="801" t="s">
        <v>2092</v>
      </c>
      <c r="M18" s="292" t="s">
        <v>1501</v>
      </c>
      <c r="N18" s="292" t="s">
        <v>2073</v>
      </c>
      <c r="O18" s="292" t="s">
        <v>2074</v>
      </c>
      <c r="P18" s="292" t="s">
        <v>2046</v>
      </c>
      <c r="Q18" s="802">
        <v>0.01435</v>
      </c>
      <c r="R18" s="789">
        <f t="array" ref="R18">if(isblank(F18),"",xlookup(H18,'Ike 提供_20250505'!D:D,'Ike 提供_20250505'!N:N,"",0,1))</f>
        <v>4.95</v>
      </c>
      <c r="S18" s="794"/>
      <c r="T18" s="795"/>
      <c r="U18" s="795"/>
      <c r="V18" s="803" t="s">
        <v>1445</v>
      </c>
      <c r="W18" s="796" t="s">
        <v>2097</v>
      </c>
      <c r="X18" s="786" t="s">
        <v>1504</v>
      </c>
      <c r="Y18" s="292" t="s">
        <v>2048</v>
      </c>
      <c r="Z18" s="692" t="s">
        <v>1503</v>
      </c>
      <c r="AA18" s="292" t="s">
        <v>2049</v>
      </c>
      <c r="AB18" s="787">
        <v>45790.0</v>
      </c>
      <c r="AC18" s="791">
        <f t="shared" si="3"/>
        <v>45793</v>
      </c>
      <c r="AD18" s="787">
        <v>45792.0</v>
      </c>
      <c r="AE18" s="292" t="s">
        <v>1604</v>
      </c>
      <c r="AF18" s="797"/>
      <c r="AG18" s="798">
        <v>3042.0</v>
      </c>
      <c r="AH18" s="1"/>
      <c r="AI18" s="134"/>
      <c r="AJ18" s="134"/>
    </row>
    <row r="19">
      <c r="A19" s="134"/>
      <c r="B19" s="369">
        <v>13.0</v>
      </c>
      <c r="C19" s="779" t="s">
        <v>277</v>
      </c>
      <c r="D19" s="292" t="s">
        <v>278</v>
      </c>
      <c r="E19" s="292" t="str">
        <f t="shared" si="2"/>
        <v>Close</v>
      </c>
      <c r="F19" s="799" t="s">
        <v>2098</v>
      </c>
      <c r="G19" s="800" t="s">
        <v>2091</v>
      </c>
      <c r="H19" s="788" t="s">
        <v>2098</v>
      </c>
      <c r="I19" s="792" t="s">
        <v>1349</v>
      </c>
      <c r="J19" s="292" t="s">
        <v>1501</v>
      </c>
      <c r="K19" s="793"/>
      <c r="L19" s="801" t="s">
        <v>2092</v>
      </c>
      <c r="M19" s="292" t="s">
        <v>1501</v>
      </c>
      <c r="N19" s="292" t="s">
        <v>2073</v>
      </c>
      <c r="O19" s="292" t="s">
        <v>2074</v>
      </c>
      <c r="P19" s="292" t="s">
        <v>2046</v>
      </c>
      <c r="Q19" s="802">
        <v>0.01435</v>
      </c>
      <c r="R19" s="789">
        <f t="array" ref="R19">if(isblank(F19),"",xlookup(H19,'Ike 提供_20250505'!D:D,'Ike 提供_20250505'!N:N,"",0,1))</f>
        <v>4.95</v>
      </c>
      <c r="S19" s="794"/>
      <c r="T19" s="795"/>
      <c r="U19" s="795"/>
      <c r="V19" s="803" t="s">
        <v>1445</v>
      </c>
      <c r="W19" s="796" t="s">
        <v>2099</v>
      </c>
      <c r="X19" s="786" t="s">
        <v>1504</v>
      </c>
      <c r="Y19" s="292" t="s">
        <v>2048</v>
      </c>
      <c r="Z19" s="692" t="s">
        <v>1503</v>
      </c>
      <c r="AA19" s="292" t="s">
        <v>2049</v>
      </c>
      <c r="AB19" s="787">
        <v>45790.0</v>
      </c>
      <c r="AC19" s="791">
        <f t="shared" si="3"/>
        <v>45793</v>
      </c>
      <c r="AD19" s="787">
        <v>45792.0</v>
      </c>
      <c r="AE19" s="292" t="s">
        <v>1339</v>
      </c>
      <c r="AF19" s="797"/>
      <c r="AG19" s="798">
        <v>3041.0</v>
      </c>
      <c r="AH19" s="1"/>
      <c r="AI19" s="134"/>
      <c r="AJ19" s="134"/>
    </row>
    <row r="20">
      <c r="A20" s="134"/>
      <c r="B20" s="369">
        <v>14.0</v>
      </c>
      <c r="C20" s="779" t="s">
        <v>277</v>
      </c>
      <c r="D20" s="292" t="s">
        <v>278</v>
      </c>
      <c r="E20" s="292" t="str">
        <f t="shared" si="2"/>
        <v>Close</v>
      </c>
      <c r="F20" s="799" t="s">
        <v>2100</v>
      </c>
      <c r="G20" s="800" t="s">
        <v>2101</v>
      </c>
      <c r="H20" s="788" t="s">
        <v>2100</v>
      </c>
      <c r="I20" s="792" t="s">
        <v>1348</v>
      </c>
      <c r="J20" s="796" t="s">
        <v>1490</v>
      </c>
      <c r="K20" s="804" t="s">
        <v>2066</v>
      </c>
      <c r="L20" s="801" t="s">
        <v>2067</v>
      </c>
      <c r="M20" s="796" t="s">
        <v>1490</v>
      </c>
      <c r="N20" s="805" t="s">
        <v>2046</v>
      </c>
      <c r="O20" s="800" t="s">
        <v>2045</v>
      </c>
      <c r="P20" s="805" t="s">
        <v>2046</v>
      </c>
      <c r="Q20" s="806">
        <v>0.029</v>
      </c>
      <c r="R20" s="789">
        <f t="array" ref="R20">if(isblank(F20),"",xlookup(H20,'Ike 提供_20250505'!D:D,'Ike 提供_20250505'!N:N,"",0,1))</f>
        <v>19.84</v>
      </c>
      <c r="S20" s="801" t="s">
        <v>2068</v>
      </c>
      <c r="T20" s="805" t="s">
        <v>2069</v>
      </c>
      <c r="U20" s="805" t="s">
        <v>2070</v>
      </c>
      <c r="V20" s="803" t="s">
        <v>1445</v>
      </c>
      <c r="W20" s="796" t="s">
        <v>2071</v>
      </c>
      <c r="X20" s="802" t="s">
        <v>1493</v>
      </c>
      <c r="Y20" s="800" t="s">
        <v>2048</v>
      </c>
      <c r="Z20" s="796" t="s">
        <v>1492</v>
      </c>
      <c r="AA20" s="807" t="s">
        <v>2049</v>
      </c>
      <c r="AB20" s="808">
        <v>45818.0</v>
      </c>
      <c r="AC20" s="791">
        <f t="shared" ref="AC20:AC24" si="4">if(isblank(AB20),"",_xlfn.WORKDAY.INTL(AB20,5,11))</f>
        <v>45824</v>
      </c>
      <c r="AD20" s="808">
        <v>45820.0</v>
      </c>
      <c r="AE20" s="797"/>
      <c r="AF20" s="796" t="s">
        <v>2102</v>
      </c>
      <c r="AG20" s="800">
        <v>3549.0</v>
      </c>
      <c r="AH20" s="1"/>
      <c r="AI20" s="134"/>
      <c r="AJ20" s="134"/>
    </row>
    <row r="21">
      <c r="A21" s="134"/>
      <c r="B21" s="369">
        <v>15.0</v>
      </c>
      <c r="C21" s="779" t="s">
        <v>277</v>
      </c>
      <c r="D21" s="292" t="s">
        <v>278</v>
      </c>
      <c r="E21" s="292" t="str">
        <f t="shared" si="2"/>
        <v>Close</v>
      </c>
      <c r="F21" s="799" t="s">
        <v>2103</v>
      </c>
      <c r="G21" s="800" t="s">
        <v>2104</v>
      </c>
      <c r="H21" s="788" t="s">
        <v>2103</v>
      </c>
      <c r="I21" s="792" t="s">
        <v>1374</v>
      </c>
      <c r="J21" s="796" t="s">
        <v>1501</v>
      </c>
      <c r="K21" s="793"/>
      <c r="L21" s="305" t="s">
        <v>2072</v>
      </c>
      <c r="M21" s="292" t="s">
        <v>1501</v>
      </c>
      <c r="N21" s="292" t="s">
        <v>2073</v>
      </c>
      <c r="O21" s="292" t="s">
        <v>2074</v>
      </c>
      <c r="P21" s="292" t="s">
        <v>2046</v>
      </c>
      <c r="Q21" s="783">
        <v>0.0254</v>
      </c>
      <c r="R21" s="789">
        <f t="array" ref="R21">if(isblank(F21),"",xlookup(H21,'Ike 提供_20250505'!D:D,'Ike 提供_20250505'!N:N,"",0,1))</f>
        <v>23.42</v>
      </c>
      <c r="S21" s="794"/>
      <c r="T21" s="795"/>
      <c r="U21" s="795"/>
      <c r="V21" s="313" t="s">
        <v>1445</v>
      </c>
      <c r="W21" s="796" t="s">
        <v>2075</v>
      </c>
      <c r="X21" s="802" t="s">
        <v>1504</v>
      </c>
      <c r="Y21" s="800" t="s">
        <v>2048</v>
      </c>
      <c r="Z21" s="796" t="s">
        <v>1503</v>
      </c>
      <c r="AA21" s="800" t="s">
        <v>2049</v>
      </c>
      <c r="AB21" s="808">
        <v>45818.0</v>
      </c>
      <c r="AC21" s="791">
        <f t="shared" si="4"/>
        <v>45824</v>
      </c>
      <c r="AD21" s="808">
        <v>45820.0</v>
      </c>
      <c r="AE21" s="796" t="s">
        <v>1367</v>
      </c>
      <c r="AF21" s="796" t="s">
        <v>2105</v>
      </c>
      <c r="AG21" s="800">
        <v>3548.0</v>
      </c>
      <c r="AH21" s="1"/>
      <c r="AI21" s="134"/>
      <c r="AJ21" s="134"/>
    </row>
    <row r="22">
      <c r="A22" s="134"/>
      <c r="B22" s="369">
        <v>16.0</v>
      </c>
      <c r="C22" s="779" t="s">
        <v>277</v>
      </c>
      <c r="D22" s="292" t="s">
        <v>278</v>
      </c>
      <c r="E22" s="292" t="str">
        <f t="shared" si="2"/>
        <v>Close</v>
      </c>
      <c r="F22" s="799" t="s">
        <v>2106</v>
      </c>
      <c r="G22" s="800" t="s">
        <v>2104</v>
      </c>
      <c r="H22" s="788" t="s">
        <v>2106</v>
      </c>
      <c r="I22" s="792" t="s">
        <v>2076</v>
      </c>
      <c r="J22" s="796" t="s">
        <v>1501</v>
      </c>
      <c r="K22" s="793"/>
      <c r="L22" s="305" t="s">
        <v>2072</v>
      </c>
      <c r="M22" s="292" t="s">
        <v>1501</v>
      </c>
      <c r="N22" s="292" t="s">
        <v>2073</v>
      </c>
      <c r="O22" s="292" t="s">
        <v>2074</v>
      </c>
      <c r="P22" s="292" t="s">
        <v>2046</v>
      </c>
      <c r="Q22" s="783">
        <v>0.0254</v>
      </c>
      <c r="R22" s="789">
        <f t="array" ref="R22">if(isblank(F22),"",xlookup(H22,'Ike 提供_20250505'!D:D,'Ike 提供_20250505'!N:N,"",0,1))</f>
        <v>23.88</v>
      </c>
      <c r="S22" s="794"/>
      <c r="T22" s="795"/>
      <c r="U22" s="795"/>
      <c r="V22" s="313" t="s">
        <v>1445</v>
      </c>
      <c r="W22" s="796" t="s">
        <v>2077</v>
      </c>
      <c r="X22" s="802" t="s">
        <v>1504</v>
      </c>
      <c r="Y22" s="800" t="s">
        <v>2048</v>
      </c>
      <c r="Z22" s="796" t="s">
        <v>1503</v>
      </c>
      <c r="AA22" s="800" t="s">
        <v>2049</v>
      </c>
      <c r="AB22" s="808">
        <v>45818.0</v>
      </c>
      <c r="AC22" s="791">
        <f t="shared" si="4"/>
        <v>45824</v>
      </c>
      <c r="AD22" s="808">
        <v>45820.0</v>
      </c>
      <c r="AE22" s="796" t="s">
        <v>1594</v>
      </c>
      <c r="AF22" s="796" t="s">
        <v>2105</v>
      </c>
      <c r="AG22" s="800">
        <v>3547.0</v>
      </c>
      <c r="AH22" s="1"/>
      <c r="AI22" s="134"/>
      <c r="AJ22" s="134"/>
    </row>
    <row r="23">
      <c r="A23" s="134"/>
      <c r="B23" s="369">
        <v>17.0</v>
      </c>
      <c r="C23" s="779" t="s">
        <v>277</v>
      </c>
      <c r="D23" s="292" t="s">
        <v>278</v>
      </c>
      <c r="E23" s="292" t="str">
        <f t="shared" si="2"/>
        <v>Close</v>
      </c>
      <c r="F23" s="799" t="s">
        <v>2107</v>
      </c>
      <c r="G23" s="800" t="s">
        <v>2104</v>
      </c>
      <c r="H23" s="788" t="s">
        <v>2107</v>
      </c>
      <c r="I23" s="792" t="s">
        <v>2078</v>
      </c>
      <c r="J23" s="796" t="s">
        <v>1501</v>
      </c>
      <c r="K23" s="793"/>
      <c r="L23" s="305" t="s">
        <v>2072</v>
      </c>
      <c r="M23" s="292" t="s">
        <v>1501</v>
      </c>
      <c r="N23" s="292" t="s">
        <v>2073</v>
      </c>
      <c r="O23" s="292" t="s">
        <v>2074</v>
      </c>
      <c r="P23" s="292" t="s">
        <v>2046</v>
      </c>
      <c r="Q23" s="783">
        <v>0.0254</v>
      </c>
      <c r="R23" s="789">
        <f t="array" ref="R23">if(isblank(F23),"",xlookup(H23,'Ike 提供_20250505'!D:D,'Ike 提供_20250505'!N:N,"",0,1))</f>
        <v>23.66</v>
      </c>
      <c r="S23" s="794"/>
      <c r="T23" s="795"/>
      <c r="U23" s="795"/>
      <c r="V23" s="313" t="s">
        <v>1445</v>
      </c>
      <c r="W23" s="796" t="s">
        <v>2079</v>
      </c>
      <c r="X23" s="802" t="s">
        <v>1504</v>
      </c>
      <c r="Y23" s="800" t="s">
        <v>2048</v>
      </c>
      <c r="Z23" s="796" t="s">
        <v>1503</v>
      </c>
      <c r="AA23" s="800" t="s">
        <v>2049</v>
      </c>
      <c r="AB23" s="808">
        <v>45818.0</v>
      </c>
      <c r="AC23" s="791">
        <f t="shared" si="4"/>
        <v>45824</v>
      </c>
      <c r="AD23" s="808">
        <v>45820.0</v>
      </c>
      <c r="AE23" s="796" t="s">
        <v>1604</v>
      </c>
      <c r="AF23" s="796" t="s">
        <v>2105</v>
      </c>
      <c r="AG23" s="800">
        <v>3546.0</v>
      </c>
      <c r="AH23" s="1"/>
      <c r="AI23" s="134"/>
      <c r="AJ23" s="134"/>
    </row>
    <row r="24">
      <c r="A24" s="134"/>
      <c r="B24" s="369">
        <v>18.0</v>
      </c>
      <c r="C24" s="779" t="s">
        <v>277</v>
      </c>
      <c r="D24" s="292" t="s">
        <v>278</v>
      </c>
      <c r="E24" s="292" t="str">
        <f t="shared" si="2"/>
        <v>Close</v>
      </c>
      <c r="F24" s="799" t="s">
        <v>2108</v>
      </c>
      <c r="G24" s="800" t="s">
        <v>2104</v>
      </c>
      <c r="H24" s="788" t="s">
        <v>2108</v>
      </c>
      <c r="I24" s="792" t="s">
        <v>1349</v>
      </c>
      <c r="J24" s="796" t="s">
        <v>1501</v>
      </c>
      <c r="K24" s="793"/>
      <c r="L24" s="305" t="s">
        <v>2072</v>
      </c>
      <c r="M24" s="292" t="s">
        <v>1501</v>
      </c>
      <c r="N24" s="292" t="s">
        <v>2073</v>
      </c>
      <c r="O24" s="292" t="s">
        <v>2074</v>
      </c>
      <c r="P24" s="292" t="s">
        <v>2046</v>
      </c>
      <c r="Q24" s="783">
        <v>0.0254</v>
      </c>
      <c r="R24" s="789">
        <f t="array" ref="R24">if(isblank(F24),"",xlookup(H24,'Ike 提供_20250505'!D:D,'Ike 提供_20250505'!N:N,"",0,1))</f>
        <v>23.98</v>
      </c>
      <c r="S24" s="794"/>
      <c r="T24" s="795"/>
      <c r="U24" s="795"/>
      <c r="V24" s="313" t="s">
        <v>1445</v>
      </c>
      <c r="W24" s="796" t="s">
        <v>2080</v>
      </c>
      <c r="X24" s="802" t="s">
        <v>1504</v>
      </c>
      <c r="Y24" s="800" t="s">
        <v>2048</v>
      </c>
      <c r="Z24" s="796" t="s">
        <v>1503</v>
      </c>
      <c r="AA24" s="800" t="s">
        <v>2049</v>
      </c>
      <c r="AB24" s="808">
        <v>45818.0</v>
      </c>
      <c r="AC24" s="791">
        <f t="shared" si="4"/>
        <v>45824</v>
      </c>
      <c r="AD24" s="808">
        <v>45820.0</v>
      </c>
      <c r="AE24" s="796" t="s">
        <v>1339</v>
      </c>
      <c r="AF24" s="796" t="s">
        <v>2105</v>
      </c>
      <c r="AG24" s="800">
        <v>3545.0</v>
      </c>
      <c r="AH24" s="1"/>
      <c r="AI24" s="134"/>
      <c r="AJ24" s="134"/>
    </row>
  </sheetData>
  <customSheetViews>
    <customSheetView guid="{09B701C9-C463-4E5A-9AA6-EE9988CB52C8}" filter="1" showAutoFilter="1">
      <autoFilter ref="$A$1:$AJ$24"/>
    </customSheetView>
  </customSheetViews>
  <conditionalFormatting sqref="AC12:AC24">
    <cfRule type="cellIs" dxfId="10" priority="1" operator="equal">
      <formula>"no"</formula>
    </cfRule>
  </conditionalFormatting>
  <conditionalFormatting sqref="AC12:AC24">
    <cfRule type="cellIs" dxfId="11" priority="2" operator="equal">
      <formula>"yes"</formula>
    </cfRule>
  </conditionalFormatting>
  <conditionalFormatting sqref="E7:E24">
    <cfRule type="containsText" dxfId="10" priority="3" operator="containsText" text="Close">
      <formula>NOT(ISERROR(SEARCH(("Close"),(E7))))</formula>
    </cfRule>
  </conditionalFormatting>
  <conditionalFormatting sqref="E7:E24">
    <cfRule type="containsText" dxfId="11" priority="4" operator="containsText" text="Open">
      <formula>NOT(ISERROR(SEARCH(("Open"),(E7))))</formula>
    </cfRule>
  </conditionalFormatting>
  <conditionalFormatting sqref="F7:F24">
    <cfRule type="expression" dxfId="17" priority="5">
      <formula>$W7="Cloudy White"</formula>
    </cfRule>
  </conditionalFormatting>
  <conditionalFormatting sqref="F7:F24">
    <cfRule type="expression" dxfId="18" priority="6">
      <formula>$AE7="BLK"</formula>
    </cfRule>
  </conditionalFormatting>
  <conditionalFormatting sqref="F7:F24">
    <cfRule type="expression" dxfId="7" priority="7">
      <formula>$AE7="ppl"</formula>
    </cfRule>
  </conditionalFormatting>
  <conditionalFormatting sqref="F7:F24">
    <cfRule type="expression" dxfId="19" priority="8">
      <formula>$AE7="yel"</formula>
    </cfRule>
  </conditionalFormatting>
  <conditionalFormatting sqref="F7:F24">
    <cfRule type="expression" dxfId="20" priority="9">
      <formula>$AE7="bue"</formula>
    </cfRule>
  </conditionalFormatting>
  <conditionalFormatting sqref="B7:AG24">
    <cfRule type="expression" dxfId="16" priority="10">
      <formula>$E7="Close"</formula>
    </cfRule>
  </conditionalFormatting>
  <dataValidations>
    <dataValidation type="custom" allowBlank="1" showDropDown="1" showErrorMessage="1" sqref="AB7:AD11">
      <formula1>OR(NOT(ISERROR(DATEVALUE(AB7))), AND(ISNUMBER(AB7), LEFT(CELL("format", AB7))="D"))</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showGridLines="0" workbookViewId="0">
      <pane xSplit="8.0" ySplit="6.0" topLeftCell="I7" activePane="bottomRight" state="frozen"/>
      <selection activeCell="I1" sqref="I1" pane="topRight"/>
      <selection activeCell="A7" sqref="A7" pane="bottomLeft"/>
      <selection activeCell="I7" sqref="I7" pane="bottomRight"/>
    </sheetView>
  </sheetViews>
  <sheetFormatPr customHeight="1" defaultColWidth="12.63" defaultRowHeight="15.75"/>
  <cols>
    <col customWidth="1" min="1" max="1" width="2.13"/>
    <col customWidth="1" min="2" max="2" width="4.88"/>
    <col customWidth="1" min="3" max="3" width="10.13"/>
    <col customWidth="1" min="4" max="4" width="9.88"/>
    <col customWidth="1" min="5" max="5" width="8.75"/>
    <col customWidth="1" min="6" max="6" width="16.38"/>
    <col customWidth="1" min="7" max="7" width="10.75"/>
    <col customWidth="1" min="8" max="8" width="21.38"/>
    <col customWidth="1" min="9" max="9" width="18.38"/>
    <col customWidth="1" min="10" max="10" width="11.88"/>
    <col customWidth="1" min="11" max="11" width="14.25"/>
    <col customWidth="1" min="12" max="12" width="17.25"/>
    <col customWidth="1" min="13" max="13" width="11.63"/>
    <col customWidth="1" min="14" max="14" width="20.5"/>
    <col customWidth="1" min="15" max="15" width="12.0"/>
    <col customWidth="1" min="16" max="16" width="11.13"/>
    <col customWidth="1" min="17" max="17" width="12.0"/>
    <col customWidth="1" min="18" max="18" width="10.13"/>
    <col customWidth="1" min="19" max="19" width="19.5"/>
    <col customWidth="1" min="20" max="20" width="34.5"/>
    <col customWidth="1" min="21" max="21" width="26.25"/>
    <col customWidth="1" min="22" max="22" width="40.25"/>
    <col customWidth="1" min="23" max="23" width="18.13"/>
    <col customWidth="1" min="24" max="25" width="14.88"/>
    <col customWidth="1" min="26" max="26" width="24.25"/>
    <col customWidth="1" min="27" max="27" width="24.0"/>
    <col customWidth="1" min="28" max="28" width="60.75"/>
    <col customWidth="1" min="29" max="29" width="16.63"/>
    <col customWidth="1" min="30" max="30" width="19.38"/>
    <col customWidth="1" min="31" max="31" width="11.88"/>
    <col customWidth="1" min="32" max="33" width="12.75"/>
    <col customWidth="1" min="34" max="34" width="12.5"/>
    <col customWidth="1" min="35" max="35" width="12.75"/>
    <col customWidth="1" min="36" max="36" width="11.0"/>
    <col customWidth="1" min="37" max="37" width="17.25"/>
    <col customWidth="1" min="39" max="39" width="3.75"/>
  </cols>
  <sheetData>
    <row r="1" ht="8.25" customHeight="1">
      <c r="A1" s="809"/>
      <c r="B1" s="810"/>
      <c r="C1" s="811"/>
      <c r="D1" s="812"/>
      <c r="E1" s="813"/>
      <c r="F1" s="814"/>
      <c r="G1" s="815"/>
      <c r="H1" s="816"/>
      <c r="I1" s="817"/>
      <c r="J1" s="812"/>
      <c r="K1" s="812"/>
      <c r="L1" s="812"/>
      <c r="M1" s="812"/>
      <c r="N1" s="812"/>
      <c r="O1" s="818"/>
      <c r="P1" s="819"/>
      <c r="Q1" s="816"/>
      <c r="R1" s="812"/>
      <c r="S1" s="812"/>
      <c r="T1" s="820"/>
      <c r="U1" s="820"/>
      <c r="V1" s="814"/>
      <c r="W1" s="816"/>
      <c r="X1" s="812"/>
      <c r="Y1" s="812"/>
      <c r="Z1" s="812"/>
      <c r="AA1" s="812"/>
      <c r="AB1" s="812"/>
      <c r="AC1" s="812"/>
      <c r="AD1" s="812"/>
      <c r="AE1" s="812"/>
      <c r="AF1" s="821"/>
      <c r="AG1" s="821"/>
      <c r="AH1" s="822"/>
      <c r="AI1" s="822"/>
      <c r="AJ1" s="811"/>
      <c r="AK1" s="811"/>
      <c r="AL1" s="811"/>
      <c r="AM1" s="813"/>
      <c r="AN1" s="813"/>
      <c r="AO1" s="813"/>
      <c r="AP1" s="813"/>
    </row>
    <row r="2" ht="22.5" customHeight="1">
      <c r="A2" s="809"/>
      <c r="B2" s="173" t="s">
        <v>2109</v>
      </c>
      <c r="C2" s="811"/>
      <c r="D2" s="812"/>
      <c r="E2" s="1"/>
      <c r="F2" s="823" t="s">
        <v>1362</v>
      </c>
      <c r="G2" s="824">
        <f t="shared" ref="G2:G3" si="1">COUNTIF($E$7:$E$155,F2)</f>
        <v>133</v>
      </c>
      <c r="H2" s="825">
        <f>G2/(G2+G3)</f>
        <v>1</v>
      </c>
      <c r="M2" s="812"/>
      <c r="N2" s="812"/>
      <c r="O2" s="818"/>
      <c r="P2" s="819"/>
      <c r="Q2" s="826"/>
      <c r="R2" s="812"/>
      <c r="S2" s="812"/>
      <c r="T2" s="820"/>
      <c r="U2" s="820"/>
      <c r="V2" s="814"/>
      <c r="W2" s="816"/>
      <c r="X2" s="812"/>
      <c r="Y2" s="812"/>
      <c r="Z2" s="812"/>
      <c r="AA2" s="812"/>
      <c r="AB2" s="820"/>
      <c r="AC2" s="812"/>
      <c r="AD2" s="812"/>
      <c r="AE2" s="1"/>
      <c r="AF2" s="821"/>
      <c r="AG2" s="821"/>
      <c r="AH2" s="822"/>
      <c r="AI2" s="822"/>
      <c r="AJ2" s="811"/>
      <c r="AK2" s="811"/>
      <c r="AL2" s="811"/>
      <c r="AM2" s="813"/>
      <c r="AN2" s="813"/>
      <c r="AO2" s="813"/>
      <c r="AP2" s="813"/>
    </row>
    <row r="3" ht="19.5" customHeight="1">
      <c r="A3" s="827"/>
      <c r="B3" s="828"/>
      <c r="C3" s="828"/>
      <c r="D3" s="828"/>
      <c r="E3" s="1"/>
      <c r="F3" s="829" t="s">
        <v>2057</v>
      </c>
      <c r="G3" s="824">
        <f t="shared" si="1"/>
        <v>0</v>
      </c>
      <c r="H3" s="825">
        <f>G3/(G2+G3)</f>
        <v>0</v>
      </c>
      <c r="M3" s="828"/>
      <c r="N3" s="828"/>
      <c r="O3" s="830"/>
      <c r="P3" s="831"/>
      <c r="Q3" s="832"/>
      <c r="R3" s="828"/>
      <c r="S3" s="833"/>
      <c r="T3" s="828"/>
      <c r="U3" s="828"/>
      <c r="V3" s="834"/>
      <c r="W3" s="835"/>
      <c r="X3" s="833"/>
      <c r="Y3" s="828"/>
      <c r="Z3" s="828"/>
      <c r="AA3" s="828"/>
      <c r="AB3" s="828"/>
      <c r="AC3" s="828"/>
      <c r="AD3" s="828"/>
      <c r="AE3" s="1"/>
      <c r="AF3" s="821"/>
      <c r="AG3" s="821"/>
      <c r="AH3" s="836"/>
      <c r="AI3" s="836"/>
      <c r="AJ3" s="837"/>
      <c r="AK3" s="837"/>
      <c r="AL3" s="837"/>
      <c r="AM3" s="838"/>
      <c r="AN3" s="838"/>
      <c r="AO3" s="838"/>
      <c r="AP3" s="838"/>
    </row>
    <row r="4" ht="24.0" customHeight="1">
      <c r="A4" s="839"/>
      <c r="B4" s="840"/>
      <c r="C4" s="840"/>
      <c r="D4" s="841" t="s">
        <v>2110</v>
      </c>
      <c r="E4" s="840"/>
      <c r="F4" s="842"/>
      <c r="G4" s="840" t="s">
        <v>312</v>
      </c>
      <c r="H4" s="840" t="s">
        <v>310</v>
      </c>
      <c r="I4" s="840" t="s">
        <v>2111</v>
      </c>
      <c r="J4" s="840" t="s">
        <v>2112</v>
      </c>
      <c r="K4" s="840" t="s">
        <v>2113</v>
      </c>
      <c r="L4" s="840" t="s">
        <v>2114</v>
      </c>
      <c r="M4" s="840" t="s">
        <v>2073</v>
      </c>
      <c r="N4" s="840" t="s">
        <v>2115</v>
      </c>
      <c r="O4" s="840" t="s">
        <v>2116</v>
      </c>
      <c r="P4" s="843" t="s">
        <v>2117</v>
      </c>
      <c r="Q4" s="844" t="s">
        <v>2118</v>
      </c>
      <c r="R4" s="840" t="s">
        <v>2119</v>
      </c>
      <c r="S4" s="840" t="s">
        <v>2120</v>
      </c>
      <c r="T4" s="840" t="s">
        <v>2121</v>
      </c>
      <c r="U4" s="840" t="s">
        <v>2122</v>
      </c>
      <c r="V4" s="841" t="s">
        <v>2123</v>
      </c>
      <c r="W4" s="840" t="s">
        <v>2124</v>
      </c>
      <c r="X4" s="840" t="s">
        <v>2073</v>
      </c>
      <c r="Y4" s="840" t="s">
        <v>2125</v>
      </c>
      <c r="Z4" s="841" t="s">
        <v>2126</v>
      </c>
      <c r="AA4" s="840" t="s">
        <v>2127</v>
      </c>
      <c r="AB4" s="840" t="s">
        <v>2048</v>
      </c>
      <c r="AC4" s="840" t="s">
        <v>2048</v>
      </c>
      <c r="AD4" s="840" t="s">
        <v>333</v>
      </c>
      <c r="AE4" s="840" t="s">
        <v>2049</v>
      </c>
      <c r="AF4" s="845"/>
      <c r="AG4" s="845"/>
      <c r="AH4" s="845"/>
      <c r="AI4" s="845" t="s">
        <v>2128</v>
      </c>
      <c r="AJ4" s="840" t="s">
        <v>322</v>
      </c>
      <c r="AK4" s="840" t="s">
        <v>2129</v>
      </c>
      <c r="AL4" s="840"/>
      <c r="AM4" s="840"/>
      <c r="AN4" s="840"/>
      <c r="AO4" s="840"/>
      <c r="AP4" s="840"/>
    </row>
    <row r="5">
      <c r="A5" s="846"/>
      <c r="B5" s="846"/>
      <c r="C5" s="847" t="s">
        <v>2018</v>
      </c>
      <c r="D5" s="847" t="s">
        <v>2018</v>
      </c>
      <c r="E5" s="847" t="s">
        <v>2018</v>
      </c>
      <c r="F5" s="848" t="s">
        <v>2019</v>
      </c>
      <c r="G5" s="849" t="s">
        <v>2018</v>
      </c>
      <c r="H5" s="849" t="s">
        <v>2018</v>
      </c>
      <c r="I5" s="849" t="s">
        <v>2018</v>
      </c>
      <c r="J5" s="847" t="s">
        <v>2018</v>
      </c>
      <c r="K5" s="849" t="s">
        <v>2018</v>
      </c>
      <c r="L5" s="847" t="s">
        <v>2018</v>
      </c>
      <c r="M5" s="847" t="s">
        <v>2018</v>
      </c>
      <c r="N5" s="847" t="s">
        <v>2018</v>
      </c>
      <c r="O5" s="847" t="s">
        <v>2018</v>
      </c>
      <c r="P5" s="850" t="s">
        <v>2018</v>
      </c>
      <c r="Q5" s="847" t="s">
        <v>2018</v>
      </c>
      <c r="R5" s="851" t="s">
        <v>2018</v>
      </c>
      <c r="S5" s="847" t="s">
        <v>2018</v>
      </c>
      <c r="T5" s="847" t="s">
        <v>2018</v>
      </c>
      <c r="U5" s="847" t="s">
        <v>2018</v>
      </c>
      <c r="V5" s="847" t="s">
        <v>2018</v>
      </c>
      <c r="W5" s="847" t="s">
        <v>2018</v>
      </c>
      <c r="X5" s="847" t="s">
        <v>2018</v>
      </c>
      <c r="Y5" s="851" t="s">
        <v>2018</v>
      </c>
      <c r="Z5" s="851" t="s">
        <v>2018</v>
      </c>
      <c r="AA5" s="847" t="s">
        <v>2018</v>
      </c>
      <c r="AB5" s="847" t="s">
        <v>2018</v>
      </c>
      <c r="AC5" s="847" t="s">
        <v>2018</v>
      </c>
      <c r="AD5" s="847" t="s">
        <v>2018</v>
      </c>
      <c r="AE5" s="848"/>
      <c r="AF5" s="852" t="s">
        <v>2019</v>
      </c>
      <c r="AG5" s="853">
        <v>4.0</v>
      </c>
      <c r="AH5" s="854" t="s">
        <v>2130</v>
      </c>
      <c r="AI5" s="855" t="s">
        <v>2018</v>
      </c>
      <c r="AJ5" s="847" t="s">
        <v>2018</v>
      </c>
      <c r="AK5" s="847" t="s">
        <v>2018</v>
      </c>
      <c r="AL5" s="847"/>
      <c r="AM5" s="856"/>
      <c r="AN5" s="856"/>
      <c r="AO5" s="856"/>
      <c r="AP5" s="856"/>
    </row>
    <row r="6" ht="42.0" customHeight="1">
      <c r="A6" s="857"/>
      <c r="B6" s="858" t="s">
        <v>1858</v>
      </c>
      <c r="C6" s="859" t="s">
        <v>2021</v>
      </c>
      <c r="D6" s="859" t="s">
        <v>2022</v>
      </c>
      <c r="E6" s="859" t="s">
        <v>2023</v>
      </c>
      <c r="F6" s="860" t="s">
        <v>2024</v>
      </c>
      <c r="G6" s="861" t="s">
        <v>2131</v>
      </c>
      <c r="H6" s="862" t="s">
        <v>2132</v>
      </c>
      <c r="I6" s="860" t="s">
        <v>2133</v>
      </c>
      <c r="J6" s="863" t="s">
        <v>1425</v>
      </c>
      <c r="K6" s="859" t="s">
        <v>1427</v>
      </c>
      <c r="L6" s="859" t="s">
        <v>2061</v>
      </c>
      <c r="M6" s="859" t="s">
        <v>2028</v>
      </c>
      <c r="N6" s="859" t="s">
        <v>2029</v>
      </c>
      <c r="O6" s="864" t="s">
        <v>2030</v>
      </c>
      <c r="P6" s="865" t="s">
        <v>2031</v>
      </c>
      <c r="Q6" s="865" t="s">
        <v>2032</v>
      </c>
      <c r="R6" s="858" t="s">
        <v>2134</v>
      </c>
      <c r="S6" s="859" t="s">
        <v>1433</v>
      </c>
      <c r="T6" s="859" t="s">
        <v>2135</v>
      </c>
      <c r="U6" s="859" t="s">
        <v>2033</v>
      </c>
      <c r="V6" s="866" t="s">
        <v>2034</v>
      </c>
      <c r="W6" s="867" t="s">
        <v>2136</v>
      </c>
      <c r="X6" s="868" t="s">
        <v>2137</v>
      </c>
      <c r="Y6" s="858" t="s">
        <v>2138</v>
      </c>
      <c r="Z6" s="858" t="s">
        <v>2139</v>
      </c>
      <c r="AA6" s="858" t="s">
        <v>2140</v>
      </c>
      <c r="AB6" s="859" t="s">
        <v>1436</v>
      </c>
      <c r="AC6" s="858" t="s">
        <v>2036</v>
      </c>
      <c r="AD6" s="869" t="s">
        <v>2141</v>
      </c>
      <c r="AE6" s="859" t="s">
        <v>2037</v>
      </c>
      <c r="AF6" s="870" t="s">
        <v>2038</v>
      </c>
      <c r="AG6" s="871" t="s">
        <v>2142</v>
      </c>
      <c r="AH6" s="872" t="s">
        <v>2143</v>
      </c>
      <c r="AI6" s="873" t="s">
        <v>2040</v>
      </c>
      <c r="AJ6" s="860" t="s">
        <v>383</v>
      </c>
      <c r="AK6" s="860" t="s">
        <v>2009</v>
      </c>
      <c r="AL6" s="863" t="s">
        <v>2042</v>
      </c>
      <c r="AM6" s="874"/>
      <c r="AN6" s="875" t="s">
        <v>2144</v>
      </c>
      <c r="AO6" s="817"/>
      <c r="AP6" s="817"/>
    </row>
    <row r="7" ht="20.25" customHeight="1">
      <c r="A7" s="876"/>
      <c r="B7" s="877">
        <v>1.0</v>
      </c>
      <c r="C7" s="877" t="s">
        <v>277</v>
      </c>
      <c r="D7" s="878" t="s">
        <v>2043</v>
      </c>
      <c r="E7" s="677" t="str">
        <f t="shared" ref="E7:E278" si="2">if(isblank(F7),"",IFs(ISBLANK(AF7),"Open",AI7="Finish","Close",ISBLANK(AI7),"Open",ISBLANK(AI7)=FALSE,"Close"))</f>
        <v>Close</v>
      </c>
      <c r="F7" s="879" t="s">
        <v>1375</v>
      </c>
      <c r="G7" s="880" t="s">
        <v>52</v>
      </c>
      <c r="H7" s="881" t="s">
        <v>1375</v>
      </c>
      <c r="I7" s="292" t="s">
        <v>1375</v>
      </c>
      <c r="J7" s="878" t="s">
        <v>1361</v>
      </c>
      <c r="K7" s="878" t="s">
        <v>1361</v>
      </c>
      <c r="L7" s="878" t="s">
        <v>1361</v>
      </c>
      <c r="M7" s="878" t="s">
        <v>2073</v>
      </c>
      <c r="N7" s="878" t="s">
        <v>2115</v>
      </c>
      <c r="O7" s="882" t="str">
        <f t="array" ref="O7">if(isblank(F7),"",xlookup(F7,'FL5_POR_包裝對照表 (Mapping Table)'!E:E,'FL5_POR_包裝對照表 (Mapping Table)'!L:L,"",0,1))</f>
        <v/>
      </c>
      <c r="P7" s="883">
        <v>0.2029</v>
      </c>
      <c r="Q7" s="786">
        <v>472.31</v>
      </c>
      <c r="R7" s="878" t="s">
        <v>2119</v>
      </c>
      <c r="S7" s="884" t="s">
        <v>1448</v>
      </c>
      <c r="T7" s="885" t="s">
        <v>2121</v>
      </c>
      <c r="U7" s="885" t="s">
        <v>2145</v>
      </c>
      <c r="V7" s="231" t="s">
        <v>2146</v>
      </c>
      <c r="W7" s="786" t="s">
        <v>1517</v>
      </c>
      <c r="X7" s="878" t="s">
        <v>2073</v>
      </c>
      <c r="Y7" s="878" t="s">
        <v>2125</v>
      </c>
      <c r="Z7" s="301" t="s">
        <v>2126</v>
      </c>
      <c r="AA7" s="301" t="s">
        <v>2127</v>
      </c>
      <c r="AB7" s="878" t="s">
        <v>1451</v>
      </c>
      <c r="AC7" s="301" t="s">
        <v>2048</v>
      </c>
      <c r="AD7" s="878" t="s">
        <v>1516</v>
      </c>
      <c r="AE7" s="878" t="s">
        <v>2049</v>
      </c>
      <c r="AF7" s="791">
        <v>45762.0</v>
      </c>
      <c r="AG7" s="791">
        <v>45764.0</v>
      </c>
      <c r="AH7" s="787"/>
      <c r="AI7" s="787">
        <v>45777.0</v>
      </c>
      <c r="AJ7" s="292" t="s">
        <v>419</v>
      </c>
      <c r="AK7" s="292" t="s">
        <v>1367</v>
      </c>
      <c r="AL7" s="292">
        <v>2878.0</v>
      </c>
      <c r="AM7" s="813"/>
      <c r="AN7" s="677" t="str">
        <f t="array" ref="AN7">xlookup(F7,'FL5_POR_包裝對照表 (Mapping Table)'!E:E,'FL5_POR_包裝對照表 (Mapping Table)'!BM:BM,"",0,1)</f>
        <v/>
      </c>
      <c r="AO7" s="813"/>
      <c r="AP7" s="813"/>
    </row>
    <row r="8" ht="20.25" customHeight="1">
      <c r="A8" s="886"/>
      <c r="B8" s="877">
        <v>2.0</v>
      </c>
      <c r="C8" s="877" t="s">
        <v>277</v>
      </c>
      <c r="D8" s="878" t="s">
        <v>2043</v>
      </c>
      <c r="E8" s="677" t="str">
        <f t="shared" si="2"/>
        <v>Close</v>
      </c>
      <c r="F8" s="879" t="s">
        <v>1391</v>
      </c>
      <c r="G8" s="880" t="s">
        <v>52</v>
      </c>
      <c r="H8" s="881" t="s">
        <v>1391</v>
      </c>
      <c r="I8" s="292" t="s">
        <v>1391</v>
      </c>
      <c r="J8" s="878" t="s">
        <v>1361</v>
      </c>
      <c r="K8" s="878" t="s">
        <v>1361</v>
      </c>
      <c r="L8" s="878" t="s">
        <v>1361</v>
      </c>
      <c r="M8" s="878" t="s">
        <v>2073</v>
      </c>
      <c r="N8" s="878" t="s">
        <v>2115</v>
      </c>
      <c r="O8" s="882" t="str">
        <f t="array" ref="O8">if(isblank(F8),"",xlookup(F8,'FL5_POR_包裝對照表 (Mapping Table)'!E:E,'FL5_POR_包裝對照表 (Mapping Table)'!L:L,"",0,1))</f>
        <v/>
      </c>
      <c r="P8" s="883">
        <v>0.2029</v>
      </c>
      <c r="Q8" s="786">
        <v>433.71</v>
      </c>
      <c r="R8" s="878" t="s">
        <v>2119</v>
      </c>
      <c r="S8" s="884" t="s">
        <v>1448</v>
      </c>
      <c r="T8" s="885" t="s">
        <v>2121</v>
      </c>
      <c r="U8" s="885" t="s">
        <v>2145</v>
      </c>
      <c r="V8" s="231" t="s">
        <v>2147</v>
      </c>
      <c r="W8" s="786" t="s">
        <v>1517</v>
      </c>
      <c r="X8" s="878" t="s">
        <v>2073</v>
      </c>
      <c r="Y8" s="878" t="s">
        <v>2125</v>
      </c>
      <c r="Z8" s="301" t="s">
        <v>2126</v>
      </c>
      <c r="AA8" s="301" t="s">
        <v>2127</v>
      </c>
      <c r="AB8" s="878" t="s">
        <v>1451</v>
      </c>
      <c r="AC8" s="301" t="s">
        <v>2048</v>
      </c>
      <c r="AD8" s="878" t="s">
        <v>1516</v>
      </c>
      <c r="AE8" s="878" t="s">
        <v>2049</v>
      </c>
      <c r="AF8" s="791">
        <v>45762.0</v>
      </c>
      <c r="AG8" s="791">
        <v>45764.0</v>
      </c>
      <c r="AH8" s="787"/>
      <c r="AI8" s="787">
        <v>45777.0</v>
      </c>
      <c r="AJ8" s="292" t="s">
        <v>419</v>
      </c>
      <c r="AK8" s="292" t="s">
        <v>1367</v>
      </c>
      <c r="AL8" s="292">
        <v>2872.0</v>
      </c>
      <c r="AM8" s="813"/>
      <c r="AN8" s="677" t="str">
        <f t="array" ref="AN8">xlookup(F8,'FL5_POR_包裝對照表 (Mapping Table)'!E:E,'FL5_POR_包裝對照表 (Mapping Table)'!BM:BM,"",0,1)</f>
        <v/>
      </c>
      <c r="AO8" s="813"/>
      <c r="AP8" s="813"/>
    </row>
    <row r="9" ht="20.25" customHeight="1">
      <c r="A9" s="886"/>
      <c r="B9" s="877">
        <v>3.0</v>
      </c>
      <c r="C9" s="877" t="s">
        <v>277</v>
      </c>
      <c r="D9" s="878" t="s">
        <v>2043</v>
      </c>
      <c r="E9" s="677" t="str">
        <f t="shared" si="2"/>
        <v>Close</v>
      </c>
      <c r="F9" s="879" t="s">
        <v>2148</v>
      </c>
      <c r="G9" s="880" t="s">
        <v>52</v>
      </c>
      <c r="H9" s="881" t="s">
        <v>2148</v>
      </c>
      <c r="I9" s="292" t="s">
        <v>2148</v>
      </c>
      <c r="J9" s="878" t="s">
        <v>1361</v>
      </c>
      <c r="K9" s="878" t="s">
        <v>1361</v>
      </c>
      <c r="L9" s="878" t="s">
        <v>1361</v>
      </c>
      <c r="M9" s="878" t="s">
        <v>2073</v>
      </c>
      <c r="N9" s="878" t="s">
        <v>2115</v>
      </c>
      <c r="O9" s="882" t="str">
        <f t="array" ref="O9">if(isblank(F9),"",xlookup(F9,'FL5_POR_包裝對照表 (Mapping Table)'!E:E,'FL5_POR_包裝對照表 (Mapping Table)'!L:L,"",0,1))</f>
        <v/>
      </c>
      <c r="P9" s="883">
        <v>0.2029</v>
      </c>
      <c r="Q9" s="786">
        <v>448.28</v>
      </c>
      <c r="R9" s="878" t="s">
        <v>2119</v>
      </c>
      <c r="S9" s="884" t="s">
        <v>1448</v>
      </c>
      <c r="T9" s="885" t="s">
        <v>2121</v>
      </c>
      <c r="U9" s="885" t="s">
        <v>2145</v>
      </c>
      <c r="V9" s="231" t="s">
        <v>2149</v>
      </c>
      <c r="W9" s="786" t="s">
        <v>1517</v>
      </c>
      <c r="X9" s="878" t="s">
        <v>2073</v>
      </c>
      <c r="Y9" s="878" t="s">
        <v>2125</v>
      </c>
      <c r="Z9" s="301" t="s">
        <v>2126</v>
      </c>
      <c r="AA9" s="301" t="s">
        <v>2127</v>
      </c>
      <c r="AB9" s="878" t="s">
        <v>1451</v>
      </c>
      <c r="AC9" s="301" t="s">
        <v>2048</v>
      </c>
      <c r="AD9" s="878" t="s">
        <v>1516</v>
      </c>
      <c r="AE9" s="878" t="s">
        <v>2049</v>
      </c>
      <c r="AF9" s="791">
        <v>45762.0</v>
      </c>
      <c r="AG9" s="791">
        <v>45764.0</v>
      </c>
      <c r="AH9" s="787"/>
      <c r="AI9" s="787">
        <v>45777.0</v>
      </c>
      <c r="AJ9" s="292" t="s">
        <v>419</v>
      </c>
      <c r="AK9" s="292" t="s">
        <v>1594</v>
      </c>
      <c r="AL9" s="292">
        <v>2870.0</v>
      </c>
      <c r="AM9" s="813"/>
      <c r="AN9" s="677" t="str">
        <f t="array" ref="AN9">xlookup(F9,'FL5_POR_包裝對照表 (Mapping Table)'!E:E,'FL5_POR_包裝對照表 (Mapping Table)'!BM:BM,"",0,1)</f>
        <v/>
      </c>
      <c r="AO9" s="813"/>
      <c r="AP9" s="813"/>
    </row>
    <row r="10" ht="20.25" customHeight="1">
      <c r="A10" s="886"/>
      <c r="B10" s="877">
        <v>4.0</v>
      </c>
      <c r="C10" s="877" t="s">
        <v>277</v>
      </c>
      <c r="D10" s="878" t="s">
        <v>2043</v>
      </c>
      <c r="E10" s="677" t="str">
        <f t="shared" si="2"/>
        <v>Close</v>
      </c>
      <c r="F10" s="879" t="s">
        <v>2150</v>
      </c>
      <c r="G10" s="880" t="s">
        <v>52</v>
      </c>
      <c r="H10" s="881" t="s">
        <v>2150</v>
      </c>
      <c r="I10" s="292" t="s">
        <v>2150</v>
      </c>
      <c r="J10" s="878" t="s">
        <v>1361</v>
      </c>
      <c r="K10" s="878" t="s">
        <v>1361</v>
      </c>
      <c r="L10" s="878" t="s">
        <v>1361</v>
      </c>
      <c r="M10" s="878" t="s">
        <v>2073</v>
      </c>
      <c r="N10" s="878" t="s">
        <v>2115</v>
      </c>
      <c r="O10" s="882" t="str">
        <f t="array" ref="O10">if(isblank(F10),"",xlookup(F10,'FL5_POR_包裝對照表 (Mapping Table)'!E:E,'FL5_POR_包裝對照表 (Mapping Table)'!L:L,"",0,1))</f>
        <v/>
      </c>
      <c r="P10" s="883">
        <v>0.2029</v>
      </c>
      <c r="Q10" s="786">
        <v>454.5</v>
      </c>
      <c r="R10" s="878" t="s">
        <v>2119</v>
      </c>
      <c r="S10" s="884" t="s">
        <v>1448</v>
      </c>
      <c r="T10" s="885" t="s">
        <v>2121</v>
      </c>
      <c r="U10" s="885" t="s">
        <v>2145</v>
      </c>
      <c r="V10" s="231" t="s">
        <v>2151</v>
      </c>
      <c r="W10" s="786" t="s">
        <v>1517</v>
      </c>
      <c r="X10" s="878" t="s">
        <v>2073</v>
      </c>
      <c r="Y10" s="878" t="s">
        <v>2125</v>
      </c>
      <c r="Z10" s="301" t="s">
        <v>2126</v>
      </c>
      <c r="AA10" s="301" t="s">
        <v>2127</v>
      </c>
      <c r="AB10" s="878" t="s">
        <v>1480</v>
      </c>
      <c r="AC10" s="301" t="s">
        <v>2048</v>
      </c>
      <c r="AD10" s="878" t="s">
        <v>1516</v>
      </c>
      <c r="AE10" s="878" t="s">
        <v>2049</v>
      </c>
      <c r="AF10" s="791">
        <v>45762.0</v>
      </c>
      <c r="AG10" s="791">
        <v>45764.0</v>
      </c>
      <c r="AH10" s="787"/>
      <c r="AI10" s="787">
        <v>45777.0</v>
      </c>
      <c r="AJ10" s="292" t="s">
        <v>596</v>
      </c>
      <c r="AK10" s="292" t="s">
        <v>1594</v>
      </c>
      <c r="AL10" s="292">
        <v>2866.0</v>
      </c>
      <c r="AM10" s="813"/>
      <c r="AN10" s="677" t="str">
        <f t="array" ref="AN10">xlookup(F10,'FL5_POR_包裝對照表 (Mapping Table)'!E:E,'FL5_POR_包裝對照表 (Mapping Table)'!BM:BM,"",0,1)</f>
        <v/>
      </c>
      <c r="AO10" s="813"/>
      <c r="AP10" s="813"/>
    </row>
    <row r="11" ht="20.25" customHeight="1">
      <c r="A11" s="876"/>
      <c r="B11" s="877">
        <v>5.0</v>
      </c>
      <c r="C11" s="877" t="s">
        <v>277</v>
      </c>
      <c r="D11" s="878" t="s">
        <v>2043</v>
      </c>
      <c r="E11" s="677" t="str">
        <f t="shared" si="2"/>
        <v>Close</v>
      </c>
      <c r="F11" s="879" t="s">
        <v>2152</v>
      </c>
      <c r="G11" s="880" t="s">
        <v>52</v>
      </c>
      <c r="H11" s="881" t="s">
        <v>2152</v>
      </c>
      <c r="I11" s="292" t="s">
        <v>2152</v>
      </c>
      <c r="J11" s="878" t="s">
        <v>1361</v>
      </c>
      <c r="K11" s="878" t="s">
        <v>1361</v>
      </c>
      <c r="L11" s="878" t="s">
        <v>1361</v>
      </c>
      <c r="M11" s="878" t="s">
        <v>2073</v>
      </c>
      <c r="N11" s="878" t="s">
        <v>2115</v>
      </c>
      <c r="O11" s="882" t="str">
        <f t="array" ref="O11">if(isblank(F11),"",xlookup(F11,'FL5_POR_包裝對照表 (Mapping Table)'!E:E,'FL5_POR_包裝對照表 (Mapping Table)'!L:L,"",0,1))</f>
        <v/>
      </c>
      <c r="P11" s="883">
        <v>0.2029</v>
      </c>
      <c r="Q11" s="786">
        <v>477.42</v>
      </c>
      <c r="R11" s="878" t="s">
        <v>2119</v>
      </c>
      <c r="S11" s="884" t="s">
        <v>1448</v>
      </c>
      <c r="T11" s="885" t="s">
        <v>2121</v>
      </c>
      <c r="U11" s="885" t="s">
        <v>2145</v>
      </c>
      <c r="V11" s="231" t="s">
        <v>2153</v>
      </c>
      <c r="W11" s="786" t="s">
        <v>1517</v>
      </c>
      <c r="X11" s="878" t="s">
        <v>2073</v>
      </c>
      <c r="Y11" s="878" t="s">
        <v>2125</v>
      </c>
      <c r="Z11" s="301" t="s">
        <v>2126</v>
      </c>
      <c r="AA11" s="301" t="s">
        <v>2127</v>
      </c>
      <c r="AB11" s="878" t="s">
        <v>1480</v>
      </c>
      <c r="AC11" s="301" t="s">
        <v>2048</v>
      </c>
      <c r="AD11" s="878" t="s">
        <v>1516</v>
      </c>
      <c r="AE11" s="878" t="s">
        <v>2049</v>
      </c>
      <c r="AF11" s="791">
        <v>45762.0</v>
      </c>
      <c r="AG11" s="791">
        <v>45764.0</v>
      </c>
      <c r="AH11" s="787"/>
      <c r="AI11" s="787">
        <v>45777.0</v>
      </c>
      <c r="AJ11" s="292" t="s">
        <v>596</v>
      </c>
      <c r="AK11" s="292" t="s">
        <v>1367</v>
      </c>
      <c r="AL11" s="292">
        <v>2873.0</v>
      </c>
      <c r="AM11" s="813"/>
      <c r="AN11" s="677" t="str">
        <f t="array" ref="AN11">xlookup(F11,'FL5_POR_包裝對照表 (Mapping Table)'!E:E,'FL5_POR_包裝對照表 (Mapping Table)'!BM:BM,"",0,1)</f>
        <v/>
      </c>
      <c r="AO11" s="813"/>
      <c r="AP11" s="813"/>
    </row>
    <row r="12" ht="20.25" customHeight="1">
      <c r="A12" s="886"/>
      <c r="B12" s="877">
        <v>6.0</v>
      </c>
      <c r="C12" s="877" t="s">
        <v>277</v>
      </c>
      <c r="D12" s="878" t="s">
        <v>2043</v>
      </c>
      <c r="E12" s="677" t="str">
        <f t="shared" si="2"/>
        <v>Close</v>
      </c>
      <c r="F12" s="879" t="s">
        <v>2154</v>
      </c>
      <c r="G12" s="880" t="s">
        <v>52</v>
      </c>
      <c r="H12" s="881" t="s">
        <v>2154</v>
      </c>
      <c r="I12" s="292" t="s">
        <v>2154</v>
      </c>
      <c r="J12" s="878" t="s">
        <v>1361</v>
      </c>
      <c r="K12" s="878" t="s">
        <v>1361</v>
      </c>
      <c r="L12" s="878" t="s">
        <v>1361</v>
      </c>
      <c r="M12" s="878" t="s">
        <v>2073</v>
      </c>
      <c r="N12" s="878" t="s">
        <v>2115</v>
      </c>
      <c r="O12" s="882" t="str">
        <f t="array" ref="O12">if(isblank(F12),"",xlookup(F12,'FL5_POR_包裝對照表 (Mapping Table)'!E:E,'FL5_POR_包裝對照表 (Mapping Table)'!L:L,"",0,1))</f>
        <v/>
      </c>
      <c r="P12" s="883">
        <v>0.2029</v>
      </c>
      <c r="Q12" s="786">
        <v>457.22</v>
      </c>
      <c r="R12" s="878" t="s">
        <v>2119</v>
      </c>
      <c r="S12" s="884" t="s">
        <v>1448</v>
      </c>
      <c r="T12" s="885" t="s">
        <v>2121</v>
      </c>
      <c r="U12" s="885" t="s">
        <v>2145</v>
      </c>
      <c r="V12" s="231" t="s">
        <v>2155</v>
      </c>
      <c r="W12" s="786" t="s">
        <v>1517</v>
      </c>
      <c r="X12" s="878" t="s">
        <v>2073</v>
      </c>
      <c r="Y12" s="878" t="s">
        <v>2125</v>
      </c>
      <c r="Z12" s="301" t="s">
        <v>2126</v>
      </c>
      <c r="AA12" s="301" t="s">
        <v>2127</v>
      </c>
      <c r="AB12" s="878" t="s">
        <v>1480</v>
      </c>
      <c r="AC12" s="301" t="s">
        <v>2048</v>
      </c>
      <c r="AD12" s="878" t="s">
        <v>1516</v>
      </c>
      <c r="AE12" s="878" t="s">
        <v>2049</v>
      </c>
      <c r="AF12" s="791">
        <v>45762.0</v>
      </c>
      <c r="AG12" s="791">
        <v>45764.0</v>
      </c>
      <c r="AH12" s="787"/>
      <c r="AI12" s="787">
        <v>45777.0</v>
      </c>
      <c r="AJ12" s="292" t="s">
        <v>596</v>
      </c>
      <c r="AK12" s="292" t="s">
        <v>1367</v>
      </c>
      <c r="AL12" s="292">
        <v>2867.0</v>
      </c>
      <c r="AM12" s="813"/>
      <c r="AN12" s="677" t="str">
        <f t="array" ref="AN12">xlookup(F12,'FL5_POR_包裝對照表 (Mapping Table)'!E:E,'FL5_POR_包裝對照表 (Mapping Table)'!BM:BM,"",0,1)</f>
        <v/>
      </c>
      <c r="AO12" s="813"/>
      <c r="AP12" s="813"/>
    </row>
    <row r="13" ht="20.25" customHeight="1">
      <c r="A13" s="886"/>
      <c r="B13" s="877">
        <v>7.0</v>
      </c>
      <c r="C13" s="877" t="s">
        <v>277</v>
      </c>
      <c r="D13" s="878" t="s">
        <v>2043</v>
      </c>
      <c r="E13" s="677" t="str">
        <f t="shared" si="2"/>
        <v>Close</v>
      </c>
      <c r="F13" s="879" t="s">
        <v>1350</v>
      </c>
      <c r="G13" s="880" t="s">
        <v>52</v>
      </c>
      <c r="H13" s="881" t="s">
        <v>1350</v>
      </c>
      <c r="I13" s="292" t="s">
        <v>1350</v>
      </c>
      <c r="J13" s="878" t="s">
        <v>1361</v>
      </c>
      <c r="K13" s="878" t="s">
        <v>1361</v>
      </c>
      <c r="L13" s="878" t="s">
        <v>1361</v>
      </c>
      <c r="M13" s="878" t="s">
        <v>2073</v>
      </c>
      <c r="N13" s="878" t="s">
        <v>2115</v>
      </c>
      <c r="O13" s="882" t="str">
        <f t="array" ref="O13">if(isblank(F13),"",xlookup(F13,'FL5_POR_包裝對照表 (Mapping Table)'!E:E,'FL5_POR_包裝對照表 (Mapping Table)'!L:L,"",0,1))</f>
        <v/>
      </c>
      <c r="P13" s="883">
        <v>0.2029</v>
      </c>
      <c r="Q13" s="786">
        <v>469.35</v>
      </c>
      <c r="R13" s="878" t="s">
        <v>2119</v>
      </c>
      <c r="S13" s="884" t="s">
        <v>1448</v>
      </c>
      <c r="T13" s="885" t="s">
        <v>2121</v>
      </c>
      <c r="U13" s="885" t="s">
        <v>2145</v>
      </c>
      <c r="V13" s="231" t="s">
        <v>2156</v>
      </c>
      <c r="W13" s="786" t="s">
        <v>1517</v>
      </c>
      <c r="X13" s="878" t="s">
        <v>2073</v>
      </c>
      <c r="Y13" s="878" t="s">
        <v>2125</v>
      </c>
      <c r="Z13" s="301" t="s">
        <v>2126</v>
      </c>
      <c r="AA13" s="301" t="s">
        <v>2127</v>
      </c>
      <c r="AB13" s="878" t="s">
        <v>1451</v>
      </c>
      <c r="AC13" s="301" t="s">
        <v>2048</v>
      </c>
      <c r="AD13" s="878" t="s">
        <v>1516</v>
      </c>
      <c r="AE13" s="878" t="s">
        <v>2049</v>
      </c>
      <c r="AF13" s="791">
        <v>45762.0</v>
      </c>
      <c r="AG13" s="791">
        <v>45764.0</v>
      </c>
      <c r="AH13" s="787"/>
      <c r="AI13" s="787">
        <v>45777.0</v>
      </c>
      <c r="AJ13" s="292" t="s">
        <v>419</v>
      </c>
      <c r="AK13" s="292" t="s">
        <v>1339</v>
      </c>
      <c r="AL13" s="292">
        <v>2874.0</v>
      </c>
      <c r="AM13" s="813"/>
      <c r="AN13" s="677" t="str">
        <f t="array" ref="AN13">xlookup(F13,'FL5_POR_包裝對照表 (Mapping Table)'!E:E,'FL5_POR_包裝對照表 (Mapping Table)'!BM:BM,"",0,1)</f>
        <v/>
      </c>
      <c r="AO13" s="813"/>
      <c r="AP13" s="813"/>
    </row>
    <row r="14" ht="20.25" customHeight="1">
      <c r="A14" s="876"/>
      <c r="B14" s="877">
        <v>8.0</v>
      </c>
      <c r="C14" s="877" t="s">
        <v>277</v>
      </c>
      <c r="D14" s="878" t="s">
        <v>2043</v>
      </c>
      <c r="E14" s="677" t="str">
        <f t="shared" si="2"/>
        <v>Close</v>
      </c>
      <c r="F14" s="879" t="s">
        <v>1395</v>
      </c>
      <c r="G14" s="880" t="s">
        <v>52</v>
      </c>
      <c r="H14" s="881" t="s">
        <v>1395</v>
      </c>
      <c r="I14" s="292" t="s">
        <v>1395</v>
      </c>
      <c r="J14" s="878" t="s">
        <v>1361</v>
      </c>
      <c r="K14" s="878" t="s">
        <v>1361</v>
      </c>
      <c r="L14" s="878" t="s">
        <v>1361</v>
      </c>
      <c r="M14" s="878" t="s">
        <v>2073</v>
      </c>
      <c r="N14" s="878" t="s">
        <v>2115</v>
      </c>
      <c r="O14" s="882" t="str">
        <f t="array" ref="O14">if(isblank(F14),"",xlookup(F14,'FL5_POR_包裝對照表 (Mapping Table)'!E:E,'FL5_POR_包裝對照表 (Mapping Table)'!L:L,"",0,1))</f>
        <v/>
      </c>
      <c r="P14" s="883">
        <v>0.2029</v>
      </c>
      <c r="Q14" s="786">
        <v>448.04</v>
      </c>
      <c r="R14" s="878" t="s">
        <v>2119</v>
      </c>
      <c r="S14" s="884" t="s">
        <v>1448</v>
      </c>
      <c r="T14" s="885" t="s">
        <v>2121</v>
      </c>
      <c r="U14" s="885" t="s">
        <v>2145</v>
      </c>
      <c r="V14" s="231" t="s">
        <v>2157</v>
      </c>
      <c r="W14" s="786" t="s">
        <v>1517</v>
      </c>
      <c r="X14" s="878" t="s">
        <v>2073</v>
      </c>
      <c r="Y14" s="878" t="s">
        <v>2125</v>
      </c>
      <c r="Z14" s="301" t="s">
        <v>2126</v>
      </c>
      <c r="AA14" s="301" t="s">
        <v>2127</v>
      </c>
      <c r="AB14" s="878" t="s">
        <v>1451</v>
      </c>
      <c r="AC14" s="301" t="s">
        <v>2048</v>
      </c>
      <c r="AD14" s="878" t="s">
        <v>1516</v>
      </c>
      <c r="AE14" s="878" t="s">
        <v>2049</v>
      </c>
      <c r="AF14" s="791">
        <v>45762.0</v>
      </c>
      <c r="AG14" s="791">
        <v>45764.0</v>
      </c>
      <c r="AH14" s="787"/>
      <c r="AI14" s="787">
        <v>45777.0</v>
      </c>
      <c r="AJ14" s="292" t="s">
        <v>419</v>
      </c>
      <c r="AK14" s="292" t="s">
        <v>1339</v>
      </c>
      <c r="AL14" s="292">
        <v>2868.0</v>
      </c>
      <c r="AM14" s="813"/>
      <c r="AN14" s="677" t="str">
        <f t="array" ref="AN14">xlookup(F14,'FL5_POR_包裝對照表 (Mapping Table)'!E:E,'FL5_POR_包裝對照表 (Mapping Table)'!BM:BM,"",0,1)</f>
        <v/>
      </c>
      <c r="AO14" s="813"/>
      <c r="AP14" s="813"/>
    </row>
    <row r="15" ht="20.25" customHeight="1">
      <c r="A15" s="886"/>
      <c r="B15" s="877">
        <v>9.0</v>
      </c>
      <c r="C15" s="877" t="s">
        <v>277</v>
      </c>
      <c r="D15" s="878" t="s">
        <v>2043</v>
      </c>
      <c r="E15" s="677" t="str">
        <f t="shared" si="2"/>
        <v>Close</v>
      </c>
      <c r="F15" s="879" t="s">
        <v>1412</v>
      </c>
      <c r="G15" s="880" t="s">
        <v>52</v>
      </c>
      <c r="H15" s="881" t="s">
        <v>1412</v>
      </c>
      <c r="I15" s="292" t="s">
        <v>1412</v>
      </c>
      <c r="J15" s="878" t="s">
        <v>1361</v>
      </c>
      <c r="K15" s="878" t="s">
        <v>1361</v>
      </c>
      <c r="L15" s="878" t="s">
        <v>1361</v>
      </c>
      <c r="M15" s="878" t="s">
        <v>2073</v>
      </c>
      <c r="N15" s="878" t="s">
        <v>2115</v>
      </c>
      <c r="O15" s="882" t="str">
        <f t="array" ref="O15">if(isblank(F15),"",xlookup(F15,'FL5_POR_包裝對照表 (Mapping Table)'!E:E,'FL5_POR_包裝對照表 (Mapping Table)'!L:L,"",0,1))</f>
        <v/>
      </c>
      <c r="P15" s="883">
        <v>0.2029</v>
      </c>
      <c r="Q15" s="786">
        <v>454.27</v>
      </c>
      <c r="R15" s="878" t="s">
        <v>2119</v>
      </c>
      <c r="S15" s="884" t="s">
        <v>1448</v>
      </c>
      <c r="T15" s="885" t="s">
        <v>2121</v>
      </c>
      <c r="U15" s="885" t="s">
        <v>2145</v>
      </c>
      <c r="V15" s="231" t="s">
        <v>2158</v>
      </c>
      <c r="W15" s="786" t="s">
        <v>1517</v>
      </c>
      <c r="X15" s="878" t="s">
        <v>2073</v>
      </c>
      <c r="Y15" s="878" t="s">
        <v>2125</v>
      </c>
      <c r="Z15" s="301" t="s">
        <v>2126</v>
      </c>
      <c r="AA15" s="301" t="s">
        <v>2127</v>
      </c>
      <c r="AB15" s="878" t="s">
        <v>1480</v>
      </c>
      <c r="AC15" s="301" t="s">
        <v>2048</v>
      </c>
      <c r="AD15" s="878" t="s">
        <v>1516</v>
      </c>
      <c r="AE15" s="878" t="s">
        <v>2049</v>
      </c>
      <c r="AF15" s="791">
        <v>45762.0</v>
      </c>
      <c r="AG15" s="791">
        <v>45764.0</v>
      </c>
      <c r="AH15" s="787"/>
      <c r="AI15" s="787">
        <v>45777.0</v>
      </c>
      <c r="AJ15" s="292" t="s">
        <v>596</v>
      </c>
      <c r="AK15" s="292" t="s">
        <v>1339</v>
      </c>
      <c r="AL15" s="292">
        <v>2864.0</v>
      </c>
      <c r="AM15" s="813"/>
      <c r="AN15" s="677" t="str">
        <f t="array" ref="AN15">xlookup(F15,'FL5_POR_包裝對照表 (Mapping Table)'!E:E,'FL5_POR_包裝對照表 (Mapping Table)'!BM:BM,"",0,1)</f>
        <v/>
      </c>
      <c r="AO15" s="813"/>
      <c r="AP15" s="813"/>
    </row>
    <row r="16" ht="20.25" customHeight="1">
      <c r="A16" s="886"/>
      <c r="B16" s="877">
        <v>10.0</v>
      </c>
      <c r="C16" s="877" t="s">
        <v>277</v>
      </c>
      <c r="D16" s="878" t="s">
        <v>2043</v>
      </c>
      <c r="E16" s="677" t="str">
        <f t="shared" si="2"/>
        <v>Close</v>
      </c>
      <c r="F16" s="879" t="s">
        <v>2159</v>
      </c>
      <c r="G16" s="880" t="s">
        <v>52</v>
      </c>
      <c r="H16" s="881" t="s">
        <v>2159</v>
      </c>
      <c r="I16" s="292" t="s">
        <v>2159</v>
      </c>
      <c r="J16" s="878" t="s">
        <v>1361</v>
      </c>
      <c r="K16" s="878" t="s">
        <v>1361</v>
      </c>
      <c r="L16" s="878" t="s">
        <v>1361</v>
      </c>
      <c r="M16" s="878" t="s">
        <v>2073</v>
      </c>
      <c r="N16" s="878" t="s">
        <v>2115</v>
      </c>
      <c r="O16" s="882" t="str">
        <f t="array" ref="O16">if(isblank(F16),"",xlookup(F16,'FL5_POR_包裝對照表 (Mapping Table)'!E:E,'FL5_POR_包裝對照表 (Mapping Table)'!L:L,"",0,1))</f>
        <v/>
      </c>
      <c r="P16" s="883">
        <v>0.2029</v>
      </c>
      <c r="Q16" s="786">
        <v>468.36</v>
      </c>
      <c r="R16" s="878" t="s">
        <v>2119</v>
      </c>
      <c r="S16" s="884" t="s">
        <v>1448</v>
      </c>
      <c r="T16" s="885" t="s">
        <v>2121</v>
      </c>
      <c r="U16" s="885" t="s">
        <v>2145</v>
      </c>
      <c r="V16" s="231" t="s">
        <v>2160</v>
      </c>
      <c r="W16" s="786" t="s">
        <v>1517</v>
      </c>
      <c r="X16" s="878" t="s">
        <v>2073</v>
      </c>
      <c r="Y16" s="878" t="s">
        <v>2125</v>
      </c>
      <c r="Z16" s="301" t="s">
        <v>2126</v>
      </c>
      <c r="AA16" s="301" t="s">
        <v>2127</v>
      </c>
      <c r="AB16" s="878" t="s">
        <v>1451</v>
      </c>
      <c r="AC16" s="301" t="s">
        <v>2048</v>
      </c>
      <c r="AD16" s="878" t="s">
        <v>1516</v>
      </c>
      <c r="AE16" s="878" t="s">
        <v>2049</v>
      </c>
      <c r="AF16" s="791">
        <v>45762.0</v>
      </c>
      <c r="AG16" s="791">
        <v>45764.0</v>
      </c>
      <c r="AH16" s="787"/>
      <c r="AI16" s="787">
        <v>45777.0</v>
      </c>
      <c r="AJ16" s="292" t="s">
        <v>419</v>
      </c>
      <c r="AK16" s="292" t="s">
        <v>1594</v>
      </c>
      <c r="AL16" s="292">
        <v>2876.0</v>
      </c>
      <c r="AM16" s="813"/>
      <c r="AN16" s="677" t="str">
        <f t="array" ref="AN16">xlookup(F16,'FL5_POR_包裝對照表 (Mapping Table)'!E:E,'FL5_POR_包裝對照表 (Mapping Table)'!BM:BM,"",0,1)</f>
        <v/>
      </c>
      <c r="AO16" s="813"/>
      <c r="AP16" s="813"/>
    </row>
    <row r="17" ht="20.25" customHeight="1">
      <c r="A17" s="886"/>
      <c r="B17" s="877">
        <v>11.0</v>
      </c>
      <c r="C17" s="877" t="s">
        <v>277</v>
      </c>
      <c r="D17" s="878" t="s">
        <v>2043</v>
      </c>
      <c r="E17" s="677" t="str">
        <f t="shared" si="2"/>
        <v>Close</v>
      </c>
      <c r="F17" s="879" t="s">
        <v>2161</v>
      </c>
      <c r="G17" s="880" t="s">
        <v>52</v>
      </c>
      <c r="H17" s="881" t="s">
        <v>2161</v>
      </c>
      <c r="I17" s="292" t="s">
        <v>2161</v>
      </c>
      <c r="J17" s="878" t="s">
        <v>1361</v>
      </c>
      <c r="K17" s="878" t="s">
        <v>1361</v>
      </c>
      <c r="L17" s="878" t="s">
        <v>1361</v>
      </c>
      <c r="M17" s="878" t="s">
        <v>2073</v>
      </c>
      <c r="N17" s="878" t="s">
        <v>2115</v>
      </c>
      <c r="O17" s="882" t="str">
        <f t="array" ref="O17">if(isblank(F17),"",xlookup(F17,'FL5_POR_包裝對照表 (Mapping Table)'!E:E,'FL5_POR_包裝對照表 (Mapping Table)'!L:L,"",0,1))</f>
        <v/>
      </c>
      <c r="P17" s="883">
        <v>0.2029</v>
      </c>
      <c r="Q17" s="786">
        <v>472.13</v>
      </c>
      <c r="R17" s="878" t="s">
        <v>2119</v>
      </c>
      <c r="S17" s="884" t="s">
        <v>1448</v>
      </c>
      <c r="T17" s="885" t="s">
        <v>2121</v>
      </c>
      <c r="U17" s="885" t="s">
        <v>2145</v>
      </c>
      <c r="V17" s="231" t="s">
        <v>2162</v>
      </c>
      <c r="W17" s="786" t="s">
        <v>1517</v>
      </c>
      <c r="X17" s="878" t="s">
        <v>2073</v>
      </c>
      <c r="Y17" s="878" t="s">
        <v>2125</v>
      </c>
      <c r="Z17" s="301" t="s">
        <v>2126</v>
      </c>
      <c r="AA17" s="301" t="s">
        <v>2127</v>
      </c>
      <c r="AB17" s="878" t="s">
        <v>1451</v>
      </c>
      <c r="AC17" s="301" t="s">
        <v>2048</v>
      </c>
      <c r="AD17" s="878" t="s">
        <v>1516</v>
      </c>
      <c r="AE17" s="878" t="s">
        <v>2049</v>
      </c>
      <c r="AF17" s="791">
        <v>45762.0</v>
      </c>
      <c r="AG17" s="791">
        <v>45764.0</v>
      </c>
      <c r="AH17" s="787"/>
      <c r="AI17" s="787">
        <v>45777.0</v>
      </c>
      <c r="AJ17" s="292" t="s">
        <v>419</v>
      </c>
      <c r="AK17" s="292" t="s">
        <v>1604</v>
      </c>
      <c r="AL17" s="292">
        <v>2875.0</v>
      </c>
      <c r="AM17" s="813"/>
      <c r="AN17" s="677" t="str">
        <f t="array" ref="AN17">xlookup(F17,'FL5_POR_包裝對照表 (Mapping Table)'!E:E,'FL5_POR_包裝對照表 (Mapping Table)'!BM:BM,"",0,1)</f>
        <v/>
      </c>
      <c r="AO17" s="813"/>
      <c r="AP17" s="813"/>
    </row>
    <row r="18" ht="20.25" customHeight="1">
      <c r="A18" s="886"/>
      <c r="B18" s="877">
        <v>12.0</v>
      </c>
      <c r="C18" s="877" t="s">
        <v>277</v>
      </c>
      <c r="D18" s="878" t="s">
        <v>2043</v>
      </c>
      <c r="E18" s="677" t="str">
        <f t="shared" si="2"/>
        <v>Close</v>
      </c>
      <c r="F18" s="879" t="s">
        <v>2163</v>
      </c>
      <c r="G18" s="880" t="s">
        <v>52</v>
      </c>
      <c r="H18" s="881" t="s">
        <v>2163</v>
      </c>
      <c r="I18" s="292" t="s">
        <v>2163</v>
      </c>
      <c r="J18" s="878" t="s">
        <v>1361</v>
      </c>
      <c r="K18" s="878" t="s">
        <v>1361</v>
      </c>
      <c r="L18" s="878" t="s">
        <v>1361</v>
      </c>
      <c r="M18" s="878" t="s">
        <v>2073</v>
      </c>
      <c r="N18" s="878" t="s">
        <v>2115</v>
      </c>
      <c r="O18" s="882" t="str">
        <f t="array" ref="O18">if(isblank(F18),"",xlookup(F18,'FL5_POR_包裝對照表 (Mapping Table)'!E:E,'FL5_POR_包裝對照表 (Mapping Table)'!L:L,"",0,1))</f>
        <v/>
      </c>
      <c r="P18" s="883">
        <v>0.2029</v>
      </c>
      <c r="Q18" s="786">
        <v>444.37</v>
      </c>
      <c r="R18" s="878" t="s">
        <v>2119</v>
      </c>
      <c r="S18" s="884" t="s">
        <v>1448</v>
      </c>
      <c r="T18" s="885" t="s">
        <v>2121</v>
      </c>
      <c r="U18" s="885" t="s">
        <v>2145</v>
      </c>
      <c r="V18" s="231" t="s">
        <v>2164</v>
      </c>
      <c r="W18" s="786" t="s">
        <v>1517</v>
      </c>
      <c r="X18" s="878" t="s">
        <v>2073</v>
      </c>
      <c r="Y18" s="878" t="s">
        <v>2125</v>
      </c>
      <c r="Z18" s="301" t="s">
        <v>2126</v>
      </c>
      <c r="AA18" s="301" t="s">
        <v>2127</v>
      </c>
      <c r="AB18" s="878" t="s">
        <v>1451</v>
      </c>
      <c r="AC18" s="301" t="s">
        <v>2048</v>
      </c>
      <c r="AD18" s="878" t="s">
        <v>1516</v>
      </c>
      <c r="AE18" s="878" t="s">
        <v>2049</v>
      </c>
      <c r="AF18" s="791">
        <v>45762.0</v>
      </c>
      <c r="AG18" s="791">
        <v>45764.0</v>
      </c>
      <c r="AH18" s="787"/>
      <c r="AI18" s="787">
        <v>45777.0</v>
      </c>
      <c r="AJ18" s="292" t="s">
        <v>419</v>
      </c>
      <c r="AK18" s="292" t="s">
        <v>1604</v>
      </c>
      <c r="AL18" s="292">
        <v>2869.0</v>
      </c>
      <c r="AM18" s="813"/>
      <c r="AN18" s="677" t="str">
        <f t="array" ref="AN18">xlookup(F18,'FL5_POR_包裝對照表 (Mapping Table)'!E:E,'FL5_POR_包裝對照表 (Mapping Table)'!BM:BM,"",0,1)</f>
        <v/>
      </c>
      <c r="AO18" s="813"/>
      <c r="AP18" s="813"/>
    </row>
    <row r="19" ht="20.25" customHeight="1">
      <c r="A19" s="886"/>
      <c r="B19" s="877">
        <v>13.0</v>
      </c>
      <c r="C19" s="877" t="s">
        <v>277</v>
      </c>
      <c r="D19" s="878" t="s">
        <v>2043</v>
      </c>
      <c r="E19" s="677" t="str">
        <f t="shared" si="2"/>
        <v>Close</v>
      </c>
      <c r="F19" s="879" t="s">
        <v>2165</v>
      </c>
      <c r="G19" s="880" t="s">
        <v>52</v>
      </c>
      <c r="H19" s="881" t="s">
        <v>2165</v>
      </c>
      <c r="I19" s="292" t="s">
        <v>2165</v>
      </c>
      <c r="J19" s="878" t="s">
        <v>1361</v>
      </c>
      <c r="K19" s="878" t="s">
        <v>1361</v>
      </c>
      <c r="L19" s="878" t="s">
        <v>1361</v>
      </c>
      <c r="M19" s="878" t="s">
        <v>2073</v>
      </c>
      <c r="N19" s="878" t="s">
        <v>2115</v>
      </c>
      <c r="O19" s="882" t="str">
        <f t="array" ref="O19">if(isblank(F19),"",xlookup(F19,'FL5_POR_包裝對照表 (Mapping Table)'!E:E,'FL5_POR_包裝對照表 (Mapping Table)'!L:L,"",0,1))</f>
        <v/>
      </c>
      <c r="P19" s="883">
        <v>0.2029</v>
      </c>
      <c r="Q19" s="786">
        <v>458.3</v>
      </c>
      <c r="R19" s="878" t="s">
        <v>2119</v>
      </c>
      <c r="S19" s="884" t="s">
        <v>1448</v>
      </c>
      <c r="T19" s="885" t="s">
        <v>2121</v>
      </c>
      <c r="U19" s="885" t="s">
        <v>2145</v>
      </c>
      <c r="V19" s="231" t="s">
        <v>2166</v>
      </c>
      <c r="W19" s="786" t="s">
        <v>1517</v>
      </c>
      <c r="X19" s="878" t="s">
        <v>2073</v>
      </c>
      <c r="Y19" s="878" t="s">
        <v>2125</v>
      </c>
      <c r="Z19" s="301" t="s">
        <v>2126</v>
      </c>
      <c r="AA19" s="301" t="s">
        <v>2127</v>
      </c>
      <c r="AB19" s="878" t="s">
        <v>1480</v>
      </c>
      <c r="AC19" s="301" t="s">
        <v>2048</v>
      </c>
      <c r="AD19" s="878" t="s">
        <v>1516</v>
      </c>
      <c r="AE19" s="878" t="s">
        <v>2049</v>
      </c>
      <c r="AF19" s="791">
        <v>45762.0</v>
      </c>
      <c r="AG19" s="791">
        <v>45764.0</v>
      </c>
      <c r="AH19" s="787"/>
      <c r="AI19" s="787">
        <v>45777.0</v>
      </c>
      <c r="AJ19" s="292" t="s">
        <v>596</v>
      </c>
      <c r="AK19" s="292" t="s">
        <v>1604</v>
      </c>
      <c r="AL19" s="292">
        <v>2865.0</v>
      </c>
      <c r="AM19" s="813"/>
      <c r="AN19" s="677" t="str">
        <f t="array" ref="AN19">xlookup(F19,'FL5_POR_包裝對照表 (Mapping Table)'!E:E,'FL5_POR_包裝對照表 (Mapping Table)'!BM:BM,"",0,1)</f>
        <v/>
      </c>
      <c r="AO19" s="813"/>
      <c r="AP19" s="813"/>
    </row>
    <row r="20" ht="20.25" customHeight="1">
      <c r="A20" s="876"/>
      <c r="B20" s="877">
        <v>14.0</v>
      </c>
      <c r="C20" s="877" t="s">
        <v>277</v>
      </c>
      <c r="D20" s="878" t="s">
        <v>2043</v>
      </c>
      <c r="E20" s="677" t="str">
        <f t="shared" si="2"/>
        <v>Close</v>
      </c>
      <c r="F20" s="879" t="s">
        <v>491</v>
      </c>
      <c r="G20" s="880" t="s">
        <v>408</v>
      </c>
      <c r="H20" s="881" t="s">
        <v>491</v>
      </c>
      <c r="I20" s="292" t="s">
        <v>1391</v>
      </c>
      <c r="J20" s="878" t="s">
        <v>1361</v>
      </c>
      <c r="K20" s="878" t="s">
        <v>1361</v>
      </c>
      <c r="L20" s="878" t="s">
        <v>1361</v>
      </c>
      <c r="M20" s="878" t="s">
        <v>2073</v>
      </c>
      <c r="N20" s="878" t="s">
        <v>2115</v>
      </c>
      <c r="O20" s="882" t="str">
        <f t="array" ref="O20">if(isblank(F20),"",xlookup(F20,'FL5_POR_包裝對照表 (Mapping Table)'!E:E,'FL5_POR_包裝對照表 (Mapping Table)'!L:L,"",0,1))</f>
        <v>GK2MP</v>
      </c>
      <c r="P20" s="887">
        <v>0.2029</v>
      </c>
      <c r="Q20" s="786">
        <v>427.23</v>
      </c>
      <c r="R20" s="878" t="s">
        <v>2119</v>
      </c>
      <c r="S20" s="878" t="s">
        <v>2167</v>
      </c>
      <c r="T20" s="885" t="s">
        <v>2121</v>
      </c>
      <c r="U20" s="885" t="s">
        <v>2145</v>
      </c>
      <c r="V20" s="231" t="s">
        <v>496</v>
      </c>
      <c r="W20" s="786" t="s">
        <v>1517</v>
      </c>
      <c r="X20" s="878" t="s">
        <v>2073</v>
      </c>
      <c r="Y20" s="878" t="s">
        <v>2125</v>
      </c>
      <c r="Z20" s="301" t="s">
        <v>2126</v>
      </c>
      <c r="AA20" s="301" t="s">
        <v>2127</v>
      </c>
      <c r="AB20" s="878" t="s">
        <v>1451</v>
      </c>
      <c r="AC20" s="301" t="s">
        <v>2048</v>
      </c>
      <c r="AD20" s="878" t="s">
        <v>1516</v>
      </c>
      <c r="AE20" s="878" t="s">
        <v>2049</v>
      </c>
      <c r="AF20" s="791">
        <v>45766.0</v>
      </c>
      <c r="AG20" s="791">
        <v>45769.0</v>
      </c>
      <c r="AH20" s="787"/>
      <c r="AI20" s="787">
        <v>45773.0</v>
      </c>
      <c r="AJ20" s="292" t="s">
        <v>419</v>
      </c>
      <c r="AK20" s="292" t="s">
        <v>1367</v>
      </c>
      <c r="AL20" s="292">
        <v>2786.0</v>
      </c>
      <c r="AM20" s="813"/>
      <c r="AN20" s="888" t="str">
        <f t="array" ref="AN20">xlookup(F20,'FL5_POR_包裝對照表 (Mapping Table)'!E:E,'FL5_POR_包裝對照表 (Mapping Table)'!BM:BM,"",0,1)</f>
        <v>No demand</v>
      </c>
      <c r="AO20" s="813"/>
      <c r="AP20" s="813"/>
    </row>
    <row r="21" ht="20.25" customHeight="1">
      <c r="A21" s="876"/>
      <c r="B21" s="877">
        <v>15.0</v>
      </c>
      <c r="C21" s="877" t="s">
        <v>277</v>
      </c>
      <c r="D21" s="878" t="s">
        <v>2043</v>
      </c>
      <c r="E21" s="677" t="str">
        <f t="shared" si="2"/>
        <v>Close</v>
      </c>
      <c r="F21" s="879" t="s">
        <v>553</v>
      </c>
      <c r="G21" s="880" t="s">
        <v>408</v>
      </c>
      <c r="H21" s="881" t="s">
        <v>553</v>
      </c>
      <c r="I21" s="292" t="s">
        <v>1391</v>
      </c>
      <c r="J21" s="878" t="s">
        <v>1361</v>
      </c>
      <c r="K21" s="878" t="s">
        <v>1361</v>
      </c>
      <c r="L21" s="878" t="s">
        <v>1361</v>
      </c>
      <c r="M21" s="878" t="s">
        <v>2073</v>
      </c>
      <c r="N21" s="878" t="s">
        <v>2115</v>
      </c>
      <c r="O21" s="882" t="str">
        <f t="array" ref="O21">if(isblank(F21),"",xlookup(F21,'FL5_POR_包裝對照表 (Mapping Table)'!E:E,'FL5_POR_包裝對照表 (Mapping Table)'!L:L,"",0,1))</f>
        <v>GL066</v>
      </c>
      <c r="P21" s="887">
        <v>0.2029</v>
      </c>
      <c r="Q21" s="786">
        <v>427.55</v>
      </c>
      <c r="R21" s="878" t="s">
        <v>2119</v>
      </c>
      <c r="S21" s="878" t="s">
        <v>2167</v>
      </c>
      <c r="T21" s="885" t="s">
        <v>2121</v>
      </c>
      <c r="U21" s="885" t="s">
        <v>2145</v>
      </c>
      <c r="V21" s="231" t="s">
        <v>558</v>
      </c>
      <c r="W21" s="786" t="s">
        <v>1517</v>
      </c>
      <c r="X21" s="878" t="s">
        <v>2073</v>
      </c>
      <c r="Y21" s="878" t="s">
        <v>2125</v>
      </c>
      <c r="Z21" s="301" t="s">
        <v>2126</v>
      </c>
      <c r="AA21" s="301" t="s">
        <v>2127</v>
      </c>
      <c r="AB21" s="878" t="s">
        <v>1451</v>
      </c>
      <c r="AC21" s="301" t="s">
        <v>2048</v>
      </c>
      <c r="AD21" s="878" t="s">
        <v>1516</v>
      </c>
      <c r="AE21" s="878" t="s">
        <v>2049</v>
      </c>
      <c r="AF21" s="791">
        <v>45766.0</v>
      </c>
      <c r="AG21" s="791">
        <v>45769.0</v>
      </c>
      <c r="AH21" s="787"/>
      <c r="AI21" s="787">
        <v>45773.0</v>
      </c>
      <c r="AJ21" s="292" t="s">
        <v>419</v>
      </c>
      <c r="AK21" s="292" t="s">
        <v>1367</v>
      </c>
      <c r="AL21" s="292">
        <v>2785.0</v>
      </c>
      <c r="AM21" s="813"/>
      <c r="AN21" s="888" t="str">
        <f t="array" ref="AN21">xlookup(F21,'FL5_POR_包裝對照表 (Mapping Table)'!E:E,'FL5_POR_包裝對照表 (Mapping Table)'!BM:BM,"",0,1)</f>
        <v>No demand</v>
      </c>
      <c r="AO21" s="813"/>
      <c r="AP21" s="813"/>
    </row>
    <row r="22" ht="20.25" customHeight="1">
      <c r="A22" s="876"/>
      <c r="B22" s="877">
        <v>16.0</v>
      </c>
      <c r="C22" s="877" t="s">
        <v>277</v>
      </c>
      <c r="D22" s="878" t="s">
        <v>2043</v>
      </c>
      <c r="E22" s="677" t="str">
        <f t="shared" si="2"/>
        <v>Close</v>
      </c>
      <c r="F22" s="879" t="s">
        <v>469</v>
      </c>
      <c r="G22" s="880" t="s">
        <v>408</v>
      </c>
      <c r="H22" s="881" t="s">
        <v>469</v>
      </c>
      <c r="I22" s="292" t="s">
        <v>1375</v>
      </c>
      <c r="J22" s="878" t="s">
        <v>1361</v>
      </c>
      <c r="K22" s="878" t="s">
        <v>1361</v>
      </c>
      <c r="L22" s="878" t="s">
        <v>1361</v>
      </c>
      <c r="M22" s="878" t="s">
        <v>2073</v>
      </c>
      <c r="N22" s="878" t="s">
        <v>2115</v>
      </c>
      <c r="O22" s="882" t="str">
        <f t="array" ref="O22">if(isblank(F22),"",xlookup(F22,'FL5_POR_包裝對照表 (Mapping Table)'!E:E,'FL5_POR_包裝對照表 (Mapping Table)'!L:L,"",0,1))</f>
        <v>GLBW0</v>
      </c>
      <c r="P22" s="887">
        <v>0.2029</v>
      </c>
      <c r="Q22" s="786">
        <v>464.81</v>
      </c>
      <c r="R22" s="878" t="s">
        <v>2119</v>
      </c>
      <c r="S22" s="878" t="s">
        <v>2167</v>
      </c>
      <c r="T22" s="885" t="s">
        <v>2121</v>
      </c>
      <c r="U22" s="885" t="s">
        <v>2145</v>
      </c>
      <c r="V22" s="231" t="s">
        <v>472</v>
      </c>
      <c r="W22" s="786" t="s">
        <v>1517</v>
      </c>
      <c r="X22" s="878" t="s">
        <v>2073</v>
      </c>
      <c r="Y22" s="878" t="s">
        <v>2125</v>
      </c>
      <c r="Z22" s="301" t="s">
        <v>2126</v>
      </c>
      <c r="AA22" s="301" t="s">
        <v>2127</v>
      </c>
      <c r="AB22" s="878" t="s">
        <v>1451</v>
      </c>
      <c r="AC22" s="301" t="s">
        <v>2048</v>
      </c>
      <c r="AD22" s="878" t="s">
        <v>1516</v>
      </c>
      <c r="AE22" s="878" t="s">
        <v>2049</v>
      </c>
      <c r="AF22" s="791">
        <v>45766.0</v>
      </c>
      <c r="AG22" s="791">
        <v>45769.0</v>
      </c>
      <c r="AH22" s="787"/>
      <c r="AI22" s="787">
        <v>45771.0</v>
      </c>
      <c r="AJ22" s="292" t="s">
        <v>419</v>
      </c>
      <c r="AK22" s="292" t="s">
        <v>1367</v>
      </c>
      <c r="AL22" s="292">
        <v>2724.0</v>
      </c>
      <c r="AM22" s="813"/>
      <c r="AN22" s="888" t="str">
        <f t="array" ref="AN22">xlookup(F22,'FL5_POR_包裝對照表 (Mapping Table)'!E:E,'FL5_POR_包裝對照表 (Mapping Table)'!BM:BM,"",0,1)</f>
        <v>No demand</v>
      </c>
      <c r="AO22" s="813"/>
      <c r="AP22" s="813"/>
    </row>
    <row r="23" ht="20.25" customHeight="1">
      <c r="A23" s="889"/>
      <c r="B23" s="877">
        <v>17.0</v>
      </c>
      <c r="C23" s="877" t="s">
        <v>277</v>
      </c>
      <c r="D23" s="878" t="s">
        <v>2043</v>
      </c>
      <c r="E23" s="677" t="str">
        <f t="shared" si="2"/>
        <v>Close</v>
      </c>
      <c r="F23" s="879" t="s">
        <v>442</v>
      </c>
      <c r="G23" s="880" t="s">
        <v>408</v>
      </c>
      <c r="H23" s="881" t="s">
        <v>442</v>
      </c>
      <c r="I23" s="292" t="s">
        <v>1375</v>
      </c>
      <c r="J23" s="878" t="s">
        <v>1361</v>
      </c>
      <c r="K23" s="878" t="s">
        <v>1361</v>
      </c>
      <c r="L23" s="878" t="s">
        <v>1361</v>
      </c>
      <c r="M23" s="878" t="s">
        <v>2073</v>
      </c>
      <c r="N23" s="878" t="s">
        <v>2115</v>
      </c>
      <c r="O23" s="882" t="str">
        <f t="array" ref="O23">if(isblank(F23),"",xlookup(F23,'FL5_POR_包裝對照表 (Mapping Table)'!E:E,'FL5_POR_包裝對照表 (Mapping Table)'!L:L,"",0,1))</f>
        <v>GLBW0</v>
      </c>
      <c r="P23" s="887">
        <v>0.2029</v>
      </c>
      <c r="Q23" s="786">
        <v>464.63</v>
      </c>
      <c r="R23" s="878" t="s">
        <v>2119</v>
      </c>
      <c r="S23" s="878" t="s">
        <v>2167</v>
      </c>
      <c r="T23" s="885" t="s">
        <v>2121</v>
      </c>
      <c r="U23" s="885" t="s">
        <v>2145</v>
      </c>
      <c r="V23" s="231" t="s">
        <v>445</v>
      </c>
      <c r="W23" s="786" t="s">
        <v>1517</v>
      </c>
      <c r="X23" s="878" t="s">
        <v>2073</v>
      </c>
      <c r="Y23" s="878" t="s">
        <v>2125</v>
      </c>
      <c r="Z23" s="301" t="s">
        <v>2126</v>
      </c>
      <c r="AA23" s="301" t="s">
        <v>2127</v>
      </c>
      <c r="AB23" s="878" t="s">
        <v>1451</v>
      </c>
      <c r="AC23" s="301" t="s">
        <v>2048</v>
      </c>
      <c r="AD23" s="878" t="s">
        <v>1516</v>
      </c>
      <c r="AE23" s="878" t="s">
        <v>2049</v>
      </c>
      <c r="AF23" s="791">
        <v>45766.0</v>
      </c>
      <c r="AG23" s="791">
        <v>45769.0</v>
      </c>
      <c r="AH23" s="787"/>
      <c r="AI23" s="787">
        <v>45771.0</v>
      </c>
      <c r="AJ23" s="292" t="s">
        <v>419</v>
      </c>
      <c r="AK23" s="292" t="s">
        <v>1367</v>
      </c>
      <c r="AL23" s="292">
        <v>2721.0</v>
      </c>
      <c r="AM23" s="813"/>
      <c r="AN23" s="888" t="str">
        <f t="array" ref="AN23">xlookup(F23,'FL5_POR_包裝對照表 (Mapping Table)'!E:E,'FL5_POR_包裝對照表 (Mapping Table)'!BM:BM,"",0,1)</f>
        <v>No demand</v>
      </c>
      <c r="AO23" s="813"/>
      <c r="AP23" s="813"/>
    </row>
    <row r="24" ht="20.25" customHeight="1">
      <c r="A24" s="889"/>
      <c r="B24" s="877">
        <v>18.0</v>
      </c>
      <c r="C24" s="877" t="s">
        <v>277</v>
      </c>
      <c r="D24" s="878" t="s">
        <v>2043</v>
      </c>
      <c r="E24" s="677" t="str">
        <f t="shared" si="2"/>
        <v>Close</v>
      </c>
      <c r="F24" s="879" t="s">
        <v>457</v>
      </c>
      <c r="G24" s="880" t="s">
        <v>408</v>
      </c>
      <c r="H24" s="881" t="s">
        <v>457</v>
      </c>
      <c r="I24" s="292" t="s">
        <v>1375</v>
      </c>
      <c r="J24" s="878" t="s">
        <v>1361</v>
      </c>
      <c r="K24" s="878" t="s">
        <v>1361</v>
      </c>
      <c r="L24" s="878" t="s">
        <v>1361</v>
      </c>
      <c r="M24" s="878" t="s">
        <v>2073</v>
      </c>
      <c r="N24" s="878" t="s">
        <v>2115</v>
      </c>
      <c r="O24" s="882" t="str">
        <f t="array" ref="O24">if(isblank(F24),"",xlookup(F24,'FL5_POR_包裝對照表 (Mapping Table)'!E:E,'FL5_POR_包裝對照表 (Mapping Table)'!L:L,"",0,1))</f>
        <v>GLBW0</v>
      </c>
      <c r="P24" s="887">
        <v>0.2029</v>
      </c>
      <c r="Q24" s="786">
        <v>464.63</v>
      </c>
      <c r="R24" s="878" t="s">
        <v>2119</v>
      </c>
      <c r="S24" s="878" t="s">
        <v>2167</v>
      </c>
      <c r="T24" s="885" t="s">
        <v>2121</v>
      </c>
      <c r="U24" s="885" t="s">
        <v>2145</v>
      </c>
      <c r="V24" s="231" t="s">
        <v>460</v>
      </c>
      <c r="W24" s="786" t="s">
        <v>1517</v>
      </c>
      <c r="X24" s="878" t="s">
        <v>2073</v>
      </c>
      <c r="Y24" s="878" t="s">
        <v>2125</v>
      </c>
      <c r="Z24" s="301" t="s">
        <v>2126</v>
      </c>
      <c r="AA24" s="301" t="s">
        <v>2127</v>
      </c>
      <c r="AB24" s="878" t="s">
        <v>1451</v>
      </c>
      <c r="AC24" s="301" t="s">
        <v>2048</v>
      </c>
      <c r="AD24" s="878" t="s">
        <v>1516</v>
      </c>
      <c r="AE24" s="878" t="s">
        <v>2049</v>
      </c>
      <c r="AF24" s="791">
        <v>45766.0</v>
      </c>
      <c r="AG24" s="791">
        <v>45769.0</v>
      </c>
      <c r="AH24" s="787"/>
      <c r="AI24" s="787">
        <v>45771.0</v>
      </c>
      <c r="AJ24" s="292" t="s">
        <v>419</v>
      </c>
      <c r="AK24" s="292" t="s">
        <v>1367</v>
      </c>
      <c r="AL24" s="292">
        <v>2719.0</v>
      </c>
      <c r="AM24" s="813"/>
      <c r="AN24" s="888" t="str">
        <f t="array" ref="AN24">xlookup(F24,'FL5_POR_包裝對照表 (Mapping Table)'!E:E,'FL5_POR_包裝對照表 (Mapping Table)'!BM:BM,"",0,1)</f>
        <v>No demand</v>
      </c>
      <c r="AO24" s="813"/>
      <c r="AP24" s="813"/>
    </row>
    <row r="25" ht="20.25" customHeight="1">
      <c r="A25" s="890"/>
      <c r="B25" s="877">
        <v>19.0</v>
      </c>
      <c r="C25" s="877" t="s">
        <v>277</v>
      </c>
      <c r="D25" s="878" t="s">
        <v>2043</v>
      </c>
      <c r="E25" s="677" t="str">
        <f t="shared" si="2"/>
        <v>Close</v>
      </c>
      <c r="F25" s="879" t="s">
        <v>505</v>
      </c>
      <c r="G25" s="880" t="s">
        <v>408</v>
      </c>
      <c r="H25" s="881" t="s">
        <v>505</v>
      </c>
      <c r="I25" s="292" t="s">
        <v>2148</v>
      </c>
      <c r="J25" s="878" t="s">
        <v>1361</v>
      </c>
      <c r="K25" s="878" t="s">
        <v>1361</v>
      </c>
      <c r="L25" s="878" t="s">
        <v>1361</v>
      </c>
      <c r="M25" s="878" t="s">
        <v>2073</v>
      </c>
      <c r="N25" s="878" t="s">
        <v>2115</v>
      </c>
      <c r="O25" s="882" t="str">
        <f t="array" ref="O25">if(isblank(F25),"",xlookup(F25,'FL5_POR_包裝對照表 (Mapping Table)'!E:E,'FL5_POR_包裝對照表 (Mapping Table)'!L:L,"",0,1))</f>
        <v>GK2MP</v>
      </c>
      <c r="P25" s="887">
        <v>0.2029</v>
      </c>
      <c r="Q25" s="786">
        <v>441.37</v>
      </c>
      <c r="R25" s="878" t="s">
        <v>2119</v>
      </c>
      <c r="S25" s="878" t="s">
        <v>2167</v>
      </c>
      <c r="T25" s="885" t="s">
        <v>2121</v>
      </c>
      <c r="U25" s="885" t="s">
        <v>2145</v>
      </c>
      <c r="V25" s="231" t="s">
        <v>506</v>
      </c>
      <c r="W25" s="786" t="s">
        <v>1517</v>
      </c>
      <c r="X25" s="878" t="s">
        <v>2073</v>
      </c>
      <c r="Y25" s="878" t="s">
        <v>2125</v>
      </c>
      <c r="Z25" s="301" t="s">
        <v>2126</v>
      </c>
      <c r="AA25" s="301" t="s">
        <v>2127</v>
      </c>
      <c r="AB25" s="878" t="s">
        <v>1451</v>
      </c>
      <c r="AC25" s="301" t="s">
        <v>2048</v>
      </c>
      <c r="AD25" s="878" t="s">
        <v>1516</v>
      </c>
      <c r="AE25" s="878" t="s">
        <v>2049</v>
      </c>
      <c r="AF25" s="791">
        <v>45766.0</v>
      </c>
      <c r="AG25" s="791">
        <v>45769.0</v>
      </c>
      <c r="AH25" s="787"/>
      <c r="AI25" s="787">
        <v>45773.0</v>
      </c>
      <c r="AJ25" s="292" t="s">
        <v>419</v>
      </c>
      <c r="AK25" s="292" t="s">
        <v>1594</v>
      </c>
      <c r="AL25" s="292">
        <v>2816.0</v>
      </c>
      <c r="AM25" s="813"/>
      <c r="AN25" s="888" t="str">
        <f t="array" ref="AN25">xlookup(F25,'FL5_POR_包裝對照表 (Mapping Table)'!E:E,'FL5_POR_包裝對照表 (Mapping Table)'!BM:BM,"",0,1)</f>
        <v>No demand</v>
      </c>
      <c r="AO25" s="813"/>
      <c r="AP25" s="813"/>
    </row>
    <row r="26" ht="20.25" customHeight="1">
      <c r="A26" s="889"/>
      <c r="B26" s="877">
        <v>20.0</v>
      </c>
      <c r="C26" s="877" t="s">
        <v>277</v>
      </c>
      <c r="D26" s="878" t="s">
        <v>2043</v>
      </c>
      <c r="E26" s="677" t="str">
        <f t="shared" si="2"/>
        <v>Close</v>
      </c>
      <c r="F26" s="879" t="s">
        <v>564</v>
      </c>
      <c r="G26" s="880" t="s">
        <v>408</v>
      </c>
      <c r="H26" s="881" t="s">
        <v>564</v>
      </c>
      <c r="I26" s="292" t="s">
        <v>2148</v>
      </c>
      <c r="J26" s="878" t="s">
        <v>1361</v>
      </c>
      <c r="K26" s="878" t="s">
        <v>1361</v>
      </c>
      <c r="L26" s="878" t="s">
        <v>1361</v>
      </c>
      <c r="M26" s="878" t="s">
        <v>2073</v>
      </c>
      <c r="N26" s="878" t="s">
        <v>2115</v>
      </c>
      <c r="O26" s="882" t="str">
        <f t="array" ref="O26">if(isblank(F26),"",xlookup(F26,'FL5_POR_包裝對照表 (Mapping Table)'!E:E,'FL5_POR_包裝對照表 (Mapping Table)'!L:L,"",0,1))</f>
        <v>GL066</v>
      </c>
      <c r="P26" s="887">
        <v>0.2029</v>
      </c>
      <c r="Q26" s="786">
        <v>441.69</v>
      </c>
      <c r="R26" s="878" t="s">
        <v>2119</v>
      </c>
      <c r="S26" s="878" t="s">
        <v>2167</v>
      </c>
      <c r="T26" s="885" t="s">
        <v>2121</v>
      </c>
      <c r="U26" s="885" t="s">
        <v>2145</v>
      </c>
      <c r="V26" s="231" t="s">
        <v>565</v>
      </c>
      <c r="W26" s="786" t="s">
        <v>1517</v>
      </c>
      <c r="X26" s="878" t="s">
        <v>2073</v>
      </c>
      <c r="Y26" s="878" t="s">
        <v>2125</v>
      </c>
      <c r="Z26" s="301" t="s">
        <v>2126</v>
      </c>
      <c r="AA26" s="301" t="s">
        <v>2127</v>
      </c>
      <c r="AB26" s="878" t="s">
        <v>1451</v>
      </c>
      <c r="AC26" s="301" t="s">
        <v>2048</v>
      </c>
      <c r="AD26" s="878" t="s">
        <v>1516</v>
      </c>
      <c r="AE26" s="878" t="s">
        <v>2049</v>
      </c>
      <c r="AF26" s="791">
        <v>45766.0</v>
      </c>
      <c r="AG26" s="791">
        <v>45769.0</v>
      </c>
      <c r="AH26" s="787"/>
      <c r="AI26" s="787">
        <v>45773.0</v>
      </c>
      <c r="AJ26" s="292" t="s">
        <v>419</v>
      </c>
      <c r="AK26" s="292" t="s">
        <v>1594</v>
      </c>
      <c r="AL26" s="292">
        <v>2815.0</v>
      </c>
      <c r="AM26" s="813"/>
      <c r="AN26" s="888" t="str">
        <f t="array" ref="AN26">xlookup(F26,'FL5_POR_包裝對照表 (Mapping Table)'!E:E,'FL5_POR_包裝對照表 (Mapping Table)'!BM:BM,"",0,1)</f>
        <v>No demand</v>
      </c>
      <c r="AO26" s="813"/>
      <c r="AP26" s="813"/>
    </row>
    <row r="27" ht="20.25" customHeight="1">
      <c r="A27" s="889"/>
      <c r="B27" s="877">
        <v>21.0</v>
      </c>
      <c r="C27" s="877" t="s">
        <v>277</v>
      </c>
      <c r="D27" s="878" t="s">
        <v>2043</v>
      </c>
      <c r="E27" s="677" t="str">
        <f t="shared" si="2"/>
        <v>Close</v>
      </c>
      <c r="F27" s="879" t="s">
        <v>657</v>
      </c>
      <c r="G27" s="880" t="s">
        <v>408</v>
      </c>
      <c r="H27" s="881" t="s">
        <v>657</v>
      </c>
      <c r="I27" s="292" t="s">
        <v>2154</v>
      </c>
      <c r="J27" s="878" t="s">
        <v>1361</v>
      </c>
      <c r="K27" s="878" t="s">
        <v>1361</v>
      </c>
      <c r="L27" s="878" t="s">
        <v>1361</v>
      </c>
      <c r="M27" s="878" t="s">
        <v>2073</v>
      </c>
      <c r="N27" s="878" t="s">
        <v>2115</v>
      </c>
      <c r="O27" s="882" t="str">
        <f t="array" ref="O27">if(isblank(F27),"",xlookup(F27,'FL5_POR_包裝對照表 (Mapping Table)'!E:E,'FL5_POR_包裝對照表 (Mapping Table)'!L:L,"",0,1))</f>
        <v>GK2MP
</v>
      </c>
      <c r="P27" s="887">
        <v>0.2029</v>
      </c>
      <c r="Q27" s="786">
        <v>450.55</v>
      </c>
      <c r="R27" s="878" t="s">
        <v>2119</v>
      </c>
      <c r="S27" s="878" t="s">
        <v>2167</v>
      </c>
      <c r="T27" s="885" t="s">
        <v>2121</v>
      </c>
      <c r="U27" s="885" t="s">
        <v>2145</v>
      </c>
      <c r="V27" s="231" t="s">
        <v>2168</v>
      </c>
      <c r="W27" s="786" t="s">
        <v>1517</v>
      </c>
      <c r="X27" s="878" t="s">
        <v>2073</v>
      </c>
      <c r="Y27" s="878" t="s">
        <v>2125</v>
      </c>
      <c r="Z27" s="301" t="s">
        <v>2126</v>
      </c>
      <c r="AA27" s="301" t="s">
        <v>2127</v>
      </c>
      <c r="AB27" s="878" t="s">
        <v>1480</v>
      </c>
      <c r="AC27" s="301" t="s">
        <v>2048</v>
      </c>
      <c r="AD27" s="878" t="s">
        <v>1516</v>
      </c>
      <c r="AE27" s="878" t="s">
        <v>2049</v>
      </c>
      <c r="AF27" s="791">
        <v>45766.0</v>
      </c>
      <c r="AG27" s="791">
        <v>45769.0</v>
      </c>
      <c r="AH27" s="787"/>
      <c r="AI27" s="787">
        <v>45773.0</v>
      </c>
      <c r="AJ27" s="292" t="s">
        <v>596</v>
      </c>
      <c r="AK27" s="292" t="s">
        <v>1367</v>
      </c>
      <c r="AL27" s="292">
        <v>2818.0</v>
      </c>
      <c r="AM27" s="813"/>
      <c r="AN27" s="888" t="str">
        <f t="array" ref="AN27">xlookup(F27,'FL5_POR_包裝對照表 (Mapping Table)'!E:E,'FL5_POR_包裝對照表 (Mapping Table)'!BM:BM,"",0,1)</f>
        <v>No demand</v>
      </c>
      <c r="AO27" s="813"/>
      <c r="AP27" s="813"/>
    </row>
    <row r="28" ht="20.25" customHeight="1">
      <c r="A28" s="889"/>
      <c r="B28" s="877">
        <v>22.0</v>
      </c>
      <c r="C28" s="877" t="s">
        <v>277</v>
      </c>
      <c r="D28" s="878" t="s">
        <v>2043</v>
      </c>
      <c r="E28" s="677" t="str">
        <f t="shared" si="2"/>
        <v>Close</v>
      </c>
      <c r="F28" s="879" t="s">
        <v>681</v>
      </c>
      <c r="G28" s="880" t="s">
        <v>408</v>
      </c>
      <c r="H28" s="881" t="s">
        <v>681</v>
      </c>
      <c r="I28" s="292" t="s">
        <v>2154</v>
      </c>
      <c r="J28" s="878" t="s">
        <v>1361</v>
      </c>
      <c r="K28" s="878" t="s">
        <v>1361</v>
      </c>
      <c r="L28" s="878" t="s">
        <v>1361</v>
      </c>
      <c r="M28" s="878" t="s">
        <v>2073</v>
      </c>
      <c r="N28" s="878" t="s">
        <v>2115</v>
      </c>
      <c r="O28" s="882" t="str">
        <f t="array" ref="O28">if(isblank(F28),"",xlookup(F28,'FL5_POR_包裝對照表 (Mapping Table)'!E:E,'FL5_POR_包裝對照表 (Mapping Table)'!L:L,"",0,1))</f>
        <v>GK2MP</v>
      </c>
      <c r="P28" s="887">
        <v>0.2029</v>
      </c>
      <c r="Q28" s="786">
        <v>450.04</v>
      </c>
      <c r="R28" s="878" t="s">
        <v>2119</v>
      </c>
      <c r="S28" s="878" t="s">
        <v>2167</v>
      </c>
      <c r="T28" s="885" t="s">
        <v>2121</v>
      </c>
      <c r="U28" s="885" t="s">
        <v>2145</v>
      </c>
      <c r="V28" s="231" t="s">
        <v>682</v>
      </c>
      <c r="W28" s="786" t="s">
        <v>1517</v>
      </c>
      <c r="X28" s="878" t="s">
        <v>2073</v>
      </c>
      <c r="Y28" s="878" t="s">
        <v>2125</v>
      </c>
      <c r="Z28" s="301" t="s">
        <v>2126</v>
      </c>
      <c r="AA28" s="301" t="s">
        <v>2127</v>
      </c>
      <c r="AB28" s="878" t="s">
        <v>1480</v>
      </c>
      <c r="AC28" s="301" t="s">
        <v>2048</v>
      </c>
      <c r="AD28" s="878" t="s">
        <v>1516</v>
      </c>
      <c r="AE28" s="878" t="s">
        <v>2049</v>
      </c>
      <c r="AF28" s="791">
        <v>45766.0</v>
      </c>
      <c r="AG28" s="791">
        <v>45769.0</v>
      </c>
      <c r="AH28" s="787"/>
      <c r="AI28" s="787">
        <v>45773.0</v>
      </c>
      <c r="AJ28" s="292" t="s">
        <v>596</v>
      </c>
      <c r="AK28" s="292" t="s">
        <v>1367</v>
      </c>
      <c r="AL28" s="292">
        <v>2817.0</v>
      </c>
      <c r="AM28" s="813"/>
      <c r="AN28" s="888" t="str">
        <f t="array" ref="AN28">xlookup(F28,'FL5_POR_包裝對照表 (Mapping Table)'!E:E,'FL5_POR_包裝對照表 (Mapping Table)'!BM:BM,"",0,1)</f>
        <v>No demand</v>
      </c>
      <c r="AO28" s="813"/>
      <c r="AP28" s="813"/>
    </row>
    <row r="29" ht="20.25" customHeight="1">
      <c r="A29" s="889"/>
      <c r="B29" s="877">
        <v>23.0</v>
      </c>
      <c r="C29" s="877" t="s">
        <v>277</v>
      </c>
      <c r="D29" s="878" t="s">
        <v>2043</v>
      </c>
      <c r="E29" s="677" t="str">
        <f t="shared" si="2"/>
        <v>Close</v>
      </c>
      <c r="F29" s="879" t="s">
        <v>519</v>
      </c>
      <c r="G29" s="880" t="s">
        <v>408</v>
      </c>
      <c r="H29" s="881" t="s">
        <v>519</v>
      </c>
      <c r="I29" s="292" t="s">
        <v>1395</v>
      </c>
      <c r="J29" s="878" t="s">
        <v>1361</v>
      </c>
      <c r="K29" s="878" t="s">
        <v>1361</v>
      </c>
      <c r="L29" s="878" t="s">
        <v>1361</v>
      </c>
      <c r="M29" s="878" t="s">
        <v>2073</v>
      </c>
      <c r="N29" s="878" t="s">
        <v>2115</v>
      </c>
      <c r="O29" s="882" t="str">
        <f t="array" ref="O29">if(isblank(F29),"",xlookup(F29,'FL5_POR_包裝對照表 (Mapping Table)'!E:E,'FL5_POR_包裝對照表 (Mapping Table)'!L:L,"",0,1))</f>
        <v>GK2MP</v>
      </c>
      <c r="P29" s="887">
        <v>0.2029</v>
      </c>
      <c r="Q29" s="786">
        <v>441.14</v>
      </c>
      <c r="R29" s="878" t="s">
        <v>2119</v>
      </c>
      <c r="S29" s="878" t="s">
        <v>2167</v>
      </c>
      <c r="T29" s="885" t="s">
        <v>2121</v>
      </c>
      <c r="U29" s="885" t="s">
        <v>2145</v>
      </c>
      <c r="V29" s="231" t="s">
        <v>520</v>
      </c>
      <c r="W29" s="786" t="s">
        <v>1517</v>
      </c>
      <c r="X29" s="878" t="s">
        <v>2073</v>
      </c>
      <c r="Y29" s="878" t="s">
        <v>2125</v>
      </c>
      <c r="Z29" s="301" t="s">
        <v>2126</v>
      </c>
      <c r="AA29" s="301" t="s">
        <v>2127</v>
      </c>
      <c r="AB29" s="878" t="s">
        <v>1451</v>
      </c>
      <c r="AC29" s="301" t="s">
        <v>2048</v>
      </c>
      <c r="AD29" s="878" t="s">
        <v>1516</v>
      </c>
      <c r="AE29" s="878" t="s">
        <v>2049</v>
      </c>
      <c r="AF29" s="791">
        <v>45766.0</v>
      </c>
      <c r="AG29" s="791">
        <v>45769.0</v>
      </c>
      <c r="AH29" s="787"/>
      <c r="AI29" s="787">
        <v>45773.0</v>
      </c>
      <c r="AJ29" s="292" t="s">
        <v>419</v>
      </c>
      <c r="AK29" s="292" t="s">
        <v>1339</v>
      </c>
      <c r="AL29" s="292">
        <v>2810.0</v>
      </c>
      <c r="AM29" s="813"/>
      <c r="AN29" s="888" t="str">
        <f t="array" ref="AN29">xlookup(F29,'FL5_POR_包裝對照表 (Mapping Table)'!E:E,'FL5_POR_包裝對照表 (Mapping Table)'!BM:BM,"",0,1)</f>
        <v>No demand</v>
      </c>
      <c r="AO29" s="813"/>
      <c r="AP29" s="813"/>
    </row>
    <row r="30" ht="20.25" customHeight="1">
      <c r="A30" s="889"/>
      <c r="B30" s="877">
        <v>24.0</v>
      </c>
      <c r="C30" s="877" t="s">
        <v>277</v>
      </c>
      <c r="D30" s="878" t="s">
        <v>2043</v>
      </c>
      <c r="E30" s="677" t="str">
        <f t="shared" si="2"/>
        <v>Close</v>
      </c>
      <c r="F30" s="879" t="s">
        <v>547</v>
      </c>
      <c r="G30" s="880" t="s">
        <v>408</v>
      </c>
      <c r="H30" s="881" t="s">
        <v>547</v>
      </c>
      <c r="I30" s="292" t="s">
        <v>1395</v>
      </c>
      <c r="J30" s="878" t="s">
        <v>1361</v>
      </c>
      <c r="K30" s="878" t="s">
        <v>1361</v>
      </c>
      <c r="L30" s="878" t="s">
        <v>1361</v>
      </c>
      <c r="M30" s="878" t="s">
        <v>2073</v>
      </c>
      <c r="N30" s="878" t="s">
        <v>2115</v>
      </c>
      <c r="O30" s="882" t="str">
        <f t="array" ref="O30">if(isblank(F30),"",xlookup(F30,'FL5_POR_包裝對照表 (Mapping Table)'!E:E,'FL5_POR_包裝對照表 (Mapping Table)'!L:L,"",0,1))</f>
        <v>GK2MP
</v>
      </c>
      <c r="P30" s="887">
        <v>0.2029</v>
      </c>
      <c r="Q30" s="786">
        <v>441.64</v>
      </c>
      <c r="R30" s="878" t="s">
        <v>2119</v>
      </c>
      <c r="S30" s="878" t="s">
        <v>2167</v>
      </c>
      <c r="T30" s="885" t="s">
        <v>2121</v>
      </c>
      <c r="U30" s="885" t="s">
        <v>2145</v>
      </c>
      <c r="V30" s="231" t="s">
        <v>2169</v>
      </c>
      <c r="W30" s="786" t="s">
        <v>1517</v>
      </c>
      <c r="X30" s="878" t="s">
        <v>2073</v>
      </c>
      <c r="Y30" s="878" t="s">
        <v>2125</v>
      </c>
      <c r="Z30" s="301" t="s">
        <v>2126</v>
      </c>
      <c r="AA30" s="301" t="s">
        <v>2127</v>
      </c>
      <c r="AB30" s="878" t="s">
        <v>1451</v>
      </c>
      <c r="AC30" s="301" t="s">
        <v>2048</v>
      </c>
      <c r="AD30" s="878" t="s">
        <v>1516</v>
      </c>
      <c r="AE30" s="878" t="s">
        <v>2049</v>
      </c>
      <c r="AF30" s="791">
        <v>45766.0</v>
      </c>
      <c r="AG30" s="791">
        <v>45769.0</v>
      </c>
      <c r="AH30" s="787"/>
      <c r="AI30" s="787">
        <v>45773.0</v>
      </c>
      <c r="AJ30" s="292" t="s">
        <v>419</v>
      </c>
      <c r="AK30" s="292" t="s">
        <v>1339</v>
      </c>
      <c r="AL30" s="292">
        <v>2809.0</v>
      </c>
      <c r="AM30" s="813"/>
      <c r="AN30" s="888" t="str">
        <f t="array" ref="AN30">xlookup(F30,'FL5_POR_包裝對照表 (Mapping Table)'!E:E,'FL5_POR_包裝對照表 (Mapping Table)'!BM:BM,"",0,1)</f>
        <v>No demand</v>
      </c>
      <c r="AO30" s="813"/>
      <c r="AP30" s="813"/>
    </row>
    <row r="31" ht="20.25" customHeight="1">
      <c r="A31" s="889"/>
      <c r="B31" s="877">
        <v>25.0</v>
      </c>
      <c r="C31" s="877" t="s">
        <v>277</v>
      </c>
      <c r="D31" s="878" t="s">
        <v>2043</v>
      </c>
      <c r="E31" s="677" t="str">
        <f t="shared" si="2"/>
        <v>Close</v>
      </c>
      <c r="F31" s="879" t="s">
        <v>576</v>
      </c>
      <c r="G31" s="880" t="s">
        <v>408</v>
      </c>
      <c r="H31" s="881" t="s">
        <v>576</v>
      </c>
      <c r="I31" s="292" t="s">
        <v>1395</v>
      </c>
      <c r="J31" s="878" t="s">
        <v>1361</v>
      </c>
      <c r="K31" s="878" t="s">
        <v>1361</v>
      </c>
      <c r="L31" s="878" t="s">
        <v>1361</v>
      </c>
      <c r="M31" s="878" t="s">
        <v>2073</v>
      </c>
      <c r="N31" s="878" t="s">
        <v>2115</v>
      </c>
      <c r="O31" s="882" t="str">
        <f t="array" ref="O31">if(isblank(F31),"",xlookup(F31,'FL5_POR_包裝對照表 (Mapping Table)'!E:E,'FL5_POR_包裝對照表 (Mapping Table)'!L:L,"",0,1))</f>
        <v>GL066</v>
      </c>
      <c r="P31" s="887">
        <v>0.2029</v>
      </c>
      <c r="Q31" s="786">
        <v>441.46</v>
      </c>
      <c r="R31" s="878" t="s">
        <v>2119</v>
      </c>
      <c r="S31" s="878" t="s">
        <v>2167</v>
      </c>
      <c r="T31" s="885" t="s">
        <v>2121</v>
      </c>
      <c r="U31" s="885" t="s">
        <v>2145</v>
      </c>
      <c r="V31" s="231" t="s">
        <v>577</v>
      </c>
      <c r="W31" s="786" t="s">
        <v>1517</v>
      </c>
      <c r="X31" s="878" t="s">
        <v>2073</v>
      </c>
      <c r="Y31" s="878" t="s">
        <v>2125</v>
      </c>
      <c r="Z31" s="301" t="s">
        <v>2126</v>
      </c>
      <c r="AA31" s="301" t="s">
        <v>2127</v>
      </c>
      <c r="AB31" s="878" t="s">
        <v>1451</v>
      </c>
      <c r="AC31" s="301" t="s">
        <v>2048</v>
      </c>
      <c r="AD31" s="878" t="s">
        <v>1516</v>
      </c>
      <c r="AE31" s="878" t="s">
        <v>2049</v>
      </c>
      <c r="AF31" s="791">
        <v>45766.0</v>
      </c>
      <c r="AG31" s="791">
        <v>45769.0</v>
      </c>
      <c r="AH31" s="787"/>
      <c r="AI31" s="787">
        <v>45773.0</v>
      </c>
      <c r="AJ31" s="292" t="s">
        <v>419</v>
      </c>
      <c r="AK31" s="292" t="s">
        <v>1339</v>
      </c>
      <c r="AL31" s="292">
        <v>2808.0</v>
      </c>
      <c r="AM31" s="813"/>
      <c r="AN31" s="888" t="str">
        <f t="array" ref="AN31">xlookup(F31,'FL5_POR_包裝對照表 (Mapping Table)'!E:E,'FL5_POR_包裝對照表 (Mapping Table)'!BM:BM,"",0,1)</f>
        <v>No demand</v>
      </c>
      <c r="AO31" s="813"/>
      <c r="AP31" s="813"/>
    </row>
    <row r="32" ht="20.25" customHeight="1">
      <c r="A32" s="889"/>
      <c r="B32" s="877">
        <v>26.0</v>
      </c>
      <c r="C32" s="877" t="s">
        <v>277</v>
      </c>
      <c r="D32" s="878" t="s">
        <v>2043</v>
      </c>
      <c r="E32" s="677" t="str">
        <f t="shared" si="2"/>
        <v>Close</v>
      </c>
      <c r="F32" s="879" t="s">
        <v>663</v>
      </c>
      <c r="G32" s="880" t="s">
        <v>408</v>
      </c>
      <c r="H32" s="881" t="s">
        <v>663</v>
      </c>
      <c r="I32" s="292" t="s">
        <v>2150</v>
      </c>
      <c r="J32" s="878" t="s">
        <v>1361</v>
      </c>
      <c r="K32" s="878" t="s">
        <v>1361</v>
      </c>
      <c r="L32" s="878" t="s">
        <v>1361</v>
      </c>
      <c r="M32" s="878" t="s">
        <v>2073</v>
      </c>
      <c r="N32" s="878" t="s">
        <v>2115</v>
      </c>
      <c r="O32" s="882" t="str">
        <f t="array" ref="O32">if(isblank(F32),"",xlookup(F32,'FL5_POR_包裝對照表 (Mapping Table)'!E:E,'FL5_POR_包裝對照表 (Mapping Table)'!L:L,"",0,1))</f>
        <v>GK2MP
</v>
      </c>
      <c r="P32" s="887">
        <v>0.2029</v>
      </c>
      <c r="Q32" s="786">
        <v>447.91</v>
      </c>
      <c r="R32" s="878" t="s">
        <v>2119</v>
      </c>
      <c r="S32" s="878" t="s">
        <v>2167</v>
      </c>
      <c r="T32" s="885" t="s">
        <v>2121</v>
      </c>
      <c r="U32" s="885" t="s">
        <v>2145</v>
      </c>
      <c r="V32" s="231" t="s">
        <v>2170</v>
      </c>
      <c r="W32" s="786" t="s">
        <v>1517</v>
      </c>
      <c r="X32" s="878" t="s">
        <v>2073</v>
      </c>
      <c r="Y32" s="878" t="s">
        <v>2125</v>
      </c>
      <c r="Z32" s="301" t="s">
        <v>2126</v>
      </c>
      <c r="AA32" s="301" t="s">
        <v>2127</v>
      </c>
      <c r="AB32" s="878" t="s">
        <v>1480</v>
      </c>
      <c r="AC32" s="301" t="s">
        <v>2048</v>
      </c>
      <c r="AD32" s="878" t="s">
        <v>1516</v>
      </c>
      <c r="AE32" s="878" t="s">
        <v>2049</v>
      </c>
      <c r="AF32" s="791">
        <v>45766.0</v>
      </c>
      <c r="AG32" s="791">
        <v>45769.0</v>
      </c>
      <c r="AH32" s="787"/>
      <c r="AI32" s="787">
        <v>45773.0</v>
      </c>
      <c r="AJ32" s="292" t="s">
        <v>596</v>
      </c>
      <c r="AK32" s="292" t="s">
        <v>1594</v>
      </c>
      <c r="AL32" s="292">
        <v>2807.0</v>
      </c>
      <c r="AM32" s="813"/>
      <c r="AN32" s="888" t="str">
        <f t="array" ref="AN32">xlookup(F32,'FL5_POR_包裝對照表 (Mapping Table)'!E:E,'FL5_POR_包裝對照表 (Mapping Table)'!BM:BM,"",0,1)</f>
        <v>No demand</v>
      </c>
      <c r="AO32" s="813"/>
      <c r="AP32" s="813"/>
    </row>
    <row r="33" ht="20.25" customHeight="1">
      <c r="A33" s="889"/>
      <c r="B33" s="877">
        <v>27.0</v>
      </c>
      <c r="C33" s="877" t="s">
        <v>277</v>
      </c>
      <c r="D33" s="878" t="s">
        <v>2043</v>
      </c>
      <c r="E33" s="677" t="str">
        <f t="shared" si="2"/>
        <v>Close</v>
      </c>
      <c r="F33" s="879" t="s">
        <v>436</v>
      </c>
      <c r="G33" s="880" t="s">
        <v>408</v>
      </c>
      <c r="H33" s="881" t="s">
        <v>436</v>
      </c>
      <c r="I33" s="292" t="s">
        <v>1350</v>
      </c>
      <c r="J33" s="878" t="s">
        <v>1361</v>
      </c>
      <c r="K33" s="878" t="s">
        <v>1361</v>
      </c>
      <c r="L33" s="878" t="s">
        <v>1361</v>
      </c>
      <c r="M33" s="878" t="s">
        <v>2073</v>
      </c>
      <c r="N33" s="878" t="s">
        <v>2115</v>
      </c>
      <c r="O33" s="882" t="str">
        <f t="array" ref="O33">if(isblank(F33),"",xlookup(F33,'FL5_POR_包裝對照表 (Mapping Table)'!E:E,'FL5_POR_包裝對照表 (Mapping Table)'!L:L,"",0,1))</f>
        <v>GLBW0</v>
      </c>
      <c r="P33" s="887">
        <v>0.2029</v>
      </c>
      <c r="Q33" s="786">
        <v>461.76</v>
      </c>
      <c r="R33" s="878" t="s">
        <v>2119</v>
      </c>
      <c r="S33" s="878" t="s">
        <v>2167</v>
      </c>
      <c r="T33" s="885" t="s">
        <v>2121</v>
      </c>
      <c r="U33" s="885" t="s">
        <v>2145</v>
      </c>
      <c r="V33" s="231" t="s">
        <v>438</v>
      </c>
      <c r="W33" s="786" t="s">
        <v>1517</v>
      </c>
      <c r="X33" s="878" t="s">
        <v>2073</v>
      </c>
      <c r="Y33" s="878" t="s">
        <v>2125</v>
      </c>
      <c r="Z33" s="301" t="s">
        <v>2126</v>
      </c>
      <c r="AA33" s="301" t="s">
        <v>2127</v>
      </c>
      <c r="AB33" s="878" t="s">
        <v>1451</v>
      </c>
      <c r="AC33" s="301" t="s">
        <v>2048</v>
      </c>
      <c r="AD33" s="878" t="s">
        <v>1516</v>
      </c>
      <c r="AE33" s="878" t="s">
        <v>2049</v>
      </c>
      <c r="AF33" s="791">
        <v>45766.0</v>
      </c>
      <c r="AG33" s="791">
        <v>45769.0</v>
      </c>
      <c r="AH33" s="787"/>
      <c r="AI33" s="787">
        <v>45773.0</v>
      </c>
      <c r="AJ33" s="292" t="s">
        <v>419</v>
      </c>
      <c r="AK33" s="292" t="s">
        <v>1339</v>
      </c>
      <c r="AL33" s="292">
        <v>2804.0</v>
      </c>
      <c r="AM33" s="813"/>
      <c r="AN33" s="888" t="str">
        <f t="array" ref="AN33">xlookup(F33,'FL5_POR_包裝對照表 (Mapping Table)'!E:E,'FL5_POR_包裝對照表 (Mapping Table)'!BM:BM,"",0,1)</f>
        <v>No demand</v>
      </c>
      <c r="AO33" s="813"/>
      <c r="AP33" s="813"/>
    </row>
    <row r="34" ht="20.25" customHeight="1">
      <c r="A34" s="889"/>
      <c r="B34" s="877">
        <v>28.0</v>
      </c>
      <c r="C34" s="877" t="s">
        <v>277</v>
      </c>
      <c r="D34" s="878" t="s">
        <v>2043</v>
      </c>
      <c r="E34" s="677" t="str">
        <f t="shared" si="2"/>
        <v>Close</v>
      </c>
      <c r="F34" s="879" t="s">
        <v>512</v>
      </c>
      <c r="G34" s="880" t="s">
        <v>408</v>
      </c>
      <c r="H34" s="881" t="s">
        <v>512</v>
      </c>
      <c r="I34" s="292" t="s">
        <v>2163</v>
      </c>
      <c r="J34" s="878" t="s">
        <v>1361</v>
      </c>
      <c r="K34" s="878" t="s">
        <v>1361</v>
      </c>
      <c r="L34" s="878" t="s">
        <v>1361</v>
      </c>
      <c r="M34" s="878" t="s">
        <v>2073</v>
      </c>
      <c r="N34" s="878" t="s">
        <v>2115</v>
      </c>
      <c r="O34" s="882" t="str">
        <f t="array" ref="O34">if(isblank(F34),"",xlookup(F34,'FL5_POR_包裝對照表 (Mapping Table)'!E:E,'FL5_POR_包裝對照表 (Mapping Table)'!L:L,"",0,1))</f>
        <v>GK2MP</v>
      </c>
      <c r="P34" s="887">
        <v>0.2029</v>
      </c>
      <c r="Q34" s="786">
        <v>445.06</v>
      </c>
      <c r="R34" s="878" t="s">
        <v>2119</v>
      </c>
      <c r="S34" s="878" t="s">
        <v>2167</v>
      </c>
      <c r="T34" s="885" t="s">
        <v>2121</v>
      </c>
      <c r="U34" s="885" t="s">
        <v>2145</v>
      </c>
      <c r="V34" s="231" t="s">
        <v>513</v>
      </c>
      <c r="W34" s="786" t="s">
        <v>1517</v>
      </c>
      <c r="X34" s="878" t="s">
        <v>2073</v>
      </c>
      <c r="Y34" s="878" t="s">
        <v>2125</v>
      </c>
      <c r="Z34" s="301" t="s">
        <v>2126</v>
      </c>
      <c r="AA34" s="301" t="s">
        <v>2127</v>
      </c>
      <c r="AB34" s="878" t="s">
        <v>1451</v>
      </c>
      <c r="AC34" s="301" t="s">
        <v>2048</v>
      </c>
      <c r="AD34" s="878" t="s">
        <v>1516</v>
      </c>
      <c r="AE34" s="878" t="s">
        <v>2049</v>
      </c>
      <c r="AF34" s="791">
        <v>45766.0</v>
      </c>
      <c r="AG34" s="791">
        <v>45769.0</v>
      </c>
      <c r="AH34" s="787"/>
      <c r="AI34" s="787">
        <v>45773.0</v>
      </c>
      <c r="AJ34" s="292" t="s">
        <v>419</v>
      </c>
      <c r="AK34" s="292" t="s">
        <v>1604</v>
      </c>
      <c r="AL34" s="292">
        <v>2813.0</v>
      </c>
      <c r="AM34" s="813"/>
      <c r="AN34" s="888" t="str">
        <f t="array" ref="AN34">xlookup(F34,'FL5_POR_包裝對照表 (Mapping Table)'!E:E,'FL5_POR_包裝對照表 (Mapping Table)'!BM:BM,"",0,1)</f>
        <v>No demand</v>
      </c>
      <c r="AO34" s="813"/>
      <c r="AP34" s="813"/>
    </row>
    <row r="35" ht="20.25" customHeight="1">
      <c r="A35" s="889"/>
      <c r="B35" s="877">
        <v>29.0</v>
      </c>
      <c r="C35" s="877" t="s">
        <v>277</v>
      </c>
      <c r="D35" s="878" t="s">
        <v>2043</v>
      </c>
      <c r="E35" s="677" t="str">
        <f t="shared" si="2"/>
        <v>Close</v>
      </c>
      <c r="F35" s="879" t="s">
        <v>541</v>
      </c>
      <c r="G35" s="880" t="s">
        <v>408</v>
      </c>
      <c r="H35" s="881" t="s">
        <v>541</v>
      </c>
      <c r="I35" s="292" t="s">
        <v>2163</v>
      </c>
      <c r="J35" s="878" t="s">
        <v>1361</v>
      </c>
      <c r="K35" s="878" t="s">
        <v>1361</v>
      </c>
      <c r="L35" s="878" t="s">
        <v>1361</v>
      </c>
      <c r="M35" s="878" t="s">
        <v>2073</v>
      </c>
      <c r="N35" s="878" t="s">
        <v>2115</v>
      </c>
      <c r="O35" s="882" t="str">
        <f t="array" ref="O35">if(isblank(F35),"",xlookup(F35,'FL5_POR_包裝對照表 (Mapping Table)'!E:E,'FL5_POR_包裝對照表 (Mapping Table)'!L:L,"",0,1))</f>
        <v>GK2MP
</v>
      </c>
      <c r="P35" s="887">
        <v>0.2029</v>
      </c>
      <c r="Q35" s="786">
        <v>445.56</v>
      </c>
      <c r="R35" s="878" t="s">
        <v>2119</v>
      </c>
      <c r="S35" s="878" t="s">
        <v>2167</v>
      </c>
      <c r="T35" s="885" t="s">
        <v>2121</v>
      </c>
      <c r="U35" s="885" t="s">
        <v>2145</v>
      </c>
      <c r="V35" s="231" t="s">
        <v>2171</v>
      </c>
      <c r="W35" s="786" t="s">
        <v>1517</v>
      </c>
      <c r="X35" s="878" t="s">
        <v>2073</v>
      </c>
      <c r="Y35" s="878" t="s">
        <v>2125</v>
      </c>
      <c r="Z35" s="301" t="s">
        <v>2126</v>
      </c>
      <c r="AA35" s="301" t="s">
        <v>2127</v>
      </c>
      <c r="AB35" s="878" t="s">
        <v>1451</v>
      </c>
      <c r="AC35" s="301" t="s">
        <v>2048</v>
      </c>
      <c r="AD35" s="878" t="s">
        <v>1516</v>
      </c>
      <c r="AE35" s="878" t="s">
        <v>2049</v>
      </c>
      <c r="AF35" s="791">
        <v>45766.0</v>
      </c>
      <c r="AG35" s="791">
        <v>45769.0</v>
      </c>
      <c r="AH35" s="787"/>
      <c r="AI35" s="787">
        <v>45773.0</v>
      </c>
      <c r="AJ35" s="292" t="s">
        <v>419</v>
      </c>
      <c r="AK35" s="292" t="s">
        <v>1604</v>
      </c>
      <c r="AL35" s="292">
        <v>2812.0</v>
      </c>
      <c r="AM35" s="813"/>
      <c r="AN35" s="888" t="str">
        <f t="array" ref="AN35">xlookup(F35,'FL5_POR_包裝對照表 (Mapping Table)'!E:E,'FL5_POR_包裝對照表 (Mapping Table)'!BM:BM,"",0,1)</f>
        <v>No demand</v>
      </c>
      <c r="AO35" s="813"/>
      <c r="AP35" s="813"/>
    </row>
    <row r="36" ht="20.25" customHeight="1">
      <c r="A36" s="889"/>
      <c r="B36" s="877">
        <v>30.0</v>
      </c>
      <c r="C36" s="877" t="s">
        <v>277</v>
      </c>
      <c r="D36" s="878" t="s">
        <v>2043</v>
      </c>
      <c r="E36" s="677" t="str">
        <f t="shared" si="2"/>
        <v>Close</v>
      </c>
      <c r="F36" s="879" t="s">
        <v>570</v>
      </c>
      <c r="G36" s="880" t="s">
        <v>408</v>
      </c>
      <c r="H36" s="881" t="s">
        <v>570</v>
      </c>
      <c r="I36" s="292" t="s">
        <v>2163</v>
      </c>
      <c r="J36" s="878" t="s">
        <v>1361</v>
      </c>
      <c r="K36" s="878" t="s">
        <v>1361</v>
      </c>
      <c r="L36" s="878" t="s">
        <v>1361</v>
      </c>
      <c r="M36" s="878" t="s">
        <v>2073</v>
      </c>
      <c r="N36" s="878" t="s">
        <v>2115</v>
      </c>
      <c r="O36" s="882" t="str">
        <f t="array" ref="O36">if(isblank(F36),"",xlookup(F36,'FL5_POR_包裝對照表 (Mapping Table)'!E:E,'FL5_POR_包裝對照表 (Mapping Table)'!L:L,"",0,1))</f>
        <v>GL066</v>
      </c>
      <c r="P36" s="887">
        <v>0.2029</v>
      </c>
      <c r="Q36" s="786">
        <v>445.62</v>
      </c>
      <c r="R36" s="878" t="s">
        <v>2119</v>
      </c>
      <c r="S36" s="878" t="s">
        <v>2167</v>
      </c>
      <c r="T36" s="885" t="s">
        <v>2121</v>
      </c>
      <c r="U36" s="885" t="s">
        <v>2145</v>
      </c>
      <c r="V36" s="231" t="s">
        <v>571</v>
      </c>
      <c r="W36" s="786" t="s">
        <v>1517</v>
      </c>
      <c r="X36" s="878" t="s">
        <v>2073</v>
      </c>
      <c r="Y36" s="878" t="s">
        <v>2125</v>
      </c>
      <c r="Z36" s="301" t="s">
        <v>2126</v>
      </c>
      <c r="AA36" s="301" t="s">
        <v>2127</v>
      </c>
      <c r="AB36" s="878" t="s">
        <v>1451</v>
      </c>
      <c r="AC36" s="301" t="s">
        <v>2048</v>
      </c>
      <c r="AD36" s="878" t="s">
        <v>1516</v>
      </c>
      <c r="AE36" s="878" t="s">
        <v>2049</v>
      </c>
      <c r="AF36" s="791">
        <v>45766.0</v>
      </c>
      <c r="AG36" s="791">
        <v>45769.0</v>
      </c>
      <c r="AH36" s="787"/>
      <c r="AI36" s="787">
        <v>45773.0</v>
      </c>
      <c r="AJ36" s="292" t="s">
        <v>419</v>
      </c>
      <c r="AK36" s="292" t="s">
        <v>1604</v>
      </c>
      <c r="AL36" s="292">
        <v>2811.0</v>
      </c>
      <c r="AM36" s="813"/>
      <c r="AN36" s="888" t="str">
        <f t="array" ref="AN36">xlookup(F36,'FL5_POR_包裝對照表 (Mapping Table)'!E:E,'FL5_POR_包裝對照表 (Mapping Table)'!BM:BM,"",0,1)</f>
        <v>No demand</v>
      </c>
      <c r="AO36" s="813"/>
      <c r="AP36" s="813"/>
    </row>
    <row r="37" ht="20.25" customHeight="1">
      <c r="A37" s="889"/>
      <c r="B37" s="877">
        <v>31.0</v>
      </c>
      <c r="C37" s="877" t="s">
        <v>277</v>
      </c>
      <c r="D37" s="878" t="s">
        <v>2043</v>
      </c>
      <c r="E37" s="677" t="str">
        <f t="shared" si="2"/>
        <v>Close</v>
      </c>
      <c r="F37" s="879" t="s">
        <v>693</v>
      </c>
      <c r="G37" s="880" t="s">
        <v>408</v>
      </c>
      <c r="H37" s="881" t="s">
        <v>693</v>
      </c>
      <c r="I37" s="292" t="s">
        <v>2165</v>
      </c>
      <c r="J37" s="878" t="s">
        <v>1361</v>
      </c>
      <c r="K37" s="878" t="s">
        <v>1361</v>
      </c>
      <c r="L37" s="878" t="s">
        <v>1361</v>
      </c>
      <c r="M37" s="878" t="s">
        <v>2073</v>
      </c>
      <c r="N37" s="878" t="s">
        <v>2115</v>
      </c>
      <c r="O37" s="882" t="str">
        <f t="array" ref="O37">if(isblank(F37),"",xlookup(F37,'FL5_POR_包裝對照表 (Mapping Table)'!E:E,'FL5_POR_包裝對照表 (Mapping Table)'!L:L,"",0,1))</f>
        <v>GK2MP</v>
      </c>
      <c r="P37" s="887">
        <v>0.2029</v>
      </c>
      <c r="Q37" s="786">
        <v>451.09</v>
      </c>
      <c r="R37" s="878" t="s">
        <v>2119</v>
      </c>
      <c r="S37" s="878" t="s">
        <v>2167</v>
      </c>
      <c r="T37" s="885" t="s">
        <v>2121</v>
      </c>
      <c r="U37" s="885" t="s">
        <v>2145</v>
      </c>
      <c r="V37" s="231" t="s">
        <v>694</v>
      </c>
      <c r="W37" s="786" t="s">
        <v>1517</v>
      </c>
      <c r="X37" s="878" t="s">
        <v>2073</v>
      </c>
      <c r="Y37" s="878" t="s">
        <v>2125</v>
      </c>
      <c r="Z37" s="301" t="s">
        <v>2126</v>
      </c>
      <c r="AA37" s="301" t="s">
        <v>2127</v>
      </c>
      <c r="AB37" s="878" t="s">
        <v>1480</v>
      </c>
      <c r="AC37" s="301" t="s">
        <v>2048</v>
      </c>
      <c r="AD37" s="878" t="s">
        <v>1516</v>
      </c>
      <c r="AE37" s="878" t="s">
        <v>2049</v>
      </c>
      <c r="AF37" s="791">
        <v>45766.0</v>
      </c>
      <c r="AG37" s="791">
        <v>45769.0</v>
      </c>
      <c r="AH37" s="787"/>
      <c r="AI37" s="787">
        <v>45773.0</v>
      </c>
      <c r="AJ37" s="292" t="s">
        <v>596</v>
      </c>
      <c r="AK37" s="292" t="s">
        <v>1604</v>
      </c>
      <c r="AL37" s="292">
        <v>2806.0</v>
      </c>
      <c r="AM37" s="813"/>
      <c r="AN37" s="888" t="str">
        <f t="array" ref="AN37">xlookup(F37,'FL5_POR_包裝對照表 (Mapping Table)'!E:E,'FL5_POR_包裝對照表 (Mapping Table)'!BM:BM,"",0,1)</f>
        <v>No demand</v>
      </c>
      <c r="AO37" s="813"/>
      <c r="AP37" s="813"/>
    </row>
    <row r="38" ht="20.25" customHeight="1">
      <c r="A38" s="890"/>
      <c r="B38" s="877">
        <v>32.0</v>
      </c>
      <c r="C38" s="877" t="s">
        <v>277</v>
      </c>
      <c r="D38" s="878" t="s">
        <v>2043</v>
      </c>
      <c r="E38" s="677" t="str">
        <f t="shared" si="2"/>
        <v>Close</v>
      </c>
      <c r="F38" s="879" t="s">
        <v>476</v>
      </c>
      <c r="G38" s="880" t="s">
        <v>408</v>
      </c>
      <c r="H38" s="881" t="s">
        <v>476</v>
      </c>
      <c r="I38" s="292" t="s">
        <v>2159</v>
      </c>
      <c r="J38" s="878" t="s">
        <v>1361</v>
      </c>
      <c r="K38" s="878" t="s">
        <v>1361</v>
      </c>
      <c r="L38" s="878" t="s">
        <v>1361</v>
      </c>
      <c r="M38" s="878" t="s">
        <v>2073</v>
      </c>
      <c r="N38" s="878" t="s">
        <v>2115</v>
      </c>
      <c r="O38" s="882" t="str">
        <f t="array" ref="O38">if(isblank(F38),"",xlookup(F38,'FL5_POR_包裝對照表 (Mapping Table)'!E:E,'FL5_POR_包裝對照表 (Mapping Table)'!L:L,"",0,1))</f>
        <v>GLBW0</v>
      </c>
      <c r="P38" s="887">
        <v>0.2029</v>
      </c>
      <c r="Q38" s="786">
        <v>460.98</v>
      </c>
      <c r="R38" s="878" t="s">
        <v>2119</v>
      </c>
      <c r="S38" s="878" t="s">
        <v>2167</v>
      </c>
      <c r="T38" s="885" t="s">
        <v>2121</v>
      </c>
      <c r="U38" s="885" t="s">
        <v>2145</v>
      </c>
      <c r="V38" s="231" t="s">
        <v>2172</v>
      </c>
      <c r="W38" s="786" t="s">
        <v>1517</v>
      </c>
      <c r="X38" s="878" t="s">
        <v>2073</v>
      </c>
      <c r="Y38" s="878" t="s">
        <v>2125</v>
      </c>
      <c r="Z38" s="301" t="s">
        <v>2126</v>
      </c>
      <c r="AA38" s="301" t="s">
        <v>2127</v>
      </c>
      <c r="AB38" s="878" t="s">
        <v>1451</v>
      </c>
      <c r="AC38" s="301" t="s">
        <v>2048</v>
      </c>
      <c r="AD38" s="878" t="s">
        <v>1516</v>
      </c>
      <c r="AE38" s="878" t="s">
        <v>2049</v>
      </c>
      <c r="AF38" s="791">
        <v>45766.0</v>
      </c>
      <c r="AG38" s="791">
        <v>45769.0</v>
      </c>
      <c r="AH38" s="787"/>
      <c r="AI38" s="787">
        <v>45773.0</v>
      </c>
      <c r="AJ38" s="292" t="s">
        <v>419</v>
      </c>
      <c r="AK38" s="292" t="s">
        <v>1594</v>
      </c>
      <c r="AL38" s="292">
        <v>2814.0</v>
      </c>
      <c r="AM38" s="813"/>
      <c r="AN38" s="888" t="str">
        <f t="array" ref="AN38">xlookup(F38,'FL5_POR_包裝對照表 (Mapping Table)'!E:E,'FL5_POR_包裝對照表 (Mapping Table)'!BM:BM,"",0,1)</f>
        <v>No demand</v>
      </c>
      <c r="AO38" s="813"/>
      <c r="AP38" s="813"/>
    </row>
    <row r="39" ht="20.25" customHeight="1">
      <c r="A39" s="889"/>
      <c r="B39" s="877">
        <v>33.0</v>
      </c>
      <c r="C39" s="877" t="s">
        <v>277</v>
      </c>
      <c r="D39" s="878" t="s">
        <v>2043</v>
      </c>
      <c r="E39" s="677" t="str">
        <f t="shared" si="2"/>
        <v>Close</v>
      </c>
      <c r="F39" s="879" t="s">
        <v>430</v>
      </c>
      <c r="G39" s="880" t="s">
        <v>408</v>
      </c>
      <c r="H39" s="881" t="s">
        <v>430</v>
      </c>
      <c r="I39" s="292" t="s">
        <v>2161</v>
      </c>
      <c r="J39" s="878" t="s">
        <v>1361</v>
      </c>
      <c r="K39" s="878" t="s">
        <v>1361</v>
      </c>
      <c r="L39" s="878" t="s">
        <v>1361</v>
      </c>
      <c r="M39" s="878" t="s">
        <v>2073</v>
      </c>
      <c r="N39" s="878" t="s">
        <v>2115</v>
      </c>
      <c r="O39" s="882" t="str">
        <f t="array" ref="O39">if(isblank(F39),"",xlookup(F39,'FL5_POR_包裝對照表 (Mapping Table)'!E:E,'FL5_POR_包裝對照表 (Mapping Table)'!L:L,"",0,1))</f>
        <v>GLBW0</v>
      </c>
      <c r="P39" s="887">
        <v>0.2029</v>
      </c>
      <c r="Q39" s="786">
        <v>464.65</v>
      </c>
      <c r="R39" s="878" t="s">
        <v>2119</v>
      </c>
      <c r="S39" s="878" t="s">
        <v>2167</v>
      </c>
      <c r="T39" s="885" t="s">
        <v>2121</v>
      </c>
      <c r="U39" s="885" t="s">
        <v>2145</v>
      </c>
      <c r="V39" s="231" t="s">
        <v>432</v>
      </c>
      <c r="W39" s="786" t="s">
        <v>1517</v>
      </c>
      <c r="X39" s="878" t="s">
        <v>2073</v>
      </c>
      <c r="Y39" s="878" t="s">
        <v>2125</v>
      </c>
      <c r="Z39" s="301" t="s">
        <v>2126</v>
      </c>
      <c r="AA39" s="301" t="s">
        <v>2127</v>
      </c>
      <c r="AB39" s="878" t="s">
        <v>1451</v>
      </c>
      <c r="AC39" s="301" t="s">
        <v>2048</v>
      </c>
      <c r="AD39" s="878" t="s">
        <v>1516</v>
      </c>
      <c r="AE39" s="878" t="s">
        <v>2049</v>
      </c>
      <c r="AF39" s="791">
        <v>45766.0</v>
      </c>
      <c r="AG39" s="791">
        <v>45769.0</v>
      </c>
      <c r="AH39" s="787"/>
      <c r="AI39" s="787">
        <v>45773.0</v>
      </c>
      <c r="AJ39" s="292" t="s">
        <v>419</v>
      </c>
      <c r="AK39" s="292" t="s">
        <v>1604</v>
      </c>
      <c r="AL39" s="292">
        <v>2805.0</v>
      </c>
      <c r="AM39" s="813"/>
      <c r="AN39" s="888" t="str">
        <f t="array" ref="AN39">xlookup(F39,'FL5_POR_包裝對照表 (Mapping Table)'!E:E,'FL5_POR_包裝對照表 (Mapping Table)'!BM:BM,"",0,1)</f>
        <v>No demand</v>
      </c>
      <c r="AO39" s="813"/>
      <c r="AP39" s="813"/>
    </row>
    <row r="40" ht="25.5" customHeight="1">
      <c r="A40" s="889"/>
      <c r="B40" s="877">
        <v>34.0</v>
      </c>
      <c r="C40" s="891" t="str">
        <f>if(isblank(F40),"",'FL5_POR_包裝對照表 (Mapping Table)'!$E$4)</f>
        <v>GFL (FL5)</v>
      </c>
      <c r="D40" s="878" t="str">
        <f t="array" ref="D40">if(isblank(F40),"",xlookup(F40,'FL5_POR_包裝對照表 (Mapping Table)'!E:E,'FL5_POR_包裝對照表 (Mapping Table)'!AZ:AZ,"",0,1))</f>
        <v>MP</v>
      </c>
      <c r="E40" s="677" t="str">
        <f t="shared" si="2"/>
        <v>Close</v>
      </c>
      <c r="F40" s="879" t="s">
        <v>409</v>
      </c>
      <c r="G40" s="892" t="str">
        <f t="array" ref="G40">if(isblank(F40),"",xlookup(F40,'FL5_POR_包裝對照表 (Mapping Table)'!E:E,'FL5_POR_包裝對照表 (Mapping Table)'!D:D,"",0,1))</f>
        <v>Retail Pack</v>
      </c>
      <c r="H40" s="893" t="str">
        <f t="array" ref="H40">if(isblank(F40),"",xlookup(F40,'FL5_POR_包裝對照表 (Mapping Table)'!E:E,'FL5_POR_包裝對照表 (Mapping Table)'!E:E,"",0,1))</f>
        <v>GA09425-US</v>
      </c>
      <c r="I40" s="677" t="str">
        <f t="array" ref="I40">if(isblank(F40),"",xlookup(F40,'FL5_POR_包裝對照表 (Mapping Table)'!E:E,'FL5_POR_包裝對照表 (Mapping Table)'!AN:AN,"",0,1))</f>
        <v>G950-15935-00</v>
      </c>
      <c r="J40" s="894" t="str">
        <f t="array" ref="J40">if(isblank(F40),"",xlookup(G40,z_Others!$B$5:$B$17,z_Others!$C$5:$C$17,"",0,1))</f>
        <v>智能手機</v>
      </c>
      <c r="K40" s="894" t="str">
        <f t="array" ref="K40">if(isblank(F40),"",xlookup(G40,z_Others!$B$5:$B$17,z_Others!$E$5:$E$17,"",0,1))</f>
        <v>智能手機</v>
      </c>
      <c r="L40" s="894" t="str">
        <f t="array" ref="L40">if(isblank(F40),"",xlookup(G40,z_Others!$B$5:$B$17,z_Others!$F$5:$F$17,"",0,1))</f>
        <v>智能手機</v>
      </c>
      <c r="M40" s="894" t="str">
        <f t="shared" ref="M40:M278" si="3">if(isblank(F40),"",$M$4)</f>
        <v>Google</v>
      </c>
      <c r="N40" s="894" t="str">
        <f t="shared" ref="N40:N278" si="4">if(isblank(F40),"",$N$4)</f>
        <v>境外品牌（貼牌生產)</v>
      </c>
      <c r="O40" s="882" t="str">
        <f t="array" ref="O40">if(isblank(F40),"",xlookup(F40,'FL5_POR_包裝對照表 (Mapping Table)'!E:E,'FL5_POR_包裝對照表 (Mapping Table)'!L:L,"",0,1))</f>
        <v>GLBW0</v>
      </c>
      <c r="P40" s="895">
        <f t="array" ref="P40">if(isblank(F40),"",xlookup(G40,z_Others!$B$5:$B$17,z_Others!$J$5:$J$17,"",0,1))</f>
        <v>0.2029</v>
      </c>
      <c r="Q40" s="896">
        <f t="array" ref="Q40">if(isblank(F40),"",xlookup(F40,'FL5_POR_核價 (經管 &amp; BPM)'!E:E,'FL5_POR_核價 (經管 &amp; BPM)'!O:O,"",0,1))</f>
        <v>447.07</v>
      </c>
      <c r="R40" s="894" t="str">
        <f t="shared" ref="R40:R278" si="5">if(isblank(F40),"",$R$4)</f>
        <v>否</v>
      </c>
      <c r="S40" s="897" t="str">
        <f t="array" ref="S40">if(isblank(F40),"",xlookup(G40,z_Others!$B$5:$B$17,z_Others!$K$5:$K$17,"",0,1))</f>
        <v>(1) 說明書
(2) C-2-C USB 數據線</v>
      </c>
      <c r="T40" s="894" t="str">
        <f t="shared" ref="T40:T136" si="6">if(isblank(F40),"",$T$4)</f>
        <v>開發手機中框組件模型(適用于Google 牌手機)</v>
      </c>
      <c r="U40" s="898" t="str">
        <f t="array" ref="U40">if(isblank(F40),"",xlookup(G40,z_Others!$B$5:$B$17,z_Others!$G$5:$G$17,"",0,1))</f>
        <v>無線通話用</v>
      </c>
      <c r="V40" s="231" t="str">
        <f t="array" ref="V40">if(isblank(F40),"",xlookup(F40,'FL5_POR_包裝對照表 (Mapping Table)'!E:E,'FL5_POR_包裝對照表 (Mapping Table)'!AB:AB,"",0,1))</f>
        <v>SKU, CLR1, GOOD, MMWAVE, VZW, US, FL5</v>
      </c>
      <c r="W40" s="899" t="str">
        <f t="array" ref="W40">if(isblank(F40),"",xlookup(G40,z_Others!$B$5:$B$17,z_Others!$I$5:$I$17,"",0,1))</f>
        <v>152.83 x 71.98 x 12.01</v>
      </c>
      <c r="X40" s="894" t="str">
        <f t="shared" ref="X40:X278" si="7">if(isblank(F40),"",$X$4)</f>
        <v>Google</v>
      </c>
      <c r="Y40" s="894" t="str">
        <f t="shared" ref="Y40:Y278" si="8">if(isblank(F40),"",$Y$4)</f>
        <v>Tensor series</v>
      </c>
      <c r="Z40" s="900" t="str">
        <f t="shared" ref="Z40:Z278" si="9">if(isblank(F40),"",$Z$4)</f>
        <v>蜂窩網絡</v>
      </c>
      <c r="AA40" s="900" t="str">
        <f t="shared" ref="AA40:AA278" si="10">if(isblank(F40),"",$AA$4)</f>
        <v>WCDMA&amp;GSM&amp;LTE&amp;5G制式</v>
      </c>
      <c r="AB40" s="878" t="str">
        <f t="array" ref="AB40">if(isblank(F40),"",xlookup(AJ40,z_Others!$M$5:$M$9,z_Others!$Q$5:$Q$9,"",0,1))</f>
        <v>直板、6.29 英寸彩屏、內存128G、GPRS、藍牙、前攝1100萬、後攝1200/5000萬</v>
      </c>
      <c r="AC40" s="900" t="str">
        <f t="shared" ref="AC40:AC278" si="11">if(isblank(F40),"",$AC$4)</f>
        <v>中國</v>
      </c>
      <c r="AD40" s="894" t="str">
        <f t="array" ref="AD40">if(isblank(F40),"",xlookup(G40,z_Others!$B$5:$B$14,z_Others!$H$5:$H$14,"",0,1))</f>
        <v>附件07 (FATP手機)</v>
      </c>
      <c r="AE40" s="901" t="str">
        <f t="shared" ref="AE40:AE278" si="12">if(isblank(F40),"",$AE$4)</f>
        <v>Foxconn</v>
      </c>
      <c r="AF40" s="791">
        <v>45783.0</v>
      </c>
      <c r="AG40" s="791">
        <f t="shared" ref="AG40:AG57" si="13">if(isblank(AF40),"",_xlfn.WORKDAY.INTL(AF40,$AG$5,11))</f>
        <v>45787</v>
      </c>
      <c r="AH40" s="787"/>
      <c r="AI40" s="787">
        <v>45796.0</v>
      </c>
      <c r="AJ40" s="677" t="str">
        <f t="array" ref="AJ40">if(isblank(F40),"",xlookup(F40,'FL5_POR_包裝對照表 (Mapping Table)'!E:E,'FL5_POR_包裝對照表 (Mapping Table)'!AS:AS,"",0,1))</f>
        <v>128GB</v>
      </c>
      <c r="AK40" s="677" t="str">
        <f t="array" ref="AK40">if(isblank(F40),"",xlookup(F40,'FL5_POR_包裝對照表 (Mapping Table)'!E:E,'FL5_POR_包裝對照表 (Mapping Table)'!K:K,"",0,1))</f>
        <v>BLK</v>
      </c>
      <c r="AL40" s="677">
        <v>3005.0</v>
      </c>
      <c r="AM40" s="811"/>
      <c r="AN40" s="888" t="str">
        <f t="array" ref="AN40">xlookup(F40,'FL5_POR_包裝對照表 (Mapping Table)'!E:E,'FL5_POR_包裝對照表 (Mapping Table)'!BM:BM,"",0,1)</f>
        <v>No demand</v>
      </c>
      <c r="AO40" s="813"/>
      <c r="AP40" s="813"/>
    </row>
    <row r="41" ht="25.5" customHeight="1">
      <c r="A41" s="886"/>
      <c r="B41" s="877">
        <v>35.0</v>
      </c>
      <c r="C41" s="891" t="str">
        <f>if(isblank(F41),"",'FL5_POR_包裝對照表 (Mapping Table)'!$E$4)</f>
        <v>GFL (FL5)</v>
      </c>
      <c r="D41" s="878" t="str">
        <f t="array" ref="D41">if(isblank(F41),"",xlookup(F41,'FL5_POR_包裝對照表 (Mapping Table)'!E:E,'FL5_POR_包裝對照表 (Mapping Table)'!AZ:AZ,"",0,1))</f>
        <v>MP</v>
      </c>
      <c r="E41" s="677" t="str">
        <f t="shared" si="2"/>
        <v>Close</v>
      </c>
      <c r="F41" s="879" t="s">
        <v>526</v>
      </c>
      <c r="G41" s="892" t="str">
        <f t="array" ref="G41">if(isblank(F41),"",xlookup(F41,'FL5_POR_包裝對照表 (Mapping Table)'!E:E,'FL5_POR_包裝對照表 (Mapping Table)'!D:D,"",0,1))</f>
        <v>Retail Pack</v>
      </c>
      <c r="H41" s="893" t="str">
        <f t="array" ref="H41">if(isblank(F41),"",xlookup(F41,'FL5_POR_包裝對照表 (Mapping Table)'!E:E,'FL5_POR_包裝對照表 (Mapping Table)'!E:E,"",0,1))</f>
        <v>GA09744-GB</v>
      </c>
      <c r="I41" s="677" t="str">
        <f t="array" ref="I41">if(isblank(F41),"",xlookup(F41,'FL5_POR_包裝對照表 (Mapping Table)'!E:E,'FL5_POR_包裝對照表 (Mapping Table)'!AN:AN,"",0,1))</f>
        <v>G950-15935-10</v>
      </c>
      <c r="J41" s="894" t="str">
        <f t="array" ref="J41">if(isblank(F41),"",xlookup(G41,z_Others!$B$5:$B$17,z_Others!$C$5:$C$17,"",0,1))</f>
        <v>智能手機</v>
      </c>
      <c r="K41" s="894" t="str">
        <f t="array" ref="K41">if(isblank(F41),"",xlookup(G41,z_Others!$B$5:$B$17,z_Others!$E$5:$E$17,"",0,1))</f>
        <v>智能手機</v>
      </c>
      <c r="L41" s="894" t="str">
        <f t="array" ref="L41">if(isblank(F41),"",xlookup(G41,z_Others!$B$5:$B$17,z_Others!$F$5:$F$17,"",0,1))</f>
        <v>智能手機</v>
      </c>
      <c r="M41" s="894" t="str">
        <f t="shared" si="3"/>
        <v>Google</v>
      </c>
      <c r="N41" s="894" t="str">
        <f t="shared" si="4"/>
        <v>境外品牌（貼牌生產)</v>
      </c>
      <c r="O41" s="882" t="str">
        <f t="array" ref="O41">if(isblank(F41),"",xlookup(F41,'FL5_POR_包裝對照表 (Mapping Table)'!E:E,'FL5_POR_包裝對照表 (Mapping Table)'!L:L,"",0,1))</f>
        <v>GK2MP
</v>
      </c>
      <c r="P41" s="895">
        <f t="array" ref="P41">if(isblank(F41),"",xlookup(G41,z_Others!$B$5:$B$17,z_Others!$J$5:$J$17,"",0,1))</f>
        <v>0.2029</v>
      </c>
      <c r="Q41" s="896">
        <f t="array" ref="Q41">if(isblank(F41),"",xlookup(F41,'FL5_POR_核價 (經管 &amp; BPM)'!E:E,'FL5_POR_核價 (經管 &amp; BPM)'!O:O,"",0,1))</f>
        <v>430.2</v>
      </c>
      <c r="R41" s="894" t="str">
        <f t="shared" si="5"/>
        <v>否</v>
      </c>
      <c r="S41" s="897" t="str">
        <f t="array" ref="S41">if(isblank(F41),"",xlookup(G41,z_Others!$B$5:$B$17,z_Others!$K$5:$K$17,"",0,1))</f>
        <v>(1) 說明書
(2) C-2-C USB 數據線</v>
      </c>
      <c r="T41" s="894" t="str">
        <f t="shared" si="6"/>
        <v>開發手機中框組件模型(適用于Google 牌手機)</v>
      </c>
      <c r="U41" s="898" t="str">
        <f t="array" ref="U41">if(isblank(F41),"",xlookup(G41,z_Others!$B$5:$B$17,z_Others!$G$5:$G$17,"",0,1))</f>
        <v>無線通話用</v>
      </c>
      <c r="V41" s="231" t="str">
        <f t="array" ref="V41">if(isblank(F41),"",xlookup(F41,'FL5_POR_包裝對照表 (Mapping Table)'!E:E,'FL5_POR_包裝對照表 (Mapping Table)'!AB:AB,"",0,1))</f>
        <v>SKU, CLR1, GOOD, SUB6, UK/EU, FL5</v>
      </c>
      <c r="W41" s="899" t="str">
        <f t="array" ref="W41">if(isblank(F41),"",xlookup(G41,z_Others!$B$5:$B$17,z_Others!$I$5:$I$17,"",0,1))</f>
        <v>152.83 x 71.98 x 12.01</v>
      </c>
      <c r="X41" s="894" t="str">
        <f t="shared" si="7"/>
        <v>Google</v>
      </c>
      <c r="Y41" s="894" t="str">
        <f t="shared" si="8"/>
        <v>Tensor series</v>
      </c>
      <c r="Z41" s="900" t="str">
        <f t="shared" si="9"/>
        <v>蜂窩網絡</v>
      </c>
      <c r="AA41" s="900" t="str">
        <f t="shared" si="10"/>
        <v>WCDMA&amp;GSM&amp;LTE&amp;5G制式</v>
      </c>
      <c r="AB41" s="878" t="str">
        <f t="array" ref="AB41">if(isblank(F41),"",xlookup(AJ41,z_Others!$M$5:$M$9,z_Others!$Q$5:$Q$9,"",0,1))</f>
        <v>直板、6.29 英寸彩屏、內存128G、GPRS、藍牙、前攝1100萬、後攝1200/5000萬</v>
      </c>
      <c r="AC41" s="900" t="str">
        <f t="shared" si="11"/>
        <v>中國</v>
      </c>
      <c r="AD41" s="894" t="str">
        <f t="array" ref="AD41">if(isblank(F41),"",xlookup(G41,z_Others!$B$5:$B$14,z_Others!$H$5:$H$14,"",0,1))</f>
        <v>附件07 (FATP手機)</v>
      </c>
      <c r="AE41" s="901" t="str">
        <f t="shared" si="12"/>
        <v>Foxconn</v>
      </c>
      <c r="AF41" s="791">
        <v>45783.0</v>
      </c>
      <c r="AG41" s="791">
        <f t="shared" si="13"/>
        <v>45787</v>
      </c>
      <c r="AH41" s="787"/>
      <c r="AI41" s="787">
        <v>45796.0</v>
      </c>
      <c r="AJ41" s="677" t="str">
        <f t="array" ref="AJ41">if(isblank(F41),"",xlookup(F41,'FL5_POR_包裝對照表 (Mapping Table)'!E:E,'FL5_POR_包裝對照表 (Mapping Table)'!AS:AS,"",0,1))</f>
        <v>128GB</v>
      </c>
      <c r="AK41" s="677" t="str">
        <f t="array" ref="AK41">if(isblank(F41),"",xlookup(F41,'FL5_POR_包裝對照表 (Mapping Table)'!E:E,'FL5_POR_包裝對照表 (Mapping Table)'!K:K,"",0,1))</f>
        <v>BLK</v>
      </c>
      <c r="AL41" s="677">
        <v>3004.0</v>
      </c>
      <c r="AM41" s="811"/>
      <c r="AN41" s="888" t="str">
        <f t="array" ref="AN41">xlookup(F41,'FL5_POR_包裝對照表 (Mapping Table)'!E:E,'FL5_POR_包裝對照表 (Mapping Table)'!BM:BM,"",0,1)</f>
        <v>No demand</v>
      </c>
      <c r="AO41" s="813"/>
      <c r="AP41" s="813"/>
    </row>
    <row r="42" ht="25.5" customHeight="1">
      <c r="A42" s="886"/>
      <c r="B42" s="877">
        <v>36.0</v>
      </c>
      <c r="C42" s="891" t="str">
        <f>if(isblank(F42),"",'FL5_POR_包裝對照表 (Mapping Table)'!$E$4)</f>
        <v>GFL (FL5)</v>
      </c>
      <c r="D42" s="878" t="str">
        <f t="array" ref="D42">if(isblank(F42),"",xlookup(F42,'FL5_POR_包裝對照表 (Mapping Table)'!E:E,'FL5_POR_包裝對照表 (Mapping Table)'!AZ:AZ,"",0,1))</f>
        <v>MP</v>
      </c>
      <c r="E42" s="677" t="str">
        <f t="shared" si="2"/>
        <v>Close</v>
      </c>
      <c r="F42" s="879" t="s">
        <v>593</v>
      </c>
      <c r="G42" s="892" t="str">
        <f t="array" ref="G42">if(isblank(F42),"",xlookup(F42,'FL5_POR_包裝對照表 (Mapping Table)'!E:E,'FL5_POR_包裝對照表 (Mapping Table)'!D:D,"",0,1))</f>
        <v>Retail Pack</v>
      </c>
      <c r="H42" s="893" t="str">
        <f t="array" ref="H42">if(isblank(F42),"",xlookup(F42,'FL5_POR_包裝對照表 (Mapping Table)'!E:E,'FL5_POR_包裝對照表 (Mapping Table)'!E:E,"",0,1))</f>
        <v>GA09880-US</v>
      </c>
      <c r="I42" s="677" t="str">
        <f t="array" ref="I42">if(isblank(F42),"",xlookup(F42,'FL5_POR_包裝對照表 (Mapping Table)'!E:E,'FL5_POR_包裝對照表 (Mapping Table)'!AN:AN,"",0,1))</f>
        <v>G950-15935-04</v>
      </c>
      <c r="J42" s="894" t="str">
        <f t="array" ref="J42">if(isblank(F42),"",xlookup(G42,z_Others!$B$5:$B$17,z_Others!$C$5:$C$17,"",0,1))</f>
        <v>智能手機</v>
      </c>
      <c r="K42" s="894" t="str">
        <f t="array" ref="K42">if(isblank(F42),"",xlookup(G42,z_Others!$B$5:$B$17,z_Others!$E$5:$E$17,"",0,1))</f>
        <v>智能手機</v>
      </c>
      <c r="L42" s="894" t="str">
        <f t="array" ref="L42">if(isblank(F42),"",xlookup(G42,z_Others!$B$5:$B$17,z_Others!$F$5:$F$17,"",0,1))</f>
        <v>智能手機</v>
      </c>
      <c r="M42" s="894" t="str">
        <f t="shared" si="3"/>
        <v>Google</v>
      </c>
      <c r="N42" s="894" t="str">
        <f t="shared" si="4"/>
        <v>境外品牌（貼牌生產)</v>
      </c>
      <c r="O42" s="882" t="str">
        <f t="array" ref="O42">if(isblank(F42),"",xlookup(F42,'FL5_POR_包裝對照表 (Mapping Table)'!E:E,'FL5_POR_包裝對照表 (Mapping Table)'!L:L,"",0,1))</f>
        <v>GLBW0</v>
      </c>
      <c r="P42" s="895">
        <f t="array" ref="P42">if(isblank(F42),"",xlookup(G42,z_Others!$B$5:$B$17,z_Others!$J$5:$J$17,"",0,1))</f>
        <v>0.2029</v>
      </c>
      <c r="Q42" s="896">
        <f t="array" ref="Q42">if(isblank(F42),"",xlookup(F42,'FL5_POR_核價 (經管 &amp; BPM)'!E:E,'FL5_POR_核價 (經管 &amp; BPM)'!O:O,"",0,1))</f>
        <v>453.07</v>
      </c>
      <c r="R42" s="894" t="str">
        <f t="shared" si="5"/>
        <v>否</v>
      </c>
      <c r="S42" s="897" t="str">
        <f t="array" ref="S42">if(isblank(F42),"",xlookup(G42,z_Others!$B$5:$B$17,z_Others!$K$5:$K$17,"",0,1))</f>
        <v>(1) 說明書
(2) C-2-C USB 數據線</v>
      </c>
      <c r="T42" s="894" t="str">
        <f t="shared" si="6"/>
        <v>開發手機中框組件模型(適用于Google 牌手機)</v>
      </c>
      <c r="U42" s="898" t="str">
        <f t="array" ref="U42">if(isblank(F42),"",xlookup(G42,z_Others!$B$5:$B$17,z_Others!$G$5:$G$17,"",0,1))</f>
        <v>無線通話用</v>
      </c>
      <c r="V42" s="231" t="str">
        <f t="array" ref="V42">if(isblank(F42),"",xlookup(F42,'FL5_POR_包裝對照表 (Mapping Table)'!E:E,'FL5_POR_包裝對照表 (Mapping Table)'!AB:AB,"",0,1))</f>
        <v>SKU, CLR1, BETTER, MMWAVE, VZW, US, FL5</v>
      </c>
      <c r="W42" s="899" t="str">
        <f t="array" ref="W42">if(isblank(F42),"",xlookup(G42,z_Others!$B$5:$B$17,z_Others!$I$5:$I$17,"",0,1))</f>
        <v>152.83 x 71.98 x 12.01</v>
      </c>
      <c r="X42" s="894" t="str">
        <f t="shared" si="7"/>
        <v>Google</v>
      </c>
      <c r="Y42" s="894" t="str">
        <f t="shared" si="8"/>
        <v>Tensor series</v>
      </c>
      <c r="Z42" s="900" t="str">
        <f t="shared" si="9"/>
        <v>蜂窩網絡</v>
      </c>
      <c r="AA42" s="900" t="str">
        <f t="shared" si="10"/>
        <v>WCDMA&amp;GSM&amp;LTE&amp;5G制式</v>
      </c>
      <c r="AB42" s="878" t="str">
        <f t="array" ref="AB42">if(isblank(F42),"",xlookup(AJ42,z_Others!$M$5:$M$9,z_Others!$Q$5:$Q$9,"",0,1))</f>
        <v>直板、6.29 英寸彩屏、內存256G、GPRS、藍牙、前攝1100萬、後攝1200/5000萬</v>
      </c>
      <c r="AC42" s="900" t="str">
        <f t="shared" si="11"/>
        <v>中國</v>
      </c>
      <c r="AD42" s="894" t="str">
        <f t="array" ref="AD42">if(isblank(F42),"",xlookup(G42,z_Others!$B$5:$B$14,z_Others!$H$5:$H$14,"",0,1))</f>
        <v>附件07 (FATP手機)</v>
      </c>
      <c r="AE42" s="901" t="str">
        <f t="shared" si="12"/>
        <v>Foxconn</v>
      </c>
      <c r="AF42" s="791">
        <v>45783.0</v>
      </c>
      <c r="AG42" s="791">
        <f t="shared" si="13"/>
        <v>45787</v>
      </c>
      <c r="AH42" s="787"/>
      <c r="AI42" s="787">
        <v>45796.0</v>
      </c>
      <c r="AJ42" s="677" t="str">
        <f t="array" ref="AJ42">if(isblank(F42),"",xlookup(F42,'FL5_POR_包裝對照表 (Mapping Table)'!E:E,'FL5_POR_包裝對照表 (Mapping Table)'!AS:AS,"",0,1))</f>
        <v>256GB</v>
      </c>
      <c r="AK42" s="677" t="str">
        <f t="array" ref="AK42">if(isblank(F42),"",xlookup(F42,'FL5_POR_包裝對照表 (Mapping Table)'!E:E,'FL5_POR_包裝對照表 (Mapping Table)'!K:K,"",0,1))</f>
        <v>BLK</v>
      </c>
      <c r="AL42" s="677">
        <v>3003.0</v>
      </c>
      <c r="AM42" s="811"/>
      <c r="AN42" s="888" t="str">
        <f t="array" ref="AN42">xlookup(F42,'FL5_POR_包裝對照表 (Mapping Table)'!E:E,'FL5_POR_包裝對照表 (Mapping Table)'!BM:BM,"",0,1)</f>
        <v>No demand</v>
      </c>
      <c r="AO42" s="813"/>
      <c r="AP42" s="813"/>
    </row>
    <row r="43" ht="25.5" customHeight="1">
      <c r="A43" s="889"/>
      <c r="B43" s="877">
        <v>37.0</v>
      </c>
      <c r="C43" s="891" t="str">
        <f>if(isblank(F43),"",'FL5_POR_包裝對照表 (Mapping Table)'!$E$4)</f>
        <v>GFL (FL5)</v>
      </c>
      <c r="D43" s="878" t="str">
        <f t="array" ref="D43">if(isblank(F43),"",xlookup(F43,'FL5_POR_包裝對照表 (Mapping Table)'!E:E,'FL5_POR_包裝對照表 (Mapping Table)'!AZ:AZ,"",0,1))</f>
        <v>MP</v>
      </c>
      <c r="E43" s="677" t="str">
        <f t="shared" si="2"/>
        <v>Close</v>
      </c>
      <c r="F43" s="879" t="s">
        <v>629</v>
      </c>
      <c r="G43" s="892" t="str">
        <f t="array" ref="G43">if(isblank(F43),"",xlookup(F43,'FL5_POR_包裝對照表 (Mapping Table)'!E:E,'FL5_POR_包裝對照表 (Mapping Table)'!D:D,"",0,1))</f>
        <v>Retail Pack</v>
      </c>
      <c r="H43" s="893" t="str">
        <f t="array" ref="H43">if(isblank(F43),"",xlookup(F43,'FL5_POR_包裝對照表 (Mapping Table)'!E:E,'FL5_POR_包裝對照表 (Mapping Table)'!E:E,"",0,1))</f>
        <v>GA09883-CA</v>
      </c>
      <c r="I43" s="677" t="str">
        <f t="array" ref="I43">if(isblank(F43),"",xlookup(F43,'FL5_POR_包裝對照表 (Mapping Table)'!E:E,'FL5_POR_包裝對照表 (Mapping Table)'!AN:AN,"",0,1))</f>
        <v>G950-15935-14</v>
      </c>
      <c r="J43" s="894" t="str">
        <f t="array" ref="J43">if(isblank(F43),"",xlookup(G43,z_Others!$B$5:$B$17,z_Others!$C$5:$C$17,"",0,1))</f>
        <v>智能手機</v>
      </c>
      <c r="K43" s="894" t="str">
        <f t="array" ref="K43">if(isblank(F43),"",xlookup(G43,z_Others!$B$5:$B$17,z_Others!$E$5:$E$17,"",0,1))</f>
        <v>智能手機</v>
      </c>
      <c r="L43" s="894" t="str">
        <f t="array" ref="L43">if(isblank(F43),"",xlookup(G43,z_Others!$B$5:$B$17,z_Others!$F$5:$F$17,"",0,1))</f>
        <v>智能手機</v>
      </c>
      <c r="M43" s="894" t="str">
        <f t="shared" si="3"/>
        <v>Google</v>
      </c>
      <c r="N43" s="894" t="str">
        <f t="shared" si="4"/>
        <v>境外品牌（貼牌生產)</v>
      </c>
      <c r="O43" s="882" t="str">
        <f t="array" ref="O43">if(isblank(F43),"",xlookup(F43,'FL5_POR_包裝對照表 (Mapping Table)'!E:E,'FL5_POR_包裝對照表 (Mapping Table)'!L:L,"",0,1))</f>
        <v>GK2MP</v>
      </c>
      <c r="P43" s="895">
        <f t="array" ref="P43">if(isblank(F43),"",xlookup(G43,z_Others!$B$5:$B$17,z_Others!$J$5:$J$17,"",0,1))</f>
        <v>0.2029</v>
      </c>
      <c r="Q43" s="896">
        <f t="array" ref="Q43">if(isblank(F43),"",xlookup(F43,'FL5_POR_核價 (經管 &amp; BPM)'!E:E,'FL5_POR_核價 (經管 &amp; BPM)'!O:O,"",0,1))</f>
        <v>435.69</v>
      </c>
      <c r="R43" s="894" t="str">
        <f t="shared" si="5"/>
        <v>否</v>
      </c>
      <c r="S43" s="897" t="str">
        <f t="array" ref="S43">if(isblank(F43),"",xlookup(G43,z_Others!$B$5:$B$17,z_Others!$K$5:$K$17,"",0,1))</f>
        <v>(1) 說明書
(2) C-2-C USB 數據線</v>
      </c>
      <c r="T43" s="894" t="str">
        <f t="shared" si="6"/>
        <v>開發手機中框組件模型(適用于Google 牌手機)</v>
      </c>
      <c r="U43" s="898" t="str">
        <f t="array" ref="U43">if(isblank(F43),"",xlookup(G43,z_Others!$B$5:$B$17,z_Others!$G$5:$G$17,"",0,1))</f>
        <v>無線通話用</v>
      </c>
      <c r="V43" s="231" t="str">
        <f t="array" ref="V43">if(isblank(F43),"",xlookup(F43,'FL5_POR_包裝對照表 (Mapping Table)'!E:E,'FL5_POR_包裝對照表 (Mapping Table)'!AB:AB,"",0,1))</f>
        <v>SKU, CLR1, BETTER, SUB6, CA/TW/SG/AU/MY/MX, FL5</v>
      </c>
      <c r="W43" s="899" t="str">
        <f t="array" ref="W43">if(isblank(F43),"",xlookup(G43,z_Others!$B$5:$B$17,z_Others!$I$5:$I$17,"",0,1))</f>
        <v>152.83 x 71.98 x 12.01</v>
      </c>
      <c r="X43" s="894" t="str">
        <f t="shared" si="7"/>
        <v>Google</v>
      </c>
      <c r="Y43" s="894" t="str">
        <f t="shared" si="8"/>
        <v>Tensor series</v>
      </c>
      <c r="Z43" s="900" t="str">
        <f t="shared" si="9"/>
        <v>蜂窩網絡</v>
      </c>
      <c r="AA43" s="900" t="str">
        <f t="shared" si="10"/>
        <v>WCDMA&amp;GSM&amp;LTE&amp;5G制式</v>
      </c>
      <c r="AB43" s="878" t="str">
        <f t="array" ref="AB43">if(isblank(F43),"",xlookup(AJ43,z_Others!$M$5:$M$9,z_Others!$Q$5:$Q$9,"",0,1))</f>
        <v>直板、6.29 英寸彩屏、內存256G、GPRS、藍牙、前攝1100萬、後攝1200/5000萬</v>
      </c>
      <c r="AC43" s="900" t="str">
        <f t="shared" si="11"/>
        <v>中國</v>
      </c>
      <c r="AD43" s="894" t="str">
        <f t="array" ref="AD43">if(isblank(F43),"",xlookup(G43,z_Others!$B$5:$B$14,z_Others!$H$5:$H$14,"",0,1))</f>
        <v>附件07 (FATP手機)</v>
      </c>
      <c r="AE43" s="901" t="str">
        <f t="shared" si="12"/>
        <v>Foxconn</v>
      </c>
      <c r="AF43" s="791">
        <v>45783.0</v>
      </c>
      <c r="AG43" s="791">
        <f t="shared" si="13"/>
        <v>45787</v>
      </c>
      <c r="AH43" s="787"/>
      <c r="AI43" s="787">
        <v>45796.0</v>
      </c>
      <c r="AJ43" s="677" t="str">
        <f t="array" ref="AJ43">if(isblank(F43),"",xlookup(F43,'FL5_POR_包裝對照表 (Mapping Table)'!E:E,'FL5_POR_包裝對照表 (Mapping Table)'!AS:AS,"",0,1))</f>
        <v>256GB</v>
      </c>
      <c r="AK43" s="677" t="str">
        <f t="array" ref="AK43">if(isblank(F43),"",xlookup(F43,'FL5_POR_包裝對照表 (Mapping Table)'!E:E,'FL5_POR_包裝對照表 (Mapping Table)'!K:K,"",0,1))</f>
        <v>BLK</v>
      </c>
      <c r="AL43" s="677">
        <v>2998.0</v>
      </c>
      <c r="AM43" s="811"/>
      <c r="AN43" s="888" t="str">
        <f t="array" ref="AN43">xlookup(F43,'FL5_POR_包裝對照表 (Mapping Table)'!E:E,'FL5_POR_包裝對照表 (Mapping Table)'!BM:BM,"",0,1)</f>
        <v>No demand</v>
      </c>
      <c r="AO43" s="813"/>
      <c r="AP43" s="813"/>
    </row>
    <row r="44" ht="25.5" customHeight="1">
      <c r="A44" s="889"/>
      <c r="B44" s="877">
        <v>38.0</v>
      </c>
      <c r="C44" s="891" t="str">
        <f>if(isblank(F44),"",'FL5_POR_包裝對照表 (Mapping Table)'!$E$4)</f>
        <v>GFL (FL5)</v>
      </c>
      <c r="D44" s="878" t="str">
        <f t="array" ref="D44">if(isblank(F44),"",xlookup(F44,'FL5_POR_包裝對照表 (Mapping Table)'!E:E,'FL5_POR_包裝對照表 (Mapping Table)'!AZ:AZ,"",0,1))</f>
        <v>MP</v>
      </c>
      <c r="E44" s="677" t="str">
        <f t="shared" si="2"/>
        <v>Close</v>
      </c>
      <c r="F44" s="879" t="s">
        <v>535</v>
      </c>
      <c r="G44" s="892" t="str">
        <f t="array" ref="G44">if(isblank(F44),"",xlookup(F44,'FL5_POR_包裝對照表 (Mapping Table)'!E:E,'FL5_POR_包裝對照表 (Mapping Table)'!D:D,"",0,1))</f>
        <v>Retail Pack</v>
      </c>
      <c r="H44" s="893" t="str">
        <f t="array" ref="H44">if(isblank(F44),"",xlookup(F44,'FL5_POR_包裝對照表 (Mapping Table)'!E:E,'FL5_POR_包裝對照表 (Mapping Table)'!E:E,"",0,1))</f>
        <v>GA10214-GB</v>
      </c>
      <c r="I44" s="677" t="str">
        <f t="array" ref="I44">if(isblank(F44),"",xlookup(F44,'FL5_POR_包裝對照表 (Mapping Table)'!E:E,'FL5_POR_包裝對照表 (Mapping Table)'!AN:AN,"",0,1))</f>
        <v>G950-15935-11</v>
      </c>
      <c r="J44" s="894" t="str">
        <f t="array" ref="J44">if(isblank(F44),"",xlookup(G44,z_Others!$B$5:$B$17,z_Others!$C$5:$C$17,"",0,1))</f>
        <v>智能手機</v>
      </c>
      <c r="K44" s="894" t="str">
        <f t="array" ref="K44">if(isblank(F44),"",xlookup(G44,z_Others!$B$5:$B$17,z_Others!$E$5:$E$17,"",0,1))</f>
        <v>智能手機</v>
      </c>
      <c r="L44" s="894" t="str">
        <f t="array" ref="L44">if(isblank(F44),"",xlookup(G44,z_Others!$B$5:$B$17,z_Others!$F$5:$F$17,"",0,1))</f>
        <v>智能手機</v>
      </c>
      <c r="M44" s="894" t="str">
        <f t="shared" si="3"/>
        <v>Google</v>
      </c>
      <c r="N44" s="894" t="str">
        <f t="shared" si="4"/>
        <v>境外品牌（貼牌生產)</v>
      </c>
      <c r="O44" s="882" t="str">
        <f t="array" ref="O44">if(isblank(F44),"",xlookup(F44,'FL5_POR_包裝對照表 (Mapping Table)'!E:E,'FL5_POR_包裝對照表 (Mapping Table)'!L:L,"",0,1))</f>
        <v>GK2MP
</v>
      </c>
      <c r="P44" s="895">
        <f t="array" ref="P44">if(isblank(F44),"",xlookup(G44,z_Others!$B$5:$B$17,z_Others!$J$5:$J$17,"",0,1))</f>
        <v>0.2029</v>
      </c>
      <c r="Q44" s="896">
        <f t="array" ref="Q44">if(isblank(F44),"",xlookup(F44,'FL5_POR_核價 (經管 &amp; BPM)'!E:E,'FL5_POR_核價 (經管 &amp; BPM)'!O:O,"",0,1))</f>
        <v>409.82</v>
      </c>
      <c r="R44" s="894" t="str">
        <f t="shared" si="5"/>
        <v>否</v>
      </c>
      <c r="S44" s="897" t="str">
        <f t="array" ref="S44">if(isblank(F44),"",xlookup(G44,z_Others!$B$5:$B$17,z_Others!$K$5:$K$17,"",0,1))</f>
        <v>(1) 說明書
(2) C-2-C USB 數據線</v>
      </c>
      <c r="T44" s="894" t="str">
        <f t="shared" si="6"/>
        <v>開發手機中框組件模型(適用于Google 牌手機)</v>
      </c>
      <c r="U44" s="898" t="str">
        <f t="array" ref="U44">if(isblank(F44),"",xlookup(G44,z_Others!$B$5:$B$17,z_Others!$G$5:$G$17,"",0,1))</f>
        <v>無線通話用</v>
      </c>
      <c r="V44" s="231" t="str">
        <f t="array" ref="V44">if(isblank(F44),"",xlookup(F44,'FL5_POR_包裝對照表 (Mapping Table)'!E:E,'FL5_POR_包裝對照表 (Mapping Table)'!AB:AB,"",0,1))</f>
        <v>SKU, CLR2, GOOD, SUB6, EU/UK, FL5</v>
      </c>
      <c r="W44" s="899" t="str">
        <f t="array" ref="W44">if(isblank(F44),"",xlookup(G44,z_Others!$B$5:$B$17,z_Others!$I$5:$I$17,"",0,1))</f>
        <v>152.83 x 71.98 x 12.01</v>
      </c>
      <c r="X44" s="894" t="str">
        <f t="shared" si="7"/>
        <v>Google</v>
      </c>
      <c r="Y44" s="894" t="str">
        <f t="shared" si="8"/>
        <v>Tensor series</v>
      </c>
      <c r="Z44" s="900" t="str">
        <f t="shared" si="9"/>
        <v>蜂窩網絡</v>
      </c>
      <c r="AA44" s="900" t="str">
        <f t="shared" si="10"/>
        <v>WCDMA&amp;GSM&amp;LTE&amp;5G制式</v>
      </c>
      <c r="AB44" s="878" t="str">
        <f t="array" ref="AB44">if(isblank(F44),"",xlookup(AJ44,z_Others!$M$5:$M$9,z_Others!$Q$5:$Q$9,"",0,1))</f>
        <v>直板、6.29 英寸彩屏、內存128G、GPRS、藍牙、前攝1100萬、後攝1200/5000萬</v>
      </c>
      <c r="AC44" s="900" t="str">
        <f t="shared" si="11"/>
        <v>中國</v>
      </c>
      <c r="AD44" s="894" t="str">
        <f t="array" ref="AD44">if(isblank(F44),"",xlookup(G44,z_Others!$B$5:$B$14,z_Others!$H$5:$H$14,"",0,1))</f>
        <v>附件07 (FATP手機)</v>
      </c>
      <c r="AE44" s="901" t="str">
        <f t="shared" si="12"/>
        <v>Foxconn</v>
      </c>
      <c r="AF44" s="791">
        <v>45783.0</v>
      </c>
      <c r="AG44" s="791">
        <f t="shared" si="13"/>
        <v>45787</v>
      </c>
      <c r="AH44" s="787"/>
      <c r="AI44" s="787">
        <v>45796.0</v>
      </c>
      <c r="AJ44" s="677" t="str">
        <f t="array" ref="AJ44">if(isblank(F44),"",xlookup(F44,'FL5_POR_包裝對照表 (Mapping Table)'!E:E,'FL5_POR_包裝對照表 (Mapping Table)'!AS:AS,"",0,1))</f>
        <v>128GB</v>
      </c>
      <c r="AK44" s="677" t="str">
        <f t="array" ref="AK44">if(isblank(F44),"",xlookup(F44,'FL5_POR_包裝對照表 (Mapping Table)'!E:E,'FL5_POR_包裝對照表 (Mapping Table)'!K:K,"",0,1))</f>
        <v>PPL</v>
      </c>
      <c r="AL44" s="677">
        <v>2997.0</v>
      </c>
      <c r="AM44" s="811"/>
      <c r="AN44" s="888" t="str">
        <f t="array" ref="AN44">xlookup(F44,'FL5_POR_包裝對照表 (Mapping Table)'!E:E,'FL5_POR_包裝對照表 (Mapping Table)'!BM:BM,"",0,1)</f>
        <v>No demand</v>
      </c>
      <c r="AO44" s="813"/>
      <c r="AP44" s="813"/>
    </row>
    <row r="45" ht="25.5" customHeight="1">
      <c r="A45" s="889"/>
      <c r="B45" s="877">
        <v>39.0</v>
      </c>
      <c r="C45" s="891" t="str">
        <f>if(isblank(F45),"",'FL5_POR_包裝對照表 (Mapping Table)'!$E$4)</f>
        <v>GFL (FL5)</v>
      </c>
      <c r="D45" s="878" t="str">
        <f t="array" ref="D45">if(isblank(F45),"",xlookup(F45,'FL5_POR_包裝對照表 (Mapping Table)'!E:E,'FL5_POR_包裝對照表 (Mapping Table)'!AZ:AZ,"",0,1))</f>
        <v>MP</v>
      </c>
      <c r="E45" s="677" t="str">
        <f t="shared" si="2"/>
        <v>Close</v>
      </c>
      <c r="F45" s="879" t="s">
        <v>481</v>
      </c>
      <c r="G45" s="892" t="str">
        <f t="array" ref="G45">if(isblank(F45),"",xlookup(F45,'FL5_POR_包裝對照表 (Mapping Table)'!E:E,'FL5_POR_包裝對照表 (Mapping Table)'!D:D,"",0,1))</f>
        <v>Retail Pack</v>
      </c>
      <c r="H45" s="893" t="str">
        <f t="array" ref="H45">if(isblank(F45),"",xlookup(F45,'FL5_POR_包裝對照表 (Mapping Table)'!E:E,'FL5_POR_包裝對照表 (Mapping Table)'!E:E,"",0,1))</f>
        <v>GA10215-US</v>
      </c>
      <c r="I45" s="677" t="str">
        <f t="array" ref="I45">if(isblank(F45),"",xlookup(F45,'FL5_POR_包裝對照表 (Mapping Table)'!E:E,'FL5_POR_包裝對照表 (Mapping Table)'!AN:AN,"",0,1))</f>
        <v>G950-15935-02</v>
      </c>
      <c r="J45" s="894" t="str">
        <f t="array" ref="J45">if(isblank(F45),"",xlookup(G45,z_Others!$B$5:$B$17,z_Others!$C$5:$C$17,"",0,1))</f>
        <v>智能手機</v>
      </c>
      <c r="K45" s="894" t="str">
        <f t="array" ref="K45">if(isblank(F45),"",xlookup(G45,z_Others!$B$5:$B$17,z_Others!$E$5:$E$17,"",0,1))</f>
        <v>智能手機</v>
      </c>
      <c r="L45" s="894" t="str">
        <f t="array" ref="L45">if(isblank(F45),"",xlookup(G45,z_Others!$B$5:$B$17,z_Others!$F$5:$F$17,"",0,1))</f>
        <v>智能手機</v>
      </c>
      <c r="M45" s="894" t="str">
        <f t="shared" si="3"/>
        <v>Google</v>
      </c>
      <c r="N45" s="894" t="str">
        <f t="shared" si="4"/>
        <v>境外品牌（貼牌生產)</v>
      </c>
      <c r="O45" s="882" t="str">
        <f t="array" ref="O45">if(isblank(F45),"",xlookup(F45,'FL5_POR_包裝對照表 (Mapping Table)'!E:E,'FL5_POR_包裝對照表 (Mapping Table)'!L:L,"",0,1))</f>
        <v>GLBW0</v>
      </c>
      <c r="P45" s="895">
        <f t="array" ref="P45">if(isblank(F45),"",xlookup(G45,z_Others!$B$5:$B$17,z_Others!$J$5:$J$17,"",0,1))</f>
        <v>0.2029</v>
      </c>
      <c r="Q45" s="896">
        <f t="array" ref="Q45">if(isblank(F45),"",xlookup(F45,'FL5_POR_核價 (經管 &amp; BPM)'!E:E,'FL5_POR_核價 (經管 &amp; BPM)'!O:O,"",0,1))</f>
        <v>426.51</v>
      </c>
      <c r="R45" s="894" t="str">
        <f t="shared" si="5"/>
        <v>否</v>
      </c>
      <c r="S45" s="897" t="str">
        <f t="array" ref="S45">if(isblank(F45),"",xlookup(G45,z_Others!$B$5:$B$17,z_Others!$K$5:$K$17,"",0,1))</f>
        <v>(1) 說明書
(2) C-2-C USB 數據線</v>
      </c>
      <c r="T45" s="894" t="str">
        <f t="shared" si="6"/>
        <v>開發手機中框組件模型(適用于Google 牌手機)</v>
      </c>
      <c r="U45" s="898" t="str">
        <f t="array" ref="U45">if(isblank(F45),"",xlookup(G45,z_Others!$B$5:$B$17,z_Others!$G$5:$G$17,"",0,1))</f>
        <v>無線通話用</v>
      </c>
      <c r="V45" s="231" t="str">
        <f t="array" ref="V45">if(isblank(F45),"",xlookup(F45,'FL5_POR_包裝對照表 (Mapping Table)'!E:E,'FL5_POR_包裝對照表 (Mapping Table)'!AB:AB,"",0,1))</f>
        <v>SKU, CLR3, GOOD, MMWAVE, Gstore, US, FL5</v>
      </c>
      <c r="W45" s="899" t="str">
        <f t="array" ref="W45">if(isblank(F45),"",xlookup(G45,z_Others!$B$5:$B$17,z_Others!$I$5:$I$17,"",0,1))</f>
        <v>152.83 x 71.98 x 12.01</v>
      </c>
      <c r="X45" s="894" t="str">
        <f t="shared" si="7"/>
        <v>Google</v>
      </c>
      <c r="Y45" s="894" t="str">
        <f t="shared" si="8"/>
        <v>Tensor series</v>
      </c>
      <c r="Z45" s="900" t="str">
        <f t="shared" si="9"/>
        <v>蜂窩網絡</v>
      </c>
      <c r="AA45" s="900" t="str">
        <f t="shared" si="10"/>
        <v>WCDMA&amp;GSM&amp;LTE&amp;5G制式</v>
      </c>
      <c r="AB45" s="878" t="str">
        <f t="array" ref="AB45">if(isblank(F45),"",xlookup(AJ45,z_Others!$M$5:$M$9,z_Others!$Q$5:$Q$9,"",0,1))</f>
        <v>直板、6.29 英寸彩屏、內存128G、GPRS、藍牙、前攝1100萬、後攝1200/5000萬</v>
      </c>
      <c r="AC45" s="900" t="str">
        <f t="shared" si="11"/>
        <v>中國</v>
      </c>
      <c r="AD45" s="894" t="str">
        <f t="array" ref="AD45">if(isblank(F45),"",xlookup(G45,z_Others!$B$5:$B$14,z_Others!$H$5:$H$14,"",0,1))</f>
        <v>附件07 (FATP手機)</v>
      </c>
      <c r="AE45" s="901" t="str">
        <f t="shared" si="12"/>
        <v>Foxconn</v>
      </c>
      <c r="AF45" s="791">
        <v>45783.0</v>
      </c>
      <c r="AG45" s="791">
        <f t="shared" si="13"/>
        <v>45787</v>
      </c>
      <c r="AH45" s="787"/>
      <c r="AI45" s="787">
        <v>45796.0</v>
      </c>
      <c r="AJ45" s="677" t="str">
        <f t="array" ref="AJ45">if(isblank(F45),"",xlookup(F45,'FL5_POR_包裝對照表 (Mapping Table)'!E:E,'FL5_POR_包裝對照表 (Mapping Table)'!AS:AS,"",0,1))</f>
        <v>128GB</v>
      </c>
      <c r="AK45" s="677" t="str">
        <f t="array" ref="AK45">if(isblank(F45),"",xlookup(F45,'FL5_POR_包裝對照表 (Mapping Table)'!E:E,'FL5_POR_包裝對照表 (Mapping Table)'!K:K,"",0,1))</f>
        <v>YEL</v>
      </c>
      <c r="AL45" s="677">
        <v>3002.0</v>
      </c>
      <c r="AM45" s="811"/>
      <c r="AN45" s="888" t="str">
        <f t="array" ref="AN45">xlookup(F45,'FL5_POR_包裝對照表 (Mapping Table)'!E:E,'FL5_POR_包裝對照表 (Mapping Table)'!BM:BM,"",0,1)</f>
        <v>No demand</v>
      </c>
      <c r="AO45" s="813"/>
      <c r="AP45" s="813"/>
    </row>
    <row r="46" ht="25.5" customHeight="1">
      <c r="A46" s="889"/>
      <c r="B46" s="877">
        <v>40.0</v>
      </c>
      <c r="C46" s="891" t="str">
        <f>if(isblank(F46),"",'FL5_POR_包裝對照表 (Mapping Table)'!$E$4)</f>
        <v>GFL (FL5)</v>
      </c>
      <c r="D46" s="878" t="str">
        <f t="array" ref="D46">if(isblank(F46),"",xlookup(F46,'FL5_POR_包裝對照表 (Mapping Table)'!E:E,'FL5_POR_包裝對照表 (Mapping Table)'!AZ:AZ,"",0,1))</f>
        <v>MP</v>
      </c>
      <c r="E46" s="677" t="str">
        <f t="shared" si="2"/>
        <v>Close</v>
      </c>
      <c r="F46" s="879" t="s">
        <v>486</v>
      </c>
      <c r="G46" s="892" t="str">
        <f t="array" ref="G46">if(isblank(F46),"",xlookup(F46,'FL5_POR_包裝對照表 (Mapping Table)'!E:E,'FL5_POR_包裝對照表 (Mapping Table)'!D:D,"",0,1))</f>
        <v>Retail Pack</v>
      </c>
      <c r="H46" s="893" t="str">
        <f t="array" ref="H46">if(isblank(F46),"",xlookup(F46,'FL5_POR_包裝對照表 (Mapping Table)'!E:E,'FL5_POR_包裝對照表 (Mapping Table)'!E:E,"",0,1))</f>
        <v>GA10216-US</v>
      </c>
      <c r="I46" s="677" t="str">
        <f t="array" ref="I46">if(isblank(F46),"",xlookup(F46,'FL5_POR_包裝對照表 (Mapping Table)'!E:E,'FL5_POR_包裝對照表 (Mapping Table)'!AN:AN,"",0,1))</f>
        <v>G950-15935-03</v>
      </c>
      <c r="J46" s="894" t="str">
        <f t="array" ref="J46">if(isblank(F46),"",xlookup(G46,z_Others!$B$5:$B$17,z_Others!$C$5:$C$17,"",0,1))</f>
        <v>智能手機</v>
      </c>
      <c r="K46" s="894" t="str">
        <f t="array" ref="K46">if(isblank(F46),"",xlookup(G46,z_Others!$B$5:$B$17,z_Others!$E$5:$E$17,"",0,1))</f>
        <v>智能手機</v>
      </c>
      <c r="L46" s="894" t="str">
        <f t="array" ref="L46">if(isblank(F46),"",xlookup(G46,z_Others!$B$5:$B$17,z_Others!$F$5:$F$17,"",0,1))</f>
        <v>智能手機</v>
      </c>
      <c r="M46" s="894" t="str">
        <f t="shared" si="3"/>
        <v>Google</v>
      </c>
      <c r="N46" s="894" t="str">
        <f t="shared" si="4"/>
        <v>境外品牌（貼牌生產)</v>
      </c>
      <c r="O46" s="882" t="str">
        <f t="array" ref="O46">if(isblank(F46),"",xlookup(F46,'FL5_POR_包裝對照表 (Mapping Table)'!E:E,'FL5_POR_包裝對照表 (Mapping Table)'!L:L,"",0,1))</f>
        <v>GLBW0</v>
      </c>
      <c r="P46" s="895">
        <f t="array" ref="P46">if(isblank(F46),"",xlookup(G46,z_Others!$B$5:$B$17,z_Others!$J$5:$J$17,"",0,1))</f>
        <v>0.2029</v>
      </c>
      <c r="Q46" s="896">
        <f t="array" ref="Q46">if(isblank(F46),"",xlookup(F46,'FL5_POR_核價 (經管 &amp; BPM)'!E:E,'FL5_POR_核價 (經管 &amp; BPM)'!O:O,"",0,1))</f>
        <v>426.51</v>
      </c>
      <c r="R46" s="894" t="str">
        <f t="shared" si="5"/>
        <v>否</v>
      </c>
      <c r="S46" s="897" t="str">
        <f t="array" ref="S46">if(isblank(F46),"",xlookup(G46,z_Others!$B$5:$B$17,z_Others!$K$5:$K$17,"",0,1))</f>
        <v>(1) 說明書
(2) C-2-C USB 數據線</v>
      </c>
      <c r="T46" s="894" t="str">
        <f t="shared" si="6"/>
        <v>開發手機中框組件模型(適用于Google 牌手機)</v>
      </c>
      <c r="U46" s="898" t="str">
        <f t="array" ref="U46">if(isblank(F46),"",xlookup(G46,z_Others!$B$5:$B$17,z_Others!$G$5:$G$17,"",0,1))</f>
        <v>無線通話用</v>
      </c>
      <c r="V46" s="231" t="str">
        <f t="array" ref="V46">if(isblank(F46),"",xlookup(F46,'FL5_POR_包裝對照表 (Mapping Table)'!E:E,'FL5_POR_包裝對照表 (Mapping Table)'!AB:AB,"",0,1))</f>
        <v>SKU, CLR4, GOOD, MMWAVE, Gstore, US, FL5</v>
      </c>
      <c r="W46" s="899" t="str">
        <f t="array" ref="W46">if(isblank(F46),"",xlookup(G46,z_Others!$B$5:$B$17,z_Others!$I$5:$I$17,"",0,1))</f>
        <v>152.83 x 71.98 x 12.01</v>
      </c>
      <c r="X46" s="894" t="str">
        <f t="shared" si="7"/>
        <v>Google</v>
      </c>
      <c r="Y46" s="894" t="str">
        <f t="shared" si="8"/>
        <v>Tensor series</v>
      </c>
      <c r="Z46" s="900" t="str">
        <f t="shared" si="9"/>
        <v>蜂窩網絡</v>
      </c>
      <c r="AA46" s="900" t="str">
        <f t="shared" si="10"/>
        <v>WCDMA&amp;GSM&amp;LTE&amp;5G制式</v>
      </c>
      <c r="AB46" s="878" t="str">
        <f t="array" ref="AB46">if(isblank(F46),"",xlookup(AJ46,z_Others!$M$5:$M$9,z_Others!$Q$5:$Q$9,"",0,1))</f>
        <v>直板、6.29 英寸彩屏、內存128G、GPRS、藍牙、前攝1100萬、後攝1200/5000萬</v>
      </c>
      <c r="AC46" s="900" t="str">
        <f t="shared" si="11"/>
        <v>中國</v>
      </c>
      <c r="AD46" s="894" t="str">
        <f t="array" ref="AD46">if(isblank(F46),"",xlookup(G46,z_Others!$B$5:$B$14,z_Others!$H$5:$H$14,"",0,1))</f>
        <v>附件07 (FATP手機)</v>
      </c>
      <c r="AE46" s="901" t="str">
        <f t="shared" si="12"/>
        <v>Foxconn</v>
      </c>
      <c r="AF46" s="791">
        <v>45783.0</v>
      </c>
      <c r="AG46" s="791">
        <f t="shared" si="13"/>
        <v>45787</v>
      </c>
      <c r="AH46" s="787"/>
      <c r="AI46" s="787">
        <v>45796.0</v>
      </c>
      <c r="AJ46" s="677" t="str">
        <f t="array" ref="AJ46">if(isblank(F46),"",xlookup(F46,'FL5_POR_包裝對照表 (Mapping Table)'!E:E,'FL5_POR_包裝對照表 (Mapping Table)'!AS:AS,"",0,1))</f>
        <v>128GB</v>
      </c>
      <c r="AK46" s="677" t="str">
        <f t="array" ref="AK46">if(isblank(F46),"",xlookup(F46,'FL5_POR_包裝對照表 (Mapping Table)'!E:E,'FL5_POR_包裝對照表 (Mapping Table)'!K:K,"",0,1))</f>
        <v>BUE</v>
      </c>
      <c r="AL46" s="677">
        <v>3001.0</v>
      </c>
      <c r="AM46" s="811"/>
      <c r="AN46" s="888" t="str">
        <f t="array" ref="AN46">xlookup(F46,'FL5_POR_包裝對照表 (Mapping Table)'!E:E,'FL5_POR_包裝對照表 (Mapping Table)'!BM:BM,"",0,1)</f>
        <v>No demand</v>
      </c>
      <c r="AO46" s="813"/>
      <c r="AP46" s="813"/>
    </row>
    <row r="47" ht="25.5" customHeight="1">
      <c r="A47" s="889"/>
      <c r="B47" s="877">
        <v>41.0</v>
      </c>
      <c r="C47" s="891" t="str">
        <f>if(isblank(F47),"",'FL5_POR_包裝對照表 (Mapping Table)'!$E$4)</f>
        <v>GFL (FL5)</v>
      </c>
      <c r="D47" s="878" t="str">
        <f t="array" ref="D47">if(isblank(F47),"",xlookup(F47,'FL5_POR_包裝對照表 (Mapping Table)'!E:E,'FL5_POR_包裝對照表 (Mapping Table)'!AZ:AZ,"",0,1))</f>
        <v>MP</v>
      </c>
      <c r="E47" s="677" t="str">
        <f t="shared" si="2"/>
        <v>Close</v>
      </c>
      <c r="F47" s="879" t="s">
        <v>636</v>
      </c>
      <c r="G47" s="892" t="str">
        <f t="array" ref="G47">if(isblank(F47),"",xlookup(F47,'FL5_POR_包裝對照表 (Mapping Table)'!E:E,'FL5_POR_包裝對照表 (Mapping Table)'!D:D,"",0,1))</f>
        <v>Retail Pack</v>
      </c>
      <c r="H47" s="893" t="str">
        <f t="array" ref="H47">if(isblank(F47),"",xlookup(F47,'FL5_POR_包裝對照表 (Mapping Table)'!E:E,'FL5_POR_包裝對照表 (Mapping Table)'!E:E,"",0,1))</f>
        <v>GA10217-CA</v>
      </c>
      <c r="I47" s="677" t="str">
        <f t="array" ref="I47">if(isblank(F47),"",xlookup(F47,'FL5_POR_包裝對照表 (Mapping Table)'!E:E,'FL5_POR_包裝對照表 (Mapping Table)'!AN:AN,"",0,1))</f>
        <v>G950-15935-15</v>
      </c>
      <c r="J47" s="894" t="str">
        <f t="array" ref="J47">if(isblank(F47),"",xlookup(G47,z_Others!$B$5:$B$17,z_Others!$C$5:$C$17,"",0,1))</f>
        <v>智能手機</v>
      </c>
      <c r="K47" s="894" t="str">
        <f t="array" ref="K47">if(isblank(F47),"",xlookup(G47,z_Others!$B$5:$B$17,z_Others!$E$5:$E$17,"",0,1))</f>
        <v>智能手機</v>
      </c>
      <c r="L47" s="894" t="str">
        <f t="array" ref="L47">if(isblank(F47),"",xlookup(G47,z_Others!$B$5:$B$17,z_Others!$F$5:$F$17,"",0,1))</f>
        <v>智能手機</v>
      </c>
      <c r="M47" s="894" t="str">
        <f t="shared" si="3"/>
        <v>Google</v>
      </c>
      <c r="N47" s="894" t="str">
        <f t="shared" si="4"/>
        <v>境外品牌（貼牌生產)</v>
      </c>
      <c r="O47" s="882" t="str">
        <f t="array" ref="O47">if(isblank(F47),"",xlookup(F47,'FL5_POR_包裝對照表 (Mapping Table)'!E:E,'FL5_POR_包裝對照表 (Mapping Table)'!L:L,"",0,1))</f>
        <v>GK2MP</v>
      </c>
      <c r="P47" s="895">
        <f t="array" ref="P47">if(isblank(F47),"",xlookup(G47,z_Others!$B$5:$B$17,z_Others!$J$5:$J$17,"",0,1))</f>
        <v>0.2029</v>
      </c>
      <c r="Q47" s="896">
        <f t="array" ref="Q47">if(isblank(F47),"",xlookup(F47,'FL5_POR_核價 (經管 &amp; BPM)'!E:E,'FL5_POR_核價 (經管 &amp; BPM)'!O:O,"",0,1))</f>
        <v>435.99</v>
      </c>
      <c r="R47" s="894" t="str">
        <f t="shared" si="5"/>
        <v>否</v>
      </c>
      <c r="S47" s="897" t="str">
        <f t="array" ref="S47">if(isblank(F47),"",xlookup(G47,z_Others!$B$5:$B$17,z_Others!$K$5:$K$17,"",0,1))</f>
        <v>(1) 說明書
(2) C-2-C USB 數據線</v>
      </c>
      <c r="T47" s="894" t="str">
        <f t="shared" si="6"/>
        <v>開發手機中框組件模型(適用于Google 牌手機)</v>
      </c>
      <c r="U47" s="898" t="str">
        <f t="array" ref="U47">if(isblank(F47),"",xlookup(G47,z_Others!$B$5:$B$17,z_Others!$G$5:$G$17,"",0,1))</f>
        <v>無線通話用</v>
      </c>
      <c r="V47" s="231" t="str">
        <f t="array" ref="V47">if(isblank(F47),"",xlookup(F47,'FL5_POR_包裝對照表 (Mapping Table)'!E:E,'FL5_POR_包裝對照表 (Mapping Table)'!AB:AB,"",0,1))</f>
        <v>SKU, CLR2, BETTER, SUB6, CA/TW/SG/MY/AU/MX, FL5</v>
      </c>
      <c r="W47" s="899" t="str">
        <f t="array" ref="W47">if(isblank(F47),"",xlookup(G47,z_Others!$B$5:$B$17,z_Others!$I$5:$I$17,"",0,1))</f>
        <v>152.83 x 71.98 x 12.01</v>
      </c>
      <c r="X47" s="894" t="str">
        <f t="shared" si="7"/>
        <v>Google</v>
      </c>
      <c r="Y47" s="894" t="str">
        <f t="shared" si="8"/>
        <v>Tensor series</v>
      </c>
      <c r="Z47" s="900" t="str">
        <f t="shared" si="9"/>
        <v>蜂窩網絡</v>
      </c>
      <c r="AA47" s="900" t="str">
        <f t="shared" si="10"/>
        <v>WCDMA&amp;GSM&amp;LTE&amp;5G制式</v>
      </c>
      <c r="AB47" s="878" t="str">
        <f t="array" ref="AB47">if(isblank(F47),"",xlookup(AJ47,z_Others!$M$5:$M$9,z_Others!$Q$5:$Q$9,"",0,1))</f>
        <v>直板、6.29 英寸彩屏、內存256G、GPRS、藍牙、前攝1100萬、後攝1200/5000萬</v>
      </c>
      <c r="AC47" s="900" t="str">
        <f t="shared" si="11"/>
        <v>中國</v>
      </c>
      <c r="AD47" s="894" t="str">
        <f t="array" ref="AD47">if(isblank(F47),"",xlookup(G47,z_Others!$B$5:$B$14,z_Others!$H$5:$H$14,"",0,1))</f>
        <v>附件07 (FATP手機)</v>
      </c>
      <c r="AE47" s="901" t="str">
        <f t="shared" si="12"/>
        <v>Foxconn</v>
      </c>
      <c r="AF47" s="791">
        <v>45783.0</v>
      </c>
      <c r="AG47" s="791">
        <f t="shared" si="13"/>
        <v>45787</v>
      </c>
      <c r="AH47" s="787"/>
      <c r="AI47" s="787">
        <v>45796.0</v>
      </c>
      <c r="AJ47" s="677" t="str">
        <f t="array" ref="AJ47">if(isblank(F47),"",xlookup(F47,'FL5_POR_包裝對照表 (Mapping Table)'!E:E,'FL5_POR_包裝對照表 (Mapping Table)'!AS:AS,"",0,1))</f>
        <v>256GB</v>
      </c>
      <c r="AK47" s="677" t="str">
        <f t="array" ref="AK47">if(isblank(F47),"",xlookup(F47,'FL5_POR_包裝對照表 (Mapping Table)'!E:E,'FL5_POR_包裝對照表 (Mapping Table)'!K:K,"",0,1))</f>
        <v>PPL</v>
      </c>
      <c r="AL47" s="677">
        <v>2996.0</v>
      </c>
      <c r="AM47" s="811"/>
      <c r="AN47" s="888" t="str">
        <f t="array" ref="AN47">xlookup(F47,'FL5_POR_包裝對照表 (Mapping Table)'!E:E,'FL5_POR_包裝對照表 (Mapping Table)'!BM:BM,"",0,1)</f>
        <v>No demand</v>
      </c>
      <c r="AO47" s="813"/>
      <c r="AP47" s="813"/>
    </row>
    <row r="48" ht="25.5" customHeight="1">
      <c r="A48" s="889"/>
      <c r="B48" s="877">
        <v>42.0</v>
      </c>
      <c r="C48" s="891" t="str">
        <f>if(isblank(F48),"",'FL5_POR_包裝對照表 (Mapping Table)'!$E$4)</f>
        <v>GFL (FL5)</v>
      </c>
      <c r="D48" s="878" t="str">
        <f t="array" ref="D48">if(isblank(F48),"",xlookup(F48,'FL5_POR_包裝對照表 (Mapping Table)'!E:E,'FL5_POR_包裝對照表 (Mapping Table)'!AZ:AZ,"",0,1))</f>
        <v>MP</v>
      </c>
      <c r="E48" s="677" t="str">
        <f t="shared" si="2"/>
        <v>Close</v>
      </c>
      <c r="F48" s="879" t="s">
        <v>687</v>
      </c>
      <c r="G48" s="892" t="str">
        <f t="array" ref="G48">if(isblank(F48),"",xlookup(F48,'FL5_POR_包裝對照表 (Mapping Table)'!E:E,'FL5_POR_包裝對照表 (Mapping Table)'!D:D,"",0,1))</f>
        <v>Retail Pack</v>
      </c>
      <c r="H48" s="893" t="str">
        <f t="array" ref="H48">if(isblank(F48),"",xlookup(F48,'FL5_POR_包裝對照表 (Mapping Table)'!E:E,'FL5_POR_包裝對照表 (Mapping Table)'!E:E,"",0,1))</f>
        <v>GA10217-IN</v>
      </c>
      <c r="I48" s="677" t="str">
        <f t="array" ref="I48">if(isblank(F48),"",xlookup(F48,'FL5_POR_包裝對照表 (Mapping Table)'!E:E,'FL5_POR_包裝對照表 (Mapping Table)'!AN:AN,"",0,1))</f>
        <v>G950-15935-15</v>
      </c>
      <c r="J48" s="894" t="str">
        <f t="array" ref="J48">if(isblank(F48),"",xlookup(G48,z_Others!$B$5:$B$17,z_Others!$C$5:$C$17,"",0,1))</f>
        <v>智能手機</v>
      </c>
      <c r="K48" s="894" t="str">
        <f t="array" ref="K48">if(isblank(F48),"",xlookup(G48,z_Others!$B$5:$B$17,z_Others!$E$5:$E$17,"",0,1))</f>
        <v>智能手機</v>
      </c>
      <c r="L48" s="894" t="str">
        <f t="array" ref="L48">if(isblank(F48),"",xlookup(G48,z_Others!$B$5:$B$17,z_Others!$F$5:$F$17,"",0,1))</f>
        <v>智能手機</v>
      </c>
      <c r="M48" s="894" t="str">
        <f t="shared" si="3"/>
        <v>Google</v>
      </c>
      <c r="N48" s="894" t="str">
        <f t="shared" si="4"/>
        <v>境外品牌（貼牌生產)</v>
      </c>
      <c r="O48" s="882" t="str">
        <f t="array" ref="O48">if(isblank(F48),"",xlookup(F48,'FL5_POR_包裝對照表 (Mapping Table)'!E:E,'FL5_POR_包裝對照表 (Mapping Table)'!L:L,"",0,1))</f>
        <v>GK2MP</v>
      </c>
      <c r="P48" s="895">
        <f t="array" ref="P48">if(isblank(F48),"",xlookup(G48,z_Others!$B$5:$B$17,z_Others!$J$5:$J$17,"",0,1))</f>
        <v>0.2029</v>
      </c>
      <c r="Q48" s="896">
        <f t="array" ref="Q48">if(isblank(F48),"",xlookup(F48,'FL5_POR_核價 (經管 &amp; BPM)'!E:E,'FL5_POR_核價 (經管 &amp; BPM)'!O:O,"",0,1))</f>
        <v>435.98</v>
      </c>
      <c r="R48" s="894" t="str">
        <f t="shared" si="5"/>
        <v>否</v>
      </c>
      <c r="S48" s="897" t="str">
        <f t="array" ref="S48">if(isblank(F48),"",xlookup(G48,z_Others!$B$5:$B$17,z_Others!$K$5:$K$17,"",0,1))</f>
        <v>(1) 說明書
(2) C-2-C USB 數據線</v>
      </c>
      <c r="T48" s="894" t="str">
        <f t="shared" si="6"/>
        <v>開發手機中框組件模型(適用于Google 牌手機)</v>
      </c>
      <c r="U48" s="898" t="str">
        <f t="array" ref="U48">if(isblank(F48),"",xlookup(G48,z_Others!$B$5:$B$17,z_Others!$G$5:$G$17,"",0,1))</f>
        <v>無線通話用</v>
      </c>
      <c r="V48" s="231" t="str">
        <f t="array" ref="V48">if(isblank(F48),"",xlookup(F48,'FL5_POR_包裝對照表 (Mapping Table)'!E:E,'FL5_POR_包裝對照表 (Mapping Table)'!AB:AB,"",0,1))</f>
        <v>SKU, CLR2, BETTER, SUB6, IN, FL5</v>
      </c>
      <c r="W48" s="899" t="str">
        <f t="array" ref="W48">if(isblank(F48),"",xlookup(G48,z_Others!$B$5:$B$17,z_Others!$I$5:$I$17,"",0,1))</f>
        <v>152.83 x 71.98 x 12.01</v>
      </c>
      <c r="X48" s="894" t="str">
        <f t="shared" si="7"/>
        <v>Google</v>
      </c>
      <c r="Y48" s="894" t="str">
        <f t="shared" si="8"/>
        <v>Tensor series</v>
      </c>
      <c r="Z48" s="900" t="str">
        <f t="shared" si="9"/>
        <v>蜂窩網絡</v>
      </c>
      <c r="AA48" s="900" t="str">
        <f t="shared" si="10"/>
        <v>WCDMA&amp;GSM&amp;LTE&amp;5G制式</v>
      </c>
      <c r="AB48" s="878" t="str">
        <f t="array" ref="AB48">if(isblank(F48),"",xlookup(AJ48,z_Others!$M$5:$M$9,z_Others!$Q$5:$Q$9,"",0,1))</f>
        <v>直板、6.29 英寸彩屏、內存256G、GPRS、藍牙、前攝1100萬、後攝1200/5000萬</v>
      </c>
      <c r="AC48" s="900" t="str">
        <f t="shared" si="11"/>
        <v>中國</v>
      </c>
      <c r="AD48" s="894" t="str">
        <f t="array" ref="AD48">if(isblank(F48),"",xlookup(G48,z_Others!$B$5:$B$14,z_Others!$H$5:$H$14,"",0,1))</f>
        <v>附件07 (FATP手機)</v>
      </c>
      <c r="AE48" s="901" t="str">
        <f t="shared" si="12"/>
        <v>Foxconn</v>
      </c>
      <c r="AF48" s="791">
        <v>45783.0</v>
      </c>
      <c r="AG48" s="791">
        <f t="shared" si="13"/>
        <v>45787</v>
      </c>
      <c r="AH48" s="787"/>
      <c r="AI48" s="787">
        <v>45796.0</v>
      </c>
      <c r="AJ48" s="677" t="str">
        <f t="array" ref="AJ48">if(isblank(F48),"",xlookup(F48,'FL5_POR_包裝對照表 (Mapping Table)'!E:E,'FL5_POR_包裝對照表 (Mapping Table)'!AS:AS,"",0,1))</f>
        <v>256GB</v>
      </c>
      <c r="AK48" s="677" t="str">
        <f t="array" ref="AK48">if(isblank(F48),"",xlookup(F48,'FL5_POR_包裝對照表 (Mapping Table)'!E:E,'FL5_POR_包裝對照表 (Mapping Table)'!K:K,"",0,1))</f>
        <v>PPL</v>
      </c>
      <c r="AL48" s="677">
        <v>2995.0</v>
      </c>
      <c r="AM48" s="811"/>
      <c r="AN48" s="888" t="str">
        <f t="array" ref="AN48">xlookup(F48,'FL5_POR_包裝對照表 (Mapping Table)'!E:E,'FL5_POR_包裝對照表 (Mapping Table)'!BM:BM,"",0,1)</f>
        <v>No demand</v>
      </c>
      <c r="AO48" s="813"/>
      <c r="AP48" s="813"/>
    </row>
    <row r="49" ht="25.5" customHeight="1">
      <c r="A49" s="889"/>
      <c r="B49" s="877">
        <v>43.0</v>
      </c>
      <c r="C49" s="891" t="str">
        <f>if(isblank(F49),"",'FL5_POR_包裝對照表 (Mapping Table)'!$E$4)</f>
        <v>GFL (FL5)</v>
      </c>
      <c r="D49" s="878" t="str">
        <f t="array" ref="D49">if(isblank(F49),"",xlookup(F49,'FL5_POR_包裝對照表 (Mapping Table)'!E:E,'FL5_POR_包裝對照表 (Mapping Table)'!AZ:AZ,"",0,1))</f>
        <v>MP</v>
      </c>
      <c r="E49" s="677" t="str">
        <f t="shared" si="2"/>
        <v>Close</v>
      </c>
      <c r="F49" s="879" t="s">
        <v>643</v>
      </c>
      <c r="G49" s="892" t="str">
        <f t="array" ref="G49">if(isblank(F49),"",xlookup(F49,'FL5_POR_包裝對照表 (Mapping Table)'!E:E,'FL5_POR_包裝對照表 (Mapping Table)'!D:D,"",0,1))</f>
        <v>Retail Pack</v>
      </c>
      <c r="H49" s="893" t="str">
        <f t="array" ref="H49">if(isblank(F49),"",xlookup(F49,'FL5_POR_包裝對照表 (Mapping Table)'!E:E,'FL5_POR_包裝對照表 (Mapping Table)'!E:E,"",0,1))</f>
        <v>GA10218-CA</v>
      </c>
      <c r="I49" s="677" t="str">
        <f t="array" ref="I49">if(isblank(F49),"",xlookup(F49,'FL5_POR_包裝對照表 (Mapping Table)'!E:E,'FL5_POR_包裝對照表 (Mapping Table)'!AN:AN,"",0,1))</f>
        <v>G950-15935-16</v>
      </c>
      <c r="J49" s="894" t="str">
        <f t="array" ref="J49">if(isblank(F49),"",xlookup(G49,z_Others!$B$5:$B$17,z_Others!$C$5:$C$17,"",0,1))</f>
        <v>智能手機</v>
      </c>
      <c r="K49" s="894" t="str">
        <f t="array" ref="K49">if(isblank(F49),"",xlookup(G49,z_Others!$B$5:$B$17,z_Others!$E$5:$E$17,"",0,1))</f>
        <v>智能手機</v>
      </c>
      <c r="L49" s="894" t="str">
        <f t="array" ref="L49">if(isblank(F49),"",xlookup(G49,z_Others!$B$5:$B$17,z_Others!$F$5:$F$17,"",0,1))</f>
        <v>智能手機</v>
      </c>
      <c r="M49" s="894" t="str">
        <f t="shared" si="3"/>
        <v>Google</v>
      </c>
      <c r="N49" s="894" t="str">
        <f t="shared" si="4"/>
        <v>境外品牌（貼牌生產)</v>
      </c>
      <c r="O49" s="882" t="str">
        <f t="array" ref="O49">if(isblank(F49),"",xlookup(F49,'FL5_POR_包裝對照表 (Mapping Table)'!E:E,'FL5_POR_包裝對照表 (Mapping Table)'!L:L,"",0,1))</f>
        <v>GK2MP</v>
      </c>
      <c r="P49" s="895">
        <f t="array" ref="P49">if(isblank(F49),"",xlookup(G49,z_Others!$B$5:$B$17,z_Others!$J$5:$J$17,"",0,1))</f>
        <v>0.2029</v>
      </c>
      <c r="Q49" s="896">
        <f t="array" ref="Q49">if(isblank(F49),"",xlookup(F49,'FL5_POR_核價 (經管 &amp; BPM)'!E:E,'FL5_POR_核價 (經管 &amp; BPM)'!O:O,"",0,1))</f>
        <v>436.09</v>
      </c>
      <c r="R49" s="894" t="str">
        <f t="shared" si="5"/>
        <v>否</v>
      </c>
      <c r="S49" s="897" t="str">
        <f t="array" ref="S49">if(isblank(F49),"",xlookup(G49,z_Others!$B$5:$B$17,z_Others!$K$5:$K$17,"",0,1))</f>
        <v>(1) 說明書
(2) C-2-C USB 數據線</v>
      </c>
      <c r="T49" s="894" t="str">
        <f t="shared" si="6"/>
        <v>開發手機中框組件模型(適用于Google 牌手機)</v>
      </c>
      <c r="U49" s="898" t="str">
        <f t="array" ref="U49">if(isblank(F49),"",xlookup(G49,z_Others!$B$5:$B$17,z_Others!$G$5:$G$17,"",0,1))</f>
        <v>無線通話用</v>
      </c>
      <c r="V49" s="231" t="str">
        <f t="array" ref="V49">if(isblank(F49),"",xlookup(F49,'FL5_POR_包裝對照表 (Mapping Table)'!E:E,'FL5_POR_包裝對照表 (Mapping Table)'!AB:AB,"",0,1))</f>
        <v>SKU, CLR3, BETTER, SUB6, CA/TW/SG/MY/AU/MX, FL5</v>
      </c>
      <c r="W49" s="899" t="str">
        <f t="array" ref="W49">if(isblank(F49),"",xlookup(G49,z_Others!$B$5:$B$17,z_Others!$I$5:$I$17,"",0,1))</f>
        <v>152.83 x 71.98 x 12.01</v>
      </c>
      <c r="X49" s="894" t="str">
        <f t="shared" si="7"/>
        <v>Google</v>
      </c>
      <c r="Y49" s="894" t="str">
        <f t="shared" si="8"/>
        <v>Tensor series</v>
      </c>
      <c r="Z49" s="900" t="str">
        <f t="shared" si="9"/>
        <v>蜂窩網絡</v>
      </c>
      <c r="AA49" s="900" t="str">
        <f t="shared" si="10"/>
        <v>WCDMA&amp;GSM&amp;LTE&amp;5G制式</v>
      </c>
      <c r="AB49" s="878" t="str">
        <f t="array" ref="AB49">if(isblank(F49),"",xlookup(AJ49,z_Others!$M$5:$M$9,z_Others!$Q$5:$Q$9,"",0,1))</f>
        <v>直板、6.29 英寸彩屏、內存256G、GPRS、藍牙、前攝1100萬、後攝1200/5000萬</v>
      </c>
      <c r="AC49" s="900" t="str">
        <f t="shared" si="11"/>
        <v>中國</v>
      </c>
      <c r="AD49" s="894" t="str">
        <f t="array" ref="AD49">if(isblank(F49),"",xlookup(G49,z_Others!$B$5:$B$14,z_Others!$H$5:$H$14,"",0,1))</f>
        <v>附件07 (FATP手機)</v>
      </c>
      <c r="AE49" s="901" t="str">
        <f t="shared" si="12"/>
        <v>Foxconn</v>
      </c>
      <c r="AF49" s="791">
        <v>45783.0</v>
      </c>
      <c r="AG49" s="791">
        <f t="shared" si="13"/>
        <v>45787</v>
      </c>
      <c r="AH49" s="787"/>
      <c r="AI49" s="787">
        <v>45796.0</v>
      </c>
      <c r="AJ49" s="677" t="str">
        <f t="array" ref="AJ49">if(isblank(F49),"",xlookup(F49,'FL5_POR_包裝對照表 (Mapping Table)'!E:E,'FL5_POR_包裝對照表 (Mapping Table)'!AS:AS,"",0,1))</f>
        <v>256GB</v>
      </c>
      <c r="AK49" s="677" t="str">
        <f t="array" ref="AK49">if(isblank(F49),"",xlookup(F49,'FL5_POR_包裝對照表 (Mapping Table)'!E:E,'FL5_POR_包裝對照表 (Mapping Table)'!K:K,"",0,1))</f>
        <v>YEL</v>
      </c>
      <c r="AL49" s="677">
        <v>2994.0</v>
      </c>
      <c r="AM49" s="811"/>
      <c r="AN49" s="888" t="str">
        <f t="array" ref="AN49">xlookup(F49,'FL5_POR_包裝對照表 (Mapping Table)'!E:E,'FL5_POR_包裝對照表 (Mapping Table)'!BM:BM,"",0,1)</f>
        <v>No demand</v>
      </c>
      <c r="AO49" s="813"/>
      <c r="AP49" s="813"/>
    </row>
    <row r="50" ht="25.5" customHeight="1">
      <c r="A50" s="889"/>
      <c r="B50" s="877">
        <v>44.0</v>
      </c>
      <c r="C50" s="891" t="str">
        <f>if(isblank(F50),"",'FL5_POR_包裝對照表 (Mapping Table)'!$E$4)</f>
        <v>GFL (FL5)</v>
      </c>
      <c r="D50" s="878" t="str">
        <f t="array" ref="D50">if(isblank(F50),"",xlookup(F50,'FL5_POR_包裝對照表 (Mapping Table)'!E:E,'FL5_POR_包裝對照表 (Mapping Table)'!AZ:AZ,"",0,1))</f>
        <v>MP</v>
      </c>
      <c r="E50" s="677" t="str">
        <f t="shared" si="2"/>
        <v>Close</v>
      </c>
      <c r="F50" s="879" t="s">
        <v>650</v>
      </c>
      <c r="G50" s="892" t="str">
        <f t="array" ref="G50">if(isblank(F50),"",xlookup(F50,'FL5_POR_包裝對照表 (Mapping Table)'!E:E,'FL5_POR_包裝對照表 (Mapping Table)'!D:D,"",0,1))</f>
        <v>Retail Pack</v>
      </c>
      <c r="H50" s="893" t="str">
        <f t="array" ref="H50">if(isblank(F50),"",xlookup(F50,'FL5_POR_包裝對照表 (Mapping Table)'!E:E,'FL5_POR_包裝對照表 (Mapping Table)'!E:E,"",0,1))</f>
        <v>GA10219-CA</v>
      </c>
      <c r="I50" s="677" t="str">
        <f t="array" ref="I50">if(isblank(F50),"",xlookup(F50,'FL5_POR_包裝對照表 (Mapping Table)'!E:E,'FL5_POR_包裝對照表 (Mapping Table)'!AN:AN,"",0,1))</f>
        <v>G950-15935-17</v>
      </c>
      <c r="J50" s="894" t="str">
        <f t="array" ref="J50">if(isblank(F50),"",xlookup(G50,z_Others!$B$5:$B$17,z_Others!$C$5:$C$17,"",0,1))</f>
        <v>智能手機</v>
      </c>
      <c r="K50" s="894" t="str">
        <f t="array" ref="K50">if(isblank(F50),"",xlookup(G50,z_Others!$B$5:$B$17,z_Others!$E$5:$E$17,"",0,1))</f>
        <v>智能手機</v>
      </c>
      <c r="L50" s="894" t="str">
        <f t="array" ref="L50">if(isblank(F50),"",xlookup(G50,z_Others!$B$5:$B$17,z_Others!$F$5:$F$17,"",0,1))</f>
        <v>智能手機</v>
      </c>
      <c r="M50" s="894" t="str">
        <f t="shared" si="3"/>
        <v>Google</v>
      </c>
      <c r="N50" s="894" t="str">
        <f t="shared" si="4"/>
        <v>境外品牌（貼牌生產)</v>
      </c>
      <c r="O50" s="882" t="str">
        <f t="array" ref="O50">if(isblank(F50),"",xlookup(F50,'FL5_POR_包裝對照表 (Mapping Table)'!E:E,'FL5_POR_包裝對照表 (Mapping Table)'!L:L,"",0,1))</f>
        <v>GK2MP</v>
      </c>
      <c r="P50" s="895">
        <f t="array" ref="P50">if(isblank(F50),"",xlookup(G50,z_Others!$B$5:$B$17,z_Others!$J$5:$J$17,"",0,1))</f>
        <v>0.2029</v>
      </c>
      <c r="Q50" s="896">
        <f t="array" ref="Q50">if(isblank(F50),"",xlookup(F50,'FL5_POR_核價 (經管 &amp; BPM)'!E:E,'FL5_POR_核價 (經管 &amp; BPM)'!O:O,"",0,1))</f>
        <v>436.09</v>
      </c>
      <c r="R50" s="894" t="str">
        <f t="shared" si="5"/>
        <v>否</v>
      </c>
      <c r="S50" s="897" t="str">
        <f t="array" ref="S50">if(isblank(F50),"",xlookup(G50,z_Others!$B$5:$B$17,z_Others!$K$5:$K$17,"",0,1))</f>
        <v>(1) 說明書
(2) C-2-C USB 數據線</v>
      </c>
      <c r="T50" s="894" t="str">
        <f t="shared" si="6"/>
        <v>開發手機中框組件模型(適用于Google 牌手機)</v>
      </c>
      <c r="U50" s="898" t="str">
        <f t="array" ref="U50">if(isblank(F50),"",xlookup(G50,z_Others!$B$5:$B$17,z_Others!$G$5:$G$17,"",0,1))</f>
        <v>無線通話用</v>
      </c>
      <c r="V50" s="231" t="str">
        <f t="array" ref="V50">if(isblank(F50),"",xlookup(F50,'FL5_POR_包裝對照表 (Mapping Table)'!E:E,'FL5_POR_包裝對照表 (Mapping Table)'!AB:AB,"",0,1))</f>
        <v>SKU, CLR4, BETTER, SUB6, CA/TW/SG/MY/AU/MX, FL5</v>
      </c>
      <c r="W50" s="899" t="str">
        <f t="array" ref="W50">if(isblank(F50),"",xlookup(G50,z_Others!$B$5:$B$17,z_Others!$I$5:$I$17,"",0,1))</f>
        <v>152.83 x 71.98 x 12.01</v>
      </c>
      <c r="X50" s="894" t="str">
        <f t="shared" si="7"/>
        <v>Google</v>
      </c>
      <c r="Y50" s="894" t="str">
        <f t="shared" si="8"/>
        <v>Tensor series</v>
      </c>
      <c r="Z50" s="900" t="str">
        <f t="shared" si="9"/>
        <v>蜂窩網絡</v>
      </c>
      <c r="AA50" s="900" t="str">
        <f t="shared" si="10"/>
        <v>WCDMA&amp;GSM&amp;LTE&amp;5G制式</v>
      </c>
      <c r="AB50" s="878" t="str">
        <f t="array" ref="AB50">if(isblank(F50),"",xlookup(AJ50,z_Others!$M$5:$M$9,z_Others!$Q$5:$Q$9,"",0,1))</f>
        <v>直板、6.29 英寸彩屏、內存256G、GPRS、藍牙、前攝1100萬、後攝1200/5000萬</v>
      </c>
      <c r="AC50" s="900" t="str">
        <f t="shared" si="11"/>
        <v>中國</v>
      </c>
      <c r="AD50" s="894" t="str">
        <f t="array" ref="AD50">if(isblank(F50),"",xlookup(G50,z_Others!$B$5:$B$14,z_Others!$H$5:$H$14,"",0,1))</f>
        <v>附件07 (FATP手機)</v>
      </c>
      <c r="AE50" s="901" t="str">
        <f t="shared" si="12"/>
        <v>Foxconn</v>
      </c>
      <c r="AF50" s="791">
        <v>45783.0</v>
      </c>
      <c r="AG50" s="791">
        <f t="shared" si="13"/>
        <v>45787</v>
      </c>
      <c r="AH50" s="787"/>
      <c r="AI50" s="787">
        <v>45796.0</v>
      </c>
      <c r="AJ50" s="677" t="str">
        <f t="array" ref="AJ50">if(isblank(F50),"",xlookup(F50,'FL5_POR_包裝對照表 (Mapping Table)'!E:E,'FL5_POR_包裝對照表 (Mapping Table)'!AS:AS,"",0,1))</f>
        <v>256GB</v>
      </c>
      <c r="AK50" s="677" t="str">
        <f t="array" ref="AK50">if(isblank(F50),"",xlookup(F50,'FL5_POR_包裝對照表 (Mapping Table)'!E:E,'FL5_POR_包裝對照表 (Mapping Table)'!K:K,"",0,1))</f>
        <v>BUE</v>
      </c>
      <c r="AL50" s="677">
        <v>2993.0</v>
      </c>
      <c r="AM50" s="811"/>
      <c r="AN50" s="888" t="str">
        <f t="array" ref="AN50">xlookup(F50,'FL5_POR_包裝對照表 (Mapping Table)'!E:E,'FL5_POR_包裝對照表 (Mapping Table)'!BM:BM,"",0,1)</f>
        <v>No demand</v>
      </c>
      <c r="AO50" s="813"/>
      <c r="AP50" s="813"/>
    </row>
    <row r="51" ht="25.5" customHeight="1">
      <c r="A51" s="889"/>
      <c r="B51" s="877">
        <v>45.0</v>
      </c>
      <c r="C51" s="891" t="str">
        <f>if(isblank(F51),"",'FL5_POR_包裝對照表 (Mapping Table)'!$E$4)</f>
        <v>GFL (FL5)</v>
      </c>
      <c r="D51" s="878" t="str">
        <f t="array" ref="D51">if(isblank(F51),"",xlookup(F51,'FL5_POR_包裝對照表 (Mapping Table)'!E:E,'FL5_POR_包裝對照表 (Mapping Table)'!AZ:AZ,"",0,1))</f>
        <v>MP</v>
      </c>
      <c r="E51" s="677" t="str">
        <f t="shared" si="2"/>
        <v>Close</v>
      </c>
      <c r="F51" s="879" t="s">
        <v>675</v>
      </c>
      <c r="G51" s="892" t="str">
        <f t="array" ref="G51">if(isblank(F51),"",xlookup(F51,'FL5_POR_包裝對照表 (Mapping Table)'!E:E,'FL5_POR_包裝對照表 (Mapping Table)'!D:D,"",0,1))</f>
        <v>Retail Pack</v>
      </c>
      <c r="H51" s="893" t="str">
        <f t="array" ref="H51">if(isblank(F51),"",xlookup(F51,'FL5_POR_包裝對照表 (Mapping Table)'!E:E,'FL5_POR_包裝對照表 (Mapping Table)'!E:E,"",0,1))</f>
        <v>GA10219-GB</v>
      </c>
      <c r="I51" s="677" t="str">
        <f t="array" ref="I51">if(isblank(F51),"",xlookup(F51,'FL5_POR_包裝對照表 (Mapping Table)'!E:E,'FL5_POR_包裝對照表 (Mapping Table)'!AN:AN,"",0,1))</f>
        <v>G950-15935-17</v>
      </c>
      <c r="J51" s="894" t="str">
        <f t="array" ref="J51">if(isblank(F51),"",xlookup(G51,z_Others!$B$5:$B$17,z_Others!$C$5:$C$17,"",0,1))</f>
        <v>智能手機</v>
      </c>
      <c r="K51" s="894" t="str">
        <f t="array" ref="K51">if(isblank(F51),"",xlookup(G51,z_Others!$B$5:$B$17,z_Others!$E$5:$E$17,"",0,1))</f>
        <v>智能手機</v>
      </c>
      <c r="L51" s="894" t="str">
        <f t="array" ref="L51">if(isblank(F51),"",xlookup(G51,z_Others!$B$5:$B$17,z_Others!$F$5:$F$17,"",0,1))</f>
        <v>智能手機</v>
      </c>
      <c r="M51" s="894" t="str">
        <f t="shared" si="3"/>
        <v>Google</v>
      </c>
      <c r="N51" s="894" t="str">
        <f t="shared" si="4"/>
        <v>境外品牌（貼牌生產)</v>
      </c>
      <c r="O51" s="882" t="str">
        <f t="array" ref="O51">if(isblank(F51),"",xlookup(F51,'FL5_POR_包裝對照表 (Mapping Table)'!E:E,'FL5_POR_包裝對照表 (Mapping Table)'!L:L,"",0,1))</f>
        <v>GK2MP
</v>
      </c>
      <c r="P51" s="895">
        <f t="array" ref="P51">if(isblank(F51),"",xlookup(G51,z_Others!$B$5:$B$17,z_Others!$J$5:$J$17,"",0,1))</f>
        <v>0.2029</v>
      </c>
      <c r="Q51" s="896">
        <f t="array" ref="Q51">if(isblank(F51),"",xlookup(F51,'FL5_POR_核價 (經管 &amp; BPM)'!E:E,'FL5_POR_核價 (經管 &amp; BPM)'!O:O,"",0,1))</f>
        <v>436.6</v>
      </c>
      <c r="R51" s="894" t="str">
        <f t="shared" si="5"/>
        <v>否</v>
      </c>
      <c r="S51" s="897" t="str">
        <f t="array" ref="S51">if(isblank(F51),"",xlookup(G51,z_Others!$B$5:$B$17,z_Others!$K$5:$K$17,"",0,1))</f>
        <v>(1) 說明書
(2) C-2-C USB 數據線</v>
      </c>
      <c r="T51" s="894" t="str">
        <f t="shared" si="6"/>
        <v>開發手機中框組件模型(適用于Google 牌手機)</v>
      </c>
      <c r="U51" s="898" t="str">
        <f t="array" ref="U51">if(isblank(F51),"",xlookup(G51,z_Others!$B$5:$B$17,z_Others!$G$5:$G$17,"",0,1))</f>
        <v>無線通話用</v>
      </c>
      <c r="V51" s="231" t="str">
        <f t="array" ref="V51">if(isblank(F51),"",xlookup(F51,'FL5_POR_包裝對照表 (Mapping Table)'!E:E,'FL5_POR_包裝對照表 (Mapping Table)'!AB:AB,"",0,1))</f>
        <v>SKU, CLR4, BETTER, SUB6, EU/UK, FL5</v>
      </c>
      <c r="W51" s="899" t="str">
        <f t="array" ref="W51">if(isblank(F51),"",xlookup(G51,z_Others!$B$5:$B$17,z_Others!$I$5:$I$17,"",0,1))</f>
        <v>152.83 x 71.98 x 12.01</v>
      </c>
      <c r="X51" s="894" t="str">
        <f t="shared" si="7"/>
        <v>Google</v>
      </c>
      <c r="Y51" s="894" t="str">
        <f t="shared" si="8"/>
        <v>Tensor series</v>
      </c>
      <c r="Z51" s="900" t="str">
        <f t="shared" si="9"/>
        <v>蜂窩網絡</v>
      </c>
      <c r="AA51" s="900" t="str">
        <f t="shared" si="10"/>
        <v>WCDMA&amp;GSM&amp;LTE&amp;5G制式</v>
      </c>
      <c r="AB51" s="878" t="str">
        <f t="array" ref="AB51">if(isblank(F51),"",xlookup(AJ51,z_Others!$M$5:$M$9,z_Others!$Q$5:$Q$9,"",0,1))</f>
        <v>直板、6.29 英寸彩屏、內存256G、GPRS、藍牙、前攝1100萬、後攝1200/5000萬</v>
      </c>
      <c r="AC51" s="900" t="str">
        <f t="shared" si="11"/>
        <v>中國</v>
      </c>
      <c r="AD51" s="894" t="str">
        <f t="array" ref="AD51">if(isblank(F51),"",xlookup(G51,z_Others!$B$5:$B$14,z_Others!$H$5:$H$14,"",0,1))</f>
        <v>附件07 (FATP手機)</v>
      </c>
      <c r="AE51" s="901" t="str">
        <f t="shared" si="12"/>
        <v>Foxconn</v>
      </c>
      <c r="AF51" s="791">
        <v>45783.0</v>
      </c>
      <c r="AG51" s="791">
        <f t="shared" si="13"/>
        <v>45787</v>
      </c>
      <c r="AH51" s="787"/>
      <c r="AI51" s="787">
        <v>45796.0</v>
      </c>
      <c r="AJ51" s="677" t="str">
        <f t="array" ref="AJ51">if(isblank(F51),"",xlookup(F51,'FL5_POR_包裝對照表 (Mapping Table)'!E:E,'FL5_POR_包裝對照表 (Mapping Table)'!AS:AS,"",0,1))</f>
        <v>256GB</v>
      </c>
      <c r="AK51" s="677" t="str">
        <f t="array" ref="AK51">if(isblank(F51),"",xlookup(F51,'FL5_POR_包裝對照表 (Mapping Table)'!E:E,'FL5_POR_包裝對照表 (Mapping Table)'!K:K,"",0,1))</f>
        <v>BUE</v>
      </c>
      <c r="AL51" s="677">
        <v>2992.0</v>
      </c>
      <c r="AM51" s="811"/>
      <c r="AN51" s="888" t="str">
        <f t="array" ref="AN51">xlookup(F51,'FL5_POR_包裝對照表 (Mapping Table)'!E:E,'FL5_POR_包裝對照表 (Mapping Table)'!BM:BM,"",0,1)</f>
        <v>No demand</v>
      </c>
      <c r="AO51" s="813"/>
      <c r="AP51" s="813"/>
    </row>
    <row r="52" ht="25.5" customHeight="1">
      <c r="A52" s="889"/>
      <c r="B52" s="877">
        <v>46.0</v>
      </c>
      <c r="C52" s="891" t="str">
        <f>if(isblank(F52),"",'FL5_POR_包裝對照表 (Mapping Table)'!$E$4)</f>
        <v>GFL (FL5)</v>
      </c>
      <c r="D52" s="878" t="str">
        <f t="array" ref="D52">if(isblank(F52),"",xlookup(F52,'FL5_POR_包裝對照表 (Mapping Table)'!E:E,'FL5_POR_包裝對照表 (Mapping Table)'!AZ:AZ,"",0,1))</f>
        <v>MP</v>
      </c>
      <c r="E52" s="677" t="str">
        <f t="shared" si="2"/>
        <v>Close</v>
      </c>
      <c r="F52" s="879" t="s">
        <v>699</v>
      </c>
      <c r="G52" s="892" t="str">
        <f t="array" ref="G52">if(isblank(F52),"",xlookup(F52,'FL5_POR_包裝對照表 (Mapping Table)'!E:E,'FL5_POR_包裝對照表 (Mapping Table)'!D:D,"",0,1))</f>
        <v>Retail Pack</v>
      </c>
      <c r="H52" s="893" t="str">
        <f t="array" ref="H52">if(isblank(F52),"",xlookup(F52,'FL5_POR_包裝對照表 (Mapping Table)'!E:E,'FL5_POR_包裝對照表 (Mapping Table)'!E:E,"",0,1))</f>
        <v>GA10219-IN</v>
      </c>
      <c r="I52" s="677" t="str">
        <f t="array" ref="I52">if(isblank(F52),"",xlookup(F52,'FL5_POR_包裝對照表 (Mapping Table)'!E:E,'FL5_POR_包裝對照表 (Mapping Table)'!AN:AN,"",0,1))</f>
        <v>G950-15935-17</v>
      </c>
      <c r="J52" s="894" t="str">
        <f t="array" ref="J52">if(isblank(F52),"",xlookup(G52,z_Others!$B$5:$B$17,z_Others!$C$5:$C$17,"",0,1))</f>
        <v>智能手機</v>
      </c>
      <c r="K52" s="894" t="str">
        <f t="array" ref="K52">if(isblank(F52),"",xlookup(G52,z_Others!$B$5:$B$17,z_Others!$E$5:$E$17,"",0,1))</f>
        <v>智能手機</v>
      </c>
      <c r="L52" s="894" t="str">
        <f t="array" ref="L52">if(isblank(F52),"",xlookup(G52,z_Others!$B$5:$B$17,z_Others!$F$5:$F$17,"",0,1))</f>
        <v>智能手機</v>
      </c>
      <c r="M52" s="894" t="str">
        <f t="shared" si="3"/>
        <v>Google</v>
      </c>
      <c r="N52" s="894" t="str">
        <f t="shared" si="4"/>
        <v>境外品牌（貼牌生產)</v>
      </c>
      <c r="O52" s="882" t="str">
        <f t="array" ref="O52">if(isblank(F52),"",xlookup(F52,'FL5_POR_包裝對照表 (Mapping Table)'!E:E,'FL5_POR_包裝對照表 (Mapping Table)'!L:L,"",0,1))</f>
        <v>GK2MP</v>
      </c>
      <c r="P52" s="895">
        <f t="array" ref="P52">if(isblank(F52),"",xlookup(G52,z_Others!$B$5:$B$17,z_Others!$J$5:$J$17,"",0,1))</f>
        <v>0.2029</v>
      </c>
      <c r="Q52" s="896">
        <f t="array" ref="Q52">if(isblank(F52),"",xlookup(F52,'FL5_POR_核價 (經管 &amp; BPM)'!E:E,'FL5_POR_核價 (經管 &amp; BPM)'!O:O,"",0,1))</f>
        <v>436.08</v>
      </c>
      <c r="R52" s="894" t="str">
        <f t="shared" si="5"/>
        <v>否</v>
      </c>
      <c r="S52" s="897" t="str">
        <f t="array" ref="S52">if(isblank(F52),"",xlookup(G52,z_Others!$B$5:$B$17,z_Others!$K$5:$K$17,"",0,1))</f>
        <v>(1) 說明書
(2) C-2-C USB 數據線</v>
      </c>
      <c r="T52" s="894" t="str">
        <f t="shared" si="6"/>
        <v>開發手機中框組件模型(適用于Google 牌手機)</v>
      </c>
      <c r="U52" s="898" t="str">
        <f t="array" ref="U52">if(isblank(F52),"",xlookup(G52,z_Others!$B$5:$B$17,z_Others!$G$5:$G$17,"",0,1))</f>
        <v>無線通話用</v>
      </c>
      <c r="V52" s="231" t="str">
        <f t="array" ref="V52">if(isblank(F52),"",xlookup(F52,'FL5_POR_包裝對照表 (Mapping Table)'!E:E,'FL5_POR_包裝對照表 (Mapping Table)'!AB:AB,"",0,1))</f>
        <v>SKU, CLR4, BETTER, SUB6, IN, FL5</v>
      </c>
      <c r="W52" s="899" t="str">
        <f t="array" ref="W52">if(isblank(F52),"",xlookup(G52,z_Others!$B$5:$B$17,z_Others!$I$5:$I$17,"",0,1))</f>
        <v>152.83 x 71.98 x 12.01</v>
      </c>
      <c r="X52" s="894" t="str">
        <f t="shared" si="7"/>
        <v>Google</v>
      </c>
      <c r="Y52" s="894" t="str">
        <f t="shared" si="8"/>
        <v>Tensor series</v>
      </c>
      <c r="Z52" s="900" t="str">
        <f t="shared" si="9"/>
        <v>蜂窩網絡</v>
      </c>
      <c r="AA52" s="900" t="str">
        <f t="shared" si="10"/>
        <v>WCDMA&amp;GSM&amp;LTE&amp;5G制式</v>
      </c>
      <c r="AB52" s="878" t="str">
        <f t="array" ref="AB52">if(isblank(F52),"",xlookup(AJ52,z_Others!$M$5:$M$9,z_Others!$Q$5:$Q$9,"",0,1))</f>
        <v>直板、6.29 英寸彩屏、內存256G、GPRS、藍牙、前攝1100萬、後攝1200/5000萬</v>
      </c>
      <c r="AC52" s="900" t="str">
        <f t="shared" si="11"/>
        <v>中國</v>
      </c>
      <c r="AD52" s="894" t="str">
        <f t="array" ref="AD52">if(isblank(F52),"",xlookup(G52,z_Others!$B$5:$B$14,z_Others!$H$5:$H$14,"",0,1))</f>
        <v>附件07 (FATP手機)</v>
      </c>
      <c r="AE52" s="901" t="str">
        <f t="shared" si="12"/>
        <v>Foxconn</v>
      </c>
      <c r="AF52" s="791">
        <v>45783.0</v>
      </c>
      <c r="AG52" s="791">
        <f t="shared" si="13"/>
        <v>45787</v>
      </c>
      <c r="AH52" s="787"/>
      <c r="AI52" s="787">
        <v>45796.0</v>
      </c>
      <c r="AJ52" s="677" t="str">
        <f t="array" ref="AJ52">if(isblank(F52),"",xlookup(F52,'FL5_POR_包裝對照表 (Mapping Table)'!E:E,'FL5_POR_包裝對照表 (Mapping Table)'!AS:AS,"",0,1))</f>
        <v>256GB</v>
      </c>
      <c r="AK52" s="677" t="str">
        <f t="array" ref="AK52">if(isblank(F52),"",xlookup(F52,'FL5_POR_包裝對照表 (Mapping Table)'!E:E,'FL5_POR_包裝對照表 (Mapping Table)'!K:K,"",0,1))</f>
        <v>BUE</v>
      </c>
      <c r="AL52" s="677">
        <v>2991.0</v>
      </c>
      <c r="AM52" s="811"/>
      <c r="AN52" s="888" t="str">
        <f t="array" ref="AN52">xlookup(F52,'FL5_POR_包裝對照表 (Mapping Table)'!E:E,'FL5_POR_包裝對照表 (Mapping Table)'!BM:BM,"",0,1)</f>
        <v>No demand</v>
      </c>
      <c r="AO52" s="813"/>
      <c r="AP52" s="813"/>
    </row>
    <row r="53" ht="25.5" customHeight="1">
      <c r="A53" s="889"/>
      <c r="B53" s="877">
        <v>47.0</v>
      </c>
      <c r="C53" s="891" t="str">
        <f>if(isblank(F53),"",'FL5_POR_包裝對照表 (Mapping Table)'!$E$4)</f>
        <v>GFL (FL5)</v>
      </c>
      <c r="D53" s="878" t="str">
        <f t="array" ref="D53">if(isblank(F53),"",xlookup(F53,'FL5_POR_包裝對照表 (Mapping Table)'!E:E,'FL5_POR_包裝對照表 (Mapping Table)'!AZ:AZ,"",0,1))</f>
        <v>MP</v>
      </c>
      <c r="E53" s="677" t="str">
        <f t="shared" si="2"/>
        <v>Close</v>
      </c>
      <c r="F53" s="879" t="s">
        <v>723</v>
      </c>
      <c r="G53" s="892" t="str">
        <f t="array" ref="G53">if(isblank(F53),"",xlookup(F53,'FL5_POR_包裝對照表 (Mapping Table)'!E:E,'FL5_POR_包裝對照表 (Mapping Table)'!D:D,"",0,1))</f>
        <v>Retail Pack</v>
      </c>
      <c r="H53" s="893" t="str">
        <f t="array" ref="H53">if(isblank(F53),"",xlookup(F53,'FL5_POR_包裝對照表 (Mapping Table)'!E:E,'FL5_POR_包裝對照表 (Mapping Table)'!E:E,"",0,1))</f>
        <v>GA10219-JP</v>
      </c>
      <c r="I53" s="677" t="str">
        <f t="array" ref="I53">if(isblank(F53),"",xlookup(F53,'FL5_POR_包裝對照表 (Mapping Table)'!E:E,'FL5_POR_包裝對照表 (Mapping Table)'!AN:AN,"",0,1))</f>
        <v>G950-15935-17</v>
      </c>
      <c r="J53" s="894" t="str">
        <f t="array" ref="J53">if(isblank(F53),"",xlookup(G53,z_Others!$B$5:$B$17,z_Others!$C$5:$C$17,"",0,1))</f>
        <v>智能手機</v>
      </c>
      <c r="K53" s="894" t="str">
        <f t="array" ref="K53">if(isblank(F53),"",xlookup(G53,z_Others!$B$5:$B$17,z_Others!$E$5:$E$17,"",0,1))</f>
        <v>智能手機</v>
      </c>
      <c r="L53" s="894" t="str">
        <f t="array" ref="L53">if(isblank(F53),"",xlookup(G53,z_Others!$B$5:$B$17,z_Others!$F$5:$F$17,"",0,1))</f>
        <v>智能手機</v>
      </c>
      <c r="M53" s="894" t="str">
        <f t="shared" si="3"/>
        <v>Google</v>
      </c>
      <c r="N53" s="894" t="str">
        <f t="shared" si="4"/>
        <v>境外品牌（貼牌生產)</v>
      </c>
      <c r="O53" s="882" t="str">
        <f t="array" ref="O53">if(isblank(F53),"",xlookup(F53,'FL5_POR_包裝對照表 (Mapping Table)'!E:E,'FL5_POR_包裝對照表 (Mapping Table)'!L:L,"",0,1))</f>
        <v>GL066</v>
      </c>
      <c r="P53" s="895">
        <f t="array" ref="P53">if(isblank(F53),"",xlookup(G53,z_Others!$B$5:$B$17,z_Others!$J$5:$J$17,"",0,1))</f>
        <v>0.2029</v>
      </c>
      <c r="Q53" s="896">
        <f t="array" ref="Q53">if(isblank(F53),"",xlookup(F53,'FL5_POR_核價 (經管 &amp; BPM)'!E:E,'FL5_POR_核價 (經管 &amp; BPM)'!O:O,"",0,1))</f>
        <v>436.07</v>
      </c>
      <c r="R53" s="894" t="str">
        <f t="shared" si="5"/>
        <v>否</v>
      </c>
      <c r="S53" s="897" t="str">
        <f t="array" ref="S53">if(isblank(F53),"",xlookup(G53,z_Others!$B$5:$B$17,z_Others!$K$5:$K$17,"",0,1))</f>
        <v>(1) 說明書
(2) C-2-C USB 數據線</v>
      </c>
      <c r="T53" s="894" t="str">
        <f t="shared" si="6"/>
        <v>開發手機中框組件模型(適用于Google 牌手機)</v>
      </c>
      <c r="U53" s="898" t="str">
        <f t="array" ref="U53">if(isblank(F53),"",xlookup(G53,z_Others!$B$5:$B$17,z_Others!$G$5:$G$17,"",0,1))</f>
        <v>無線通話用</v>
      </c>
      <c r="V53" s="231" t="str">
        <f t="array" ref="V53">if(isblank(F53),"",xlookup(F53,'FL5_POR_包裝對照表 (Mapping Table)'!E:E,'FL5_POR_包裝對照表 (Mapping Table)'!AB:AB,"",0,1))</f>
        <v>SKU, CLR4, BETTER, SUB6, JP, FL5</v>
      </c>
      <c r="W53" s="899" t="str">
        <f t="array" ref="W53">if(isblank(F53),"",xlookup(G53,z_Others!$B$5:$B$17,z_Others!$I$5:$I$17,"",0,1))</f>
        <v>152.83 x 71.98 x 12.01</v>
      </c>
      <c r="X53" s="894" t="str">
        <f t="shared" si="7"/>
        <v>Google</v>
      </c>
      <c r="Y53" s="894" t="str">
        <f t="shared" si="8"/>
        <v>Tensor series</v>
      </c>
      <c r="Z53" s="900" t="str">
        <f t="shared" si="9"/>
        <v>蜂窩網絡</v>
      </c>
      <c r="AA53" s="900" t="str">
        <f t="shared" si="10"/>
        <v>WCDMA&amp;GSM&amp;LTE&amp;5G制式</v>
      </c>
      <c r="AB53" s="878" t="str">
        <f t="array" ref="AB53">if(isblank(F53),"",xlookup(AJ53,z_Others!$M$5:$M$9,z_Others!$Q$5:$Q$9,"",0,1))</f>
        <v>直板、6.29 英寸彩屏、內存256G、GPRS、藍牙、前攝1100萬、後攝1200/5000萬</v>
      </c>
      <c r="AC53" s="900" t="str">
        <f t="shared" si="11"/>
        <v>中國</v>
      </c>
      <c r="AD53" s="894" t="str">
        <f t="array" ref="AD53">if(isblank(F53),"",xlookup(G53,z_Others!$B$5:$B$14,z_Others!$H$5:$H$14,"",0,1))</f>
        <v>附件07 (FATP手機)</v>
      </c>
      <c r="AE53" s="901" t="str">
        <f t="shared" si="12"/>
        <v>Foxconn</v>
      </c>
      <c r="AF53" s="791">
        <v>45783.0</v>
      </c>
      <c r="AG53" s="791">
        <f t="shared" si="13"/>
        <v>45787</v>
      </c>
      <c r="AH53" s="787"/>
      <c r="AI53" s="787">
        <v>45796.0</v>
      </c>
      <c r="AJ53" s="677" t="str">
        <f t="array" ref="AJ53">if(isblank(F53),"",xlookup(F53,'FL5_POR_包裝對照表 (Mapping Table)'!E:E,'FL5_POR_包裝對照表 (Mapping Table)'!AS:AS,"",0,1))</f>
        <v>256GB</v>
      </c>
      <c r="AK53" s="677" t="str">
        <f t="array" ref="AK53">if(isblank(F53),"",xlookup(F53,'FL5_POR_包裝對照表 (Mapping Table)'!E:E,'FL5_POR_包裝對照表 (Mapping Table)'!K:K,"",0,1))</f>
        <v>BUE</v>
      </c>
      <c r="AL53" s="677">
        <v>2999.0</v>
      </c>
      <c r="AM53" s="811"/>
      <c r="AN53" s="888" t="str">
        <f t="array" ref="AN53">xlookup(F53,'FL5_POR_包裝對照表 (Mapping Table)'!E:E,'FL5_POR_包裝對照表 (Mapping Table)'!BM:BM,"",0,1)</f>
        <v>No demand</v>
      </c>
      <c r="AO53" s="813"/>
      <c r="AP53" s="813"/>
    </row>
    <row r="54" ht="25.5" customHeight="1">
      <c r="A54" s="889"/>
      <c r="B54" s="877">
        <v>48.0</v>
      </c>
      <c r="C54" s="891" t="str">
        <f>if(isblank(F54),"",'FL5_POR_包裝對照表 (Mapping Table)'!$E$4)</f>
        <v>GFL (FL5)</v>
      </c>
      <c r="D54" s="878" t="str">
        <f t="array" ref="D54">if(isblank(F54),"",xlookup(F54,'FL5_POR_包裝對照表 (Mapping Table)'!E:E,'FL5_POR_包裝對照表 (Mapping Table)'!AZ:AZ,"",0,1))</f>
        <v>MP</v>
      </c>
      <c r="E54" s="677" t="str">
        <f t="shared" si="2"/>
        <v>Close</v>
      </c>
      <c r="F54" s="879" t="s">
        <v>424</v>
      </c>
      <c r="G54" s="892" t="str">
        <f t="array" ref="G54">if(isblank(F54),"",xlookup(F54,'FL5_POR_包裝對照表 (Mapping Table)'!E:E,'FL5_POR_包裝對照表 (Mapping Table)'!D:D,"",0,1))</f>
        <v>Retail Pack</v>
      </c>
      <c r="H54" s="893" t="str">
        <f t="array" ref="H54">if(isblank(F54),"",xlookup(F54,'FL5_POR_包裝對照表 (Mapping Table)'!E:E,'FL5_POR_包裝對照表 (Mapping Table)'!E:E,"",0,1))</f>
        <v>GA10238-US</v>
      </c>
      <c r="I54" s="677" t="str">
        <f t="array" ref="I54">if(isblank(F54),"",xlookup(F54,'FL5_POR_包裝對照表 (Mapping Table)'!E:E,'FL5_POR_包裝對照表 (Mapping Table)'!AN:AN,"",0,1))</f>
        <v>G950-15935-01</v>
      </c>
      <c r="J54" s="894" t="str">
        <f t="array" ref="J54">if(isblank(F54),"",xlookup(G54,z_Others!$B$5:$B$17,z_Others!$C$5:$C$17,"",0,1))</f>
        <v>智能手機</v>
      </c>
      <c r="K54" s="894" t="str">
        <f t="array" ref="K54">if(isblank(F54),"",xlookup(G54,z_Others!$B$5:$B$17,z_Others!$E$5:$E$17,"",0,1))</f>
        <v>智能手機</v>
      </c>
      <c r="L54" s="894" t="str">
        <f t="array" ref="L54">if(isblank(F54),"",xlookup(G54,z_Others!$B$5:$B$17,z_Others!$F$5:$F$17,"",0,1))</f>
        <v>智能手機</v>
      </c>
      <c r="M54" s="894" t="str">
        <f t="shared" si="3"/>
        <v>Google</v>
      </c>
      <c r="N54" s="894" t="str">
        <f t="shared" si="4"/>
        <v>境外品牌（貼牌生產)</v>
      </c>
      <c r="O54" s="882" t="str">
        <f t="array" ref="O54">if(isblank(F54),"",xlookup(F54,'FL5_POR_包裝對照表 (Mapping Table)'!E:E,'FL5_POR_包裝對照表 (Mapping Table)'!L:L,"",0,1))</f>
        <v>GLBW0</v>
      </c>
      <c r="P54" s="895">
        <f t="array" ref="P54">if(isblank(F54),"",xlookup(G54,z_Others!$B$5:$B$17,z_Others!$J$5:$J$17,"",0,1))</f>
        <v>0.2029</v>
      </c>
      <c r="Q54" s="896">
        <f t="array" ref="Q54">if(isblank(F54),"",xlookup(F54,'FL5_POR_核價 (經管 &amp; BPM)'!E:E,'FL5_POR_核價 (經管 &amp; BPM)'!O:O,"",0,1))</f>
        <v>426.41</v>
      </c>
      <c r="R54" s="894" t="str">
        <f t="shared" si="5"/>
        <v>否</v>
      </c>
      <c r="S54" s="897" t="str">
        <f t="array" ref="S54">if(isblank(F54),"",xlookup(G54,z_Others!$B$5:$B$17,z_Others!$K$5:$K$17,"",0,1))</f>
        <v>(1) 說明書
(2) C-2-C USB 數據線</v>
      </c>
      <c r="T54" s="894" t="str">
        <f t="shared" si="6"/>
        <v>開發手機中框組件模型(適用于Google 牌手機)</v>
      </c>
      <c r="U54" s="898" t="str">
        <f t="array" ref="U54">if(isblank(F54),"",xlookup(G54,z_Others!$B$5:$B$17,z_Others!$G$5:$G$17,"",0,1))</f>
        <v>無線通話用</v>
      </c>
      <c r="V54" s="231" t="str">
        <f t="array" ref="V54">if(isblank(F54),"",xlookup(F54,'FL5_POR_包裝對照表 (Mapping Table)'!E:E,'FL5_POR_包裝對照表 (Mapping Table)'!AB:AB,"",0,1))</f>
        <v>SKU, CLR2, GOOD, MMWAVE, VZW, US, FL5</v>
      </c>
      <c r="W54" s="899" t="str">
        <f t="array" ref="W54">if(isblank(F54),"",xlookup(G54,z_Others!$B$5:$B$17,z_Others!$I$5:$I$17,"",0,1))</f>
        <v>152.83 x 71.98 x 12.01</v>
      </c>
      <c r="X54" s="894" t="str">
        <f t="shared" si="7"/>
        <v>Google</v>
      </c>
      <c r="Y54" s="894" t="str">
        <f t="shared" si="8"/>
        <v>Tensor series</v>
      </c>
      <c r="Z54" s="900" t="str">
        <f t="shared" si="9"/>
        <v>蜂窩網絡</v>
      </c>
      <c r="AA54" s="900" t="str">
        <f t="shared" si="10"/>
        <v>WCDMA&amp;GSM&amp;LTE&amp;5G制式</v>
      </c>
      <c r="AB54" s="878" t="str">
        <f t="array" ref="AB54">if(isblank(F54),"",xlookup(AJ54,z_Others!$M$5:$M$9,z_Others!$Q$5:$Q$9,"",0,1))</f>
        <v>直板、6.29 英寸彩屏、內存128G、GPRS、藍牙、前攝1100萬、後攝1200/5000萬</v>
      </c>
      <c r="AC54" s="900" t="str">
        <f t="shared" si="11"/>
        <v>中國</v>
      </c>
      <c r="AD54" s="894" t="str">
        <f t="array" ref="AD54">if(isblank(F54),"",xlookup(G54,z_Others!$B$5:$B$14,z_Others!$H$5:$H$14,"",0,1))</f>
        <v>附件07 (FATP手機)</v>
      </c>
      <c r="AE54" s="901" t="str">
        <f t="shared" si="12"/>
        <v>Foxconn</v>
      </c>
      <c r="AF54" s="791">
        <v>45783.0</v>
      </c>
      <c r="AG54" s="791">
        <f t="shared" si="13"/>
        <v>45787</v>
      </c>
      <c r="AH54" s="787"/>
      <c r="AI54" s="787">
        <v>45796.0</v>
      </c>
      <c r="AJ54" s="677" t="str">
        <f t="array" ref="AJ54">if(isblank(F54),"",xlookup(F54,'FL5_POR_包裝對照表 (Mapping Table)'!E:E,'FL5_POR_包裝對照表 (Mapping Table)'!AS:AS,"",0,1))</f>
        <v>128GB</v>
      </c>
      <c r="AK54" s="677" t="str">
        <f t="array" ref="AK54">if(isblank(F54),"",xlookup(F54,'FL5_POR_包裝對照表 (Mapping Table)'!E:E,'FL5_POR_包裝對照表 (Mapping Table)'!K:K,"",0,1))</f>
        <v>PPL</v>
      </c>
      <c r="AL54" s="677">
        <v>3000.0</v>
      </c>
      <c r="AM54" s="811"/>
      <c r="AN54" s="888" t="str">
        <f t="array" ref="AN54">xlookup(F54,'FL5_POR_包裝對照表 (Mapping Table)'!E:E,'FL5_POR_包裝對照表 (Mapping Table)'!BM:BM,"",0,1)</f>
        <v>No demand</v>
      </c>
      <c r="AO54" s="813"/>
      <c r="AP54" s="813"/>
    </row>
    <row r="55" ht="25.5" customHeight="1">
      <c r="A55" s="889"/>
      <c r="B55" s="877">
        <v>49.0</v>
      </c>
      <c r="C55" s="891" t="str">
        <f>if(isblank(F55),"",'FL5_POR_包裝對照表 (Mapping Table)'!$E$4)</f>
        <v>GFL (FL5)</v>
      </c>
      <c r="D55" s="878" t="str">
        <f t="array" ref="D55">if(isblank(F55),"",xlookup(F55,'FL5_POR_包裝對照表 (Mapping Table)'!E:E,'FL5_POR_包裝對照表 (Mapping Table)'!AZ:AZ,"",0,1))</f>
        <v>MP</v>
      </c>
      <c r="E55" s="677" t="str">
        <f t="shared" si="2"/>
        <v>Close</v>
      </c>
      <c r="F55" s="879" t="s">
        <v>599</v>
      </c>
      <c r="G55" s="892" t="str">
        <f t="array" ref="G55">if(isblank(F55),"",xlookup(F55,'FL5_POR_包裝對照表 (Mapping Table)'!E:E,'FL5_POR_包裝對照表 (Mapping Table)'!D:D,"",0,1))</f>
        <v>Retail Pack</v>
      </c>
      <c r="H55" s="893" t="str">
        <f t="array" ref="H55">if(isblank(F55),"",xlookup(F55,'FL5_POR_包裝對照表 (Mapping Table)'!E:E,'FL5_POR_包裝對照表 (Mapping Table)'!E:E,"",0,1))</f>
        <v>GA10243-US</v>
      </c>
      <c r="I55" s="677" t="str">
        <f t="array" ref="I55">if(isblank(F55),"",xlookup(F55,'FL5_POR_包裝對照表 (Mapping Table)'!E:E,'FL5_POR_包裝對照表 (Mapping Table)'!AN:AN,"",0,1))</f>
        <v>G950-15935-07</v>
      </c>
      <c r="J55" s="894" t="str">
        <f t="array" ref="J55">if(isblank(F55),"",xlookup(G55,z_Others!$B$5:$B$17,z_Others!$C$5:$C$17,"",0,1))</f>
        <v>智能手機</v>
      </c>
      <c r="K55" s="894" t="str">
        <f t="array" ref="K55">if(isblank(F55),"",xlookup(G55,z_Others!$B$5:$B$17,z_Others!$E$5:$E$17,"",0,1))</f>
        <v>智能手機</v>
      </c>
      <c r="L55" s="894" t="str">
        <f t="array" ref="L55">if(isblank(F55),"",xlookup(G55,z_Others!$B$5:$B$17,z_Others!$F$5:$F$17,"",0,1))</f>
        <v>智能手機</v>
      </c>
      <c r="M55" s="894" t="str">
        <f t="shared" si="3"/>
        <v>Google</v>
      </c>
      <c r="N55" s="894" t="str">
        <f t="shared" si="4"/>
        <v>境外品牌（貼牌生產)</v>
      </c>
      <c r="O55" s="882" t="str">
        <f t="array" ref="O55">if(isblank(F55),"",xlookup(F55,'FL5_POR_包裝對照表 (Mapping Table)'!E:E,'FL5_POR_包裝對照表 (Mapping Table)'!L:L,"",0,1))</f>
        <v>GLBW0</v>
      </c>
      <c r="P55" s="895">
        <f t="array" ref="P55">if(isblank(F55),"",xlookup(G55,z_Others!$B$5:$B$17,z_Others!$J$5:$J$17,"",0,1))</f>
        <v>0.2029</v>
      </c>
      <c r="Q55" s="896">
        <f t="array" ref="Q55">if(isblank(F55),"",xlookup(F55,'FL5_POR_核價 (經管 &amp; BPM)'!E:E,'FL5_POR_核價 (經管 &amp; BPM)'!O:O,"",0,1))</f>
        <v>453.47</v>
      </c>
      <c r="R55" s="894" t="str">
        <f t="shared" si="5"/>
        <v>否</v>
      </c>
      <c r="S55" s="897" t="str">
        <f t="array" ref="S55">if(isblank(F55),"",xlookup(G55,z_Others!$B$5:$B$17,z_Others!$K$5:$K$17,"",0,1))</f>
        <v>(1) 說明書
(2) C-2-C USB 數據線</v>
      </c>
      <c r="T55" s="894" t="str">
        <f t="shared" si="6"/>
        <v>開發手機中框組件模型(適用于Google 牌手機)</v>
      </c>
      <c r="U55" s="898" t="str">
        <f t="array" ref="U55">if(isblank(F55),"",xlookup(G55,z_Others!$B$5:$B$17,z_Others!$G$5:$G$17,"",0,1))</f>
        <v>無線通話用</v>
      </c>
      <c r="V55" s="231" t="str">
        <f t="array" ref="V55">if(isblank(F55),"",xlookup(F55,'FL5_POR_包裝對照表 (Mapping Table)'!E:E,'FL5_POR_包裝對照表 (Mapping Table)'!AB:AB,"",0,1))</f>
        <v>SKU, CLR4, BETTER, MMWAVE, VZW, US, FL5</v>
      </c>
      <c r="W55" s="899" t="str">
        <f t="array" ref="W55">if(isblank(F55),"",xlookup(G55,z_Others!$B$5:$B$17,z_Others!$I$5:$I$17,"",0,1))</f>
        <v>152.83 x 71.98 x 12.01</v>
      </c>
      <c r="X55" s="894" t="str">
        <f t="shared" si="7"/>
        <v>Google</v>
      </c>
      <c r="Y55" s="894" t="str">
        <f t="shared" si="8"/>
        <v>Tensor series</v>
      </c>
      <c r="Z55" s="900" t="str">
        <f t="shared" si="9"/>
        <v>蜂窩網絡</v>
      </c>
      <c r="AA55" s="900" t="str">
        <f t="shared" si="10"/>
        <v>WCDMA&amp;GSM&amp;LTE&amp;5G制式</v>
      </c>
      <c r="AB55" s="878" t="str">
        <f t="array" ref="AB55">if(isblank(F55),"",xlookup(AJ55,z_Others!$M$5:$M$9,z_Others!$Q$5:$Q$9,"",0,1))</f>
        <v>直板、6.29 英寸彩屏、內存256G、GPRS、藍牙、前攝1100萬、後攝1200/5000萬</v>
      </c>
      <c r="AC55" s="900" t="str">
        <f t="shared" si="11"/>
        <v>中國</v>
      </c>
      <c r="AD55" s="894" t="str">
        <f t="array" ref="AD55">if(isblank(F55),"",xlookup(G55,z_Others!$B$5:$B$14,z_Others!$H$5:$H$14,"",0,1))</f>
        <v>附件07 (FATP手機)</v>
      </c>
      <c r="AE55" s="901" t="str">
        <f t="shared" si="12"/>
        <v>Foxconn</v>
      </c>
      <c r="AF55" s="791">
        <v>45783.0</v>
      </c>
      <c r="AG55" s="791">
        <f t="shared" si="13"/>
        <v>45787</v>
      </c>
      <c r="AH55" s="787"/>
      <c r="AI55" s="787">
        <v>45796.0</v>
      </c>
      <c r="AJ55" s="677" t="str">
        <f t="array" ref="AJ55">if(isblank(F55),"",xlookup(F55,'FL5_POR_包裝對照表 (Mapping Table)'!E:E,'FL5_POR_包裝對照表 (Mapping Table)'!AS:AS,"",0,1))</f>
        <v>256GB</v>
      </c>
      <c r="AK55" s="677" t="str">
        <f t="array" ref="AK55">if(isblank(F55),"",xlookup(F55,'FL5_POR_包裝對照表 (Mapping Table)'!E:E,'FL5_POR_包裝對照表 (Mapping Table)'!K:K,"",0,1))</f>
        <v>BUE</v>
      </c>
      <c r="AL55" s="677">
        <v>3034.0</v>
      </c>
      <c r="AM55" s="811"/>
      <c r="AN55" s="888" t="str">
        <f t="array" ref="AN55">xlookup(F55,'FL5_POR_包裝對照表 (Mapping Table)'!E:E,'FL5_POR_包裝對照表 (Mapping Table)'!BM:BM,"",0,1)</f>
        <v>No demand</v>
      </c>
      <c r="AO55" s="813"/>
      <c r="AP55" s="813"/>
    </row>
    <row r="56" ht="25.5" customHeight="1">
      <c r="A56" s="889"/>
      <c r="B56" s="877">
        <v>50.0</v>
      </c>
      <c r="C56" s="891" t="str">
        <f>if(isblank(F56),"",'FL5_POR_包裝對照表 (Mapping Table)'!$E$4)</f>
        <v>GFL (FL5)</v>
      </c>
      <c r="D56" s="878" t="str">
        <f t="array" ref="D56">if(isblank(F56),"",xlookup(F56,'FL5_POR_包裝對照表 (Mapping Table)'!E:E,'FL5_POR_包裝對照表 (Mapping Table)'!AZ:AZ,"",0,1))</f>
        <v>MP</v>
      </c>
      <c r="E56" s="677" t="str">
        <f t="shared" si="2"/>
        <v>Close</v>
      </c>
      <c r="F56" s="879" t="s">
        <v>451</v>
      </c>
      <c r="G56" s="892" t="str">
        <f t="array" ref="G56">if(isblank(F56),"",xlookup(F56,'FL5_POR_包裝對照表 (Mapping Table)'!E:E,'FL5_POR_包裝對照表 (Mapping Table)'!D:D,"",0,1))</f>
        <v>Retail Pack</v>
      </c>
      <c r="H56" s="893" t="str">
        <f t="array" ref="H56">if(isblank(F56),"",xlookup(F56,'FL5_POR_包裝對照表 (Mapping Table)'!E:E,'FL5_POR_包裝對照表 (Mapping Table)'!E:E,"",0,1))</f>
        <v>GA10246-US</v>
      </c>
      <c r="I56" s="677" t="str">
        <f t="array" ref="I56">if(isblank(F56),"",xlookup(F56,'FL5_POR_包裝對照表 (Mapping Table)'!E:E,'FL5_POR_包裝對照表 (Mapping Table)'!AN:AN,"",0,1))</f>
        <v>G950-15935-03</v>
      </c>
      <c r="J56" s="894" t="str">
        <f t="array" ref="J56">if(isblank(F56),"",xlookup(G56,z_Others!$B$5:$B$17,z_Others!$C$5:$C$17,"",0,1))</f>
        <v>智能手機</v>
      </c>
      <c r="K56" s="894" t="str">
        <f t="array" ref="K56">if(isblank(F56),"",xlookup(G56,z_Others!$B$5:$B$17,z_Others!$E$5:$E$17,"",0,1))</f>
        <v>智能手機</v>
      </c>
      <c r="L56" s="894" t="str">
        <f t="array" ref="L56">if(isblank(F56),"",xlookup(G56,z_Others!$B$5:$B$17,z_Others!$F$5:$F$17,"",0,1))</f>
        <v>智能手機</v>
      </c>
      <c r="M56" s="894" t="str">
        <f t="shared" si="3"/>
        <v>Google</v>
      </c>
      <c r="N56" s="894" t="str">
        <f t="shared" si="4"/>
        <v>境外品牌（貼牌生產)</v>
      </c>
      <c r="O56" s="882" t="str">
        <f t="array" ref="O56">if(isblank(F56),"",xlookup(F56,'FL5_POR_包裝對照表 (Mapping Table)'!E:E,'FL5_POR_包裝對照表 (Mapping Table)'!L:L,"",0,1))</f>
        <v>GLBW0</v>
      </c>
      <c r="P56" s="895">
        <f t="array" ref="P56">if(isblank(F56),"",xlookup(G56,z_Others!$B$5:$B$17,z_Others!$J$5:$J$17,"",0,1))</f>
        <v>0.2029</v>
      </c>
      <c r="Q56" s="896">
        <f t="array" ref="Q56">if(isblank(F56),"",xlookup(F56,'FL5_POR_核價 (經管 &amp; BPM)'!E:E,'FL5_POR_核價 (經管 &amp; BPM)'!O:O,"",0,1))</f>
        <v>426.51</v>
      </c>
      <c r="R56" s="894" t="str">
        <f t="shared" si="5"/>
        <v>否</v>
      </c>
      <c r="S56" s="897" t="str">
        <f t="array" ref="S56">if(isblank(F56),"",xlookup(G56,z_Others!$B$5:$B$17,z_Others!$K$5:$K$17,"",0,1))</f>
        <v>(1) 說明書
(2) C-2-C USB 數據線</v>
      </c>
      <c r="T56" s="894" t="str">
        <f t="shared" si="6"/>
        <v>開發手機中框組件模型(適用于Google 牌手機)</v>
      </c>
      <c r="U56" s="898" t="str">
        <f t="array" ref="U56">if(isblank(F56),"",xlookup(G56,z_Others!$B$5:$B$17,z_Others!$G$5:$G$17,"",0,1))</f>
        <v>無線通話用</v>
      </c>
      <c r="V56" s="231" t="str">
        <f t="array" ref="V56">if(isblank(F56),"",xlookup(F56,'FL5_POR_包裝對照表 (Mapping Table)'!E:E,'FL5_POR_包裝對照表 (Mapping Table)'!AB:AB,"",0,1))</f>
        <v>SKU, CLR4, GOOD, MMWAVE, AT&amp;T, US, FL5</v>
      </c>
      <c r="W56" s="899" t="str">
        <f t="array" ref="W56">if(isblank(F56),"",xlookup(G56,z_Others!$B$5:$B$17,z_Others!$I$5:$I$17,"",0,1))</f>
        <v>152.83 x 71.98 x 12.01</v>
      </c>
      <c r="X56" s="894" t="str">
        <f t="shared" si="7"/>
        <v>Google</v>
      </c>
      <c r="Y56" s="894" t="str">
        <f t="shared" si="8"/>
        <v>Tensor series</v>
      </c>
      <c r="Z56" s="900" t="str">
        <f t="shared" si="9"/>
        <v>蜂窩網絡</v>
      </c>
      <c r="AA56" s="900" t="str">
        <f t="shared" si="10"/>
        <v>WCDMA&amp;GSM&amp;LTE&amp;5G制式</v>
      </c>
      <c r="AB56" s="878" t="str">
        <f t="array" ref="AB56">if(isblank(F56),"",xlookup(AJ56,z_Others!$M$5:$M$9,z_Others!$Q$5:$Q$9,"",0,1))</f>
        <v>直板、6.29 英寸彩屏、內存128G、GPRS、藍牙、前攝1100萬、後攝1200/5000萬</v>
      </c>
      <c r="AC56" s="900" t="str">
        <f t="shared" si="11"/>
        <v>中國</v>
      </c>
      <c r="AD56" s="894" t="str">
        <f t="array" ref="AD56">if(isblank(F56),"",xlookup(G56,z_Others!$B$5:$B$14,z_Others!$H$5:$H$14,"",0,1))</f>
        <v>附件07 (FATP手機)</v>
      </c>
      <c r="AE56" s="901" t="str">
        <f t="shared" si="12"/>
        <v>Foxconn</v>
      </c>
      <c r="AF56" s="791">
        <v>45783.0</v>
      </c>
      <c r="AG56" s="791">
        <f t="shared" si="13"/>
        <v>45787</v>
      </c>
      <c r="AH56" s="787"/>
      <c r="AI56" s="787">
        <v>45796.0</v>
      </c>
      <c r="AJ56" s="677" t="str">
        <f t="array" ref="AJ56">if(isblank(F56),"",xlookup(F56,'FL5_POR_包裝對照表 (Mapping Table)'!E:E,'FL5_POR_包裝對照表 (Mapping Table)'!AS:AS,"",0,1))</f>
        <v>128GB</v>
      </c>
      <c r="AK56" s="677" t="str">
        <f t="array" ref="AK56">if(isblank(F56),"",xlookup(F56,'FL5_POR_包裝對照表 (Mapping Table)'!E:E,'FL5_POR_包裝對照表 (Mapping Table)'!K:K,"",0,1))</f>
        <v>BUE</v>
      </c>
      <c r="AL56" s="677">
        <v>3033.0</v>
      </c>
      <c r="AM56" s="811"/>
      <c r="AN56" s="888" t="str">
        <f t="array" ref="AN56">xlookup(F56,'FL5_POR_包裝對照表 (Mapping Table)'!E:E,'FL5_POR_包裝對照表 (Mapping Table)'!BM:BM,"",0,1)</f>
        <v>No demand</v>
      </c>
      <c r="AO56" s="813"/>
      <c r="AP56" s="813"/>
    </row>
    <row r="57" ht="25.5" customHeight="1">
      <c r="A57" s="890"/>
      <c r="B57" s="877">
        <v>51.0</v>
      </c>
      <c r="C57" s="891" t="str">
        <f>if(isblank(F57),"",'FL5_POR_包裝對照表 (Mapping Table)'!$E$4)</f>
        <v>GFL (FL5)</v>
      </c>
      <c r="D57" s="878" t="str">
        <f t="array" ref="D57">if(isblank(F57),"",xlookup(F57,'FL5_POR_包裝對照表 (Mapping Table)'!E:E,'FL5_POR_包裝對照表 (Mapping Table)'!AZ:AZ,"",0,1))</f>
        <v>MP</v>
      </c>
      <c r="E57" s="677" t="str">
        <f t="shared" si="2"/>
        <v>Close</v>
      </c>
      <c r="F57" s="879" t="s">
        <v>464</v>
      </c>
      <c r="G57" s="892" t="str">
        <f t="array" ref="G57">if(isblank(F57),"",xlookup(F57,'FL5_POR_包裝對照表 (Mapping Table)'!E:E,'FL5_POR_包裝對照表 (Mapping Table)'!D:D,"",0,1))</f>
        <v>Retail Pack</v>
      </c>
      <c r="H57" s="893" t="str">
        <f t="array" ref="H57">if(isblank(F57),"",xlookup(F57,'FL5_POR_包裝對照表 (Mapping Table)'!E:E,'FL5_POR_包裝對照表 (Mapping Table)'!E:E,"",0,1))</f>
        <v>GA10252-US</v>
      </c>
      <c r="I57" s="677" t="str">
        <f t="array" ref="I57">if(isblank(F57),"",xlookup(F57,'FL5_POR_包裝對照表 (Mapping Table)'!E:E,'FL5_POR_包裝對照表 (Mapping Table)'!AN:AN,"",0,1))</f>
        <v>G950-15935-03</v>
      </c>
      <c r="J57" s="894" t="str">
        <f t="array" ref="J57">if(isblank(F57),"",xlookup(G57,z_Others!$B$5:$B$17,z_Others!$C$5:$C$17,"",0,1))</f>
        <v>智能手機</v>
      </c>
      <c r="K57" s="894" t="str">
        <f t="array" ref="K57">if(isblank(F57),"",xlookup(G57,z_Others!$B$5:$B$17,z_Others!$E$5:$E$17,"",0,1))</f>
        <v>智能手機</v>
      </c>
      <c r="L57" s="894" t="str">
        <f t="array" ref="L57">if(isblank(F57),"",xlookup(G57,z_Others!$B$5:$B$17,z_Others!$F$5:$F$17,"",0,1))</f>
        <v>智能手機</v>
      </c>
      <c r="M57" s="894" t="str">
        <f t="shared" si="3"/>
        <v>Google</v>
      </c>
      <c r="N57" s="894" t="str">
        <f t="shared" si="4"/>
        <v>境外品牌（貼牌生產)</v>
      </c>
      <c r="O57" s="882" t="str">
        <f t="array" ref="O57">if(isblank(F57),"",xlookup(F57,'FL5_POR_包裝對照表 (Mapping Table)'!E:E,'FL5_POR_包裝對照表 (Mapping Table)'!L:L,"",0,1))</f>
        <v>GLBW0</v>
      </c>
      <c r="P57" s="895">
        <f t="array" ref="P57">if(isblank(F57),"",xlookup(G57,z_Others!$B$5:$B$17,z_Others!$J$5:$J$17,"",0,1))</f>
        <v>0.2029</v>
      </c>
      <c r="Q57" s="896">
        <f t="array" ref="Q57">if(isblank(F57),"",xlookup(F57,'FL5_POR_核價 (經管 &amp; BPM)'!E:E,'FL5_POR_核價 (經管 &amp; BPM)'!O:O,"",0,1))</f>
        <v>426.51</v>
      </c>
      <c r="R57" s="894" t="str">
        <f t="shared" si="5"/>
        <v>否</v>
      </c>
      <c r="S57" s="897" t="str">
        <f t="array" ref="S57">if(isblank(F57),"",xlookup(G57,z_Others!$B$5:$B$17,z_Others!$K$5:$K$17,"",0,1))</f>
        <v>(1) 說明書
(2) C-2-C USB 數據線</v>
      </c>
      <c r="T57" s="894" t="str">
        <f t="shared" si="6"/>
        <v>開發手機中框組件模型(適用于Google 牌手機)</v>
      </c>
      <c r="U57" s="898" t="str">
        <f t="array" ref="U57">if(isblank(F57),"",xlookup(G57,z_Others!$B$5:$B$17,z_Others!$G$5:$G$17,"",0,1))</f>
        <v>無線通話用</v>
      </c>
      <c r="V57" s="231" t="str">
        <f t="array" ref="V57">if(isblank(F57),"",xlookup(F57,'FL5_POR_包裝對照表 (Mapping Table)'!E:E,'FL5_POR_包裝對照表 (Mapping Table)'!AB:AB,"",0,1))</f>
        <v>SKU, CLR4, GOOD, MMWAVE, Tmobile, US, FL5</v>
      </c>
      <c r="W57" s="899" t="str">
        <f t="array" ref="W57">if(isblank(F57),"",xlookup(G57,z_Others!$B$5:$B$17,z_Others!$I$5:$I$17,"",0,1))</f>
        <v>152.83 x 71.98 x 12.01</v>
      </c>
      <c r="X57" s="894" t="str">
        <f t="shared" si="7"/>
        <v>Google</v>
      </c>
      <c r="Y57" s="894" t="str">
        <f t="shared" si="8"/>
        <v>Tensor series</v>
      </c>
      <c r="Z57" s="900" t="str">
        <f t="shared" si="9"/>
        <v>蜂窩網絡</v>
      </c>
      <c r="AA57" s="900" t="str">
        <f t="shared" si="10"/>
        <v>WCDMA&amp;GSM&amp;LTE&amp;5G制式</v>
      </c>
      <c r="AB57" s="878" t="str">
        <f t="array" ref="AB57">if(isblank(F57),"",xlookup(AJ57,z_Others!$M$5:$M$9,z_Others!$Q$5:$Q$9,"",0,1))</f>
        <v>直板、6.29 英寸彩屏、內存128G、GPRS、藍牙、前攝1100萬、後攝1200/5000萬</v>
      </c>
      <c r="AC57" s="900" t="str">
        <f t="shared" si="11"/>
        <v>中國</v>
      </c>
      <c r="AD57" s="894" t="str">
        <f t="array" ref="AD57">if(isblank(F57),"",xlookup(G57,z_Others!$B$5:$B$14,z_Others!$H$5:$H$14,"",0,1))</f>
        <v>附件07 (FATP手機)</v>
      </c>
      <c r="AE57" s="901" t="str">
        <f t="shared" si="12"/>
        <v>Foxconn</v>
      </c>
      <c r="AF57" s="791">
        <v>45783.0</v>
      </c>
      <c r="AG57" s="791">
        <f t="shared" si="13"/>
        <v>45787</v>
      </c>
      <c r="AH57" s="787"/>
      <c r="AI57" s="787">
        <v>45796.0</v>
      </c>
      <c r="AJ57" s="677" t="str">
        <f t="array" ref="AJ57">if(isblank(F57),"",xlookup(F57,'FL5_POR_包裝對照表 (Mapping Table)'!E:E,'FL5_POR_包裝對照表 (Mapping Table)'!AS:AS,"",0,1))</f>
        <v>128GB</v>
      </c>
      <c r="AK57" s="677" t="str">
        <f t="array" ref="AK57">if(isblank(F57),"",xlookup(F57,'FL5_POR_包裝對照表 (Mapping Table)'!E:E,'FL5_POR_包裝對照表 (Mapping Table)'!K:K,"",0,1))</f>
        <v>BUE</v>
      </c>
      <c r="AL57" s="677">
        <v>3032.0</v>
      </c>
      <c r="AM57" s="811"/>
      <c r="AN57" s="888" t="str">
        <f t="array" ref="AN57">xlookup(F57,'FL5_POR_包裝對照表 (Mapping Table)'!E:E,'FL5_POR_包裝對照表 (Mapping Table)'!BM:BM,"",0,1)</f>
        <v>No demand</v>
      </c>
      <c r="AO57" s="813"/>
      <c r="AP57" s="813"/>
    </row>
    <row r="58" ht="25.5" customHeight="1">
      <c r="A58" s="889"/>
      <c r="B58" s="877">
        <v>52.0</v>
      </c>
      <c r="C58" s="891" t="str">
        <f>if(isblank(F58),"",'FL5_POR_包裝對照表 (Mapping Table)'!$E$4)</f>
        <v>GFL (FL5)</v>
      </c>
      <c r="D58" s="878" t="str">
        <f t="array" ref="D58">if(isblank(F58),"",xlookup(F58,'FL5_POR_包裝對照表 (Mapping Table)'!E:E,'FL5_POR_包裝對照表 (Mapping Table)'!AZ:AZ,"",0,1))</f>
        <v>MP</v>
      </c>
      <c r="E58" s="677" t="str">
        <f t="shared" si="2"/>
        <v>Close</v>
      </c>
      <c r="F58" s="879" t="s">
        <v>669</v>
      </c>
      <c r="G58" s="892" t="str">
        <f t="array" ref="G58">if(isblank(F58),"",xlookup(F58,'FL5_POR_包裝對照表 (Mapping Table)'!E:E,'FL5_POR_包裝對照表 (Mapping Table)'!D:D,"",0,1))</f>
        <v>Retail Pack</v>
      </c>
      <c r="H58" s="893" t="str">
        <f t="array" ref="H58">if(isblank(F58),"",xlookup(F58,'FL5_POR_包裝對照表 (Mapping Table)'!E:E,'FL5_POR_包裝對照表 (Mapping Table)'!E:E,"",0,1))</f>
        <v>GA10218-GB</v>
      </c>
      <c r="I58" s="677" t="str">
        <f t="array" ref="I58">if(isblank(F58),"",xlookup(F58,'FL5_POR_包裝對照表 (Mapping Table)'!E:E,'FL5_POR_包裝對照表 (Mapping Table)'!AN:AN,"",0,1))</f>
        <v>G950-15935-16</v>
      </c>
      <c r="J58" s="894" t="str">
        <f t="array" ref="J58">if(isblank(F58),"",xlookup(G58,z_Others!$B$5:$B$17,z_Others!$C$5:$C$17,"",0,1))</f>
        <v>智能手機</v>
      </c>
      <c r="K58" s="894" t="str">
        <f t="array" ref="K58">if(isblank(F58),"",xlookup(G58,z_Others!$B$5:$B$17,z_Others!$E$5:$E$17,"",0,1))</f>
        <v>智能手機</v>
      </c>
      <c r="L58" s="894" t="str">
        <f t="array" ref="L58">if(isblank(F58),"",xlookup(G58,z_Others!$B$5:$B$17,z_Others!$F$5:$F$17,"",0,1))</f>
        <v>智能手機</v>
      </c>
      <c r="M58" s="894" t="str">
        <f t="shared" si="3"/>
        <v>Google</v>
      </c>
      <c r="N58" s="894" t="str">
        <f t="shared" si="4"/>
        <v>境外品牌（貼牌生產)</v>
      </c>
      <c r="O58" s="882" t="str">
        <f t="array" ref="O58">if(isblank(F58),"",xlookup(F58,'FL5_POR_包裝對照表 (Mapping Table)'!E:E,'FL5_POR_包裝對照表 (Mapping Table)'!L:L,"",0,1))</f>
        <v>GK2MP
</v>
      </c>
      <c r="P58" s="895">
        <f t="array" ref="P58">if(isblank(F58),"",xlookup(G58,z_Others!$B$5:$B$17,z_Others!$J$5:$J$17,"",0,1))</f>
        <v>0.2029</v>
      </c>
      <c r="Q58" s="896">
        <f t="array" ref="Q58">if(isblank(F58),"",xlookup(F58,'FL5_POR_核價 (經管 &amp; BPM)'!E:E,'FL5_POR_核價 (經管 &amp; BPM)'!O:O,"",0,1))</f>
        <v>436.6</v>
      </c>
      <c r="R58" s="894" t="str">
        <f t="shared" si="5"/>
        <v>否</v>
      </c>
      <c r="S58" s="897" t="str">
        <f t="array" ref="S58">if(isblank(F58),"",xlookup(G58,z_Others!$B$5:$B$17,z_Others!$K$5:$K$17,"",0,1))</f>
        <v>(1) 說明書
(2) C-2-C USB 數據線</v>
      </c>
      <c r="T58" s="894" t="str">
        <f t="shared" si="6"/>
        <v>開發手機中框組件模型(適用于Google 牌手機)</v>
      </c>
      <c r="U58" s="898" t="str">
        <f t="array" ref="U58">if(isblank(F58),"",xlookup(G58,z_Others!$B$5:$B$17,z_Others!$G$5:$G$17,"",0,1))</f>
        <v>無線通話用</v>
      </c>
      <c r="V58" s="231" t="str">
        <f t="array" ref="V58">if(isblank(F58),"",xlookup(F58,'FL5_POR_包裝對照表 (Mapping Table)'!E:E,'FL5_POR_包裝對照表 (Mapping Table)'!AB:AB,"",0,1))</f>
        <v>SKU, CLR3, BETTER, SUB6, EU/UK, FL5</v>
      </c>
      <c r="W58" s="899" t="str">
        <f t="array" ref="W58">if(isblank(F58),"",xlookup(G58,z_Others!$B$5:$B$17,z_Others!$I$5:$I$17,"",0,1))</f>
        <v>152.83 x 71.98 x 12.01</v>
      </c>
      <c r="X58" s="894" t="str">
        <f t="shared" si="7"/>
        <v>Google</v>
      </c>
      <c r="Y58" s="894" t="str">
        <f t="shared" si="8"/>
        <v>Tensor series</v>
      </c>
      <c r="Z58" s="900" t="str">
        <f t="shared" si="9"/>
        <v>蜂窩網絡</v>
      </c>
      <c r="AA58" s="900" t="str">
        <f t="shared" si="10"/>
        <v>WCDMA&amp;GSM&amp;LTE&amp;5G制式</v>
      </c>
      <c r="AB58" s="878" t="str">
        <f t="array" ref="AB58">if(isblank(F58),"",xlookup(AJ58,z_Others!$M$5:$M$9,z_Others!$Q$5:$Q$9,"",0,1))</f>
        <v>直板、6.29 英寸彩屏、內存256G、GPRS、藍牙、前攝1100萬、後攝1200/5000萬</v>
      </c>
      <c r="AC58" s="900" t="str">
        <f t="shared" si="11"/>
        <v>中國</v>
      </c>
      <c r="AD58" s="894" t="str">
        <f t="array" ref="AD58">if(isblank(F58),"",xlookup(G58,z_Others!$B$5:$B$14,z_Others!$H$5:$H$14,"",0,1))</f>
        <v>附件07 (FATP手機)</v>
      </c>
      <c r="AE58" s="901" t="str">
        <f t="shared" si="12"/>
        <v>Foxconn</v>
      </c>
      <c r="AF58" s="791">
        <v>45783.0</v>
      </c>
      <c r="AG58" s="791">
        <f>if(isblank(AF58),"",_xlfn.WORKDAY.INTL(AF58,10,11))</f>
        <v>45794</v>
      </c>
      <c r="AH58" s="787"/>
      <c r="AI58" s="787">
        <v>45796.0</v>
      </c>
      <c r="AJ58" s="677" t="str">
        <f t="array" ref="AJ58">if(isblank(F58),"",xlookup(F58,'FL5_POR_包裝對照表 (Mapping Table)'!E:E,'FL5_POR_包裝對照表 (Mapping Table)'!AS:AS,"",0,1))</f>
        <v>256GB</v>
      </c>
      <c r="AK58" s="677" t="str">
        <f t="array" ref="AK58">if(isblank(F58),"",xlookup(F58,'FL5_POR_包裝對照表 (Mapping Table)'!E:E,'FL5_POR_包裝對照表 (Mapping Table)'!K:K,"",0,1))</f>
        <v>YEL</v>
      </c>
      <c r="AL58" s="677">
        <v>3036.0</v>
      </c>
      <c r="AM58" s="811"/>
      <c r="AN58" s="888" t="str">
        <f t="array" ref="AN58">xlookup(F58,'FL5_POR_包裝對照表 (Mapping Table)'!E:E,'FL5_POR_包裝對照表 (Mapping Table)'!BM:BM,"",0,1)</f>
        <v>No demand</v>
      </c>
      <c r="AO58" s="813"/>
      <c r="AP58" s="813"/>
    </row>
    <row r="59" ht="25.5" customHeight="1">
      <c r="A59" s="890"/>
      <c r="B59" s="877">
        <v>53.0</v>
      </c>
      <c r="C59" s="891" t="str">
        <f>if(isblank(F59),"",'FL5_POR_包裝對照表 (Mapping Table)'!$E$4)</f>
        <v>GFL (FL5)</v>
      </c>
      <c r="D59" s="878" t="str">
        <f t="array" ref="D59">if(isblank(F59),"",xlookup(F59,'FL5_POR_包裝對照表 (Mapping Table)'!E:E,'FL5_POR_包裝對照表 (Mapping Table)'!AZ:AZ,"",0,1))</f>
        <v>MP</v>
      </c>
      <c r="E59" s="677" t="str">
        <f t="shared" si="2"/>
        <v>Close</v>
      </c>
      <c r="F59" s="879" t="s">
        <v>705</v>
      </c>
      <c r="G59" s="892" t="str">
        <f t="array" ref="G59">if(isblank(F59),"",xlookup(F59,'FL5_POR_包裝對照表 (Mapping Table)'!E:E,'FL5_POR_包裝對照表 (Mapping Table)'!D:D,"",0,1))</f>
        <v>Retail Pack</v>
      </c>
      <c r="H59" s="893" t="str">
        <f t="array" ref="H59">if(isblank(F59),"",xlookup(F59,'FL5_POR_包裝對照表 (Mapping Table)'!E:E,'FL5_POR_包裝對照表 (Mapping Table)'!E:E,"",0,1))</f>
        <v>GA09883-JP</v>
      </c>
      <c r="I59" s="677" t="str">
        <f t="array" ref="I59">if(isblank(F59),"",xlookup(F59,'FL5_POR_包裝對照表 (Mapping Table)'!E:E,'FL5_POR_包裝對照表 (Mapping Table)'!AN:AN,"",0,1))</f>
        <v>G950-15935-14</v>
      </c>
      <c r="J59" s="894" t="str">
        <f t="array" ref="J59">if(isblank(F59),"",xlookup(G59,z_Others!$B$5:$B$17,z_Others!$C$5:$C$17,"",0,1))</f>
        <v>智能手機</v>
      </c>
      <c r="K59" s="894" t="str">
        <f t="array" ref="K59">if(isblank(F59),"",xlookup(G59,z_Others!$B$5:$B$17,z_Others!$E$5:$E$17,"",0,1))</f>
        <v>智能手機</v>
      </c>
      <c r="L59" s="894" t="str">
        <f t="array" ref="L59">if(isblank(F59),"",xlookup(G59,z_Others!$B$5:$B$17,z_Others!$F$5:$F$17,"",0,1))</f>
        <v>智能手機</v>
      </c>
      <c r="M59" s="894" t="str">
        <f t="shared" si="3"/>
        <v>Google</v>
      </c>
      <c r="N59" s="894" t="str">
        <f t="shared" si="4"/>
        <v>境外品牌（貼牌生產)</v>
      </c>
      <c r="O59" s="882" t="str">
        <f t="array" ref="O59">if(isblank(F59),"",xlookup(F59,'FL5_POR_包裝對照表 (Mapping Table)'!E:E,'FL5_POR_包裝對照表 (Mapping Table)'!L:L,"",0,1))</f>
        <v>GL066</v>
      </c>
      <c r="P59" s="895">
        <f t="array" ref="P59">if(isblank(F59),"",xlookup(G59,z_Others!$B$5:$B$17,z_Others!$J$5:$J$17,"",0,1))</f>
        <v>0.2029</v>
      </c>
      <c r="Q59" s="896">
        <f t="array" ref="Q59">if(isblank(F59),"",xlookup(F59,'FL5_POR_核價 (經管 &amp; BPM)'!E:E,'FL5_POR_核價 (經管 &amp; BPM)'!O:O,"",0,1))</f>
        <v>435.67</v>
      </c>
      <c r="R59" s="894" t="str">
        <f t="shared" si="5"/>
        <v>否</v>
      </c>
      <c r="S59" s="897" t="str">
        <f t="array" ref="S59">if(isblank(F59),"",xlookup(G59,z_Others!$B$5:$B$17,z_Others!$K$5:$K$17,"",0,1))</f>
        <v>(1) 說明書
(2) C-2-C USB 數據線</v>
      </c>
      <c r="T59" s="894" t="str">
        <f t="shared" si="6"/>
        <v>開發手機中框組件模型(適用于Google 牌手機)</v>
      </c>
      <c r="U59" s="898" t="str">
        <f t="array" ref="U59">if(isblank(F59),"",xlookup(G59,z_Others!$B$5:$B$17,z_Others!$G$5:$G$17,"",0,1))</f>
        <v>無線通話用</v>
      </c>
      <c r="V59" s="231" t="str">
        <f t="array" ref="V59">if(isblank(F59),"",xlookup(F59,'FL5_POR_包裝對照表 (Mapping Table)'!E:E,'FL5_POR_包裝對照表 (Mapping Table)'!AB:AB,"",0,1))</f>
        <v>SKU, CLR1, BETTER, SUB6, JP, FL5</v>
      </c>
      <c r="W59" s="899" t="str">
        <f t="array" ref="W59">if(isblank(F59),"",xlookup(G59,z_Others!$B$5:$B$17,z_Others!$I$5:$I$17,"",0,1))</f>
        <v>152.83 x 71.98 x 12.01</v>
      </c>
      <c r="X59" s="894" t="str">
        <f t="shared" si="7"/>
        <v>Google</v>
      </c>
      <c r="Y59" s="894" t="str">
        <f t="shared" si="8"/>
        <v>Tensor series</v>
      </c>
      <c r="Z59" s="900" t="str">
        <f t="shared" si="9"/>
        <v>蜂窩網絡</v>
      </c>
      <c r="AA59" s="900" t="str">
        <f t="shared" si="10"/>
        <v>WCDMA&amp;GSM&amp;LTE&amp;5G制式</v>
      </c>
      <c r="AB59" s="878" t="str">
        <f t="array" ref="AB59">if(isblank(F59),"",xlookup(AJ59,z_Others!$M$5:$M$9,z_Others!$Q$5:$Q$9,"",0,1))</f>
        <v>直板、6.29 英寸彩屏、內存256G、GPRS、藍牙、前攝1100萬、後攝1200/5000萬</v>
      </c>
      <c r="AC59" s="900" t="str">
        <f t="shared" si="11"/>
        <v>中國</v>
      </c>
      <c r="AD59" s="894" t="str">
        <f t="array" ref="AD59">if(isblank(F59),"",xlookup(G59,z_Others!$B$5:$B$14,z_Others!$H$5:$H$14,"",0,1))</f>
        <v>附件07 (FATP手機)</v>
      </c>
      <c r="AE59" s="901" t="str">
        <f t="shared" si="12"/>
        <v>Foxconn</v>
      </c>
      <c r="AF59" s="791">
        <v>45783.0</v>
      </c>
      <c r="AG59" s="791">
        <f t="shared" ref="AG59:AG61" si="14">if(isblank(AF59),"",_xlfn.WORKDAY.INTL(AF59,28,11))</f>
        <v>45815</v>
      </c>
      <c r="AH59" s="787"/>
      <c r="AI59" s="787">
        <v>45796.0</v>
      </c>
      <c r="AJ59" s="677" t="str">
        <f t="array" ref="AJ59">if(isblank(F59),"",xlookup(F59,'FL5_POR_包裝對照表 (Mapping Table)'!E:E,'FL5_POR_包裝對照表 (Mapping Table)'!AS:AS,"",0,1))</f>
        <v>256GB</v>
      </c>
      <c r="AK59" s="677" t="str">
        <f t="array" ref="AK59">if(isblank(F59),"",xlookup(F59,'FL5_POR_包裝對照表 (Mapping Table)'!E:E,'FL5_POR_包裝對照表 (Mapping Table)'!K:K,"",0,1))</f>
        <v>BLK</v>
      </c>
      <c r="AL59" s="677">
        <v>3030.0</v>
      </c>
      <c r="AM59" s="811"/>
      <c r="AN59" s="888" t="str">
        <f t="array" ref="AN59">xlookup(F59,'FL5_POR_包裝對照表 (Mapping Table)'!E:E,'FL5_POR_包裝對照表 (Mapping Table)'!BM:BM,"",0,1)</f>
        <v>No demand</v>
      </c>
      <c r="AO59" s="813"/>
      <c r="AP59" s="813"/>
    </row>
    <row r="60" ht="25.5" customHeight="1">
      <c r="A60" s="889"/>
      <c r="B60" s="877">
        <v>54.0</v>
      </c>
      <c r="C60" s="891" t="str">
        <f>if(isblank(F60),"",'FL5_POR_包裝對照表 (Mapping Table)'!$E$4)</f>
        <v>GFL (FL5)</v>
      </c>
      <c r="D60" s="878" t="str">
        <f t="array" ref="D60">if(isblank(F60),"",xlookup(F60,'FL5_POR_包裝對照表 (Mapping Table)'!E:E,'FL5_POR_包裝對照表 (Mapping Table)'!AZ:AZ,"",0,1))</f>
        <v>MP</v>
      </c>
      <c r="E60" s="677" t="str">
        <f t="shared" si="2"/>
        <v>Close</v>
      </c>
      <c r="F60" s="879" t="s">
        <v>711</v>
      </c>
      <c r="G60" s="892" t="str">
        <f t="array" ref="G60">if(isblank(F60),"",xlookup(F60,'FL5_POR_包裝對照表 (Mapping Table)'!E:E,'FL5_POR_包裝對照表 (Mapping Table)'!D:D,"",0,1))</f>
        <v>Retail Pack</v>
      </c>
      <c r="H60" s="893" t="str">
        <f t="array" ref="H60">if(isblank(F60),"",xlookup(F60,'FL5_POR_包裝對照表 (Mapping Table)'!E:E,'FL5_POR_包裝對照表 (Mapping Table)'!E:E,"",0,1))</f>
        <v>GA10217-JP</v>
      </c>
      <c r="I60" s="677" t="str">
        <f t="array" ref="I60">if(isblank(F60),"",xlookup(F60,'FL5_POR_包裝對照表 (Mapping Table)'!E:E,'FL5_POR_包裝對照表 (Mapping Table)'!AN:AN,"",0,1))</f>
        <v>G950-15935-15</v>
      </c>
      <c r="J60" s="894" t="str">
        <f t="array" ref="J60">if(isblank(F60),"",xlookup(G60,z_Others!$B$5:$B$17,z_Others!$C$5:$C$17,"",0,1))</f>
        <v>智能手機</v>
      </c>
      <c r="K60" s="894" t="str">
        <f t="array" ref="K60">if(isblank(F60),"",xlookup(G60,z_Others!$B$5:$B$17,z_Others!$E$5:$E$17,"",0,1))</f>
        <v>智能手機</v>
      </c>
      <c r="L60" s="894" t="str">
        <f t="array" ref="L60">if(isblank(F60),"",xlookup(G60,z_Others!$B$5:$B$17,z_Others!$F$5:$F$17,"",0,1))</f>
        <v>智能手機</v>
      </c>
      <c r="M60" s="894" t="str">
        <f t="shared" si="3"/>
        <v>Google</v>
      </c>
      <c r="N60" s="894" t="str">
        <f t="shared" si="4"/>
        <v>境外品牌（貼牌生產)</v>
      </c>
      <c r="O60" s="882" t="str">
        <f t="array" ref="O60">if(isblank(F60),"",xlookup(F60,'FL5_POR_包裝對照表 (Mapping Table)'!E:E,'FL5_POR_包裝對照表 (Mapping Table)'!L:L,"",0,1))</f>
        <v>GL066</v>
      </c>
      <c r="P60" s="895">
        <f t="array" ref="P60">if(isblank(F60),"",xlookup(G60,z_Others!$B$5:$B$17,z_Others!$J$5:$J$17,"",0,1))</f>
        <v>0.2029</v>
      </c>
      <c r="Q60" s="896">
        <f t="array" ref="Q60">if(isblank(F60),"",xlookup(F60,'FL5_POR_核價 (經管 &amp; BPM)'!E:E,'FL5_POR_核價 (經管 &amp; BPM)'!O:O,"",0,1))</f>
        <v>435.97</v>
      </c>
      <c r="R60" s="894" t="str">
        <f t="shared" si="5"/>
        <v>否</v>
      </c>
      <c r="S60" s="897" t="str">
        <f t="array" ref="S60">if(isblank(F60),"",xlookup(G60,z_Others!$B$5:$B$17,z_Others!$K$5:$K$17,"",0,1))</f>
        <v>(1) 說明書
(2) C-2-C USB 數據線</v>
      </c>
      <c r="T60" s="894" t="str">
        <f t="shared" si="6"/>
        <v>開發手機中框組件模型(適用于Google 牌手機)</v>
      </c>
      <c r="U60" s="898" t="str">
        <f t="array" ref="U60">if(isblank(F60),"",xlookup(G60,z_Others!$B$5:$B$17,z_Others!$G$5:$G$17,"",0,1))</f>
        <v>無線通話用</v>
      </c>
      <c r="V60" s="231" t="str">
        <f t="array" ref="V60">if(isblank(F60),"",xlookup(F60,'FL5_POR_包裝對照表 (Mapping Table)'!E:E,'FL5_POR_包裝對照表 (Mapping Table)'!AB:AB,"",0,1))</f>
        <v>SKU, CLR2, BETTER, SUB6, JP, FL5</v>
      </c>
      <c r="W60" s="899" t="str">
        <f t="array" ref="W60">if(isblank(F60),"",xlookup(G60,z_Others!$B$5:$B$17,z_Others!$I$5:$I$17,"",0,1))</f>
        <v>152.83 x 71.98 x 12.01</v>
      </c>
      <c r="X60" s="894" t="str">
        <f t="shared" si="7"/>
        <v>Google</v>
      </c>
      <c r="Y60" s="894" t="str">
        <f t="shared" si="8"/>
        <v>Tensor series</v>
      </c>
      <c r="Z60" s="900" t="str">
        <f t="shared" si="9"/>
        <v>蜂窩網絡</v>
      </c>
      <c r="AA60" s="900" t="str">
        <f t="shared" si="10"/>
        <v>WCDMA&amp;GSM&amp;LTE&amp;5G制式</v>
      </c>
      <c r="AB60" s="878" t="str">
        <f t="array" ref="AB60">if(isblank(F60),"",xlookup(AJ60,z_Others!$M$5:$M$9,z_Others!$Q$5:$Q$9,"",0,1))</f>
        <v>直板、6.29 英寸彩屏、內存256G、GPRS、藍牙、前攝1100萬、後攝1200/5000萬</v>
      </c>
      <c r="AC60" s="900" t="str">
        <f t="shared" si="11"/>
        <v>中國</v>
      </c>
      <c r="AD60" s="894" t="str">
        <f t="array" ref="AD60">if(isblank(F60),"",xlookup(G60,z_Others!$B$5:$B$14,z_Others!$H$5:$H$14,"",0,1))</f>
        <v>附件07 (FATP手機)</v>
      </c>
      <c r="AE60" s="901" t="str">
        <f t="shared" si="12"/>
        <v>Foxconn</v>
      </c>
      <c r="AF60" s="791">
        <v>45783.0</v>
      </c>
      <c r="AG60" s="791">
        <f t="shared" si="14"/>
        <v>45815</v>
      </c>
      <c r="AH60" s="787"/>
      <c r="AI60" s="787">
        <v>45796.0</v>
      </c>
      <c r="AJ60" s="677" t="str">
        <f t="array" ref="AJ60">if(isblank(F60),"",xlookup(F60,'FL5_POR_包裝對照表 (Mapping Table)'!E:E,'FL5_POR_包裝對照表 (Mapping Table)'!AS:AS,"",0,1))</f>
        <v>256GB</v>
      </c>
      <c r="AK60" s="677" t="str">
        <f t="array" ref="AK60">if(isblank(F60),"",xlookup(F60,'FL5_POR_包裝對照表 (Mapping Table)'!E:E,'FL5_POR_包裝對照表 (Mapping Table)'!K:K,"",0,1))</f>
        <v>PPL</v>
      </c>
      <c r="AL60" s="677">
        <v>3029.0</v>
      </c>
      <c r="AM60" s="811"/>
      <c r="AN60" s="888" t="str">
        <f t="array" ref="AN60">xlookup(F60,'FL5_POR_包裝對照表 (Mapping Table)'!E:E,'FL5_POR_包裝對照表 (Mapping Table)'!BM:BM,"",0,1)</f>
        <v>No demand</v>
      </c>
      <c r="AO60" s="813"/>
      <c r="AP60" s="813"/>
    </row>
    <row r="61" ht="25.5" customHeight="1">
      <c r="A61" s="889"/>
      <c r="B61" s="877">
        <v>55.0</v>
      </c>
      <c r="C61" s="891" t="str">
        <f>if(isblank(F61),"",'FL5_POR_包裝對照表 (Mapping Table)'!$E$4)</f>
        <v>GFL (FL5)</v>
      </c>
      <c r="D61" s="878" t="str">
        <f t="array" ref="D61">if(isblank(F61),"",xlookup(F61,'FL5_POR_包裝對照表 (Mapping Table)'!E:E,'FL5_POR_包裝對照表 (Mapping Table)'!AZ:AZ,"",0,1))</f>
        <v>MP</v>
      </c>
      <c r="E61" s="677" t="str">
        <f t="shared" si="2"/>
        <v>Close</v>
      </c>
      <c r="F61" s="879" t="s">
        <v>717</v>
      </c>
      <c r="G61" s="892" t="str">
        <f t="array" ref="G61">if(isblank(F61),"",xlookup(F61,'FL5_POR_包裝對照表 (Mapping Table)'!E:E,'FL5_POR_包裝對照表 (Mapping Table)'!D:D,"",0,1))</f>
        <v>Retail Pack</v>
      </c>
      <c r="H61" s="893" t="str">
        <f t="array" ref="H61">if(isblank(F61),"",xlookup(F61,'FL5_POR_包裝對照表 (Mapping Table)'!E:E,'FL5_POR_包裝對照表 (Mapping Table)'!E:E,"",0,1))</f>
        <v>GA10218-JP</v>
      </c>
      <c r="I61" s="677" t="str">
        <f t="array" ref="I61">if(isblank(F61),"",xlookup(F61,'FL5_POR_包裝對照表 (Mapping Table)'!E:E,'FL5_POR_包裝對照表 (Mapping Table)'!AN:AN,"",0,1))</f>
        <v>G950-15935-16</v>
      </c>
      <c r="J61" s="894" t="str">
        <f t="array" ref="J61">if(isblank(F61),"",xlookup(G61,z_Others!$B$5:$B$17,z_Others!$C$5:$C$17,"",0,1))</f>
        <v>智能手機</v>
      </c>
      <c r="K61" s="894" t="str">
        <f t="array" ref="K61">if(isblank(F61),"",xlookup(G61,z_Others!$B$5:$B$17,z_Others!$E$5:$E$17,"",0,1))</f>
        <v>智能手機</v>
      </c>
      <c r="L61" s="894" t="str">
        <f t="array" ref="L61">if(isblank(F61),"",xlookup(G61,z_Others!$B$5:$B$17,z_Others!$F$5:$F$17,"",0,1))</f>
        <v>智能手機</v>
      </c>
      <c r="M61" s="894" t="str">
        <f t="shared" si="3"/>
        <v>Google</v>
      </c>
      <c r="N61" s="894" t="str">
        <f t="shared" si="4"/>
        <v>境外品牌（貼牌生產)</v>
      </c>
      <c r="O61" s="882" t="str">
        <f t="array" ref="O61">if(isblank(F61),"",xlookup(F61,'FL5_POR_包裝對照表 (Mapping Table)'!E:E,'FL5_POR_包裝對照表 (Mapping Table)'!L:L,"",0,1))</f>
        <v>GL066</v>
      </c>
      <c r="P61" s="895">
        <f t="array" ref="P61">if(isblank(F61),"",xlookup(G61,z_Others!$B$5:$B$17,z_Others!$J$5:$J$17,"",0,1))</f>
        <v>0.2029</v>
      </c>
      <c r="Q61" s="896">
        <f t="array" ref="Q61">if(isblank(F61),"",xlookup(F61,'FL5_POR_核價 (經管 &amp; BPM)'!E:E,'FL5_POR_核價 (經管 &amp; BPM)'!O:O,"",0,1))</f>
        <v>436.07</v>
      </c>
      <c r="R61" s="894" t="str">
        <f t="shared" si="5"/>
        <v>否</v>
      </c>
      <c r="S61" s="897" t="str">
        <f t="array" ref="S61">if(isblank(F61),"",xlookup(G61,z_Others!$B$5:$B$17,z_Others!$K$5:$K$17,"",0,1))</f>
        <v>(1) 說明書
(2) C-2-C USB 數據線</v>
      </c>
      <c r="T61" s="894" t="str">
        <f t="shared" si="6"/>
        <v>開發手機中框組件模型(適用于Google 牌手機)</v>
      </c>
      <c r="U61" s="898" t="str">
        <f t="array" ref="U61">if(isblank(F61),"",xlookup(G61,z_Others!$B$5:$B$17,z_Others!$G$5:$G$17,"",0,1))</f>
        <v>無線通話用</v>
      </c>
      <c r="V61" s="231" t="str">
        <f t="array" ref="V61">if(isblank(F61),"",xlookup(F61,'FL5_POR_包裝對照表 (Mapping Table)'!E:E,'FL5_POR_包裝對照表 (Mapping Table)'!AB:AB,"",0,1))</f>
        <v>SKU, CLR3, BETTER, SUB6, JP, FL5</v>
      </c>
      <c r="W61" s="899" t="str">
        <f t="array" ref="W61">if(isblank(F61),"",xlookup(G61,z_Others!$B$5:$B$17,z_Others!$I$5:$I$17,"",0,1))</f>
        <v>152.83 x 71.98 x 12.01</v>
      </c>
      <c r="X61" s="894" t="str">
        <f t="shared" si="7"/>
        <v>Google</v>
      </c>
      <c r="Y61" s="894" t="str">
        <f t="shared" si="8"/>
        <v>Tensor series</v>
      </c>
      <c r="Z61" s="900" t="str">
        <f t="shared" si="9"/>
        <v>蜂窩網絡</v>
      </c>
      <c r="AA61" s="900" t="str">
        <f t="shared" si="10"/>
        <v>WCDMA&amp;GSM&amp;LTE&amp;5G制式</v>
      </c>
      <c r="AB61" s="878" t="str">
        <f t="array" ref="AB61">if(isblank(F61),"",xlookup(AJ61,z_Others!$M$5:$M$9,z_Others!$Q$5:$Q$9,"",0,1))</f>
        <v>直板、6.29 英寸彩屏、內存256G、GPRS、藍牙、前攝1100萬、後攝1200/5000萬</v>
      </c>
      <c r="AC61" s="900" t="str">
        <f t="shared" si="11"/>
        <v>中國</v>
      </c>
      <c r="AD61" s="894" t="str">
        <f t="array" ref="AD61">if(isblank(F61),"",xlookup(G61,z_Others!$B$5:$B$14,z_Others!$H$5:$H$14,"",0,1))</f>
        <v>附件07 (FATP手機)</v>
      </c>
      <c r="AE61" s="901" t="str">
        <f t="shared" si="12"/>
        <v>Foxconn</v>
      </c>
      <c r="AF61" s="791">
        <v>45783.0</v>
      </c>
      <c r="AG61" s="791">
        <f t="shared" si="14"/>
        <v>45815</v>
      </c>
      <c r="AH61" s="787"/>
      <c r="AI61" s="787">
        <v>45796.0</v>
      </c>
      <c r="AJ61" s="677" t="str">
        <f t="array" ref="AJ61">if(isblank(F61),"",xlookup(F61,'FL5_POR_包裝對照表 (Mapping Table)'!E:E,'FL5_POR_包裝對照表 (Mapping Table)'!AS:AS,"",0,1))</f>
        <v>256GB</v>
      </c>
      <c r="AK61" s="677" t="str">
        <f t="array" ref="AK61">if(isblank(F61),"",xlookup(F61,'FL5_POR_包裝對照表 (Mapping Table)'!E:E,'FL5_POR_包裝對照表 (Mapping Table)'!K:K,"",0,1))</f>
        <v>YEL</v>
      </c>
      <c r="AL61" s="677">
        <v>3028.0</v>
      </c>
      <c r="AM61" s="811"/>
      <c r="AN61" s="888" t="str">
        <f t="array" ref="AN61">xlookup(F61,'FL5_POR_包裝對照表 (Mapping Table)'!E:E,'FL5_POR_包裝對照表 (Mapping Table)'!BM:BM,"",0,1)</f>
        <v>No demand</v>
      </c>
      <c r="AO61" s="813"/>
      <c r="AP61" s="813"/>
    </row>
    <row r="62" ht="25.5" customHeight="1">
      <c r="A62" s="889"/>
      <c r="B62" s="877">
        <v>56.0</v>
      </c>
      <c r="C62" s="891" t="str">
        <f>if(isblank(F62),"",'FL5_POR_包裝對照表 (Mapping Table)'!$E$4)</f>
        <v>GFL (FL5)</v>
      </c>
      <c r="D62" s="878" t="str">
        <f t="array" ref="D62">if(isblank(F62),"",xlookup(F62,'FL5_POR_包裝對照表 (Mapping Table)'!E:E,'FL5_POR_包裝對照表 (Mapping Table)'!AZ:AZ,"",0,1))</f>
        <v>MP</v>
      </c>
      <c r="E62" s="677" t="str">
        <f t="shared" si="2"/>
        <v>Close</v>
      </c>
      <c r="F62" s="879" t="s">
        <v>744</v>
      </c>
      <c r="G62" s="892" t="str">
        <f t="array" ref="G62">if(isblank(F62),"",xlookup(F62,'FL5_POR_包裝對照表 (Mapping Table)'!E:E,'FL5_POR_包裝對照表 (Mapping Table)'!D:D,"",0,1))</f>
        <v>Retail Pack</v>
      </c>
      <c r="H62" s="893" t="str">
        <f t="array" ref="H62">if(isblank(F62),"",xlookup(F62,'FL5_POR_包裝對照表 (Mapping Table)'!E:E,'FL5_POR_包裝對照表 (Mapping Table)'!E:E,"",0,1))</f>
        <v>IQGA10240-US</v>
      </c>
      <c r="I62" s="677" t="str">
        <f t="array" ref="I62">if(isblank(F62),"",xlookup(F62,'FL5_POR_包裝對照表 (Mapping Table)'!E:E,'FL5_POR_包裝對照表 (Mapping Table)'!AN:AN,"",0,1))</f>
        <v>G950-15935-03</v>
      </c>
      <c r="J62" s="894" t="str">
        <f t="array" ref="J62">if(isblank(F62),"",xlookup(G62,z_Others!$B$5:$B$17,z_Others!$C$5:$C$17,"",0,1))</f>
        <v>智能手機</v>
      </c>
      <c r="K62" s="894" t="str">
        <f t="array" ref="K62">if(isblank(F62),"",xlookup(G62,z_Others!$B$5:$B$17,z_Others!$E$5:$E$17,"",0,1))</f>
        <v>智能手機</v>
      </c>
      <c r="L62" s="894" t="str">
        <f t="array" ref="L62">if(isblank(F62),"",xlookup(G62,z_Others!$B$5:$B$17,z_Others!$F$5:$F$17,"",0,1))</f>
        <v>智能手機</v>
      </c>
      <c r="M62" s="894" t="str">
        <f t="shared" si="3"/>
        <v>Google</v>
      </c>
      <c r="N62" s="894" t="str">
        <f t="shared" si="4"/>
        <v>境外品牌（貼牌生產)</v>
      </c>
      <c r="O62" s="882" t="str">
        <f t="array" ref="O62">if(isblank(F62),"",xlookup(F62,'FL5_POR_包裝對照表 (Mapping Table)'!E:E,'FL5_POR_包裝對照表 (Mapping Table)'!L:L,"",0,1))</f>
        <v>GLBW0</v>
      </c>
      <c r="P62" s="895">
        <f t="array" ref="P62">if(isblank(F62),"",xlookup(G62,z_Others!$B$5:$B$17,z_Others!$J$5:$J$17,"",0,1))</f>
        <v>0.2029</v>
      </c>
      <c r="Q62" s="896">
        <f t="array" ref="Q62">if(isblank(F62),"",xlookup(F62,'FL5_POR_核價 (經管 &amp; BPM)'!E:E,'FL5_POR_核價 (經管 &amp; BPM)'!O:O,"",0,1))</f>
        <v>447.47</v>
      </c>
      <c r="R62" s="894" t="str">
        <f t="shared" si="5"/>
        <v>否</v>
      </c>
      <c r="S62" s="897" t="str">
        <f t="array" ref="S62">if(isblank(F62),"",xlookup(G62,z_Others!$B$5:$B$17,z_Others!$K$5:$K$17,"",0,1))</f>
        <v>(1) 說明書
(2) C-2-C USB 數據線</v>
      </c>
      <c r="T62" s="894" t="str">
        <f t="shared" si="6"/>
        <v>開發手機中框組件模型(適用于Google 牌手機)</v>
      </c>
      <c r="U62" s="898" t="str">
        <f t="array" ref="U62">if(isblank(F62),"",xlookup(G62,z_Others!$B$5:$B$17,z_Others!$G$5:$G$17,"",0,1))</f>
        <v>無線通話用</v>
      </c>
      <c r="V62" s="231" t="str">
        <f t="array" ref="V62">if(isblank(F62),"",xlookup(F62,'FL5_POR_包裝對照表 (Mapping Table)'!E:E,'FL5_POR_包裝對照表 (Mapping Table)'!AB:AB,"",0,1))</f>
        <v>SKU, CLR4, GOOD, MMWAVE, VZW, US, IQ, FL5</v>
      </c>
      <c r="W62" s="899" t="str">
        <f t="array" ref="W62">if(isblank(F62),"",xlookup(G62,z_Others!$B$5:$B$17,z_Others!$I$5:$I$17,"",0,1))</f>
        <v>152.83 x 71.98 x 12.01</v>
      </c>
      <c r="X62" s="894" t="str">
        <f t="shared" si="7"/>
        <v>Google</v>
      </c>
      <c r="Y62" s="894" t="str">
        <f t="shared" si="8"/>
        <v>Tensor series</v>
      </c>
      <c r="Z62" s="900" t="str">
        <f t="shared" si="9"/>
        <v>蜂窩網絡</v>
      </c>
      <c r="AA62" s="900" t="str">
        <f t="shared" si="10"/>
        <v>WCDMA&amp;GSM&amp;LTE&amp;5G制式</v>
      </c>
      <c r="AB62" s="878" t="str">
        <f t="array" ref="AB62">if(isblank(F62),"",xlookup(AJ62,z_Others!$M$5:$M$9,z_Others!$Q$5:$Q$9,"",0,1))</f>
        <v>直板、6.29 英寸彩屏、內存128G、GPRS、藍牙、前攝1100萬、後攝1200/5000萬</v>
      </c>
      <c r="AC62" s="900" t="str">
        <f t="shared" si="11"/>
        <v>中國</v>
      </c>
      <c r="AD62" s="894" t="str">
        <f t="array" ref="AD62">if(isblank(F62),"",xlookup(G62,z_Others!$B$5:$B$14,z_Others!$H$5:$H$14,"",0,1))</f>
        <v>附件07 (FATP手機)</v>
      </c>
      <c r="AE62" s="901" t="str">
        <f t="shared" si="12"/>
        <v>Foxconn</v>
      </c>
      <c r="AF62" s="791">
        <v>45783.0</v>
      </c>
      <c r="AG62" s="791">
        <f>if(isblank(AF62),"",_xlfn.WORKDAY.INTL(AF62,40,11))</f>
        <v>45829</v>
      </c>
      <c r="AH62" s="787"/>
      <c r="AI62" s="787">
        <v>45796.0</v>
      </c>
      <c r="AJ62" s="677" t="str">
        <f t="array" ref="AJ62">if(isblank(F62),"",xlookup(F62,'FL5_POR_包裝對照表 (Mapping Table)'!E:E,'FL5_POR_包裝對照表 (Mapping Table)'!AS:AS,"",0,1))</f>
        <v>128GB</v>
      </c>
      <c r="AK62" s="677" t="str">
        <f t="array" ref="AK62">if(isblank(F62),"",xlookup(F62,'FL5_POR_包裝對照表 (Mapping Table)'!E:E,'FL5_POR_包裝對照表 (Mapping Table)'!K:K,"",0,1))</f>
        <v>BUE</v>
      </c>
      <c r="AL62" s="677">
        <v>3031.0</v>
      </c>
      <c r="AM62" s="811"/>
      <c r="AN62" s="888" t="str">
        <f t="array" ref="AN62">xlookup(F62,'FL5_POR_包裝對照表 (Mapping Table)'!E:E,'FL5_POR_包裝對照表 (Mapping Table)'!BM:BM,"",0,1)</f>
        <v>No demand</v>
      </c>
      <c r="AO62" s="813"/>
      <c r="AP62" s="813"/>
    </row>
    <row r="63" ht="25.5" customHeight="1">
      <c r="A63" s="889"/>
      <c r="B63" s="877">
        <v>57.0</v>
      </c>
      <c r="C63" s="891" t="str">
        <f>if(isblank(F63),"",'FL5_POR_包裝對照表 (Mapping Table)'!$E$4)</f>
        <v>GFL (FL5)</v>
      </c>
      <c r="D63" s="878" t="str">
        <f t="array" ref="D63">if(isblank(F63),"",xlookup(F63,'FL5_POR_包裝對照表 (Mapping Table)'!E:E,'FL5_POR_包裝對照表 (Mapping Table)'!AZ:AZ,"",0,1))</f>
        <v>MP</v>
      </c>
      <c r="E63" s="677" t="str">
        <f t="shared" si="2"/>
        <v>Close</v>
      </c>
      <c r="F63" s="879" t="s">
        <v>971</v>
      </c>
      <c r="G63" s="892" t="str">
        <f t="array" ref="G63">if(isblank(F63),"",xlookup(F63,'FL5_POR_包裝對照表 (Mapping Table)'!E:E,'FL5_POR_包裝對照表 (Mapping Table)'!D:D,"",0,1))</f>
        <v>Retail Pack</v>
      </c>
      <c r="H63" s="893" t="str">
        <f t="array" ref="H63">if(isblank(F63),"",xlookup(F63,'FL5_POR_包裝對照表 (Mapping Table)'!E:E,'FL5_POR_包裝對照表 (Mapping Table)'!E:E,"",0,1))</f>
        <v>GA09744-CA-N</v>
      </c>
      <c r="I63" s="677" t="str">
        <f t="array" ref="I63">if(isblank(F63),"",xlookup(F63,'FL5_POR_包裝對照表 (Mapping Table)'!E:E,'FL5_POR_包裝對照表 (Mapping Table)'!AN:AN,"",0,1))</f>
        <v>G950-15935-10</v>
      </c>
      <c r="J63" s="894" t="str">
        <f t="array" ref="J63">if(isblank(F63),"",xlookup(G63,z_Others!$B$5:$B$17,z_Others!$C$5:$C$17,"",0,1))</f>
        <v>智能手機</v>
      </c>
      <c r="K63" s="894" t="str">
        <f t="array" ref="K63">if(isblank(F63),"",xlookup(G63,z_Others!$B$5:$B$17,z_Others!$E$5:$E$17,"",0,1))</f>
        <v>智能手機</v>
      </c>
      <c r="L63" s="894" t="str">
        <f t="array" ref="L63">if(isblank(F63),"",xlookup(G63,z_Others!$B$5:$B$17,z_Others!$F$5:$F$17,"",0,1))</f>
        <v>智能手機</v>
      </c>
      <c r="M63" s="894" t="str">
        <f t="shared" si="3"/>
        <v>Google</v>
      </c>
      <c r="N63" s="894" t="str">
        <f t="shared" si="4"/>
        <v>境外品牌（貼牌生產)</v>
      </c>
      <c r="O63" s="882" t="str">
        <f t="array" ref="O63">if(isblank(F63),"",xlookup(F63,'FL5_POR_包裝對照表 (Mapping Table)'!E:E,'FL5_POR_包裝對照表 (Mapping Table)'!L:L,"",0,1))</f>
        <v>GK2MP</v>
      </c>
      <c r="P63" s="895">
        <f t="array" ref="P63">if(isblank(F63),"",xlookup(G63,z_Others!$B$5:$B$17,z_Others!$J$5:$J$17,"",0,1))</f>
        <v>0.2029</v>
      </c>
      <c r="Q63" s="896">
        <f t="array" ref="Q63">if(isblank(F63),"",xlookup(F63,'FL5_POR_核價 (經管 &amp; BPM)'!E:E,'FL5_POR_核價 (經管 &amp; BPM)'!O:O,"",0,1))</f>
        <v>427.23</v>
      </c>
      <c r="R63" s="894" t="str">
        <f t="shared" si="5"/>
        <v>否</v>
      </c>
      <c r="S63" s="897" t="str">
        <f t="array" ref="S63">if(isblank(F63),"",xlookup(G63,z_Others!$B$5:$B$17,z_Others!$K$5:$K$17,"",0,1))</f>
        <v>(1) 說明書
(2) C-2-C USB 數據線</v>
      </c>
      <c r="T63" s="894" t="str">
        <f t="shared" si="6"/>
        <v>開發手機中框組件模型(適用于Google 牌手機)</v>
      </c>
      <c r="U63" s="898" t="str">
        <f t="array" ref="U63">if(isblank(F63),"",xlookup(G63,z_Others!$B$5:$B$17,z_Others!$G$5:$G$17,"",0,1))</f>
        <v>無線通話用</v>
      </c>
      <c r="V63" s="231" t="str">
        <f t="array" ref="V63">if(isblank(F63),"",xlookup(F63,'FL5_POR_包裝對照表 (Mapping Table)'!E:E,'FL5_POR_包裝對照表 (Mapping Table)'!AB:AB,"",0,1))</f>
        <v>SKU, CLR1, GOOD, SUB6, CA/TW/SG/MY/AU/MX, PRESS, FL5</v>
      </c>
      <c r="W63" s="899" t="str">
        <f t="array" ref="W63">if(isblank(F63),"",xlookup(G63,z_Others!$B$5:$B$17,z_Others!$I$5:$I$17,"",0,1))</f>
        <v>152.83 x 71.98 x 12.01</v>
      </c>
      <c r="X63" s="894" t="str">
        <f t="shared" si="7"/>
        <v>Google</v>
      </c>
      <c r="Y63" s="894" t="str">
        <f t="shared" si="8"/>
        <v>Tensor series</v>
      </c>
      <c r="Z63" s="900" t="str">
        <f t="shared" si="9"/>
        <v>蜂窩網絡</v>
      </c>
      <c r="AA63" s="900" t="str">
        <f t="shared" si="10"/>
        <v>WCDMA&amp;GSM&amp;LTE&amp;5G制式</v>
      </c>
      <c r="AB63" s="878" t="str">
        <f t="array" ref="AB63">if(isblank(F63),"",xlookup(AJ63,z_Others!$M$5:$M$9,z_Others!$Q$5:$Q$9,"",0,1))</f>
        <v>直板、6.29 英寸彩屏、內存128G、GPRS、藍牙、前攝1100萬、後攝1200/5000萬</v>
      </c>
      <c r="AC63" s="900" t="str">
        <f t="shared" si="11"/>
        <v>中國</v>
      </c>
      <c r="AD63" s="894" t="str">
        <f t="array" ref="AD63">if(isblank(F63),"",xlookup(G63,z_Others!$B$5:$B$14,z_Others!$H$5:$H$14,"",0,1))</f>
        <v>附件07 (FATP手機)</v>
      </c>
      <c r="AE63" s="901" t="str">
        <f t="shared" si="12"/>
        <v>Foxconn</v>
      </c>
      <c r="AF63" s="791">
        <v>45783.0</v>
      </c>
      <c r="AG63" s="791">
        <f t="shared" ref="AG63:AG72" si="15">if(isblank(AF63),"",_xlfn.WORKDAY.INTL(AF63,46,11))</f>
        <v>45836</v>
      </c>
      <c r="AH63" s="787"/>
      <c r="AI63" s="787">
        <v>45796.0</v>
      </c>
      <c r="AJ63" s="677" t="str">
        <f t="array" ref="AJ63">if(isblank(F63),"",xlookup(F63,'FL5_POR_包裝對照表 (Mapping Table)'!E:E,'FL5_POR_包裝對照表 (Mapping Table)'!AS:AS,"",0,1))</f>
        <v>128GB</v>
      </c>
      <c r="AK63" s="677" t="str">
        <f t="array" ref="AK63">if(isblank(F63),"",xlookup(F63,'FL5_POR_包裝對照表 (Mapping Table)'!E:E,'FL5_POR_包裝對照表 (Mapping Table)'!K:K,"",0,1))</f>
        <v>BLK</v>
      </c>
      <c r="AL63" s="677">
        <v>3040.0</v>
      </c>
      <c r="AM63" s="811"/>
      <c r="AN63" s="888" t="str">
        <f t="array" ref="AN63">xlookup(F63,'FL5_POR_包裝對照表 (Mapping Table)'!E:E,'FL5_POR_包裝對照表 (Mapping Table)'!BM:BM,"",0,1)</f>
        <v>No demand</v>
      </c>
      <c r="AO63" s="813"/>
      <c r="AP63" s="813"/>
    </row>
    <row r="64" ht="25.5" customHeight="1">
      <c r="A64" s="889"/>
      <c r="B64" s="877">
        <v>58.0</v>
      </c>
      <c r="C64" s="891" t="str">
        <f>if(isblank(F64),"",'FL5_POR_包裝對照表 (Mapping Table)'!$E$4)</f>
        <v>GFL (FL5)</v>
      </c>
      <c r="D64" s="878" t="str">
        <f t="array" ref="D64">if(isblank(F64),"",xlookup(F64,'FL5_POR_包裝對照表 (Mapping Table)'!E:E,'FL5_POR_包裝對照表 (Mapping Table)'!AZ:AZ,"",0,1))</f>
        <v>MP</v>
      </c>
      <c r="E64" s="677" t="str">
        <f t="shared" si="2"/>
        <v>Close</v>
      </c>
      <c r="F64" s="879" t="s">
        <v>991</v>
      </c>
      <c r="G64" s="892" t="str">
        <f t="array" ref="G64">if(isblank(F64),"",xlookup(F64,'FL5_POR_包裝對照表 (Mapping Table)'!E:E,'FL5_POR_包裝對照表 (Mapping Table)'!D:D,"",0,1))</f>
        <v>Retail Pack</v>
      </c>
      <c r="H64" s="893" t="str">
        <f t="array" ref="H64">if(isblank(F64),"",xlookup(F64,'FL5_POR_包裝對照表 (Mapping Table)'!E:E,'FL5_POR_包裝對照表 (Mapping Table)'!E:E,"",0,1))</f>
        <v>GA09744-GB-N</v>
      </c>
      <c r="I64" s="677" t="str">
        <f t="array" ref="I64">if(isblank(F64),"",xlookup(F64,'FL5_POR_包裝對照表 (Mapping Table)'!E:E,'FL5_POR_包裝對照表 (Mapping Table)'!AN:AN,"",0,1))</f>
        <v>G950-15935-10</v>
      </c>
      <c r="J64" s="894" t="str">
        <f t="array" ref="J64">if(isblank(F64),"",xlookup(G64,z_Others!$B$5:$B$17,z_Others!$C$5:$C$17,"",0,1))</f>
        <v>智能手機</v>
      </c>
      <c r="K64" s="894" t="str">
        <f t="array" ref="K64">if(isblank(F64),"",xlookup(G64,z_Others!$B$5:$B$17,z_Others!$E$5:$E$17,"",0,1))</f>
        <v>智能手機</v>
      </c>
      <c r="L64" s="894" t="str">
        <f t="array" ref="L64">if(isblank(F64),"",xlookup(G64,z_Others!$B$5:$B$17,z_Others!$F$5:$F$17,"",0,1))</f>
        <v>智能手機</v>
      </c>
      <c r="M64" s="894" t="str">
        <f t="shared" si="3"/>
        <v>Google</v>
      </c>
      <c r="N64" s="894" t="str">
        <f t="shared" si="4"/>
        <v>境外品牌（貼牌生產)</v>
      </c>
      <c r="O64" s="882" t="str">
        <f t="array" ref="O64">if(isblank(F64),"",xlookup(F64,'FL5_POR_包裝對照表 (Mapping Table)'!E:E,'FL5_POR_包裝對照表 (Mapping Table)'!L:L,"",0,1))</f>
        <v> GK2MP</v>
      </c>
      <c r="P64" s="895">
        <f t="array" ref="P64">if(isblank(F64),"",xlookup(G64,z_Others!$B$5:$B$17,z_Others!$J$5:$J$17,"",0,1))</f>
        <v>0.2029</v>
      </c>
      <c r="Q64" s="896">
        <f t="array" ref="Q64">if(isblank(F64),"",xlookup(F64,'FL5_POR_核價 (經管 &amp; BPM)'!E:E,'FL5_POR_核價 (經管 &amp; BPM)'!O:O,"",0,1))</f>
        <v>430.2</v>
      </c>
      <c r="R64" s="894" t="str">
        <f t="shared" si="5"/>
        <v>否</v>
      </c>
      <c r="S64" s="897" t="str">
        <f t="array" ref="S64">if(isblank(F64),"",xlookup(G64,z_Others!$B$5:$B$17,z_Others!$K$5:$K$17,"",0,1))</f>
        <v>(1) 說明書
(2) C-2-C USB 數據線</v>
      </c>
      <c r="T64" s="894" t="str">
        <f t="shared" si="6"/>
        <v>開發手機中框組件模型(適用于Google 牌手機)</v>
      </c>
      <c r="U64" s="898" t="str">
        <f t="array" ref="U64">if(isblank(F64),"",xlookup(G64,z_Others!$B$5:$B$17,z_Others!$G$5:$G$17,"",0,1))</f>
        <v>無線通話用</v>
      </c>
      <c r="V64" s="231" t="str">
        <f t="array" ref="V64">if(isblank(F64),"",xlookup(F64,'FL5_POR_包裝對照表 (Mapping Table)'!E:E,'FL5_POR_包裝對照表 (Mapping Table)'!AB:AB,"",0,1))</f>
        <v>SKU, CLR1, GOOD, SUB6, UK/EU, PRESS, FL5</v>
      </c>
      <c r="W64" s="899" t="str">
        <f t="array" ref="W64">if(isblank(F64),"",xlookup(G64,z_Others!$B$5:$B$17,z_Others!$I$5:$I$17,"",0,1))</f>
        <v>152.83 x 71.98 x 12.01</v>
      </c>
      <c r="X64" s="894" t="str">
        <f t="shared" si="7"/>
        <v>Google</v>
      </c>
      <c r="Y64" s="894" t="str">
        <f t="shared" si="8"/>
        <v>Tensor series</v>
      </c>
      <c r="Z64" s="900" t="str">
        <f t="shared" si="9"/>
        <v>蜂窩網絡</v>
      </c>
      <c r="AA64" s="900" t="str">
        <f t="shared" si="10"/>
        <v>WCDMA&amp;GSM&amp;LTE&amp;5G制式</v>
      </c>
      <c r="AB64" s="878" t="str">
        <f t="array" ref="AB64">if(isblank(F64),"",xlookup(AJ64,z_Others!$M$5:$M$9,z_Others!$Q$5:$Q$9,"",0,1))</f>
        <v>直板、6.29 英寸彩屏、內存128G、GPRS、藍牙、前攝1100萬、後攝1200/5000萬</v>
      </c>
      <c r="AC64" s="900" t="str">
        <f t="shared" si="11"/>
        <v>中國</v>
      </c>
      <c r="AD64" s="894" t="str">
        <f t="array" ref="AD64">if(isblank(F64),"",xlookup(G64,z_Others!$B$5:$B$14,z_Others!$H$5:$H$14,"",0,1))</f>
        <v>附件07 (FATP手機)</v>
      </c>
      <c r="AE64" s="901" t="str">
        <f t="shared" si="12"/>
        <v>Foxconn</v>
      </c>
      <c r="AF64" s="791">
        <v>45783.0</v>
      </c>
      <c r="AG64" s="791">
        <f t="shared" si="15"/>
        <v>45836</v>
      </c>
      <c r="AH64" s="787"/>
      <c r="AI64" s="787">
        <v>45796.0</v>
      </c>
      <c r="AJ64" s="677" t="str">
        <f t="array" ref="AJ64">if(isblank(F64),"",xlookup(F64,'FL5_POR_包裝對照表 (Mapping Table)'!E:E,'FL5_POR_包裝對照表 (Mapping Table)'!AS:AS,"",0,1))</f>
        <v>128GB</v>
      </c>
      <c r="AK64" s="677" t="str">
        <f t="array" ref="AK64">if(isblank(F64),"",xlookup(F64,'FL5_POR_包裝對照表 (Mapping Table)'!E:E,'FL5_POR_包裝對照表 (Mapping Table)'!K:K,"",0,1))</f>
        <v>BLK</v>
      </c>
      <c r="AL64" s="677">
        <v>3039.0</v>
      </c>
      <c r="AM64" s="811"/>
      <c r="AN64" s="888" t="str">
        <f t="array" ref="AN64">xlookup(F64,'FL5_POR_包裝對照表 (Mapping Table)'!E:E,'FL5_POR_包裝對照表 (Mapping Table)'!BM:BM,"",0,1)</f>
        <v>No demand</v>
      </c>
      <c r="AO64" s="813"/>
      <c r="AP64" s="813"/>
    </row>
    <row r="65" ht="25.5" customHeight="1">
      <c r="A65" s="889"/>
      <c r="B65" s="877">
        <v>59.0</v>
      </c>
      <c r="C65" s="891" t="str">
        <f>if(isblank(F65),"",'FL5_POR_包裝對照表 (Mapping Table)'!$E$4)</f>
        <v>GFL (FL5)</v>
      </c>
      <c r="D65" s="878" t="str">
        <f t="array" ref="D65">if(isblank(F65),"",xlookup(F65,'FL5_POR_包裝對照表 (Mapping Table)'!E:E,'FL5_POR_包裝對照表 (Mapping Table)'!AZ:AZ,"",0,1))</f>
        <v>MP</v>
      </c>
      <c r="E65" s="677" t="str">
        <f t="shared" si="2"/>
        <v>Close</v>
      </c>
      <c r="F65" s="879" t="s">
        <v>931</v>
      </c>
      <c r="G65" s="892" t="str">
        <f t="array" ref="G65">if(isblank(F65),"",xlookup(F65,'FL5_POR_包裝對照表 (Mapping Table)'!E:E,'FL5_POR_包裝對照表 (Mapping Table)'!D:D,"",0,1))</f>
        <v>Retail Pack</v>
      </c>
      <c r="H65" s="893" t="str">
        <f t="array" ref="H65">if(isblank(F65),"",xlookup(F65,'FL5_POR_包裝對照表 (Mapping Table)'!E:E,'FL5_POR_包裝對照表 (Mapping Table)'!E:E,"",0,1))</f>
        <v>GA09744-US-N</v>
      </c>
      <c r="I65" s="677" t="str">
        <f t="array" ref="I65">if(isblank(F65),"",xlookup(F65,'FL5_POR_包裝對照表 (Mapping Table)'!E:E,'FL5_POR_包裝對照表 (Mapping Table)'!AN:AN,"",0,1))</f>
        <v>G950-15935-00</v>
      </c>
      <c r="J65" s="894" t="str">
        <f t="array" ref="J65">if(isblank(F65),"",xlookup(G65,z_Others!$B$5:$B$17,z_Others!$C$5:$C$17,"",0,1))</f>
        <v>智能手機</v>
      </c>
      <c r="K65" s="894" t="str">
        <f t="array" ref="K65">if(isblank(F65),"",xlookup(G65,z_Others!$B$5:$B$17,z_Others!$E$5:$E$17,"",0,1))</f>
        <v>智能手機</v>
      </c>
      <c r="L65" s="894" t="str">
        <f t="array" ref="L65">if(isblank(F65),"",xlookup(G65,z_Others!$B$5:$B$17,z_Others!$F$5:$F$17,"",0,1))</f>
        <v>智能手機</v>
      </c>
      <c r="M65" s="894" t="str">
        <f t="shared" si="3"/>
        <v>Google</v>
      </c>
      <c r="N65" s="894" t="str">
        <f t="shared" si="4"/>
        <v>境外品牌（貼牌生產)</v>
      </c>
      <c r="O65" s="882" t="str">
        <f t="array" ref="O65">if(isblank(F65),"",xlookup(F65,'FL5_POR_包裝對照表 (Mapping Table)'!E:E,'FL5_POR_包裝對照表 (Mapping Table)'!L:L,"",0,1))</f>
        <v>GLBW0</v>
      </c>
      <c r="P65" s="895">
        <f t="array" ref="P65">if(isblank(F65),"",xlookup(G65,z_Others!$B$5:$B$17,z_Others!$J$5:$J$17,"",0,1))</f>
        <v>0.2029</v>
      </c>
      <c r="Q65" s="896">
        <f t="array" ref="Q65">if(isblank(F65),"",xlookup(F65,'FL5_POR_核價 (經管 &amp; BPM)'!E:E,'FL5_POR_核價 (經管 &amp; BPM)'!O:O,"",0,1))</f>
        <v>464.81</v>
      </c>
      <c r="R65" s="894" t="str">
        <f t="shared" si="5"/>
        <v>否</v>
      </c>
      <c r="S65" s="897" t="str">
        <f t="array" ref="S65">if(isblank(F65),"",xlookup(G65,z_Others!$B$5:$B$17,z_Others!$K$5:$K$17,"",0,1))</f>
        <v>(1) 說明書
(2) C-2-C USB 數據線</v>
      </c>
      <c r="T65" s="894" t="str">
        <f t="shared" si="6"/>
        <v>開發手機中框組件模型(適用于Google 牌手機)</v>
      </c>
      <c r="U65" s="898" t="str">
        <f t="array" ref="U65">if(isblank(F65),"",xlookup(G65,z_Others!$B$5:$B$17,z_Others!$G$5:$G$17,"",0,1))</f>
        <v>無線通話用</v>
      </c>
      <c r="V65" s="231" t="str">
        <f t="array" ref="V65">if(isblank(F65),"",xlookup(F65,'FL5_POR_包裝對照表 (Mapping Table)'!E:E,'FL5_POR_包裝對照表 (Mapping Table)'!AB:AB,"",0,1))</f>
        <v>SKU, CLR1, GOOD, MMWAVE, GSTORE, US, PRESS, FL5</v>
      </c>
      <c r="W65" s="899" t="str">
        <f t="array" ref="W65">if(isblank(F65),"",xlookup(G65,z_Others!$B$5:$B$17,z_Others!$I$5:$I$17,"",0,1))</f>
        <v>152.83 x 71.98 x 12.01</v>
      </c>
      <c r="X65" s="894" t="str">
        <f t="shared" si="7"/>
        <v>Google</v>
      </c>
      <c r="Y65" s="894" t="str">
        <f t="shared" si="8"/>
        <v>Tensor series</v>
      </c>
      <c r="Z65" s="900" t="str">
        <f t="shared" si="9"/>
        <v>蜂窩網絡</v>
      </c>
      <c r="AA65" s="900" t="str">
        <f t="shared" si="10"/>
        <v>WCDMA&amp;GSM&amp;LTE&amp;5G制式</v>
      </c>
      <c r="AB65" s="878" t="str">
        <f t="array" ref="AB65">if(isblank(F65),"",xlookup(AJ65,z_Others!$M$5:$M$9,z_Others!$Q$5:$Q$9,"",0,1))</f>
        <v>直板、6.29 英寸彩屏、內存128G、GPRS、藍牙、前攝1100萬、後攝1200/5000萬</v>
      </c>
      <c r="AC65" s="900" t="str">
        <f t="shared" si="11"/>
        <v>中國</v>
      </c>
      <c r="AD65" s="894" t="str">
        <f t="array" ref="AD65">if(isblank(F65),"",xlookup(G65,z_Others!$B$5:$B$14,z_Others!$H$5:$H$14,"",0,1))</f>
        <v>附件07 (FATP手機)</v>
      </c>
      <c r="AE65" s="901" t="str">
        <f t="shared" si="12"/>
        <v>Foxconn</v>
      </c>
      <c r="AF65" s="791">
        <v>45783.0</v>
      </c>
      <c r="AG65" s="791">
        <f t="shared" si="15"/>
        <v>45836</v>
      </c>
      <c r="AH65" s="787"/>
      <c r="AI65" s="787">
        <v>45796.0</v>
      </c>
      <c r="AJ65" s="677" t="str">
        <f t="array" ref="AJ65">if(isblank(F65),"",xlookup(F65,'FL5_POR_包裝對照表 (Mapping Table)'!E:E,'FL5_POR_包裝對照表 (Mapping Table)'!AS:AS,"",0,1))</f>
        <v>128GB</v>
      </c>
      <c r="AK65" s="677" t="str">
        <f t="array" ref="AK65">if(isblank(F65),"",xlookup(F65,'FL5_POR_包裝對照表 (Mapping Table)'!E:E,'FL5_POR_包裝對照表 (Mapping Table)'!K:K,"",0,1))</f>
        <v>BLK</v>
      </c>
      <c r="AL65" s="677">
        <v>3035.0</v>
      </c>
      <c r="AM65" s="811"/>
      <c r="AN65" s="888" t="str">
        <f t="array" ref="AN65">xlookup(F65,'FL5_POR_包裝對照表 (Mapping Table)'!E:E,'FL5_POR_包裝對照表 (Mapping Table)'!BM:BM,"",0,1)</f>
        <v>No demand</v>
      </c>
      <c r="AO65" s="813"/>
      <c r="AP65" s="813"/>
    </row>
    <row r="66" ht="25.5" customHeight="1">
      <c r="A66" s="889"/>
      <c r="B66" s="877">
        <v>60.0</v>
      </c>
      <c r="C66" s="891" t="str">
        <f>if(isblank(F66),"",'FL5_POR_包裝對照表 (Mapping Table)'!$E$4)</f>
        <v>GFL (FL5)</v>
      </c>
      <c r="D66" s="878" t="str">
        <f t="array" ref="D66">if(isblank(F66),"",xlookup(F66,'FL5_POR_包裝對照表 (Mapping Table)'!E:E,'FL5_POR_包裝對照表 (Mapping Table)'!AZ:AZ,"",0,1))</f>
        <v>MP</v>
      </c>
      <c r="E66" s="677" t="str">
        <f t="shared" si="2"/>
        <v>Close</v>
      </c>
      <c r="F66" s="879" t="s">
        <v>976</v>
      </c>
      <c r="G66" s="892" t="str">
        <f t="array" ref="G66">if(isblank(F66),"",xlookup(F66,'FL5_POR_包裝對照表 (Mapping Table)'!E:E,'FL5_POR_包裝對照表 (Mapping Table)'!D:D,"",0,1))</f>
        <v>Retail Pack</v>
      </c>
      <c r="H66" s="893" t="str">
        <f t="array" ref="H66">if(isblank(F66),"",xlookup(F66,'FL5_POR_包裝對照表 (Mapping Table)'!E:E,'FL5_POR_包裝對照表 (Mapping Table)'!E:E,"",0,1))</f>
        <v>GA10214-CA-N</v>
      </c>
      <c r="I66" s="677" t="str">
        <f t="array" ref="I66">if(isblank(F66),"",xlookup(F66,'FL5_POR_包裝對照表 (Mapping Table)'!E:E,'FL5_POR_包裝對照表 (Mapping Table)'!AN:AN,"",0,1))</f>
        <v>G950-15935-11</v>
      </c>
      <c r="J66" s="894" t="str">
        <f t="array" ref="J66">if(isblank(F66),"",xlookup(G66,z_Others!$B$5:$B$17,z_Others!$C$5:$C$17,"",0,1))</f>
        <v>智能手機</v>
      </c>
      <c r="K66" s="894" t="str">
        <f t="array" ref="K66">if(isblank(F66),"",xlookup(G66,z_Others!$B$5:$B$17,z_Others!$E$5:$E$17,"",0,1))</f>
        <v>智能手機</v>
      </c>
      <c r="L66" s="894" t="str">
        <f t="array" ref="L66">if(isblank(F66),"",xlookup(G66,z_Others!$B$5:$B$17,z_Others!$F$5:$F$17,"",0,1))</f>
        <v>智能手機</v>
      </c>
      <c r="M66" s="894" t="str">
        <f t="shared" si="3"/>
        <v>Google</v>
      </c>
      <c r="N66" s="894" t="str">
        <f t="shared" si="4"/>
        <v>境外品牌（貼牌生產)</v>
      </c>
      <c r="O66" s="882" t="str">
        <f t="array" ref="O66">if(isblank(F66),"",xlookup(F66,'FL5_POR_包裝對照表 (Mapping Table)'!E:E,'FL5_POR_包裝對照表 (Mapping Table)'!L:L,"",0,1))</f>
        <v>GK2MP</v>
      </c>
      <c r="P66" s="895">
        <f t="array" ref="P66">if(isblank(F66),"",xlookup(G66,z_Others!$B$5:$B$17,z_Others!$J$5:$J$17,"",0,1))</f>
        <v>0.2029</v>
      </c>
      <c r="Q66" s="896">
        <f t="array" ref="Q66">if(isblank(F66),"",xlookup(F66,'FL5_POR_核價 (經管 &amp; BPM)'!E:E,'FL5_POR_核價 (經管 &amp; BPM)'!O:O,"",0,1))</f>
        <v>441.37</v>
      </c>
      <c r="R66" s="894" t="str">
        <f t="shared" si="5"/>
        <v>否</v>
      </c>
      <c r="S66" s="897" t="str">
        <f t="array" ref="S66">if(isblank(F66),"",xlookup(G66,z_Others!$B$5:$B$17,z_Others!$K$5:$K$17,"",0,1))</f>
        <v>(1) 說明書
(2) C-2-C USB 數據線</v>
      </c>
      <c r="T66" s="894" t="str">
        <f t="shared" si="6"/>
        <v>開發手機中框組件模型(適用于Google 牌手機)</v>
      </c>
      <c r="U66" s="898" t="str">
        <f t="array" ref="U66">if(isblank(F66),"",xlookup(G66,z_Others!$B$5:$B$17,z_Others!$G$5:$G$17,"",0,1))</f>
        <v>無線通話用</v>
      </c>
      <c r="V66" s="231" t="str">
        <f t="array" ref="V66">if(isblank(F66),"",xlookup(F66,'FL5_POR_包裝對照表 (Mapping Table)'!E:E,'FL5_POR_包裝對照表 (Mapping Table)'!AB:AB,"",0,1))</f>
        <v>SKU, CLR2, GOOD, SUB6, CA/TW/SG/MY/AU/MX, PRESS, FL5</v>
      </c>
      <c r="W66" s="899" t="str">
        <f t="array" ref="W66">if(isblank(F66),"",xlookup(G66,z_Others!$B$5:$B$17,z_Others!$I$5:$I$17,"",0,1))</f>
        <v>152.83 x 71.98 x 12.01</v>
      </c>
      <c r="X66" s="894" t="str">
        <f t="shared" si="7"/>
        <v>Google</v>
      </c>
      <c r="Y66" s="894" t="str">
        <f t="shared" si="8"/>
        <v>Tensor series</v>
      </c>
      <c r="Z66" s="900" t="str">
        <f t="shared" si="9"/>
        <v>蜂窩網絡</v>
      </c>
      <c r="AA66" s="900" t="str">
        <f t="shared" si="10"/>
        <v>WCDMA&amp;GSM&amp;LTE&amp;5G制式</v>
      </c>
      <c r="AB66" s="878" t="str">
        <f t="array" ref="AB66">if(isblank(F66),"",xlookup(AJ66,z_Others!$M$5:$M$9,z_Others!$Q$5:$Q$9,"",0,1))</f>
        <v>直板、6.29 英寸彩屏、內存128G、GPRS、藍牙、前攝1100萬、後攝1200/5000萬</v>
      </c>
      <c r="AC66" s="900" t="str">
        <f t="shared" si="11"/>
        <v>中國</v>
      </c>
      <c r="AD66" s="894" t="str">
        <f t="array" ref="AD66">if(isblank(F66),"",xlookup(G66,z_Others!$B$5:$B$14,z_Others!$H$5:$H$14,"",0,1))</f>
        <v>附件07 (FATP手機)</v>
      </c>
      <c r="AE66" s="901" t="str">
        <f t="shared" si="12"/>
        <v>Foxconn</v>
      </c>
      <c r="AF66" s="791">
        <v>45783.0</v>
      </c>
      <c r="AG66" s="791">
        <f t="shared" si="15"/>
        <v>45836</v>
      </c>
      <c r="AH66" s="787"/>
      <c r="AI66" s="787">
        <v>45796.0</v>
      </c>
      <c r="AJ66" s="677" t="str">
        <f t="array" ref="AJ66">if(isblank(F66),"",xlookup(F66,'FL5_POR_包裝對照表 (Mapping Table)'!E:E,'FL5_POR_包裝對照表 (Mapping Table)'!AS:AS,"",0,1))</f>
        <v>128GB</v>
      </c>
      <c r="AK66" s="677" t="str">
        <f t="array" ref="AK66">if(isblank(F66),"",xlookup(F66,'FL5_POR_包裝對照表 (Mapping Table)'!E:E,'FL5_POR_包裝對照表 (Mapping Table)'!K:K,"",0,1))</f>
        <v>PPL</v>
      </c>
      <c r="AL66" s="677">
        <v>3038.0</v>
      </c>
      <c r="AM66" s="811"/>
      <c r="AN66" s="888" t="str">
        <f t="array" ref="AN66">xlookup(F66,'FL5_POR_包裝對照表 (Mapping Table)'!E:E,'FL5_POR_包裝對照表 (Mapping Table)'!BM:BM,"",0,1)</f>
        <v>No demand</v>
      </c>
      <c r="AO66" s="813"/>
      <c r="AP66" s="813"/>
    </row>
    <row r="67" ht="25.5" customHeight="1">
      <c r="A67" s="889"/>
      <c r="B67" s="877">
        <v>61.0</v>
      </c>
      <c r="C67" s="891" t="str">
        <f>if(isblank(F67),"",'FL5_POR_包裝對照表 (Mapping Table)'!$E$4)</f>
        <v>GFL (FL5)</v>
      </c>
      <c r="D67" s="878" t="str">
        <f t="array" ref="D67">if(isblank(F67),"",xlookup(F67,'FL5_POR_包裝對照表 (Mapping Table)'!E:E,'FL5_POR_包裝對照表 (Mapping Table)'!AZ:AZ,"",0,1))</f>
        <v>MP</v>
      </c>
      <c r="E67" s="677" t="str">
        <f t="shared" si="2"/>
        <v>Close</v>
      </c>
      <c r="F67" s="879" t="s">
        <v>997</v>
      </c>
      <c r="G67" s="892" t="str">
        <f t="array" ref="G67">if(isblank(F67),"",xlookup(F67,'FL5_POR_包裝對照表 (Mapping Table)'!E:E,'FL5_POR_包裝對照表 (Mapping Table)'!D:D,"",0,1))</f>
        <v>Retail Pack</v>
      </c>
      <c r="H67" s="893" t="str">
        <f t="array" ref="H67">if(isblank(F67),"",xlookup(F67,'FL5_POR_包裝對照表 (Mapping Table)'!E:E,'FL5_POR_包裝對照表 (Mapping Table)'!E:E,"",0,1))</f>
        <v>GA10214-GB-N</v>
      </c>
      <c r="I67" s="677" t="str">
        <f t="array" ref="I67">if(isblank(F67),"",xlookup(F67,'FL5_POR_包裝對照表 (Mapping Table)'!E:E,'FL5_POR_包裝對照表 (Mapping Table)'!AN:AN,"",0,1))</f>
        <v>G950-15935-11</v>
      </c>
      <c r="J67" s="894" t="str">
        <f t="array" ref="J67">if(isblank(F67),"",xlookup(G67,z_Others!$B$5:$B$17,z_Others!$C$5:$C$17,"",0,1))</f>
        <v>智能手機</v>
      </c>
      <c r="K67" s="894" t="str">
        <f t="array" ref="K67">if(isblank(F67),"",xlookup(G67,z_Others!$B$5:$B$17,z_Others!$E$5:$E$17,"",0,1))</f>
        <v>智能手機</v>
      </c>
      <c r="L67" s="894" t="str">
        <f t="array" ref="L67">if(isblank(F67),"",xlookup(G67,z_Others!$B$5:$B$17,z_Others!$F$5:$F$17,"",0,1))</f>
        <v>智能手機</v>
      </c>
      <c r="M67" s="894" t="str">
        <f t="shared" si="3"/>
        <v>Google</v>
      </c>
      <c r="N67" s="894" t="str">
        <f t="shared" si="4"/>
        <v>境外品牌（貼牌生產)</v>
      </c>
      <c r="O67" s="882" t="str">
        <f t="array" ref="O67">if(isblank(F67),"",xlookup(F67,'FL5_POR_包裝對照表 (Mapping Table)'!E:E,'FL5_POR_包裝對照表 (Mapping Table)'!L:L,"",0,1))</f>
        <v> GK2MP</v>
      </c>
      <c r="P67" s="895">
        <f t="array" ref="P67">if(isblank(F67),"",xlookup(G67,z_Others!$B$5:$B$17,z_Others!$J$5:$J$17,"",0,1))</f>
        <v>0.2029</v>
      </c>
      <c r="Q67" s="896">
        <f t="array" ref="Q67">if(isblank(F67),"",xlookup(F67,'FL5_POR_核價 (經管 &amp; BPM)'!E:E,'FL5_POR_核價 (經管 &amp; BPM)'!O:O,"",0,1))</f>
        <v>430.5</v>
      </c>
      <c r="R67" s="894" t="str">
        <f t="shared" si="5"/>
        <v>否</v>
      </c>
      <c r="S67" s="897" t="str">
        <f t="array" ref="S67">if(isblank(F67),"",xlookup(G67,z_Others!$B$5:$B$17,z_Others!$K$5:$K$17,"",0,1))</f>
        <v>(1) 說明書
(2) C-2-C USB 數據線</v>
      </c>
      <c r="T67" s="894" t="str">
        <f t="shared" si="6"/>
        <v>開發手機中框組件模型(適用于Google 牌手機)</v>
      </c>
      <c r="U67" s="898" t="str">
        <f t="array" ref="U67">if(isblank(F67),"",xlookup(G67,z_Others!$B$5:$B$17,z_Others!$G$5:$G$17,"",0,1))</f>
        <v>無線通話用</v>
      </c>
      <c r="V67" s="231" t="str">
        <f t="array" ref="V67">if(isblank(F67),"",xlookup(F67,'FL5_POR_包裝對照表 (Mapping Table)'!E:E,'FL5_POR_包裝對照表 (Mapping Table)'!AB:AB,"",0,1))</f>
        <v>SKU, CLR2, GOOD, SUB6, UK/EU, PRESS, FL5</v>
      </c>
      <c r="W67" s="899" t="str">
        <f t="array" ref="W67">if(isblank(F67),"",xlookup(G67,z_Others!$B$5:$B$17,z_Others!$I$5:$I$17,"",0,1))</f>
        <v>152.83 x 71.98 x 12.01</v>
      </c>
      <c r="X67" s="894" t="str">
        <f t="shared" si="7"/>
        <v>Google</v>
      </c>
      <c r="Y67" s="894" t="str">
        <f t="shared" si="8"/>
        <v>Tensor series</v>
      </c>
      <c r="Z67" s="900" t="str">
        <f t="shared" si="9"/>
        <v>蜂窩網絡</v>
      </c>
      <c r="AA67" s="900" t="str">
        <f t="shared" si="10"/>
        <v>WCDMA&amp;GSM&amp;LTE&amp;5G制式</v>
      </c>
      <c r="AB67" s="878" t="str">
        <f t="array" ref="AB67">if(isblank(F67),"",xlookup(AJ67,z_Others!$M$5:$M$9,z_Others!$Q$5:$Q$9,"",0,1))</f>
        <v>直板、6.29 英寸彩屏、內存128G、GPRS、藍牙、前攝1100萬、後攝1200/5000萬</v>
      </c>
      <c r="AC67" s="900" t="str">
        <f t="shared" si="11"/>
        <v>中國</v>
      </c>
      <c r="AD67" s="894" t="str">
        <f t="array" ref="AD67">if(isblank(F67),"",xlookup(G67,z_Others!$B$5:$B$14,z_Others!$H$5:$H$14,"",0,1))</f>
        <v>附件07 (FATP手機)</v>
      </c>
      <c r="AE67" s="901" t="str">
        <f t="shared" si="12"/>
        <v>Foxconn</v>
      </c>
      <c r="AF67" s="791">
        <v>45783.0</v>
      </c>
      <c r="AG67" s="791">
        <f t="shared" si="15"/>
        <v>45836</v>
      </c>
      <c r="AH67" s="787"/>
      <c r="AI67" s="787">
        <v>45796.0</v>
      </c>
      <c r="AJ67" s="677" t="str">
        <f t="array" ref="AJ67">if(isblank(F67),"",xlookup(F67,'FL5_POR_包裝對照表 (Mapping Table)'!E:E,'FL5_POR_包裝對照表 (Mapping Table)'!AS:AS,"",0,1))</f>
        <v>128GB</v>
      </c>
      <c r="AK67" s="677" t="str">
        <f t="array" ref="AK67">if(isblank(F67),"",xlookup(F67,'FL5_POR_包裝對照表 (Mapping Table)'!E:E,'FL5_POR_包裝對照表 (Mapping Table)'!K:K,"",0,1))</f>
        <v>PPL</v>
      </c>
      <c r="AL67" s="677">
        <v>3037.0</v>
      </c>
      <c r="AM67" s="811"/>
      <c r="AN67" s="888" t="str">
        <f t="array" ref="AN67">xlookup(F67,'FL5_POR_包裝對照表 (Mapping Table)'!E:E,'FL5_POR_包裝對照表 (Mapping Table)'!BM:BM,"",0,1)</f>
        <v>No demand</v>
      </c>
      <c r="AO67" s="813"/>
      <c r="AP67" s="813"/>
    </row>
    <row r="68" ht="25.5" customHeight="1">
      <c r="A68" s="889"/>
      <c r="B68" s="877">
        <v>62.0</v>
      </c>
      <c r="C68" s="891" t="str">
        <f>if(isblank(F68),"",'FL5_POR_包裝對照表 (Mapping Table)'!$E$4)</f>
        <v>GFL (FL5)</v>
      </c>
      <c r="D68" s="878" t="str">
        <f t="array" ref="D68">if(isblank(F68),"",xlookup(F68,'FL5_POR_包裝對照表 (Mapping Table)'!E:E,'FL5_POR_包裝對照表 (Mapping Table)'!AZ:AZ,"",0,1))</f>
        <v>MP</v>
      </c>
      <c r="E68" s="677" t="str">
        <f t="shared" si="2"/>
        <v>Close</v>
      </c>
      <c r="F68" s="879" t="s">
        <v>981</v>
      </c>
      <c r="G68" s="892" t="str">
        <f t="array" ref="G68">if(isblank(F68),"",xlookup(F68,'FL5_POR_包裝對照表 (Mapping Table)'!E:E,'FL5_POR_包裝對照表 (Mapping Table)'!D:D,"",0,1))</f>
        <v>Retail Pack</v>
      </c>
      <c r="H68" s="893" t="str">
        <f t="array" ref="H68">if(isblank(F68),"",xlookup(F68,'FL5_POR_包裝對照表 (Mapping Table)'!E:E,'FL5_POR_包裝對照表 (Mapping Table)'!E:E,"",0,1))</f>
        <v>GA10215-CA-N</v>
      </c>
      <c r="I68" s="677" t="str">
        <f t="array" ref="I68">if(isblank(F68),"",xlookup(F68,'FL5_POR_包裝對照表 (Mapping Table)'!E:E,'FL5_POR_包裝對照表 (Mapping Table)'!AN:AN,"",0,1))</f>
        <v>G950-15935-12</v>
      </c>
      <c r="J68" s="894" t="str">
        <f t="array" ref="J68">if(isblank(F68),"",xlookup(G68,z_Others!$B$5:$B$17,z_Others!$C$5:$C$17,"",0,1))</f>
        <v>智能手機</v>
      </c>
      <c r="K68" s="894" t="str">
        <f t="array" ref="K68">if(isblank(F68),"",xlookup(G68,z_Others!$B$5:$B$17,z_Others!$E$5:$E$17,"",0,1))</f>
        <v>智能手機</v>
      </c>
      <c r="L68" s="894" t="str">
        <f t="array" ref="L68">if(isblank(F68),"",xlookup(G68,z_Others!$B$5:$B$17,z_Others!$F$5:$F$17,"",0,1))</f>
        <v>智能手機</v>
      </c>
      <c r="M68" s="894" t="str">
        <f t="shared" si="3"/>
        <v>Google</v>
      </c>
      <c r="N68" s="894" t="str">
        <f t="shared" si="4"/>
        <v>境外品牌（貼牌生產)</v>
      </c>
      <c r="O68" s="882" t="str">
        <f t="array" ref="O68">if(isblank(F68),"",xlookup(F68,'FL5_POR_包裝對照表 (Mapping Table)'!E:E,'FL5_POR_包裝對照表 (Mapping Table)'!L:L,"",0,1))</f>
        <v>GK2MP</v>
      </c>
      <c r="P68" s="895">
        <f t="array" ref="P68">if(isblank(F68),"",xlookup(G68,z_Others!$B$5:$B$17,z_Others!$J$5:$J$17,"",0,1))</f>
        <v>0.2029</v>
      </c>
      <c r="Q68" s="896">
        <f t="array" ref="Q68">if(isblank(F68),"",xlookup(F68,'FL5_POR_核價 (經管 &amp; BPM)'!E:E,'FL5_POR_核價 (經管 &amp; BPM)'!O:O,"",0,1))</f>
        <v>445.06</v>
      </c>
      <c r="R68" s="894" t="str">
        <f t="shared" si="5"/>
        <v>否</v>
      </c>
      <c r="S68" s="897" t="str">
        <f t="array" ref="S68">if(isblank(F68),"",xlookup(G68,z_Others!$B$5:$B$17,z_Others!$K$5:$K$17,"",0,1))</f>
        <v>(1) 說明書
(2) C-2-C USB 數據線</v>
      </c>
      <c r="T68" s="894" t="str">
        <f t="shared" si="6"/>
        <v>開發手機中框組件模型(適用于Google 牌手機)</v>
      </c>
      <c r="U68" s="898" t="str">
        <f t="array" ref="U68">if(isblank(F68),"",xlookup(G68,z_Others!$B$5:$B$17,z_Others!$G$5:$G$17,"",0,1))</f>
        <v>無線通話用</v>
      </c>
      <c r="V68" s="231" t="str">
        <f t="array" ref="V68">if(isblank(F68),"",xlookup(F68,'FL5_POR_包裝對照表 (Mapping Table)'!E:E,'FL5_POR_包裝對照表 (Mapping Table)'!AB:AB,"",0,1))</f>
        <v>SKU, CLR3, GOOD, SUB6, CA/TW/SG/MY/AU/MX, PRESS, FL5</v>
      </c>
      <c r="W68" s="899" t="str">
        <f t="array" ref="W68">if(isblank(F68),"",xlookup(G68,z_Others!$B$5:$B$17,z_Others!$I$5:$I$17,"",0,1))</f>
        <v>152.83 x 71.98 x 12.01</v>
      </c>
      <c r="X68" s="894" t="str">
        <f t="shared" si="7"/>
        <v>Google</v>
      </c>
      <c r="Y68" s="894" t="str">
        <f t="shared" si="8"/>
        <v>Tensor series</v>
      </c>
      <c r="Z68" s="900" t="str">
        <f t="shared" si="9"/>
        <v>蜂窩網絡</v>
      </c>
      <c r="AA68" s="900" t="str">
        <f t="shared" si="10"/>
        <v>WCDMA&amp;GSM&amp;LTE&amp;5G制式</v>
      </c>
      <c r="AB68" s="878" t="str">
        <f t="array" ref="AB68">if(isblank(F68),"",xlookup(AJ68,z_Others!$M$5:$M$9,z_Others!$Q$5:$Q$9,"",0,1))</f>
        <v>直板、6.29 英寸彩屏、內存128G、GPRS、藍牙、前攝1100萬、後攝1200/5000萬</v>
      </c>
      <c r="AC68" s="900" t="str">
        <f t="shared" si="11"/>
        <v>中國</v>
      </c>
      <c r="AD68" s="894" t="str">
        <f t="array" ref="AD68">if(isblank(F68),"",xlookup(G68,z_Others!$B$5:$B$14,z_Others!$H$5:$H$14,"",0,1))</f>
        <v>附件07 (FATP手機)</v>
      </c>
      <c r="AE68" s="901" t="str">
        <f t="shared" si="12"/>
        <v>Foxconn</v>
      </c>
      <c r="AF68" s="791">
        <v>45783.0</v>
      </c>
      <c r="AG68" s="791">
        <f t="shared" si="15"/>
        <v>45836</v>
      </c>
      <c r="AH68" s="787"/>
      <c r="AI68" s="787">
        <v>45796.0</v>
      </c>
      <c r="AJ68" s="677" t="str">
        <f t="array" ref="AJ68">if(isblank(F68),"",xlookup(F68,'FL5_POR_包裝對照表 (Mapping Table)'!E:E,'FL5_POR_包裝對照表 (Mapping Table)'!AS:AS,"",0,1))</f>
        <v>128GB</v>
      </c>
      <c r="AK68" s="677" t="str">
        <f t="array" ref="AK68">if(isblank(F68),"",xlookup(F68,'FL5_POR_包裝對照表 (Mapping Table)'!E:E,'FL5_POR_包裝對照表 (Mapping Table)'!K:K,"",0,1))</f>
        <v>YEL</v>
      </c>
      <c r="AL68" s="677">
        <v>3069.0</v>
      </c>
      <c r="AM68" s="811"/>
      <c r="AN68" s="888" t="str">
        <f t="array" ref="AN68">xlookup(F68,'FL5_POR_包裝對照表 (Mapping Table)'!E:E,'FL5_POR_包裝對照表 (Mapping Table)'!BM:BM,"",0,1)</f>
        <v>No demand</v>
      </c>
      <c r="AO68" s="813"/>
      <c r="AP68" s="813"/>
    </row>
    <row r="69" ht="25.5" customHeight="1">
      <c r="A69" s="889"/>
      <c r="B69" s="877">
        <v>63.0</v>
      </c>
      <c r="C69" s="891" t="str">
        <f>if(isblank(F69),"",'FL5_POR_包裝對照表 (Mapping Table)'!$E$4)</f>
        <v>GFL (FL5)</v>
      </c>
      <c r="D69" s="878" t="str">
        <f t="array" ref="D69">if(isblank(F69),"",xlookup(F69,'FL5_POR_包裝對照表 (Mapping Table)'!E:E,'FL5_POR_包裝對照表 (Mapping Table)'!AZ:AZ,"",0,1))</f>
        <v>MP</v>
      </c>
      <c r="E69" s="677" t="str">
        <f t="shared" si="2"/>
        <v>Close</v>
      </c>
      <c r="F69" s="879" t="s">
        <v>1002</v>
      </c>
      <c r="G69" s="892" t="str">
        <f t="array" ref="G69">if(isblank(F69),"",xlookup(F69,'FL5_POR_包裝對照表 (Mapping Table)'!E:E,'FL5_POR_包裝對照表 (Mapping Table)'!D:D,"",0,1))</f>
        <v>Retail Pack</v>
      </c>
      <c r="H69" s="893" t="str">
        <f t="array" ref="H69">if(isblank(F69),"",xlookup(F69,'FL5_POR_包裝對照表 (Mapping Table)'!E:E,'FL5_POR_包裝對照表 (Mapping Table)'!E:E,"",0,1))</f>
        <v>GA10215-GB-N</v>
      </c>
      <c r="I69" s="677" t="str">
        <f t="array" ref="I69">if(isblank(F69),"",xlookup(F69,'FL5_POR_包裝對照表 (Mapping Table)'!E:E,'FL5_POR_包裝對照表 (Mapping Table)'!AN:AN,"",0,1))</f>
        <v>G950-15935-12</v>
      </c>
      <c r="J69" s="894" t="str">
        <f t="array" ref="J69">if(isblank(F69),"",xlookup(G69,z_Others!$B$5:$B$17,z_Others!$C$5:$C$17,"",0,1))</f>
        <v>智能手機</v>
      </c>
      <c r="K69" s="894" t="str">
        <f t="array" ref="K69">if(isblank(F69),"",xlookup(G69,z_Others!$B$5:$B$17,z_Others!$E$5:$E$17,"",0,1))</f>
        <v>智能手機</v>
      </c>
      <c r="L69" s="894" t="str">
        <f t="array" ref="L69">if(isblank(F69),"",xlookup(G69,z_Others!$B$5:$B$17,z_Others!$F$5:$F$17,"",0,1))</f>
        <v>智能手機</v>
      </c>
      <c r="M69" s="894" t="str">
        <f t="shared" si="3"/>
        <v>Google</v>
      </c>
      <c r="N69" s="894" t="str">
        <f t="shared" si="4"/>
        <v>境外品牌（貼牌生產)</v>
      </c>
      <c r="O69" s="882" t="str">
        <f t="array" ref="O69">if(isblank(F69),"",xlookup(F69,'FL5_POR_包裝對照表 (Mapping Table)'!E:E,'FL5_POR_包裝對照表 (Mapping Table)'!L:L,"",0,1))</f>
        <v> GK2MP</v>
      </c>
      <c r="P69" s="895">
        <f t="array" ref="P69">if(isblank(F69),"",xlookup(G69,z_Others!$B$5:$B$17,z_Others!$J$5:$J$17,"",0,1))</f>
        <v>0.2029</v>
      </c>
      <c r="Q69" s="896">
        <f t="array" ref="Q69">if(isblank(F69),"",xlookup(F69,'FL5_POR_核價 (經管 &amp; BPM)'!E:E,'FL5_POR_核價 (經管 &amp; BPM)'!O:O,"",0,1))</f>
        <v>430.6</v>
      </c>
      <c r="R69" s="894" t="str">
        <f t="shared" si="5"/>
        <v>否</v>
      </c>
      <c r="S69" s="897" t="str">
        <f t="array" ref="S69">if(isblank(F69),"",xlookup(G69,z_Others!$B$5:$B$17,z_Others!$K$5:$K$17,"",0,1))</f>
        <v>(1) 說明書
(2) C-2-C USB 數據線</v>
      </c>
      <c r="T69" s="894" t="str">
        <f t="shared" si="6"/>
        <v>開發手機中框組件模型(適用于Google 牌手機)</v>
      </c>
      <c r="U69" s="898" t="str">
        <f t="array" ref="U69">if(isblank(F69),"",xlookup(G69,z_Others!$B$5:$B$17,z_Others!$G$5:$G$17,"",0,1))</f>
        <v>無線通話用</v>
      </c>
      <c r="V69" s="231" t="str">
        <f t="array" ref="V69">if(isblank(F69),"",xlookup(F69,'FL5_POR_包裝對照表 (Mapping Table)'!E:E,'FL5_POR_包裝對照表 (Mapping Table)'!AB:AB,"",0,1))</f>
        <v>SKU, CLR3, GOOD, SUB6, UK/EU, PRESS, FL5</v>
      </c>
      <c r="W69" s="899" t="str">
        <f t="array" ref="W69">if(isblank(F69),"",xlookup(G69,z_Others!$B$5:$B$17,z_Others!$I$5:$I$17,"",0,1))</f>
        <v>152.83 x 71.98 x 12.01</v>
      </c>
      <c r="X69" s="894" t="str">
        <f t="shared" si="7"/>
        <v>Google</v>
      </c>
      <c r="Y69" s="894" t="str">
        <f t="shared" si="8"/>
        <v>Tensor series</v>
      </c>
      <c r="Z69" s="900" t="str">
        <f t="shared" si="9"/>
        <v>蜂窩網絡</v>
      </c>
      <c r="AA69" s="900" t="str">
        <f t="shared" si="10"/>
        <v>WCDMA&amp;GSM&amp;LTE&amp;5G制式</v>
      </c>
      <c r="AB69" s="878" t="str">
        <f t="array" ref="AB69">if(isblank(F69),"",xlookup(AJ69,z_Others!$M$5:$M$9,z_Others!$Q$5:$Q$9,"",0,1))</f>
        <v>直板、6.29 英寸彩屏、內存128G、GPRS、藍牙、前攝1100萬、後攝1200/5000萬</v>
      </c>
      <c r="AC69" s="900" t="str">
        <f t="shared" si="11"/>
        <v>中國</v>
      </c>
      <c r="AD69" s="894" t="str">
        <f t="array" ref="AD69">if(isblank(F69),"",xlookup(G69,z_Others!$B$5:$B$14,z_Others!$H$5:$H$14,"",0,1))</f>
        <v>附件07 (FATP手機)</v>
      </c>
      <c r="AE69" s="901" t="str">
        <f t="shared" si="12"/>
        <v>Foxconn</v>
      </c>
      <c r="AF69" s="791">
        <v>45783.0</v>
      </c>
      <c r="AG69" s="791">
        <f t="shared" si="15"/>
        <v>45836</v>
      </c>
      <c r="AH69" s="787"/>
      <c r="AI69" s="787">
        <v>45796.0</v>
      </c>
      <c r="AJ69" s="677" t="str">
        <f t="array" ref="AJ69">if(isblank(F69),"",xlookup(F69,'FL5_POR_包裝對照表 (Mapping Table)'!E:E,'FL5_POR_包裝對照表 (Mapping Table)'!AS:AS,"",0,1))</f>
        <v>128GB</v>
      </c>
      <c r="AK69" s="677" t="str">
        <f t="array" ref="AK69">if(isblank(F69),"",xlookup(F69,'FL5_POR_包裝對照表 (Mapping Table)'!E:E,'FL5_POR_包裝對照表 (Mapping Table)'!K:K,"",0,1))</f>
        <v>YEL</v>
      </c>
      <c r="AL69" s="677">
        <v>3068.0</v>
      </c>
      <c r="AM69" s="811"/>
      <c r="AN69" s="888" t="str">
        <f t="array" ref="AN69">xlookup(F69,'FL5_POR_包裝對照表 (Mapping Table)'!E:E,'FL5_POR_包裝對照表 (Mapping Table)'!BM:BM,"",0,1)</f>
        <v>No demand</v>
      </c>
      <c r="AO69" s="813"/>
      <c r="AP69" s="813"/>
    </row>
    <row r="70" ht="25.5" customHeight="1">
      <c r="A70" s="889"/>
      <c r="B70" s="877">
        <v>64.0</v>
      </c>
      <c r="C70" s="891" t="str">
        <f>if(isblank(F70),"",'FL5_POR_包裝對照表 (Mapping Table)'!$E$4)</f>
        <v>GFL (FL5)</v>
      </c>
      <c r="D70" s="878" t="str">
        <f t="array" ref="D70">if(isblank(F70),"",xlookup(F70,'FL5_POR_包裝對照表 (Mapping Table)'!E:E,'FL5_POR_包裝對照表 (Mapping Table)'!AZ:AZ,"",0,1))</f>
        <v>MP</v>
      </c>
      <c r="E70" s="677" t="str">
        <f t="shared" si="2"/>
        <v>Close</v>
      </c>
      <c r="F70" s="879" t="s">
        <v>941</v>
      </c>
      <c r="G70" s="892" t="str">
        <f t="array" ref="G70">if(isblank(F70),"",xlookup(F70,'FL5_POR_包裝對照表 (Mapping Table)'!E:E,'FL5_POR_包裝對照表 (Mapping Table)'!D:D,"",0,1))</f>
        <v>Retail Pack</v>
      </c>
      <c r="H70" s="893" t="str">
        <f t="array" ref="H70">if(isblank(F70),"",xlookup(F70,'FL5_POR_包裝對照表 (Mapping Table)'!E:E,'FL5_POR_包裝對照表 (Mapping Table)'!E:E,"",0,1))</f>
        <v>GA10215-US-N</v>
      </c>
      <c r="I70" s="677" t="str">
        <f t="array" ref="I70">if(isblank(F70),"",xlookup(F70,'FL5_POR_包裝對照表 (Mapping Table)'!E:E,'FL5_POR_包裝對照表 (Mapping Table)'!AN:AN,"",0,1))</f>
        <v>G950-15935-02</v>
      </c>
      <c r="J70" s="894" t="str">
        <f t="array" ref="J70">if(isblank(F70),"",xlookup(G70,z_Others!$B$5:$B$17,z_Others!$C$5:$C$17,"",0,1))</f>
        <v>智能手機</v>
      </c>
      <c r="K70" s="894" t="str">
        <f t="array" ref="K70">if(isblank(F70),"",xlookup(G70,z_Others!$B$5:$B$17,z_Others!$E$5:$E$17,"",0,1))</f>
        <v>智能手機</v>
      </c>
      <c r="L70" s="894" t="str">
        <f t="array" ref="L70">if(isblank(F70),"",xlookup(G70,z_Others!$B$5:$B$17,z_Others!$F$5:$F$17,"",0,1))</f>
        <v>智能手機</v>
      </c>
      <c r="M70" s="894" t="str">
        <f t="shared" si="3"/>
        <v>Google</v>
      </c>
      <c r="N70" s="894" t="str">
        <f t="shared" si="4"/>
        <v>境外品牌（貼牌生產)</v>
      </c>
      <c r="O70" s="882" t="str">
        <f t="array" ref="O70">if(isblank(F70),"",xlookup(F70,'FL5_POR_包裝對照表 (Mapping Table)'!E:E,'FL5_POR_包裝對照表 (Mapping Table)'!L:L,"",0,1))</f>
        <v>GLBW0</v>
      </c>
      <c r="P70" s="895">
        <f t="array" ref="P70">if(isblank(F70),"",xlookup(G70,z_Others!$B$5:$B$17,z_Others!$J$5:$J$17,"",0,1))</f>
        <v>0.2029</v>
      </c>
      <c r="Q70" s="896">
        <f t="array" ref="Q70">if(isblank(F70),"",xlookup(F70,'FL5_POR_核價 (經管 &amp; BPM)'!E:E,'FL5_POR_核價 (經管 &amp; BPM)'!O:O,"",0,1))</f>
        <v>426.51</v>
      </c>
      <c r="R70" s="894" t="str">
        <f t="shared" si="5"/>
        <v>否</v>
      </c>
      <c r="S70" s="897" t="str">
        <f t="array" ref="S70">if(isblank(F70),"",xlookup(G70,z_Others!$B$5:$B$17,z_Others!$K$5:$K$17,"",0,1))</f>
        <v>(1) 說明書
(2) C-2-C USB 數據線</v>
      </c>
      <c r="T70" s="894" t="str">
        <f t="shared" si="6"/>
        <v>開發手機中框組件模型(適用于Google 牌手機)</v>
      </c>
      <c r="U70" s="898" t="str">
        <f t="array" ref="U70">if(isblank(F70),"",xlookup(G70,z_Others!$B$5:$B$17,z_Others!$G$5:$G$17,"",0,1))</f>
        <v>無線通話用</v>
      </c>
      <c r="V70" s="231" t="str">
        <f t="array" ref="V70">if(isblank(F70),"",xlookup(F70,'FL5_POR_包裝對照表 (Mapping Table)'!E:E,'FL5_POR_包裝對照表 (Mapping Table)'!AB:AB,"",0,1))</f>
        <v>SKU, CLR3, GOOD, MMWAVE, GSTORE, US, PRESS, FL5</v>
      </c>
      <c r="W70" s="899" t="str">
        <f t="array" ref="W70">if(isblank(F70),"",xlookup(G70,z_Others!$B$5:$B$17,z_Others!$I$5:$I$17,"",0,1))</f>
        <v>152.83 x 71.98 x 12.01</v>
      </c>
      <c r="X70" s="894" t="str">
        <f t="shared" si="7"/>
        <v>Google</v>
      </c>
      <c r="Y70" s="894" t="str">
        <f t="shared" si="8"/>
        <v>Tensor series</v>
      </c>
      <c r="Z70" s="900" t="str">
        <f t="shared" si="9"/>
        <v>蜂窩網絡</v>
      </c>
      <c r="AA70" s="900" t="str">
        <f t="shared" si="10"/>
        <v>WCDMA&amp;GSM&amp;LTE&amp;5G制式</v>
      </c>
      <c r="AB70" s="878" t="str">
        <f t="array" ref="AB70">if(isblank(F70),"",xlookup(AJ70,z_Others!$M$5:$M$9,z_Others!$Q$5:$Q$9,"",0,1))</f>
        <v>直板、6.29 英寸彩屏、內存128G、GPRS、藍牙、前攝1100萬、後攝1200/5000萬</v>
      </c>
      <c r="AC70" s="900" t="str">
        <f t="shared" si="11"/>
        <v>中國</v>
      </c>
      <c r="AD70" s="894" t="str">
        <f t="array" ref="AD70">if(isblank(F70),"",xlookup(G70,z_Others!$B$5:$B$14,z_Others!$H$5:$H$14,"",0,1))</f>
        <v>附件07 (FATP手機)</v>
      </c>
      <c r="AE70" s="901" t="str">
        <f t="shared" si="12"/>
        <v>Foxconn</v>
      </c>
      <c r="AF70" s="791">
        <v>45783.0</v>
      </c>
      <c r="AG70" s="791">
        <f t="shared" si="15"/>
        <v>45836</v>
      </c>
      <c r="AH70" s="787"/>
      <c r="AI70" s="787">
        <v>45796.0</v>
      </c>
      <c r="AJ70" s="677" t="str">
        <f t="array" ref="AJ70">if(isblank(F70),"",xlookup(F70,'FL5_POR_包裝對照表 (Mapping Table)'!E:E,'FL5_POR_包裝對照表 (Mapping Table)'!AS:AS,"",0,1))</f>
        <v>128GB</v>
      </c>
      <c r="AK70" s="677" t="str">
        <f t="array" ref="AK70">if(isblank(F70),"",xlookup(F70,'FL5_POR_包裝對照表 (Mapping Table)'!E:E,'FL5_POR_包裝對照表 (Mapping Table)'!K:K,"",0,1))</f>
        <v>YEL</v>
      </c>
      <c r="AL70" s="677">
        <v>3065.0</v>
      </c>
      <c r="AM70" s="811"/>
      <c r="AN70" s="888" t="str">
        <f t="array" ref="AN70">xlookup(F70,'FL5_POR_包裝對照表 (Mapping Table)'!E:E,'FL5_POR_包裝對照表 (Mapping Table)'!BM:BM,"",0,1)</f>
        <v>No demand</v>
      </c>
      <c r="AO70" s="813"/>
      <c r="AP70" s="813"/>
    </row>
    <row r="71" ht="25.5" customHeight="1">
      <c r="A71" s="889"/>
      <c r="B71" s="877">
        <v>65.0</v>
      </c>
      <c r="C71" s="891" t="str">
        <f>if(isblank(F71),"",'FL5_POR_包裝對照表 (Mapping Table)'!$E$4)</f>
        <v>GFL (FL5)</v>
      </c>
      <c r="D71" s="878" t="str">
        <f t="array" ref="D71">if(isblank(F71),"",xlookup(F71,'FL5_POR_包裝對照表 (Mapping Table)'!E:E,'FL5_POR_包裝對照表 (Mapping Table)'!AZ:AZ,"",0,1))</f>
        <v>MP</v>
      </c>
      <c r="E71" s="677" t="str">
        <f t="shared" si="2"/>
        <v>Close</v>
      </c>
      <c r="F71" s="879" t="s">
        <v>986</v>
      </c>
      <c r="G71" s="892" t="str">
        <f t="array" ref="G71">if(isblank(F71),"",xlookup(F71,'FL5_POR_包裝對照表 (Mapping Table)'!E:E,'FL5_POR_包裝對照表 (Mapping Table)'!D:D,"",0,1))</f>
        <v>Retail Pack</v>
      </c>
      <c r="H71" s="893" t="str">
        <f t="array" ref="H71">if(isblank(F71),"",xlookup(F71,'FL5_POR_包裝對照表 (Mapping Table)'!E:E,'FL5_POR_包裝對照表 (Mapping Table)'!E:E,"",0,1))</f>
        <v>GA10216-CA-N</v>
      </c>
      <c r="I71" s="677" t="str">
        <f t="array" ref="I71">if(isblank(F71),"",xlookup(F71,'FL5_POR_包裝對照表 (Mapping Table)'!E:E,'FL5_POR_包裝對照表 (Mapping Table)'!AN:AN,"",0,1))</f>
        <v>G950-15935-13</v>
      </c>
      <c r="J71" s="894" t="str">
        <f t="array" ref="J71">if(isblank(F71),"",xlookup(G71,z_Others!$B$5:$B$17,z_Others!$C$5:$C$17,"",0,1))</f>
        <v>智能手機</v>
      </c>
      <c r="K71" s="894" t="str">
        <f t="array" ref="K71">if(isblank(F71),"",xlookup(G71,z_Others!$B$5:$B$17,z_Others!$E$5:$E$17,"",0,1))</f>
        <v>智能手機</v>
      </c>
      <c r="L71" s="894" t="str">
        <f t="array" ref="L71">if(isblank(F71),"",xlookup(G71,z_Others!$B$5:$B$17,z_Others!$F$5:$F$17,"",0,1))</f>
        <v>智能手機</v>
      </c>
      <c r="M71" s="894" t="str">
        <f t="shared" si="3"/>
        <v>Google</v>
      </c>
      <c r="N71" s="894" t="str">
        <f t="shared" si="4"/>
        <v>境外品牌（貼牌生產)</v>
      </c>
      <c r="O71" s="882" t="str">
        <f t="array" ref="O71">if(isblank(F71),"",xlookup(F71,'FL5_POR_包裝對照表 (Mapping Table)'!E:E,'FL5_POR_包裝對照表 (Mapping Table)'!L:L,"",0,1))</f>
        <v>GK2MP</v>
      </c>
      <c r="P71" s="895">
        <f t="array" ref="P71">if(isblank(F71),"",xlookup(G71,z_Others!$B$5:$B$17,z_Others!$J$5:$J$17,"",0,1))</f>
        <v>0.2029</v>
      </c>
      <c r="Q71" s="896">
        <f t="array" ref="Q71">if(isblank(F71),"",xlookup(F71,'FL5_POR_核價 (經管 &amp; BPM)'!E:E,'FL5_POR_核價 (經管 &amp; BPM)'!O:O,"",0,1))</f>
        <v>441.14</v>
      </c>
      <c r="R71" s="894" t="str">
        <f t="shared" si="5"/>
        <v>否</v>
      </c>
      <c r="S71" s="897" t="str">
        <f t="array" ref="S71">if(isblank(F71),"",xlookup(G71,z_Others!$B$5:$B$17,z_Others!$K$5:$K$17,"",0,1))</f>
        <v>(1) 說明書
(2) C-2-C USB 數據線</v>
      </c>
      <c r="T71" s="894" t="str">
        <f t="shared" si="6"/>
        <v>開發手機中框組件模型(適用于Google 牌手機)</v>
      </c>
      <c r="U71" s="898" t="str">
        <f t="array" ref="U71">if(isblank(F71),"",xlookup(G71,z_Others!$B$5:$B$17,z_Others!$G$5:$G$17,"",0,1))</f>
        <v>無線通話用</v>
      </c>
      <c r="V71" s="231" t="str">
        <f t="array" ref="V71">if(isblank(F71),"",xlookup(F71,'FL5_POR_包裝對照表 (Mapping Table)'!E:E,'FL5_POR_包裝對照表 (Mapping Table)'!AB:AB,"",0,1))</f>
        <v>SKU, CLR4, GOOD, SUB6, CA/TW/SG/MY/AU/MX, PRESS, FL5</v>
      </c>
      <c r="W71" s="899" t="str">
        <f t="array" ref="W71">if(isblank(F71),"",xlookup(G71,z_Others!$B$5:$B$17,z_Others!$I$5:$I$17,"",0,1))</f>
        <v>152.83 x 71.98 x 12.01</v>
      </c>
      <c r="X71" s="894" t="str">
        <f t="shared" si="7"/>
        <v>Google</v>
      </c>
      <c r="Y71" s="894" t="str">
        <f t="shared" si="8"/>
        <v>Tensor series</v>
      </c>
      <c r="Z71" s="900" t="str">
        <f t="shared" si="9"/>
        <v>蜂窩網絡</v>
      </c>
      <c r="AA71" s="900" t="str">
        <f t="shared" si="10"/>
        <v>WCDMA&amp;GSM&amp;LTE&amp;5G制式</v>
      </c>
      <c r="AB71" s="878" t="str">
        <f t="array" ref="AB71">if(isblank(F71),"",xlookup(AJ71,z_Others!$M$5:$M$9,z_Others!$Q$5:$Q$9,"",0,1))</f>
        <v>直板、6.29 英寸彩屏、內存128G、GPRS、藍牙、前攝1100萬、後攝1200/5000萬</v>
      </c>
      <c r="AC71" s="900" t="str">
        <f t="shared" si="11"/>
        <v>中國</v>
      </c>
      <c r="AD71" s="894" t="str">
        <f t="array" ref="AD71">if(isblank(F71),"",xlookup(G71,z_Others!$B$5:$B$14,z_Others!$H$5:$H$14,"",0,1))</f>
        <v>附件07 (FATP手機)</v>
      </c>
      <c r="AE71" s="901" t="str">
        <f t="shared" si="12"/>
        <v>Foxconn</v>
      </c>
      <c r="AF71" s="791">
        <v>45783.0</v>
      </c>
      <c r="AG71" s="791">
        <f t="shared" si="15"/>
        <v>45836</v>
      </c>
      <c r="AH71" s="787"/>
      <c r="AI71" s="787">
        <v>45796.0</v>
      </c>
      <c r="AJ71" s="677" t="str">
        <f t="array" ref="AJ71">if(isblank(F71),"",xlookup(F71,'FL5_POR_包裝對照表 (Mapping Table)'!E:E,'FL5_POR_包裝對照表 (Mapping Table)'!AS:AS,"",0,1))</f>
        <v>128GB</v>
      </c>
      <c r="AK71" s="677" t="str">
        <f t="array" ref="AK71">if(isblank(F71),"",xlookup(F71,'FL5_POR_包裝對照表 (Mapping Table)'!E:E,'FL5_POR_包裝對照表 (Mapping Table)'!K:K,"",0,1))</f>
        <v>BUE</v>
      </c>
      <c r="AL71" s="677">
        <v>3067.0</v>
      </c>
      <c r="AM71" s="811"/>
      <c r="AN71" s="888" t="str">
        <f t="array" ref="AN71">xlookup(F71,'FL5_POR_包裝對照表 (Mapping Table)'!E:E,'FL5_POR_包裝對照表 (Mapping Table)'!BM:BM,"",0,1)</f>
        <v>No demand</v>
      </c>
      <c r="AO71" s="813"/>
      <c r="AP71" s="813"/>
    </row>
    <row r="72" ht="25.5" customHeight="1">
      <c r="A72" s="889"/>
      <c r="B72" s="877">
        <v>66.0</v>
      </c>
      <c r="C72" s="891" t="str">
        <f>if(isblank(F72),"",'FL5_POR_包裝對照表 (Mapping Table)'!$E$4)</f>
        <v>GFL (FL5)</v>
      </c>
      <c r="D72" s="878" t="str">
        <f t="array" ref="D72">if(isblank(F72),"",xlookup(F72,'FL5_POR_包裝對照表 (Mapping Table)'!E:E,'FL5_POR_包裝對照表 (Mapping Table)'!AZ:AZ,"",0,1))</f>
        <v>MP</v>
      </c>
      <c r="E72" s="677" t="str">
        <f t="shared" si="2"/>
        <v>Close</v>
      </c>
      <c r="F72" s="879" t="s">
        <v>1007</v>
      </c>
      <c r="G72" s="892" t="str">
        <f t="array" ref="G72">if(isblank(F72),"",xlookup(F72,'FL5_POR_包裝對照表 (Mapping Table)'!E:E,'FL5_POR_包裝對照表 (Mapping Table)'!D:D,"",0,1))</f>
        <v>Retail Pack</v>
      </c>
      <c r="H72" s="893" t="str">
        <f t="array" ref="H72">if(isblank(F72),"",xlookup(F72,'FL5_POR_包裝對照表 (Mapping Table)'!E:E,'FL5_POR_包裝對照表 (Mapping Table)'!E:E,"",0,1))</f>
        <v>GA10216-GB-N</v>
      </c>
      <c r="I72" s="677" t="str">
        <f t="array" ref="I72">if(isblank(F72),"",xlookup(F72,'FL5_POR_包裝對照表 (Mapping Table)'!E:E,'FL5_POR_包裝對照表 (Mapping Table)'!AN:AN,"",0,1))</f>
        <v>G950-15935-13</v>
      </c>
      <c r="J72" s="894" t="str">
        <f t="array" ref="J72">if(isblank(F72),"",xlookup(G72,z_Others!$B$5:$B$17,z_Others!$C$5:$C$17,"",0,1))</f>
        <v>智能手機</v>
      </c>
      <c r="K72" s="894" t="str">
        <f t="array" ref="K72">if(isblank(F72),"",xlookup(G72,z_Others!$B$5:$B$17,z_Others!$E$5:$E$17,"",0,1))</f>
        <v>智能手機</v>
      </c>
      <c r="L72" s="894" t="str">
        <f t="array" ref="L72">if(isblank(F72),"",xlookup(G72,z_Others!$B$5:$B$17,z_Others!$F$5:$F$17,"",0,1))</f>
        <v>智能手機</v>
      </c>
      <c r="M72" s="894" t="str">
        <f t="shared" si="3"/>
        <v>Google</v>
      </c>
      <c r="N72" s="894" t="str">
        <f t="shared" si="4"/>
        <v>境外品牌（貼牌生產)</v>
      </c>
      <c r="O72" s="882" t="str">
        <f t="array" ref="O72">if(isblank(F72),"",xlookup(F72,'FL5_POR_包裝對照表 (Mapping Table)'!E:E,'FL5_POR_包裝對照表 (Mapping Table)'!L:L,"",0,1))</f>
        <v> GK2MP</v>
      </c>
      <c r="P72" s="895">
        <f t="array" ref="P72">if(isblank(F72),"",xlookup(G72,z_Others!$B$5:$B$17,z_Others!$J$5:$J$17,"",0,1))</f>
        <v>0.2029</v>
      </c>
      <c r="Q72" s="896">
        <f t="array" ref="Q72">if(isblank(F72),"",xlookup(F72,'FL5_POR_核價 (經管 &amp; BPM)'!E:E,'FL5_POR_核價 (經管 &amp; BPM)'!O:O,"",0,1))</f>
        <v>430.6</v>
      </c>
      <c r="R72" s="894" t="str">
        <f t="shared" si="5"/>
        <v>否</v>
      </c>
      <c r="S72" s="897" t="str">
        <f t="array" ref="S72">if(isblank(F72),"",xlookup(G72,z_Others!$B$5:$B$17,z_Others!$K$5:$K$17,"",0,1))</f>
        <v>(1) 說明書
(2) C-2-C USB 數據線</v>
      </c>
      <c r="T72" s="894" t="str">
        <f t="shared" si="6"/>
        <v>開發手機中框組件模型(適用于Google 牌手機)</v>
      </c>
      <c r="U72" s="898" t="str">
        <f t="array" ref="U72">if(isblank(F72),"",xlookup(G72,z_Others!$B$5:$B$17,z_Others!$G$5:$G$17,"",0,1))</f>
        <v>無線通話用</v>
      </c>
      <c r="V72" s="231" t="str">
        <f t="array" ref="V72">if(isblank(F72),"",xlookup(F72,'FL5_POR_包裝對照表 (Mapping Table)'!E:E,'FL5_POR_包裝對照表 (Mapping Table)'!AB:AB,"",0,1))</f>
        <v>SKU, CLR4, GOOD, SUB6, UK/EU, PRESS, FL5</v>
      </c>
      <c r="W72" s="899" t="str">
        <f t="array" ref="W72">if(isblank(F72),"",xlookup(G72,z_Others!$B$5:$B$17,z_Others!$I$5:$I$17,"",0,1))</f>
        <v>152.83 x 71.98 x 12.01</v>
      </c>
      <c r="X72" s="894" t="str">
        <f t="shared" si="7"/>
        <v>Google</v>
      </c>
      <c r="Y72" s="894" t="str">
        <f t="shared" si="8"/>
        <v>Tensor series</v>
      </c>
      <c r="Z72" s="900" t="str">
        <f t="shared" si="9"/>
        <v>蜂窩網絡</v>
      </c>
      <c r="AA72" s="900" t="str">
        <f t="shared" si="10"/>
        <v>WCDMA&amp;GSM&amp;LTE&amp;5G制式</v>
      </c>
      <c r="AB72" s="878" t="str">
        <f t="array" ref="AB72">if(isblank(F72),"",xlookup(AJ72,z_Others!$M$5:$M$9,z_Others!$Q$5:$Q$9,"",0,1))</f>
        <v>直板、6.29 英寸彩屏、內存128G、GPRS、藍牙、前攝1100萬、後攝1200/5000萬</v>
      </c>
      <c r="AC72" s="900" t="str">
        <f t="shared" si="11"/>
        <v>中國</v>
      </c>
      <c r="AD72" s="894" t="str">
        <f t="array" ref="AD72">if(isblank(F72),"",xlookup(G72,z_Others!$B$5:$B$14,z_Others!$H$5:$H$14,"",0,1))</f>
        <v>附件07 (FATP手機)</v>
      </c>
      <c r="AE72" s="901" t="str">
        <f t="shared" si="12"/>
        <v>Foxconn</v>
      </c>
      <c r="AF72" s="791">
        <v>45783.0</v>
      </c>
      <c r="AG72" s="791">
        <f t="shared" si="15"/>
        <v>45836</v>
      </c>
      <c r="AH72" s="787"/>
      <c r="AI72" s="787">
        <v>45796.0</v>
      </c>
      <c r="AJ72" s="677" t="str">
        <f t="array" ref="AJ72">if(isblank(F72),"",xlookup(F72,'FL5_POR_包裝對照表 (Mapping Table)'!E:E,'FL5_POR_包裝對照表 (Mapping Table)'!AS:AS,"",0,1))</f>
        <v>128GB</v>
      </c>
      <c r="AK72" s="677" t="str">
        <f t="array" ref="AK72">if(isblank(F72),"",xlookup(F72,'FL5_POR_包裝對照表 (Mapping Table)'!E:E,'FL5_POR_包裝對照表 (Mapping Table)'!K:K,"",0,1))</f>
        <v>BUE</v>
      </c>
      <c r="AL72" s="677">
        <v>3066.0</v>
      </c>
      <c r="AM72" s="811"/>
      <c r="AN72" s="888" t="str">
        <f t="array" ref="AN72">xlookup(F72,'FL5_POR_包裝對照表 (Mapping Table)'!E:E,'FL5_POR_包裝對照表 (Mapping Table)'!BM:BM,"",0,1)</f>
        <v>No demand</v>
      </c>
      <c r="AO72" s="813"/>
      <c r="AP72" s="813"/>
    </row>
    <row r="73" ht="25.5" customHeight="1">
      <c r="A73" s="889"/>
      <c r="B73" s="877">
        <v>67.0</v>
      </c>
      <c r="C73" s="891" t="str">
        <f>if(isblank(F73),"",'FL5_POR_包裝對照表 (Mapping Table)'!$E$4)</f>
        <v>GFL (FL5)</v>
      </c>
      <c r="D73" s="878" t="str">
        <f t="array" ref="D73">if(isblank(F73),"",xlookup(F73,'FL5_POR_包裝對照表 (Mapping Table)'!E:E,'FL5_POR_包裝對照表 (Mapping Table)'!AZ:AZ,"",0,1))</f>
        <v>MP</v>
      </c>
      <c r="E73" s="677" t="str">
        <f t="shared" si="2"/>
        <v>Close</v>
      </c>
      <c r="F73" s="879" t="s">
        <v>951</v>
      </c>
      <c r="G73" s="892" t="str">
        <f t="array" ref="G73">if(isblank(F73),"",xlookup(F73,'FL5_POR_包裝對照表 (Mapping Table)'!E:E,'FL5_POR_包裝對照表 (Mapping Table)'!D:D,"",0,1))</f>
        <v>Retail Pack</v>
      </c>
      <c r="H73" s="893" t="str">
        <f t="array" ref="H73">if(isblank(F73),"",xlookup(F73,'FL5_POR_包裝對照表 (Mapping Table)'!E:E,'FL5_POR_包裝對照表 (Mapping Table)'!E:E,"",0,1))</f>
        <v>GA09744-JP-N</v>
      </c>
      <c r="I73" s="677" t="str">
        <f t="array" ref="I73">if(isblank(F73),"",xlookup(F73,'FL5_POR_包裝對照表 (Mapping Table)'!E:E,'FL5_POR_包裝對照表 (Mapping Table)'!AN:AN,"",0,1))</f>
        <v>G950-15935-10</v>
      </c>
      <c r="J73" s="894" t="str">
        <f t="array" ref="J73">if(isblank(F73),"",xlookup(G73,z_Others!$B$5:$B$17,z_Others!$C$5:$C$17,"",0,1))</f>
        <v>智能手機</v>
      </c>
      <c r="K73" s="894" t="str">
        <f t="array" ref="K73">if(isblank(F73),"",xlookup(G73,z_Others!$B$5:$B$17,z_Others!$E$5:$E$17,"",0,1))</f>
        <v>智能手機</v>
      </c>
      <c r="L73" s="894" t="str">
        <f t="array" ref="L73">if(isblank(F73),"",xlookup(G73,z_Others!$B$5:$B$17,z_Others!$F$5:$F$17,"",0,1))</f>
        <v>智能手機</v>
      </c>
      <c r="M73" s="894" t="str">
        <f t="shared" si="3"/>
        <v>Google</v>
      </c>
      <c r="N73" s="894" t="str">
        <f t="shared" si="4"/>
        <v>境外品牌（貼牌生產)</v>
      </c>
      <c r="O73" s="882" t="str">
        <f t="array" ref="O73">if(isblank(F73),"",xlookup(F73,'FL5_POR_包裝對照表 (Mapping Table)'!E:E,'FL5_POR_包裝對照表 (Mapping Table)'!L:L,"",0,1))</f>
        <v>GL066</v>
      </c>
      <c r="P73" s="895">
        <f t="array" ref="P73">if(isblank(F73),"",xlookup(G73,z_Others!$B$5:$B$17,z_Others!$J$5:$J$17,"",0,1))</f>
        <v>0.2029</v>
      </c>
      <c r="Q73" s="896">
        <f t="array" ref="Q73">if(isblank(F73),"",xlookup(F73,'FL5_POR_核價 (經管 &amp; BPM)'!E:E,'FL5_POR_核價 (經管 &amp; BPM)'!O:O,"",0,1))</f>
        <v>427.55</v>
      </c>
      <c r="R73" s="894" t="str">
        <f t="shared" si="5"/>
        <v>否</v>
      </c>
      <c r="S73" s="897" t="str">
        <f t="array" ref="S73">if(isblank(F73),"",xlookup(G73,z_Others!$B$5:$B$17,z_Others!$K$5:$K$17,"",0,1))</f>
        <v>(1) 說明書
(2) C-2-C USB 數據線</v>
      </c>
      <c r="T73" s="894" t="str">
        <f t="shared" si="6"/>
        <v>開發手機中框組件模型(適用于Google 牌手機)</v>
      </c>
      <c r="U73" s="898" t="str">
        <f t="array" ref="U73">if(isblank(F73),"",xlookup(G73,z_Others!$B$5:$B$17,z_Others!$G$5:$G$17,"",0,1))</f>
        <v>無線通話用</v>
      </c>
      <c r="V73" s="231" t="str">
        <f t="array" ref="V73">if(isblank(F73),"",xlookup(F73,'FL5_POR_包裝對照表 (Mapping Table)'!E:E,'FL5_POR_包裝對照表 (Mapping Table)'!AB:AB,"",0,1))</f>
        <v>SKU, CLR1, GOOD, SUB6, JP, PRESS, FL5</v>
      </c>
      <c r="W73" s="899" t="str">
        <f t="array" ref="W73">if(isblank(F73),"",xlookup(G73,z_Others!$B$5:$B$17,z_Others!$I$5:$I$17,"",0,1))</f>
        <v>152.83 x 71.98 x 12.01</v>
      </c>
      <c r="X73" s="894" t="str">
        <f t="shared" si="7"/>
        <v>Google</v>
      </c>
      <c r="Y73" s="894" t="str">
        <f t="shared" si="8"/>
        <v>Tensor series</v>
      </c>
      <c r="Z73" s="900" t="str">
        <f t="shared" si="9"/>
        <v>蜂窩網絡</v>
      </c>
      <c r="AA73" s="900" t="str">
        <f t="shared" si="10"/>
        <v>WCDMA&amp;GSM&amp;LTE&amp;5G制式</v>
      </c>
      <c r="AB73" s="878" t="str">
        <f t="array" ref="AB73">if(isblank(F73),"",xlookup(AJ73,z_Others!$M$5:$M$9,z_Others!$Q$5:$Q$9,"",0,1))</f>
        <v>直板、6.29 英寸彩屏、內存128G、GPRS、藍牙、前攝1100萬、後攝1200/5000萬</v>
      </c>
      <c r="AC73" s="900" t="str">
        <f t="shared" si="11"/>
        <v>中國</v>
      </c>
      <c r="AD73" s="894" t="str">
        <f t="array" ref="AD73">if(isblank(F73),"",xlookup(G73,z_Others!$B$5:$B$14,z_Others!$H$5:$H$14,"",0,1))</f>
        <v>附件07 (FATP手機)</v>
      </c>
      <c r="AE73" s="901" t="str">
        <f t="shared" si="12"/>
        <v>Foxconn</v>
      </c>
      <c r="AF73" s="791">
        <v>45783.0</v>
      </c>
      <c r="AG73" s="791">
        <f t="shared" ref="AG73:AG80" si="16">if(isblank(AF73),"",_xlfn.WORKDAY.INTL(AF73,52,11))</f>
        <v>45843</v>
      </c>
      <c r="AH73" s="787"/>
      <c r="AI73" s="787">
        <v>45796.0</v>
      </c>
      <c r="AJ73" s="677" t="str">
        <f t="array" ref="AJ73">if(isblank(F73),"",xlookup(F73,'FL5_POR_包裝對照表 (Mapping Table)'!E:E,'FL5_POR_包裝對照表 (Mapping Table)'!AS:AS,"",0,1))</f>
        <v>128GB</v>
      </c>
      <c r="AK73" s="677" t="str">
        <f t="array" ref="AK73">if(isblank(F73),"",xlookup(F73,'FL5_POR_包裝對照表 (Mapping Table)'!E:E,'FL5_POR_包裝對照表 (Mapping Table)'!K:K,"",0,1))</f>
        <v>BLK</v>
      </c>
      <c r="AL73" s="677">
        <v>3064.0</v>
      </c>
      <c r="AM73" s="811"/>
      <c r="AN73" s="888" t="str">
        <f t="array" ref="AN73">xlookup(F73,'FL5_POR_包裝對照表 (Mapping Table)'!E:E,'FL5_POR_包裝對照表 (Mapping Table)'!BM:BM,"",0,1)</f>
        <v>No demand</v>
      </c>
      <c r="AO73" s="813"/>
      <c r="AP73" s="813"/>
    </row>
    <row r="74" ht="25.5" customHeight="1">
      <c r="A74" s="889"/>
      <c r="B74" s="877">
        <v>68.0</v>
      </c>
      <c r="C74" s="891" t="str">
        <f>if(isblank(F74),"",'FL5_POR_包裝對照表 (Mapping Table)'!$E$4)</f>
        <v>GFL (FL5)</v>
      </c>
      <c r="D74" s="878" t="str">
        <f t="array" ref="D74">if(isblank(F74),"",xlookup(F74,'FL5_POR_包裝對照表 (Mapping Table)'!E:E,'FL5_POR_包裝對照表 (Mapping Table)'!AZ:AZ,"",0,1))</f>
        <v>MP</v>
      </c>
      <c r="E74" s="677" t="str">
        <f t="shared" si="2"/>
        <v>Close</v>
      </c>
      <c r="F74" s="879" t="s">
        <v>956</v>
      </c>
      <c r="G74" s="892" t="str">
        <f t="array" ref="G74">if(isblank(F74),"",xlookup(F74,'FL5_POR_包裝對照表 (Mapping Table)'!E:E,'FL5_POR_包裝對照表 (Mapping Table)'!D:D,"",0,1))</f>
        <v>Retail Pack</v>
      </c>
      <c r="H74" s="893" t="str">
        <f t="array" ref="H74">if(isblank(F74),"",xlookup(F74,'FL5_POR_包裝對照表 (Mapping Table)'!E:E,'FL5_POR_包裝對照表 (Mapping Table)'!E:E,"",0,1))</f>
        <v>GA10214-JP-N</v>
      </c>
      <c r="I74" s="677" t="str">
        <f t="array" ref="I74">if(isblank(F74),"",xlookup(F74,'FL5_POR_包裝對照表 (Mapping Table)'!E:E,'FL5_POR_包裝對照表 (Mapping Table)'!AN:AN,"",0,1))</f>
        <v>G950-15935-11</v>
      </c>
      <c r="J74" s="894" t="str">
        <f t="array" ref="J74">if(isblank(F74),"",xlookup(G74,z_Others!$B$5:$B$17,z_Others!$C$5:$C$17,"",0,1))</f>
        <v>智能手機</v>
      </c>
      <c r="K74" s="894" t="str">
        <f t="array" ref="K74">if(isblank(F74),"",xlookup(G74,z_Others!$B$5:$B$17,z_Others!$E$5:$E$17,"",0,1))</f>
        <v>智能手機</v>
      </c>
      <c r="L74" s="894" t="str">
        <f t="array" ref="L74">if(isblank(F74),"",xlookup(G74,z_Others!$B$5:$B$17,z_Others!$F$5:$F$17,"",0,1))</f>
        <v>智能手機</v>
      </c>
      <c r="M74" s="894" t="str">
        <f t="shared" si="3"/>
        <v>Google</v>
      </c>
      <c r="N74" s="894" t="str">
        <f t="shared" si="4"/>
        <v>境外品牌（貼牌生產)</v>
      </c>
      <c r="O74" s="882" t="str">
        <f t="array" ref="O74">if(isblank(F74),"",xlookup(F74,'FL5_POR_包裝對照表 (Mapping Table)'!E:E,'FL5_POR_包裝對照表 (Mapping Table)'!L:L,"",0,1))</f>
        <v>GL066</v>
      </c>
      <c r="P74" s="895">
        <f t="array" ref="P74">if(isblank(F74),"",xlookup(G74,z_Others!$B$5:$B$17,z_Others!$J$5:$J$17,"",0,1))</f>
        <v>0.2029</v>
      </c>
      <c r="Q74" s="896">
        <f t="array" ref="Q74">if(isblank(F74),"",xlookup(F74,'FL5_POR_核價 (經管 &amp; BPM)'!E:E,'FL5_POR_核價 (經管 &amp; BPM)'!O:O,"",0,1))</f>
        <v>441.69</v>
      </c>
      <c r="R74" s="894" t="str">
        <f t="shared" si="5"/>
        <v>否</v>
      </c>
      <c r="S74" s="897" t="str">
        <f t="array" ref="S74">if(isblank(F74),"",xlookup(G74,z_Others!$B$5:$B$17,z_Others!$K$5:$K$17,"",0,1))</f>
        <v>(1) 說明書
(2) C-2-C USB 數據線</v>
      </c>
      <c r="T74" s="894" t="str">
        <f t="shared" si="6"/>
        <v>開發手機中框組件模型(適用于Google 牌手機)</v>
      </c>
      <c r="U74" s="898" t="str">
        <f t="array" ref="U74">if(isblank(F74),"",xlookup(G74,z_Others!$B$5:$B$17,z_Others!$G$5:$G$17,"",0,1))</f>
        <v>無線通話用</v>
      </c>
      <c r="V74" s="231" t="str">
        <f t="array" ref="V74">if(isblank(F74),"",xlookup(F74,'FL5_POR_包裝對照表 (Mapping Table)'!E:E,'FL5_POR_包裝對照表 (Mapping Table)'!AB:AB,"",0,1))</f>
        <v>SKU, CLR2, GOOD, SUB6, JP, PRESS, FL5</v>
      </c>
      <c r="W74" s="899" t="str">
        <f t="array" ref="W74">if(isblank(F74),"",xlookup(G74,z_Others!$B$5:$B$17,z_Others!$I$5:$I$17,"",0,1))</f>
        <v>152.83 x 71.98 x 12.01</v>
      </c>
      <c r="X74" s="894" t="str">
        <f t="shared" si="7"/>
        <v>Google</v>
      </c>
      <c r="Y74" s="894" t="str">
        <f t="shared" si="8"/>
        <v>Tensor series</v>
      </c>
      <c r="Z74" s="900" t="str">
        <f t="shared" si="9"/>
        <v>蜂窩網絡</v>
      </c>
      <c r="AA74" s="900" t="str">
        <f t="shared" si="10"/>
        <v>WCDMA&amp;GSM&amp;LTE&amp;5G制式</v>
      </c>
      <c r="AB74" s="878" t="str">
        <f t="array" ref="AB74">if(isblank(F74),"",xlookup(AJ74,z_Others!$M$5:$M$9,z_Others!$Q$5:$Q$9,"",0,1))</f>
        <v>直板、6.29 英寸彩屏、內存128G、GPRS、藍牙、前攝1100萬、後攝1200/5000萬</v>
      </c>
      <c r="AC74" s="900" t="str">
        <f t="shared" si="11"/>
        <v>中國</v>
      </c>
      <c r="AD74" s="894" t="str">
        <f t="array" ref="AD74">if(isblank(F74),"",xlookup(G74,z_Others!$B$5:$B$14,z_Others!$H$5:$H$14,"",0,1))</f>
        <v>附件07 (FATP手機)</v>
      </c>
      <c r="AE74" s="901" t="str">
        <f t="shared" si="12"/>
        <v>Foxconn</v>
      </c>
      <c r="AF74" s="791">
        <v>45783.0</v>
      </c>
      <c r="AG74" s="791">
        <f t="shared" si="16"/>
        <v>45843</v>
      </c>
      <c r="AH74" s="787"/>
      <c r="AI74" s="787">
        <v>45796.0</v>
      </c>
      <c r="AJ74" s="677" t="str">
        <f t="array" ref="AJ74">if(isblank(F74),"",xlookup(F74,'FL5_POR_包裝對照表 (Mapping Table)'!E:E,'FL5_POR_包裝對照表 (Mapping Table)'!AS:AS,"",0,1))</f>
        <v>128GB</v>
      </c>
      <c r="AK74" s="677" t="str">
        <f t="array" ref="AK74">if(isblank(F74),"",xlookup(F74,'FL5_POR_包裝對照表 (Mapping Table)'!E:E,'FL5_POR_包裝對照表 (Mapping Table)'!K:K,"",0,1))</f>
        <v>PPL</v>
      </c>
      <c r="AL74" s="677">
        <v>3063.0</v>
      </c>
      <c r="AM74" s="811"/>
      <c r="AN74" s="888" t="str">
        <f t="array" ref="AN74">xlookup(F74,'FL5_POR_包裝對照表 (Mapping Table)'!E:E,'FL5_POR_包裝對照表 (Mapping Table)'!BM:BM,"",0,1)</f>
        <v>No demand</v>
      </c>
      <c r="AO74" s="813"/>
      <c r="AP74" s="813"/>
    </row>
    <row r="75" ht="25.5" customHeight="1">
      <c r="A75" s="889"/>
      <c r="B75" s="877">
        <v>69.0</v>
      </c>
      <c r="C75" s="891" t="str">
        <f>if(isblank(F75),"",'FL5_POR_包裝對照表 (Mapping Table)'!$E$4)</f>
        <v>GFL (FL5)</v>
      </c>
      <c r="D75" s="878" t="str">
        <f t="array" ref="D75">if(isblank(F75),"",xlookup(F75,'FL5_POR_包裝對照表 (Mapping Table)'!E:E,'FL5_POR_包裝對照表 (Mapping Table)'!AZ:AZ,"",0,1))</f>
        <v>MP</v>
      </c>
      <c r="E75" s="677" t="str">
        <f t="shared" si="2"/>
        <v>Close</v>
      </c>
      <c r="F75" s="879" t="s">
        <v>961</v>
      </c>
      <c r="G75" s="892" t="str">
        <f t="array" ref="G75">if(isblank(F75),"",xlookup(F75,'FL5_POR_包裝對照表 (Mapping Table)'!E:E,'FL5_POR_包裝對照表 (Mapping Table)'!D:D,"",0,1))</f>
        <v>Retail Pack</v>
      </c>
      <c r="H75" s="893" t="str">
        <f t="array" ref="H75">if(isblank(F75),"",xlookup(F75,'FL5_POR_包裝對照表 (Mapping Table)'!E:E,'FL5_POR_包裝對照表 (Mapping Table)'!E:E,"",0,1))</f>
        <v>GA10215-JP-N</v>
      </c>
      <c r="I75" s="677" t="str">
        <f t="array" ref="I75">if(isblank(F75),"",xlookup(F75,'FL5_POR_包裝對照表 (Mapping Table)'!E:E,'FL5_POR_包裝對照表 (Mapping Table)'!AN:AN,"",0,1))</f>
        <v>G950-15935-12</v>
      </c>
      <c r="J75" s="894" t="str">
        <f t="array" ref="J75">if(isblank(F75),"",xlookup(G75,z_Others!$B$5:$B$17,z_Others!$C$5:$C$17,"",0,1))</f>
        <v>智能手機</v>
      </c>
      <c r="K75" s="894" t="str">
        <f t="array" ref="K75">if(isblank(F75),"",xlookup(G75,z_Others!$B$5:$B$17,z_Others!$E$5:$E$17,"",0,1))</f>
        <v>智能手機</v>
      </c>
      <c r="L75" s="894" t="str">
        <f t="array" ref="L75">if(isblank(F75),"",xlookup(G75,z_Others!$B$5:$B$17,z_Others!$F$5:$F$17,"",0,1))</f>
        <v>智能手機</v>
      </c>
      <c r="M75" s="894" t="str">
        <f t="shared" si="3"/>
        <v>Google</v>
      </c>
      <c r="N75" s="894" t="str">
        <f t="shared" si="4"/>
        <v>境外品牌（貼牌生產)</v>
      </c>
      <c r="O75" s="882" t="str">
        <f t="array" ref="O75">if(isblank(F75),"",xlookup(F75,'FL5_POR_包裝對照表 (Mapping Table)'!E:E,'FL5_POR_包裝對照表 (Mapping Table)'!L:L,"",0,1))</f>
        <v>GL066</v>
      </c>
      <c r="P75" s="895">
        <f t="array" ref="P75">if(isblank(F75),"",xlookup(G75,z_Others!$B$5:$B$17,z_Others!$J$5:$J$17,"",0,1))</f>
        <v>0.2029</v>
      </c>
      <c r="Q75" s="896">
        <f t="array" ref="Q75">if(isblank(F75),"",xlookup(F75,'FL5_POR_核價 (經管 &amp; BPM)'!E:E,'FL5_POR_核價 (經管 &amp; BPM)'!O:O,"",0,1))</f>
        <v>445.62</v>
      </c>
      <c r="R75" s="894" t="str">
        <f t="shared" si="5"/>
        <v>否</v>
      </c>
      <c r="S75" s="897" t="str">
        <f t="array" ref="S75">if(isblank(F75),"",xlookup(G75,z_Others!$B$5:$B$17,z_Others!$K$5:$K$17,"",0,1))</f>
        <v>(1) 說明書
(2) C-2-C USB 數據線</v>
      </c>
      <c r="T75" s="894" t="str">
        <f t="shared" si="6"/>
        <v>開發手機中框組件模型(適用于Google 牌手機)</v>
      </c>
      <c r="U75" s="898" t="str">
        <f t="array" ref="U75">if(isblank(F75),"",xlookup(G75,z_Others!$B$5:$B$17,z_Others!$G$5:$G$17,"",0,1))</f>
        <v>無線通話用</v>
      </c>
      <c r="V75" s="231" t="str">
        <f t="array" ref="V75">if(isblank(F75),"",xlookup(F75,'FL5_POR_包裝對照表 (Mapping Table)'!E:E,'FL5_POR_包裝對照表 (Mapping Table)'!AB:AB,"",0,1))</f>
        <v>SKU, CLR3, GOOD, SUB6, JP, PRESS, FL5</v>
      </c>
      <c r="W75" s="899" t="str">
        <f t="array" ref="W75">if(isblank(F75),"",xlookup(G75,z_Others!$B$5:$B$17,z_Others!$I$5:$I$17,"",0,1))</f>
        <v>152.83 x 71.98 x 12.01</v>
      </c>
      <c r="X75" s="894" t="str">
        <f t="shared" si="7"/>
        <v>Google</v>
      </c>
      <c r="Y75" s="894" t="str">
        <f t="shared" si="8"/>
        <v>Tensor series</v>
      </c>
      <c r="Z75" s="900" t="str">
        <f t="shared" si="9"/>
        <v>蜂窩網絡</v>
      </c>
      <c r="AA75" s="900" t="str">
        <f t="shared" si="10"/>
        <v>WCDMA&amp;GSM&amp;LTE&amp;5G制式</v>
      </c>
      <c r="AB75" s="878" t="str">
        <f t="array" ref="AB75">if(isblank(F75),"",xlookup(AJ75,z_Others!$M$5:$M$9,z_Others!$Q$5:$Q$9,"",0,1))</f>
        <v>直板、6.29 英寸彩屏、內存128G、GPRS、藍牙、前攝1100萬、後攝1200/5000萬</v>
      </c>
      <c r="AC75" s="900" t="str">
        <f t="shared" si="11"/>
        <v>中國</v>
      </c>
      <c r="AD75" s="894" t="str">
        <f t="array" ref="AD75">if(isblank(F75),"",xlookup(G75,z_Others!$B$5:$B$14,z_Others!$H$5:$H$14,"",0,1))</f>
        <v>附件07 (FATP手機)</v>
      </c>
      <c r="AE75" s="901" t="str">
        <f t="shared" si="12"/>
        <v>Foxconn</v>
      </c>
      <c r="AF75" s="791">
        <v>45783.0</v>
      </c>
      <c r="AG75" s="791">
        <f t="shared" si="16"/>
        <v>45843</v>
      </c>
      <c r="AH75" s="787"/>
      <c r="AI75" s="787">
        <v>45796.0</v>
      </c>
      <c r="AJ75" s="677" t="str">
        <f t="array" ref="AJ75">if(isblank(F75),"",xlookup(F75,'FL5_POR_包裝對照表 (Mapping Table)'!E:E,'FL5_POR_包裝對照表 (Mapping Table)'!AS:AS,"",0,1))</f>
        <v>128GB</v>
      </c>
      <c r="AK75" s="677" t="str">
        <f t="array" ref="AK75">if(isblank(F75),"",xlookup(F75,'FL5_POR_包裝對照表 (Mapping Table)'!E:E,'FL5_POR_包裝對照表 (Mapping Table)'!K:K,"",0,1))</f>
        <v>YEL</v>
      </c>
      <c r="AL75" s="677">
        <v>3062.0</v>
      </c>
      <c r="AM75" s="811"/>
      <c r="AN75" s="888" t="str">
        <f t="array" ref="AN75">xlookup(F75,'FL5_POR_包裝對照表 (Mapping Table)'!E:E,'FL5_POR_包裝對照表 (Mapping Table)'!BM:BM,"",0,1)</f>
        <v>No demand</v>
      </c>
      <c r="AO75" s="813"/>
      <c r="AP75" s="813"/>
    </row>
    <row r="76" ht="25.5" customHeight="1">
      <c r="A76" s="889"/>
      <c r="B76" s="877">
        <v>70.0</v>
      </c>
      <c r="C76" s="891" t="str">
        <f>if(isblank(F76),"",'FL5_POR_包裝對照表 (Mapping Table)'!$E$4)</f>
        <v>GFL (FL5)</v>
      </c>
      <c r="D76" s="878" t="str">
        <f t="array" ref="D76">if(isblank(F76),"",xlookup(F76,'FL5_POR_包裝對照表 (Mapping Table)'!E:E,'FL5_POR_包裝對照表 (Mapping Table)'!AZ:AZ,"",0,1))</f>
        <v>MP</v>
      </c>
      <c r="E76" s="677" t="str">
        <f t="shared" si="2"/>
        <v>Close</v>
      </c>
      <c r="F76" s="879" t="s">
        <v>966</v>
      </c>
      <c r="G76" s="892" t="str">
        <f t="array" ref="G76">if(isblank(F76),"",xlookup(F76,'FL5_POR_包裝對照表 (Mapping Table)'!E:E,'FL5_POR_包裝對照表 (Mapping Table)'!D:D,"",0,1))</f>
        <v>Retail Pack</v>
      </c>
      <c r="H76" s="893" t="str">
        <f t="array" ref="H76">if(isblank(F76),"",xlookup(F76,'FL5_POR_包裝對照表 (Mapping Table)'!E:E,'FL5_POR_包裝對照表 (Mapping Table)'!E:E,"",0,1))</f>
        <v>GA10216-JP-N</v>
      </c>
      <c r="I76" s="677" t="str">
        <f t="array" ref="I76">if(isblank(F76),"",xlookup(F76,'FL5_POR_包裝對照表 (Mapping Table)'!E:E,'FL5_POR_包裝對照表 (Mapping Table)'!AN:AN,"",0,1))</f>
        <v>G950-15935-13</v>
      </c>
      <c r="J76" s="894" t="str">
        <f t="array" ref="J76">if(isblank(F76),"",xlookup(G76,z_Others!$B$5:$B$17,z_Others!$C$5:$C$17,"",0,1))</f>
        <v>智能手機</v>
      </c>
      <c r="K76" s="894" t="str">
        <f t="array" ref="K76">if(isblank(F76),"",xlookup(G76,z_Others!$B$5:$B$17,z_Others!$E$5:$E$17,"",0,1))</f>
        <v>智能手機</v>
      </c>
      <c r="L76" s="894" t="str">
        <f t="array" ref="L76">if(isblank(F76),"",xlookup(G76,z_Others!$B$5:$B$17,z_Others!$F$5:$F$17,"",0,1))</f>
        <v>智能手機</v>
      </c>
      <c r="M76" s="894" t="str">
        <f t="shared" si="3"/>
        <v>Google</v>
      </c>
      <c r="N76" s="894" t="str">
        <f t="shared" si="4"/>
        <v>境外品牌（貼牌生產)</v>
      </c>
      <c r="O76" s="882" t="str">
        <f t="array" ref="O76">if(isblank(F76),"",xlookup(F76,'FL5_POR_包裝對照表 (Mapping Table)'!E:E,'FL5_POR_包裝對照表 (Mapping Table)'!L:L,"",0,1))</f>
        <v>GL066</v>
      </c>
      <c r="P76" s="895">
        <f t="array" ref="P76">if(isblank(F76),"",xlookup(G76,z_Others!$B$5:$B$17,z_Others!$J$5:$J$17,"",0,1))</f>
        <v>0.2029</v>
      </c>
      <c r="Q76" s="896">
        <f t="array" ref="Q76">if(isblank(F76),"",xlookup(F76,'FL5_POR_核價 (經管 &amp; BPM)'!E:E,'FL5_POR_核價 (經管 &amp; BPM)'!O:O,"",0,1))</f>
        <v>441.46</v>
      </c>
      <c r="R76" s="894" t="str">
        <f t="shared" si="5"/>
        <v>否</v>
      </c>
      <c r="S76" s="897" t="str">
        <f t="array" ref="S76">if(isblank(F76),"",xlookup(G76,z_Others!$B$5:$B$17,z_Others!$K$5:$K$17,"",0,1))</f>
        <v>(1) 說明書
(2) C-2-C USB 數據線</v>
      </c>
      <c r="T76" s="894" t="str">
        <f t="shared" si="6"/>
        <v>開發手機中框組件模型(適用于Google 牌手機)</v>
      </c>
      <c r="U76" s="898" t="str">
        <f t="array" ref="U76">if(isblank(F76),"",xlookup(G76,z_Others!$B$5:$B$17,z_Others!$G$5:$G$17,"",0,1))</f>
        <v>無線通話用</v>
      </c>
      <c r="V76" s="231" t="str">
        <f t="array" ref="V76">if(isblank(F76),"",xlookup(F76,'FL5_POR_包裝對照表 (Mapping Table)'!E:E,'FL5_POR_包裝對照表 (Mapping Table)'!AB:AB,"",0,1))</f>
        <v>SKU, CLR4, GOOD, SUB6, JP, PRESS, FL5</v>
      </c>
      <c r="W76" s="899" t="str">
        <f t="array" ref="W76">if(isblank(F76),"",xlookup(G76,z_Others!$B$5:$B$17,z_Others!$I$5:$I$17,"",0,1))</f>
        <v>152.83 x 71.98 x 12.01</v>
      </c>
      <c r="X76" s="894" t="str">
        <f t="shared" si="7"/>
        <v>Google</v>
      </c>
      <c r="Y76" s="894" t="str">
        <f t="shared" si="8"/>
        <v>Tensor series</v>
      </c>
      <c r="Z76" s="900" t="str">
        <f t="shared" si="9"/>
        <v>蜂窩網絡</v>
      </c>
      <c r="AA76" s="900" t="str">
        <f t="shared" si="10"/>
        <v>WCDMA&amp;GSM&amp;LTE&amp;5G制式</v>
      </c>
      <c r="AB76" s="878" t="str">
        <f t="array" ref="AB76">if(isblank(F76),"",xlookup(AJ76,z_Others!$M$5:$M$9,z_Others!$Q$5:$Q$9,"",0,1))</f>
        <v>直板、6.29 英寸彩屏、內存128G、GPRS、藍牙、前攝1100萬、後攝1200/5000萬</v>
      </c>
      <c r="AC76" s="900" t="str">
        <f t="shared" si="11"/>
        <v>中國</v>
      </c>
      <c r="AD76" s="894" t="str">
        <f t="array" ref="AD76">if(isblank(F76),"",xlookup(G76,z_Others!$B$5:$B$14,z_Others!$H$5:$H$14,"",0,1))</f>
        <v>附件07 (FATP手機)</v>
      </c>
      <c r="AE76" s="901" t="str">
        <f t="shared" si="12"/>
        <v>Foxconn</v>
      </c>
      <c r="AF76" s="791">
        <v>45783.0</v>
      </c>
      <c r="AG76" s="791">
        <f t="shared" si="16"/>
        <v>45843</v>
      </c>
      <c r="AH76" s="902">
        <v>45859.0</v>
      </c>
      <c r="AI76" s="787">
        <v>45799.0</v>
      </c>
      <c r="AJ76" s="677" t="str">
        <f t="array" ref="AJ76">if(isblank(F76),"",xlookup(F76,'FL5_POR_包裝對照表 (Mapping Table)'!E:E,'FL5_POR_包裝對照表 (Mapping Table)'!AS:AS,"",0,1))</f>
        <v>128GB</v>
      </c>
      <c r="AK76" s="677" t="str">
        <f t="array" ref="AK76">if(isblank(F76),"",xlookup(F76,'FL5_POR_包裝對照表 (Mapping Table)'!E:E,'FL5_POR_包裝對照表 (Mapping Table)'!K:K,"",0,1))</f>
        <v>BUE</v>
      </c>
      <c r="AL76" s="677">
        <v>3123.0</v>
      </c>
      <c r="AM76" s="811"/>
      <c r="AN76" s="888" t="str">
        <f t="array" ref="AN76">xlookup(F76,'FL5_POR_包裝對照表 (Mapping Table)'!E:E,'FL5_POR_包裝對照表 (Mapping Table)'!BM:BM,"",0,1)</f>
        <v>No demand</v>
      </c>
      <c r="AO76" s="813"/>
      <c r="AP76" s="813"/>
    </row>
    <row r="77" ht="25.5" customHeight="1">
      <c r="A77" s="889"/>
      <c r="B77" s="877">
        <v>71.0</v>
      </c>
      <c r="C77" s="891" t="str">
        <f>if(isblank(F77),"",'FL5_POR_包裝對照表 (Mapping Table)'!$E$4)</f>
        <v>GFL (FL5)</v>
      </c>
      <c r="D77" s="878" t="str">
        <f t="array" ref="D77">if(isblank(F77),"",xlookup(F77,'FL5_POR_包裝對照表 (Mapping Table)'!E:E,'FL5_POR_包裝對照表 (Mapping Table)'!AZ:AZ,"",0,1))</f>
        <v>MP</v>
      </c>
      <c r="E77" s="677" t="str">
        <f t="shared" si="2"/>
        <v>Close</v>
      </c>
      <c r="F77" s="879" t="s">
        <v>1044</v>
      </c>
      <c r="G77" s="892" t="str">
        <f t="array" ref="G77">if(isblank(F77),"",xlookup(F77,'FL5_POR_包裝對照表 (Mapping Table)'!E:E,'FL5_POR_包裝對照表 (Mapping Table)'!D:D,"",0,1))</f>
        <v>Retail Pack</v>
      </c>
      <c r="H77" s="893" t="str">
        <f t="array" ref="H77">if(isblank(F77),"",xlookup(F77,'FL5_POR_包裝對照表 (Mapping Table)'!E:E,'FL5_POR_包裝對照表 (Mapping Table)'!E:E,"",0,1))</f>
        <v>GA10775-JP</v>
      </c>
      <c r="I77" s="677" t="str">
        <f t="array" ref="I77">if(isblank(F77),"",xlookup(F77,'FL5_POR_包裝對照表 (Mapping Table)'!E:E,'FL5_POR_包裝對照表 (Mapping Table)'!AN:AN,"",0,1))</f>
        <v>G950-15935-10</v>
      </c>
      <c r="J77" s="894" t="str">
        <f t="array" ref="J77">if(isblank(F77),"",xlookup(G77,z_Others!$B$5:$B$17,z_Others!$C$5:$C$17,"",0,1))</f>
        <v>智能手機</v>
      </c>
      <c r="K77" s="894" t="str">
        <f t="array" ref="K77">if(isblank(F77),"",xlookup(G77,z_Others!$B$5:$B$17,z_Others!$E$5:$E$17,"",0,1))</f>
        <v>智能手機</v>
      </c>
      <c r="L77" s="894" t="str">
        <f t="array" ref="L77">if(isblank(F77),"",xlookup(G77,z_Others!$B$5:$B$17,z_Others!$F$5:$F$17,"",0,1))</f>
        <v>智能手機</v>
      </c>
      <c r="M77" s="894" t="str">
        <f t="shared" si="3"/>
        <v>Google</v>
      </c>
      <c r="N77" s="894" t="str">
        <f t="shared" si="4"/>
        <v>境外品牌（貼牌生產)</v>
      </c>
      <c r="O77" s="882" t="str">
        <f t="array" ref="O77">if(isblank(F77),"",xlookup(F77,'FL5_POR_包裝對照表 (Mapping Table)'!E:E,'FL5_POR_包裝對照表 (Mapping Table)'!L:L,"",0,1))</f>
        <v>GL066</v>
      </c>
      <c r="P77" s="895">
        <f t="array" ref="P77">if(isblank(F77),"",xlookup(G77,z_Others!$B$5:$B$17,z_Others!$J$5:$J$17,"",0,1))</f>
        <v>0.2029</v>
      </c>
      <c r="Q77" s="896">
        <f t="array" ref="Q77">if(isblank(F77),"",xlookup(F77,'FL5_POR_核價 (經管 &amp; BPM)'!E:E,'FL5_POR_核價 (經管 &amp; BPM)'!O:O,"",0,1))</f>
        <v>429.63</v>
      </c>
      <c r="R77" s="894" t="str">
        <f t="shared" si="5"/>
        <v>否</v>
      </c>
      <c r="S77" s="897" t="str">
        <f t="array" ref="S77">if(isblank(F77),"",xlookup(G77,z_Others!$B$5:$B$17,z_Others!$K$5:$K$17,"",0,1))</f>
        <v>(1) 說明書
(2) C-2-C USB 數據線</v>
      </c>
      <c r="T77" s="894" t="str">
        <f t="shared" si="6"/>
        <v>開發手機中框組件模型(適用于Google 牌手機)</v>
      </c>
      <c r="U77" s="898" t="str">
        <f t="array" ref="U77">if(isblank(F77),"",xlookup(G77,z_Others!$B$5:$B$17,z_Others!$G$5:$G$17,"",0,1))</f>
        <v>無線通話用</v>
      </c>
      <c r="V77" s="231" t="str">
        <f t="array" ref="V77">if(isblank(F77),"",xlookup(F77,'FL5_POR_包裝對照表 (Mapping Table)'!E:E,'FL5_POR_包裝對照表 (Mapping Table)'!AB:AB,"",0,1))</f>
        <v>SKU, CLR1, GOOD, SUB6, JP, DEMO, FL5</v>
      </c>
      <c r="W77" s="899" t="str">
        <f t="array" ref="W77">if(isblank(F77),"",xlookup(G77,z_Others!$B$5:$B$17,z_Others!$I$5:$I$17,"",0,1))</f>
        <v>152.83 x 71.98 x 12.01</v>
      </c>
      <c r="X77" s="894" t="str">
        <f t="shared" si="7"/>
        <v>Google</v>
      </c>
      <c r="Y77" s="894" t="str">
        <f t="shared" si="8"/>
        <v>Tensor series</v>
      </c>
      <c r="Z77" s="900" t="str">
        <f t="shared" si="9"/>
        <v>蜂窩網絡</v>
      </c>
      <c r="AA77" s="900" t="str">
        <f t="shared" si="10"/>
        <v>WCDMA&amp;GSM&amp;LTE&amp;5G制式</v>
      </c>
      <c r="AB77" s="878" t="str">
        <f t="array" ref="AB77">if(isblank(F77),"",xlookup(AJ77,z_Others!$M$5:$M$9,z_Others!$Q$5:$Q$9,"",0,1))</f>
        <v>直板、6.29 英寸彩屏、內存128G、GPRS、藍牙、前攝1100萬、後攝1200/5000萬</v>
      </c>
      <c r="AC77" s="900" t="str">
        <f t="shared" si="11"/>
        <v>中國</v>
      </c>
      <c r="AD77" s="894" t="str">
        <f t="array" ref="AD77">if(isblank(F77),"",xlookup(G77,z_Others!$B$5:$B$14,z_Others!$H$5:$H$14,"",0,1))</f>
        <v>附件07 (FATP手機)</v>
      </c>
      <c r="AE77" s="901" t="str">
        <f t="shared" si="12"/>
        <v>Foxconn</v>
      </c>
      <c r="AF77" s="791">
        <v>45783.0</v>
      </c>
      <c r="AG77" s="791">
        <f t="shared" si="16"/>
        <v>45843</v>
      </c>
      <c r="AH77" s="902">
        <v>45838.0</v>
      </c>
      <c r="AI77" s="787">
        <v>45799.0</v>
      </c>
      <c r="AJ77" s="677" t="str">
        <f t="array" ref="AJ77">if(isblank(F77),"",xlookup(F77,'FL5_POR_包裝對照表 (Mapping Table)'!E:E,'FL5_POR_包裝對照表 (Mapping Table)'!AS:AS,"",0,1))</f>
        <v>128GB</v>
      </c>
      <c r="AK77" s="677" t="str">
        <f t="array" ref="AK77">if(isblank(F77),"",xlookup(F77,'FL5_POR_包裝對照表 (Mapping Table)'!E:E,'FL5_POR_包裝對照表 (Mapping Table)'!K:K,"",0,1))</f>
        <v>BLK</v>
      </c>
      <c r="AL77" s="677">
        <v>3122.0</v>
      </c>
      <c r="AM77" s="811"/>
      <c r="AN77" s="888" t="str">
        <f t="array" ref="AN77">xlookup(F77,'FL5_POR_包裝對照表 (Mapping Table)'!E:E,'FL5_POR_包裝對照表 (Mapping Table)'!BM:BM,"",0,1)</f>
        <v>No demand</v>
      </c>
      <c r="AO77" s="813"/>
      <c r="AP77" s="813"/>
    </row>
    <row r="78" ht="25.5" customHeight="1">
      <c r="A78" s="889"/>
      <c r="B78" s="877">
        <v>72.0</v>
      </c>
      <c r="C78" s="891" t="str">
        <f>if(isblank(F78),"",'FL5_POR_包裝對照表 (Mapping Table)'!$E$4)</f>
        <v>GFL (FL5)</v>
      </c>
      <c r="D78" s="878" t="str">
        <f t="array" ref="D78">if(isblank(F78),"",xlookup(F78,'FL5_POR_包裝對照表 (Mapping Table)'!E:E,'FL5_POR_包裝對照表 (Mapping Table)'!AZ:AZ,"",0,1))</f>
        <v>MP</v>
      </c>
      <c r="E78" s="677" t="str">
        <f t="shared" si="2"/>
        <v>Close</v>
      </c>
      <c r="F78" s="879" t="s">
        <v>1061</v>
      </c>
      <c r="G78" s="892" t="str">
        <f t="array" ref="G78">if(isblank(F78),"",xlookup(F78,'FL5_POR_包裝對照表 (Mapping Table)'!E:E,'FL5_POR_包裝對照表 (Mapping Table)'!D:D,"",0,1))</f>
        <v>Retail Pack</v>
      </c>
      <c r="H78" s="893" t="str">
        <f t="array" ref="H78">if(isblank(F78),"",xlookup(F78,'FL5_POR_包裝對照表 (Mapping Table)'!E:E,'FL5_POR_包裝對照表 (Mapping Table)'!E:E,"",0,1))</f>
        <v>GA10776-CA</v>
      </c>
      <c r="I78" s="677" t="str">
        <f t="array" ref="I78">if(isblank(F78),"",xlookup(F78,'FL5_POR_包裝對照表 (Mapping Table)'!E:E,'FL5_POR_包裝對照表 (Mapping Table)'!AN:AN,"",0,1))</f>
        <v>G950-15935-13</v>
      </c>
      <c r="J78" s="894" t="str">
        <f t="array" ref="J78">if(isblank(F78),"",xlookup(G78,z_Others!$B$5:$B$17,z_Others!$C$5:$C$17,"",0,1))</f>
        <v>智能手機</v>
      </c>
      <c r="K78" s="894" t="str">
        <f t="array" ref="K78">if(isblank(F78),"",xlookup(G78,z_Others!$B$5:$B$17,z_Others!$E$5:$E$17,"",0,1))</f>
        <v>智能手機</v>
      </c>
      <c r="L78" s="894" t="str">
        <f t="array" ref="L78">if(isblank(F78),"",xlookup(G78,z_Others!$B$5:$B$17,z_Others!$F$5:$F$17,"",0,1))</f>
        <v>智能手機</v>
      </c>
      <c r="M78" s="894" t="str">
        <f t="shared" si="3"/>
        <v>Google</v>
      </c>
      <c r="N78" s="894" t="str">
        <f t="shared" si="4"/>
        <v>境外品牌（貼牌生產)</v>
      </c>
      <c r="O78" s="882" t="str">
        <f t="array" ref="O78">if(isblank(F78),"",xlookup(F78,'FL5_POR_包裝對照表 (Mapping Table)'!E:E,'FL5_POR_包裝對照表 (Mapping Table)'!L:L,"",0,1))</f>
        <v>GK2MP</v>
      </c>
      <c r="P78" s="895">
        <f t="array" ref="P78">if(isblank(F78),"",xlookup(G78,z_Others!$B$5:$B$17,z_Others!$J$5:$J$17,"",0,1))</f>
        <v>0.2029</v>
      </c>
      <c r="Q78" s="896">
        <f t="array" ref="Q78">if(isblank(F78),"",xlookup(F78,'FL5_POR_核價 (經管 &amp; BPM)'!E:E,'FL5_POR_核價 (經管 &amp; BPM)'!O:O,"",0,1))</f>
        <v>430.06</v>
      </c>
      <c r="R78" s="894" t="str">
        <f t="shared" si="5"/>
        <v>否</v>
      </c>
      <c r="S78" s="897" t="str">
        <f t="array" ref="S78">if(isblank(F78),"",xlookup(G78,z_Others!$B$5:$B$17,z_Others!$K$5:$K$17,"",0,1))</f>
        <v>(1) 說明書
(2) C-2-C USB 數據線</v>
      </c>
      <c r="T78" s="894" t="str">
        <f t="shared" si="6"/>
        <v>開發手機中框組件模型(適用于Google 牌手機)</v>
      </c>
      <c r="U78" s="898" t="str">
        <f t="array" ref="U78">if(isblank(F78),"",xlookup(G78,z_Others!$B$5:$B$17,z_Others!$G$5:$G$17,"",0,1))</f>
        <v>無線通話用</v>
      </c>
      <c r="V78" s="231" t="str">
        <f t="array" ref="V78">if(isblank(F78),"",xlookup(F78,'FL5_POR_包裝對照表 (Mapping Table)'!E:E,'FL5_POR_包裝對照表 (Mapping Table)'!AB:AB,"",0,1))</f>
        <v>SKU, CLR4, GOOD, SUB6, CA/TW/SG/MY/AU/MX, DEMO, FL5</v>
      </c>
      <c r="W78" s="899" t="str">
        <f t="array" ref="W78">if(isblank(F78),"",xlookup(G78,z_Others!$B$5:$B$17,z_Others!$I$5:$I$17,"",0,1))</f>
        <v>152.83 x 71.98 x 12.01</v>
      </c>
      <c r="X78" s="894" t="str">
        <f t="shared" si="7"/>
        <v>Google</v>
      </c>
      <c r="Y78" s="894" t="str">
        <f t="shared" si="8"/>
        <v>Tensor series</v>
      </c>
      <c r="Z78" s="900" t="str">
        <f t="shared" si="9"/>
        <v>蜂窩網絡</v>
      </c>
      <c r="AA78" s="900" t="str">
        <f t="shared" si="10"/>
        <v>WCDMA&amp;GSM&amp;LTE&amp;5G制式</v>
      </c>
      <c r="AB78" s="878" t="str">
        <f t="array" ref="AB78">if(isblank(F78),"",xlookup(AJ78,z_Others!$M$5:$M$9,z_Others!$Q$5:$Q$9,"",0,1))</f>
        <v>直板、6.29 英寸彩屏、內存128G、GPRS、藍牙、前攝1100萬、後攝1200/5000萬</v>
      </c>
      <c r="AC78" s="900" t="str">
        <f t="shared" si="11"/>
        <v>中國</v>
      </c>
      <c r="AD78" s="894" t="str">
        <f t="array" ref="AD78">if(isblank(F78),"",xlookup(G78,z_Others!$B$5:$B$14,z_Others!$H$5:$H$14,"",0,1))</f>
        <v>附件07 (FATP手機)</v>
      </c>
      <c r="AE78" s="901" t="str">
        <f t="shared" si="12"/>
        <v>Foxconn</v>
      </c>
      <c r="AF78" s="791">
        <v>45783.0</v>
      </c>
      <c r="AG78" s="791">
        <f t="shared" si="16"/>
        <v>45843</v>
      </c>
      <c r="AH78" s="902">
        <v>45803.0</v>
      </c>
      <c r="AI78" s="787">
        <v>45799.0</v>
      </c>
      <c r="AJ78" s="677" t="str">
        <f t="array" ref="AJ78">if(isblank(F78),"",xlookup(F78,'FL5_POR_包裝對照表 (Mapping Table)'!E:E,'FL5_POR_包裝對照表 (Mapping Table)'!AS:AS,"",0,1))</f>
        <v>128GB</v>
      </c>
      <c r="AK78" s="677" t="str">
        <f t="array" ref="AK78">if(isblank(F78),"",xlookup(F78,'FL5_POR_包裝對照表 (Mapping Table)'!E:E,'FL5_POR_包裝對照表 (Mapping Table)'!K:K,"",0,1))</f>
        <v>BUE</v>
      </c>
      <c r="AL78" s="677">
        <v>3120.0</v>
      </c>
      <c r="AM78" s="811"/>
      <c r="AN78" s="888" t="str">
        <f t="array" ref="AN78">xlookup(F78,'FL5_POR_包裝對照表 (Mapping Table)'!E:E,'FL5_POR_包裝對照表 (Mapping Table)'!BM:BM,"",0,1)</f>
        <v>No demand</v>
      </c>
      <c r="AO78" s="813"/>
      <c r="AP78" s="813"/>
    </row>
    <row r="79" ht="25.5" customHeight="1">
      <c r="A79" s="889"/>
      <c r="B79" s="877">
        <v>73.0</v>
      </c>
      <c r="C79" s="891" t="str">
        <f>if(isblank(F79),"",'FL5_POR_包裝對照表 (Mapping Table)'!$E$4)</f>
        <v>GFL (FL5)</v>
      </c>
      <c r="D79" s="878" t="str">
        <f t="array" ref="D79">if(isblank(F79),"",xlookup(F79,'FL5_POR_包裝對照表 (Mapping Table)'!E:E,'FL5_POR_包裝對照表 (Mapping Table)'!AZ:AZ,"",0,1))</f>
        <v>MP</v>
      </c>
      <c r="E79" s="677" t="str">
        <f t="shared" si="2"/>
        <v>Close</v>
      </c>
      <c r="F79" s="879" t="s">
        <v>1050</v>
      </c>
      <c r="G79" s="892" t="str">
        <f t="array" ref="G79">if(isblank(F79),"",xlookup(F79,'FL5_POR_包裝對照表 (Mapping Table)'!E:E,'FL5_POR_包裝對照表 (Mapping Table)'!D:D,"",0,1))</f>
        <v>Retail Pack</v>
      </c>
      <c r="H79" s="893" t="str">
        <f t="array" ref="H79">if(isblank(F79),"",xlookup(F79,'FL5_POR_包裝對照表 (Mapping Table)'!E:E,'FL5_POR_包裝對照表 (Mapping Table)'!E:E,"",0,1))</f>
        <v>GA10776-JP</v>
      </c>
      <c r="I79" s="677" t="str">
        <f t="array" ref="I79">if(isblank(F79),"",xlookup(F79,'FL5_POR_包裝對照表 (Mapping Table)'!E:E,'FL5_POR_包裝對照表 (Mapping Table)'!AN:AN,"",0,1))</f>
        <v>G950-15935-13</v>
      </c>
      <c r="J79" s="894" t="str">
        <f t="array" ref="J79">if(isblank(F79),"",xlookup(G79,z_Others!$B$5:$B$17,z_Others!$C$5:$C$17,"",0,1))</f>
        <v>智能手機</v>
      </c>
      <c r="K79" s="894" t="str">
        <f t="array" ref="K79">if(isblank(F79),"",xlookup(G79,z_Others!$B$5:$B$17,z_Others!$E$5:$E$17,"",0,1))</f>
        <v>智能手機</v>
      </c>
      <c r="L79" s="894" t="str">
        <f t="array" ref="L79">if(isblank(F79),"",xlookup(G79,z_Others!$B$5:$B$17,z_Others!$F$5:$F$17,"",0,1))</f>
        <v>智能手機</v>
      </c>
      <c r="M79" s="894" t="str">
        <f t="shared" si="3"/>
        <v>Google</v>
      </c>
      <c r="N79" s="894" t="str">
        <f t="shared" si="4"/>
        <v>境外品牌（貼牌生產)</v>
      </c>
      <c r="O79" s="882" t="str">
        <f t="array" ref="O79">if(isblank(F79),"",xlookup(F79,'FL5_POR_包裝對照表 (Mapping Table)'!E:E,'FL5_POR_包裝對照表 (Mapping Table)'!L:L,"",0,1))</f>
        <v>GL066</v>
      </c>
      <c r="P79" s="895">
        <f t="array" ref="P79">if(isblank(F79),"",xlookup(G79,z_Others!$B$5:$B$17,z_Others!$J$5:$J$17,"",0,1))</f>
        <v>0.2029</v>
      </c>
      <c r="Q79" s="896">
        <f t="array" ref="Q79">if(isblank(F79),"",xlookup(F79,'FL5_POR_核價 (經管 &amp; BPM)'!E:E,'FL5_POR_核價 (經管 &amp; BPM)'!O:O,"",0,1))</f>
        <v>430.03</v>
      </c>
      <c r="R79" s="894" t="str">
        <f t="shared" si="5"/>
        <v>否</v>
      </c>
      <c r="S79" s="897" t="str">
        <f t="array" ref="S79">if(isblank(F79),"",xlookup(G79,z_Others!$B$5:$B$17,z_Others!$K$5:$K$17,"",0,1))</f>
        <v>(1) 說明書
(2) C-2-C USB 數據線</v>
      </c>
      <c r="T79" s="894" t="str">
        <f t="shared" si="6"/>
        <v>開發手機中框組件模型(適用于Google 牌手機)</v>
      </c>
      <c r="U79" s="898" t="str">
        <f t="array" ref="U79">if(isblank(F79),"",xlookup(G79,z_Others!$B$5:$B$17,z_Others!$G$5:$G$17,"",0,1))</f>
        <v>無線通話用</v>
      </c>
      <c r="V79" s="231" t="str">
        <f t="array" ref="V79">if(isblank(F79),"",xlookup(F79,'FL5_POR_包裝對照表 (Mapping Table)'!E:E,'FL5_POR_包裝對照表 (Mapping Table)'!AB:AB,"",0,1))</f>
        <v>SKU, CLR4, GOOD, SUB6, JP, DEMO, FL5</v>
      </c>
      <c r="W79" s="899" t="str">
        <f t="array" ref="W79">if(isblank(F79),"",xlookup(G79,z_Others!$B$5:$B$17,z_Others!$I$5:$I$17,"",0,1))</f>
        <v>152.83 x 71.98 x 12.01</v>
      </c>
      <c r="X79" s="894" t="str">
        <f t="shared" si="7"/>
        <v>Google</v>
      </c>
      <c r="Y79" s="894" t="str">
        <f t="shared" si="8"/>
        <v>Tensor series</v>
      </c>
      <c r="Z79" s="900" t="str">
        <f t="shared" si="9"/>
        <v>蜂窩網絡</v>
      </c>
      <c r="AA79" s="900" t="str">
        <f t="shared" si="10"/>
        <v>WCDMA&amp;GSM&amp;LTE&amp;5G制式</v>
      </c>
      <c r="AB79" s="878" t="str">
        <f t="array" ref="AB79">if(isblank(F79),"",xlookup(AJ79,z_Others!$M$5:$M$9,z_Others!$Q$5:$Q$9,"",0,1))</f>
        <v>直板、6.29 英寸彩屏、內存128G、GPRS、藍牙、前攝1100萬、後攝1200/5000萬</v>
      </c>
      <c r="AC79" s="900" t="str">
        <f t="shared" si="11"/>
        <v>中國</v>
      </c>
      <c r="AD79" s="894" t="str">
        <f t="array" ref="AD79">if(isblank(F79),"",xlookup(G79,z_Others!$B$5:$B$14,z_Others!$H$5:$H$14,"",0,1))</f>
        <v>附件07 (FATP手機)</v>
      </c>
      <c r="AE79" s="901" t="str">
        <f t="shared" si="12"/>
        <v>Foxconn</v>
      </c>
      <c r="AF79" s="791">
        <v>45783.0</v>
      </c>
      <c r="AG79" s="791">
        <f t="shared" si="16"/>
        <v>45843</v>
      </c>
      <c r="AH79" s="902">
        <v>45838.0</v>
      </c>
      <c r="AI79" s="787">
        <v>45799.0</v>
      </c>
      <c r="AJ79" s="677" t="str">
        <f t="array" ref="AJ79">if(isblank(F79),"",xlookup(F79,'FL5_POR_包裝對照表 (Mapping Table)'!E:E,'FL5_POR_包裝對照表 (Mapping Table)'!AS:AS,"",0,1))</f>
        <v>128GB</v>
      </c>
      <c r="AK79" s="677" t="str">
        <f t="array" ref="AK79">if(isblank(F79),"",xlookup(F79,'FL5_POR_包裝對照表 (Mapping Table)'!E:E,'FL5_POR_包裝對照表 (Mapping Table)'!K:K,"",0,1))</f>
        <v>BUE</v>
      </c>
      <c r="AL79" s="677">
        <v>3121.0</v>
      </c>
      <c r="AM79" s="811"/>
      <c r="AN79" s="888" t="str">
        <f t="array" ref="AN79">xlookup(F79,'FL5_POR_包裝對照表 (Mapping Table)'!E:E,'FL5_POR_包裝對照表 (Mapping Table)'!BM:BM,"",0,1)</f>
        <v>No demand</v>
      </c>
      <c r="AO79" s="813"/>
      <c r="AP79" s="813"/>
    </row>
    <row r="80" ht="25.5" customHeight="1">
      <c r="A80" s="903"/>
      <c r="B80" s="877">
        <v>74.0</v>
      </c>
      <c r="C80" s="891" t="str">
        <f>if(isblank(F80),"",'FL5_POR_包裝對照表 (Mapping Table)'!$E$4)</f>
        <v>GFL (FL5)</v>
      </c>
      <c r="D80" s="878" t="str">
        <f t="array" ref="D80">if(isblank(F80),"",xlookup(F80,'FL5_POR_包裝對照表 (Mapping Table)'!E:E,'FL5_POR_包裝對照表 (Mapping Table)'!AZ:AZ,"",0,1))</f>
        <v>MP</v>
      </c>
      <c r="E80" s="677" t="str">
        <f t="shared" si="2"/>
        <v>Close</v>
      </c>
      <c r="F80" s="879" t="s">
        <v>1081</v>
      </c>
      <c r="G80" s="892" t="str">
        <f t="array" ref="G80">if(isblank(F80),"",xlookup(F80,'FL5_POR_包裝對照表 (Mapping Table)'!E:E,'FL5_POR_包裝對照表 (Mapping Table)'!D:D,"",0,1))</f>
        <v>Retail Pack</v>
      </c>
      <c r="H80" s="893" t="str">
        <f t="array" ref="H80">if(isblank(F80),"",xlookup(F80,'FL5_POR_包裝對照表 (Mapping Table)'!E:E,'FL5_POR_包裝對照表 (Mapping Table)'!E:E,"",0,1))</f>
        <v>GA10778-IN</v>
      </c>
      <c r="I80" s="677" t="str">
        <f t="array" ref="I80">if(isblank(F80),"",xlookup(F80,'FL5_POR_包裝對照表 (Mapping Table)'!E:E,'FL5_POR_包裝對照表 (Mapping Table)'!AN:AN,"",0,1))</f>
        <v>G950-15935-17</v>
      </c>
      <c r="J80" s="894" t="str">
        <f t="array" ref="J80">if(isblank(F80),"",xlookup(G80,z_Others!$B$5:$B$17,z_Others!$C$5:$C$17,"",0,1))</f>
        <v>智能手機</v>
      </c>
      <c r="K80" s="894" t="str">
        <f t="array" ref="K80">if(isblank(F80),"",xlookup(G80,z_Others!$B$5:$B$17,z_Others!$E$5:$E$17,"",0,1))</f>
        <v>智能手機</v>
      </c>
      <c r="L80" s="894" t="str">
        <f t="array" ref="L80">if(isblank(F80),"",xlookup(G80,z_Others!$B$5:$B$17,z_Others!$F$5:$F$17,"",0,1))</f>
        <v>智能手機</v>
      </c>
      <c r="M80" s="894" t="str">
        <f t="shared" si="3"/>
        <v>Google</v>
      </c>
      <c r="N80" s="894" t="str">
        <f t="shared" si="4"/>
        <v>境外品牌（貼牌生產)</v>
      </c>
      <c r="O80" s="882" t="str">
        <f t="array" ref="O80">if(isblank(F80),"",xlookup(F80,'FL5_POR_包裝對照表 (Mapping Table)'!E:E,'FL5_POR_包裝對照表 (Mapping Table)'!L:L,"",0,1))</f>
        <v>GK2MP</v>
      </c>
      <c r="P80" s="895">
        <f t="array" ref="P80">if(isblank(F80),"",xlookup(G80,z_Others!$B$5:$B$17,z_Others!$J$5:$J$17,"",0,1))</f>
        <v>0.2029</v>
      </c>
      <c r="Q80" s="896">
        <f t="array" ref="Q80">if(isblank(F80),"",xlookup(F80,'FL5_POR_核價 (經管 &amp; BPM)'!E:E,'FL5_POR_核價 (經管 &amp; BPM)'!O:O,"",0,1))</f>
        <v>436.04</v>
      </c>
      <c r="R80" s="894" t="str">
        <f t="shared" si="5"/>
        <v>否</v>
      </c>
      <c r="S80" s="897" t="str">
        <f t="array" ref="S80">if(isblank(F80),"",xlookup(G80,z_Others!$B$5:$B$17,z_Others!$K$5:$K$17,"",0,1))</f>
        <v>(1) 說明書
(2) C-2-C USB 數據線</v>
      </c>
      <c r="T80" s="894" t="str">
        <f t="shared" si="6"/>
        <v>開發手機中框組件模型(適用于Google 牌手機)</v>
      </c>
      <c r="U80" s="898" t="str">
        <f t="array" ref="U80">if(isblank(F80),"",xlookup(G80,z_Others!$B$5:$B$17,z_Others!$G$5:$G$17,"",0,1))</f>
        <v>無線通話用</v>
      </c>
      <c r="V80" s="231" t="str">
        <f t="array" ref="V80">if(isblank(F80),"",xlookup(F80,'FL5_POR_包裝對照表 (Mapping Table)'!E:E,'FL5_POR_包裝對照表 (Mapping Table)'!AB:AB,"",0,1))</f>
        <v>SKU, CLR4, BETTER, SUB6, IN, DEMO, FL5</v>
      </c>
      <c r="W80" s="899" t="str">
        <f t="array" ref="W80">if(isblank(F80),"",xlookup(G80,z_Others!$B$5:$B$17,z_Others!$I$5:$I$17,"",0,1))</f>
        <v>152.83 x 71.98 x 12.01</v>
      </c>
      <c r="X80" s="894" t="str">
        <f t="shared" si="7"/>
        <v>Google</v>
      </c>
      <c r="Y80" s="894" t="str">
        <f t="shared" si="8"/>
        <v>Tensor series</v>
      </c>
      <c r="Z80" s="900" t="str">
        <f t="shared" si="9"/>
        <v>蜂窩網絡</v>
      </c>
      <c r="AA80" s="900" t="str">
        <f t="shared" si="10"/>
        <v>WCDMA&amp;GSM&amp;LTE&amp;5G制式</v>
      </c>
      <c r="AB80" s="878" t="str">
        <f t="array" ref="AB80">if(isblank(F80),"",xlookup(AJ80,z_Others!$M$5:$M$9,z_Others!$Q$5:$Q$9,"",0,1))</f>
        <v>直板、6.29 英寸彩屏、內存256G、GPRS、藍牙、前攝1100萬、後攝1200/5000萬</v>
      </c>
      <c r="AC80" s="900" t="str">
        <f t="shared" si="11"/>
        <v>中國</v>
      </c>
      <c r="AD80" s="894" t="str">
        <f t="array" ref="AD80">if(isblank(F80),"",xlookup(G80,z_Others!$B$5:$B$14,z_Others!$H$5:$H$14,"",0,1))</f>
        <v>附件07 (FATP手機)</v>
      </c>
      <c r="AE80" s="901" t="str">
        <f t="shared" si="12"/>
        <v>Foxconn</v>
      </c>
      <c r="AF80" s="791">
        <v>45783.0</v>
      </c>
      <c r="AG80" s="791">
        <f t="shared" si="16"/>
        <v>45843</v>
      </c>
      <c r="AH80" s="902">
        <v>45859.0</v>
      </c>
      <c r="AI80" s="787">
        <v>45799.0</v>
      </c>
      <c r="AJ80" s="677" t="str">
        <f t="array" ref="AJ80">if(isblank(F80),"",xlookup(F80,'FL5_POR_包裝對照表 (Mapping Table)'!E:E,'FL5_POR_包裝對照表 (Mapping Table)'!AS:AS,"",0,1))</f>
        <v>256GB</v>
      </c>
      <c r="AK80" s="677" t="str">
        <f t="array" ref="AK80">if(isblank(F80),"",xlookup(F80,'FL5_POR_包裝對照表 (Mapping Table)'!E:E,'FL5_POR_包裝對照表 (Mapping Table)'!K:K,"",0,1))</f>
        <v>BUE</v>
      </c>
      <c r="AL80" s="677">
        <v>3119.0</v>
      </c>
      <c r="AM80" s="811"/>
      <c r="AN80" s="888" t="str">
        <f t="array" ref="AN80">xlookup(F80,'FL5_POR_包裝對照表 (Mapping Table)'!E:E,'FL5_POR_包裝對照表 (Mapping Table)'!BM:BM,"",0,1)</f>
        <v>No demand</v>
      </c>
      <c r="AO80" s="813"/>
      <c r="AP80" s="813"/>
    </row>
    <row r="81" ht="25.5" customHeight="1">
      <c r="A81" s="889"/>
      <c r="B81" s="877">
        <v>75.0</v>
      </c>
      <c r="C81" s="891" t="str">
        <f>if(isblank(F81),"",'FL5_POR_包裝對照表 (Mapping Table)'!$E$4)</f>
        <v>GFL (FL5)</v>
      </c>
      <c r="D81" s="878" t="str">
        <f t="array" ref="D81">if(isblank(F81),"",xlookup(F81,'FL5_POR_包裝對照表 (Mapping Table)'!E:E,'FL5_POR_包裝對照表 (Mapping Table)'!AZ:AZ,"",0,1))</f>
        <v>MP</v>
      </c>
      <c r="E81" s="677" t="str">
        <f t="shared" si="2"/>
        <v>Close</v>
      </c>
      <c r="F81" s="879" t="s">
        <v>798</v>
      </c>
      <c r="G81" s="892" t="str">
        <f t="array" ref="G81">if(isblank(F81),"",xlookup(F81,'FL5_POR_包裝對照表 (Mapping Table)'!E:E,'FL5_POR_包裝對照表 (Mapping Table)'!D:D,"",0,1))</f>
        <v>Bulk Pack</v>
      </c>
      <c r="H81" s="893" t="str">
        <f t="array" ref="H81">if(isblank(F81),"",xlookup(F81,'FL5_POR_包裝對照表 (Mapping Table)'!E:E,'FL5_POR_包裝對照表 (Mapping Table)'!E:E,"",0,1))</f>
        <v>CLNRGA09744</v>
      </c>
      <c r="I81" s="677" t="str">
        <f t="array" ref="I81">if(isblank(F81),"",xlookup(F81,'FL5_POR_包裝對照表 (Mapping Table)'!E:E,'FL5_POR_包裝對照表 (Mapping Table)'!AN:AN,"",0,1))</f>
        <v>G950-15935-00</v>
      </c>
      <c r="J81" s="894" t="str">
        <f t="array" ref="J81">if(isblank(F81),"",xlookup(G81,z_Others!$B$5:$B$17,z_Others!$C$5:$C$17,"",0,1))</f>
        <v>智能手機</v>
      </c>
      <c r="K81" s="894" t="str">
        <f t="array" ref="K81">if(isblank(F81),"",xlookup(G81,z_Others!$B$5:$B$17,z_Others!$E$5:$E$17,"",0,1))</f>
        <v>智能手機</v>
      </c>
      <c r="L81" s="894" t="str">
        <f t="array" ref="L81">if(isblank(F81),"",xlookup(G81,z_Others!$B$5:$B$17,z_Others!$F$5:$F$17,"",0,1))</f>
        <v>智能手機</v>
      </c>
      <c r="M81" s="894" t="str">
        <f t="shared" si="3"/>
        <v>Google</v>
      </c>
      <c r="N81" s="894" t="str">
        <f t="shared" si="4"/>
        <v>境外品牌（貼牌生產)</v>
      </c>
      <c r="O81" s="882" t="str">
        <f t="array" ref="O81">if(isblank(F81),"",xlookup(F81,'FL5_POR_包裝對照表 (Mapping Table)'!E:E,'FL5_POR_包裝對照表 (Mapping Table)'!L:L,"",0,1))</f>
        <v>GLBW0</v>
      </c>
      <c r="P81" s="895">
        <f t="array" ref="P81">if(isblank(F81),"",xlookup(G81,z_Others!$B$5:$B$17,z_Others!$J$5:$J$17,"",0,1))</f>
        <v>0.2029</v>
      </c>
      <c r="Q81" s="896">
        <f t="array" ref="Q81">if(isblank(F81),"",xlookup(F81,'FL5_POR_核價 (經管 &amp; BPM)'!E:E,'FL5_POR_核價 (經管 &amp; BPM)'!O:O,"",0,1))</f>
        <v>445.63</v>
      </c>
      <c r="R81" s="894" t="str">
        <f t="shared" si="5"/>
        <v>否</v>
      </c>
      <c r="S81" s="897" t="str">
        <f t="array" ref="S81">if(isblank(F81),"",xlookup(G81,z_Others!$B$5:$B$17,z_Others!$K$5:$K$17,"",0,1))</f>
        <v>無附件</v>
      </c>
      <c r="T81" s="894" t="str">
        <f t="shared" si="6"/>
        <v>開發手機中框組件模型(適用于Google 牌手機)</v>
      </c>
      <c r="U81" s="898" t="str">
        <f t="array" ref="U81">if(isblank(F81),"",xlookup(G81,z_Others!$B$5:$B$17,z_Others!$G$5:$G$17,"",0,1))</f>
        <v>無線通話用</v>
      </c>
      <c r="V81" s="231" t="str">
        <f t="array" ref="V81">if(isblank(F81),"",xlookup(F81,'FL5_POR_包裝對照表 (Mapping Table)'!E:E,'FL5_POR_包裝對照表 (Mapping Table)'!AB:AB,"",0,1))</f>
        <v>SKU, CLR1, GOOD, MMWAVE, GSTORE, FL5, FRU</v>
      </c>
      <c r="W81" s="899" t="str">
        <f t="array" ref="W81">if(isblank(F81),"",xlookup(G81,z_Others!$B$5:$B$17,z_Others!$I$5:$I$17,"",0,1))</f>
        <v>152.83 x 71.98 x 12.01</v>
      </c>
      <c r="X81" s="894" t="str">
        <f t="shared" si="7"/>
        <v>Google</v>
      </c>
      <c r="Y81" s="894" t="str">
        <f t="shared" si="8"/>
        <v>Tensor series</v>
      </c>
      <c r="Z81" s="900" t="str">
        <f t="shared" si="9"/>
        <v>蜂窩網絡</v>
      </c>
      <c r="AA81" s="900" t="str">
        <f t="shared" si="10"/>
        <v>WCDMA&amp;GSM&amp;LTE&amp;5G制式</v>
      </c>
      <c r="AB81" s="878" t="str">
        <f t="array" ref="AB81">if(isblank(F81),"",xlookup(AJ81,z_Others!$M$5:$M$9,z_Others!$Q$5:$Q$9,"",0,1))</f>
        <v>直板、6.29 英寸彩屏、內存128G、GPRS、藍牙、前攝1100萬、後攝1200/5000萬</v>
      </c>
      <c r="AC81" s="900" t="str">
        <f t="shared" si="11"/>
        <v>中國</v>
      </c>
      <c r="AD81" s="894" t="str">
        <f t="array" ref="AD81">if(isblank(F81),"",xlookup(G81,z_Others!$B$5:$B$14,z_Others!$H$5:$H$14,"",0,1))</f>
        <v>附件07 (FATP手機)</v>
      </c>
      <c r="AE81" s="901" t="str">
        <f t="shared" si="12"/>
        <v>Foxconn</v>
      </c>
      <c r="AF81" s="791">
        <v>45783.0</v>
      </c>
      <c r="AG81" s="791">
        <f t="shared" ref="AG81:AG136" si="17">if(isblank(AF81),"",_xlfn.WORKDAY.INTL(AF81,65,11))</f>
        <v>45859</v>
      </c>
      <c r="AH81" s="902">
        <v>45803.0</v>
      </c>
      <c r="AI81" s="787">
        <v>45799.0</v>
      </c>
      <c r="AJ81" s="677" t="str">
        <f t="array" ref="AJ81">if(isblank(F81),"",xlookup(F81,'FL5_POR_包裝對照表 (Mapping Table)'!E:E,'FL5_POR_包裝對照表 (Mapping Table)'!AS:AS,"",0,1))</f>
        <v>128GB</v>
      </c>
      <c r="AK81" s="677" t="str">
        <f t="array" ref="AK81">if(isblank(F81),"",xlookup(F81,'FL5_POR_包裝對照表 (Mapping Table)'!E:E,'FL5_POR_包裝對照表 (Mapping Table)'!K:K,"",0,1))</f>
        <v>BLK</v>
      </c>
      <c r="AL81" s="677">
        <v>3127.0</v>
      </c>
      <c r="AM81" s="811"/>
      <c r="AN81" s="888" t="str">
        <f t="array" ref="AN81">xlookup(F81,'FL5_POR_包裝對照表 (Mapping Table)'!E:E,'FL5_POR_包裝對照表 (Mapping Table)'!BM:BM,"",0,1)</f>
        <v>No demand</v>
      </c>
      <c r="AO81" s="813"/>
      <c r="AP81" s="813"/>
    </row>
    <row r="82" ht="25.5" customHeight="1">
      <c r="A82" s="889"/>
      <c r="B82" s="877">
        <v>76.0</v>
      </c>
      <c r="C82" s="891" t="str">
        <f>if(isblank(F82),"",'FL5_POR_包裝對照表 (Mapping Table)'!$E$4)</f>
        <v>GFL (FL5)</v>
      </c>
      <c r="D82" s="878" t="str">
        <f t="array" ref="D82">if(isblank(F82),"",xlookup(F82,'FL5_POR_包裝對照表 (Mapping Table)'!E:E,'FL5_POR_包裝對照表 (Mapping Table)'!AZ:AZ,"",0,1))</f>
        <v>MP</v>
      </c>
      <c r="E82" s="677" t="str">
        <f t="shared" si="2"/>
        <v>Close</v>
      </c>
      <c r="F82" s="879" t="s">
        <v>787</v>
      </c>
      <c r="G82" s="892" t="str">
        <f t="array" ref="G82">if(isblank(F82),"",xlookup(F82,'FL5_POR_包裝對照表 (Mapping Table)'!E:E,'FL5_POR_包裝對照表 (Mapping Table)'!D:D,"",0,1))</f>
        <v>Bulk Pack</v>
      </c>
      <c r="H82" s="893" t="str">
        <f t="array" ref="H82">if(isblank(F82),"",xlookup(F82,'FL5_POR_包裝對照表 (Mapping Table)'!E:E,'FL5_POR_包裝對照表 (Mapping Table)'!E:E,"",0,1))</f>
        <v>CLNRGA09862</v>
      </c>
      <c r="I82" s="677" t="str">
        <f t="array" ref="I82">if(isblank(F82),"",xlookup(F82,'FL5_POR_包裝對照表 (Mapping Table)'!E:E,'FL5_POR_包裝對照表 (Mapping Table)'!AN:AN,"",0,1))</f>
        <v>G950-15935-00</v>
      </c>
      <c r="J82" s="894" t="str">
        <f t="array" ref="J82">if(isblank(F82),"",xlookup(G82,z_Others!$B$5:$B$17,z_Others!$C$5:$C$17,"",0,1))</f>
        <v>智能手機</v>
      </c>
      <c r="K82" s="894" t="str">
        <f t="array" ref="K82">if(isblank(F82),"",xlookup(G82,z_Others!$B$5:$B$17,z_Others!$E$5:$E$17,"",0,1))</f>
        <v>智能手機</v>
      </c>
      <c r="L82" s="894" t="str">
        <f t="array" ref="L82">if(isblank(F82),"",xlookup(G82,z_Others!$B$5:$B$17,z_Others!$F$5:$F$17,"",0,1))</f>
        <v>智能手機</v>
      </c>
      <c r="M82" s="894" t="str">
        <f t="shared" si="3"/>
        <v>Google</v>
      </c>
      <c r="N82" s="894" t="str">
        <f t="shared" si="4"/>
        <v>境外品牌（貼牌生產)</v>
      </c>
      <c r="O82" s="882" t="str">
        <f t="array" ref="O82">if(isblank(F82),"",xlookup(F82,'FL5_POR_包裝對照表 (Mapping Table)'!E:E,'FL5_POR_包裝對照表 (Mapping Table)'!L:L,"",0,1))</f>
        <v>GLBW0</v>
      </c>
      <c r="P82" s="895">
        <f t="array" ref="P82">if(isblank(F82),"",xlookup(G82,z_Others!$B$5:$B$17,z_Others!$J$5:$J$17,"",0,1))</f>
        <v>0.2029</v>
      </c>
      <c r="Q82" s="896">
        <f t="array" ref="Q82">if(isblank(F82),"",xlookup(F82,'FL5_POR_核價 (經管 &amp; BPM)'!E:E,'FL5_POR_核價 (經管 &amp; BPM)'!O:O,"",0,1))</f>
        <v>445.63</v>
      </c>
      <c r="R82" s="894" t="str">
        <f t="shared" si="5"/>
        <v>否</v>
      </c>
      <c r="S82" s="897" t="str">
        <f t="array" ref="S82">if(isblank(F82),"",xlookup(G82,z_Others!$B$5:$B$17,z_Others!$K$5:$K$17,"",0,1))</f>
        <v>無附件</v>
      </c>
      <c r="T82" s="894" t="str">
        <f t="shared" si="6"/>
        <v>開發手機中框組件模型(適用于Google 牌手機)</v>
      </c>
      <c r="U82" s="898" t="str">
        <f t="array" ref="U82">if(isblank(F82),"",xlookup(G82,z_Others!$B$5:$B$17,z_Others!$G$5:$G$17,"",0,1))</f>
        <v>無線通話用</v>
      </c>
      <c r="V82" s="231" t="str">
        <f t="array" ref="V82">if(isblank(F82),"",xlookup(F82,'FL5_POR_包裝對照表 (Mapping Table)'!E:E,'FL5_POR_包裝對照表 (Mapping Table)'!AB:AB,"",0,1))</f>
        <v>SKU, CLR1, GOOD, MMWAVE, TMO, FL5, FRU</v>
      </c>
      <c r="W82" s="899" t="str">
        <f t="array" ref="W82">if(isblank(F82),"",xlookup(G82,z_Others!$B$5:$B$17,z_Others!$I$5:$I$17,"",0,1))</f>
        <v>152.83 x 71.98 x 12.01</v>
      </c>
      <c r="X82" s="894" t="str">
        <f t="shared" si="7"/>
        <v>Google</v>
      </c>
      <c r="Y82" s="894" t="str">
        <f t="shared" si="8"/>
        <v>Tensor series</v>
      </c>
      <c r="Z82" s="900" t="str">
        <f t="shared" si="9"/>
        <v>蜂窩網絡</v>
      </c>
      <c r="AA82" s="900" t="str">
        <f t="shared" si="10"/>
        <v>WCDMA&amp;GSM&amp;LTE&amp;5G制式</v>
      </c>
      <c r="AB82" s="878" t="str">
        <f t="array" ref="AB82">if(isblank(F82),"",xlookup(AJ82,z_Others!$M$5:$M$9,z_Others!$Q$5:$Q$9,"",0,1))</f>
        <v>直板、6.29 英寸彩屏、內存128G、GPRS、藍牙、前攝1100萬、後攝1200/5000萬</v>
      </c>
      <c r="AC82" s="900" t="str">
        <f t="shared" si="11"/>
        <v>中國</v>
      </c>
      <c r="AD82" s="894" t="str">
        <f t="array" ref="AD82">if(isblank(F82),"",xlookup(G82,z_Others!$B$5:$B$14,z_Others!$H$5:$H$14,"",0,1))</f>
        <v>附件07 (FATP手機)</v>
      </c>
      <c r="AE82" s="901" t="str">
        <f t="shared" si="12"/>
        <v>Foxconn</v>
      </c>
      <c r="AF82" s="791">
        <v>45783.0</v>
      </c>
      <c r="AG82" s="791">
        <f t="shared" si="17"/>
        <v>45859</v>
      </c>
      <c r="AH82" s="902">
        <v>45803.0</v>
      </c>
      <c r="AI82" s="787">
        <v>45799.0</v>
      </c>
      <c r="AJ82" s="677" t="str">
        <f t="array" ref="AJ82">if(isblank(F82),"",xlookup(F82,'FL5_POR_包裝對照表 (Mapping Table)'!E:E,'FL5_POR_包裝對照表 (Mapping Table)'!AS:AS,"",0,1))</f>
        <v>128GB</v>
      </c>
      <c r="AK82" s="677" t="str">
        <f t="array" ref="AK82">if(isblank(F82),"",xlookup(F82,'FL5_POR_包裝對照表 (Mapping Table)'!E:E,'FL5_POR_包裝對照表 (Mapping Table)'!K:K,"",0,1))</f>
        <v>BLK</v>
      </c>
      <c r="AL82" s="677">
        <v>3126.0</v>
      </c>
      <c r="AM82" s="811"/>
      <c r="AN82" s="888" t="str">
        <f t="array" ref="AN82">xlookup(F82,'FL5_POR_包裝對照表 (Mapping Table)'!E:E,'FL5_POR_包裝對照表 (Mapping Table)'!BM:BM,"",0,1)</f>
        <v>No demand</v>
      </c>
      <c r="AO82" s="813"/>
      <c r="AP82" s="813"/>
    </row>
    <row r="83" ht="25.5" customHeight="1">
      <c r="A83" s="889"/>
      <c r="B83" s="877">
        <v>77.0</v>
      </c>
      <c r="C83" s="891" t="str">
        <f>if(isblank(F83),"",'FL5_POR_包裝對照表 (Mapping Table)'!$E$4)</f>
        <v>GFL (FL5)</v>
      </c>
      <c r="D83" s="878" t="str">
        <f t="array" ref="D83">if(isblank(F83),"",xlookup(F83,'FL5_POR_包裝對照表 (Mapping Table)'!E:E,'FL5_POR_包裝對照表 (Mapping Table)'!AZ:AZ,"",0,1))</f>
        <v>MP</v>
      </c>
      <c r="E83" s="677" t="str">
        <f t="shared" si="2"/>
        <v>Close</v>
      </c>
      <c r="F83" s="879" t="s">
        <v>867</v>
      </c>
      <c r="G83" s="892" t="str">
        <f t="array" ref="G83">if(isblank(F83),"",xlookup(F83,'FL5_POR_包裝對照表 (Mapping Table)'!E:E,'FL5_POR_包裝對照表 (Mapping Table)'!D:D,"",0,1))</f>
        <v>Bulk Pack</v>
      </c>
      <c r="H83" s="893" t="str">
        <f t="array" ref="H83">if(isblank(F83),"",xlookup(F83,'FL5_POR_包裝對照表 (Mapping Table)'!E:E,'FL5_POR_包裝對照表 (Mapping Table)'!E:E,"",0,1))</f>
        <v>CLNRGA09882</v>
      </c>
      <c r="I83" s="677" t="str">
        <f t="array" ref="I83">if(isblank(F83),"",xlookup(F83,'FL5_POR_包裝對照表 (Mapping Table)'!E:E,'FL5_POR_包裝對照表 (Mapping Table)'!AN:AN,"",0,1))</f>
        <v>G950-15935-04</v>
      </c>
      <c r="J83" s="894" t="str">
        <f t="array" ref="J83">if(isblank(F83),"",xlookup(G83,z_Others!$B$5:$B$17,z_Others!$C$5:$C$17,"",0,1))</f>
        <v>智能手機</v>
      </c>
      <c r="K83" s="894" t="str">
        <f t="array" ref="K83">if(isblank(F83),"",xlookup(G83,z_Others!$B$5:$B$17,z_Others!$E$5:$E$17,"",0,1))</f>
        <v>智能手機</v>
      </c>
      <c r="L83" s="894" t="str">
        <f t="array" ref="L83">if(isblank(F83),"",xlookup(G83,z_Others!$B$5:$B$17,z_Others!$F$5:$F$17,"",0,1))</f>
        <v>智能手機</v>
      </c>
      <c r="M83" s="894" t="str">
        <f t="shared" si="3"/>
        <v>Google</v>
      </c>
      <c r="N83" s="894" t="str">
        <f t="shared" si="4"/>
        <v>境外品牌（貼牌生產)</v>
      </c>
      <c r="O83" s="882" t="str">
        <f t="array" ref="O83">if(isblank(F83),"",xlookup(F83,'FL5_POR_包裝對照表 (Mapping Table)'!E:E,'FL5_POR_包裝對照表 (Mapping Table)'!L:L,"",0,1))</f>
        <v>GLBW0</v>
      </c>
      <c r="P83" s="895">
        <f t="array" ref="P83">if(isblank(F83),"",xlookup(G83,z_Others!$B$5:$B$17,z_Others!$J$5:$J$17,"",0,1))</f>
        <v>0.2029</v>
      </c>
      <c r="Q83" s="896">
        <f t="array" ref="Q83">if(isblank(F83),"",xlookup(F83,'FL5_POR_核價 (經管 &amp; BPM)'!E:E,'FL5_POR_核價 (經管 &amp; BPM)'!O:O,"",0,1))</f>
        <v>451.63</v>
      </c>
      <c r="R83" s="894" t="str">
        <f t="shared" si="5"/>
        <v>否</v>
      </c>
      <c r="S83" s="897" t="str">
        <f t="array" ref="S83">if(isblank(F83),"",xlookup(G83,z_Others!$B$5:$B$17,z_Others!$K$5:$K$17,"",0,1))</f>
        <v>無附件</v>
      </c>
      <c r="T83" s="894" t="str">
        <f t="shared" si="6"/>
        <v>開發手機中框組件模型(適用于Google 牌手機)</v>
      </c>
      <c r="U83" s="898" t="str">
        <f t="array" ref="U83">if(isblank(F83),"",xlookup(G83,z_Others!$B$5:$B$17,z_Others!$G$5:$G$17,"",0,1))</f>
        <v>無線通話用</v>
      </c>
      <c r="V83" s="231" t="str">
        <f t="array" ref="V83">if(isblank(F83),"",xlookup(F83,'FL5_POR_包裝對照表 (Mapping Table)'!E:E,'FL5_POR_包裝對照表 (Mapping Table)'!AB:AB,"",0,1))</f>
        <v>SKU, CLR1, BETTER, MMWAVE, TMO, FL5, FRU</v>
      </c>
      <c r="W83" s="899" t="str">
        <f t="array" ref="W83">if(isblank(F83),"",xlookup(G83,z_Others!$B$5:$B$17,z_Others!$I$5:$I$17,"",0,1))</f>
        <v>152.83 x 71.98 x 12.01</v>
      </c>
      <c r="X83" s="894" t="str">
        <f t="shared" si="7"/>
        <v>Google</v>
      </c>
      <c r="Y83" s="894" t="str">
        <f t="shared" si="8"/>
        <v>Tensor series</v>
      </c>
      <c r="Z83" s="900" t="str">
        <f t="shared" si="9"/>
        <v>蜂窩網絡</v>
      </c>
      <c r="AA83" s="900" t="str">
        <f t="shared" si="10"/>
        <v>WCDMA&amp;GSM&amp;LTE&amp;5G制式</v>
      </c>
      <c r="AB83" s="878" t="str">
        <f t="array" ref="AB83">if(isblank(F83),"",xlookup(AJ83,z_Others!$M$5:$M$9,z_Others!$Q$5:$Q$9,"",0,1))</f>
        <v>直板、6.29 英寸彩屏、內存256G、GPRS、藍牙、前攝1100萬、後攝1200/5000萬</v>
      </c>
      <c r="AC83" s="900" t="str">
        <f t="shared" si="11"/>
        <v>中國</v>
      </c>
      <c r="AD83" s="894" t="str">
        <f t="array" ref="AD83">if(isblank(F83),"",xlookup(G83,z_Others!$B$5:$B$14,z_Others!$H$5:$H$14,"",0,1))</f>
        <v>附件07 (FATP手機)</v>
      </c>
      <c r="AE83" s="901" t="str">
        <f t="shared" si="12"/>
        <v>Foxconn</v>
      </c>
      <c r="AF83" s="791">
        <v>45783.0</v>
      </c>
      <c r="AG83" s="791">
        <f t="shared" si="17"/>
        <v>45859</v>
      </c>
      <c r="AH83" s="902">
        <v>45803.0</v>
      </c>
      <c r="AI83" s="787">
        <v>45799.0</v>
      </c>
      <c r="AJ83" s="677" t="str">
        <f t="array" ref="AJ83">if(isblank(F83),"",xlookup(F83,'FL5_POR_包裝對照表 (Mapping Table)'!E:E,'FL5_POR_包裝對照表 (Mapping Table)'!AS:AS,"",0,1))</f>
        <v>256GB</v>
      </c>
      <c r="AK83" s="677" t="str">
        <f t="array" ref="AK83">if(isblank(F83),"",xlookup(F83,'FL5_POR_包裝對照表 (Mapping Table)'!E:E,'FL5_POR_包裝對照表 (Mapping Table)'!K:K,"",0,1))</f>
        <v>BLK</v>
      </c>
      <c r="AL83" s="677">
        <v>3118.0</v>
      </c>
      <c r="AM83" s="811"/>
      <c r="AN83" s="888" t="str">
        <f t="array" ref="AN83">xlookup(F83,'FL5_POR_包裝對照表 (Mapping Table)'!E:E,'FL5_POR_包裝對照表 (Mapping Table)'!BM:BM,"",0,1)</f>
        <v>No demand</v>
      </c>
      <c r="AO83" s="813"/>
      <c r="AP83" s="813"/>
    </row>
    <row r="84" ht="25.5" customHeight="1">
      <c r="A84" s="889"/>
      <c r="B84" s="877">
        <v>78.0</v>
      </c>
      <c r="C84" s="891" t="str">
        <f>if(isblank(F84),"",'FL5_POR_包裝對照表 (Mapping Table)'!$E$4)</f>
        <v>GFL (FL5)</v>
      </c>
      <c r="D84" s="878" t="str">
        <f t="array" ref="D84">if(isblank(F84),"",xlookup(F84,'FL5_POR_包裝對照表 (Mapping Table)'!E:E,'FL5_POR_包裝對照表 (Mapping Table)'!AZ:AZ,"",0,1))</f>
        <v>MP</v>
      </c>
      <c r="E84" s="677" t="str">
        <f t="shared" si="2"/>
        <v>Close</v>
      </c>
      <c r="F84" s="879" t="s">
        <v>872</v>
      </c>
      <c r="G84" s="892" t="str">
        <f t="array" ref="G84">if(isblank(F84),"",xlookup(F84,'FL5_POR_包裝對照表 (Mapping Table)'!E:E,'FL5_POR_包裝對照表 (Mapping Table)'!D:D,"",0,1))</f>
        <v>Bulk Pack</v>
      </c>
      <c r="H84" s="893" t="str">
        <f t="array" ref="H84">if(isblank(F84),"",xlookup(F84,'FL5_POR_包裝對照表 (Mapping Table)'!E:E,'FL5_POR_包裝對照表 (Mapping Table)'!E:E,"",0,1))</f>
        <v>CLNRGA09883</v>
      </c>
      <c r="I84" s="677" t="str">
        <f t="array" ref="I84">if(isblank(F84),"",xlookup(F84,'FL5_POR_包裝對照表 (Mapping Table)'!E:E,'FL5_POR_包裝對照表 (Mapping Table)'!AN:AN,"",0,1))</f>
        <v>G950-15935-04</v>
      </c>
      <c r="J84" s="894" t="str">
        <f t="array" ref="J84">if(isblank(F84),"",xlookup(G84,z_Others!$B$5:$B$17,z_Others!$C$5:$C$17,"",0,1))</f>
        <v>智能手機</v>
      </c>
      <c r="K84" s="894" t="str">
        <f t="array" ref="K84">if(isblank(F84),"",xlookup(G84,z_Others!$B$5:$B$17,z_Others!$E$5:$E$17,"",0,1))</f>
        <v>智能手機</v>
      </c>
      <c r="L84" s="894" t="str">
        <f t="array" ref="L84">if(isblank(F84),"",xlookup(G84,z_Others!$B$5:$B$17,z_Others!$F$5:$F$17,"",0,1))</f>
        <v>智能手機</v>
      </c>
      <c r="M84" s="894" t="str">
        <f t="shared" si="3"/>
        <v>Google</v>
      </c>
      <c r="N84" s="894" t="str">
        <f t="shared" si="4"/>
        <v>境外品牌（貼牌生產)</v>
      </c>
      <c r="O84" s="882" t="str">
        <f t="array" ref="O84">if(isblank(F84),"",xlookup(F84,'FL5_POR_包裝對照表 (Mapping Table)'!E:E,'FL5_POR_包裝對照表 (Mapping Table)'!L:L,"",0,1))</f>
        <v>GLBW0</v>
      </c>
      <c r="P84" s="895">
        <f t="array" ref="P84">if(isblank(F84),"",xlookup(G84,z_Others!$B$5:$B$17,z_Others!$J$5:$J$17,"",0,1))</f>
        <v>0.2029</v>
      </c>
      <c r="Q84" s="896">
        <f t="array" ref="Q84">if(isblank(F84),"",xlookup(F84,'FL5_POR_核價 (經管 &amp; BPM)'!E:E,'FL5_POR_核價 (經管 &amp; BPM)'!O:O,"",0,1))</f>
        <v>451.63</v>
      </c>
      <c r="R84" s="894" t="str">
        <f t="shared" si="5"/>
        <v>否</v>
      </c>
      <c r="S84" s="897" t="str">
        <f t="array" ref="S84">if(isblank(F84),"",xlookup(G84,z_Others!$B$5:$B$17,z_Others!$K$5:$K$17,"",0,1))</f>
        <v>無附件</v>
      </c>
      <c r="T84" s="894" t="str">
        <f t="shared" si="6"/>
        <v>開發手機中框組件模型(適用于Google 牌手機)</v>
      </c>
      <c r="U84" s="898" t="str">
        <f t="array" ref="U84">if(isblank(F84),"",xlookup(G84,z_Others!$B$5:$B$17,z_Others!$G$5:$G$17,"",0,1))</f>
        <v>無線通話用</v>
      </c>
      <c r="V84" s="231" t="str">
        <f t="array" ref="V84">if(isblank(F84),"",xlookup(F84,'FL5_POR_包裝對照表 (Mapping Table)'!E:E,'FL5_POR_包裝對照表 (Mapping Table)'!AB:AB,"",0,1))</f>
        <v>SKU, CLR1, BETTER, MMWAVE, GSTORE, FL5, FRU</v>
      </c>
      <c r="W84" s="899" t="str">
        <f t="array" ref="W84">if(isblank(F84),"",xlookup(G84,z_Others!$B$5:$B$17,z_Others!$I$5:$I$17,"",0,1))</f>
        <v>152.83 x 71.98 x 12.01</v>
      </c>
      <c r="X84" s="894" t="str">
        <f t="shared" si="7"/>
        <v>Google</v>
      </c>
      <c r="Y84" s="894" t="str">
        <f t="shared" si="8"/>
        <v>Tensor series</v>
      </c>
      <c r="Z84" s="900" t="str">
        <f t="shared" si="9"/>
        <v>蜂窩網絡</v>
      </c>
      <c r="AA84" s="900" t="str">
        <f t="shared" si="10"/>
        <v>WCDMA&amp;GSM&amp;LTE&amp;5G制式</v>
      </c>
      <c r="AB84" s="878" t="str">
        <f t="array" ref="AB84">if(isblank(F84),"",xlookup(AJ84,z_Others!$M$5:$M$9,z_Others!$Q$5:$Q$9,"",0,1))</f>
        <v>直板、6.29 英寸彩屏、內存256G、GPRS、藍牙、前攝1100萬、後攝1200/5000萬</v>
      </c>
      <c r="AC84" s="900" t="str">
        <f t="shared" si="11"/>
        <v>中國</v>
      </c>
      <c r="AD84" s="894" t="str">
        <f t="array" ref="AD84">if(isblank(F84),"",xlookup(G84,z_Others!$B$5:$B$14,z_Others!$H$5:$H$14,"",0,1))</f>
        <v>附件07 (FATP手機)</v>
      </c>
      <c r="AE84" s="901" t="str">
        <f t="shared" si="12"/>
        <v>Foxconn</v>
      </c>
      <c r="AF84" s="791">
        <v>45783.0</v>
      </c>
      <c r="AG84" s="791">
        <f t="shared" si="17"/>
        <v>45859</v>
      </c>
      <c r="AH84" s="902">
        <v>45859.0</v>
      </c>
      <c r="AI84" s="787">
        <v>45799.0</v>
      </c>
      <c r="AJ84" s="677" t="str">
        <f t="array" ref="AJ84">if(isblank(F84),"",xlookup(F84,'FL5_POR_包裝對照表 (Mapping Table)'!E:E,'FL5_POR_包裝對照表 (Mapping Table)'!AS:AS,"",0,1))</f>
        <v>256GB</v>
      </c>
      <c r="AK84" s="677" t="str">
        <f t="array" ref="AK84">if(isblank(F84),"",xlookup(F84,'FL5_POR_包裝對照表 (Mapping Table)'!E:E,'FL5_POR_包裝對照表 (Mapping Table)'!K:K,"",0,1))</f>
        <v>BLK</v>
      </c>
      <c r="AL84" s="677">
        <v>3125.0</v>
      </c>
      <c r="AM84" s="811"/>
      <c r="AN84" s="888" t="str">
        <f t="array" ref="AN84">xlookup(F84,'FL5_POR_包裝對照表 (Mapping Table)'!E:E,'FL5_POR_包裝對照表 (Mapping Table)'!BM:BM,"",0,1)</f>
        <v>No demand</v>
      </c>
      <c r="AO84" s="813"/>
      <c r="AP84" s="813"/>
    </row>
    <row r="85" ht="25.5" customHeight="1">
      <c r="A85" s="889"/>
      <c r="B85" s="877">
        <v>79.0</v>
      </c>
      <c r="C85" s="891" t="str">
        <f>if(isblank(F85),"",'FL5_POR_包裝對照表 (Mapping Table)'!$E$4)</f>
        <v>GFL (FL5)</v>
      </c>
      <c r="D85" s="878" t="str">
        <f t="array" ref="D85">if(isblank(F85),"",xlookup(F85,'FL5_POR_包裝對照表 (Mapping Table)'!E:E,'FL5_POR_包裝對照表 (Mapping Table)'!AZ:AZ,"",0,1))</f>
        <v>MP</v>
      </c>
      <c r="E85" s="677" t="str">
        <f t="shared" si="2"/>
        <v>Close</v>
      </c>
      <c r="F85" s="879" t="s">
        <v>803</v>
      </c>
      <c r="G85" s="892" t="str">
        <f t="array" ref="G85">if(isblank(F85),"",xlookup(F85,'FL5_POR_包裝對照表 (Mapping Table)'!E:E,'FL5_POR_包裝對照表 (Mapping Table)'!D:D,"",0,1))</f>
        <v>Bulk Pack</v>
      </c>
      <c r="H85" s="893" t="str">
        <f t="array" ref="H85">if(isblank(F85),"",xlookup(F85,'FL5_POR_包裝對照表 (Mapping Table)'!E:E,'FL5_POR_包裝對照表 (Mapping Table)'!E:E,"",0,1))</f>
        <v>CLNRGA10214</v>
      </c>
      <c r="I85" s="677" t="str">
        <f t="array" ref="I85">if(isblank(F85),"",xlookup(F85,'FL5_POR_包裝對照表 (Mapping Table)'!E:E,'FL5_POR_包裝對照表 (Mapping Table)'!AN:AN,"",0,1))</f>
        <v>G950-15935-01</v>
      </c>
      <c r="J85" s="894" t="str">
        <f t="array" ref="J85">if(isblank(F85),"",xlookup(G85,z_Others!$B$5:$B$17,z_Others!$C$5:$C$17,"",0,1))</f>
        <v>智能手機</v>
      </c>
      <c r="K85" s="894" t="str">
        <f t="array" ref="K85">if(isblank(F85),"",xlookup(G85,z_Others!$B$5:$B$17,z_Others!$E$5:$E$17,"",0,1))</f>
        <v>智能手機</v>
      </c>
      <c r="L85" s="894" t="str">
        <f t="array" ref="L85">if(isblank(F85),"",xlookup(G85,z_Others!$B$5:$B$17,z_Others!$F$5:$F$17,"",0,1))</f>
        <v>智能手機</v>
      </c>
      <c r="M85" s="894" t="str">
        <f t="shared" si="3"/>
        <v>Google</v>
      </c>
      <c r="N85" s="894" t="str">
        <f t="shared" si="4"/>
        <v>境外品牌（貼牌生產)</v>
      </c>
      <c r="O85" s="882" t="str">
        <f t="array" ref="O85">if(isblank(F85),"",xlookup(F85,'FL5_POR_包裝對照表 (Mapping Table)'!E:E,'FL5_POR_包裝對照表 (Mapping Table)'!L:L,"",0,1))</f>
        <v>GLBW0</v>
      </c>
      <c r="P85" s="895">
        <f t="array" ref="P85">if(isblank(F85),"",xlookup(G85,z_Others!$B$5:$B$17,z_Others!$J$5:$J$17,"",0,1))</f>
        <v>0.2029</v>
      </c>
      <c r="Q85" s="896">
        <f t="array" ref="Q85">if(isblank(F85),"",xlookup(F85,'FL5_POR_核價 (經管 &amp; BPM)'!E:E,'FL5_POR_核價 (經管 &amp; BPM)'!O:O,"",0,1))</f>
        <v>445.93</v>
      </c>
      <c r="R85" s="894" t="str">
        <f t="shared" si="5"/>
        <v>否</v>
      </c>
      <c r="S85" s="897" t="str">
        <f t="array" ref="S85">if(isblank(F85),"",xlookup(G85,z_Others!$B$5:$B$17,z_Others!$K$5:$K$17,"",0,1))</f>
        <v>無附件</v>
      </c>
      <c r="T85" s="894" t="str">
        <f t="shared" si="6"/>
        <v>開發手機中框組件模型(適用于Google 牌手機)</v>
      </c>
      <c r="U85" s="898" t="str">
        <f t="array" ref="U85">if(isblank(F85),"",xlookup(G85,z_Others!$B$5:$B$17,z_Others!$G$5:$G$17,"",0,1))</f>
        <v>無線通話用</v>
      </c>
      <c r="V85" s="231" t="str">
        <f t="array" ref="V85">if(isblank(F85),"",xlookup(F85,'FL5_POR_包裝對照表 (Mapping Table)'!E:E,'FL5_POR_包裝對照表 (Mapping Table)'!AB:AB,"",0,1))</f>
        <v>SKU, CLR2, GOOD, MMWAVE, GSTORE, FL5, FRU</v>
      </c>
      <c r="W85" s="899" t="str">
        <f t="array" ref="W85">if(isblank(F85),"",xlookup(G85,z_Others!$B$5:$B$17,z_Others!$I$5:$I$17,"",0,1))</f>
        <v>152.83 x 71.98 x 12.01</v>
      </c>
      <c r="X85" s="894" t="str">
        <f t="shared" si="7"/>
        <v>Google</v>
      </c>
      <c r="Y85" s="894" t="str">
        <f t="shared" si="8"/>
        <v>Tensor series</v>
      </c>
      <c r="Z85" s="900" t="str">
        <f t="shared" si="9"/>
        <v>蜂窩網絡</v>
      </c>
      <c r="AA85" s="900" t="str">
        <f t="shared" si="10"/>
        <v>WCDMA&amp;GSM&amp;LTE&amp;5G制式</v>
      </c>
      <c r="AB85" s="878" t="str">
        <f t="array" ref="AB85">if(isblank(F85),"",xlookup(AJ85,z_Others!$M$5:$M$9,z_Others!$Q$5:$Q$9,"",0,1))</f>
        <v>直板、6.29 英寸彩屏、內存128G、GPRS、藍牙、前攝1100萬、後攝1200/5000萬</v>
      </c>
      <c r="AC85" s="900" t="str">
        <f t="shared" si="11"/>
        <v>中國</v>
      </c>
      <c r="AD85" s="894" t="str">
        <f t="array" ref="AD85">if(isblank(F85),"",xlookup(G85,z_Others!$B$5:$B$14,z_Others!$H$5:$H$14,"",0,1))</f>
        <v>附件07 (FATP手機)</v>
      </c>
      <c r="AE85" s="901" t="str">
        <f t="shared" si="12"/>
        <v>Foxconn</v>
      </c>
      <c r="AF85" s="791">
        <v>45783.0</v>
      </c>
      <c r="AG85" s="791">
        <f t="shared" si="17"/>
        <v>45859</v>
      </c>
      <c r="AH85" s="902">
        <v>45803.0</v>
      </c>
      <c r="AI85" s="787">
        <v>45799.0</v>
      </c>
      <c r="AJ85" s="677" t="str">
        <f t="array" ref="AJ85">if(isblank(F85),"",xlookup(F85,'FL5_POR_包裝對照表 (Mapping Table)'!E:E,'FL5_POR_包裝對照表 (Mapping Table)'!AS:AS,"",0,1))</f>
        <v>128GB</v>
      </c>
      <c r="AK85" s="677" t="str">
        <f t="array" ref="AK85">if(isblank(F85),"",xlookup(F85,'FL5_POR_包裝對照表 (Mapping Table)'!E:E,'FL5_POR_包裝對照表 (Mapping Table)'!K:K,"",0,1))</f>
        <v>PPL</v>
      </c>
      <c r="AL85" s="677">
        <v>3124.0</v>
      </c>
      <c r="AM85" s="811"/>
      <c r="AN85" s="888" t="str">
        <f t="array" ref="AN85">xlookup(F85,'FL5_POR_包裝對照表 (Mapping Table)'!E:E,'FL5_POR_包裝對照表 (Mapping Table)'!BM:BM,"",0,1)</f>
        <v>No demand</v>
      </c>
      <c r="AO85" s="813"/>
      <c r="AP85" s="813"/>
    </row>
    <row r="86" ht="25.5" customHeight="1">
      <c r="A86" s="889"/>
      <c r="B86" s="877">
        <v>80.0</v>
      </c>
      <c r="C86" s="891" t="str">
        <f>if(isblank(F86),"",'FL5_POR_包裝對照表 (Mapping Table)'!$E$4)</f>
        <v>GFL (FL5)</v>
      </c>
      <c r="D86" s="878" t="str">
        <f t="array" ref="D86">if(isblank(F86),"",xlookup(F86,'FL5_POR_包裝對照表 (Mapping Table)'!E:E,'FL5_POR_包裝對照表 (Mapping Table)'!AZ:AZ,"",0,1))</f>
        <v>MP</v>
      </c>
      <c r="E86" s="677" t="str">
        <f t="shared" si="2"/>
        <v>Close</v>
      </c>
      <c r="F86" s="879" t="s">
        <v>807</v>
      </c>
      <c r="G86" s="892" t="str">
        <f t="array" ref="G86">if(isblank(F86),"",xlookup(F86,'FL5_POR_包裝對照表 (Mapping Table)'!E:E,'FL5_POR_包裝對照表 (Mapping Table)'!D:D,"",0,1))</f>
        <v>Bulk Pack</v>
      </c>
      <c r="H86" s="893" t="str">
        <f t="array" ref="H86">if(isblank(F86),"",xlookup(F86,'FL5_POR_包裝對照表 (Mapping Table)'!E:E,'FL5_POR_包裝對照表 (Mapping Table)'!E:E,"",0,1))</f>
        <v>CLNRGA10215</v>
      </c>
      <c r="I86" s="677" t="str">
        <f t="array" ref="I86">if(isblank(F86),"",xlookup(F86,'FL5_POR_包裝對照表 (Mapping Table)'!E:E,'FL5_POR_包裝對照表 (Mapping Table)'!AN:AN,"",0,1))</f>
        <v>G950-15935-02</v>
      </c>
      <c r="J86" s="894" t="str">
        <f t="array" ref="J86">if(isblank(F86),"",xlookup(G86,z_Others!$B$5:$B$17,z_Others!$C$5:$C$17,"",0,1))</f>
        <v>智能手機</v>
      </c>
      <c r="K86" s="894" t="str">
        <f t="array" ref="K86">if(isblank(F86),"",xlookup(G86,z_Others!$B$5:$B$17,z_Others!$E$5:$E$17,"",0,1))</f>
        <v>智能手機</v>
      </c>
      <c r="L86" s="894" t="str">
        <f t="array" ref="L86">if(isblank(F86),"",xlookup(G86,z_Others!$B$5:$B$17,z_Others!$F$5:$F$17,"",0,1))</f>
        <v>智能手機</v>
      </c>
      <c r="M86" s="894" t="str">
        <f t="shared" si="3"/>
        <v>Google</v>
      </c>
      <c r="N86" s="894" t="str">
        <f t="shared" si="4"/>
        <v>境外品牌（貼牌生產)</v>
      </c>
      <c r="O86" s="882" t="str">
        <f t="array" ref="O86">if(isblank(F86),"",xlookup(F86,'FL5_POR_包裝對照表 (Mapping Table)'!E:E,'FL5_POR_包裝對照表 (Mapping Table)'!L:L,"",0,1))</f>
        <v>GLBW0</v>
      </c>
      <c r="P86" s="895">
        <f t="array" ref="P86">if(isblank(F86),"",xlookup(G86,z_Others!$B$5:$B$17,z_Others!$J$5:$J$17,"",0,1))</f>
        <v>0.2029</v>
      </c>
      <c r="Q86" s="896">
        <f t="array" ref="Q86">if(isblank(F86),"",xlookup(F86,'FL5_POR_核價 (經管 &amp; BPM)'!E:E,'FL5_POR_核價 (經管 &amp; BPM)'!O:O,"",0,1))</f>
        <v>446.03</v>
      </c>
      <c r="R86" s="894" t="str">
        <f t="shared" si="5"/>
        <v>否</v>
      </c>
      <c r="S86" s="897" t="str">
        <f t="array" ref="S86">if(isblank(F86),"",xlookup(G86,z_Others!$B$5:$B$17,z_Others!$K$5:$K$17,"",0,1))</f>
        <v>無附件</v>
      </c>
      <c r="T86" s="894" t="str">
        <f t="shared" si="6"/>
        <v>開發手機中框組件模型(適用于Google 牌手機)</v>
      </c>
      <c r="U86" s="898" t="str">
        <f t="array" ref="U86">if(isblank(F86),"",xlookup(G86,z_Others!$B$5:$B$17,z_Others!$G$5:$G$17,"",0,1))</f>
        <v>無線通話用</v>
      </c>
      <c r="V86" s="231" t="str">
        <f t="array" ref="V86">if(isblank(F86),"",xlookup(F86,'FL5_POR_包裝對照表 (Mapping Table)'!E:E,'FL5_POR_包裝對照表 (Mapping Table)'!AB:AB,"",0,1))</f>
        <v>SKU, CLR3, GOOD, MMWAVE, GSTORE, FL5, FRU</v>
      </c>
      <c r="W86" s="899" t="str">
        <f t="array" ref="W86">if(isblank(F86),"",xlookup(G86,z_Others!$B$5:$B$17,z_Others!$I$5:$I$17,"",0,1))</f>
        <v>152.83 x 71.98 x 12.01</v>
      </c>
      <c r="X86" s="894" t="str">
        <f t="shared" si="7"/>
        <v>Google</v>
      </c>
      <c r="Y86" s="894" t="str">
        <f t="shared" si="8"/>
        <v>Tensor series</v>
      </c>
      <c r="Z86" s="900" t="str">
        <f t="shared" si="9"/>
        <v>蜂窩網絡</v>
      </c>
      <c r="AA86" s="900" t="str">
        <f t="shared" si="10"/>
        <v>WCDMA&amp;GSM&amp;LTE&amp;5G制式</v>
      </c>
      <c r="AB86" s="878" t="str">
        <f t="array" ref="AB86">if(isblank(F86),"",xlookup(AJ86,z_Others!$M$5:$M$9,z_Others!$Q$5:$Q$9,"",0,1))</f>
        <v>直板、6.29 英寸彩屏、內存128G、GPRS、藍牙、前攝1100萬、後攝1200/5000萬</v>
      </c>
      <c r="AC86" s="900" t="str">
        <f t="shared" si="11"/>
        <v>中國</v>
      </c>
      <c r="AD86" s="894" t="str">
        <f t="array" ref="AD86">if(isblank(F86),"",xlookup(G86,z_Others!$B$5:$B$14,z_Others!$H$5:$H$14,"",0,1))</f>
        <v>附件07 (FATP手機)</v>
      </c>
      <c r="AE86" s="901" t="str">
        <f t="shared" si="12"/>
        <v>Foxconn</v>
      </c>
      <c r="AF86" s="791">
        <v>45783.0</v>
      </c>
      <c r="AG86" s="791">
        <f t="shared" si="17"/>
        <v>45859</v>
      </c>
      <c r="AH86" s="902">
        <v>45859.0</v>
      </c>
      <c r="AI86" s="787">
        <v>45811.0</v>
      </c>
      <c r="AJ86" s="677" t="str">
        <f t="array" ref="AJ86">if(isblank(F86),"",xlookup(F86,'FL5_POR_包裝對照表 (Mapping Table)'!E:E,'FL5_POR_包裝對照表 (Mapping Table)'!AS:AS,"",0,1))</f>
        <v>128GB</v>
      </c>
      <c r="AK86" s="677" t="str">
        <f t="array" ref="AK86">if(isblank(F86),"",xlookup(F86,'FL5_POR_包裝對照表 (Mapping Table)'!E:E,'FL5_POR_包裝對照表 (Mapping Table)'!K:K,"",0,1))</f>
        <v>YEL</v>
      </c>
      <c r="AL86" s="677">
        <v>3344.0</v>
      </c>
      <c r="AM86" s="811"/>
      <c r="AN86" s="888" t="str">
        <f t="array" ref="AN86">xlookup(F86,'FL5_POR_包裝對照表 (Mapping Table)'!E:E,'FL5_POR_包裝對照表 (Mapping Table)'!BM:BM,"",0,1)</f>
        <v>No demand</v>
      </c>
      <c r="AO86" s="813"/>
      <c r="AP86" s="813"/>
    </row>
    <row r="87" ht="25.5" customHeight="1">
      <c r="A87" s="889"/>
      <c r="B87" s="877">
        <v>81.0</v>
      </c>
      <c r="C87" s="891" t="str">
        <f>if(isblank(F87),"",'FL5_POR_包裝對照表 (Mapping Table)'!$E$4)</f>
        <v>GFL (FL5)</v>
      </c>
      <c r="D87" s="878" t="str">
        <f t="array" ref="D87">if(isblank(F87),"",xlookup(F87,'FL5_POR_包裝對照表 (Mapping Table)'!E:E,'FL5_POR_包裝對照表 (Mapping Table)'!AZ:AZ,"",0,1))</f>
        <v>MP</v>
      </c>
      <c r="E87" s="677" t="str">
        <f t="shared" si="2"/>
        <v>Close</v>
      </c>
      <c r="F87" s="879" t="s">
        <v>812</v>
      </c>
      <c r="G87" s="892" t="str">
        <f t="array" ref="G87">if(isblank(F87),"",xlookup(F87,'FL5_POR_包裝對照表 (Mapping Table)'!E:E,'FL5_POR_包裝對照表 (Mapping Table)'!D:D,"",0,1))</f>
        <v>Bulk Pack</v>
      </c>
      <c r="H87" s="893" t="str">
        <f t="array" ref="H87">if(isblank(F87),"",xlookup(F87,'FL5_POR_包裝對照表 (Mapping Table)'!E:E,'FL5_POR_包裝對照表 (Mapping Table)'!E:E,"",0,1))</f>
        <v>CLNRGA10216</v>
      </c>
      <c r="I87" s="677" t="str">
        <f t="array" ref="I87">if(isblank(F87),"",xlookup(F87,'FL5_POR_包裝對照表 (Mapping Table)'!E:E,'FL5_POR_包裝對照表 (Mapping Table)'!AN:AN,"",0,1))</f>
        <v>G950-15935-03</v>
      </c>
      <c r="J87" s="894" t="str">
        <f t="array" ref="J87">if(isblank(F87),"",xlookup(G87,z_Others!$B$5:$B$17,z_Others!$C$5:$C$17,"",0,1))</f>
        <v>智能手機</v>
      </c>
      <c r="K87" s="894" t="str">
        <f t="array" ref="K87">if(isblank(F87),"",xlookup(G87,z_Others!$B$5:$B$17,z_Others!$E$5:$E$17,"",0,1))</f>
        <v>智能手機</v>
      </c>
      <c r="L87" s="894" t="str">
        <f t="array" ref="L87">if(isblank(F87),"",xlookup(G87,z_Others!$B$5:$B$17,z_Others!$F$5:$F$17,"",0,1))</f>
        <v>智能手機</v>
      </c>
      <c r="M87" s="894" t="str">
        <f t="shared" si="3"/>
        <v>Google</v>
      </c>
      <c r="N87" s="894" t="str">
        <f t="shared" si="4"/>
        <v>境外品牌（貼牌生產)</v>
      </c>
      <c r="O87" s="882" t="str">
        <f t="array" ref="O87">if(isblank(F87),"",xlookup(F87,'FL5_POR_包裝對照表 (Mapping Table)'!E:E,'FL5_POR_包裝對照表 (Mapping Table)'!L:L,"",0,1))</f>
        <v>GLBW0</v>
      </c>
      <c r="P87" s="895">
        <f t="array" ref="P87">if(isblank(F87),"",xlookup(G87,z_Others!$B$5:$B$17,z_Others!$J$5:$J$17,"",0,1))</f>
        <v>0.2029</v>
      </c>
      <c r="Q87" s="896">
        <f t="array" ref="Q87">if(isblank(F87),"",xlookup(F87,'FL5_POR_核價 (經管 &amp; BPM)'!E:E,'FL5_POR_核價 (經管 &amp; BPM)'!O:O,"",0,1))</f>
        <v>446.03</v>
      </c>
      <c r="R87" s="894" t="str">
        <f t="shared" si="5"/>
        <v>否</v>
      </c>
      <c r="S87" s="897" t="str">
        <f t="array" ref="S87">if(isblank(F87),"",xlookup(G87,z_Others!$B$5:$B$17,z_Others!$K$5:$K$17,"",0,1))</f>
        <v>無附件</v>
      </c>
      <c r="T87" s="894" t="str">
        <f t="shared" si="6"/>
        <v>開發手機中框組件模型(適用于Google 牌手機)</v>
      </c>
      <c r="U87" s="898" t="str">
        <f t="array" ref="U87">if(isblank(F87),"",xlookup(G87,z_Others!$B$5:$B$17,z_Others!$G$5:$G$17,"",0,1))</f>
        <v>無線通話用</v>
      </c>
      <c r="V87" s="231" t="str">
        <f t="array" ref="V87">if(isblank(F87),"",xlookup(F87,'FL5_POR_包裝對照表 (Mapping Table)'!E:E,'FL5_POR_包裝對照表 (Mapping Table)'!AB:AB,"",0,1))</f>
        <v>SKU, CLR4, GOOD, MMWAVE, GSTORE, FL5, FRU</v>
      </c>
      <c r="W87" s="899" t="str">
        <f t="array" ref="W87">if(isblank(F87),"",xlookup(G87,z_Others!$B$5:$B$17,z_Others!$I$5:$I$17,"",0,1))</f>
        <v>152.83 x 71.98 x 12.01</v>
      </c>
      <c r="X87" s="894" t="str">
        <f t="shared" si="7"/>
        <v>Google</v>
      </c>
      <c r="Y87" s="894" t="str">
        <f t="shared" si="8"/>
        <v>Tensor series</v>
      </c>
      <c r="Z87" s="900" t="str">
        <f t="shared" si="9"/>
        <v>蜂窩網絡</v>
      </c>
      <c r="AA87" s="900" t="str">
        <f t="shared" si="10"/>
        <v>WCDMA&amp;GSM&amp;LTE&amp;5G制式</v>
      </c>
      <c r="AB87" s="878" t="str">
        <f t="array" ref="AB87">if(isblank(F87),"",xlookup(AJ87,z_Others!$M$5:$M$9,z_Others!$Q$5:$Q$9,"",0,1))</f>
        <v>直板、6.29 英寸彩屏、內存128G、GPRS、藍牙、前攝1100萬、後攝1200/5000萬</v>
      </c>
      <c r="AC87" s="900" t="str">
        <f t="shared" si="11"/>
        <v>中國</v>
      </c>
      <c r="AD87" s="894" t="str">
        <f t="array" ref="AD87">if(isblank(F87),"",xlookup(G87,z_Others!$B$5:$B$14,z_Others!$H$5:$H$14,"",0,1))</f>
        <v>附件07 (FATP手機)</v>
      </c>
      <c r="AE87" s="901" t="str">
        <f t="shared" si="12"/>
        <v>Foxconn</v>
      </c>
      <c r="AF87" s="791">
        <v>45783.0</v>
      </c>
      <c r="AG87" s="791">
        <f t="shared" si="17"/>
        <v>45859</v>
      </c>
      <c r="AH87" s="902">
        <v>45859.0</v>
      </c>
      <c r="AI87" s="787">
        <v>45811.0</v>
      </c>
      <c r="AJ87" s="677" t="str">
        <f t="array" ref="AJ87">if(isblank(F87),"",xlookup(F87,'FL5_POR_包裝對照表 (Mapping Table)'!E:E,'FL5_POR_包裝對照表 (Mapping Table)'!AS:AS,"",0,1))</f>
        <v>128GB</v>
      </c>
      <c r="AK87" s="677" t="str">
        <f t="array" ref="AK87">if(isblank(F87),"",xlookup(F87,'FL5_POR_包裝對照表 (Mapping Table)'!E:E,'FL5_POR_包裝對照表 (Mapping Table)'!K:K,"",0,1))</f>
        <v>BUE</v>
      </c>
      <c r="AL87" s="677">
        <v>3343.0</v>
      </c>
      <c r="AM87" s="811"/>
      <c r="AN87" s="888" t="str">
        <f t="array" ref="AN87">xlookup(F87,'FL5_POR_包裝對照表 (Mapping Table)'!E:E,'FL5_POR_包裝對照表 (Mapping Table)'!BM:BM,"",0,1)</f>
        <v>No demand</v>
      </c>
      <c r="AO87" s="813"/>
      <c r="AP87" s="813"/>
    </row>
    <row r="88" ht="25.5" customHeight="1">
      <c r="A88" s="889"/>
      <c r="B88" s="877">
        <v>82.0</v>
      </c>
      <c r="C88" s="891" t="str">
        <f>if(isblank(F88),"",'FL5_POR_包裝對照表 (Mapping Table)'!$E$4)</f>
        <v>GFL (FL5)</v>
      </c>
      <c r="D88" s="878" t="str">
        <f t="array" ref="D88">if(isblank(F88),"",xlookup(F88,'FL5_POR_包裝對照表 (Mapping Table)'!E:E,'FL5_POR_包裝對照表 (Mapping Table)'!AZ:AZ,"",0,1))</f>
        <v>MP</v>
      </c>
      <c r="E88" s="677" t="str">
        <f t="shared" si="2"/>
        <v>Close</v>
      </c>
      <c r="F88" s="879" t="s">
        <v>877</v>
      </c>
      <c r="G88" s="892" t="str">
        <f t="array" ref="G88">if(isblank(F88),"",xlookup(F88,'FL5_POR_包裝對照表 (Mapping Table)'!E:E,'FL5_POR_包裝對照表 (Mapping Table)'!D:D,"",0,1))</f>
        <v>Bulk Pack</v>
      </c>
      <c r="H88" s="893" t="str">
        <f t="array" ref="H88">if(isblank(F88),"",xlookup(F88,'FL5_POR_包裝對照表 (Mapping Table)'!E:E,'FL5_POR_包裝對照表 (Mapping Table)'!E:E,"",0,1))</f>
        <v>CLNRGA10217</v>
      </c>
      <c r="I88" s="677" t="str">
        <f t="array" ref="I88">if(isblank(F88),"",xlookup(F88,'FL5_POR_包裝對照表 (Mapping Table)'!E:E,'FL5_POR_包裝對照表 (Mapping Table)'!AN:AN,"",0,1))</f>
        <v>G950-15935-05</v>
      </c>
      <c r="J88" s="894" t="str">
        <f t="array" ref="J88">if(isblank(F88),"",xlookup(G88,z_Others!$B$5:$B$17,z_Others!$C$5:$C$17,"",0,1))</f>
        <v>智能手機</v>
      </c>
      <c r="K88" s="894" t="str">
        <f t="array" ref="K88">if(isblank(F88),"",xlookup(G88,z_Others!$B$5:$B$17,z_Others!$E$5:$E$17,"",0,1))</f>
        <v>智能手機</v>
      </c>
      <c r="L88" s="894" t="str">
        <f t="array" ref="L88">if(isblank(F88),"",xlookup(G88,z_Others!$B$5:$B$17,z_Others!$F$5:$F$17,"",0,1))</f>
        <v>智能手機</v>
      </c>
      <c r="M88" s="894" t="str">
        <f t="shared" si="3"/>
        <v>Google</v>
      </c>
      <c r="N88" s="894" t="str">
        <f t="shared" si="4"/>
        <v>境外品牌（貼牌生產)</v>
      </c>
      <c r="O88" s="882" t="str">
        <f t="array" ref="O88">if(isblank(F88),"",xlookup(F88,'FL5_POR_包裝對照表 (Mapping Table)'!E:E,'FL5_POR_包裝對照表 (Mapping Table)'!L:L,"",0,1))</f>
        <v>GLBW0</v>
      </c>
      <c r="P88" s="895">
        <f t="array" ref="P88">if(isblank(F88),"",xlookup(G88,z_Others!$B$5:$B$17,z_Others!$J$5:$J$17,"",0,1))</f>
        <v>0.2029</v>
      </c>
      <c r="Q88" s="896">
        <f t="array" ref="Q88">if(isblank(F88),"",xlookup(F88,'FL5_POR_核價 (經管 &amp; BPM)'!E:E,'FL5_POR_核價 (經管 &amp; BPM)'!O:O,"",0,1))</f>
        <v>451.93</v>
      </c>
      <c r="R88" s="894" t="str">
        <f t="shared" si="5"/>
        <v>否</v>
      </c>
      <c r="S88" s="897" t="str">
        <f t="array" ref="S88">if(isblank(F88),"",xlookup(G88,z_Others!$B$5:$B$17,z_Others!$K$5:$K$17,"",0,1))</f>
        <v>無附件</v>
      </c>
      <c r="T88" s="894" t="str">
        <f t="shared" si="6"/>
        <v>開發手機中框組件模型(適用于Google 牌手機)</v>
      </c>
      <c r="U88" s="898" t="str">
        <f t="array" ref="U88">if(isblank(F88),"",xlookup(G88,z_Others!$B$5:$B$17,z_Others!$G$5:$G$17,"",0,1))</f>
        <v>無線通話用</v>
      </c>
      <c r="V88" s="231" t="str">
        <f t="array" ref="V88">if(isblank(F88),"",xlookup(F88,'FL5_POR_包裝對照表 (Mapping Table)'!E:E,'FL5_POR_包裝對照表 (Mapping Table)'!AB:AB,"",0,1))</f>
        <v>SKU, CLR2, BETTER, MMWAVE, GSTORE, FL5, FRU</v>
      </c>
      <c r="W88" s="899" t="str">
        <f t="array" ref="W88">if(isblank(F88),"",xlookup(G88,z_Others!$B$5:$B$17,z_Others!$I$5:$I$17,"",0,1))</f>
        <v>152.83 x 71.98 x 12.01</v>
      </c>
      <c r="X88" s="894" t="str">
        <f t="shared" si="7"/>
        <v>Google</v>
      </c>
      <c r="Y88" s="894" t="str">
        <f t="shared" si="8"/>
        <v>Tensor series</v>
      </c>
      <c r="Z88" s="900" t="str">
        <f t="shared" si="9"/>
        <v>蜂窩網絡</v>
      </c>
      <c r="AA88" s="900" t="str">
        <f t="shared" si="10"/>
        <v>WCDMA&amp;GSM&amp;LTE&amp;5G制式</v>
      </c>
      <c r="AB88" s="878" t="str">
        <f t="array" ref="AB88">if(isblank(F88),"",xlookup(AJ88,z_Others!$M$5:$M$9,z_Others!$Q$5:$Q$9,"",0,1))</f>
        <v>直板、6.29 英寸彩屏、內存256G、GPRS、藍牙、前攝1100萬、後攝1200/5000萬</v>
      </c>
      <c r="AC88" s="900" t="str">
        <f t="shared" si="11"/>
        <v>中國</v>
      </c>
      <c r="AD88" s="894" t="str">
        <f t="array" ref="AD88">if(isblank(F88),"",xlookup(G88,z_Others!$B$5:$B$14,z_Others!$H$5:$H$14,"",0,1))</f>
        <v>附件07 (FATP手機)</v>
      </c>
      <c r="AE88" s="901" t="str">
        <f t="shared" si="12"/>
        <v>Foxconn</v>
      </c>
      <c r="AF88" s="791">
        <v>45783.0</v>
      </c>
      <c r="AG88" s="791">
        <f t="shared" si="17"/>
        <v>45859</v>
      </c>
      <c r="AH88" s="902">
        <v>45859.0</v>
      </c>
      <c r="AI88" s="787">
        <v>45811.0</v>
      </c>
      <c r="AJ88" s="677" t="str">
        <f t="array" ref="AJ88">if(isblank(F88),"",xlookup(F88,'FL5_POR_包裝對照表 (Mapping Table)'!E:E,'FL5_POR_包裝對照表 (Mapping Table)'!AS:AS,"",0,1))</f>
        <v>256GB</v>
      </c>
      <c r="AK88" s="677" t="str">
        <f t="array" ref="AK88">if(isblank(F88),"",xlookup(F88,'FL5_POR_包裝對照表 (Mapping Table)'!E:E,'FL5_POR_包裝對照表 (Mapping Table)'!K:K,"",0,1))</f>
        <v>PPL</v>
      </c>
      <c r="AL88" s="677">
        <v>3342.0</v>
      </c>
      <c r="AM88" s="811"/>
      <c r="AN88" s="888" t="str">
        <f t="array" ref="AN88">xlookup(F88,'FL5_POR_包裝對照表 (Mapping Table)'!E:E,'FL5_POR_包裝對照表 (Mapping Table)'!BM:BM,"",0,1)</f>
        <v>No demand</v>
      </c>
      <c r="AO88" s="813"/>
      <c r="AP88" s="813"/>
    </row>
    <row r="89" ht="25.5" customHeight="1">
      <c r="A89" s="889"/>
      <c r="B89" s="877">
        <v>83.0</v>
      </c>
      <c r="C89" s="891" t="str">
        <f>if(isblank(F89),"",'FL5_POR_包裝對照表 (Mapping Table)'!$E$4)</f>
        <v>GFL (FL5)</v>
      </c>
      <c r="D89" s="878" t="str">
        <f t="array" ref="D89">if(isblank(F89),"",xlookup(F89,'FL5_POR_包裝對照表 (Mapping Table)'!E:E,'FL5_POR_包裝對照表 (Mapping Table)'!AZ:AZ,"",0,1))</f>
        <v>MP</v>
      </c>
      <c r="E89" s="677" t="str">
        <f t="shared" si="2"/>
        <v>Close</v>
      </c>
      <c r="F89" s="879" t="s">
        <v>882</v>
      </c>
      <c r="G89" s="892" t="str">
        <f t="array" ref="G89">if(isblank(F89),"",xlookup(F89,'FL5_POR_包裝對照表 (Mapping Table)'!E:E,'FL5_POR_包裝對照表 (Mapping Table)'!D:D,"",0,1))</f>
        <v>Bulk Pack</v>
      </c>
      <c r="H89" s="893" t="str">
        <f t="array" ref="H89">if(isblank(F89),"",xlookup(F89,'FL5_POR_包裝對照表 (Mapping Table)'!E:E,'FL5_POR_包裝對照表 (Mapping Table)'!E:E,"",0,1))</f>
        <v>CLNRGA10218</v>
      </c>
      <c r="I89" s="677" t="str">
        <f t="array" ref="I89">if(isblank(F89),"",xlookup(F89,'FL5_POR_包裝對照表 (Mapping Table)'!E:E,'FL5_POR_包裝對照表 (Mapping Table)'!AN:AN,"",0,1))</f>
        <v>G950-15935-06</v>
      </c>
      <c r="J89" s="894" t="str">
        <f t="array" ref="J89">if(isblank(F89),"",xlookup(G89,z_Others!$B$5:$B$17,z_Others!$C$5:$C$17,"",0,1))</f>
        <v>智能手機</v>
      </c>
      <c r="K89" s="894" t="str">
        <f t="array" ref="K89">if(isblank(F89),"",xlookup(G89,z_Others!$B$5:$B$17,z_Others!$E$5:$E$17,"",0,1))</f>
        <v>智能手機</v>
      </c>
      <c r="L89" s="894" t="str">
        <f t="array" ref="L89">if(isblank(F89),"",xlookup(G89,z_Others!$B$5:$B$17,z_Others!$F$5:$F$17,"",0,1))</f>
        <v>智能手機</v>
      </c>
      <c r="M89" s="894" t="str">
        <f t="shared" si="3"/>
        <v>Google</v>
      </c>
      <c r="N89" s="894" t="str">
        <f t="shared" si="4"/>
        <v>境外品牌（貼牌生產)</v>
      </c>
      <c r="O89" s="882" t="str">
        <f t="array" ref="O89">if(isblank(F89),"",xlookup(F89,'FL5_POR_包裝對照表 (Mapping Table)'!E:E,'FL5_POR_包裝對照表 (Mapping Table)'!L:L,"",0,1))</f>
        <v>GLBW0</v>
      </c>
      <c r="P89" s="895">
        <f t="array" ref="P89">if(isblank(F89),"",xlookup(G89,z_Others!$B$5:$B$17,z_Others!$J$5:$J$17,"",0,1))</f>
        <v>0.2029</v>
      </c>
      <c r="Q89" s="896">
        <f t="array" ref="Q89">if(isblank(F89),"",xlookup(F89,'FL5_POR_核價 (經管 &amp; BPM)'!E:E,'FL5_POR_核價 (經管 &amp; BPM)'!O:O,"",0,1))</f>
        <v>452.03</v>
      </c>
      <c r="R89" s="894" t="str">
        <f t="shared" si="5"/>
        <v>否</v>
      </c>
      <c r="S89" s="897" t="str">
        <f t="array" ref="S89">if(isblank(F89),"",xlookup(G89,z_Others!$B$5:$B$17,z_Others!$K$5:$K$17,"",0,1))</f>
        <v>無附件</v>
      </c>
      <c r="T89" s="894" t="str">
        <f t="shared" si="6"/>
        <v>開發手機中框組件模型(適用于Google 牌手機)</v>
      </c>
      <c r="U89" s="898" t="str">
        <f t="array" ref="U89">if(isblank(F89),"",xlookup(G89,z_Others!$B$5:$B$17,z_Others!$G$5:$G$17,"",0,1))</f>
        <v>無線通話用</v>
      </c>
      <c r="V89" s="231" t="str">
        <f t="array" ref="V89">if(isblank(F89),"",xlookup(F89,'FL5_POR_包裝對照表 (Mapping Table)'!E:E,'FL5_POR_包裝對照表 (Mapping Table)'!AB:AB,"",0,1))</f>
        <v>SKU, CLR3, BETTER, MMWAVE, GSTORE, FL5, FRU</v>
      </c>
      <c r="W89" s="899" t="str">
        <f t="array" ref="W89">if(isblank(F89),"",xlookup(G89,z_Others!$B$5:$B$17,z_Others!$I$5:$I$17,"",0,1))</f>
        <v>152.83 x 71.98 x 12.01</v>
      </c>
      <c r="X89" s="894" t="str">
        <f t="shared" si="7"/>
        <v>Google</v>
      </c>
      <c r="Y89" s="894" t="str">
        <f t="shared" si="8"/>
        <v>Tensor series</v>
      </c>
      <c r="Z89" s="900" t="str">
        <f t="shared" si="9"/>
        <v>蜂窩網絡</v>
      </c>
      <c r="AA89" s="900" t="str">
        <f t="shared" si="10"/>
        <v>WCDMA&amp;GSM&amp;LTE&amp;5G制式</v>
      </c>
      <c r="AB89" s="878" t="str">
        <f t="array" ref="AB89">if(isblank(F89),"",xlookup(AJ89,z_Others!$M$5:$M$9,z_Others!$Q$5:$Q$9,"",0,1))</f>
        <v>直板、6.29 英寸彩屏、內存256G、GPRS、藍牙、前攝1100萬、後攝1200/5000萬</v>
      </c>
      <c r="AC89" s="900" t="str">
        <f t="shared" si="11"/>
        <v>中國</v>
      </c>
      <c r="AD89" s="894" t="str">
        <f t="array" ref="AD89">if(isblank(F89),"",xlookup(G89,z_Others!$B$5:$B$14,z_Others!$H$5:$H$14,"",0,1))</f>
        <v>附件07 (FATP手機)</v>
      </c>
      <c r="AE89" s="901" t="str">
        <f t="shared" si="12"/>
        <v>Foxconn</v>
      </c>
      <c r="AF89" s="791">
        <v>45783.0</v>
      </c>
      <c r="AG89" s="791">
        <f t="shared" si="17"/>
        <v>45859</v>
      </c>
      <c r="AH89" s="902">
        <v>45859.0</v>
      </c>
      <c r="AI89" s="787">
        <v>45811.0</v>
      </c>
      <c r="AJ89" s="677" t="str">
        <f t="array" ref="AJ89">if(isblank(F89),"",xlookup(F89,'FL5_POR_包裝對照表 (Mapping Table)'!E:E,'FL5_POR_包裝對照表 (Mapping Table)'!AS:AS,"",0,1))</f>
        <v>256GB</v>
      </c>
      <c r="AK89" s="677" t="str">
        <f t="array" ref="AK89">if(isblank(F89),"",xlookup(F89,'FL5_POR_包裝對照表 (Mapping Table)'!E:E,'FL5_POR_包裝對照表 (Mapping Table)'!K:K,"",0,1))</f>
        <v>YEL</v>
      </c>
      <c r="AL89" s="677">
        <v>3341.0</v>
      </c>
      <c r="AM89" s="811"/>
      <c r="AN89" s="888" t="str">
        <f t="array" ref="AN89">xlookup(F89,'FL5_POR_包裝對照表 (Mapping Table)'!E:E,'FL5_POR_包裝對照表 (Mapping Table)'!BM:BM,"",0,1)</f>
        <v>No demand</v>
      </c>
      <c r="AO89" s="813"/>
      <c r="AP89" s="813"/>
    </row>
    <row r="90" ht="25.5" customHeight="1">
      <c r="A90" s="889"/>
      <c r="B90" s="877">
        <v>84.0</v>
      </c>
      <c r="C90" s="891" t="str">
        <f>if(isblank(F90),"",'FL5_POR_包裝對照表 (Mapping Table)'!$E$4)</f>
        <v>GFL (FL5)</v>
      </c>
      <c r="D90" s="878" t="str">
        <f t="array" ref="D90">if(isblank(F90),"",xlookup(F90,'FL5_POR_包裝對照表 (Mapping Table)'!E:E,'FL5_POR_包裝對照表 (Mapping Table)'!AZ:AZ,"",0,1))</f>
        <v>MP</v>
      </c>
      <c r="E90" s="677" t="str">
        <f t="shared" si="2"/>
        <v>Close</v>
      </c>
      <c r="F90" s="879" t="s">
        <v>887</v>
      </c>
      <c r="G90" s="892" t="str">
        <f t="array" ref="G90">if(isblank(F90),"",xlookup(F90,'FL5_POR_包裝對照表 (Mapping Table)'!E:E,'FL5_POR_包裝對照表 (Mapping Table)'!D:D,"",0,1))</f>
        <v>Bulk Pack</v>
      </c>
      <c r="H90" s="893" t="str">
        <f t="array" ref="H90">if(isblank(F90),"",xlookup(F90,'FL5_POR_包裝對照表 (Mapping Table)'!E:E,'FL5_POR_包裝對照表 (Mapping Table)'!E:E,"",0,1))</f>
        <v>CLNRGA10219</v>
      </c>
      <c r="I90" s="677" t="str">
        <f t="array" ref="I90">if(isblank(F90),"",xlookup(F90,'FL5_POR_包裝對照表 (Mapping Table)'!E:E,'FL5_POR_包裝對照表 (Mapping Table)'!AN:AN,"",0,1))</f>
        <v>G950-15935-07</v>
      </c>
      <c r="J90" s="894" t="str">
        <f t="array" ref="J90">if(isblank(F90),"",xlookup(G90,z_Others!$B$5:$B$17,z_Others!$C$5:$C$17,"",0,1))</f>
        <v>智能手機</v>
      </c>
      <c r="K90" s="894" t="str">
        <f t="array" ref="K90">if(isblank(F90),"",xlookup(G90,z_Others!$B$5:$B$17,z_Others!$E$5:$E$17,"",0,1))</f>
        <v>智能手機</v>
      </c>
      <c r="L90" s="894" t="str">
        <f t="array" ref="L90">if(isblank(F90),"",xlookup(G90,z_Others!$B$5:$B$17,z_Others!$F$5:$F$17,"",0,1))</f>
        <v>智能手機</v>
      </c>
      <c r="M90" s="894" t="str">
        <f t="shared" si="3"/>
        <v>Google</v>
      </c>
      <c r="N90" s="894" t="str">
        <f t="shared" si="4"/>
        <v>境外品牌（貼牌生產)</v>
      </c>
      <c r="O90" s="882" t="str">
        <f t="array" ref="O90">if(isblank(F90),"",xlookup(F90,'FL5_POR_包裝對照表 (Mapping Table)'!E:E,'FL5_POR_包裝對照表 (Mapping Table)'!L:L,"",0,1))</f>
        <v>GLBW0</v>
      </c>
      <c r="P90" s="895">
        <f t="array" ref="P90">if(isblank(F90),"",xlookup(G90,z_Others!$B$5:$B$17,z_Others!$J$5:$J$17,"",0,1))</f>
        <v>0.2029</v>
      </c>
      <c r="Q90" s="896">
        <f t="array" ref="Q90">if(isblank(F90),"",xlookup(F90,'FL5_POR_核價 (經管 &amp; BPM)'!E:E,'FL5_POR_核價 (經管 &amp; BPM)'!O:O,"",0,1))</f>
        <v>452.03</v>
      </c>
      <c r="R90" s="894" t="str">
        <f t="shared" si="5"/>
        <v>否</v>
      </c>
      <c r="S90" s="897" t="str">
        <f t="array" ref="S90">if(isblank(F90),"",xlookup(G90,z_Others!$B$5:$B$17,z_Others!$K$5:$K$17,"",0,1))</f>
        <v>無附件</v>
      </c>
      <c r="T90" s="894" t="str">
        <f t="shared" si="6"/>
        <v>開發手機中框組件模型(適用于Google 牌手機)</v>
      </c>
      <c r="U90" s="898" t="str">
        <f t="array" ref="U90">if(isblank(F90),"",xlookup(G90,z_Others!$B$5:$B$17,z_Others!$G$5:$G$17,"",0,1))</f>
        <v>無線通話用</v>
      </c>
      <c r="V90" s="231" t="str">
        <f t="array" ref="V90">if(isblank(F90),"",xlookup(F90,'FL5_POR_包裝對照表 (Mapping Table)'!E:E,'FL5_POR_包裝對照表 (Mapping Table)'!AB:AB,"",0,1))</f>
        <v>SKU, CLR4, BETTER, MMWAVE, GSTORE, FL5, FRU</v>
      </c>
      <c r="W90" s="899" t="str">
        <f t="array" ref="W90">if(isblank(F90),"",xlookup(G90,z_Others!$B$5:$B$17,z_Others!$I$5:$I$17,"",0,1))</f>
        <v>152.83 x 71.98 x 12.01</v>
      </c>
      <c r="X90" s="894" t="str">
        <f t="shared" si="7"/>
        <v>Google</v>
      </c>
      <c r="Y90" s="894" t="str">
        <f t="shared" si="8"/>
        <v>Tensor series</v>
      </c>
      <c r="Z90" s="900" t="str">
        <f t="shared" si="9"/>
        <v>蜂窩網絡</v>
      </c>
      <c r="AA90" s="900" t="str">
        <f t="shared" si="10"/>
        <v>WCDMA&amp;GSM&amp;LTE&amp;5G制式</v>
      </c>
      <c r="AB90" s="878" t="str">
        <f t="array" ref="AB90">if(isblank(F90),"",xlookup(AJ90,z_Others!$M$5:$M$9,z_Others!$Q$5:$Q$9,"",0,1))</f>
        <v>直板、6.29 英寸彩屏、內存256G、GPRS、藍牙、前攝1100萬、後攝1200/5000萬</v>
      </c>
      <c r="AC90" s="900" t="str">
        <f t="shared" si="11"/>
        <v>中國</v>
      </c>
      <c r="AD90" s="894" t="str">
        <f t="array" ref="AD90">if(isblank(F90),"",xlookup(G90,z_Others!$B$5:$B$14,z_Others!$H$5:$H$14,"",0,1))</f>
        <v>附件07 (FATP手機)</v>
      </c>
      <c r="AE90" s="901" t="str">
        <f t="shared" si="12"/>
        <v>Foxconn</v>
      </c>
      <c r="AF90" s="791">
        <v>45783.0</v>
      </c>
      <c r="AG90" s="791">
        <f t="shared" si="17"/>
        <v>45859</v>
      </c>
      <c r="AH90" s="902">
        <v>45859.0</v>
      </c>
      <c r="AI90" s="787">
        <v>45811.0</v>
      </c>
      <c r="AJ90" s="677" t="str">
        <f t="array" ref="AJ90">if(isblank(F90),"",xlookup(F90,'FL5_POR_包裝對照表 (Mapping Table)'!E:E,'FL5_POR_包裝對照表 (Mapping Table)'!AS:AS,"",0,1))</f>
        <v>256GB</v>
      </c>
      <c r="AK90" s="677" t="str">
        <f t="array" ref="AK90">if(isblank(F90),"",xlookup(F90,'FL5_POR_包裝對照表 (Mapping Table)'!E:E,'FL5_POR_包裝對照表 (Mapping Table)'!K:K,"",0,1))</f>
        <v>BUE</v>
      </c>
      <c r="AL90" s="677">
        <v>3340.0</v>
      </c>
      <c r="AM90" s="811"/>
      <c r="AN90" s="888" t="str">
        <f t="array" ref="AN90">xlookup(F90,'FL5_POR_包裝對照表 (Mapping Table)'!E:E,'FL5_POR_包裝對照表 (Mapping Table)'!BM:BM,"",0,1)</f>
        <v>No demand</v>
      </c>
      <c r="AO90" s="813"/>
      <c r="AP90" s="813"/>
    </row>
    <row r="91" ht="25.5" customHeight="1">
      <c r="A91" s="889"/>
      <c r="B91" s="877">
        <v>85.0</v>
      </c>
      <c r="C91" s="891" t="str">
        <f>if(isblank(F91),"",'FL5_POR_包裝對照表 (Mapping Table)'!$E$4)</f>
        <v>GFL (FL5)</v>
      </c>
      <c r="D91" s="878" t="str">
        <f t="array" ref="D91">if(isblank(F91),"",xlookup(F91,'FL5_POR_包裝對照表 (Mapping Table)'!E:E,'FL5_POR_包裝對照表 (Mapping Table)'!AZ:AZ,"",0,1))</f>
        <v>MP</v>
      </c>
      <c r="E91" s="677" t="str">
        <f t="shared" si="2"/>
        <v>Close</v>
      </c>
      <c r="F91" s="879" t="s">
        <v>793</v>
      </c>
      <c r="G91" s="892" t="str">
        <f t="array" ref="G91">if(isblank(F91),"",xlookup(F91,'FL5_POR_包裝對照表 (Mapping Table)'!E:E,'FL5_POR_包裝對照表 (Mapping Table)'!D:D,"",0,1))</f>
        <v>Bulk Pack</v>
      </c>
      <c r="H91" s="893" t="str">
        <f t="array" ref="H91">if(isblank(F91),"",xlookup(F91,'FL5_POR_包裝對照表 (Mapping Table)'!E:E,'FL5_POR_包裝對照表 (Mapping Table)'!E:E,"",0,1))</f>
        <v>CLNRGA10252</v>
      </c>
      <c r="I91" s="677" t="str">
        <f t="array" ref="I91">if(isblank(F91),"",xlookup(F91,'FL5_POR_包裝對照表 (Mapping Table)'!E:E,'FL5_POR_包裝對照表 (Mapping Table)'!AN:AN,"",0,1))</f>
        <v>G950-15935-03</v>
      </c>
      <c r="J91" s="894" t="str">
        <f t="array" ref="J91">if(isblank(F91),"",xlookup(G91,z_Others!$B$5:$B$17,z_Others!$C$5:$C$17,"",0,1))</f>
        <v>智能手機</v>
      </c>
      <c r="K91" s="894" t="str">
        <f t="array" ref="K91">if(isblank(F91),"",xlookup(G91,z_Others!$B$5:$B$17,z_Others!$E$5:$E$17,"",0,1))</f>
        <v>智能手機</v>
      </c>
      <c r="L91" s="894" t="str">
        <f t="array" ref="L91">if(isblank(F91),"",xlookup(G91,z_Others!$B$5:$B$17,z_Others!$F$5:$F$17,"",0,1))</f>
        <v>智能手機</v>
      </c>
      <c r="M91" s="894" t="str">
        <f t="shared" si="3"/>
        <v>Google</v>
      </c>
      <c r="N91" s="894" t="str">
        <f t="shared" si="4"/>
        <v>境外品牌（貼牌生產)</v>
      </c>
      <c r="O91" s="882" t="str">
        <f t="array" ref="O91">if(isblank(F91),"",xlookup(F91,'FL5_POR_包裝對照表 (Mapping Table)'!E:E,'FL5_POR_包裝對照表 (Mapping Table)'!L:L,"",0,1))</f>
        <v>GLBW0</v>
      </c>
      <c r="P91" s="895">
        <f t="array" ref="P91">if(isblank(F91),"",xlookup(G91,z_Others!$B$5:$B$17,z_Others!$J$5:$J$17,"",0,1))</f>
        <v>0.2029</v>
      </c>
      <c r="Q91" s="896">
        <f t="array" ref="Q91">if(isblank(F91),"",xlookup(F91,'FL5_POR_核價 (經管 &amp; BPM)'!E:E,'FL5_POR_核價 (經管 &amp; BPM)'!O:O,"",0,1))</f>
        <v>446.03</v>
      </c>
      <c r="R91" s="894" t="str">
        <f t="shared" si="5"/>
        <v>否</v>
      </c>
      <c r="S91" s="897" t="str">
        <f t="array" ref="S91">if(isblank(F91),"",xlookup(G91,z_Others!$B$5:$B$17,z_Others!$K$5:$K$17,"",0,1))</f>
        <v>無附件</v>
      </c>
      <c r="T91" s="894" t="str">
        <f t="shared" si="6"/>
        <v>開發手機中框組件模型(適用于Google 牌手機)</v>
      </c>
      <c r="U91" s="898" t="str">
        <f t="array" ref="U91">if(isblank(F91),"",xlookup(G91,z_Others!$B$5:$B$17,z_Others!$G$5:$G$17,"",0,1))</f>
        <v>無線通話用</v>
      </c>
      <c r="V91" s="231" t="str">
        <f t="array" ref="V91">if(isblank(F91),"",xlookup(F91,'FL5_POR_包裝對照表 (Mapping Table)'!E:E,'FL5_POR_包裝對照表 (Mapping Table)'!AB:AB,"",0,1))</f>
        <v>SKU, CLR4, GOOD, MMWAVE, TMO, FL5, FRU</v>
      </c>
      <c r="W91" s="899" t="str">
        <f t="array" ref="W91">if(isblank(F91),"",xlookup(G91,z_Others!$B$5:$B$17,z_Others!$I$5:$I$17,"",0,1))</f>
        <v>152.83 x 71.98 x 12.01</v>
      </c>
      <c r="X91" s="894" t="str">
        <f t="shared" si="7"/>
        <v>Google</v>
      </c>
      <c r="Y91" s="894" t="str">
        <f t="shared" si="8"/>
        <v>Tensor series</v>
      </c>
      <c r="Z91" s="900" t="str">
        <f t="shared" si="9"/>
        <v>蜂窩網絡</v>
      </c>
      <c r="AA91" s="900" t="str">
        <f t="shared" si="10"/>
        <v>WCDMA&amp;GSM&amp;LTE&amp;5G制式</v>
      </c>
      <c r="AB91" s="878" t="str">
        <f t="array" ref="AB91">if(isblank(F91),"",xlookup(AJ91,z_Others!$M$5:$M$9,z_Others!$Q$5:$Q$9,"",0,1))</f>
        <v>直板、6.29 英寸彩屏、內存128G、GPRS、藍牙、前攝1100萬、後攝1200/5000萬</v>
      </c>
      <c r="AC91" s="900" t="str">
        <f t="shared" si="11"/>
        <v>中國</v>
      </c>
      <c r="AD91" s="894" t="str">
        <f t="array" ref="AD91">if(isblank(F91),"",xlookup(G91,z_Others!$B$5:$B$14,z_Others!$H$5:$H$14,"",0,1))</f>
        <v>附件07 (FATP手機)</v>
      </c>
      <c r="AE91" s="901" t="str">
        <f t="shared" si="12"/>
        <v>Foxconn</v>
      </c>
      <c r="AF91" s="791">
        <v>45783.0</v>
      </c>
      <c r="AG91" s="791">
        <f t="shared" si="17"/>
        <v>45859</v>
      </c>
      <c r="AH91" s="902">
        <v>45810.0</v>
      </c>
      <c r="AI91" s="787">
        <v>45805.0</v>
      </c>
      <c r="AJ91" s="677" t="str">
        <f t="array" ref="AJ91">if(isblank(F91),"",xlookup(F91,'FL5_POR_包裝對照表 (Mapping Table)'!E:E,'FL5_POR_包裝對照表 (Mapping Table)'!AS:AS,"",0,1))</f>
        <v>128GB</v>
      </c>
      <c r="AK91" s="677" t="str">
        <f t="array" ref="AK91">if(isblank(F91),"",xlookup(F91,'FL5_POR_包裝對照表 (Mapping Table)'!E:E,'FL5_POR_包裝對照表 (Mapping Table)'!K:K,"",0,1))</f>
        <v>BUE</v>
      </c>
      <c r="AL91" s="292">
        <v>3252.0</v>
      </c>
      <c r="AM91" s="811"/>
      <c r="AN91" s="888" t="str">
        <f t="array" ref="AN91">xlookup(F91,'FL5_POR_包裝對照表 (Mapping Table)'!E:E,'FL5_POR_包裝對照表 (Mapping Table)'!BM:BM,"",0,1)</f>
        <v>No demand</v>
      </c>
      <c r="AO91" s="813"/>
      <c r="AP91" s="813"/>
    </row>
    <row r="92" ht="25.5" customHeight="1">
      <c r="A92" s="889"/>
      <c r="B92" s="877">
        <v>86.0</v>
      </c>
      <c r="C92" s="891" t="str">
        <f>if(isblank(F92),"",'FL5_POR_包裝對照表 (Mapping Table)'!$E$4)</f>
        <v>GFL (FL5)</v>
      </c>
      <c r="D92" s="878" t="str">
        <f t="array" ref="D92">if(isblank(F92),"",xlookup(F92,'FL5_POR_包裝對照表 (Mapping Table)'!E:E,'FL5_POR_包裝對照表 (Mapping Table)'!AZ:AZ,"",0,1))</f>
        <v>MP</v>
      </c>
      <c r="E92" s="677" t="str">
        <f t="shared" si="2"/>
        <v>Close</v>
      </c>
      <c r="F92" s="879" t="s">
        <v>816</v>
      </c>
      <c r="G92" s="892" t="str">
        <f t="array" ref="G92">if(isblank(F92),"",xlookup(F92,'FL5_POR_包裝對照表 (Mapping Table)'!E:E,'FL5_POR_包裝對照表 (Mapping Table)'!D:D,"",0,1))</f>
        <v>Bulk Pack</v>
      </c>
      <c r="H92" s="904" t="str">
        <f t="array" ref="H92">if(isblank(F92),"",xlookup(F92,'FL5_POR_包裝對照表 (Mapping Table)'!E:E,'FL5_POR_包裝對照表 (Mapping Table)'!E:E,"",0,1))</f>
        <v>CLNRGA10540</v>
      </c>
      <c r="I92" s="677" t="str">
        <f t="array" ref="I92">if(isblank(F92),"",xlookup(F92,'FL5_POR_包裝對照表 (Mapping Table)'!E:E,'FL5_POR_包裝對照表 (Mapping Table)'!AN:AN,"",0,1))</f>
        <v>G950-15935-10</v>
      </c>
      <c r="J92" s="894" t="str">
        <f t="array" ref="J92">if(isblank(F92),"",xlookup(G92,z_Others!$B$5:$B$17,z_Others!$C$5:$C$17,"",0,1))</f>
        <v>智能手機</v>
      </c>
      <c r="K92" s="894" t="str">
        <f t="array" ref="K92">if(isblank(F92),"",xlookup(G92,z_Others!$B$5:$B$17,z_Others!$E$5:$E$17,"",0,1))</f>
        <v>智能手機</v>
      </c>
      <c r="L92" s="894" t="str">
        <f t="array" ref="L92">if(isblank(F92),"",xlookup(G92,z_Others!$B$5:$B$17,z_Others!$F$5:$F$17,"",0,1))</f>
        <v>智能手機</v>
      </c>
      <c r="M92" s="894" t="str">
        <f t="shared" si="3"/>
        <v>Google</v>
      </c>
      <c r="N92" s="894" t="str">
        <f t="shared" si="4"/>
        <v>境外品牌（貼牌生產)</v>
      </c>
      <c r="O92" s="882" t="str">
        <f t="array" ref="O92">if(isblank(F92),"",xlookup(F92,'FL5_POR_包裝對照表 (Mapping Table)'!E:E,'FL5_POR_包裝對照表 (Mapping Table)'!L:L,"",0,1))</f>
        <v>GK2MP</v>
      </c>
      <c r="P92" s="895">
        <f t="array" ref="P92">if(isblank(F92),"",xlookup(G92,z_Others!$B$5:$B$17,z_Others!$J$5:$J$17,"",0,1))</f>
        <v>0.2029</v>
      </c>
      <c r="Q92" s="896">
        <f t="array" ref="Q92">if(isblank(F92),"",xlookup(F92,'FL5_POR_核價 (經管 &amp; BPM)'!E:E,'FL5_POR_核價 (經管 &amp; BPM)'!O:O,"",0,1))</f>
        <v>428.17</v>
      </c>
      <c r="R92" s="894" t="str">
        <f t="shared" si="5"/>
        <v>否</v>
      </c>
      <c r="S92" s="897" t="str">
        <f t="array" ref="S92">if(isblank(F92),"",xlookup(G92,z_Others!$B$5:$B$17,z_Others!$K$5:$K$17,"",0,1))</f>
        <v>無附件</v>
      </c>
      <c r="T92" s="894" t="str">
        <f t="shared" si="6"/>
        <v>開發手機中框組件模型(適用于Google 牌手機)</v>
      </c>
      <c r="U92" s="898" t="str">
        <f t="array" ref="U92">if(isblank(F92),"",xlookup(G92,z_Others!$B$5:$B$17,z_Others!$G$5:$G$17,"",0,1))</f>
        <v>無線通話用</v>
      </c>
      <c r="V92" s="231" t="str">
        <f t="array" ref="V92">if(isblank(F92),"",xlookup(F92,'FL5_POR_包裝對照表 (Mapping Table)'!E:E,'FL5_POR_包裝對照表 (Mapping Table)'!AB:AB,"",0,1))</f>
        <v>SKU, CLR1, GOOD, SUB6, CA/AU, FL5, FRU</v>
      </c>
      <c r="W92" s="899" t="str">
        <f t="array" ref="W92">if(isblank(F92),"",xlookup(G92,z_Others!$B$5:$B$17,z_Others!$I$5:$I$17,"",0,1))</f>
        <v>152.83 x 71.98 x 12.01</v>
      </c>
      <c r="X92" s="894" t="str">
        <f t="shared" si="7"/>
        <v>Google</v>
      </c>
      <c r="Y92" s="894" t="str">
        <f t="shared" si="8"/>
        <v>Tensor series</v>
      </c>
      <c r="Z92" s="900" t="str">
        <f t="shared" si="9"/>
        <v>蜂窩網絡</v>
      </c>
      <c r="AA92" s="900" t="str">
        <f t="shared" si="10"/>
        <v>WCDMA&amp;GSM&amp;LTE&amp;5G制式</v>
      </c>
      <c r="AB92" s="878" t="str">
        <f t="array" ref="AB92">if(isblank(F92),"",xlookup(AJ92,z_Others!$M$5:$M$9,z_Others!$Q$5:$Q$9,"",0,1))</f>
        <v>直板、6.29 英寸彩屏、內存128G、GPRS、藍牙、前攝1100萬、後攝1200/5000萬</v>
      </c>
      <c r="AC92" s="900" t="str">
        <f t="shared" si="11"/>
        <v>中國</v>
      </c>
      <c r="AD92" s="894" t="str">
        <f t="array" ref="AD92">if(isblank(F92),"",xlookup(G92,z_Others!$B$5:$B$14,z_Others!$H$5:$H$14,"",0,1))</f>
        <v>附件07 (FATP手機)</v>
      </c>
      <c r="AE92" s="901" t="str">
        <f t="shared" si="12"/>
        <v>Foxconn</v>
      </c>
      <c r="AF92" s="791">
        <v>45783.0</v>
      </c>
      <c r="AG92" s="791">
        <f t="shared" si="17"/>
        <v>45859</v>
      </c>
      <c r="AH92" s="902" t="s">
        <v>1140</v>
      </c>
      <c r="AI92" s="787">
        <v>45796.0</v>
      </c>
      <c r="AJ92" s="677" t="str">
        <f t="array" ref="AJ92">if(isblank(F92),"",xlookup(F92,'FL5_POR_包裝對照表 (Mapping Table)'!E:E,'FL5_POR_包裝對照表 (Mapping Table)'!AS:AS,"",0,1))</f>
        <v>128GB</v>
      </c>
      <c r="AK92" s="677" t="str">
        <f t="array" ref="AK92">if(isblank(F92),"",xlookup(F92,'FL5_POR_包裝對照表 (Mapping Table)'!E:E,'FL5_POR_包裝對照表 (Mapping Table)'!K:K,"",0,1))</f>
        <v>BLK</v>
      </c>
      <c r="AL92" s="677">
        <v>3071.0</v>
      </c>
      <c r="AM92" s="811"/>
      <c r="AN92" s="888" t="str">
        <f t="array" ref="AN92">xlookup(F92,'FL5_POR_包裝對照表 (Mapping Table)'!E:E,'FL5_POR_包裝對照表 (Mapping Table)'!BM:BM,"",0,1)</f>
        <v>No demand</v>
      </c>
      <c r="AO92" s="813"/>
      <c r="AP92" s="813"/>
    </row>
    <row r="93" ht="25.5" customHeight="1">
      <c r="A93" s="889"/>
      <c r="B93" s="877">
        <v>87.0</v>
      </c>
      <c r="C93" s="891" t="str">
        <f>if(isblank(F93),"",'FL5_POR_包裝對照表 (Mapping Table)'!$E$4)</f>
        <v>GFL (FL5)</v>
      </c>
      <c r="D93" s="878" t="str">
        <f t="array" ref="D93">if(isblank(F93),"",xlookup(F93,'FL5_POR_包裝對照表 (Mapping Table)'!E:E,'FL5_POR_包裝對照表 (Mapping Table)'!AZ:AZ,"",0,1))</f>
        <v>MP</v>
      </c>
      <c r="E93" s="677" t="str">
        <f t="shared" si="2"/>
        <v>Close</v>
      </c>
      <c r="F93" s="879" t="s">
        <v>824</v>
      </c>
      <c r="G93" s="892" t="str">
        <f t="array" ref="G93">if(isblank(F93),"",xlookup(F93,'FL5_POR_包裝對照表 (Mapping Table)'!E:E,'FL5_POR_包裝對照表 (Mapping Table)'!D:D,"",0,1))</f>
        <v>Bulk Pack</v>
      </c>
      <c r="H93" s="904" t="str">
        <f t="array" ref="H93">if(isblank(F93),"",xlookup(F93,'FL5_POR_包裝對照表 (Mapping Table)'!E:E,'FL5_POR_包裝對照表 (Mapping Table)'!E:E,"",0,1))</f>
        <v>CLNRGA10541</v>
      </c>
      <c r="I93" s="677" t="str">
        <f t="array" ref="I93">if(isblank(F93),"",xlookup(F93,'FL5_POR_包裝對照表 (Mapping Table)'!E:E,'FL5_POR_包裝對照表 (Mapping Table)'!AN:AN,"",0,1))</f>
        <v>G950-15935-11</v>
      </c>
      <c r="J93" s="894" t="str">
        <f t="array" ref="J93">if(isblank(F93),"",xlookup(G93,z_Others!$B$5:$B$17,z_Others!$C$5:$C$17,"",0,1))</f>
        <v>智能手機</v>
      </c>
      <c r="K93" s="894" t="str">
        <f t="array" ref="K93">if(isblank(F93),"",xlookup(G93,z_Others!$B$5:$B$17,z_Others!$E$5:$E$17,"",0,1))</f>
        <v>智能手機</v>
      </c>
      <c r="L93" s="894" t="str">
        <f t="array" ref="L93">if(isblank(F93),"",xlookup(G93,z_Others!$B$5:$B$17,z_Others!$F$5:$F$17,"",0,1))</f>
        <v>智能手機</v>
      </c>
      <c r="M93" s="894" t="str">
        <f t="shared" si="3"/>
        <v>Google</v>
      </c>
      <c r="N93" s="894" t="str">
        <f t="shared" si="4"/>
        <v>境外品牌（貼牌生產)</v>
      </c>
      <c r="O93" s="882" t="str">
        <f t="array" ref="O93">if(isblank(F93),"",xlookup(F93,'FL5_POR_包裝對照表 (Mapping Table)'!E:E,'FL5_POR_包裝對照表 (Mapping Table)'!L:L,"",0,1))</f>
        <v>GK2MP</v>
      </c>
      <c r="P93" s="895">
        <f t="array" ref="P93">if(isblank(F93),"",xlookup(G93,z_Others!$B$5:$B$17,z_Others!$J$5:$J$17,"",0,1))</f>
        <v>0.2029</v>
      </c>
      <c r="Q93" s="896">
        <f t="array" ref="Q93">if(isblank(F93),"",xlookup(F93,'FL5_POR_核價 (經管 &amp; BPM)'!E:E,'FL5_POR_核價 (經管 &amp; BPM)'!O:O,"",0,1))</f>
        <v>428.47</v>
      </c>
      <c r="R93" s="894" t="str">
        <f t="shared" si="5"/>
        <v>否</v>
      </c>
      <c r="S93" s="897" t="str">
        <f t="array" ref="S93">if(isblank(F93),"",xlookup(G93,z_Others!$B$5:$B$17,z_Others!$K$5:$K$17,"",0,1))</f>
        <v>無附件</v>
      </c>
      <c r="T93" s="894" t="str">
        <f t="shared" si="6"/>
        <v>開發手機中框組件模型(適用于Google 牌手機)</v>
      </c>
      <c r="U93" s="898" t="str">
        <f t="array" ref="U93">if(isblank(F93),"",xlookup(G93,z_Others!$B$5:$B$17,z_Others!$G$5:$G$17,"",0,1))</f>
        <v>無線通話用</v>
      </c>
      <c r="V93" s="231" t="str">
        <f t="array" ref="V93">if(isblank(F93),"",xlookup(F93,'FL5_POR_包裝對照表 (Mapping Table)'!E:E,'FL5_POR_包裝對照表 (Mapping Table)'!AB:AB,"",0,1))</f>
        <v>SKU, CLR2, GOOD, SUB6, CA/AU, FL5, FRU</v>
      </c>
      <c r="W93" s="899" t="str">
        <f t="array" ref="W93">if(isblank(F93),"",xlookup(G93,z_Others!$B$5:$B$17,z_Others!$I$5:$I$17,"",0,1))</f>
        <v>152.83 x 71.98 x 12.01</v>
      </c>
      <c r="X93" s="894" t="str">
        <f t="shared" si="7"/>
        <v>Google</v>
      </c>
      <c r="Y93" s="894" t="str">
        <f t="shared" si="8"/>
        <v>Tensor series</v>
      </c>
      <c r="Z93" s="900" t="str">
        <f t="shared" si="9"/>
        <v>蜂窩網絡</v>
      </c>
      <c r="AA93" s="900" t="str">
        <f t="shared" si="10"/>
        <v>WCDMA&amp;GSM&amp;LTE&amp;5G制式</v>
      </c>
      <c r="AB93" s="878" t="str">
        <f t="array" ref="AB93">if(isblank(F93),"",xlookup(AJ93,z_Others!$M$5:$M$9,z_Others!$Q$5:$Q$9,"",0,1))</f>
        <v>直板、6.29 英寸彩屏、內存128G、GPRS、藍牙、前攝1100萬、後攝1200/5000萬</v>
      </c>
      <c r="AC93" s="900" t="str">
        <f t="shared" si="11"/>
        <v>中國</v>
      </c>
      <c r="AD93" s="894" t="str">
        <f t="array" ref="AD93">if(isblank(F93),"",xlookup(G93,z_Others!$B$5:$B$14,z_Others!$H$5:$H$14,"",0,1))</f>
        <v>附件07 (FATP手機)</v>
      </c>
      <c r="AE93" s="901" t="str">
        <f t="shared" si="12"/>
        <v>Foxconn</v>
      </c>
      <c r="AF93" s="791">
        <v>45783.0</v>
      </c>
      <c r="AG93" s="791">
        <f t="shared" si="17"/>
        <v>45859</v>
      </c>
      <c r="AH93" s="902">
        <v>45803.0</v>
      </c>
      <c r="AI93" s="787">
        <v>45803.0</v>
      </c>
      <c r="AJ93" s="677" t="str">
        <f t="array" ref="AJ93">if(isblank(F93),"",xlookup(F93,'FL5_POR_包裝對照表 (Mapping Table)'!E:E,'FL5_POR_包裝對照表 (Mapping Table)'!AS:AS,"",0,1))</f>
        <v>128GB</v>
      </c>
      <c r="AK93" s="677" t="str">
        <f t="array" ref="AK93">if(isblank(F93),"",xlookup(F93,'FL5_POR_包裝對照表 (Mapping Table)'!E:E,'FL5_POR_包裝對照表 (Mapping Table)'!K:K,"",0,1))</f>
        <v>PPL</v>
      </c>
      <c r="AL93" s="677">
        <v>3181.0</v>
      </c>
      <c r="AM93" s="811"/>
      <c r="AN93" s="888" t="str">
        <f t="array" ref="AN93">xlookup(F93,'FL5_POR_包裝對照表 (Mapping Table)'!E:E,'FL5_POR_包裝對照表 (Mapping Table)'!BM:BM,"",0,1)</f>
        <v>No demand</v>
      </c>
      <c r="AO93" s="813"/>
      <c r="AP93" s="813"/>
    </row>
    <row r="94" ht="25.5" customHeight="1">
      <c r="A94" s="889"/>
      <c r="B94" s="877">
        <v>88.0</v>
      </c>
      <c r="C94" s="891" t="str">
        <f>if(isblank(F94),"",'FL5_POR_包裝對照表 (Mapping Table)'!$E$4)</f>
        <v>GFL (FL5)</v>
      </c>
      <c r="D94" s="878" t="str">
        <f t="array" ref="D94">if(isblank(F94),"",xlookup(F94,'FL5_POR_包裝對照表 (Mapping Table)'!E:E,'FL5_POR_包裝對照表 (Mapping Table)'!AZ:AZ,"",0,1))</f>
        <v>MP</v>
      </c>
      <c r="E94" s="677" t="str">
        <f t="shared" si="2"/>
        <v>Close</v>
      </c>
      <c r="F94" s="879" t="s">
        <v>828</v>
      </c>
      <c r="G94" s="892" t="str">
        <f t="array" ref="G94">if(isblank(F94),"",xlookup(F94,'FL5_POR_包裝對照表 (Mapping Table)'!E:E,'FL5_POR_包裝對照表 (Mapping Table)'!D:D,"",0,1))</f>
        <v>Bulk Pack</v>
      </c>
      <c r="H94" s="904" t="str">
        <f t="array" ref="H94">if(isblank(F94),"",xlookup(F94,'FL5_POR_包裝對照表 (Mapping Table)'!E:E,'FL5_POR_包裝對照表 (Mapping Table)'!E:E,"",0,1))</f>
        <v>CLNRGA10542</v>
      </c>
      <c r="I94" s="677" t="str">
        <f t="array" ref="I94">if(isblank(F94),"",xlookup(F94,'FL5_POR_包裝對照表 (Mapping Table)'!E:E,'FL5_POR_包裝對照表 (Mapping Table)'!AN:AN,"",0,1))</f>
        <v>G950-15935-12</v>
      </c>
      <c r="J94" s="894" t="str">
        <f t="array" ref="J94">if(isblank(F94),"",xlookup(G94,z_Others!$B$5:$B$17,z_Others!$C$5:$C$17,"",0,1))</f>
        <v>智能手機</v>
      </c>
      <c r="K94" s="894" t="str">
        <f t="array" ref="K94">if(isblank(F94),"",xlookup(G94,z_Others!$B$5:$B$17,z_Others!$E$5:$E$17,"",0,1))</f>
        <v>智能手機</v>
      </c>
      <c r="L94" s="894" t="str">
        <f t="array" ref="L94">if(isblank(F94),"",xlookup(G94,z_Others!$B$5:$B$17,z_Others!$F$5:$F$17,"",0,1))</f>
        <v>智能手機</v>
      </c>
      <c r="M94" s="894" t="str">
        <f t="shared" si="3"/>
        <v>Google</v>
      </c>
      <c r="N94" s="894" t="str">
        <f t="shared" si="4"/>
        <v>境外品牌（貼牌生產)</v>
      </c>
      <c r="O94" s="882" t="str">
        <f t="array" ref="O94">if(isblank(F94),"",xlookup(F94,'FL5_POR_包裝對照表 (Mapping Table)'!E:E,'FL5_POR_包裝對照表 (Mapping Table)'!L:L,"",0,1))</f>
        <v>GK2MP</v>
      </c>
      <c r="P94" s="895">
        <f t="array" ref="P94">if(isblank(F94),"",xlookup(G94,z_Others!$B$5:$B$17,z_Others!$J$5:$J$17,"",0,1))</f>
        <v>0.2029</v>
      </c>
      <c r="Q94" s="896">
        <f t="array" ref="Q94">if(isblank(F94),"",xlookup(F94,'FL5_POR_核價 (經管 &amp; BPM)'!E:E,'FL5_POR_核價 (經管 &amp; BPM)'!O:O,"",0,1))</f>
        <v>428.57</v>
      </c>
      <c r="R94" s="894" t="str">
        <f t="shared" si="5"/>
        <v>否</v>
      </c>
      <c r="S94" s="897" t="str">
        <f t="array" ref="S94">if(isblank(F94),"",xlookup(G94,z_Others!$B$5:$B$17,z_Others!$K$5:$K$17,"",0,1))</f>
        <v>無附件</v>
      </c>
      <c r="T94" s="894" t="str">
        <f t="shared" si="6"/>
        <v>開發手機中框組件模型(適用于Google 牌手機)</v>
      </c>
      <c r="U94" s="898" t="str">
        <f t="array" ref="U94">if(isblank(F94),"",xlookup(G94,z_Others!$B$5:$B$17,z_Others!$G$5:$G$17,"",0,1))</f>
        <v>無線通話用</v>
      </c>
      <c r="V94" s="231" t="str">
        <f t="array" ref="V94">if(isblank(F94),"",xlookup(F94,'FL5_POR_包裝對照表 (Mapping Table)'!E:E,'FL5_POR_包裝對照表 (Mapping Table)'!AB:AB,"",0,1))</f>
        <v>SKU, CLR3, GOOD, SUB6, CA/AU, FL5, FRU</v>
      </c>
      <c r="W94" s="899" t="str">
        <f t="array" ref="W94">if(isblank(F94),"",xlookup(G94,z_Others!$B$5:$B$17,z_Others!$I$5:$I$17,"",0,1))</f>
        <v>152.83 x 71.98 x 12.01</v>
      </c>
      <c r="X94" s="894" t="str">
        <f t="shared" si="7"/>
        <v>Google</v>
      </c>
      <c r="Y94" s="894" t="str">
        <f t="shared" si="8"/>
        <v>Tensor series</v>
      </c>
      <c r="Z94" s="900" t="str">
        <f t="shared" si="9"/>
        <v>蜂窩網絡</v>
      </c>
      <c r="AA94" s="900" t="str">
        <f t="shared" si="10"/>
        <v>WCDMA&amp;GSM&amp;LTE&amp;5G制式</v>
      </c>
      <c r="AB94" s="878" t="str">
        <f t="array" ref="AB94">if(isblank(F94),"",xlookup(AJ94,z_Others!$M$5:$M$9,z_Others!$Q$5:$Q$9,"",0,1))</f>
        <v>直板、6.29 英寸彩屏、內存128G、GPRS、藍牙、前攝1100萬、後攝1200/5000萬</v>
      </c>
      <c r="AC94" s="900" t="str">
        <f t="shared" si="11"/>
        <v>中國</v>
      </c>
      <c r="AD94" s="894" t="str">
        <f t="array" ref="AD94">if(isblank(F94),"",xlookup(G94,z_Others!$B$5:$B$14,z_Others!$H$5:$H$14,"",0,1))</f>
        <v>附件07 (FATP手機)</v>
      </c>
      <c r="AE94" s="901" t="str">
        <f t="shared" si="12"/>
        <v>Foxconn</v>
      </c>
      <c r="AF94" s="791">
        <v>45783.0</v>
      </c>
      <c r="AG94" s="791">
        <f t="shared" si="17"/>
        <v>45859</v>
      </c>
      <c r="AH94" s="902">
        <v>45803.0</v>
      </c>
      <c r="AI94" s="787">
        <v>45803.0</v>
      </c>
      <c r="AJ94" s="677" t="str">
        <f t="array" ref="AJ94">if(isblank(F94),"",xlookup(F94,'FL5_POR_包裝對照表 (Mapping Table)'!E:E,'FL5_POR_包裝對照表 (Mapping Table)'!AS:AS,"",0,1))</f>
        <v>128GB</v>
      </c>
      <c r="AK94" s="677" t="str">
        <f t="array" ref="AK94">if(isblank(F94),"",xlookup(F94,'FL5_POR_包裝對照表 (Mapping Table)'!E:E,'FL5_POR_包裝對照表 (Mapping Table)'!K:K,"",0,1))</f>
        <v>YEL</v>
      </c>
      <c r="AL94" s="677">
        <v>3180.0</v>
      </c>
      <c r="AM94" s="811"/>
      <c r="AN94" s="888" t="str">
        <f t="array" ref="AN94">xlookup(F94,'FL5_POR_包裝對照表 (Mapping Table)'!E:E,'FL5_POR_包裝對照表 (Mapping Table)'!BM:BM,"",0,1)</f>
        <v>No demand</v>
      </c>
      <c r="AO94" s="813"/>
      <c r="AP94" s="813"/>
    </row>
    <row r="95" ht="25.5" customHeight="1">
      <c r="A95" s="889"/>
      <c r="B95" s="877">
        <v>89.0</v>
      </c>
      <c r="C95" s="891" t="str">
        <f>if(isblank(F95),"",'FL5_POR_包裝對照表 (Mapping Table)'!$E$4)</f>
        <v>GFL (FL5)</v>
      </c>
      <c r="D95" s="878" t="str">
        <f t="array" ref="D95">if(isblank(F95),"",xlookup(F95,'FL5_POR_包裝對照表 (Mapping Table)'!E:E,'FL5_POR_包裝對照表 (Mapping Table)'!AZ:AZ,"",0,1))</f>
        <v>MP</v>
      </c>
      <c r="E95" s="677" t="str">
        <f t="shared" si="2"/>
        <v>Close</v>
      </c>
      <c r="F95" s="879" t="s">
        <v>832</v>
      </c>
      <c r="G95" s="892" t="str">
        <f t="array" ref="G95">if(isblank(F95),"",xlookup(F95,'FL5_POR_包裝對照表 (Mapping Table)'!E:E,'FL5_POR_包裝對照表 (Mapping Table)'!D:D,"",0,1))</f>
        <v>Bulk Pack</v>
      </c>
      <c r="H95" s="904" t="str">
        <f t="array" ref="H95">if(isblank(F95),"",xlookup(F95,'FL5_POR_包裝對照表 (Mapping Table)'!E:E,'FL5_POR_包裝對照表 (Mapping Table)'!E:E,"",0,1))</f>
        <v>CLNRGA10543</v>
      </c>
      <c r="I95" s="677" t="str">
        <f t="array" ref="I95">if(isblank(F95),"",xlookup(F95,'FL5_POR_包裝對照表 (Mapping Table)'!E:E,'FL5_POR_包裝對照表 (Mapping Table)'!AN:AN,"",0,1))</f>
        <v>G950-15935-13</v>
      </c>
      <c r="J95" s="894" t="str">
        <f t="array" ref="J95">if(isblank(F95),"",xlookup(G95,z_Others!$B$5:$B$17,z_Others!$C$5:$C$17,"",0,1))</f>
        <v>智能手機</v>
      </c>
      <c r="K95" s="894" t="str">
        <f t="array" ref="K95">if(isblank(F95),"",xlookup(G95,z_Others!$B$5:$B$17,z_Others!$E$5:$E$17,"",0,1))</f>
        <v>智能手機</v>
      </c>
      <c r="L95" s="894" t="str">
        <f t="array" ref="L95">if(isblank(F95),"",xlookup(G95,z_Others!$B$5:$B$17,z_Others!$F$5:$F$17,"",0,1))</f>
        <v>智能手機</v>
      </c>
      <c r="M95" s="894" t="str">
        <f t="shared" si="3"/>
        <v>Google</v>
      </c>
      <c r="N95" s="894" t="str">
        <f t="shared" si="4"/>
        <v>境外品牌（貼牌生產)</v>
      </c>
      <c r="O95" s="882" t="str">
        <f t="array" ref="O95">if(isblank(F95),"",xlookup(F95,'FL5_POR_包裝對照表 (Mapping Table)'!E:E,'FL5_POR_包裝對照表 (Mapping Table)'!L:L,"",0,1))</f>
        <v>GK2MP</v>
      </c>
      <c r="P95" s="895">
        <f t="array" ref="P95">if(isblank(F95),"",xlookup(G95,z_Others!$B$5:$B$17,z_Others!$J$5:$J$17,"",0,1))</f>
        <v>0.2029</v>
      </c>
      <c r="Q95" s="896">
        <f t="array" ref="Q95">if(isblank(F95),"",xlookup(F95,'FL5_POR_核價 (經管 &amp; BPM)'!E:E,'FL5_POR_核價 (經管 &amp; BPM)'!O:O,"",0,1))</f>
        <v>428.57</v>
      </c>
      <c r="R95" s="894" t="str">
        <f t="shared" si="5"/>
        <v>否</v>
      </c>
      <c r="S95" s="897" t="str">
        <f t="array" ref="S95">if(isblank(F95),"",xlookup(G95,z_Others!$B$5:$B$17,z_Others!$K$5:$K$17,"",0,1))</f>
        <v>無附件</v>
      </c>
      <c r="T95" s="894" t="str">
        <f t="shared" si="6"/>
        <v>開發手機中框組件模型(適用于Google 牌手機)</v>
      </c>
      <c r="U95" s="898" t="str">
        <f t="array" ref="U95">if(isblank(F95),"",xlookup(G95,z_Others!$B$5:$B$17,z_Others!$G$5:$G$17,"",0,1))</f>
        <v>無線通話用</v>
      </c>
      <c r="V95" s="231" t="str">
        <f t="array" ref="V95">if(isblank(F95),"",xlookup(F95,'FL5_POR_包裝對照表 (Mapping Table)'!E:E,'FL5_POR_包裝對照表 (Mapping Table)'!AB:AB,"",0,1))</f>
        <v>SKU, CLR4, GOOD, SUB6, CA/AU, FL5, FRU</v>
      </c>
      <c r="W95" s="899" t="str">
        <f t="array" ref="W95">if(isblank(F95),"",xlookup(G95,z_Others!$B$5:$B$17,z_Others!$I$5:$I$17,"",0,1))</f>
        <v>152.83 x 71.98 x 12.01</v>
      </c>
      <c r="X95" s="894" t="str">
        <f t="shared" si="7"/>
        <v>Google</v>
      </c>
      <c r="Y95" s="894" t="str">
        <f t="shared" si="8"/>
        <v>Tensor series</v>
      </c>
      <c r="Z95" s="900" t="str">
        <f t="shared" si="9"/>
        <v>蜂窩網絡</v>
      </c>
      <c r="AA95" s="900" t="str">
        <f t="shared" si="10"/>
        <v>WCDMA&amp;GSM&amp;LTE&amp;5G制式</v>
      </c>
      <c r="AB95" s="878" t="str">
        <f t="array" ref="AB95">if(isblank(F95),"",xlookup(AJ95,z_Others!$M$5:$M$9,z_Others!$Q$5:$Q$9,"",0,1))</f>
        <v>直板、6.29 英寸彩屏、內存128G、GPRS、藍牙、前攝1100萬、後攝1200/5000萬</v>
      </c>
      <c r="AC95" s="900" t="str">
        <f t="shared" si="11"/>
        <v>中國</v>
      </c>
      <c r="AD95" s="894" t="str">
        <f t="array" ref="AD95">if(isblank(F95),"",xlookup(G95,z_Others!$B$5:$B$14,z_Others!$H$5:$H$14,"",0,1))</f>
        <v>附件07 (FATP手機)</v>
      </c>
      <c r="AE95" s="901" t="str">
        <f t="shared" si="12"/>
        <v>Foxconn</v>
      </c>
      <c r="AF95" s="791">
        <v>45783.0</v>
      </c>
      <c r="AG95" s="791">
        <f t="shared" si="17"/>
        <v>45859</v>
      </c>
      <c r="AH95" s="902">
        <v>45803.0</v>
      </c>
      <c r="AI95" s="787">
        <v>45803.0</v>
      </c>
      <c r="AJ95" s="677" t="str">
        <f t="array" ref="AJ95">if(isblank(F95),"",xlookup(F95,'FL5_POR_包裝對照表 (Mapping Table)'!E:E,'FL5_POR_包裝對照表 (Mapping Table)'!AS:AS,"",0,1))</f>
        <v>128GB</v>
      </c>
      <c r="AK95" s="677" t="str">
        <f t="array" ref="AK95">if(isblank(F95),"",xlookup(F95,'FL5_POR_包裝對照表 (Mapping Table)'!E:E,'FL5_POR_包裝對照表 (Mapping Table)'!K:K,"",0,1))</f>
        <v>BUE</v>
      </c>
      <c r="AL95" s="677">
        <v>3179.0</v>
      </c>
      <c r="AM95" s="811"/>
      <c r="AN95" s="888" t="str">
        <f t="array" ref="AN95">xlookup(F95,'FL5_POR_包裝對照表 (Mapping Table)'!E:E,'FL5_POR_包裝對照表 (Mapping Table)'!BM:BM,"",0,1)</f>
        <v>No demand</v>
      </c>
      <c r="AO95" s="813"/>
      <c r="AP95" s="813"/>
    </row>
    <row r="96" ht="25.5" customHeight="1">
      <c r="A96" s="889"/>
      <c r="B96" s="877">
        <v>90.0</v>
      </c>
      <c r="C96" s="891" t="str">
        <f>if(isblank(F96),"",'FL5_POR_包裝對照表 (Mapping Table)'!$E$4)</f>
        <v>GFL (FL5)</v>
      </c>
      <c r="D96" s="878" t="str">
        <f t="array" ref="D96">if(isblank(F96),"",xlookup(F96,'FL5_POR_包裝對照表 (Mapping Table)'!E:E,'FL5_POR_包裝對照表 (Mapping Table)'!AZ:AZ,"",0,1))</f>
        <v>MP</v>
      </c>
      <c r="E96" s="677" t="str">
        <f t="shared" si="2"/>
        <v>Close</v>
      </c>
      <c r="F96" s="879" t="s">
        <v>891</v>
      </c>
      <c r="G96" s="892" t="str">
        <f t="array" ref="G96">if(isblank(F96),"",xlookup(F96,'FL5_POR_包裝對照表 (Mapping Table)'!E:E,'FL5_POR_包裝對照表 (Mapping Table)'!D:D,"",0,1))</f>
        <v>Bulk Pack</v>
      </c>
      <c r="H96" s="904" t="str">
        <f t="array" ref="H96">if(isblank(F96),"",xlookup(F96,'FL5_POR_包裝對照表 (Mapping Table)'!E:E,'FL5_POR_包裝對照表 (Mapping Table)'!E:E,"",0,1))</f>
        <v>CLNRGA10544</v>
      </c>
      <c r="I96" s="677" t="str">
        <f t="array" ref="I96">if(isblank(F96),"",xlookup(F96,'FL5_POR_包裝對照表 (Mapping Table)'!E:E,'FL5_POR_包裝對照表 (Mapping Table)'!AN:AN,"",0,1))</f>
        <v>G950-15935-14</v>
      </c>
      <c r="J96" s="894" t="str">
        <f t="array" ref="J96">if(isblank(F96),"",xlookup(G96,z_Others!$B$5:$B$17,z_Others!$C$5:$C$17,"",0,1))</f>
        <v>智能手機</v>
      </c>
      <c r="K96" s="894" t="str">
        <f t="array" ref="K96">if(isblank(F96),"",xlookup(G96,z_Others!$B$5:$B$17,z_Others!$E$5:$E$17,"",0,1))</f>
        <v>智能手機</v>
      </c>
      <c r="L96" s="894" t="str">
        <f t="array" ref="L96">if(isblank(F96),"",xlookup(G96,z_Others!$B$5:$B$17,z_Others!$F$5:$F$17,"",0,1))</f>
        <v>智能手機</v>
      </c>
      <c r="M96" s="894" t="str">
        <f t="shared" si="3"/>
        <v>Google</v>
      </c>
      <c r="N96" s="894" t="str">
        <f t="shared" si="4"/>
        <v>境外品牌（貼牌生產)</v>
      </c>
      <c r="O96" s="882" t="str">
        <f t="array" ref="O96">if(isblank(F96),"",xlookup(F96,'FL5_POR_包裝對照表 (Mapping Table)'!E:E,'FL5_POR_包裝對照表 (Mapping Table)'!L:L,"",0,1))</f>
        <v>GK2MP</v>
      </c>
      <c r="P96" s="895">
        <f t="array" ref="P96">if(isblank(F96),"",xlookup(G96,z_Others!$B$5:$B$17,z_Others!$J$5:$J$17,"",0,1))</f>
        <v>0.2029</v>
      </c>
      <c r="Q96" s="896">
        <f t="array" ref="Q96">if(isblank(F96),"",xlookup(F96,'FL5_POR_核價 (經管 &amp; BPM)'!E:E,'FL5_POR_核價 (經管 &amp; BPM)'!O:O,"",0,1))</f>
        <v>434.17</v>
      </c>
      <c r="R96" s="894" t="str">
        <f t="shared" si="5"/>
        <v>否</v>
      </c>
      <c r="S96" s="897" t="str">
        <f t="array" ref="S96">if(isblank(F96),"",xlookup(G96,z_Others!$B$5:$B$17,z_Others!$K$5:$K$17,"",0,1))</f>
        <v>無附件</v>
      </c>
      <c r="T96" s="894" t="str">
        <f t="shared" si="6"/>
        <v>開發手機中框組件模型(適用于Google 牌手機)</v>
      </c>
      <c r="U96" s="898" t="str">
        <f t="array" ref="U96">if(isblank(F96),"",xlookup(G96,z_Others!$B$5:$B$17,z_Others!$G$5:$G$17,"",0,1))</f>
        <v>無線通話用</v>
      </c>
      <c r="V96" s="231" t="str">
        <f t="array" ref="V96">if(isblank(F96),"",xlookup(F96,'FL5_POR_包裝對照表 (Mapping Table)'!E:E,'FL5_POR_包裝對照表 (Mapping Table)'!AB:AB,"",0,1))</f>
        <v>SKU, CLR1, BETTER, SUB6, CA/AU, FL5, FRU</v>
      </c>
      <c r="W96" s="899" t="str">
        <f t="array" ref="W96">if(isblank(F96),"",xlookup(G96,z_Others!$B$5:$B$17,z_Others!$I$5:$I$17,"",0,1))</f>
        <v>152.83 x 71.98 x 12.01</v>
      </c>
      <c r="X96" s="894" t="str">
        <f t="shared" si="7"/>
        <v>Google</v>
      </c>
      <c r="Y96" s="894" t="str">
        <f t="shared" si="8"/>
        <v>Tensor series</v>
      </c>
      <c r="Z96" s="900" t="str">
        <f t="shared" si="9"/>
        <v>蜂窩網絡</v>
      </c>
      <c r="AA96" s="900" t="str">
        <f t="shared" si="10"/>
        <v>WCDMA&amp;GSM&amp;LTE&amp;5G制式</v>
      </c>
      <c r="AB96" s="878" t="str">
        <f t="array" ref="AB96">if(isblank(F96),"",xlookup(AJ96,z_Others!$M$5:$M$9,z_Others!$Q$5:$Q$9,"",0,1))</f>
        <v>直板、6.29 英寸彩屏、內存256G、GPRS、藍牙、前攝1100萬、後攝1200/5000萬</v>
      </c>
      <c r="AC96" s="900" t="str">
        <f t="shared" si="11"/>
        <v>中國</v>
      </c>
      <c r="AD96" s="894" t="str">
        <f t="array" ref="AD96">if(isblank(F96),"",xlookup(G96,z_Others!$B$5:$B$14,z_Others!$H$5:$H$14,"",0,1))</f>
        <v>附件07 (FATP手機)</v>
      </c>
      <c r="AE96" s="901" t="str">
        <f t="shared" si="12"/>
        <v>Foxconn</v>
      </c>
      <c r="AF96" s="791">
        <v>45783.0</v>
      </c>
      <c r="AG96" s="791">
        <f t="shared" si="17"/>
        <v>45859</v>
      </c>
      <c r="AH96" s="902">
        <v>45803.0</v>
      </c>
      <c r="AI96" s="787">
        <v>45803.0</v>
      </c>
      <c r="AJ96" s="677" t="str">
        <f t="array" ref="AJ96">if(isblank(F96),"",xlookup(F96,'FL5_POR_包裝對照表 (Mapping Table)'!E:E,'FL5_POR_包裝對照表 (Mapping Table)'!AS:AS,"",0,1))</f>
        <v>256GB</v>
      </c>
      <c r="AK96" s="677" t="str">
        <f t="array" ref="AK96">if(isblank(F96),"",xlookup(F96,'FL5_POR_包裝對照表 (Mapping Table)'!E:E,'FL5_POR_包裝對照表 (Mapping Table)'!K:K,"",0,1))</f>
        <v>BLK</v>
      </c>
      <c r="AL96" s="677">
        <v>3178.0</v>
      </c>
      <c r="AM96" s="811"/>
      <c r="AN96" s="888" t="str">
        <f t="array" ref="AN96">xlookup(F96,'FL5_POR_包裝對照表 (Mapping Table)'!E:E,'FL5_POR_包裝對照表 (Mapping Table)'!BM:BM,"",0,1)</f>
        <v>No demand</v>
      </c>
      <c r="AO96" s="813"/>
      <c r="AP96" s="813"/>
    </row>
    <row r="97" ht="25.5" customHeight="1">
      <c r="A97" s="889"/>
      <c r="B97" s="877">
        <v>91.0</v>
      </c>
      <c r="C97" s="891" t="str">
        <f>if(isblank(F97),"",'FL5_POR_包裝對照表 (Mapping Table)'!$E$4)</f>
        <v>GFL (FL5)</v>
      </c>
      <c r="D97" s="878" t="str">
        <f t="array" ref="D97">if(isblank(F97),"",xlookup(F97,'FL5_POR_包裝對照表 (Mapping Table)'!E:E,'FL5_POR_包裝對照表 (Mapping Table)'!AZ:AZ,"",0,1))</f>
        <v>MP</v>
      </c>
      <c r="E97" s="677" t="str">
        <f t="shared" si="2"/>
        <v>Close</v>
      </c>
      <c r="F97" s="879" t="s">
        <v>896</v>
      </c>
      <c r="G97" s="892" t="str">
        <f t="array" ref="G97">if(isblank(F97),"",xlookup(F97,'FL5_POR_包裝對照表 (Mapping Table)'!E:E,'FL5_POR_包裝對照表 (Mapping Table)'!D:D,"",0,1))</f>
        <v>Bulk Pack</v>
      </c>
      <c r="H97" s="904" t="str">
        <f t="array" ref="H97">if(isblank(F97),"",xlookup(F97,'FL5_POR_包裝對照表 (Mapping Table)'!E:E,'FL5_POR_包裝對照表 (Mapping Table)'!E:E,"",0,1))</f>
        <v>CLNRGA10545</v>
      </c>
      <c r="I97" s="677" t="str">
        <f t="array" ref="I97">if(isblank(F97),"",xlookup(F97,'FL5_POR_包裝對照表 (Mapping Table)'!E:E,'FL5_POR_包裝對照表 (Mapping Table)'!AN:AN,"",0,1))</f>
        <v>G950-15935-15</v>
      </c>
      <c r="J97" s="894" t="str">
        <f t="array" ref="J97">if(isblank(F97),"",xlookup(G97,z_Others!$B$5:$B$17,z_Others!$C$5:$C$17,"",0,1))</f>
        <v>智能手機</v>
      </c>
      <c r="K97" s="894" t="str">
        <f t="array" ref="K97">if(isblank(F97),"",xlookup(G97,z_Others!$B$5:$B$17,z_Others!$E$5:$E$17,"",0,1))</f>
        <v>智能手機</v>
      </c>
      <c r="L97" s="894" t="str">
        <f t="array" ref="L97">if(isblank(F97),"",xlookup(G97,z_Others!$B$5:$B$17,z_Others!$F$5:$F$17,"",0,1))</f>
        <v>智能手機</v>
      </c>
      <c r="M97" s="894" t="str">
        <f t="shared" si="3"/>
        <v>Google</v>
      </c>
      <c r="N97" s="894" t="str">
        <f t="shared" si="4"/>
        <v>境外品牌（貼牌生產)</v>
      </c>
      <c r="O97" s="882" t="str">
        <f t="array" ref="O97">if(isblank(F97),"",xlookup(F97,'FL5_POR_包裝對照表 (Mapping Table)'!E:E,'FL5_POR_包裝對照表 (Mapping Table)'!L:L,"",0,1))</f>
        <v>GK2MP</v>
      </c>
      <c r="P97" s="895">
        <f t="array" ref="P97">if(isblank(F97),"",xlookup(G97,z_Others!$B$5:$B$17,z_Others!$J$5:$J$17,"",0,1))</f>
        <v>0.2029</v>
      </c>
      <c r="Q97" s="896">
        <f t="array" ref="Q97">if(isblank(F97),"",xlookup(F97,'FL5_POR_核價 (經管 &amp; BPM)'!E:E,'FL5_POR_核價 (經管 &amp; BPM)'!O:O,"",0,1))</f>
        <v>434.47</v>
      </c>
      <c r="R97" s="894" t="str">
        <f t="shared" si="5"/>
        <v>否</v>
      </c>
      <c r="S97" s="897" t="str">
        <f t="array" ref="S97">if(isblank(F97),"",xlookup(G97,z_Others!$B$5:$B$17,z_Others!$K$5:$K$17,"",0,1))</f>
        <v>無附件</v>
      </c>
      <c r="T97" s="894" t="str">
        <f t="shared" si="6"/>
        <v>開發手機中框組件模型(適用于Google 牌手機)</v>
      </c>
      <c r="U97" s="898" t="str">
        <f t="array" ref="U97">if(isblank(F97),"",xlookup(G97,z_Others!$B$5:$B$17,z_Others!$G$5:$G$17,"",0,1))</f>
        <v>無線通話用</v>
      </c>
      <c r="V97" s="231" t="str">
        <f t="array" ref="V97">if(isblank(F97),"",xlookup(F97,'FL5_POR_包裝對照表 (Mapping Table)'!E:E,'FL5_POR_包裝對照表 (Mapping Table)'!AB:AB,"",0,1))</f>
        <v>SKU, CLR2, BETTER, SUB6, CA/AU, FL5, FRU</v>
      </c>
      <c r="W97" s="899" t="str">
        <f t="array" ref="W97">if(isblank(F97),"",xlookup(G97,z_Others!$B$5:$B$17,z_Others!$I$5:$I$17,"",0,1))</f>
        <v>152.83 x 71.98 x 12.01</v>
      </c>
      <c r="X97" s="894" t="str">
        <f t="shared" si="7"/>
        <v>Google</v>
      </c>
      <c r="Y97" s="894" t="str">
        <f t="shared" si="8"/>
        <v>Tensor series</v>
      </c>
      <c r="Z97" s="900" t="str">
        <f t="shared" si="9"/>
        <v>蜂窩網絡</v>
      </c>
      <c r="AA97" s="900" t="str">
        <f t="shared" si="10"/>
        <v>WCDMA&amp;GSM&amp;LTE&amp;5G制式</v>
      </c>
      <c r="AB97" s="878" t="str">
        <f t="array" ref="AB97">if(isblank(F97),"",xlookup(AJ97,z_Others!$M$5:$M$9,z_Others!$Q$5:$Q$9,"",0,1))</f>
        <v>直板、6.29 英寸彩屏、內存256G、GPRS、藍牙、前攝1100萬、後攝1200/5000萬</v>
      </c>
      <c r="AC97" s="900" t="str">
        <f t="shared" si="11"/>
        <v>中國</v>
      </c>
      <c r="AD97" s="894" t="str">
        <f t="array" ref="AD97">if(isblank(F97),"",xlookup(G97,z_Others!$B$5:$B$14,z_Others!$H$5:$H$14,"",0,1))</f>
        <v>附件07 (FATP手機)</v>
      </c>
      <c r="AE97" s="901" t="str">
        <f t="shared" si="12"/>
        <v>Foxconn</v>
      </c>
      <c r="AF97" s="791">
        <v>45783.0</v>
      </c>
      <c r="AG97" s="791">
        <f t="shared" si="17"/>
        <v>45859</v>
      </c>
      <c r="AH97" s="902">
        <v>45803.0</v>
      </c>
      <c r="AI97" s="787">
        <v>45803.0</v>
      </c>
      <c r="AJ97" s="677" t="str">
        <f t="array" ref="AJ97">if(isblank(F97),"",xlookup(F97,'FL5_POR_包裝對照表 (Mapping Table)'!E:E,'FL5_POR_包裝對照表 (Mapping Table)'!AS:AS,"",0,1))</f>
        <v>256GB</v>
      </c>
      <c r="AK97" s="677" t="str">
        <f t="array" ref="AK97">if(isblank(F97),"",xlookup(F97,'FL5_POR_包裝對照表 (Mapping Table)'!E:E,'FL5_POR_包裝對照表 (Mapping Table)'!K:K,"",0,1))</f>
        <v>PPL</v>
      </c>
      <c r="AL97" s="677">
        <v>3177.0</v>
      </c>
      <c r="AM97" s="811"/>
      <c r="AN97" s="888" t="str">
        <f t="array" ref="AN97">xlookup(F97,'FL5_POR_包裝對照表 (Mapping Table)'!E:E,'FL5_POR_包裝對照表 (Mapping Table)'!BM:BM,"",0,1)</f>
        <v>No demand</v>
      </c>
      <c r="AO97" s="813"/>
      <c r="AP97" s="813"/>
    </row>
    <row r="98" ht="25.5" customHeight="1">
      <c r="A98" s="889"/>
      <c r="B98" s="877">
        <v>92.0</v>
      </c>
      <c r="C98" s="891" t="str">
        <f>if(isblank(F98),"",'FL5_POR_包裝對照表 (Mapping Table)'!$E$4)</f>
        <v>GFL (FL5)</v>
      </c>
      <c r="D98" s="878" t="str">
        <f t="array" ref="D98">if(isblank(F98),"",xlookup(F98,'FL5_POR_包裝對照表 (Mapping Table)'!E:E,'FL5_POR_包裝對照表 (Mapping Table)'!AZ:AZ,"",0,1))</f>
        <v>MP</v>
      </c>
      <c r="E98" s="677" t="str">
        <f t="shared" si="2"/>
        <v>Close</v>
      </c>
      <c r="F98" s="879" t="s">
        <v>901</v>
      </c>
      <c r="G98" s="892" t="str">
        <f t="array" ref="G98">if(isblank(F98),"",xlookup(F98,'FL5_POR_包裝對照表 (Mapping Table)'!E:E,'FL5_POR_包裝對照表 (Mapping Table)'!D:D,"",0,1))</f>
        <v>Bulk Pack</v>
      </c>
      <c r="H98" s="904" t="str">
        <f t="array" ref="H98">if(isblank(F98),"",xlookup(F98,'FL5_POR_包裝對照表 (Mapping Table)'!E:E,'FL5_POR_包裝對照表 (Mapping Table)'!E:E,"",0,1))</f>
        <v>CLNRGA10546</v>
      </c>
      <c r="I98" s="677" t="str">
        <f t="array" ref="I98">if(isblank(F98),"",xlookup(F98,'FL5_POR_包裝對照表 (Mapping Table)'!E:E,'FL5_POR_包裝對照表 (Mapping Table)'!AN:AN,"",0,1))</f>
        <v>G950-15935-16</v>
      </c>
      <c r="J98" s="894" t="str">
        <f t="array" ref="J98">if(isblank(F98),"",xlookup(G98,z_Others!$B$5:$B$17,z_Others!$C$5:$C$17,"",0,1))</f>
        <v>智能手機</v>
      </c>
      <c r="K98" s="894" t="str">
        <f t="array" ref="K98">if(isblank(F98),"",xlookup(G98,z_Others!$B$5:$B$17,z_Others!$E$5:$E$17,"",0,1))</f>
        <v>智能手機</v>
      </c>
      <c r="L98" s="894" t="str">
        <f t="array" ref="L98">if(isblank(F98),"",xlookup(G98,z_Others!$B$5:$B$17,z_Others!$F$5:$F$17,"",0,1))</f>
        <v>智能手機</v>
      </c>
      <c r="M98" s="894" t="str">
        <f t="shared" si="3"/>
        <v>Google</v>
      </c>
      <c r="N98" s="894" t="str">
        <f t="shared" si="4"/>
        <v>境外品牌（貼牌生產)</v>
      </c>
      <c r="O98" s="882" t="str">
        <f t="array" ref="O98">if(isblank(F98),"",xlookup(F98,'FL5_POR_包裝對照表 (Mapping Table)'!E:E,'FL5_POR_包裝對照表 (Mapping Table)'!L:L,"",0,1))</f>
        <v>GK2MP</v>
      </c>
      <c r="P98" s="895">
        <f t="array" ref="P98">if(isblank(F98),"",xlookup(G98,z_Others!$B$5:$B$17,z_Others!$J$5:$J$17,"",0,1))</f>
        <v>0.2029</v>
      </c>
      <c r="Q98" s="896">
        <f t="array" ref="Q98">if(isblank(F98),"",xlookup(F98,'FL5_POR_核價 (經管 &amp; BPM)'!E:E,'FL5_POR_核價 (經管 &amp; BPM)'!O:O,"",0,1))</f>
        <v>434.57</v>
      </c>
      <c r="R98" s="894" t="str">
        <f t="shared" si="5"/>
        <v>否</v>
      </c>
      <c r="S98" s="897" t="str">
        <f t="array" ref="S98">if(isblank(F98),"",xlookup(G98,z_Others!$B$5:$B$17,z_Others!$K$5:$K$17,"",0,1))</f>
        <v>無附件</v>
      </c>
      <c r="T98" s="894" t="str">
        <f t="shared" si="6"/>
        <v>開發手機中框組件模型(適用于Google 牌手機)</v>
      </c>
      <c r="U98" s="898" t="str">
        <f t="array" ref="U98">if(isblank(F98),"",xlookup(G98,z_Others!$B$5:$B$17,z_Others!$G$5:$G$17,"",0,1))</f>
        <v>無線通話用</v>
      </c>
      <c r="V98" s="231" t="str">
        <f t="array" ref="V98">if(isblank(F98),"",xlookup(F98,'FL5_POR_包裝對照表 (Mapping Table)'!E:E,'FL5_POR_包裝對照表 (Mapping Table)'!AB:AB,"",0,1))</f>
        <v>SKU, CLR3, BETTER, SUB6, CA/AU, FL5, FRU</v>
      </c>
      <c r="W98" s="899" t="str">
        <f t="array" ref="W98">if(isblank(F98),"",xlookup(G98,z_Others!$B$5:$B$17,z_Others!$I$5:$I$17,"",0,1))</f>
        <v>152.83 x 71.98 x 12.01</v>
      </c>
      <c r="X98" s="894" t="str">
        <f t="shared" si="7"/>
        <v>Google</v>
      </c>
      <c r="Y98" s="894" t="str">
        <f t="shared" si="8"/>
        <v>Tensor series</v>
      </c>
      <c r="Z98" s="900" t="str">
        <f t="shared" si="9"/>
        <v>蜂窩網絡</v>
      </c>
      <c r="AA98" s="900" t="str">
        <f t="shared" si="10"/>
        <v>WCDMA&amp;GSM&amp;LTE&amp;5G制式</v>
      </c>
      <c r="AB98" s="878" t="str">
        <f t="array" ref="AB98">if(isblank(F98),"",xlookup(AJ98,z_Others!$M$5:$M$9,z_Others!$Q$5:$Q$9,"",0,1))</f>
        <v>直板、6.29 英寸彩屏、內存256G、GPRS、藍牙、前攝1100萬、後攝1200/5000萬</v>
      </c>
      <c r="AC98" s="900" t="str">
        <f t="shared" si="11"/>
        <v>中國</v>
      </c>
      <c r="AD98" s="894" t="str">
        <f t="array" ref="AD98">if(isblank(F98),"",xlookup(G98,z_Others!$B$5:$B$14,z_Others!$H$5:$H$14,"",0,1))</f>
        <v>附件07 (FATP手機)</v>
      </c>
      <c r="AE98" s="901" t="str">
        <f t="shared" si="12"/>
        <v>Foxconn</v>
      </c>
      <c r="AF98" s="791">
        <v>45783.0</v>
      </c>
      <c r="AG98" s="791">
        <f t="shared" si="17"/>
        <v>45859</v>
      </c>
      <c r="AH98" s="902">
        <v>45859.0</v>
      </c>
      <c r="AI98" s="787">
        <v>45811.0</v>
      </c>
      <c r="AJ98" s="677" t="str">
        <f t="array" ref="AJ98">if(isblank(F98),"",xlookup(F98,'FL5_POR_包裝對照表 (Mapping Table)'!E:E,'FL5_POR_包裝對照表 (Mapping Table)'!AS:AS,"",0,1))</f>
        <v>256GB</v>
      </c>
      <c r="AK98" s="677" t="str">
        <f t="array" ref="AK98">if(isblank(F98),"",xlookup(F98,'FL5_POR_包裝對照表 (Mapping Table)'!E:E,'FL5_POR_包裝對照表 (Mapping Table)'!K:K,"",0,1))</f>
        <v>YEL</v>
      </c>
      <c r="AL98" s="677">
        <v>3339.0</v>
      </c>
      <c r="AM98" s="811"/>
      <c r="AN98" s="888" t="str">
        <f t="array" ref="AN98">xlookup(F98,'FL5_POR_包裝對照表 (Mapping Table)'!E:E,'FL5_POR_包裝對照表 (Mapping Table)'!BM:BM,"",0,1)</f>
        <v>No demand</v>
      </c>
      <c r="AO98" s="813"/>
      <c r="AP98" s="813"/>
    </row>
    <row r="99" ht="25.5" customHeight="1">
      <c r="A99" s="889"/>
      <c r="B99" s="877">
        <v>93.0</v>
      </c>
      <c r="C99" s="891" t="str">
        <f>if(isblank(F99),"",'FL5_POR_包裝對照表 (Mapping Table)'!$E$4)</f>
        <v>GFL (FL5)</v>
      </c>
      <c r="D99" s="878" t="str">
        <f t="array" ref="D99">if(isblank(F99),"",xlookup(F99,'FL5_POR_包裝對照表 (Mapping Table)'!E:E,'FL5_POR_包裝對照表 (Mapping Table)'!AZ:AZ,"",0,1))</f>
        <v>MP</v>
      </c>
      <c r="E99" s="677" t="str">
        <f t="shared" si="2"/>
        <v>Close</v>
      </c>
      <c r="F99" s="879" t="s">
        <v>906</v>
      </c>
      <c r="G99" s="892" t="str">
        <f t="array" ref="G99">if(isblank(F99),"",xlookup(F99,'FL5_POR_包裝對照表 (Mapping Table)'!E:E,'FL5_POR_包裝對照表 (Mapping Table)'!D:D,"",0,1))</f>
        <v>Bulk Pack</v>
      </c>
      <c r="H99" s="904" t="str">
        <f t="array" ref="H99">if(isblank(F99),"",xlookup(F99,'FL5_POR_包裝對照表 (Mapping Table)'!E:E,'FL5_POR_包裝對照表 (Mapping Table)'!E:E,"",0,1))</f>
        <v>CLNRGA10547</v>
      </c>
      <c r="I99" s="677" t="str">
        <f t="array" ref="I99">if(isblank(F99),"",xlookup(F99,'FL5_POR_包裝對照表 (Mapping Table)'!E:E,'FL5_POR_包裝對照表 (Mapping Table)'!AN:AN,"",0,1))</f>
        <v>G950-15935-17</v>
      </c>
      <c r="J99" s="894" t="str">
        <f t="array" ref="J99">if(isblank(F99),"",xlookup(G99,z_Others!$B$5:$B$17,z_Others!$C$5:$C$17,"",0,1))</f>
        <v>智能手機</v>
      </c>
      <c r="K99" s="894" t="str">
        <f t="array" ref="K99">if(isblank(F99),"",xlookup(G99,z_Others!$B$5:$B$17,z_Others!$E$5:$E$17,"",0,1))</f>
        <v>智能手機</v>
      </c>
      <c r="L99" s="894" t="str">
        <f t="array" ref="L99">if(isblank(F99),"",xlookup(G99,z_Others!$B$5:$B$17,z_Others!$F$5:$F$17,"",0,1))</f>
        <v>智能手機</v>
      </c>
      <c r="M99" s="894" t="str">
        <f t="shared" si="3"/>
        <v>Google</v>
      </c>
      <c r="N99" s="894" t="str">
        <f t="shared" si="4"/>
        <v>境外品牌（貼牌生產)</v>
      </c>
      <c r="O99" s="882" t="str">
        <f t="array" ref="O99">if(isblank(F99),"",xlookup(F99,'FL5_POR_包裝對照表 (Mapping Table)'!E:E,'FL5_POR_包裝對照表 (Mapping Table)'!L:L,"",0,1))</f>
        <v>GK2MP</v>
      </c>
      <c r="P99" s="895">
        <f t="array" ref="P99">if(isblank(F99),"",xlookup(G99,z_Others!$B$5:$B$17,z_Others!$J$5:$J$17,"",0,1))</f>
        <v>0.2029</v>
      </c>
      <c r="Q99" s="896">
        <f t="array" ref="Q99">if(isblank(F99),"",xlookup(F99,'FL5_POR_核價 (經管 &amp; BPM)'!E:E,'FL5_POR_核價 (經管 &amp; BPM)'!O:O,"",0,1))</f>
        <v>434.57</v>
      </c>
      <c r="R99" s="894" t="str">
        <f t="shared" si="5"/>
        <v>否</v>
      </c>
      <c r="S99" s="897" t="str">
        <f t="array" ref="S99">if(isblank(F99),"",xlookup(G99,z_Others!$B$5:$B$17,z_Others!$K$5:$K$17,"",0,1))</f>
        <v>無附件</v>
      </c>
      <c r="T99" s="894" t="str">
        <f t="shared" si="6"/>
        <v>開發手機中框組件模型(適用于Google 牌手機)</v>
      </c>
      <c r="U99" s="898" t="str">
        <f t="array" ref="U99">if(isblank(F99),"",xlookup(G99,z_Others!$B$5:$B$17,z_Others!$G$5:$G$17,"",0,1))</f>
        <v>無線通話用</v>
      </c>
      <c r="V99" s="231" t="str">
        <f t="array" ref="V99">if(isblank(F99),"",xlookup(F99,'FL5_POR_包裝對照表 (Mapping Table)'!E:E,'FL5_POR_包裝對照表 (Mapping Table)'!AB:AB,"",0,1))</f>
        <v>SKU, CLR4, BETTER, SUB6, CA/AU, FL5, FRU</v>
      </c>
      <c r="W99" s="899" t="str">
        <f t="array" ref="W99">if(isblank(F99),"",xlookup(G99,z_Others!$B$5:$B$17,z_Others!$I$5:$I$17,"",0,1))</f>
        <v>152.83 x 71.98 x 12.01</v>
      </c>
      <c r="X99" s="894" t="str">
        <f t="shared" si="7"/>
        <v>Google</v>
      </c>
      <c r="Y99" s="894" t="str">
        <f t="shared" si="8"/>
        <v>Tensor series</v>
      </c>
      <c r="Z99" s="900" t="str">
        <f t="shared" si="9"/>
        <v>蜂窩網絡</v>
      </c>
      <c r="AA99" s="900" t="str">
        <f t="shared" si="10"/>
        <v>WCDMA&amp;GSM&amp;LTE&amp;5G制式</v>
      </c>
      <c r="AB99" s="878" t="str">
        <f t="array" ref="AB99">if(isblank(F99),"",xlookup(AJ99,z_Others!$M$5:$M$9,z_Others!$Q$5:$Q$9,"",0,1))</f>
        <v>直板、6.29 英寸彩屏、內存256G、GPRS、藍牙、前攝1100萬、後攝1200/5000萬</v>
      </c>
      <c r="AC99" s="900" t="str">
        <f t="shared" si="11"/>
        <v>中國</v>
      </c>
      <c r="AD99" s="894" t="str">
        <f t="array" ref="AD99">if(isblank(F99),"",xlookup(G99,z_Others!$B$5:$B$14,z_Others!$H$5:$H$14,"",0,1))</f>
        <v>附件07 (FATP手機)</v>
      </c>
      <c r="AE99" s="901" t="str">
        <f t="shared" si="12"/>
        <v>Foxconn</v>
      </c>
      <c r="AF99" s="791">
        <v>45783.0</v>
      </c>
      <c r="AG99" s="791">
        <f t="shared" si="17"/>
        <v>45859</v>
      </c>
      <c r="AH99" s="902">
        <v>45803.0</v>
      </c>
      <c r="AI99" s="787">
        <v>45803.0</v>
      </c>
      <c r="AJ99" s="677" t="str">
        <f t="array" ref="AJ99">if(isblank(F99),"",xlookup(F99,'FL5_POR_包裝對照表 (Mapping Table)'!E:E,'FL5_POR_包裝對照表 (Mapping Table)'!AS:AS,"",0,1))</f>
        <v>256GB</v>
      </c>
      <c r="AK99" s="677" t="str">
        <f t="array" ref="AK99">if(isblank(F99),"",xlookup(F99,'FL5_POR_包裝對照表 (Mapping Table)'!E:E,'FL5_POR_包裝對照表 (Mapping Table)'!K:K,"",0,1))</f>
        <v>BUE</v>
      </c>
      <c r="AL99" s="677">
        <v>3176.0</v>
      </c>
      <c r="AM99" s="811"/>
      <c r="AN99" s="888" t="str">
        <f t="array" ref="AN99">xlookup(F99,'FL5_POR_包裝對照表 (Mapping Table)'!E:E,'FL5_POR_包裝對照表 (Mapping Table)'!BM:BM,"",0,1)</f>
        <v>No demand</v>
      </c>
      <c r="AO99" s="813"/>
      <c r="AP99" s="813"/>
    </row>
    <row r="100" ht="25.5" customHeight="1">
      <c r="A100" s="889"/>
      <c r="B100" s="877">
        <v>94.0</v>
      </c>
      <c r="C100" s="891" t="str">
        <f>if(isblank(F100),"",'FL5_POR_包裝對照表 (Mapping Table)'!$E$4)</f>
        <v>GFL (FL5)</v>
      </c>
      <c r="D100" s="878" t="str">
        <f t="array" ref="D100">if(isblank(F100),"",xlookup(F100,'FL5_POR_包裝對照表 (Mapping Table)'!E:E,'FL5_POR_包裝對照表 (Mapping Table)'!AZ:AZ,"",0,1))</f>
        <v>MP</v>
      </c>
      <c r="E100" s="677" t="str">
        <f t="shared" si="2"/>
        <v>Close</v>
      </c>
      <c r="F100" s="879" t="s">
        <v>837</v>
      </c>
      <c r="G100" s="892" t="str">
        <f t="array" ref="G100">if(isblank(F100),"",xlookup(F100,'FL5_POR_包裝對照表 (Mapping Table)'!E:E,'FL5_POR_包裝對照表 (Mapping Table)'!D:D,"",0,1))</f>
        <v>Bulk Pack</v>
      </c>
      <c r="H100" s="893" t="str">
        <f t="array" ref="H100">if(isblank(F100),"",xlookup(F100,'FL5_POR_包裝對照表 (Mapping Table)'!E:E,'FL5_POR_包裝對照表 (Mapping Table)'!E:E,"",0,1))</f>
        <v>CLNRGA10548</v>
      </c>
      <c r="I100" s="677" t="str">
        <f t="array" ref="I100">if(isblank(F100),"",xlookup(F100,'FL5_POR_包裝對照表 (Mapping Table)'!E:E,'FL5_POR_包裝對照表 (Mapping Table)'!AN:AN,"",0,1))</f>
        <v>G950-15935-10</v>
      </c>
      <c r="J100" s="894" t="str">
        <f t="array" ref="J100">if(isblank(F100),"",xlookup(G100,z_Others!$B$5:$B$17,z_Others!$C$5:$C$17,"",0,1))</f>
        <v>智能手機</v>
      </c>
      <c r="K100" s="894" t="str">
        <f t="array" ref="K100">if(isblank(F100),"",xlookup(G100,z_Others!$B$5:$B$17,z_Others!$E$5:$E$17,"",0,1))</f>
        <v>智能手機</v>
      </c>
      <c r="L100" s="894" t="str">
        <f t="array" ref="L100">if(isblank(F100),"",xlookup(G100,z_Others!$B$5:$B$17,z_Others!$F$5:$F$17,"",0,1))</f>
        <v>智能手機</v>
      </c>
      <c r="M100" s="894" t="str">
        <f t="shared" si="3"/>
        <v>Google</v>
      </c>
      <c r="N100" s="894" t="str">
        <f t="shared" si="4"/>
        <v>境外品牌（貼牌生產)</v>
      </c>
      <c r="O100" s="882" t="str">
        <f t="array" ref="O100">if(isblank(F100),"",xlookup(F100,'FL5_POR_包裝對照表 (Mapping Table)'!E:E,'FL5_POR_包裝對照表 (Mapping Table)'!L:L,"",0,1))</f>
        <v>GK2MP
</v>
      </c>
      <c r="P100" s="895">
        <f t="array" ref="P100">if(isblank(F100),"",xlookup(G100,z_Others!$B$5:$B$17,z_Others!$J$5:$J$17,"",0,1))</f>
        <v>0.2029</v>
      </c>
      <c r="Q100" s="896">
        <f t="array" ref="Q100">if(isblank(F100),"",xlookup(F100,'FL5_POR_核價 (經管 &amp; BPM)'!E:E,'FL5_POR_核價 (經管 &amp; BPM)'!O:O,"",0,1))</f>
        <v>428.17</v>
      </c>
      <c r="R100" s="894" t="str">
        <f t="shared" si="5"/>
        <v>否</v>
      </c>
      <c r="S100" s="897" t="str">
        <f t="array" ref="S100">if(isblank(F100),"",xlookup(G100,z_Others!$B$5:$B$17,z_Others!$K$5:$K$17,"",0,1))</f>
        <v>無附件</v>
      </c>
      <c r="T100" s="894" t="str">
        <f t="shared" si="6"/>
        <v>開發手機中框組件模型(適用于Google 牌手機)</v>
      </c>
      <c r="U100" s="898" t="str">
        <f t="array" ref="U100">if(isblank(F100),"",xlookup(G100,z_Others!$B$5:$B$17,z_Others!$G$5:$G$17,"",0,1))</f>
        <v>無線通話用</v>
      </c>
      <c r="V100" s="231" t="str">
        <f t="array" ref="V100">if(isblank(F100),"",xlookup(F100,'FL5_POR_包裝對照表 (Mapping Table)'!E:E,'FL5_POR_包裝對照表 (Mapping Table)'!AB:AB,"",0,1))</f>
        <v>SKU, CLR1, GOOD, SUB6, UK/EU, FL5, FRU</v>
      </c>
      <c r="W100" s="899" t="str">
        <f t="array" ref="W100">if(isblank(F100),"",xlookup(G100,z_Others!$B$5:$B$17,z_Others!$I$5:$I$17,"",0,1))</f>
        <v>152.83 x 71.98 x 12.01</v>
      </c>
      <c r="X100" s="894" t="str">
        <f t="shared" si="7"/>
        <v>Google</v>
      </c>
      <c r="Y100" s="894" t="str">
        <f t="shared" si="8"/>
        <v>Tensor series</v>
      </c>
      <c r="Z100" s="900" t="str">
        <f t="shared" si="9"/>
        <v>蜂窩網絡</v>
      </c>
      <c r="AA100" s="900" t="str">
        <f t="shared" si="10"/>
        <v>WCDMA&amp;GSM&amp;LTE&amp;5G制式</v>
      </c>
      <c r="AB100" s="878" t="str">
        <f t="array" ref="AB100">if(isblank(F100),"",xlookup(AJ100,z_Others!$M$5:$M$9,z_Others!$Q$5:$Q$9,"",0,1))</f>
        <v>直板、6.29 英寸彩屏、內存128G、GPRS、藍牙、前攝1100萬、後攝1200/5000萬</v>
      </c>
      <c r="AC100" s="900" t="str">
        <f t="shared" si="11"/>
        <v>中國</v>
      </c>
      <c r="AD100" s="894" t="str">
        <f t="array" ref="AD100">if(isblank(F100),"",xlookup(G100,z_Others!$B$5:$B$14,z_Others!$H$5:$H$14,"",0,1))</f>
        <v>附件07 (FATP手機)</v>
      </c>
      <c r="AE100" s="901" t="str">
        <f t="shared" si="12"/>
        <v>Foxconn</v>
      </c>
      <c r="AF100" s="791">
        <v>45783.0</v>
      </c>
      <c r="AG100" s="791">
        <f t="shared" si="17"/>
        <v>45859</v>
      </c>
      <c r="AH100" s="902" t="s">
        <v>1140</v>
      </c>
      <c r="AI100" s="787">
        <v>45796.0</v>
      </c>
      <c r="AJ100" s="677" t="str">
        <f t="array" ref="AJ100">if(isblank(F100),"",xlookup(F100,'FL5_POR_包裝對照表 (Mapping Table)'!E:E,'FL5_POR_包裝對照表 (Mapping Table)'!AS:AS,"",0,1))</f>
        <v>128GB</v>
      </c>
      <c r="AK100" s="677" t="str">
        <f t="array" ref="AK100">if(isblank(F100),"",xlookup(F100,'FL5_POR_包裝對照表 (Mapping Table)'!E:E,'FL5_POR_包裝對照表 (Mapping Table)'!K:K,"",0,1))</f>
        <v>BLK</v>
      </c>
      <c r="AL100" s="677">
        <v>3070.0</v>
      </c>
      <c r="AM100" s="811"/>
      <c r="AN100" s="888" t="str">
        <f t="array" ref="AN100">xlookup(F100,'FL5_POR_包裝對照表 (Mapping Table)'!E:E,'FL5_POR_包裝對照表 (Mapping Table)'!BM:BM,"",0,1)</f>
        <v>No demand</v>
      </c>
      <c r="AO100" s="813"/>
      <c r="AP100" s="813"/>
    </row>
    <row r="101" ht="25.5" customHeight="1">
      <c r="A101" s="889"/>
      <c r="B101" s="877">
        <v>95.0</v>
      </c>
      <c r="C101" s="891" t="str">
        <f>if(isblank(F101),"",'FL5_POR_包裝對照表 (Mapping Table)'!$E$4)</f>
        <v>GFL (FL5)</v>
      </c>
      <c r="D101" s="878" t="str">
        <f t="array" ref="D101">if(isblank(F101),"",xlookup(F101,'FL5_POR_包裝對照表 (Mapping Table)'!E:E,'FL5_POR_包裝對照表 (Mapping Table)'!AZ:AZ,"",0,1))</f>
        <v>MP</v>
      </c>
      <c r="E101" s="677" t="str">
        <f t="shared" si="2"/>
        <v>Close</v>
      </c>
      <c r="F101" s="879" t="s">
        <v>842</v>
      </c>
      <c r="G101" s="892" t="str">
        <f t="array" ref="G101">if(isblank(F101),"",xlookup(F101,'FL5_POR_包裝對照表 (Mapping Table)'!E:E,'FL5_POR_包裝對照表 (Mapping Table)'!D:D,"",0,1))</f>
        <v>Bulk Pack</v>
      </c>
      <c r="H101" s="893" t="str">
        <f t="array" ref="H101">if(isblank(F101),"",xlookup(F101,'FL5_POR_包裝對照表 (Mapping Table)'!E:E,'FL5_POR_包裝對照表 (Mapping Table)'!E:E,"",0,1))</f>
        <v>CLNRGA10549</v>
      </c>
      <c r="I101" s="677" t="str">
        <f t="array" ref="I101">if(isblank(F101),"",xlookup(F101,'FL5_POR_包裝對照表 (Mapping Table)'!E:E,'FL5_POR_包裝對照表 (Mapping Table)'!AN:AN,"",0,1))</f>
        <v>G950-15935-11</v>
      </c>
      <c r="J101" s="894" t="str">
        <f t="array" ref="J101">if(isblank(F101),"",xlookup(G101,z_Others!$B$5:$B$17,z_Others!$C$5:$C$17,"",0,1))</f>
        <v>智能手機</v>
      </c>
      <c r="K101" s="894" t="str">
        <f t="array" ref="K101">if(isblank(F101),"",xlookup(G101,z_Others!$B$5:$B$17,z_Others!$E$5:$E$17,"",0,1))</f>
        <v>智能手機</v>
      </c>
      <c r="L101" s="894" t="str">
        <f t="array" ref="L101">if(isblank(F101),"",xlookup(G101,z_Others!$B$5:$B$17,z_Others!$F$5:$F$17,"",0,1))</f>
        <v>智能手機</v>
      </c>
      <c r="M101" s="894" t="str">
        <f t="shared" si="3"/>
        <v>Google</v>
      </c>
      <c r="N101" s="894" t="str">
        <f t="shared" si="4"/>
        <v>境外品牌（貼牌生產)</v>
      </c>
      <c r="O101" s="882" t="str">
        <f t="array" ref="O101">if(isblank(F101),"",xlookup(F101,'FL5_POR_包裝對照表 (Mapping Table)'!E:E,'FL5_POR_包裝對照表 (Mapping Table)'!L:L,"",0,1))</f>
        <v>GK2MP
</v>
      </c>
      <c r="P101" s="895">
        <f t="array" ref="P101">if(isblank(F101),"",xlookup(G101,z_Others!$B$5:$B$17,z_Others!$J$5:$J$17,"",0,1))</f>
        <v>0.2029</v>
      </c>
      <c r="Q101" s="896">
        <f t="array" ref="Q101">if(isblank(F101),"",xlookup(F101,'FL5_POR_核價 (經管 &amp; BPM)'!E:E,'FL5_POR_核價 (經管 &amp; BPM)'!O:O,"",0,1))</f>
        <v>428.47</v>
      </c>
      <c r="R101" s="894" t="str">
        <f t="shared" si="5"/>
        <v>否</v>
      </c>
      <c r="S101" s="897" t="str">
        <f t="array" ref="S101">if(isblank(F101),"",xlookup(G101,z_Others!$B$5:$B$17,z_Others!$K$5:$K$17,"",0,1))</f>
        <v>無附件</v>
      </c>
      <c r="T101" s="894" t="str">
        <f t="shared" si="6"/>
        <v>開發手機中框組件模型(適用于Google 牌手機)</v>
      </c>
      <c r="U101" s="898" t="str">
        <f t="array" ref="U101">if(isblank(F101),"",xlookup(G101,z_Others!$B$5:$B$17,z_Others!$G$5:$G$17,"",0,1))</f>
        <v>無線通話用</v>
      </c>
      <c r="V101" s="231" t="str">
        <f t="array" ref="V101">if(isblank(F101),"",xlookup(F101,'FL5_POR_包裝對照表 (Mapping Table)'!E:E,'FL5_POR_包裝對照表 (Mapping Table)'!AB:AB,"",0,1))</f>
        <v>SKU, CLR2, GOOD, SUB6, UK/EU, FL5, FRU</v>
      </c>
      <c r="W101" s="899" t="str">
        <f t="array" ref="W101">if(isblank(F101),"",xlookup(G101,z_Others!$B$5:$B$17,z_Others!$I$5:$I$17,"",0,1))</f>
        <v>152.83 x 71.98 x 12.01</v>
      </c>
      <c r="X101" s="894" t="str">
        <f t="shared" si="7"/>
        <v>Google</v>
      </c>
      <c r="Y101" s="894" t="str">
        <f t="shared" si="8"/>
        <v>Tensor series</v>
      </c>
      <c r="Z101" s="900" t="str">
        <f t="shared" si="9"/>
        <v>蜂窩網絡</v>
      </c>
      <c r="AA101" s="900" t="str">
        <f t="shared" si="10"/>
        <v>WCDMA&amp;GSM&amp;LTE&amp;5G制式</v>
      </c>
      <c r="AB101" s="878" t="str">
        <f t="array" ref="AB101">if(isblank(F101),"",xlookup(AJ101,z_Others!$M$5:$M$9,z_Others!$Q$5:$Q$9,"",0,1))</f>
        <v>直板、6.29 英寸彩屏、內存128G、GPRS、藍牙、前攝1100萬、後攝1200/5000萬</v>
      </c>
      <c r="AC101" s="900" t="str">
        <f t="shared" si="11"/>
        <v>中國</v>
      </c>
      <c r="AD101" s="894" t="str">
        <f t="array" ref="AD101">if(isblank(F101),"",xlookup(G101,z_Others!$B$5:$B$14,z_Others!$H$5:$H$14,"",0,1))</f>
        <v>附件07 (FATP手機)</v>
      </c>
      <c r="AE101" s="901" t="str">
        <f t="shared" si="12"/>
        <v>Foxconn</v>
      </c>
      <c r="AF101" s="791">
        <v>45783.0</v>
      </c>
      <c r="AG101" s="791">
        <f t="shared" si="17"/>
        <v>45859</v>
      </c>
      <c r="AH101" s="902">
        <v>45803.0</v>
      </c>
      <c r="AI101" s="787">
        <v>45803.0</v>
      </c>
      <c r="AJ101" s="677" t="str">
        <f t="array" ref="AJ101">if(isblank(F101),"",xlookup(F101,'FL5_POR_包裝對照表 (Mapping Table)'!E:E,'FL5_POR_包裝對照表 (Mapping Table)'!AS:AS,"",0,1))</f>
        <v>128GB</v>
      </c>
      <c r="AK101" s="677" t="str">
        <f t="array" ref="AK101">if(isblank(F101),"",xlookup(F101,'FL5_POR_包裝對照表 (Mapping Table)'!E:E,'FL5_POR_包裝對照表 (Mapping Table)'!K:K,"",0,1))</f>
        <v>PPL</v>
      </c>
      <c r="AL101" s="677">
        <v>3175.0</v>
      </c>
      <c r="AM101" s="811"/>
      <c r="AN101" s="888" t="str">
        <f t="array" ref="AN101">xlookup(F101,'FL5_POR_包裝對照表 (Mapping Table)'!E:E,'FL5_POR_包裝對照表 (Mapping Table)'!BM:BM,"",0,1)</f>
        <v>No demand</v>
      </c>
      <c r="AO101" s="813"/>
      <c r="AP101" s="813"/>
    </row>
    <row r="102" ht="25.5" customHeight="1">
      <c r="A102" s="889"/>
      <c r="B102" s="877">
        <v>96.0</v>
      </c>
      <c r="C102" s="891" t="str">
        <f>if(isblank(F102),"",'FL5_POR_包裝對照表 (Mapping Table)'!$E$4)</f>
        <v>GFL (FL5)</v>
      </c>
      <c r="D102" s="878" t="str">
        <f t="array" ref="D102">if(isblank(F102),"",xlookup(F102,'FL5_POR_包裝對照表 (Mapping Table)'!E:E,'FL5_POR_包裝對照表 (Mapping Table)'!AZ:AZ,"",0,1))</f>
        <v>MP</v>
      </c>
      <c r="E102" s="677" t="str">
        <f t="shared" si="2"/>
        <v>Close</v>
      </c>
      <c r="F102" s="879" t="s">
        <v>847</v>
      </c>
      <c r="G102" s="892" t="str">
        <f t="array" ref="G102">if(isblank(F102),"",xlookup(F102,'FL5_POR_包裝對照表 (Mapping Table)'!E:E,'FL5_POR_包裝對照表 (Mapping Table)'!D:D,"",0,1))</f>
        <v>Bulk Pack</v>
      </c>
      <c r="H102" s="893" t="str">
        <f t="array" ref="H102">if(isblank(F102),"",xlookup(F102,'FL5_POR_包裝對照表 (Mapping Table)'!E:E,'FL5_POR_包裝對照表 (Mapping Table)'!E:E,"",0,1))</f>
        <v>CLNRGA10550</v>
      </c>
      <c r="I102" s="677" t="str">
        <f t="array" ref="I102">if(isblank(F102),"",xlookup(F102,'FL5_POR_包裝對照表 (Mapping Table)'!E:E,'FL5_POR_包裝對照表 (Mapping Table)'!AN:AN,"",0,1))</f>
        <v>G950-15935-12</v>
      </c>
      <c r="J102" s="894" t="str">
        <f t="array" ref="J102">if(isblank(F102),"",xlookup(G102,z_Others!$B$5:$B$17,z_Others!$C$5:$C$17,"",0,1))</f>
        <v>智能手機</v>
      </c>
      <c r="K102" s="894" t="str">
        <f t="array" ref="K102">if(isblank(F102),"",xlookup(G102,z_Others!$B$5:$B$17,z_Others!$E$5:$E$17,"",0,1))</f>
        <v>智能手機</v>
      </c>
      <c r="L102" s="894" t="str">
        <f t="array" ref="L102">if(isblank(F102),"",xlookup(G102,z_Others!$B$5:$B$17,z_Others!$F$5:$F$17,"",0,1))</f>
        <v>智能手機</v>
      </c>
      <c r="M102" s="894" t="str">
        <f t="shared" si="3"/>
        <v>Google</v>
      </c>
      <c r="N102" s="894" t="str">
        <f t="shared" si="4"/>
        <v>境外品牌（貼牌生產)</v>
      </c>
      <c r="O102" s="882" t="str">
        <f t="array" ref="O102">if(isblank(F102),"",xlookup(F102,'FL5_POR_包裝對照表 (Mapping Table)'!E:E,'FL5_POR_包裝對照表 (Mapping Table)'!L:L,"",0,1))</f>
        <v>GK2MP
</v>
      </c>
      <c r="P102" s="895">
        <f t="array" ref="P102">if(isblank(F102),"",xlookup(G102,z_Others!$B$5:$B$17,z_Others!$J$5:$J$17,"",0,1))</f>
        <v>0.2029</v>
      </c>
      <c r="Q102" s="896">
        <f t="array" ref="Q102">if(isblank(F102),"",xlookup(F102,'FL5_POR_核價 (經管 &amp; BPM)'!E:E,'FL5_POR_核價 (經管 &amp; BPM)'!O:O,"",0,1))</f>
        <v>428.57</v>
      </c>
      <c r="R102" s="894" t="str">
        <f t="shared" si="5"/>
        <v>否</v>
      </c>
      <c r="S102" s="897" t="str">
        <f t="array" ref="S102">if(isblank(F102),"",xlookup(G102,z_Others!$B$5:$B$17,z_Others!$K$5:$K$17,"",0,1))</f>
        <v>無附件</v>
      </c>
      <c r="T102" s="894" t="str">
        <f t="shared" si="6"/>
        <v>開發手機中框組件模型(適用于Google 牌手機)</v>
      </c>
      <c r="U102" s="898" t="str">
        <f t="array" ref="U102">if(isblank(F102),"",xlookup(G102,z_Others!$B$5:$B$17,z_Others!$G$5:$G$17,"",0,1))</f>
        <v>無線通話用</v>
      </c>
      <c r="V102" s="231" t="str">
        <f t="array" ref="V102">if(isblank(F102),"",xlookup(F102,'FL5_POR_包裝對照表 (Mapping Table)'!E:E,'FL5_POR_包裝對照表 (Mapping Table)'!AB:AB,"",0,1))</f>
        <v>SKU, CLR3, GOOD, SUB6, UK/EU, FL5, FRU</v>
      </c>
      <c r="W102" s="899" t="str">
        <f t="array" ref="W102">if(isblank(F102),"",xlookup(G102,z_Others!$B$5:$B$17,z_Others!$I$5:$I$17,"",0,1))</f>
        <v>152.83 x 71.98 x 12.01</v>
      </c>
      <c r="X102" s="894" t="str">
        <f t="shared" si="7"/>
        <v>Google</v>
      </c>
      <c r="Y102" s="894" t="str">
        <f t="shared" si="8"/>
        <v>Tensor series</v>
      </c>
      <c r="Z102" s="900" t="str">
        <f t="shared" si="9"/>
        <v>蜂窩網絡</v>
      </c>
      <c r="AA102" s="900" t="str">
        <f t="shared" si="10"/>
        <v>WCDMA&amp;GSM&amp;LTE&amp;5G制式</v>
      </c>
      <c r="AB102" s="878" t="str">
        <f t="array" ref="AB102">if(isblank(F102),"",xlookup(AJ102,z_Others!$M$5:$M$9,z_Others!$Q$5:$Q$9,"",0,1))</f>
        <v>直板、6.29 英寸彩屏、內存128G、GPRS、藍牙、前攝1100萬、後攝1200/5000萬</v>
      </c>
      <c r="AC102" s="900" t="str">
        <f t="shared" si="11"/>
        <v>中國</v>
      </c>
      <c r="AD102" s="894" t="str">
        <f t="array" ref="AD102">if(isblank(F102),"",xlookup(G102,z_Others!$B$5:$B$14,z_Others!$H$5:$H$14,"",0,1))</f>
        <v>附件07 (FATP手機)</v>
      </c>
      <c r="AE102" s="901" t="str">
        <f t="shared" si="12"/>
        <v>Foxconn</v>
      </c>
      <c r="AF102" s="791">
        <v>45783.0</v>
      </c>
      <c r="AG102" s="791">
        <f t="shared" si="17"/>
        <v>45859</v>
      </c>
      <c r="AH102" s="902">
        <v>45803.0</v>
      </c>
      <c r="AI102" s="787">
        <v>45803.0</v>
      </c>
      <c r="AJ102" s="677" t="str">
        <f t="array" ref="AJ102">if(isblank(F102),"",xlookup(F102,'FL5_POR_包裝對照表 (Mapping Table)'!E:E,'FL5_POR_包裝對照表 (Mapping Table)'!AS:AS,"",0,1))</f>
        <v>128GB</v>
      </c>
      <c r="AK102" s="677" t="str">
        <f t="array" ref="AK102">if(isblank(F102),"",xlookup(F102,'FL5_POR_包裝對照表 (Mapping Table)'!E:E,'FL5_POR_包裝對照表 (Mapping Table)'!K:K,"",0,1))</f>
        <v>YEL</v>
      </c>
      <c r="AL102" s="677">
        <v>3174.0</v>
      </c>
      <c r="AM102" s="811"/>
      <c r="AN102" s="888" t="str">
        <f t="array" ref="AN102">xlookup(F102,'FL5_POR_包裝對照表 (Mapping Table)'!E:E,'FL5_POR_包裝對照表 (Mapping Table)'!BM:BM,"",0,1)</f>
        <v>No demand</v>
      </c>
      <c r="AO102" s="813"/>
      <c r="AP102" s="813"/>
    </row>
    <row r="103" ht="25.5" customHeight="1">
      <c r="A103" s="889"/>
      <c r="B103" s="877">
        <v>97.0</v>
      </c>
      <c r="C103" s="891" t="str">
        <f>if(isblank(F103),"",'FL5_POR_包裝對照表 (Mapping Table)'!$E$4)</f>
        <v>GFL (FL5)</v>
      </c>
      <c r="D103" s="878" t="str">
        <f t="array" ref="D103">if(isblank(F103),"",xlookup(F103,'FL5_POR_包裝對照表 (Mapping Table)'!E:E,'FL5_POR_包裝對照表 (Mapping Table)'!AZ:AZ,"",0,1))</f>
        <v>MP</v>
      </c>
      <c r="E103" s="677" t="str">
        <f t="shared" si="2"/>
        <v>Close</v>
      </c>
      <c r="F103" s="879" t="s">
        <v>852</v>
      </c>
      <c r="G103" s="892" t="str">
        <f t="array" ref="G103">if(isblank(F103),"",xlookup(F103,'FL5_POR_包裝對照表 (Mapping Table)'!E:E,'FL5_POR_包裝對照表 (Mapping Table)'!D:D,"",0,1))</f>
        <v>Bulk Pack</v>
      </c>
      <c r="H103" s="893" t="str">
        <f t="array" ref="H103">if(isblank(F103),"",xlookup(F103,'FL5_POR_包裝對照表 (Mapping Table)'!E:E,'FL5_POR_包裝對照表 (Mapping Table)'!E:E,"",0,1))</f>
        <v>CLNRGA10551</v>
      </c>
      <c r="I103" s="677" t="str">
        <f t="array" ref="I103">if(isblank(F103),"",xlookup(F103,'FL5_POR_包裝對照表 (Mapping Table)'!E:E,'FL5_POR_包裝對照表 (Mapping Table)'!AN:AN,"",0,1))</f>
        <v>G950-15935-13</v>
      </c>
      <c r="J103" s="894" t="str">
        <f t="array" ref="J103">if(isblank(F103),"",xlookup(G103,z_Others!$B$5:$B$17,z_Others!$C$5:$C$17,"",0,1))</f>
        <v>智能手機</v>
      </c>
      <c r="K103" s="894" t="str">
        <f t="array" ref="K103">if(isblank(F103),"",xlookup(G103,z_Others!$B$5:$B$17,z_Others!$E$5:$E$17,"",0,1))</f>
        <v>智能手機</v>
      </c>
      <c r="L103" s="894" t="str">
        <f t="array" ref="L103">if(isblank(F103),"",xlookup(G103,z_Others!$B$5:$B$17,z_Others!$F$5:$F$17,"",0,1))</f>
        <v>智能手機</v>
      </c>
      <c r="M103" s="894" t="str">
        <f t="shared" si="3"/>
        <v>Google</v>
      </c>
      <c r="N103" s="894" t="str">
        <f t="shared" si="4"/>
        <v>境外品牌（貼牌生產)</v>
      </c>
      <c r="O103" s="882" t="str">
        <f t="array" ref="O103">if(isblank(F103),"",xlookup(F103,'FL5_POR_包裝對照表 (Mapping Table)'!E:E,'FL5_POR_包裝對照表 (Mapping Table)'!L:L,"",0,1))</f>
        <v>GK2MP
</v>
      </c>
      <c r="P103" s="895">
        <f t="array" ref="P103">if(isblank(F103),"",xlookup(G103,z_Others!$B$5:$B$17,z_Others!$J$5:$J$17,"",0,1))</f>
        <v>0.2029</v>
      </c>
      <c r="Q103" s="896">
        <f t="array" ref="Q103">if(isblank(F103),"",xlookup(F103,'FL5_POR_核價 (經管 &amp; BPM)'!E:E,'FL5_POR_核價 (經管 &amp; BPM)'!O:O,"",0,1))</f>
        <v>428.57</v>
      </c>
      <c r="R103" s="894" t="str">
        <f t="shared" si="5"/>
        <v>否</v>
      </c>
      <c r="S103" s="897" t="str">
        <f t="array" ref="S103">if(isblank(F103),"",xlookup(G103,z_Others!$B$5:$B$17,z_Others!$K$5:$K$17,"",0,1))</f>
        <v>無附件</v>
      </c>
      <c r="T103" s="894" t="str">
        <f t="shared" si="6"/>
        <v>開發手機中框組件模型(適用于Google 牌手機)</v>
      </c>
      <c r="U103" s="898" t="str">
        <f t="array" ref="U103">if(isblank(F103),"",xlookup(G103,z_Others!$B$5:$B$17,z_Others!$G$5:$G$17,"",0,1))</f>
        <v>無線通話用</v>
      </c>
      <c r="V103" s="231" t="str">
        <f t="array" ref="V103">if(isblank(F103),"",xlookup(F103,'FL5_POR_包裝對照表 (Mapping Table)'!E:E,'FL5_POR_包裝對照表 (Mapping Table)'!AB:AB,"",0,1))</f>
        <v>SKU, CLR4, GOOD, SUB6, UK/EU, FL5, FRU</v>
      </c>
      <c r="W103" s="899" t="str">
        <f t="array" ref="W103">if(isblank(F103),"",xlookup(G103,z_Others!$B$5:$B$17,z_Others!$I$5:$I$17,"",0,1))</f>
        <v>152.83 x 71.98 x 12.01</v>
      </c>
      <c r="X103" s="894" t="str">
        <f t="shared" si="7"/>
        <v>Google</v>
      </c>
      <c r="Y103" s="894" t="str">
        <f t="shared" si="8"/>
        <v>Tensor series</v>
      </c>
      <c r="Z103" s="900" t="str">
        <f t="shared" si="9"/>
        <v>蜂窩網絡</v>
      </c>
      <c r="AA103" s="900" t="str">
        <f t="shared" si="10"/>
        <v>WCDMA&amp;GSM&amp;LTE&amp;5G制式</v>
      </c>
      <c r="AB103" s="878" t="str">
        <f t="array" ref="AB103">if(isblank(F103),"",xlookup(AJ103,z_Others!$M$5:$M$9,z_Others!$Q$5:$Q$9,"",0,1))</f>
        <v>直板、6.29 英寸彩屏、內存128G、GPRS、藍牙、前攝1100萬、後攝1200/5000萬</v>
      </c>
      <c r="AC103" s="900" t="str">
        <f t="shared" si="11"/>
        <v>中國</v>
      </c>
      <c r="AD103" s="894" t="str">
        <f t="array" ref="AD103">if(isblank(F103),"",xlookup(G103,z_Others!$B$5:$B$14,z_Others!$H$5:$H$14,"",0,1))</f>
        <v>附件07 (FATP手機)</v>
      </c>
      <c r="AE103" s="901" t="str">
        <f t="shared" si="12"/>
        <v>Foxconn</v>
      </c>
      <c r="AF103" s="791">
        <v>45783.0</v>
      </c>
      <c r="AG103" s="791">
        <f t="shared" si="17"/>
        <v>45859</v>
      </c>
      <c r="AH103" s="902">
        <v>45803.0</v>
      </c>
      <c r="AI103" s="787">
        <v>45803.0</v>
      </c>
      <c r="AJ103" s="677" t="str">
        <f t="array" ref="AJ103">if(isblank(F103),"",xlookup(F103,'FL5_POR_包裝對照表 (Mapping Table)'!E:E,'FL5_POR_包裝對照表 (Mapping Table)'!AS:AS,"",0,1))</f>
        <v>128GB</v>
      </c>
      <c r="AK103" s="677" t="str">
        <f t="array" ref="AK103">if(isblank(F103),"",xlookup(F103,'FL5_POR_包裝對照表 (Mapping Table)'!E:E,'FL5_POR_包裝對照表 (Mapping Table)'!K:K,"",0,1))</f>
        <v>BUE</v>
      </c>
      <c r="AL103" s="677">
        <v>3173.0</v>
      </c>
      <c r="AM103" s="811"/>
      <c r="AN103" s="888" t="str">
        <f t="array" ref="AN103">xlookup(F103,'FL5_POR_包裝對照表 (Mapping Table)'!E:E,'FL5_POR_包裝對照表 (Mapping Table)'!BM:BM,"",0,1)</f>
        <v>No demand</v>
      </c>
      <c r="AO103" s="813"/>
      <c r="AP103" s="813"/>
    </row>
    <row r="104" ht="25.5" customHeight="1">
      <c r="A104" s="889"/>
      <c r="B104" s="877">
        <v>98.0</v>
      </c>
      <c r="C104" s="891" t="str">
        <f>if(isblank(F104),"",'FL5_POR_包裝對照表 (Mapping Table)'!$E$4)</f>
        <v>GFL (FL5)</v>
      </c>
      <c r="D104" s="878" t="str">
        <f t="array" ref="D104">if(isblank(F104),"",xlookup(F104,'FL5_POR_包裝對照表 (Mapping Table)'!E:E,'FL5_POR_包裝對照表 (Mapping Table)'!AZ:AZ,"",0,1))</f>
        <v>MP</v>
      </c>
      <c r="E104" s="677" t="str">
        <f t="shared" si="2"/>
        <v>Close</v>
      </c>
      <c r="F104" s="879" t="s">
        <v>911</v>
      </c>
      <c r="G104" s="892" t="str">
        <f t="array" ref="G104">if(isblank(F104),"",xlookup(F104,'FL5_POR_包裝對照表 (Mapping Table)'!E:E,'FL5_POR_包裝對照表 (Mapping Table)'!D:D,"",0,1))</f>
        <v>Bulk Pack</v>
      </c>
      <c r="H104" s="893" t="str">
        <f t="array" ref="H104">if(isblank(F104),"",xlookup(F104,'FL5_POR_包裝對照表 (Mapping Table)'!E:E,'FL5_POR_包裝對照表 (Mapping Table)'!E:E,"",0,1))</f>
        <v>CLNRGA10552</v>
      </c>
      <c r="I104" s="677" t="str">
        <f t="array" ref="I104">if(isblank(F104),"",xlookup(F104,'FL5_POR_包裝對照表 (Mapping Table)'!E:E,'FL5_POR_包裝對照表 (Mapping Table)'!AN:AN,"",0,1))</f>
        <v>G950-15935-14</v>
      </c>
      <c r="J104" s="894" t="str">
        <f t="array" ref="J104">if(isblank(F104),"",xlookup(G104,z_Others!$B$5:$B$17,z_Others!$C$5:$C$17,"",0,1))</f>
        <v>智能手機</v>
      </c>
      <c r="K104" s="894" t="str">
        <f t="array" ref="K104">if(isblank(F104),"",xlookup(G104,z_Others!$B$5:$B$17,z_Others!$E$5:$E$17,"",0,1))</f>
        <v>智能手機</v>
      </c>
      <c r="L104" s="894" t="str">
        <f t="array" ref="L104">if(isblank(F104),"",xlookup(G104,z_Others!$B$5:$B$17,z_Others!$F$5:$F$17,"",0,1))</f>
        <v>智能手機</v>
      </c>
      <c r="M104" s="894" t="str">
        <f t="shared" si="3"/>
        <v>Google</v>
      </c>
      <c r="N104" s="894" t="str">
        <f t="shared" si="4"/>
        <v>境外品牌（貼牌生產)</v>
      </c>
      <c r="O104" s="882" t="str">
        <f t="array" ref="O104">if(isblank(F104),"",xlookup(F104,'FL5_POR_包裝對照表 (Mapping Table)'!E:E,'FL5_POR_包裝對照表 (Mapping Table)'!L:L,"",0,1))</f>
        <v>GK2MP
</v>
      </c>
      <c r="P104" s="895">
        <f t="array" ref="P104">if(isblank(F104),"",xlookup(G104,z_Others!$B$5:$B$17,z_Others!$J$5:$J$17,"",0,1))</f>
        <v>0.2029</v>
      </c>
      <c r="Q104" s="896">
        <f t="array" ref="Q104">if(isblank(F104),"",xlookup(F104,'FL5_POR_核價 (經管 &amp; BPM)'!E:E,'FL5_POR_核價 (經管 &amp; BPM)'!O:O,"",0,1))</f>
        <v>434.17</v>
      </c>
      <c r="R104" s="894" t="str">
        <f t="shared" si="5"/>
        <v>否</v>
      </c>
      <c r="S104" s="897" t="str">
        <f t="array" ref="S104">if(isblank(F104),"",xlookup(G104,z_Others!$B$5:$B$17,z_Others!$K$5:$K$17,"",0,1))</f>
        <v>無附件</v>
      </c>
      <c r="T104" s="894" t="str">
        <f t="shared" si="6"/>
        <v>開發手機中框組件模型(適用于Google 牌手機)</v>
      </c>
      <c r="U104" s="898" t="str">
        <f t="array" ref="U104">if(isblank(F104),"",xlookup(G104,z_Others!$B$5:$B$17,z_Others!$G$5:$G$17,"",0,1))</f>
        <v>無線通話用</v>
      </c>
      <c r="V104" s="231" t="str">
        <f t="array" ref="V104">if(isblank(F104),"",xlookup(F104,'FL5_POR_包裝對照表 (Mapping Table)'!E:E,'FL5_POR_包裝對照表 (Mapping Table)'!AB:AB,"",0,1))</f>
        <v>SKU, CLR1, BETTER, SUB6, UK/EU, FL5, FRU</v>
      </c>
      <c r="W104" s="899" t="str">
        <f t="array" ref="W104">if(isblank(F104),"",xlookup(G104,z_Others!$B$5:$B$17,z_Others!$I$5:$I$17,"",0,1))</f>
        <v>152.83 x 71.98 x 12.01</v>
      </c>
      <c r="X104" s="894" t="str">
        <f t="shared" si="7"/>
        <v>Google</v>
      </c>
      <c r="Y104" s="894" t="str">
        <f t="shared" si="8"/>
        <v>Tensor series</v>
      </c>
      <c r="Z104" s="900" t="str">
        <f t="shared" si="9"/>
        <v>蜂窩網絡</v>
      </c>
      <c r="AA104" s="900" t="str">
        <f t="shared" si="10"/>
        <v>WCDMA&amp;GSM&amp;LTE&amp;5G制式</v>
      </c>
      <c r="AB104" s="878" t="str">
        <f t="array" ref="AB104">if(isblank(F104),"",xlookup(AJ104,z_Others!$M$5:$M$9,z_Others!$Q$5:$Q$9,"",0,1))</f>
        <v>直板、6.29 英寸彩屏、內存256G、GPRS、藍牙、前攝1100萬、後攝1200/5000萬</v>
      </c>
      <c r="AC104" s="900" t="str">
        <f t="shared" si="11"/>
        <v>中國</v>
      </c>
      <c r="AD104" s="894" t="str">
        <f t="array" ref="AD104">if(isblank(F104),"",xlookup(G104,z_Others!$B$5:$B$14,z_Others!$H$5:$H$14,"",0,1))</f>
        <v>附件07 (FATP手機)</v>
      </c>
      <c r="AE104" s="901" t="str">
        <f t="shared" si="12"/>
        <v>Foxconn</v>
      </c>
      <c r="AF104" s="791">
        <v>45783.0</v>
      </c>
      <c r="AG104" s="791">
        <f t="shared" si="17"/>
        <v>45859</v>
      </c>
      <c r="AH104" s="902">
        <v>45838.0</v>
      </c>
      <c r="AI104" s="787">
        <v>45811.0</v>
      </c>
      <c r="AJ104" s="677" t="str">
        <f t="array" ref="AJ104">if(isblank(F104),"",xlookup(F104,'FL5_POR_包裝對照表 (Mapping Table)'!E:E,'FL5_POR_包裝對照表 (Mapping Table)'!AS:AS,"",0,1))</f>
        <v>256GB</v>
      </c>
      <c r="AK104" s="677" t="str">
        <f t="array" ref="AK104">if(isblank(F104),"",xlookup(F104,'FL5_POR_包裝對照表 (Mapping Table)'!E:E,'FL5_POR_包裝對照表 (Mapping Table)'!K:K,"",0,1))</f>
        <v>BLK</v>
      </c>
      <c r="AL104" s="677">
        <v>3338.0</v>
      </c>
      <c r="AM104" s="811"/>
      <c r="AN104" s="888" t="str">
        <f t="array" ref="AN104">xlookup(F104,'FL5_POR_包裝對照表 (Mapping Table)'!E:E,'FL5_POR_包裝對照表 (Mapping Table)'!BM:BM,"",0,1)</f>
        <v>No demand</v>
      </c>
      <c r="AO104" s="813"/>
      <c r="AP104" s="813"/>
    </row>
    <row r="105" ht="25.5" customHeight="1">
      <c r="A105" s="889"/>
      <c r="B105" s="877">
        <v>99.0</v>
      </c>
      <c r="C105" s="891" t="str">
        <f>if(isblank(F105),"",'FL5_POR_包裝對照表 (Mapping Table)'!$E$4)</f>
        <v>GFL (FL5)</v>
      </c>
      <c r="D105" s="878" t="str">
        <f t="array" ref="D105">if(isblank(F105),"",xlookup(F105,'FL5_POR_包裝對照表 (Mapping Table)'!E:E,'FL5_POR_包裝對照表 (Mapping Table)'!AZ:AZ,"",0,1))</f>
        <v>MP</v>
      </c>
      <c r="E105" s="677" t="str">
        <f t="shared" si="2"/>
        <v>Close</v>
      </c>
      <c r="F105" s="879" t="s">
        <v>916</v>
      </c>
      <c r="G105" s="892" t="str">
        <f t="array" ref="G105">if(isblank(F105),"",xlookup(F105,'FL5_POR_包裝對照表 (Mapping Table)'!E:E,'FL5_POR_包裝對照表 (Mapping Table)'!D:D,"",0,1))</f>
        <v>Bulk Pack</v>
      </c>
      <c r="H105" s="893" t="str">
        <f t="array" ref="H105">if(isblank(F105),"",xlookup(F105,'FL5_POR_包裝對照表 (Mapping Table)'!E:E,'FL5_POR_包裝對照表 (Mapping Table)'!E:E,"",0,1))</f>
        <v>CLNRGA10553</v>
      </c>
      <c r="I105" s="677" t="str">
        <f t="array" ref="I105">if(isblank(F105),"",xlookup(F105,'FL5_POR_包裝對照表 (Mapping Table)'!E:E,'FL5_POR_包裝對照表 (Mapping Table)'!AN:AN,"",0,1))</f>
        <v>G950-15935-15</v>
      </c>
      <c r="J105" s="894" t="str">
        <f t="array" ref="J105">if(isblank(F105),"",xlookup(G105,z_Others!$B$5:$B$17,z_Others!$C$5:$C$17,"",0,1))</f>
        <v>智能手機</v>
      </c>
      <c r="K105" s="894" t="str">
        <f t="array" ref="K105">if(isblank(F105),"",xlookup(G105,z_Others!$B$5:$B$17,z_Others!$E$5:$E$17,"",0,1))</f>
        <v>智能手機</v>
      </c>
      <c r="L105" s="894" t="str">
        <f t="array" ref="L105">if(isblank(F105),"",xlookup(G105,z_Others!$B$5:$B$17,z_Others!$F$5:$F$17,"",0,1))</f>
        <v>智能手機</v>
      </c>
      <c r="M105" s="894" t="str">
        <f t="shared" si="3"/>
        <v>Google</v>
      </c>
      <c r="N105" s="894" t="str">
        <f t="shared" si="4"/>
        <v>境外品牌（貼牌生產)</v>
      </c>
      <c r="O105" s="882" t="str">
        <f t="array" ref="O105">if(isblank(F105),"",xlookup(F105,'FL5_POR_包裝對照表 (Mapping Table)'!E:E,'FL5_POR_包裝對照表 (Mapping Table)'!L:L,"",0,1))</f>
        <v>GK2MP
</v>
      </c>
      <c r="P105" s="895">
        <f t="array" ref="P105">if(isblank(F105),"",xlookup(G105,z_Others!$B$5:$B$17,z_Others!$J$5:$J$17,"",0,1))</f>
        <v>0.2029</v>
      </c>
      <c r="Q105" s="896">
        <f t="array" ref="Q105">if(isblank(F105),"",xlookup(F105,'FL5_POR_核價 (經管 &amp; BPM)'!E:E,'FL5_POR_核價 (經管 &amp; BPM)'!O:O,"",0,1))</f>
        <v>434.47</v>
      </c>
      <c r="R105" s="894" t="str">
        <f t="shared" si="5"/>
        <v>否</v>
      </c>
      <c r="S105" s="897" t="str">
        <f t="array" ref="S105">if(isblank(F105),"",xlookup(G105,z_Others!$B$5:$B$17,z_Others!$K$5:$K$17,"",0,1))</f>
        <v>無附件</v>
      </c>
      <c r="T105" s="894" t="str">
        <f t="shared" si="6"/>
        <v>開發手機中框組件模型(適用于Google 牌手機)</v>
      </c>
      <c r="U105" s="898" t="str">
        <f t="array" ref="U105">if(isblank(F105),"",xlookup(G105,z_Others!$B$5:$B$17,z_Others!$G$5:$G$17,"",0,1))</f>
        <v>無線通話用</v>
      </c>
      <c r="V105" s="231" t="str">
        <f t="array" ref="V105">if(isblank(F105),"",xlookup(F105,'FL5_POR_包裝對照表 (Mapping Table)'!E:E,'FL5_POR_包裝對照表 (Mapping Table)'!AB:AB,"",0,1))</f>
        <v>SKU, CLR2, BETTER, SUB6, UK/EU, FL5, FRU</v>
      </c>
      <c r="W105" s="899" t="str">
        <f t="array" ref="W105">if(isblank(F105),"",xlookup(G105,z_Others!$B$5:$B$17,z_Others!$I$5:$I$17,"",0,1))</f>
        <v>152.83 x 71.98 x 12.01</v>
      </c>
      <c r="X105" s="894" t="str">
        <f t="shared" si="7"/>
        <v>Google</v>
      </c>
      <c r="Y105" s="894" t="str">
        <f t="shared" si="8"/>
        <v>Tensor series</v>
      </c>
      <c r="Z105" s="900" t="str">
        <f t="shared" si="9"/>
        <v>蜂窩網絡</v>
      </c>
      <c r="AA105" s="900" t="str">
        <f t="shared" si="10"/>
        <v>WCDMA&amp;GSM&amp;LTE&amp;5G制式</v>
      </c>
      <c r="AB105" s="878" t="str">
        <f t="array" ref="AB105">if(isblank(F105),"",xlookup(AJ105,z_Others!$M$5:$M$9,z_Others!$Q$5:$Q$9,"",0,1))</f>
        <v>直板、6.29 英寸彩屏、內存256G、GPRS、藍牙、前攝1100萬、後攝1200/5000萬</v>
      </c>
      <c r="AC105" s="900" t="str">
        <f t="shared" si="11"/>
        <v>中國</v>
      </c>
      <c r="AD105" s="894" t="str">
        <f t="array" ref="AD105">if(isblank(F105),"",xlookup(G105,z_Others!$B$5:$B$14,z_Others!$H$5:$H$14,"",0,1))</f>
        <v>附件07 (FATP手機)</v>
      </c>
      <c r="AE105" s="901" t="str">
        <f t="shared" si="12"/>
        <v>Foxconn</v>
      </c>
      <c r="AF105" s="791">
        <v>45783.0</v>
      </c>
      <c r="AG105" s="791">
        <f t="shared" si="17"/>
        <v>45859</v>
      </c>
      <c r="AH105" s="902">
        <v>45803.0</v>
      </c>
      <c r="AI105" s="787">
        <v>45803.0</v>
      </c>
      <c r="AJ105" s="677" t="str">
        <f t="array" ref="AJ105">if(isblank(F105),"",xlookup(F105,'FL5_POR_包裝對照表 (Mapping Table)'!E:E,'FL5_POR_包裝對照表 (Mapping Table)'!AS:AS,"",0,1))</f>
        <v>256GB</v>
      </c>
      <c r="AK105" s="677" t="str">
        <f t="array" ref="AK105">if(isblank(F105),"",xlookup(F105,'FL5_POR_包裝對照表 (Mapping Table)'!E:E,'FL5_POR_包裝對照表 (Mapping Table)'!K:K,"",0,1))</f>
        <v>PPL</v>
      </c>
      <c r="AL105" s="677">
        <v>3172.0</v>
      </c>
      <c r="AM105" s="811"/>
      <c r="AN105" s="888" t="str">
        <f t="array" ref="AN105">xlookup(F105,'FL5_POR_包裝對照表 (Mapping Table)'!E:E,'FL5_POR_包裝對照表 (Mapping Table)'!BM:BM,"",0,1)</f>
        <v>No demand</v>
      </c>
      <c r="AO105" s="813"/>
      <c r="AP105" s="813"/>
    </row>
    <row r="106" ht="25.5" customHeight="1">
      <c r="A106" s="889"/>
      <c r="B106" s="877">
        <v>100.0</v>
      </c>
      <c r="C106" s="891" t="str">
        <f>if(isblank(F106),"",'FL5_POR_包裝對照表 (Mapping Table)'!$E$4)</f>
        <v>GFL (FL5)</v>
      </c>
      <c r="D106" s="878" t="str">
        <f t="array" ref="D106">if(isblank(F106),"",xlookup(F106,'FL5_POR_包裝對照表 (Mapping Table)'!E:E,'FL5_POR_包裝對照表 (Mapping Table)'!AZ:AZ,"",0,1))</f>
        <v>MP</v>
      </c>
      <c r="E106" s="677" t="str">
        <f t="shared" si="2"/>
        <v>Close</v>
      </c>
      <c r="F106" s="879" t="s">
        <v>921</v>
      </c>
      <c r="G106" s="892" t="str">
        <f t="array" ref="G106">if(isblank(F106),"",xlookup(F106,'FL5_POR_包裝對照表 (Mapping Table)'!E:E,'FL5_POR_包裝對照表 (Mapping Table)'!D:D,"",0,1))</f>
        <v>Bulk Pack</v>
      </c>
      <c r="H106" s="893" t="str">
        <f t="array" ref="H106">if(isblank(F106),"",xlookup(F106,'FL5_POR_包裝對照表 (Mapping Table)'!E:E,'FL5_POR_包裝對照表 (Mapping Table)'!E:E,"",0,1))</f>
        <v>CLNRGA10554</v>
      </c>
      <c r="I106" s="677" t="str">
        <f t="array" ref="I106">if(isblank(F106),"",xlookup(F106,'FL5_POR_包裝對照表 (Mapping Table)'!E:E,'FL5_POR_包裝對照表 (Mapping Table)'!AN:AN,"",0,1))</f>
        <v>G950-15935-16</v>
      </c>
      <c r="J106" s="894" t="str">
        <f t="array" ref="J106">if(isblank(F106),"",xlookup(G106,z_Others!$B$5:$B$17,z_Others!$C$5:$C$17,"",0,1))</f>
        <v>智能手機</v>
      </c>
      <c r="K106" s="894" t="str">
        <f t="array" ref="K106">if(isblank(F106),"",xlookup(G106,z_Others!$B$5:$B$17,z_Others!$E$5:$E$17,"",0,1))</f>
        <v>智能手機</v>
      </c>
      <c r="L106" s="894" t="str">
        <f t="array" ref="L106">if(isblank(F106),"",xlookup(G106,z_Others!$B$5:$B$17,z_Others!$F$5:$F$17,"",0,1))</f>
        <v>智能手機</v>
      </c>
      <c r="M106" s="894" t="str">
        <f t="shared" si="3"/>
        <v>Google</v>
      </c>
      <c r="N106" s="894" t="str">
        <f t="shared" si="4"/>
        <v>境外品牌（貼牌生產)</v>
      </c>
      <c r="O106" s="882" t="str">
        <f t="array" ref="O106">if(isblank(F106),"",xlookup(F106,'FL5_POR_包裝對照表 (Mapping Table)'!E:E,'FL5_POR_包裝對照表 (Mapping Table)'!L:L,"",0,1))</f>
        <v>GK2MP
</v>
      </c>
      <c r="P106" s="895">
        <f t="array" ref="P106">if(isblank(F106),"",xlookup(G106,z_Others!$B$5:$B$17,z_Others!$J$5:$J$17,"",0,1))</f>
        <v>0.2029</v>
      </c>
      <c r="Q106" s="896">
        <f t="array" ref="Q106">if(isblank(F106),"",xlookup(F106,'FL5_POR_核價 (經管 &amp; BPM)'!E:E,'FL5_POR_核價 (經管 &amp; BPM)'!O:O,"",0,1))</f>
        <v>434.57</v>
      </c>
      <c r="R106" s="894" t="str">
        <f t="shared" si="5"/>
        <v>否</v>
      </c>
      <c r="S106" s="897" t="str">
        <f t="array" ref="S106">if(isblank(F106),"",xlookup(G106,z_Others!$B$5:$B$17,z_Others!$K$5:$K$17,"",0,1))</f>
        <v>無附件</v>
      </c>
      <c r="T106" s="894" t="str">
        <f t="shared" si="6"/>
        <v>開發手機中框組件模型(適用于Google 牌手機)</v>
      </c>
      <c r="U106" s="898" t="str">
        <f t="array" ref="U106">if(isblank(F106),"",xlookup(G106,z_Others!$B$5:$B$17,z_Others!$G$5:$G$17,"",0,1))</f>
        <v>無線通話用</v>
      </c>
      <c r="V106" s="231" t="str">
        <f t="array" ref="V106">if(isblank(F106),"",xlookup(F106,'FL5_POR_包裝對照表 (Mapping Table)'!E:E,'FL5_POR_包裝對照表 (Mapping Table)'!AB:AB,"",0,1))</f>
        <v>SKU, CLR3, BETTER, SUB6, UK/EU, FL5, FRU</v>
      </c>
      <c r="W106" s="899" t="str">
        <f t="array" ref="W106">if(isblank(F106),"",xlookup(G106,z_Others!$B$5:$B$17,z_Others!$I$5:$I$17,"",0,1))</f>
        <v>152.83 x 71.98 x 12.01</v>
      </c>
      <c r="X106" s="894" t="str">
        <f t="shared" si="7"/>
        <v>Google</v>
      </c>
      <c r="Y106" s="894" t="str">
        <f t="shared" si="8"/>
        <v>Tensor series</v>
      </c>
      <c r="Z106" s="900" t="str">
        <f t="shared" si="9"/>
        <v>蜂窩網絡</v>
      </c>
      <c r="AA106" s="900" t="str">
        <f t="shared" si="10"/>
        <v>WCDMA&amp;GSM&amp;LTE&amp;5G制式</v>
      </c>
      <c r="AB106" s="878" t="str">
        <f t="array" ref="AB106">if(isblank(F106),"",xlookup(AJ106,z_Others!$M$5:$M$9,z_Others!$Q$5:$Q$9,"",0,1))</f>
        <v>直板、6.29 英寸彩屏、內存256G、GPRS、藍牙、前攝1100萬、後攝1200/5000萬</v>
      </c>
      <c r="AC106" s="900" t="str">
        <f t="shared" si="11"/>
        <v>中國</v>
      </c>
      <c r="AD106" s="894" t="str">
        <f t="array" ref="AD106">if(isblank(F106),"",xlookup(G106,z_Others!$B$5:$B$14,z_Others!$H$5:$H$14,"",0,1))</f>
        <v>附件07 (FATP手機)</v>
      </c>
      <c r="AE106" s="901" t="str">
        <f t="shared" si="12"/>
        <v>Foxconn</v>
      </c>
      <c r="AF106" s="791">
        <v>45783.0</v>
      </c>
      <c r="AG106" s="791">
        <f t="shared" si="17"/>
        <v>45859</v>
      </c>
      <c r="AH106" s="902">
        <v>45803.0</v>
      </c>
      <c r="AI106" s="787">
        <v>45803.0</v>
      </c>
      <c r="AJ106" s="677" t="str">
        <f t="array" ref="AJ106">if(isblank(F106),"",xlookup(F106,'FL5_POR_包裝對照表 (Mapping Table)'!E:E,'FL5_POR_包裝對照表 (Mapping Table)'!AS:AS,"",0,1))</f>
        <v>256GB</v>
      </c>
      <c r="AK106" s="677" t="str">
        <f t="array" ref="AK106">if(isblank(F106),"",xlookup(F106,'FL5_POR_包裝對照表 (Mapping Table)'!E:E,'FL5_POR_包裝對照表 (Mapping Table)'!K:K,"",0,1))</f>
        <v>YEL</v>
      </c>
      <c r="AL106" s="677">
        <v>3171.0</v>
      </c>
      <c r="AM106" s="811"/>
      <c r="AN106" s="888" t="str">
        <f t="array" ref="AN106">xlookup(F106,'FL5_POR_包裝對照表 (Mapping Table)'!E:E,'FL5_POR_包裝對照表 (Mapping Table)'!BM:BM,"",0,1)</f>
        <v>No demand</v>
      </c>
      <c r="AO106" s="813"/>
      <c r="AP106" s="813"/>
    </row>
    <row r="107" ht="25.5" customHeight="1">
      <c r="A107" s="889"/>
      <c r="B107" s="877">
        <v>101.0</v>
      </c>
      <c r="C107" s="891" t="str">
        <f>if(isblank(F107),"",'FL5_POR_包裝對照表 (Mapping Table)'!$E$4)</f>
        <v>GFL (FL5)</v>
      </c>
      <c r="D107" s="878" t="str">
        <f t="array" ref="D107">if(isblank(F107),"",xlookup(F107,'FL5_POR_包裝對照表 (Mapping Table)'!E:E,'FL5_POR_包裝對照表 (Mapping Table)'!AZ:AZ,"",0,1))</f>
        <v>MP</v>
      </c>
      <c r="E107" s="677" t="str">
        <f t="shared" si="2"/>
        <v>Close</v>
      </c>
      <c r="F107" s="879" t="s">
        <v>926</v>
      </c>
      <c r="G107" s="892" t="str">
        <f t="array" ref="G107">if(isblank(F107),"",xlookup(F107,'FL5_POR_包裝對照表 (Mapping Table)'!E:E,'FL5_POR_包裝對照表 (Mapping Table)'!D:D,"",0,1))</f>
        <v>Bulk Pack</v>
      </c>
      <c r="H107" s="893" t="str">
        <f t="array" ref="H107">if(isblank(F107),"",xlookup(F107,'FL5_POR_包裝對照表 (Mapping Table)'!E:E,'FL5_POR_包裝對照表 (Mapping Table)'!E:E,"",0,1))</f>
        <v>CLNRGA10555</v>
      </c>
      <c r="I107" s="677" t="str">
        <f t="array" ref="I107">if(isblank(F107),"",xlookup(F107,'FL5_POR_包裝對照表 (Mapping Table)'!E:E,'FL5_POR_包裝對照表 (Mapping Table)'!AN:AN,"",0,1))</f>
        <v>G950-15935-17</v>
      </c>
      <c r="J107" s="894" t="str">
        <f t="array" ref="J107">if(isblank(F107),"",xlookup(G107,z_Others!$B$5:$B$17,z_Others!$C$5:$C$17,"",0,1))</f>
        <v>智能手機</v>
      </c>
      <c r="K107" s="894" t="str">
        <f t="array" ref="K107">if(isblank(F107),"",xlookup(G107,z_Others!$B$5:$B$17,z_Others!$E$5:$E$17,"",0,1))</f>
        <v>智能手機</v>
      </c>
      <c r="L107" s="894" t="str">
        <f t="array" ref="L107">if(isblank(F107),"",xlookup(G107,z_Others!$B$5:$B$17,z_Others!$F$5:$F$17,"",0,1))</f>
        <v>智能手機</v>
      </c>
      <c r="M107" s="894" t="str">
        <f t="shared" si="3"/>
        <v>Google</v>
      </c>
      <c r="N107" s="894" t="str">
        <f t="shared" si="4"/>
        <v>境外品牌（貼牌生產)</v>
      </c>
      <c r="O107" s="882" t="str">
        <f t="array" ref="O107">if(isblank(F107),"",xlookup(F107,'FL5_POR_包裝對照表 (Mapping Table)'!E:E,'FL5_POR_包裝對照表 (Mapping Table)'!L:L,"",0,1))</f>
        <v>GK2MP
</v>
      </c>
      <c r="P107" s="895">
        <f t="array" ref="P107">if(isblank(F107),"",xlookup(G107,z_Others!$B$5:$B$17,z_Others!$J$5:$J$17,"",0,1))</f>
        <v>0.2029</v>
      </c>
      <c r="Q107" s="896">
        <f t="array" ref="Q107">if(isblank(F107),"",xlookup(F107,'FL5_POR_核價 (經管 &amp; BPM)'!E:E,'FL5_POR_核價 (經管 &amp; BPM)'!O:O,"",0,1))</f>
        <v>434.57</v>
      </c>
      <c r="R107" s="894" t="str">
        <f t="shared" si="5"/>
        <v>否</v>
      </c>
      <c r="S107" s="897" t="str">
        <f t="array" ref="S107">if(isblank(F107),"",xlookup(G107,z_Others!$B$5:$B$17,z_Others!$K$5:$K$17,"",0,1))</f>
        <v>無附件</v>
      </c>
      <c r="T107" s="894" t="str">
        <f t="shared" si="6"/>
        <v>開發手機中框組件模型(適用于Google 牌手機)</v>
      </c>
      <c r="U107" s="898" t="str">
        <f t="array" ref="U107">if(isblank(F107),"",xlookup(G107,z_Others!$B$5:$B$17,z_Others!$G$5:$G$17,"",0,1))</f>
        <v>無線通話用</v>
      </c>
      <c r="V107" s="231" t="str">
        <f t="array" ref="V107">if(isblank(F107),"",xlookup(F107,'FL5_POR_包裝對照表 (Mapping Table)'!E:E,'FL5_POR_包裝對照表 (Mapping Table)'!AB:AB,"",0,1))</f>
        <v>SKU, CLR4, BETTER, SUB6, UK/EU, FL5, FRU</v>
      </c>
      <c r="W107" s="899" t="str">
        <f t="array" ref="W107">if(isblank(F107),"",xlookup(G107,z_Others!$B$5:$B$17,z_Others!$I$5:$I$17,"",0,1))</f>
        <v>152.83 x 71.98 x 12.01</v>
      </c>
      <c r="X107" s="894" t="str">
        <f t="shared" si="7"/>
        <v>Google</v>
      </c>
      <c r="Y107" s="894" t="str">
        <f t="shared" si="8"/>
        <v>Tensor series</v>
      </c>
      <c r="Z107" s="900" t="str">
        <f t="shared" si="9"/>
        <v>蜂窩網絡</v>
      </c>
      <c r="AA107" s="900" t="str">
        <f t="shared" si="10"/>
        <v>WCDMA&amp;GSM&amp;LTE&amp;5G制式</v>
      </c>
      <c r="AB107" s="878" t="str">
        <f t="array" ref="AB107">if(isblank(F107),"",xlookup(AJ107,z_Others!$M$5:$M$9,z_Others!$Q$5:$Q$9,"",0,1))</f>
        <v>直板、6.29 英寸彩屏、內存256G、GPRS、藍牙、前攝1100萬、後攝1200/5000萬</v>
      </c>
      <c r="AC107" s="900" t="str">
        <f t="shared" si="11"/>
        <v>中國</v>
      </c>
      <c r="AD107" s="894" t="str">
        <f t="array" ref="AD107">if(isblank(F107),"",xlookup(G107,z_Others!$B$5:$B$14,z_Others!$H$5:$H$14,"",0,1))</f>
        <v>附件07 (FATP手機)</v>
      </c>
      <c r="AE107" s="901" t="str">
        <f t="shared" si="12"/>
        <v>Foxconn</v>
      </c>
      <c r="AF107" s="791">
        <v>45783.0</v>
      </c>
      <c r="AG107" s="791">
        <f t="shared" si="17"/>
        <v>45859</v>
      </c>
      <c r="AH107" s="902">
        <v>45803.0</v>
      </c>
      <c r="AI107" s="787">
        <v>45803.0</v>
      </c>
      <c r="AJ107" s="677" t="str">
        <f t="array" ref="AJ107">if(isblank(F107),"",xlookup(F107,'FL5_POR_包裝對照表 (Mapping Table)'!E:E,'FL5_POR_包裝對照表 (Mapping Table)'!AS:AS,"",0,1))</f>
        <v>256GB</v>
      </c>
      <c r="AK107" s="677" t="str">
        <f t="array" ref="AK107">if(isblank(F107),"",xlookup(F107,'FL5_POR_包裝對照表 (Mapping Table)'!E:E,'FL5_POR_包裝對照表 (Mapping Table)'!K:K,"",0,1))</f>
        <v>BUE</v>
      </c>
      <c r="AL107" s="677">
        <v>3170.0</v>
      </c>
      <c r="AM107" s="811"/>
      <c r="AN107" s="888" t="str">
        <f t="array" ref="AN107">xlookup(F107,'FL5_POR_包裝對照表 (Mapping Table)'!E:E,'FL5_POR_包裝對照表 (Mapping Table)'!BM:BM,"",0,1)</f>
        <v>No demand</v>
      </c>
      <c r="AO107" s="813"/>
      <c r="AP107" s="813"/>
    </row>
    <row r="108" ht="25.5" customHeight="1">
      <c r="A108" s="889"/>
      <c r="B108" s="877">
        <v>102.0</v>
      </c>
      <c r="C108" s="891" t="str">
        <f>if(isblank(F108),"",'FL5_POR_包裝對照表 (Mapping Table)'!$E$4)</f>
        <v>GFL (FL5)</v>
      </c>
      <c r="D108" s="878" t="str">
        <f t="array" ref="D108">if(isblank(F108),"",xlookup(F108,'FL5_POR_包裝對照表 (Mapping Table)'!E:E,'FL5_POR_包裝對照表 (Mapping Table)'!AZ:AZ,"",0,1))</f>
        <v>MP</v>
      </c>
      <c r="E108" s="677" t="str">
        <f t="shared" si="2"/>
        <v>Close</v>
      </c>
      <c r="F108" s="879" t="s">
        <v>765</v>
      </c>
      <c r="G108" s="892" t="str">
        <f t="array" ref="G108">if(isblank(F108),"",xlookup(F108,'FL5_POR_包裝對照表 (Mapping Table)'!E:E,'FL5_POR_包裝對照表 (Mapping Table)'!D:D,"",0,1))</f>
        <v>Bulk Pack</v>
      </c>
      <c r="H108" s="893" t="str">
        <f t="array" ref="H108">if(isblank(F108),"",xlookup(F108,'FL5_POR_包裝對照表 (Mapping Table)'!E:E,'FL5_POR_包裝對照表 (Mapping Table)'!E:E,"",0,1))</f>
        <v>CLNRGOGA09425</v>
      </c>
      <c r="I108" s="677" t="str">
        <f t="array" ref="I108">if(isblank(F108),"",xlookup(F108,'FL5_POR_包裝對照表 (Mapping Table)'!E:E,'FL5_POR_包裝對照表 (Mapping Table)'!AN:AN,"",0,1))</f>
        <v>G950-15935-00</v>
      </c>
      <c r="J108" s="894" t="str">
        <f t="array" ref="J108">if(isblank(F108),"",xlookup(G108,z_Others!$B$5:$B$17,z_Others!$C$5:$C$17,"",0,1))</f>
        <v>智能手機</v>
      </c>
      <c r="K108" s="894" t="str">
        <f t="array" ref="K108">if(isblank(F108),"",xlookup(G108,z_Others!$B$5:$B$17,z_Others!$E$5:$E$17,"",0,1))</f>
        <v>智能手機</v>
      </c>
      <c r="L108" s="894" t="str">
        <f t="array" ref="L108">if(isblank(F108),"",xlookup(G108,z_Others!$B$5:$B$17,z_Others!$F$5:$F$17,"",0,1))</f>
        <v>智能手機</v>
      </c>
      <c r="M108" s="894" t="str">
        <f t="shared" si="3"/>
        <v>Google</v>
      </c>
      <c r="N108" s="894" t="str">
        <f t="shared" si="4"/>
        <v>境外品牌（貼牌生產)</v>
      </c>
      <c r="O108" s="882" t="str">
        <f t="array" ref="O108">if(isblank(F108),"",xlookup(F108,'FL5_POR_包裝對照表 (Mapping Table)'!E:E,'FL5_POR_包裝對照表 (Mapping Table)'!L:L,"",0,1))</f>
        <v>GLBW0</v>
      </c>
      <c r="P108" s="895">
        <f t="array" ref="P108">if(isblank(F108),"",xlookup(G108,z_Others!$B$5:$B$17,z_Others!$J$5:$J$17,"",0,1))</f>
        <v>0.2029</v>
      </c>
      <c r="Q108" s="896">
        <f t="array" ref="Q108">if(isblank(F108),"",xlookup(F108,'FL5_POR_核價 (經管 &amp; BPM)'!E:E,'FL5_POR_核價 (經管 &amp; BPM)'!O:O,"",0,1))</f>
        <v>445.42</v>
      </c>
      <c r="R108" s="894" t="str">
        <f t="shared" si="5"/>
        <v>否</v>
      </c>
      <c r="S108" s="897" t="str">
        <f t="array" ref="S108">if(isblank(F108),"",xlookup(G108,z_Others!$B$5:$B$17,z_Others!$K$5:$K$17,"",0,1))</f>
        <v>無附件</v>
      </c>
      <c r="T108" s="894" t="str">
        <f t="shared" si="6"/>
        <v>開發手機中框組件模型(適用于Google 牌手機)</v>
      </c>
      <c r="U108" s="898" t="str">
        <f t="array" ref="U108">if(isblank(F108),"",xlookup(G108,z_Others!$B$5:$B$17,z_Others!$G$5:$G$17,"",0,1))</f>
        <v>無線通話用</v>
      </c>
      <c r="V108" s="231" t="str">
        <f t="array" ref="V108">if(isblank(F108),"",xlookup(F108,'FL5_POR_包裝對照表 (Mapping Table)'!E:E,'FL5_POR_包裝對照表 (Mapping Table)'!AB:AB,"",0,1))</f>
        <v>SKU, CLR1, GOOD, MMWAVE, VZW, FL5, FRU</v>
      </c>
      <c r="W108" s="899" t="str">
        <f t="array" ref="W108">if(isblank(F108),"",xlookup(G108,z_Others!$B$5:$B$17,z_Others!$I$5:$I$17,"",0,1))</f>
        <v>152.83 x 71.98 x 12.01</v>
      </c>
      <c r="X108" s="894" t="str">
        <f t="shared" si="7"/>
        <v>Google</v>
      </c>
      <c r="Y108" s="894" t="str">
        <f t="shared" si="8"/>
        <v>Tensor series</v>
      </c>
      <c r="Z108" s="900" t="str">
        <f t="shared" si="9"/>
        <v>蜂窩網絡</v>
      </c>
      <c r="AA108" s="900" t="str">
        <f t="shared" si="10"/>
        <v>WCDMA&amp;GSM&amp;LTE&amp;5G制式</v>
      </c>
      <c r="AB108" s="878" t="str">
        <f t="array" ref="AB108">if(isblank(F108),"",xlookup(AJ108,z_Others!$M$5:$M$9,z_Others!$Q$5:$Q$9,"",0,1))</f>
        <v>直板、6.29 英寸彩屏、內存128G、GPRS、藍牙、前攝1100萬、後攝1200/5000萬</v>
      </c>
      <c r="AC108" s="900" t="str">
        <f t="shared" si="11"/>
        <v>中國</v>
      </c>
      <c r="AD108" s="894" t="str">
        <f t="array" ref="AD108">if(isblank(F108),"",xlookup(G108,z_Others!$B$5:$B$14,z_Others!$H$5:$H$14,"",0,1))</f>
        <v>附件07 (FATP手機)</v>
      </c>
      <c r="AE108" s="901" t="str">
        <f t="shared" si="12"/>
        <v>Foxconn</v>
      </c>
      <c r="AF108" s="791">
        <v>45783.0</v>
      </c>
      <c r="AG108" s="791">
        <f t="shared" si="17"/>
        <v>45859</v>
      </c>
      <c r="AH108" s="902">
        <v>45803.0</v>
      </c>
      <c r="AI108" s="787">
        <v>45803.0</v>
      </c>
      <c r="AJ108" s="677" t="str">
        <f t="array" ref="AJ108">if(isblank(F108),"",xlookup(F108,'FL5_POR_包裝對照表 (Mapping Table)'!E:E,'FL5_POR_包裝對照表 (Mapping Table)'!AS:AS,"",0,1))</f>
        <v>128GB</v>
      </c>
      <c r="AK108" s="677" t="str">
        <f t="array" ref="AK108">if(isblank(F108),"",xlookup(F108,'FL5_POR_包裝對照表 (Mapping Table)'!E:E,'FL5_POR_包裝對照表 (Mapping Table)'!K:K,"",0,1))</f>
        <v>BLK</v>
      </c>
      <c r="AL108" s="677">
        <v>3169.0</v>
      </c>
      <c r="AM108" s="811"/>
      <c r="AN108" s="888" t="str">
        <f t="array" ref="AN108">xlookup(F108,'FL5_POR_包裝對照表 (Mapping Table)'!E:E,'FL5_POR_包裝對照表 (Mapping Table)'!BM:BM,"",0,1)</f>
        <v>No demand</v>
      </c>
      <c r="AO108" s="813"/>
      <c r="AP108" s="813"/>
    </row>
    <row r="109" ht="25.5" customHeight="1">
      <c r="A109" s="889"/>
      <c r="B109" s="877">
        <v>103.0</v>
      </c>
      <c r="C109" s="891" t="str">
        <f>if(isblank(F109),"",'FL5_POR_包裝對照表 (Mapping Table)'!$E$4)</f>
        <v>GFL (FL5)</v>
      </c>
      <c r="D109" s="878" t="str">
        <f t="array" ref="D109">if(isblank(F109),"",xlookup(F109,'FL5_POR_包裝對照表 (Mapping Table)'!E:E,'FL5_POR_包裝對照表 (Mapping Table)'!AZ:AZ,"",0,1))</f>
        <v>MP</v>
      </c>
      <c r="E109" s="677" t="str">
        <f t="shared" si="2"/>
        <v>Close</v>
      </c>
      <c r="F109" s="879" t="s">
        <v>857</v>
      </c>
      <c r="G109" s="892" t="str">
        <f t="array" ref="G109">if(isblank(F109),"",xlookup(F109,'FL5_POR_包裝對照表 (Mapping Table)'!E:E,'FL5_POR_包裝對照表 (Mapping Table)'!D:D,"",0,1))</f>
        <v>Bulk Pack</v>
      </c>
      <c r="H109" s="893" t="str">
        <f t="array" ref="H109">if(isblank(F109),"",xlookup(F109,'FL5_POR_包裝對照表 (Mapping Table)'!E:E,'FL5_POR_包裝對照表 (Mapping Table)'!E:E,"",0,1))</f>
        <v>CLNRGOGA09880</v>
      </c>
      <c r="I109" s="677" t="str">
        <f t="array" ref="I109">if(isblank(F109),"",xlookup(F109,'FL5_POR_包裝對照表 (Mapping Table)'!E:E,'FL5_POR_包裝對照表 (Mapping Table)'!AN:AN,"",0,1))</f>
        <v>G950-15935-04</v>
      </c>
      <c r="J109" s="894" t="str">
        <f t="array" ref="J109">if(isblank(F109),"",xlookup(G109,z_Others!$B$5:$B$17,z_Others!$C$5:$C$17,"",0,1))</f>
        <v>智能手機</v>
      </c>
      <c r="K109" s="894" t="str">
        <f t="array" ref="K109">if(isblank(F109),"",xlookup(G109,z_Others!$B$5:$B$17,z_Others!$E$5:$E$17,"",0,1))</f>
        <v>智能手機</v>
      </c>
      <c r="L109" s="894" t="str">
        <f t="array" ref="L109">if(isblank(F109),"",xlookup(G109,z_Others!$B$5:$B$17,z_Others!$F$5:$F$17,"",0,1))</f>
        <v>智能手機</v>
      </c>
      <c r="M109" s="894" t="str">
        <f t="shared" si="3"/>
        <v>Google</v>
      </c>
      <c r="N109" s="894" t="str">
        <f t="shared" si="4"/>
        <v>境外品牌（貼牌生產)</v>
      </c>
      <c r="O109" s="882" t="str">
        <f t="array" ref="O109">if(isblank(F109),"",xlookup(F109,'FL5_POR_包裝對照表 (Mapping Table)'!E:E,'FL5_POR_包裝對照表 (Mapping Table)'!L:L,"",0,1))</f>
        <v>GLBW0</v>
      </c>
      <c r="P109" s="895">
        <f t="array" ref="P109">if(isblank(F109),"",xlookup(G109,z_Others!$B$5:$B$17,z_Others!$J$5:$J$17,"",0,1))</f>
        <v>0.2029</v>
      </c>
      <c r="Q109" s="896">
        <f t="array" ref="Q109">if(isblank(F109),"",xlookup(F109,'FL5_POR_核價 (經管 &amp; BPM)'!E:E,'FL5_POR_核價 (經管 &amp; BPM)'!O:O,"",0,1))</f>
        <v>451.42</v>
      </c>
      <c r="R109" s="894" t="str">
        <f t="shared" si="5"/>
        <v>否</v>
      </c>
      <c r="S109" s="897" t="str">
        <f t="array" ref="S109">if(isblank(F109),"",xlookup(G109,z_Others!$B$5:$B$17,z_Others!$K$5:$K$17,"",0,1))</f>
        <v>無附件</v>
      </c>
      <c r="T109" s="894" t="str">
        <f t="shared" si="6"/>
        <v>開發手機中框組件模型(適用于Google 牌手機)</v>
      </c>
      <c r="U109" s="898" t="str">
        <f t="array" ref="U109">if(isblank(F109),"",xlookup(G109,z_Others!$B$5:$B$17,z_Others!$G$5:$G$17,"",0,1))</f>
        <v>無線通話用</v>
      </c>
      <c r="V109" s="231" t="str">
        <f t="array" ref="V109">if(isblank(F109),"",xlookup(F109,'FL5_POR_包裝對照表 (Mapping Table)'!E:E,'FL5_POR_包裝對照表 (Mapping Table)'!AB:AB,"",0,1))</f>
        <v>SKU, CLR1, BETTER, MMWAVE, VZW, FL5, FRU</v>
      </c>
      <c r="W109" s="899" t="str">
        <f t="array" ref="W109">if(isblank(F109),"",xlookup(G109,z_Others!$B$5:$B$17,z_Others!$I$5:$I$17,"",0,1))</f>
        <v>152.83 x 71.98 x 12.01</v>
      </c>
      <c r="X109" s="894" t="str">
        <f t="shared" si="7"/>
        <v>Google</v>
      </c>
      <c r="Y109" s="894" t="str">
        <f t="shared" si="8"/>
        <v>Tensor series</v>
      </c>
      <c r="Z109" s="900" t="str">
        <f t="shared" si="9"/>
        <v>蜂窩網絡</v>
      </c>
      <c r="AA109" s="900" t="str">
        <f t="shared" si="10"/>
        <v>WCDMA&amp;GSM&amp;LTE&amp;5G制式</v>
      </c>
      <c r="AB109" s="878" t="str">
        <f t="array" ref="AB109">if(isblank(F109),"",xlookup(AJ109,z_Others!$M$5:$M$9,z_Others!$Q$5:$Q$9,"",0,1))</f>
        <v>直板、6.29 英寸彩屏、內存256G、GPRS、藍牙、前攝1100萬、後攝1200/5000萬</v>
      </c>
      <c r="AC109" s="900" t="str">
        <f t="shared" si="11"/>
        <v>中國</v>
      </c>
      <c r="AD109" s="894" t="str">
        <f t="array" ref="AD109">if(isblank(F109),"",xlookup(G109,z_Others!$B$5:$B$14,z_Others!$H$5:$H$14,"",0,1))</f>
        <v>附件07 (FATP手機)</v>
      </c>
      <c r="AE109" s="901" t="str">
        <f t="shared" si="12"/>
        <v>Foxconn</v>
      </c>
      <c r="AF109" s="791">
        <v>45783.0</v>
      </c>
      <c r="AG109" s="791">
        <f t="shared" si="17"/>
        <v>45859</v>
      </c>
      <c r="AH109" s="902">
        <v>45803.0</v>
      </c>
      <c r="AI109" s="787">
        <v>45803.0</v>
      </c>
      <c r="AJ109" s="677" t="str">
        <f t="array" ref="AJ109">if(isblank(F109),"",xlookup(F109,'FL5_POR_包裝對照表 (Mapping Table)'!E:E,'FL5_POR_包裝對照表 (Mapping Table)'!AS:AS,"",0,1))</f>
        <v>256GB</v>
      </c>
      <c r="AK109" s="677" t="str">
        <f t="array" ref="AK109">if(isblank(F109),"",xlookup(F109,'FL5_POR_包裝對照表 (Mapping Table)'!E:E,'FL5_POR_包裝對照表 (Mapping Table)'!K:K,"",0,1))</f>
        <v>BLK</v>
      </c>
      <c r="AL109" s="677">
        <v>3168.0</v>
      </c>
      <c r="AM109" s="811"/>
      <c r="AN109" s="888" t="str">
        <f t="array" ref="AN109">xlookup(F109,'FL5_POR_包裝對照表 (Mapping Table)'!E:E,'FL5_POR_包裝對照表 (Mapping Table)'!BM:BM,"",0,1)</f>
        <v>No demand</v>
      </c>
      <c r="AO109" s="813"/>
      <c r="AP109" s="813"/>
    </row>
    <row r="110" ht="25.5" customHeight="1">
      <c r="A110" s="889"/>
      <c r="B110" s="877">
        <v>104.0</v>
      </c>
      <c r="C110" s="891" t="str">
        <f>if(isblank(F110),"",'FL5_POR_包裝對照表 (Mapping Table)'!$E$4)</f>
        <v>GFL (FL5)</v>
      </c>
      <c r="D110" s="878" t="str">
        <f t="array" ref="D110">if(isblank(F110),"",xlookup(F110,'FL5_POR_包裝對照表 (Mapping Table)'!E:E,'FL5_POR_包裝對照表 (Mapping Table)'!AZ:AZ,"",0,1))</f>
        <v>MP</v>
      </c>
      <c r="E110" s="677" t="str">
        <f t="shared" si="2"/>
        <v>Close</v>
      </c>
      <c r="F110" s="879" t="s">
        <v>772</v>
      </c>
      <c r="G110" s="892" t="str">
        <f t="array" ref="G110">if(isblank(F110),"",xlookup(F110,'FL5_POR_包裝對照表 (Mapping Table)'!E:E,'FL5_POR_包裝對照表 (Mapping Table)'!D:D,"",0,1))</f>
        <v>Bulk Pack</v>
      </c>
      <c r="H110" s="893" t="str">
        <f t="array" ref="H110">if(isblank(F110),"",xlookup(F110,'FL5_POR_包裝對照表 (Mapping Table)'!E:E,'FL5_POR_包裝對照表 (Mapping Table)'!E:E,"",0,1))</f>
        <v>CLNRGOGA10238</v>
      </c>
      <c r="I110" s="677" t="str">
        <f t="array" ref="I110">if(isblank(F110),"",xlookup(F110,'FL5_POR_包裝對照表 (Mapping Table)'!E:E,'FL5_POR_包裝對照表 (Mapping Table)'!AN:AN,"",0,1))</f>
        <v>G950-15935-01</v>
      </c>
      <c r="J110" s="894" t="str">
        <f t="array" ref="J110">if(isblank(F110),"",xlookup(G110,z_Others!$B$5:$B$17,z_Others!$C$5:$C$17,"",0,1))</f>
        <v>智能手機</v>
      </c>
      <c r="K110" s="894" t="str">
        <f t="array" ref="K110">if(isblank(F110),"",xlookup(G110,z_Others!$B$5:$B$17,z_Others!$E$5:$E$17,"",0,1))</f>
        <v>智能手機</v>
      </c>
      <c r="L110" s="894" t="str">
        <f t="array" ref="L110">if(isblank(F110),"",xlookup(G110,z_Others!$B$5:$B$17,z_Others!$F$5:$F$17,"",0,1))</f>
        <v>智能手機</v>
      </c>
      <c r="M110" s="894" t="str">
        <f t="shared" si="3"/>
        <v>Google</v>
      </c>
      <c r="N110" s="894" t="str">
        <f t="shared" si="4"/>
        <v>境外品牌（貼牌生產)</v>
      </c>
      <c r="O110" s="882" t="str">
        <f t="array" ref="O110">if(isblank(F110),"",xlookup(F110,'FL5_POR_包裝對照表 (Mapping Table)'!E:E,'FL5_POR_包裝對照表 (Mapping Table)'!L:L,"",0,1))</f>
        <v>GLBW0</v>
      </c>
      <c r="P110" s="895">
        <f t="array" ref="P110">if(isblank(F110),"",xlookup(G110,z_Others!$B$5:$B$17,z_Others!$J$5:$J$17,"",0,1))</f>
        <v>0.2029</v>
      </c>
      <c r="Q110" s="896">
        <f t="array" ref="Q110">if(isblank(F110),"",xlookup(F110,'FL5_POR_核價 (經管 &amp; BPM)'!E:E,'FL5_POR_核價 (經管 &amp; BPM)'!O:O,"",0,1))</f>
        <v>445.72</v>
      </c>
      <c r="R110" s="894" t="str">
        <f t="shared" si="5"/>
        <v>否</v>
      </c>
      <c r="S110" s="897" t="str">
        <f t="array" ref="S110">if(isblank(F110),"",xlookup(G110,z_Others!$B$5:$B$17,z_Others!$K$5:$K$17,"",0,1))</f>
        <v>無附件</v>
      </c>
      <c r="T110" s="894" t="str">
        <f t="shared" si="6"/>
        <v>開發手機中框組件模型(適用于Google 牌手機)</v>
      </c>
      <c r="U110" s="898" t="str">
        <f t="array" ref="U110">if(isblank(F110),"",xlookup(G110,z_Others!$B$5:$B$17,z_Others!$G$5:$G$17,"",0,1))</f>
        <v>無線通話用</v>
      </c>
      <c r="V110" s="231" t="str">
        <f t="array" ref="V110">if(isblank(F110),"",xlookup(F110,'FL5_POR_包裝對照表 (Mapping Table)'!E:E,'FL5_POR_包裝對照表 (Mapping Table)'!AB:AB,"",0,1))</f>
        <v>SKU, CLR2, GOOD, MMWAVE, VZW, FL5, FRU</v>
      </c>
      <c r="W110" s="899" t="str">
        <f t="array" ref="W110">if(isblank(F110),"",xlookup(G110,z_Others!$B$5:$B$17,z_Others!$I$5:$I$17,"",0,1))</f>
        <v>152.83 x 71.98 x 12.01</v>
      </c>
      <c r="X110" s="894" t="str">
        <f t="shared" si="7"/>
        <v>Google</v>
      </c>
      <c r="Y110" s="894" t="str">
        <f t="shared" si="8"/>
        <v>Tensor series</v>
      </c>
      <c r="Z110" s="900" t="str">
        <f t="shared" si="9"/>
        <v>蜂窩網絡</v>
      </c>
      <c r="AA110" s="900" t="str">
        <f t="shared" si="10"/>
        <v>WCDMA&amp;GSM&amp;LTE&amp;5G制式</v>
      </c>
      <c r="AB110" s="878" t="str">
        <f t="array" ref="AB110">if(isblank(F110),"",xlookup(AJ110,z_Others!$M$5:$M$9,z_Others!$Q$5:$Q$9,"",0,1))</f>
        <v>直板、6.29 英寸彩屏、內存128G、GPRS、藍牙、前攝1100萬、後攝1200/5000萬</v>
      </c>
      <c r="AC110" s="900" t="str">
        <f t="shared" si="11"/>
        <v>中國</v>
      </c>
      <c r="AD110" s="894" t="str">
        <f t="array" ref="AD110">if(isblank(F110),"",xlookup(G110,z_Others!$B$5:$B$14,z_Others!$H$5:$H$14,"",0,1))</f>
        <v>附件07 (FATP手機)</v>
      </c>
      <c r="AE110" s="901" t="str">
        <f t="shared" si="12"/>
        <v>Foxconn</v>
      </c>
      <c r="AF110" s="791">
        <v>45783.0</v>
      </c>
      <c r="AG110" s="791">
        <f t="shared" si="17"/>
        <v>45859</v>
      </c>
      <c r="AH110" s="902">
        <v>45803.0</v>
      </c>
      <c r="AI110" s="787">
        <v>45803.0</v>
      </c>
      <c r="AJ110" s="677" t="str">
        <f t="array" ref="AJ110">if(isblank(F110),"",xlookup(F110,'FL5_POR_包裝對照表 (Mapping Table)'!E:E,'FL5_POR_包裝對照表 (Mapping Table)'!AS:AS,"",0,1))</f>
        <v>128GB</v>
      </c>
      <c r="AK110" s="677" t="str">
        <f t="array" ref="AK110">if(isblank(F110),"",xlookup(F110,'FL5_POR_包裝對照表 (Mapping Table)'!E:E,'FL5_POR_包裝對照表 (Mapping Table)'!K:K,"",0,1))</f>
        <v>PPL</v>
      </c>
      <c r="AL110" s="677">
        <v>3167.0</v>
      </c>
      <c r="AM110" s="811"/>
      <c r="AN110" s="888" t="str">
        <f t="array" ref="AN110">xlookup(F110,'FL5_POR_包裝對照表 (Mapping Table)'!E:E,'FL5_POR_包裝對照表 (Mapping Table)'!BM:BM,"",0,1)</f>
        <v>No demand</v>
      </c>
      <c r="AO110" s="813"/>
      <c r="AP110" s="813"/>
    </row>
    <row r="111" ht="25.5" customHeight="1">
      <c r="A111" s="889"/>
      <c r="B111" s="877">
        <v>105.0</v>
      </c>
      <c r="C111" s="891" t="str">
        <f>if(isblank(F111),"",'FL5_POR_包裝對照表 (Mapping Table)'!$E$4)</f>
        <v>GFL (FL5)</v>
      </c>
      <c r="D111" s="878" t="str">
        <f t="array" ref="D111">if(isblank(F111),"",xlookup(F111,'FL5_POR_包裝對照表 (Mapping Table)'!E:E,'FL5_POR_包裝對照表 (Mapping Table)'!AZ:AZ,"",0,1))</f>
        <v>MP</v>
      </c>
      <c r="E111" s="677" t="str">
        <f t="shared" si="2"/>
        <v>Close</v>
      </c>
      <c r="F111" s="879" t="s">
        <v>777</v>
      </c>
      <c r="G111" s="892" t="str">
        <f t="array" ref="G111">if(isblank(F111),"",xlookup(F111,'FL5_POR_包裝對照表 (Mapping Table)'!E:E,'FL5_POR_包裝對照表 (Mapping Table)'!D:D,"",0,1))</f>
        <v>Bulk Pack</v>
      </c>
      <c r="H111" s="893" t="str">
        <f t="array" ref="H111">if(isblank(F111),"",xlookup(F111,'FL5_POR_包裝對照表 (Mapping Table)'!E:E,'FL5_POR_包裝對照表 (Mapping Table)'!E:E,"",0,1))</f>
        <v>CLNRGOGA10239</v>
      </c>
      <c r="I111" s="677" t="str">
        <f t="array" ref="I111">if(isblank(F111),"",xlookup(F111,'FL5_POR_包裝對照表 (Mapping Table)'!E:E,'FL5_POR_包裝對照表 (Mapping Table)'!AN:AN,"",0,1))</f>
        <v>G950-15935-02</v>
      </c>
      <c r="J111" s="894" t="str">
        <f t="array" ref="J111">if(isblank(F111),"",xlookup(G111,z_Others!$B$5:$B$17,z_Others!$C$5:$C$17,"",0,1))</f>
        <v>智能手機</v>
      </c>
      <c r="K111" s="894" t="str">
        <f t="array" ref="K111">if(isblank(F111),"",xlookup(G111,z_Others!$B$5:$B$17,z_Others!$E$5:$E$17,"",0,1))</f>
        <v>智能手機</v>
      </c>
      <c r="L111" s="894" t="str">
        <f t="array" ref="L111">if(isblank(F111),"",xlookup(G111,z_Others!$B$5:$B$17,z_Others!$F$5:$F$17,"",0,1))</f>
        <v>智能手機</v>
      </c>
      <c r="M111" s="894" t="str">
        <f t="shared" si="3"/>
        <v>Google</v>
      </c>
      <c r="N111" s="894" t="str">
        <f t="shared" si="4"/>
        <v>境外品牌（貼牌生產)</v>
      </c>
      <c r="O111" s="882" t="str">
        <f t="array" ref="O111">if(isblank(F111),"",xlookup(F111,'FL5_POR_包裝對照表 (Mapping Table)'!E:E,'FL5_POR_包裝對照表 (Mapping Table)'!L:L,"",0,1))</f>
        <v>GLBW0</v>
      </c>
      <c r="P111" s="895">
        <f t="array" ref="P111">if(isblank(F111),"",xlookup(G111,z_Others!$B$5:$B$17,z_Others!$J$5:$J$17,"",0,1))</f>
        <v>0.2029</v>
      </c>
      <c r="Q111" s="896">
        <f t="array" ref="Q111">if(isblank(F111),"",xlookup(F111,'FL5_POR_核價 (經管 &amp; BPM)'!E:E,'FL5_POR_核價 (經管 &amp; BPM)'!O:O,"",0,1))</f>
        <v>445.82</v>
      </c>
      <c r="R111" s="894" t="str">
        <f t="shared" si="5"/>
        <v>否</v>
      </c>
      <c r="S111" s="897" t="str">
        <f t="array" ref="S111">if(isblank(F111),"",xlookup(G111,z_Others!$B$5:$B$17,z_Others!$K$5:$K$17,"",0,1))</f>
        <v>無附件</v>
      </c>
      <c r="T111" s="894" t="str">
        <f t="shared" si="6"/>
        <v>開發手機中框組件模型(適用于Google 牌手機)</v>
      </c>
      <c r="U111" s="898" t="str">
        <f t="array" ref="U111">if(isblank(F111),"",xlookup(G111,z_Others!$B$5:$B$17,z_Others!$G$5:$G$17,"",0,1))</f>
        <v>無線通話用</v>
      </c>
      <c r="V111" s="231" t="str">
        <f t="array" ref="V111">if(isblank(F111),"",xlookup(F111,'FL5_POR_包裝對照表 (Mapping Table)'!E:E,'FL5_POR_包裝對照表 (Mapping Table)'!AB:AB,"",0,1))</f>
        <v>SKU, CLR3, GOOD, MMWAVE, VZW, FL5, FRU</v>
      </c>
      <c r="W111" s="899" t="str">
        <f t="array" ref="W111">if(isblank(F111),"",xlookup(G111,z_Others!$B$5:$B$17,z_Others!$I$5:$I$17,"",0,1))</f>
        <v>152.83 x 71.98 x 12.01</v>
      </c>
      <c r="X111" s="894" t="str">
        <f t="shared" si="7"/>
        <v>Google</v>
      </c>
      <c r="Y111" s="894" t="str">
        <f t="shared" si="8"/>
        <v>Tensor series</v>
      </c>
      <c r="Z111" s="900" t="str">
        <f t="shared" si="9"/>
        <v>蜂窩網絡</v>
      </c>
      <c r="AA111" s="900" t="str">
        <f t="shared" si="10"/>
        <v>WCDMA&amp;GSM&amp;LTE&amp;5G制式</v>
      </c>
      <c r="AB111" s="878" t="str">
        <f t="array" ref="AB111">if(isblank(F111),"",xlookup(AJ111,z_Others!$M$5:$M$9,z_Others!$Q$5:$Q$9,"",0,1))</f>
        <v>直板、6.29 英寸彩屏、內存128G、GPRS、藍牙、前攝1100萬、後攝1200/5000萬</v>
      </c>
      <c r="AC111" s="900" t="str">
        <f t="shared" si="11"/>
        <v>中國</v>
      </c>
      <c r="AD111" s="894" t="str">
        <f t="array" ref="AD111">if(isblank(F111),"",xlookup(G111,z_Others!$B$5:$B$14,z_Others!$H$5:$H$14,"",0,1))</f>
        <v>附件07 (FATP手機)</v>
      </c>
      <c r="AE111" s="901" t="str">
        <f t="shared" si="12"/>
        <v>Foxconn</v>
      </c>
      <c r="AF111" s="791">
        <v>45783.0</v>
      </c>
      <c r="AG111" s="791">
        <f t="shared" si="17"/>
        <v>45859</v>
      </c>
      <c r="AH111" s="902">
        <v>45838.0</v>
      </c>
      <c r="AI111" s="787">
        <v>45811.0</v>
      </c>
      <c r="AJ111" s="677" t="str">
        <f t="array" ref="AJ111">if(isblank(F111),"",xlookup(F111,'FL5_POR_包裝對照表 (Mapping Table)'!E:E,'FL5_POR_包裝對照表 (Mapping Table)'!AS:AS,"",0,1))</f>
        <v>128GB</v>
      </c>
      <c r="AK111" s="677" t="str">
        <f t="array" ref="AK111">if(isblank(F111),"",xlookup(F111,'FL5_POR_包裝對照表 (Mapping Table)'!E:E,'FL5_POR_包裝對照表 (Mapping Table)'!K:K,"",0,1))</f>
        <v>YEL</v>
      </c>
      <c r="AL111" s="677">
        <v>3337.0</v>
      </c>
      <c r="AM111" s="811"/>
      <c r="AN111" s="888" t="str">
        <f t="array" ref="AN111">xlookup(F111,'FL5_POR_包裝對照表 (Mapping Table)'!E:E,'FL5_POR_包裝對照表 (Mapping Table)'!BM:BM,"",0,1)</f>
        <v>No demand</v>
      </c>
      <c r="AO111" s="813"/>
      <c r="AP111" s="813"/>
    </row>
    <row r="112" ht="25.5" customHeight="1">
      <c r="A112" s="889"/>
      <c r="B112" s="877">
        <v>106.0</v>
      </c>
      <c r="C112" s="891" t="str">
        <f>if(isblank(F112),"",'FL5_POR_包裝對照表 (Mapping Table)'!$E$4)</f>
        <v>GFL (FL5)</v>
      </c>
      <c r="D112" s="878" t="str">
        <f t="array" ref="D112">if(isblank(F112),"",xlookup(F112,'FL5_POR_包裝對照表 (Mapping Table)'!E:E,'FL5_POR_包裝對照表 (Mapping Table)'!AZ:AZ,"",0,1))</f>
        <v>MP</v>
      </c>
      <c r="E112" s="677" t="str">
        <f t="shared" si="2"/>
        <v>Close</v>
      </c>
      <c r="F112" s="879" t="s">
        <v>782</v>
      </c>
      <c r="G112" s="892" t="str">
        <f t="array" ref="G112">if(isblank(F112),"",xlookup(F112,'FL5_POR_包裝對照表 (Mapping Table)'!E:E,'FL5_POR_包裝對照表 (Mapping Table)'!D:D,"",0,1))</f>
        <v>Bulk Pack</v>
      </c>
      <c r="H112" s="893" t="str">
        <f t="array" ref="H112">if(isblank(F112),"",xlookup(F112,'FL5_POR_包裝對照表 (Mapping Table)'!E:E,'FL5_POR_包裝對照表 (Mapping Table)'!E:E,"",0,1))</f>
        <v>CLNRGOGA10240</v>
      </c>
      <c r="I112" s="677" t="str">
        <f t="array" ref="I112">if(isblank(F112),"",xlookup(F112,'FL5_POR_包裝對照表 (Mapping Table)'!E:E,'FL5_POR_包裝對照表 (Mapping Table)'!AN:AN,"",0,1))</f>
        <v>G950-15935-03</v>
      </c>
      <c r="J112" s="894" t="str">
        <f t="array" ref="J112">if(isblank(F112),"",xlookup(G112,z_Others!$B$5:$B$17,z_Others!$C$5:$C$17,"",0,1))</f>
        <v>智能手機</v>
      </c>
      <c r="K112" s="894" t="str">
        <f t="array" ref="K112">if(isblank(F112),"",xlookup(G112,z_Others!$B$5:$B$17,z_Others!$E$5:$E$17,"",0,1))</f>
        <v>智能手機</v>
      </c>
      <c r="L112" s="894" t="str">
        <f t="array" ref="L112">if(isblank(F112),"",xlookup(G112,z_Others!$B$5:$B$17,z_Others!$F$5:$F$17,"",0,1))</f>
        <v>智能手機</v>
      </c>
      <c r="M112" s="894" t="str">
        <f t="shared" si="3"/>
        <v>Google</v>
      </c>
      <c r="N112" s="894" t="str">
        <f t="shared" si="4"/>
        <v>境外品牌（貼牌生產)</v>
      </c>
      <c r="O112" s="882" t="str">
        <f t="array" ref="O112">if(isblank(F112),"",xlookup(F112,'FL5_POR_包裝對照表 (Mapping Table)'!E:E,'FL5_POR_包裝對照表 (Mapping Table)'!L:L,"",0,1))</f>
        <v>GLBW0</v>
      </c>
      <c r="P112" s="895">
        <f t="array" ref="P112">if(isblank(F112),"",xlookup(G112,z_Others!$B$5:$B$17,z_Others!$J$5:$J$17,"",0,1))</f>
        <v>0.2029</v>
      </c>
      <c r="Q112" s="896">
        <f t="array" ref="Q112">if(isblank(F112),"",xlookup(F112,'FL5_POR_核價 (經管 &amp; BPM)'!E:E,'FL5_POR_核價 (經管 &amp; BPM)'!O:O,"",0,1))</f>
        <v>445.82</v>
      </c>
      <c r="R112" s="894" t="str">
        <f t="shared" si="5"/>
        <v>否</v>
      </c>
      <c r="S112" s="897" t="str">
        <f t="array" ref="S112">if(isblank(F112),"",xlookup(G112,z_Others!$B$5:$B$17,z_Others!$K$5:$K$17,"",0,1))</f>
        <v>無附件</v>
      </c>
      <c r="T112" s="894" t="str">
        <f t="shared" si="6"/>
        <v>開發手機中框組件模型(適用于Google 牌手機)</v>
      </c>
      <c r="U112" s="898" t="str">
        <f t="array" ref="U112">if(isblank(F112),"",xlookup(G112,z_Others!$B$5:$B$17,z_Others!$G$5:$G$17,"",0,1))</f>
        <v>無線通話用</v>
      </c>
      <c r="V112" s="231" t="str">
        <f t="array" ref="V112">if(isblank(F112),"",xlookup(F112,'FL5_POR_包裝對照表 (Mapping Table)'!E:E,'FL5_POR_包裝對照表 (Mapping Table)'!AB:AB,"",0,1))</f>
        <v>SKU, CLR4, GOOD, MMWAVE, VZW, FL5, FRU</v>
      </c>
      <c r="W112" s="899" t="str">
        <f t="array" ref="W112">if(isblank(F112),"",xlookup(G112,z_Others!$B$5:$B$17,z_Others!$I$5:$I$17,"",0,1))</f>
        <v>152.83 x 71.98 x 12.01</v>
      </c>
      <c r="X112" s="894" t="str">
        <f t="shared" si="7"/>
        <v>Google</v>
      </c>
      <c r="Y112" s="894" t="str">
        <f t="shared" si="8"/>
        <v>Tensor series</v>
      </c>
      <c r="Z112" s="900" t="str">
        <f t="shared" si="9"/>
        <v>蜂窩網絡</v>
      </c>
      <c r="AA112" s="900" t="str">
        <f t="shared" si="10"/>
        <v>WCDMA&amp;GSM&amp;LTE&amp;5G制式</v>
      </c>
      <c r="AB112" s="878" t="str">
        <f t="array" ref="AB112">if(isblank(F112),"",xlookup(AJ112,z_Others!$M$5:$M$9,z_Others!$Q$5:$Q$9,"",0,1))</f>
        <v>直板、6.29 英寸彩屏、內存128G、GPRS、藍牙、前攝1100萬、後攝1200/5000萬</v>
      </c>
      <c r="AC112" s="900" t="str">
        <f t="shared" si="11"/>
        <v>中國</v>
      </c>
      <c r="AD112" s="894" t="str">
        <f t="array" ref="AD112">if(isblank(F112),"",xlookup(G112,z_Others!$B$5:$B$14,z_Others!$H$5:$H$14,"",0,1))</f>
        <v>附件07 (FATP手機)</v>
      </c>
      <c r="AE112" s="901" t="str">
        <f t="shared" si="12"/>
        <v>Foxconn</v>
      </c>
      <c r="AF112" s="791">
        <v>45783.0</v>
      </c>
      <c r="AG112" s="791">
        <f t="shared" si="17"/>
        <v>45859</v>
      </c>
      <c r="AH112" s="902">
        <v>45810.0</v>
      </c>
      <c r="AI112" s="787">
        <v>45805.0</v>
      </c>
      <c r="AJ112" s="677" t="str">
        <f t="array" ref="AJ112">if(isblank(F112),"",xlookup(F112,'FL5_POR_包裝對照表 (Mapping Table)'!E:E,'FL5_POR_包裝對照表 (Mapping Table)'!AS:AS,"",0,1))</f>
        <v>128GB</v>
      </c>
      <c r="AK112" s="677" t="str">
        <f t="array" ref="AK112">if(isblank(F112),"",xlookup(F112,'FL5_POR_包裝對照表 (Mapping Table)'!E:E,'FL5_POR_包裝對照表 (Mapping Table)'!K:K,"",0,1))</f>
        <v>BUE</v>
      </c>
      <c r="AL112" s="292">
        <v>3251.0</v>
      </c>
      <c r="AM112" s="811"/>
      <c r="AN112" s="888" t="str">
        <f t="array" ref="AN112">xlookup(F112,'FL5_POR_包裝對照表 (Mapping Table)'!E:E,'FL5_POR_包裝對照表 (Mapping Table)'!BM:BM,"",0,1)</f>
        <v>No demand</v>
      </c>
      <c r="AO112" s="813"/>
      <c r="AP112" s="813"/>
    </row>
    <row r="113" ht="25.5" customHeight="1">
      <c r="A113" s="889"/>
      <c r="B113" s="877">
        <v>107.0</v>
      </c>
      <c r="C113" s="891" t="str">
        <f>if(isblank(F113),"",'FL5_POR_包裝對照表 (Mapping Table)'!$E$4)</f>
        <v>GFL (FL5)</v>
      </c>
      <c r="D113" s="878" t="str">
        <f t="array" ref="D113">if(isblank(F113),"",xlookup(F113,'FL5_POR_包裝對照表 (Mapping Table)'!E:E,'FL5_POR_包裝對照表 (Mapping Table)'!AZ:AZ,"",0,1))</f>
        <v>MP</v>
      </c>
      <c r="E113" s="677" t="str">
        <f t="shared" si="2"/>
        <v>Close</v>
      </c>
      <c r="F113" s="879" t="s">
        <v>862</v>
      </c>
      <c r="G113" s="892" t="str">
        <f t="array" ref="G113">if(isblank(F113),"",xlookup(F113,'FL5_POR_包裝對照表 (Mapping Table)'!E:E,'FL5_POR_包裝對照表 (Mapping Table)'!D:D,"",0,1))</f>
        <v>Bulk Pack</v>
      </c>
      <c r="H113" s="893" t="str">
        <f t="array" ref="H113">if(isblank(F113),"",xlookup(F113,'FL5_POR_包裝對照表 (Mapping Table)'!E:E,'FL5_POR_包裝對照表 (Mapping Table)'!E:E,"",0,1))</f>
        <v>CLNRGOGA10243</v>
      </c>
      <c r="I113" s="677" t="str">
        <f t="array" ref="I113">if(isblank(F113),"",xlookup(F113,'FL5_POR_包裝對照表 (Mapping Table)'!E:E,'FL5_POR_包裝對照表 (Mapping Table)'!AN:AN,"",0,1))</f>
        <v>G950-15935-07</v>
      </c>
      <c r="J113" s="894" t="str">
        <f t="array" ref="J113">if(isblank(F113),"",xlookup(G113,z_Others!$B$5:$B$17,z_Others!$C$5:$C$17,"",0,1))</f>
        <v>智能手機</v>
      </c>
      <c r="K113" s="894" t="str">
        <f t="array" ref="K113">if(isblank(F113),"",xlookup(G113,z_Others!$B$5:$B$17,z_Others!$E$5:$E$17,"",0,1))</f>
        <v>智能手機</v>
      </c>
      <c r="L113" s="894" t="str">
        <f t="array" ref="L113">if(isblank(F113),"",xlookup(G113,z_Others!$B$5:$B$17,z_Others!$F$5:$F$17,"",0,1))</f>
        <v>智能手機</v>
      </c>
      <c r="M113" s="894" t="str">
        <f t="shared" si="3"/>
        <v>Google</v>
      </c>
      <c r="N113" s="894" t="str">
        <f t="shared" si="4"/>
        <v>境外品牌（貼牌生產)</v>
      </c>
      <c r="O113" s="882" t="str">
        <f t="array" ref="O113">if(isblank(F113),"",xlookup(F113,'FL5_POR_包裝對照表 (Mapping Table)'!E:E,'FL5_POR_包裝對照表 (Mapping Table)'!L:L,"",0,1))</f>
        <v>GLBW0</v>
      </c>
      <c r="P113" s="895">
        <f t="array" ref="P113">if(isblank(F113),"",xlookup(G113,z_Others!$B$5:$B$17,z_Others!$J$5:$J$17,"",0,1))</f>
        <v>0.2029</v>
      </c>
      <c r="Q113" s="896">
        <f t="array" ref="Q113">if(isblank(F113),"",xlookup(F113,'FL5_POR_核價 (經管 &amp; BPM)'!E:E,'FL5_POR_核價 (經管 &amp; BPM)'!O:O,"",0,1))</f>
        <v>451.82</v>
      </c>
      <c r="R113" s="894" t="str">
        <f t="shared" si="5"/>
        <v>否</v>
      </c>
      <c r="S113" s="897" t="str">
        <f t="array" ref="S113">if(isblank(F113),"",xlookup(G113,z_Others!$B$5:$B$17,z_Others!$K$5:$K$17,"",0,1))</f>
        <v>無附件</v>
      </c>
      <c r="T113" s="894" t="str">
        <f t="shared" si="6"/>
        <v>開發手機中框組件模型(適用于Google 牌手機)</v>
      </c>
      <c r="U113" s="898" t="str">
        <f t="array" ref="U113">if(isblank(F113),"",xlookup(G113,z_Others!$B$5:$B$17,z_Others!$G$5:$G$17,"",0,1))</f>
        <v>無線通話用</v>
      </c>
      <c r="V113" s="231" t="str">
        <f t="array" ref="V113">if(isblank(F113),"",xlookup(F113,'FL5_POR_包裝對照表 (Mapping Table)'!E:E,'FL5_POR_包裝對照表 (Mapping Table)'!AB:AB,"",0,1))</f>
        <v>SKU, CLR4, BETTER, MMWAVE, VZW, FL5, FRU</v>
      </c>
      <c r="W113" s="899" t="str">
        <f t="array" ref="W113">if(isblank(F113),"",xlookup(G113,z_Others!$B$5:$B$17,z_Others!$I$5:$I$17,"",0,1))</f>
        <v>152.83 x 71.98 x 12.01</v>
      </c>
      <c r="X113" s="894" t="str">
        <f t="shared" si="7"/>
        <v>Google</v>
      </c>
      <c r="Y113" s="894" t="str">
        <f t="shared" si="8"/>
        <v>Tensor series</v>
      </c>
      <c r="Z113" s="900" t="str">
        <f t="shared" si="9"/>
        <v>蜂窩網絡</v>
      </c>
      <c r="AA113" s="900" t="str">
        <f t="shared" si="10"/>
        <v>WCDMA&amp;GSM&amp;LTE&amp;5G制式</v>
      </c>
      <c r="AB113" s="878" t="str">
        <f t="array" ref="AB113">if(isblank(F113),"",xlookup(AJ113,z_Others!$M$5:$M$9,z_Others!$Q$5:$Q$9,"",0,1))</f>
        <v>直板、6.29 英寸彩屏、內存256G、GPRS、藍牙、前攝1100萬、後攝1200/5000萬</v>
      </c>
      <c r="AC113" s="900" t="str">
        <f t="shared" si="11"/>
        <v>中國</v>
      </c>
      <c r="AD113" s="894" t="str">
        <f t="array" ref="AD113">if(isblank(F113),"",xlookup(G113,z_Others!$B$5:$B$14,z_Others!$H$5:$H$14,"",0,1))</f>
        <v>附件07 (FATP手機)</v>
      </c>
      <c r="AE113" s="901" t="str">
        <f t="shared" si="12"/>
        <v>Foxconn</v>
      </c>
      <c r="AF113" s="791">
        <v>45783.0</v>
      </c>
      <c r="AG113" s="791">
        <f t="shared" si="17"/>
        <v>45859</v>
      </c>
      <c r="AH113" s="902">
        <v>45859.0</v>
      </c>
      <c r="AI113" s="787">
        <v>45811.0</v>
      </c>
      <c r="AJ113" s="677" t="str">
        <f t="array" ref="AJ113">if(isblank(F113),"",xlookup(F113,'FL5_POR_包裝對照表 (Mapping Table)'!E:E,'FL5_POR_包裝對照表 (Mapping Table)'!AS:AS,"",0,1))</f>
        <v>256GB</v>
      </c>
      <c r="AK113" s="677" t="str">
        <f t="array" ref="AK113">if(isblank(F113),"",xlookup(F113,'FL5_POR_包裝對照表 (Mapping Table)'!E:E,'FL5_POR_包裝對照表 (Mapping Table)'!K:K,"",0,1))</f>
        <v>BUE</v>
      </c>
      <c r="AL113" s="677">
        <v>3336.0</v>
      </c>
      <c r="AM113" s="811"/>
      <c r="AN113" s="888" t="str">
        <f t="array" ref="AN113">xlookup(F113,'FL5_POR_包裝對照表 (Mapping Table)'!E:E,'FL5_POR_包裝對照表 (Mapping Table)'!BM:BM,"",0,1)</f>
        <v>No demand</v>
      </c>
      <c r="AO113" s="813"/>
      <c r="AP113" s="813"/>
    </row>
    <row r="114" ht="25.5" customHeight="1">
      <c r="A114" s="889"/>
      <c r="B114" s="877">
        <v>108.0</v>
      </c>
      <c r="C114" s="891" t="str">
        <f>if(isblank(F114),"",'FL5_POR_包裝對照表 (Mapping Table)'!$E$4)</f>
        <v>GFL (FL5)</v>
      </c>
      <c r="D114" s="878" t="str">
        <f t="array" ref="D114">if(isblank(F114),"",xlookup(F114,'FL5_POR_包裝對照表 (Mapping Table)'!E:E,'FL5_POR_包裝對照表 (Mapping Table)'!AZ:AZ,"",0,1))</f>
        <v>MP</v>
      </c>
      <c r="E114" s="677" t="str">
        <f t="shared" si="2"/>
        <v>Close</v>
      </c>
      <c r="F114" s="879" t="s">
        <v>604</v>
      </c>
      <c r="G114" s="892" t="str">
        <f t="array" ref="G114">if(isblank(F114),"",xlookup(F114,'FL5_POR_包裝對照表 (Mapping Table)'!E:E,'FL5_POR_包裝對照表 (Mapping Table)'!D:D,"",0,1))</f>
        <v>Retail Pack</v>
      </c>
      <c r="H114" s="893" t="str">
        <f t="array" ref="H114">if(isblank(F114),"",xlookup(F114,'FL5_POR_包裝對照表 (Mapping Table)'!E:E,'FL5_POR_包裝對照表 (Mapping Table)'!E:E,"",0,1))</f>
        <v>GA09882-US</v>
      </c>
      <c r="I114" s="677" t="str">
        <f t="array" ref="I114">if(isblank(F114),"",xlookup(F114,'FL5_POR_包裝對照表 (Mapping Table)'!E:E,'FL5_POR_包裝對照表 (Mapping Table)'!AN:AN,"",0,1))</f>
        <v>G950-15935-04</v>
      </c>
      <c r="J114" s="894" t="str">
        <f t="array" ref="J114">if(isblank(F114),"",xlookup(G114,z_Others!$B$5:$B$17,z_Others!$C$5:$C$17,"",0,1))</f>
        <v>智能手機</v>
      </c>
      <c r="K114" s="894" t="str">
        <f t="array" ref="K114">if(isblank(F114),"",xlookup(G114,z_Others!$B$5:$B$17,z_Others!$E$5:$E$17,"",0,1))</f>
        <v>智能手機</v>
      </c>
      <c r="L114" s="894" t="str">
        <f t="array" ref="L114">if(isblank(F114),"",xlookup(G114,z_Others!$B$5:$B$17,z_Others!$F$5:$F$17,"",0,1))</f>
        <v>智能手機</v>
      </c>
      <c r="M114" s="894" t="str">
        <f t="shared" si="3"/>
        <v>Google</v>
      </c>
      <c r="N114" s="894" t="str">
        <f t="shared" si="4"/>
        <v>境外品牌（貼牌生產)</v>
      </c>
      <c r="O114" s="882" t="str">
        <f t="array" ref="O114">if(isblank(F114),"",xlookup(F114,'FL5_POR_包裝對照表 (Mapping Table)'!E:E,'FL5_POR_包裝對照表 (Mapping Table)'!L:L,"",0,1))</f>
        <v>GLBW0</v>
      </c>
      <c r="P114" s="895">
        <f t="array" ref="P114">if(isblank(F114),"",xlookup(G114,z_Others!$B$5:$B$17,z_Others!$J$5:$J$17,"",0,1))</f>
        <v>0.2029</v>
      </c>
      <c r="Q114" s="896">
        <f t="array" ref="Q114">if(isblank(F114),"",xlookup(F114,'FL5_POR_核價 (經管 &amp; BPM)'!E:E,'FL5_POR_核價 (經管 &amp; BPM)'!O:O,"",0,1))</f>
        <v>453.07</v>
      </c>
      <c r="R114" s="894" t="str">
        <f t="shared" si="5"/>
        <v>否</v>
      </c>
      <c r="S114" s="897" t="str">
        <f t="array" ref="S114">if(isblank(F114),"",xlookup(G114,z_Others!$B$5:$B$17,z_Others!$K$5:$K$17,"",0,1))</f>
        <v>(1) 說明書
(2) C-2-C USB 數據線</v>
      </c>
      <c r="T114" s="894" t="str">
        <f t="shared" si="6"/>
        <v>開發手機中框組件模型(適用于Google 牌手機)</v>
      </c>
      <c r="U114" s="898" t="str">
        <f t="array" ref="U114">if(isblank(F114),"",xlookup(G114,z_Others!$B$5:$B$17,z_Others!$G$5:$G$17,"",0,1))</f>
        <v>無線通話用</v>
      </c>
      <c r="V114" s="231" t="str">
        <f t="array" ref="V114">if(isblank(F114),"",xlookup(F114,'FL5_POR_包裝對照表 (Mapping Table)'!E:E,'FL5_POR_包裝對照表 (Mapping Table)'!AB:AB,"",0,1))</f>
        <v>SKU, CLR1, BETTER, MMWAVE, TMO, US, FL5</v>
      </c>
      <c r="W114" s="899" t="str">
        <f t="array" ref="W114">if(isblank(F114),"",xlookup(G114,z_Others!$B$5:$B$17,z_Others!$I$5:$I$17,"",0,1))</f>
        <v>152.83 x 71.98 x 12.01</v>
      </c>
      <c r="X114" s="894" t="str">
        <f t="shared" si="7"/>
        <v>Google</v>
      </c>
      <c r="Y114" s="894" t="str">
        <f t="shared" si="8"/>
        <v>Tensor series</v>
      </c>
      <c r="Z114" s="900" t="str">
        <f t="shared" si="9"/>
        <v>蜂窩網絡</v>
      </c>
      <c r="AA114" s="900" t="str">
        <f t="shared" si="10"/>
        <v>WCDMA&amp;GSM&amp;LTE&amp;5G制式</v>
      </c>
      <c r="AB114" s="878" t="str">
        <f t="array" ref="AB114">if(isblank(F114),"",xlookup(AJ114,z_Others!$M$5:$M$9,z_Others!$Q$5:$Q$9,"",0,1))</f>
        <v>直板、6.29 英寸彩屏、內存256G、GPRS、藍牙、前攝1100萬、後攝1200/5000萬</v>
      </c>
      <c r="AC114" s="900" t="str">
        <f t="shared" si="11"/>
        <v>中國</v>
      </c>
      <c r="AD114" s="894" t="str">
        <f t="array" ref="AD114">if(isblank(F114),"",xlookup(G114,z_Others!$B$5:$B$14,z_Others!$H$5:$H$14,"",0,1))</f>
        <v>附件07 (FATP手機)</v>
      </c>
      <c r="AE114" s="901" t="str">
        <f t="shared" si="12"/>
        <v>Foxconn</v>
      </c>
      <c r="AF114" s="791">
        <v>45783.0</v>
      </c>
      <c r="AG114" s="791">
        <f t="shared" si="17"/>
        <v>45859</v>
      </c>
      <c r="AH114" s="902">
        <v>45810.0</v>
      </c>
      <c r="AI114" s="787">
        <v>45805.0</v>
      </c>
      <c r="AJ114" s="677" t="str">
        <f t="array" ref="AJ114">if(isblank(F114),"",xlookup(F114,'FL5_POR_包裝對照表 (Mapping Table)'!E:E,'FL5_POR_包裝對照表 (Mapping Table)'!AS:AS,"",0,1))</f>
        <v>256GB</v>
      </c>
      <c r="AK114" s="677" t="str">
        <f t="array" ref="AK114">if(isblank(F114),"",xlookup(F114,'FL5_POR_包裝對照表 (Mapping Table)'!E:E,'FL5_POR_包裝對照表 (Mapping Table)'!K:K,"",0,1))</f>
        <v>BLK</v>
      </c>
      <c r="AL114" s="292">
        <v>3250.0</v>
      </c>
      <c r="AM114" s="811"/>
      <c r="AN114" s="888" t="str">
        <f t="array" ref="AN114">xlookup(F114,'FL5_POR_包裝對照表 (Mapping Table)'!E:E,'FL5_POR_包裝對照表 (Mapping Table)'!BM:BM,"",0,1)</f>
        <v>No demand</v>
      </c>
      <c r="AO114" s="813"/>
      <c r="AP114" s="813"/>
    </row>
    <row r="115" ht="25.5" customHeight="1">
      <c r="A115" s="889"/>
      <c r="B115" s="877">
        <v>109.0</v>
      </c>
      <c r="C115" s="891" t="str">
        <f>if(isblank(F115),"",'FL5_POR_包裝對照表 (Mapping Table)'!$E$4)</f>
        <v>GFL (FL5)</v>
      </c>
      <c r="D115" s="878" t="str">
        <f t="array" ref="D115">if(isblank(F115),"",xlookup(F115,'FL5_POR_包裝對照表 (Mapping Table)'!E:E,'FL5_POR_包裝對照表 (Mapping Table)'!AZ:AZ,"",0,1))</f>
        <v>MP</v>
      </c>
      <c r="E115" s="677" t="str">
        <f t="shared" si="2"/>
        <v>Close</v>
      </c>
      <c r="F115" s="879" t="s">
        <v>609</v>
      </c>
      <c r="G115" s="892" t="str">
        <f t="array" ref="G115">if(isblank(F115),"",xlookup(F115,'FL5_POR_包裝對照表 (Mapping Table)'!E:E,'FL5_POR_包裝對照表 (Mapping Table)'!D:D,"",0,1))</f>
        <v>Retail Pack</v>
      </c>
      <c r="H115" s="893" t="str">
        <f t="array" ref="H115">if(isblank(F115),"",xlookup(F115,'FL5_POR_包裝對照表 (Mapping Table)'!E:E,'FL5_POR_包裝對照表 (Mapping Table)'!E:E,"",0,1))</f>
        <v>GA09883-US</v>
      </c>
      <c r="I115" s="677" t="str">
        <f t="array" ref="I115">if(isblank(F115),"",xlookup(F115,'FL5_POR_包裝對照表 (Mapping Table)'!E:E,'FL5_POR_包裝對照表 (Mapping Table)'!AN:AN,"",0,1))</f>
        <v>G950-15935-04</v>
      </c>
      <c r="J115" s="894" t="str">
        <f t="array" ref="J115">if(isblank(F115),"",xlookup(G115,z_Others!$B$5:$B$17,z_Others!$C$5:$C$17,"",0,1))</f>
        <v>智能手機</v>
      </c>
      <c r="K115" s="894" t="str">
        <f t="array" ref="K115">if(isblank(F115),"",xlookup(G115,z_Others!$B$5:$B$17,z_Others!$E$5:$E$17,"",0,1))</f>
        <v>智能手機</v>
      </c>
      <c r="L115" s="894" t="str">
        <f t="array" ref="L115">if(isblank(F115),"",xlookup(G115,z_Others!$B$5:$B$17,z_Others!$F$5:$F$17,"",0,1))</f>
        <v>智能手機</v>
      </c>
      <c r="M115" s="894" t="str">
        <f t="shared" si="3"/>
        <v>Google</v>
      </c>
      <c r="N115" s="894" t="str">
        <f t="shared" si="4"/>
        <v>境外品牌（貼牌生產)</v>
      </c>
      <c r="O115" s="882" t="str">
        <f t="array" ref="O115">if(isblank(F115),"",xlookup(F115,'FL5_POR_包裝對照表 (Mapping Table)'!E:E,'FL5_POR_包裝對照表 (Mapping Table)'!L:L,"",0,1))</f>
        <v>GLBW0</v>
      </c>
      <c r="P115" s="895">
        <f t="array" ref="P115">if(isblank(F115),"",xlookup(G115,z_Others!$B$5:$B$17,z_Others!$J$5:$J$17,"",0,1))</f>
        <v>0.2029</v>
      </c>
      <c r="Q115" s="896">
        <f t="array" ref="Q115">if(isblank(F115),"",xlookup(F115,'FL5_POR_核價 (經管 &amp; BPM)'!E:E,'FL5_POR_核價 (經管 &amp; BPM)'!O:O,"",0,1))</f>
        <v>453.07</v>
      </c>
      <c r="R115" s="894" t="str">
        <f t="shared" si="5"/>
        <v>否</v>
      </c>
      <c r="S115" s="897" t="str">
        <f t="array" ref="S115">if(isblank(F115),"",xlookup(G115,z_Others!$B$5:$B$17,z_Others!$K$5:$K$17,"",0,1))</f>
        <v>(1) 說明書
(2) C-2-C USB 數據線</v>
      </c>
      <c r="T115" s="894" t="str">
        <f t="shared" si="6"/>
        <v>開發手機中框組件模型(適用于Google 牌手機)</v>
      </c>
      <c r="U115" s="898" t="str">
        <f t="array" ref="U115">if(isblank(F115),"",xlookup(G115,z_Others!$B$5:$B$17,z_Others!$G$5:$G$17,"",0,1))</f>
        <v>無線通話用</v>
      </c>
      <c r="V115" s="231" t="str">
        <f t="array" ref="V115">if(isblank(F115),"",xlookup(F115,'FL5_POR_包裝對照表 (Mapping Table)'!E:E,'FL5_POR_包裝對照表 (Mapping Table)'!AB:AB,"",0,1))</f>
        <v>SKU, CLR1, BETTER, MMWAVE, GSTORE, US, FL5</v>
      </c>
      <c r="W115" s="899" t="str">
        <f t="array" ref="W115">if(isblank(F115),"",xlookup(G115,z_Others!$B$5:$B$17,z_Others!$I$5:$I$17,"",0,1))</f>
        <v>152.83 x 71.98 x 12.01</v>
      </c>
      <c r="X115" s="894" t="str">
        <f t="shared" si="7"/>
        <v>Google</v>
      </c>
      <c r="Y115" s="894" t="str">
        <f t="shared" si="8"/>
        <v>Tensor series</v>
      </c>
      <c r="Z115" s="900" t="str">
        <f t="shared" si="9"/>
        <v>蜂窩網絡</v>
      </c>
      <c r="AA115" s="900" t="str">
        <f t="shared" si="10"/>
        <v>WCDMA&amp;GSM&amp;LTE&amp;5G制式</v>
      </c>
      <c r="AB115" s="878" t="str">
        <f t="array" ref="AB115">if(isblank(F115),"",xlookup(AJ115,z_Others!$M$5:$M$9,z_Others!$Q$5:$Q$9,"",0,1))</f>
        <v>直板、6.29 英寸彩屏、內存256G、GPRS、藍牙、前攝1100萬、後攝1200/5000萬</v>
      </c>
      <c r="AC115" s="900" t="str">
        <f t="shared" si="11"/>
        <v>中國</v>
      </c>
      <c r="AD115" s="894" t="str">
        <f t="array" ref="AD115">if(isblank(F115),"",xlookup(G115,z_Others!$B$5:$B$14,z_Others!$H$5:$H$14,"",0,1))</f>
        <v>附件07 (FATP手機)</v>
      </c>
      <c r="AE115" s="901" t="str">
        <f t="shared" si="12"/>
        <v>Foxconn</v>
      </c>
      <c r="AF115" s="791">
        <v>45783.0</v>
      </c>
      <c r="AG115" s="791">
        <f t="shared" si="17"/>
        <v>45859</v>
      </c>
      <c r="AH115" s="902">
        <v>45803.0</v>
      </c>
      <c r="AI115" s="787">
        <v>45803.0</v>
      </c>
      <c r="AJ115" s="677" t="str">
        <f t="array" ref="AJ115">if(isblank(F115),"",xlookup(F115,'FL5_POR_包裝對照表 (Mapping Table)'!E:E,'FL5_POR_包裝對照表 (Mapping Table)'!AS:AS,"",0,1))</f>
        <v>256GB</v>
      </c>
      <c r="AK115" s="677" t="str">
        <f t="array" ref="AK115">if(isblank(F115),"",xlookup(F115,'FL5_POR_包裝對照表 (Mapping Table)'!E:E,'FL5_POR_包裝對照表 (Mapping Table)'!K:K,"",0,1))</f>
        <v>BLK</v>
      </c>
      <c r="AL115" s="677">
        <v>3166.0</v>
      </c>
      <c r="AM115" s="811"/>
      <c r="AN115" s="888" t="str">
        <f t="array" ref="AN115">xlookup(F115,'FL5_POR_包裝對照表 (Mapping Table)'!E:E,'FL5_POR_包裝對照表 (Mapping Table)'!BM:BM,"",0,1)</f>
        <v>No demand</v>
      </c>
      <c r="AO115" s="813"/>
      <c r="AP115" s="813"/>
    </row>
    <row r="116" ht="25.5" customHeight="1">
      <c r="A116" s="889"/>
      <c r="B116" s="877">
        <v>110.0</v>
      </c>
      <c r="C116" s="891" t="str">
        <f>if(isblank(F116),"",'FL5_POR_包裝對照表 (Mapping Table)'!$E$4)</f>
        <v>GFL (FL5)</v>
      </c>
      <c r="D116" s="878" t="str">
        <f t="array" ref="D116">if(isblank(F116),"",xlookup(F116,'FL5_POR_包裝對照表 (Mapping Table)'!E:E,'FL5_POR_包裝對照表 (Mapping Table)'!AZ:AZ,"",0,1))</f>
        <v>MP</v>
      </c>
      <c r="E116" s="677" t="str">
        <f t="shared" si="2"/>
        <v>Close</v>
      </c>
      <c r="F116" s="879" t="s">
        <v>936</v>
      </c>
      <c r="G116" s="892" t="str">
        <f t="array" ref="G116">if(isblank(F116),"",xlookup(F116,'FL5_POR_包裝對照表 (Mapping Table)'!E:E,'FL5_POR_包裝對照表 (Mapping Table)'!D:D,"",0,1))</f>
        <v>Retail Pack</v>
      </c>
      <c r="H116" s="893" t="str">
        <f t="array" ref="H116">if(isblank(F116),"",xlookup(F116,'FL5_POR_包裝對照表 (Mapping Table)'!E:E,'FL5_POR_包裝對照表 (Mapping Table)'!E:E,"",0,1))</f>
        <v>GA10214-US-N</v>
      </c>
      <c r="I116" s="677" t="str">
        <f t="array" ref="I116">if(isblank(F116),"",xlookup(F116,'FL5_POR_包裝對照表 (Mapping Table)'!E:E,'FL5_POR_包裝對照表 (Mapping Table)'!AN:AN,"",0,1))</f>
        <v>G950-15935-01</v>
      </c>
      <c r="J116" s="894" t="str">
        <f t="array" ref="J116">if(isblank(F116),"",xlookup(G116,z_Others!$B$5:$B$17,z_Others!$C$5:$C$17,"",0,1))</f>
        <v>智能手機</v>
      </c>
      <c r="K116" s="894" t="str">
        <f t="array" ref="K116">if(isblank(F116),"",xlookup(G116,z_Others!$B$5:$B$17,z_Others!$E$5:$E$17,"",0,1))</f>
        <v>智能手機</v>
      </c>
      <c r="L116" s="894" t="str">
        <f t="array" ref="L116">if(isblank(F116),"",xlookup(G116,z_Others!$B$5:$B$17,z_Others!$F$5:$F$17,"",0,1))</f>
        <v>智能手機</v>
      </c>
      <c r="M116" s="894" t="str">
        <f t="shared" si="3"/>
        <v>Google</v>
      </c>
      <c r="N116" s="894" t="str">
        <f t="shared" si="4"/>
        <v>境外品牌（貼牌生產)</v>
      </c>
      <c r="O116" s="882" t="str">
        <f t="array" ref="O116">if(isblank(F116),"",xlookup(F116,'FL5_POR_包裝對照表 (Mapping Table)'!E:E,'FL5_POR_包裝對照表 (Mapping Table)'!L:L,"",0,1))</f>
        <v>GLBW0</v>
      </c>
      <c r="P116" s="895">
        <f t="array" ref="P116">if(isblank(F116),"",xlookup(G116,z_Others!$B$5:$B$17,z_Others!$J$5:$J$17,"",0,1))</f>
        <v>0.2029</v>
      </c>
      <c r="Q116" s="896">
        <f t="array" ref="Q116">if(isblank(F116),"",xlookup(F116,'FL5_POR_核價 (經管 &amp; BPM)'!E:E,'FL5_POR_核價 (經管 &amp; BPM)'!O:O,"",0,1))</f>
        <v>460.98</v>
      </c>
      <c r="R116" s="894" t="str">
        <f t="shared" si="5"/>
        <v>否</v>
      </c>
      <c r="S116" s="897" t="str">
        <f t="array" ref="S116">if(isblank(F116),"",xlookup(G116,z_Others!$B$5:$B$17,z_Others!$K$5:$K$17,"",0,1))</f>
        <v>(1) 說明書
(2) C-2-C USB 數據線</v>
      </c>
      <c r="T116" s="894" t="str">
        <f t="shared" si="6"/>
        <v>開發手機中框組件模型(適用于Google 牌手機)</v>
      </c>
      <c r="U116" s="898" t="str">
        <f t="array" ref="U116">if(isblank(F116),"",xlookup(G116,z_Others!$B$5:$B$17,z_Others!$G$5:$G$17,"",0,1))</f>
        <v>無線通話用</v>
      </c>
      <c r="V116" s="231" t="str">
        <f t="array" ref="V116">if(isblank(F116),"",xlookup(F116,'FL5_POR_包裝對照表 (Mapping Table)'!E:E,'FL5_POR_包裝對照表 (Mapping Table)'!AB:AB,"",0,1))</f>
        <v>SKU, CLR2, GOOD, MMWAVE, GSTORE, US, PRESS, FL5</v>
      </c>
      <c r="W116" s="899" t="str">
        <f t="array" ref="W116">if(isblank(F116),"",xlookup(G116,z_Others!$B$5:$B$17,z_Others!$I$5:$I$17,"",0,1))</f>
        <v>152.83 x 71.98 x 12.01</v>
      </c>
      <c r="X116" s="894" t="str">
        <f t="shared" si="7"/>
        <v>Google</v>
      </c>
      <c r="Y116" s="894" t="str">
        <f t="shared" si="8"/>
        <v>Tensor series</v>
      </c>
      <c r="Z116" s="900" t="str">
        <f t="shared" si="9"/>
        <v>蜂窩網絡</v>
      </c>
      <c r="AA116" s="900" t="str">
        <f t="shared" si="10"/>
        <v>WCDMA&amp;GSM&amp;LTE&amp;5G制式</v>
      </c>
      <c r="AB116" s="878" t="str">
        <f t="array" ref="AB116">if(isblank(F116),"",xlookup(AJ116,z_Others!$M$5:$M$9,z_Others!$Q$5:$Q$9,"",0,1))</f>
        <v>直板、6.29 英寸彩屏、內存128G、GPRS、藍牙、前攝1100萬、後攝1200/5000萬</v>
      </c>
      <c r="AC116" s="900" t="str">
        <f t="shared" si="11"/>
        <v>中國</v>
      </c>
      <c r="AD116" s="894" t="str">
        <f t="array" ref="AD116">if(isblank(F116),"",xlookup(G116,z_Others!$B$5:$B$14,z_Others!$H$5:$H$14,"",0,1))</f>
        <v>附件07 (FATP手機)</v>
      </c>
      <c r="AE116" s="901" t="str">
        <f t="shared" si="12"/>
        <v>Foxconn</v>
      </c>
      <c r="AF116" s="791">
        <v>45783.0</v>
      </c>
      <c r="AG116" s="791">
        <f t="shared" si="17"/>
        <v>45859</v>
      </c>
      <c r="AH116" s="902">
        <v>45838.0</v>
      </c>
      <c r="AI116" s="787">
        <v>45811.0</v>
      </c>
      <c r="AJ116" s="677" t="str">
        <f t="array" ref="AJ116">if(isblank(F116),"",xlookup(F116,'FL5_POR_包裝對照表 (Mapping Table)'!E:E,'FL5_POR_包裝對照表 (Mapping Table)'!AS:AS,"",0,1))</f>
        <v>128GB</v>
      </c>
      <c r="AK116" s="677" t="str">
        <f t="array" ref="AK116">if(isblank(F116),"",xlookup(F116,'FL5_POR_包裝對照表 (Mapping Table)'!E:E,'FL5_POR_包裝對照表 (Mapping Table)'!K:K,"",0,1))</f>
        <v>PPL</v>
      </c>
      <c r="AL116" s="677">
        <v>3335.0</v>
      </c>
      <c r="AM116" s="811"/>
      <c r="AN116" s="888" t="str">
        <f t="array" ref="AN116">xlookup(F116,'FL5_POR_包裝對照表 (Mapping Table)'!E:E,'FL5_POR_包裝對照表 (Mapping Table)'!BM:BM,"",0,1)</f>
        <v>No demand</v>
      </c>
      <c r="AO116" s="813"/>
      <c r="AP116" s="813"/>
    </row>
    <row r="117" ht="25.5" customHeight="1">
      <c r="A117" s="889"/>
      <c r="B117" s="877">
        <v>111.0</v>
      </c>
      <c r="C117" s="891" t="str">
        <f>if(isblank(F117),"",'FL5_POR_包裝對照表 (Mapping Table)'!$E$4)</f>
        <v>GFL (FL5)</v>
      </c>
      <c r="D117" s="878" t="str">
        <f t="array" ref="D117">if(isblank(F117),"",xlookup(F117,'FL5_POR_包裝對照表 (Mapping Table)'!E:E,'FL5_POR_包裝對照表 (Mapping Table)'!AZ:AZ,"",0,1))</f>
        <v>MP</v>
      </c>
      <c r="E117" s="677" t="str">
        <f t="shared" si="2"/>
        <v>Close</v>
      </c>
      <c r="F117" s="879" t="s">
        <v>946</v>
      </c>
      <c r="G117" s="892" t="str">
        <f t="array" ref="G117">if(isblank(F117),"",xlookup(F117,'FL5_POR_包裝對照表 (Mapping Table)'!E:E,'FL5_POR_包裝對照表 (Mapping Table)'!D:D,"",0,1))</f>
        <v>Retail Pack</v>
      </c>
      <c r="H117" s="893" t="str">
        <f t="array" ref="H117">if(isblank(F117),"",xlookup(F117,'FL5_POR_包裝對照表 (Mapping Table)'!E:E,'FL5_POR_包裝對照表 (Mapping Table)'!E:E,"",0,1))</f>
        <v>GA10216-US-N</v>
      </c>
      <c r="I117" s="677" t="str">
        <f t="array" ref="I117">if(isblank(F117),"",xlookup(F117,'FL5_POR_包裝對照表 (Mapping Table)'!E:E,'FL5_POR_包裝對照表 (Mapping Table)'!AN:AN,"",0,1))</f>
        <v>G950-15935-03</v>
      </c>
      <c r="J117" s="894" t="str">
        <f t="array" ref="J117">if(isblank(F117),"",xlookup(G117,z_Others!$B$5:$B$17,z_Others!$C$5:$C$17,"",0,1))</f>
        <v>智能手機</v>
      </c>
      <c r="K117" s="894" t="str">
        <f t="array" ref="K117">if(isblank(F117),"",xlookup(G117,z_Others!$B$5:$B$17,z_Others!$E$5:$E$17,"",0,1))</f>
        <v>智能手機</v>
      </c>
      <c r="L117" s="894" t="str">
        <f t="array" ref="L117">if(isblank(F117),"",xlookup(G117,z_Others!$B$5:$B$17,z_Others!$F$5:$F$17,"",0,1))</f>
        <v>智能手機</v>
      </c>
      <c r="M117" s="894" t="str">
        <f t="shared" si="3"/>
        <v>Google</v>
      </c>
      <c r="N117" s="894" t="str">
        <f t="shared" si="4"/>
        <v>境外品牌（貼牌生產)</v>
      </c>
      <c r="O117" s="882" t="str">
        <f t="array" ref="O117">if(isblank(F117),"",xlookup(F117,'FL5_POR_包裝對照表 (Mapping Table)'!E:E,'FL5_POR_包裝對照表 (Mapping Table)'!L:L,"",0,1))</f>
        <v>GLBW0</v>
      </c>
      <c r="P117" s="895">
        <f t="array" ref="P117">if(isblank(F117),"",xlookup(G117,z_Others!$B$5:$B$17,z_Others!$J$5:$J$17,"",0,1))</f>
        <v>0.2029</v>
      </c>
      <c r="Q117" s="896">
        <f t="array" ref="Q117">if(isblank(F117),"",xlookup(F117,'FL5_POR_核價 (經管 &amp; BPM)'!E:E,'FL5_POR_核價 (經管 &amp; BPM)'!O:O,"",0,1))</f>
        <v>426.51</v>
      </c>
      <c r="R117" s="894" t="str">
        <f t="shared" si="5"/>
        <v>否</v>
      </c>
      <c r="S117" s="897" t="str">
        <f t="array" ref="S117">if(isblank(F117),"",xlookup(G117,z_Others!$B$5:$B$17,z_Others!$K$5:$K$17,"",0,1))</f>
        <v>(1) 說明書
(2) C-2-C USB 數據線</v>
      </c>
      <c r="T117" s="894" t="str">
        <f t="shared" si="6"/>
        <v>開發手機中框組件模型(適用于Google 牌手機)</v>
      </c>
      <c r="U117" s="898" t="str">
        <f t="array" ref="U117">if(isblank(F117),"",xlookup(G117,z_Others!$B$5:$B$17,z_Others!$G$5:$G$17,"",0,1))</f>
        <v>無線通話用</v>
      </c>
      <c r="V117" s="231" t="str">
        <f t="array" ref="V117">if(isblank(F117),"",xlookup(F117,'FL5_POR_包裝對照表 (Mapping Table)'!E:E,'FL5_POR_包裝對照表 (Mapping Table)'!AB:AB,"",0,1))</f>
        <v>SKU, CLR4, GOOD, MMWAVE, GSTORE, US, PRESS, FL5</v>
      </c>
      <c r="W117" s="899" t="str">
        <f t="array" ref="W117">if(isblank(F117),"",xlookup(G117,z_Others!$B$5:$B$17,z_Others!$I$5:$I$17,"",0,1))</f>
        <v>152.83 x 71.98 x 12.01</v>
      </c>
      <c r="X117" s="894" t="str">
        <f t="shared" si="7"/>
        <v>Google</v>
      </c>
      <c r="Y117" s="894" t="str">
        <f t="shared" si="8"/>
        <v>Tensor series</v>
      </c>
      <c r="Z117" s="900" t="str">
        <f t="shared" si="9"/>
        <v>蜂窩網絡</v>
      </c>
      <c r="AA117" s="900" t="str">
        <f t="shared" si="10"/>
        <v>WCDMA&amp;GSM&amp;LTE&amp;5G制式</v>
      </c>
      <c r="AB117" s="878" t="str">
        <f t="array" ref="AB117">if(isblank(F117),"",xlookup(AJ117,z_Others!$M$5:$M$9,z_Others!$Q$5:$Q$9,"",0,1))</f>
        <v>直板、6.29 英寸彩屏、內存128G、GPRS、藍牙、前攝1100萬、後攝1200/5000萬</v>
      </c>
      <c r="AC117" s="900" t="str">
        <f t="shared" si="11"/>
        <v>中國</v>
      </c>
      <c r="AD117" s="894" t="str">
        <f t="array" ref="AD117">if(isblank(F117),"",xlookup(G117,z_Others!$B$5:$B$14,z_Others!$H$5:$H$14,"",0,1))</f>
        <v>附件07 (FATP手機)</v>
      </c>
      <c r="AE117" s="901" t="str">
        <f t="shared" si="12"/>
        <v>Foxconn</v>
      </c>
      <c r="AF117" s="791">
        <v>45783.0</v>
      </c>
      <c r="AG117" s="791">
        <f t="shared" si="17"/>
        <v>45859</v>
      </c>
      <c r="AH117" s="902">
        <v>45838.0</v>
      </c>
      <c r="AI117" s="787">
        <v>45811.0</v>
      </c>
      <c r="AJ117" s="677" t="str">
        <f t="array" ref="AJ117">if(isblank(F117),"",xlookup(F117,'FL5_POR_包裝對照表 (Mapping Table)'!E:E,'FL5_POR_包裝對照表 (Mapping Table)'!AS:AS,"",0,1))</f>
        <v>128GB</v>
      </c>
      <c r="AK117" s="677" t="str">
        <f t="array" ref="AK117">if(isblank(F117),"",xlookup(F117,'FL5_POR_包裝對照表 (Mapping Table)'!E:E,'FL5_POR_包裝對照表 (Mapping Table)'!K:K,"",0,1))</f>
        <v>BUE</v>
      </c>
      <c r="AL117" s="677">
        <v>3334.0</v>
      </c>
      <c r="AM117" s="811"/>
      <c r="AN117" s="888" t="str">
        <f t="array" ref="AN117">xlookup(F117,'FL5_POR_包裝對照表 (Mapping Table)'!E:E,'FL5_POR_包裝對照表 (Mapping Table)'!BM:BM,"",0,1)</f>
        <v>No demand</v>
      </c>
      <c r="AO117" s="813"/>
      <c r="AP117" s="813"/>
    </row>
    <row r="118" ht="25.5" customHeight="1">
      <c r="A118" s="889"/>
      <c r="B118" s="877">
        <v>112.0</v>
      </c>
      <c r="C118" s="891" t="str">
        <f>if(isblank(F118),"",'FL5_POR_包裝對照表 (Mapping Table)'!$E$4)</f>
        <v>GFL (FL5)</v>
      </c>
      <c r="D118" s="878" t="str">
        <f t="array" ref="D118">if(isblank(F118),"",xlookup(F118,'FL5_POR_包裝對照表 (Mapping Table)'!E:E,'FL5_POR_包裝對照表 (Mapping Table)'!AZ:AZ,"",0,1))</f>
        <v>MP</v>
      </c>
      <c r="E118" s="677" t="str">
        <f t="shared" si="2"/>
        <v>Close</v>
      </c>
      <c r="F118" s="879" t="s">
        <v>614</v>
      </c>
      <c r="G118" s="892" t="str">
        <f t="array" ref="G118">if(isblank(F118),"",xlookup(F118,'FL5_POR_包裝對照表 (Mapping Table)'!E:E,'FL5_POR_包裝對照表 (Mapping Table)'!D:D,"",0,1))</f>
        <v>Retail Pack</v>
      </c>
      <c r="H118" s="893" t="str">
        <f t="array" ref="H118">if(isblank(F118),"",xlookup(F118,'FL5_POR_包裝對照表 (Mapping Table)'!E:E,'FL5_POR_包裝對照表 (Mapping Table)'!E:E,"",0,1))</f>
        <v>GA10217-US</v>
      </c>
      <c r="I118" s="677" t="str">
        <f t="array" ref="I118">if(isblank(F118),"",xlookup(F118,'FL5_POR_包裝對照表 (Mapping Table)'!E:E,'FL5_POR_包裝對照表 (Mapping Table)'!AN:AN,"",0,1))</f>
        <v>G950-15935-05</v>
      </c>
      <c r="J118" s="894" t="str">
        <f t="array" ref="J118">if(isblank(F118),"",xlookup(G118,z_Others!$B$5:$B$17,z_Others!$C$5:$C$17,"",0,1))</f>
        <v>智能手機</v>
      </c>
      <c r="K118" s="894" t="str">
        <f t="array" ref="K118">if(isblank(F118),"",xlookup(G118,z_Others!$B$5:$B$17,z_Others!$E$5:$E$17,"",0,1))</f>
        <v>智能手機</v>
      </c>
      <c r="L118" s="894" t="str">
        <f t="array" ref="L118">if(isblank(F118),"",xlookup(G118,z_Others!$B$5:$B$17,z_Others!$F$5:$F$17,"",0,1))</f>
        <v>智能手機</v>
      </c>
      <c r="M118" s="894" t="str">
        <f t="shared" si="3"/>
        <v>Google</v>
      </c>
      <c r="N118" s="894" t="str">
        <f t="shared" si="4"/>
        <v>境外品牌（貼牌生產)</v>
      </c>
      <c r="O118" s="882" t="str">
        <f t="array" ref="O118">if(isblank(F118),"",xlookup(F118,'FL5_POR_包裝對照表 (Mapping Table)'!E:E,'FL5_POR_包裝對照表 (Mapping Table)'!L:L,"",0,1))</f>
        <v>GLBW0</v>
      </c>
      <c r="P118" s="895">
        <f t="array" ref="P118">if(isblank(F118),"",xlookup(G118,z_Others!$B$5:$B$17,z_Others!$J$5:$J$17,"",0,1))</f>
        <v>0.2029</v>
      </c>
      <c r="Q118" s="896">
        <f t="array" ref="Q118">if(isblank(F118),"",xlookup(F118,'FL5_POR_核價 (經管 &amp; BPM)'!E:E,'FL5_POR_核價 (經管 &amp; BPM)'!O:O,"",0,1))</f>
        <v>453.37</v>
      </c>
      <c r="R118" s="894" t="str">
        <f t="shared" si="5"/>
        <v>否</v>
      </c>
      <c r="S118" s="897" t="str">
        <f t="array" ref="S118">if(isblank(F118),"",xlookup(G118,z_Others!$B$5:$B$17,z_Others!$K$5:$K$17,"",0,1))</f>
        <v>(1) 說明書
(2) C-2-C USB 數據線</v>
      </c>
      <c r="T118" s="894" t="str">
        <f t="shared" si="6"/>
        <v>開發手機中框組件模型(適用于Google 牌手機)</v>
      </c>
      <c r="U118" s="898" t="str">
        <f t="array" ref="U118">if(isblank(F118),"",xlookup(G118,z_Others!$B$5:$B$17,z_Others!$G$5:$G$17,"",0,1))</f>
        <v>無線通話用</v>
      </c>
      <c r="V118" s="231" t="str">
        <f t="array" ref="V118">if(isblank(F118),"",xlookup(F118,'FL5_POR_包裝對照表 (Mapping Table)'!E:E,'FL5_POR_包裝對照表 (Mapping Table)'!AB:AB,"",0,1))</f>
        <v>SKU, CLR2, BETTER, MMWAVE, Gstore, US, FL5</v>
      </c>
      <c r="W118" s="899" t="str">
        <f t="array" ref="W118">if(isblank(F118),"",xlookup(G118,z_Others!$B$5:$B$17,z_Others!$I$5:$I$17,"",0,1))</f>
        <v>152.83 x 71.98 x 12.01</v>
      </c>
      <c r="X118" s="894" t="str">
        <f t="shared" si="7"/>
        <v>Google</v>
      </c>
      <c r="Y118" s="894" t="str">
        <f t="shared" si="8"/>
        <v>Tensor series</v>
      </c>
      <c r="Z118" s="900" t="str">
        <f t="shared" si="9"/>
        <v>蜂窩網絡</v>
      </c>
      <c r="AA118" s="900" t="str">
        <f t="shared" si="10"/>
        <v>WCDMA&amp;GSM&amp;LTE&amp;5G制式</v>
      </c>
      <c r="AB118" s="878" t="str">
        <f t="array" ref="AB118">if(isblank(F118),"",xlookup(AJ118,z_Others!$M$5:$M$9,z_Others!$Q$5:$Q$9,"",0,1))</f>
        <v>直板、6.29 英寸彩屏、內存256G、GPRS、藍牙、前攝1100萬、後攝1200/5000萬</v>
      </c>
      <c r="AC118" s="900" t="str">
        <f t="shared" si="11"/>
        <v>中國</v>
      </c>
      <c r="AD118" s="894" t="str">
        <f t="array" ref="AD118">if(isblank(F118),"",xlookup(G118,z_Others!$B$5:$B$14,z_Others!$H$5:$H$14,"",0,1))</f>
        <v>附件07 (FATP手機)</v>
      </c>
      <c r="AE118" s="901" t="str">
        <f t="shared" si="12"/>
        <v>Foxconn</v>
      </c>
      <c r="AF118" s="791">
        <v>45783.0</v>
      </c>
      <c r="AG118" s="791">
        <f t="shared" si="17"/>
        <v>45859</v>
      </c>
      <c r="AH118" s="902">
        <v>45803.0</v>
      </c>
      <c r="AI118" s="787">
        <v>45803.0</v>
      </c>
      <c r="AJ118" s="677" t="str">
        <f t="array" ref="AJ118">if(isblank(F118),"",xlookup(F118,'FL5_POR_包裝對照表 (Mapping Table)'!E:E,'FL5_POR_包裝對照表 (Mapping Table)'!AS:AS,"",0,1))</f>
        <v>256GB</v>
      </c>
      <c r="AK118" s="677" t="str">
        <f t="array" ref="AK118">if(isblank(F118),"",xlookup(F118,'FL5_POR_包裝對照表 (Mapping Table)'!E:E,'FL5_POR_包裝對照表 (Mapping Table)'!K:K,"",0,1))</f>
        <v>PPL</v>
      </c>
      <c r="AL118" s="677">
        <v>3165.0</v>
      </c>
      <c r="AM118" s="811"/>
      <c r="AN118" s="888" t="str">
        <f t="array" ref="AN118">xlookup(F118,'FL5_POR_包裝對照表 (Mapping Table)'!E:E,'FL5_POR_包裝對照表 (Mapping Table)'!BM:BM,"",0,1)</f>
        <v>No demand</v>
      </c>
      <c r="AO118" s="813"/>
      <c r="AP118" s="813"/>
    </row>
    <row r="119" ht="25.5" customHeight="1">
      <c r="A119" s="889"/>
      <c r="B119" s="877">
        <v>113.0</v>
      </c>
      <c r="C119" s="891" t="str">
        <f>if(isblank(F119),"",'FL5_POR_包裝對照表 (Mapping Table)'!$E$4)</f>
        <v>GFL (FL5)</v>
      </c>
      <c r="D119" s="878" t="str">
        <f t="array" ref="D119">if(isblank(F119),"",xlookup(F119,'FL5_POR_包裝對照表 (Mapping Table)'!E:E,'FL5_POR_包裝對照表 (Mapping Table)'!AZ:AZ,"",0,1))</f>
        <v>MP</v>
      </c>
      <c r="E119" s="677" t="str">
        <f t="shared" si="2"/>
        <v>Close</v>
      </c>
      <c r="F119" s="879" t="s">
        <v>619</v>
      </c>
      <c r="G119" s="892" t="str">
        <f t="array" ref="G119">if(isblank(F119),"",xlookup(F119,'FL5_POR_包裝對照表 (Mapping Table)'!E:E,'FL5_POR_包裝對照表 (Mapping Table)'!D:D,"",0,1))</f>
        <v>Retail Pack</v>
      </c>
      <c r="H119" s="893" t="str">
        <f t="array" ref="H119">if(isblank(F119),"",xlookup(F119,'FL5_POR_包裝對照表 (Mapping Table)'!E:E,'FL5_POR_包裝對照表 (Mapping Table)'!E:E,"",0,1))</f>
        <v>GA10218-US</v>
      </c>
      <c r="I119" s="677" t="str">
        <f t="array" ref="I119">if(isblank(F119),"",xlookup(F119,'FL5_POR_包裝對照表 (Mapping Table)'!E:E,'FL5_POR_包裝對照表 (Mapping Table)'!AN:AN,"",0,1))</f>
        <v>G950-15935-06</v>
      </c>
      <c r="J119" s="894" t="str">
        <f t="array" ref="J119">if(isblank(F119),"",xlookup(G119,z_Others!$B$5:$B$17,z_Others!$C$5:$C$17,"",0,1))</f>
        <v>智能手機</v>
      </c>
      <c r="K119" s="894" t="str">
        <f t="array" ref="K119">if(isblank(F119),"",xlookup(G119,z_Others!$B$5:$B$17,z_Others!$E$5:$E$17,"",0,1))</f>
        <v>智能手機</v>
      </c>
      <c r="L119" s="894" t="str">
        <f t="array" ref="L119">if(isblank(F119),"",xlookup(G119,z_Others!$B$5:$B$17,z_Others!$F$5:$F$17,"",0,1))</f>
        <v>智能手機</v>
      </c>
      <c r="M119" s="894" t="str">
        <f t="shared" si="3"/>
        <v>Google</v>
      </c>
      <c r="N119" s="894" t="str">
        <f t="shared" si="4"/>
        <v>境外品牌（貼牌生產)</v>
      </c>
      <c r="O119" s="882" t="str">
        <f t="array" ref="O119">if(isblank(F119),"",xlookup(F119,'FL5_POR_包裝對照表 (Mapping Table)'!E:E,'FL5_POR_包裝對照表 (Mapping Table)'!L:L,"",0,1))</f>
        <v>GLBW0</v>
      </c>
      <c r="P119" s="895">
        <f t="array" ref="P119">if(isblank(F119),"",xlookup(G119,z_Others!$B$5:$B$17,z_Others!$J$5:$J$17,"",0,1))</f>
        <v>0.2029</v>
      </c>
      <c r="Q119" s="896">
        <f t="array" ref="Q119">if(isblank(F119),"",xlookup(F119,'FL5_POR_核價 (經管 &amp; BPM)'!E:E,'FL5_POR_核價 (經管 &amp; BPM)'!O:O,"",0,1))</f>
        <v>453.47</v>
      </c>
      <c r="R119" s="894" t="str">
        <f t="shared" si="5"/>
        <v>否</v>
      </c>
      <c r="S119" s="897" t="str">
        <f t="array" ref="S119">if(isblank(F119),"",xlookup(G119,z_Others!$B$5:$B$17,z_Others!$K$5:$K$17,"",0,1))</f>
        <v>(1) 說明書
(2) C-2-C USB 數據線</v>
      </c>
      <c r="T119" s="894" t="str">
        <f t="shared" si="6"/>
        <v>開發手機中框組件模型(適用于Google 牌手機)</v>
      </c>
      <c r="U119" s="898" t="str">
        <f t="array" ref="U119">if(isblank(F119),"",xlookup(G119,z_Others!$B$5:$B$17,z_Others!$G$5:$G$17,"",0,1))</f>
        <v>無線通話用</v>
      </c>
      <c r="V119" s="231" t="str">
        <f t="array" ref="V119">if(isblank(F119),"",xlookup(F119,'FL5_POR_包裝對照表 (Mapping Table)'!E:E,'FL5_POR_包裝對照表 (Mapping Table)'!AB:AB,"",0,1))</f>
        <v>SKU, CLR3, BETTER, MMWAVE, Gstore, US, FL5</v>
      </c>
      <c r="W119" s="899" t="str">
        <f t="array" ref="W119">if(isblank(F119),"",xlookup(G119,z_Others!$B$5:$B$17,z_Others!$I$5:$I$17,"",0,1))</f>
        <v>152.83 x 71.98 x 12.01</v>
      </c>
      <c r="X119" s="894" t="str">
        <f t="shared" si="7"/>
        <v>Google</v>
      </c>
      <c r="Y119" s="894" t="str">
        <f t="shared" si="8"/>
        <v>Tensor series</v>
      </c>
      <c r="Z119" s="900" t="str">
        <f t="shared" si="9"/>
        <v>蜂窩網絡</v>
      </c>
      <c r="AA119" s="900" t="str">
        <f t="shared" si="10"/>
        <v>WCDMA&amp;GSM&amp;LTE&amp;5G制式</v>
      </c>
      <c r="AB119" s="878" t="str">
        <f t="array" ref="AB119">if(isblank(F119),"",xlookup(AJ119,z_Others!$M$5:$M$9,z_Others!$Q$5:$Q$9,"",0,1))</f>
        <v>直板、6.29 英寸彩屏、內存256G、GPRS、藍牙、前攝1100萬、後攝1200/5000萬</v>
      </c>
      <c r="AC119" s="900" t="str">
        <f t="shared" si="11"/>
        <v>中國</v>
      </c>
      <c r="AD119" s="894" t="str">
        <f t="array" ref="AD119">if(isblank(F119),"",xlookup(G119,z_Others!$B$5:$B$14,z_Others!$H$5:$H$14,"",0,1))</f>
        <v>附件07 (FATP手機)</v>
      </c>
      <c r="AE119" s="901" t="str">
        <f t="shared" si="12"/>
        <v>Foxconn</v>
      </c>
      <c r="AF119" s="791">
        <v>45783.0</v>
      </c>
      <c r="AG119" s="791">
        <f t="shared" si="17"/>
        <v>45859</v>
      </c>
      <c r="AH119" s="902">
        <v>45859.0</v>
      </c>
      <c r="AI119" s="787">
        <v>45811.0</v>
      </c>
      <c r="AJ119" s="677" t="str">
        <f t="array" ref="AJ119">if(isblank(F119),"",xlookup(F119,'FL5_POR_包裝對照表 (Mapping Table)'!E:E,'FL5_POR_包裝對照表 (Mapping Table)'!AS:AS,"",0,1))</f>
        <v>256GB</v>
      </c>
      <c r="AK119" s="677" t="str">
        <f t="array" ref="AK119">if(isblank(F119),"",xlookup(F119,'FL5_POR_包裝對照表 (Mapping Table)'!E:E,'FL5_POR_包裝對照表 (Mapping Table)'!K:K,"",0,1))</f>
        <v>YEL</v>
      </c>
      <c r="AL119" s="677">
        <v>3432.0</v>
      </c>
      <c r="AM119" s="811"/>
      <c r="AN119" s="888" t="str">
        <f t="array" ref="AN119">xlookup(F119,'FL5_POR_包裝對照表 (Mapping Table)'!E:E,'FL5_POR_包裝對照表 (Mapping Table)'!BM:BM,"",0,1)</f>
        <v>No demand</v>
      </c>
      <c r="AO119" s="813"/>
      <c r="AP119" s="813"/>
    </row>
    <row r="120" ht="25.5" customHeight="1">
      <c r="A120" s="889"/>
      <c r="B120" s="877">
        <v>114.0</v>
      </c>
      <c r="C120" s="891" t="str">
        <f>if(isblank(F120),"",'FL5_POR_包裝對照表 (Mapping Table)'!$E$4)</f>
        <v>GFL (FL5)</v>
      </c>
      <c r="D120" s="878" t="str">
        <f t="array" ref="D120">if(isblank(F120),"",xlookup(F120,'FL5_POR_包裝對照表 (Mapping Table)'!E:E,'FL5_POR_包裝對照表 (Mapping Table)'!AZ:AZ,"",0,1))</f>
        <v>MP</v>
      </c>
      <c r="E120" s="677" t="str">
        <f t="shared" si="2"/>
        <v>Close</v>
      </c>
      <c r="F120" s="879" t="s">
        <v>624</v>
      </c>
      <c r="G120" s="892" t="str">
        <f t="array" ref="G120">if(isblank(F120),"",xlookup(F120,'FL5_POR_包裝對照表 (Mapping Table)'!E:E,'FL5_POR_包裝對照表 (Mapping Table)'!D:D,"",0,1))</f>
        <v>Retail Pack</v>
      </c>
      <c r="H120" s="893" t="str">
        <f t="array" ref="H120">if(isblank(F120),"",xlookup(F120,'FL5_POR_包裝對照表 (Mapping Table)'!E:E,'FL5_POR_包裝對照表 (Mapping Table)'!E:E,"",0,1))</f>
        <v>GA10219-US</v>
      </c>
      <c r="I120" s="677" t="str">
        <f t="array" ref="I120">if(isblank(F120),"",xlookup(F120,'FL5_POR_包裝對照表 (Mapping Table)'!E:E,'FL5_POR_包裝對照表 (Mapping Table)'!AN:AN,"",0,1))</f>
        <v>G950-15935-07</v>
      </c>
      <c r="J120" s="894" t="str">
        <f t="array" ref="J120">if(isblank(F120),"",xlookup(G120,z_Others!$B$5:$B$17,z_Others!$C$5:$C$17,"",0,1))</f>
        <v>智能手機</v>
      </c>
      <c r="K120" s="894" t="str">
        <f t="array" ref="K120">if(isblank(F120),"",xlookup(G120,z_Others!$B$5:$B$17,z_Others!$E$5:$E$17,"",0,1))</f>
        <v>智能手機</v>
      </c>
      <c r="L120" s="894" t="str">
        <f t="array" ref="L120">if(isblank(F120),"",xlookup(G120,z_Others!$B$5:$B$17,z_Others!$F$5:$F$17,"",0,1))</f>
        <v>智能手機</v>
      </c>
      <c r="M120" s="894" t="str">
        <f t="shared" si="3"/>
        <v>Google</v>
      </c>
      <c r="N120" s="894" t="str">
        <f t="shared" si="4"/>
        <v>境外品牌（貼牌生產)</v>
      </c>
      <c r="O120" s="882" t="str">
        <f t="array" ref="O120">if(isblank(F120),"",xlookup(F120,'FL5_POR_包裝對照表 (Mapping Table)'!E:E,'FL5_POR_包裝對照表 (Mapping Table)'!L:L,"",0,1))</f>
        <v>GLBW0</v>
      </c>
      <c r="P120" s="895">
        <f t="array" ref="P120">if(isblank(F120),"",xlookup(G120,z_Others!$B$5:$B$17,z_Others!$J$5:$J$17,"",0,1))</f>
        <v>0.2029</v>
      </c>
      <c r="Q120" s="896">
        <f t="array" ref="Q120">if(isblank(F120),"",xlookup(F120,'FL5_POR_核價 (經管 &amp; BPM)'!E:E,'FL5_POR_核價 (經管 &amp; BPM)'!O:O,"",0,1))</f>
        <v>453.47</v>
      </c>
      <c r="R120" s="894" t="str">
        <f t="shared" si="5"/>
        <v>否</v>
      </c>
      <c r="S120" s="897" t="str">
        <f t="array" ref="S120">if(isblank(F120),"",xlookup(G120,z_Others!$B$5:$B$17,z_Others!$K$5:$K$17,"",0,1))</f>
        <v>(1) 說明書
(2) C-2-C USB 數據線</v>
      </c>
      <c r="T120" s="894" t="str">
        <f t="shared" si="6"/>
        <v>開發手機中框組件模型(適用于Google 牌手機)</v>
      </c>
      <c r="U120" s="898" t="str">
        <f t="array" ref="U120">if(isblank(F120),"",xlookup(G120,z_Others!$B$5:$B$17,z_Others!$G$5:$G$17,"",0,1))</f>
        <v>無線通話用</v>
      </c>
      <c r="V120" s="231" t="str">
        <f t="array" ref="V120">if(isblank(F120),"",xlookup(F120,'FL5_POR_包裝對照表 (Mapping Table)'!E:E,'FL5_POR_包裝對照表 (Mapping Table)'!AB:AB,"",0,1))</f>
        <v>SKU, CLR4, BETTER, MMWAVE, Gstore, US, FL5</v>
      </c>
      <c r="W120" s="899" t="str">
        <f t="array" ref="W120">if(isblank(F120),"",xlookup(G120,z_Others!$B$5:$B$17,z_Others!$I$5:$I$17,"",0,1))</f>
        <v>152.83 x 71.98 x 12.01</v>
      </c>
      <c r="X120" s="894" t="str">
        <f t="shared" si="7"/>
        <v>Google</v>
      </c>
      <c r="Y120" s="894" t="str">
        <f t="shared" si="8"/>
        <v>Tensor series</v>
      </c>
      <c r="Z120" s="900" t="str">
        <f t="shared" si="9"/>
        <v>蜂窩網絡</v>
      </c>
      <c r="AA120" s="900" t="str">
        <f t="shared" si="10"/>
        <v>WCDMA&amp;GSM&amp;LTE&amp;5G制式</v>
      </c>
      <c r="AB120" s="878" t="str">
        <f t="array" ref="AB120">if(isblank(F120),"",xlookup(AJ120,z_Others!$M$5:$M$9,z_Others!$Q$5:$Q$9,"",0,1))</f>
        <v>直板、6.29 英寸彩屏、內存256G、GPRS、藍牙、前攝1100萬、後攝1200/5000萬</v>
      </c>
      <c r="AC120" s="900" t="str">
        <f t="shared" si="11"/>
        <v>中國</v>
      </c>
      <c r="AD120" s="894" t="str">
        <f t="array" ref="AD120">if(isblank(F120),"",xlookup(G120,z_Others!$B$5:$B$14,z_Others!$H$5:$H$14,"",0,1))</f>
        <v>附件07 (FATP手機)</v>
      </c>
      <c r="AE120" s="901" t="str">
        <f t="shared" si="12"/>
        <v>Foxconn</v>
      </c>
      <c r="AF120" s="791">
        <v>45783.0</v>
      </c>
      <c r="AG120" s="791">
        <f t="shared" si="17"/>
        <v>45859</v>
      </c>
      <c r="AH120" s="902">
        <v>45803.0</v>
      </c>
      <c r="AI120" s="787">
        <v>45803.0</v>
      </c>
      <c r="AJ120" s="677" t="str">
        <f t="array" ref="AJ120">if(isblank(F120),"",xlookup(F120,'FL5_POR_包裝對照表 (Mapping Table)'!E:E,'FL5_POR_包裝對照表 (Mapping Table)'!AS:AS,"",0,1))</f>
        <v>256GB</v>
      </c>
      <c r="AK120" s="677" t="str">
        <f t="array" ref="AK120">if(isblank(F120),"",xlookup(F120,'FL5_POR_包裝對照表 (Mapping Table)'!E:E,'FL5_POR_包裝對照表 (Mapping Table)'!K:K,"",0,1))</f>
        <v>BUE</v>
      </c>
      <c r="AL120" s="677">
        <v>3164.0</v>
      </c>
      <c r="AM120" s="811"/>
      <c r="AN120" s="888" t="str">
        <f t="array" ref="AN120">xlookup(F120,'FL5_POR_包裝對照表 (Mapping Table)'!E:E,'FL5_POR_包裝對照表 (Mapping Table)'!BM:BM,"",0,1)</f>
        <v>No demand</v>
      </c>
      <c r="AO120" s="813"/>
      <c r="AP120" s="813"/>
    </row>
    <row r="121" ht="25.5" customHeight="1">
      <c r="A121" s="889"/>
      <c r="B121" s="877">
        <v>115.0</v>
      </c>
      <c r="C121" s="891" t="str">
        <f>if(isblank(F121),"",'FL5_POR_包裝對照表 (Mapping Table)'!$E$4)</f>
        <v>GFL (FL5)</v>
      </c>
      <c r="D121" s="878" t="str">
        <f t="array" ref="D121">if(isblank(F121),"",xlookup(F121,'FL5_POR_包裝對照表 (Mapping Table)'!E:E,'FL5_POR_包裝對照表 (Mapping Table)'!AZ:AZ,"",0,1))</f>
        <v>MP</v>
      </c>
      <c r="E121" s="677" t="str">
        <f t="shared" si="2"/>
        <v>Close</v>
      </c>
      <c r="F121" s="879" t="s">
        <v>1012</v>
      </c>
      <c r="G121" s="892" t="str">
        <f t="array" ref="G121">if(isblank(F121),"",xlookup(F121,'FL5_POR_包裝對照表 (Mapping Table)'!E:E,'FL5_POR_包裝對照表 (Mapping Table)'!D:D,"",0,1))</f>
        <v>Retail Pack</v>
      </c>
      <c r="H121" s="893" t="str">
        <f t="array" ref="H121">if(isblank(F121),"",xlookup(F121,'FL5_POR_包裝對照表 (Mapping Table)'!E:E,'FL5_POR_包裝對照表 (Mapping Table)'!E:E,"",0,1))</f>
        <v>GA10771-US</v>
      </c>
      <c r="I121" s="677" t="str">
        <f t="array" ref="I121">if(isblank(F121),"",xlookup(F121,'FL5_POR_包裝對照表 (Mapping Table)'!E:E,'FL5_POR_包裝對照表 (Mapping Table)'!AN:AN,"",0,1))</f>
        <v>G950-15935-00</v>
      </c>
      <c r="J121" s="894" t="str">
        <f t="array" ref="J121">if(isblank(F121),"",xlookup(G121,z_Others!$B$5:$B$17,z_Others!$C$5:$C$17,"",0,1))</f>
        <v>智能手機</v>
      </c>
      <c r="K121" s="894" t="str">
        <f t="array" ref="K121">if(isblank(F121),"",xlookup(G121,z_Others!$B$5:$B$17,z_Others!$E$5:$E$17,"",0,1))</f>
        <v>智能手機</v>
      </c>
      <c r="L121" s="894" t="str">
        <f t="array" ref="L121">if(isblank(F121),"",xlookup(G121,z_Others!$B$5:$B$17,z_Others!$F$5:$F$17,"",0,1))</f>
        <v>智能手機</v>
      </c>
      <c r="M121" s="894" t="str">
        <f t="shared" si="3"/>
        <v>Google</v>
      </c>
      <c r="N121" s="894" t="str">
        <f t="shared" si="4"/>
        <v>境外品牌（貼牌生產)</v>
      </c>
      <c r="O121" s="882" t="str">
        <f t="array" ref="O121">if(isblank(F121),"",xlookup(F121,'FL5_POR_包裝對照表 (Mapping Table)'!E:E,'FL5_POR_包裝對照表 (Mapping Table)'!L:L,"",0,1))</f>
        <v>GLBW0</v>
      </c>
      <c r="P121" s="895">
        <f t="array" ref="P121">if(isblank(F121),"",xlookup(G121,z_Others!$B$5:$B$17,z_Others!$J$5:$J$17,"",0,1))</f>
        <v>0.2029</v>
      </c>
      <c r="Q121" s="896">
        <f t="array" ref="Q121">if(isblank(F121),"",xlookup(F121,'FL5_POR_核價 (經管 &amp; BPM)'!E:E,'FL5_POR_核價 (經管 &amp; BPM)'!O:O,"",0,1))</f>
        <v>447.04</v>
      </c>
      <c r="R121" s="894" t="str">
        <f t="shared" si="5"/>
        <v>否</v>
      </c>
      <c r="S121" s="897" t="str">
        <f t="array" ref="S121">if(isblank(F121),"",xlookup(G121,z_Others!$B$5:$B$17,z_Others!$K$5:$K$17,"",0,1))</f>
        <v>(1) 說明書
(2) C-2-C USB 數據線</v>
      </c>
      <c r="T121" s="894" t="str">
        <f t="shared" si="6"/>
        <v>開發手機中框組件模型(適用于Google 牌手機)</v>
      </c>
      <c r="U121" s="898" t="str">
        <f t="array" ref="U121">if(isblank(F121),"",xlookup(G121,z_Others!$B$5:$B$17,z_Others!$G$5:$G$17,"",0,1))</f>
        <v>無線通話用</v>
      </c>
      <c r="V121" s="231" t="str">
        <f t="array" ref="V121">if(isblank(F121),"",xlookup(F121,'FL5_POR_包裝對照表 (Mapping Table)'!E:E,'FL5_POR_包裝對照表 (Mapping Table)'!AB:AB,"",0,1))</f>
        <v>SKU, CLR1, GOOD, MMWAVE, TMO, US, DEMO, FL5</v>
      </c>
      <c r="W121" s="899" t="str">
        <f t="array" ref="W121">if(isblank(F121),"",xlookup(G121,z_Others!$B$5:$B$17,z_Others!$I$5:$I$17,"",0,1))</f>
        <v>152.83 x 71.98 x 12.01</v>
      </c>
      <c r="X121" s="894" t="str">
        <f t="shared" si="7"/>
        <v>Google</v>
      </c>
      <c r="Y121" s="894" t="str">
        <f t="shared" si="8"/>
        <v>Tensor series</v>
      </c>
      <c r="Z121" s="900" t="str">
        <f t="shared" si="9"/>
        <v>蜂窩網絡</v>
      </c>
      <c r="AA121" s="900" t="str">
        <f t="shared" si="10"/>
        <v>WCDMA&amp;GSM&amp;LTE&amp;5G制式</v>
      </c>
      <c r="AB121" s="878" t="str">
        <f t="array" ref="AB121">if(isblank(F121),"",xlookup(AJ121,z_Others!$M$5:$M$9,z_Others!$Q$5:$Q$9,"",0,1))</f>
        <v>直板、6.29 英寸彩屏、內存128G、GPRS、藍牙、前攝1100萬、後攝1200/5000萬</v>
      </c>
      <c r="AC121" s="900" t="str">
        <f t="shared" si="11"/>
        <v>中國</v>
      </c>
      <c r="AD121" s="894" t="str">
        <f t="array" ref="AD121">if(isblank(F121),"",xlookup(G121,z_Others!$B$5:$B$14,z_Others!$H$5:$H$14,"",0,1))</f>
        <v>附件07 (FATP手機)</v>
      </c>
      <c r="AE121" s="901" t="str">
        <f t="shared" si="12"/>
        <v>Foxconn</v>
      </c>
      <c r="AF121" s="791">
        <v>45783.0</v>
      </c>
      <c r="AG121" s="791">
        <f t="shared" si="17"/>
        <v>45859</v>
      </c>
      <c r="AH121" s="902">
        <v>45859.0</v>
      </c>
      <c r="AI121" s="787">
        <v>45811.0</v>
      </c>
      <c r="AJ121" s="677" t="str">
        <f t="array" ref="AJ121">if(isblank(F121),"",xlookup(F121,'FL5_POR_包裝對照表 (Mapping Table)'!E:E,'FL5_POR_包裝對照表 (Mapping Table)'!AS:AS,"",0,1))</f>
        <v>128GB</v>
      </c>
      <c r="AK121" s="677" t="str">
        <f t="array" ref="AK121">if(isblank(F121),"",xlookup(F121,'FL5_POR_包裝對照表 (Mapping Table)'!E:E,'FL5_POR_包裝對照表 (Mapping Table)'!K:K,"",0,1))</f>
        <v>BLK</v>
      </c>
      <c r="AL121" s="677">
        <v>3431.0</v>
      </c>
      <c r="AM121" s="811"/>
      <c r="AN121" s="888" t="str">
        <f t="array" ref="AN121">xlookup(F121,'FL5_POR_包裝對照表 (Mapping Table)'!E:E,'FL5_POR_包裝對照表 (Mapping Table)'!BM:BM,"",0,1)</f>
        <v>No demand</v>
      </c>
      <c r="AO121" s="813"/>
      <c r="AP121" s="813"/>
    </row>
    <row r="122" ht="25.5" customHeight="1">
      <c r="A122" s="889"/>
      <c r="B122" s="877">
        <v>116.0</v>
      </c>
      <c r="C122" s="891" t="str">
        <f>if(isblank(F122),"",'FL5_POR_包裝對照表 (Mapping Table)'!$E$4)</f>
        <v>GFL (FL5)</v>
      </c>
      <c r="D122" s="878" t="str">
        <f t="array" ref="D122">if(isblank(F122),"",xlookup(F122,'FL5_POR_包裝對照表 (Mapping Table)'!E:E,'FL5_POR_包裝對照表 (Mapping Table)'!AZ:AZ,"",0,1))</f>
        <v>MP</v>
      </c>
      <c r="E122" s="677" t="str">
        <f t="shared" si="2"/>
        <v>Close</v>
      </c>
      <c r="F122" s="879" t="s">
        <v>1017</v>
      </c>
      <c r="G122" s="892" t="str">
        <f t="array" ref="G122">if(isblank(F122),"",xlookup(F122,'FL5_POR_包裝對照表 (Mapping Table)'!E:E,'FL5_POR_包裝對照表 (Mapping Table)'!D:D,"",0,1))</f>
        <v>Retail Pack</v>
      </c>
      <c r="H122" s="893" t="str">
        <f t="array" ref="H122">if(isblank(F122),"",xlookup(F122,'FL5_POR_包裝對照表 (Mapping Table)'!E:E,'FL5_POR_包裝對照表 (Mapping Table)'!E:E,"",0,1))</f>
        <v>GA10772-US</v>
      </c>
      <c r="I122" s="677" t="str">
        <f t="array" ref="I122">if(isblank(F122),"",xlookup(F122,'FL5_POR_包裝對照表 (Mapping Table)'!E:E,'FL5_POR_包裝對照表 (Mapping Table)'!AN:AN,"",0,1))</f>
        <v>G950-15935-03</v>
      </c>
      <c r="J122" s="894" t="str">
        <f t="array" ref="J122">if(isblank(F122),"",xlookup(G122,z_Others!$B$5:$B$17,z_Others!$C$5:$C$17,"",0,1))</f>
        <v>智能手機</v>
      </c>
      <c r="K122" s="894" t="str">
        <f t="array" ref="K122">if(isblank(F122),"",xlookup(G122,z_Others!$B$5:$B$17,z_Others!$E$5:$E$17,"",0,1))</f>
        <v>智能手機</v>
      </c>
      <c r="L122" s="894" t="str">
        <f t="array" ref="L122">if(isblank(F122),"",xlookup(G122,z_Others!$B$5:$B$17,z_Others!$F$5:$F$17,"",0,1))</f>
        <v>智能手機</v>
      </c>
      <c r="M122" s="894" t="str">
        <f t="shared" si="3"/>
        <v>Google</v>
      </c>
      <c r="N122" s="894" t="str">
        <f t="shared" si="4"/>
        <v>境外品牌（貼牌生產)</v>
      </c>
      <c r="O122" s="882" t="str">
        <f t="array" ref="O122">if(isblank(F122),"",xlookup(F122,'FL5_POR_包裝對照表 (Mapping Table)'!E:E,'FL5_POR_包裝對照表 (Mapping Table)'!L:L,"",0,1))</f>
        <v>GLBW0</v>
      </c>
      <c r="P122" s="895">
        <f t="array" ref="P122">if(isblank(F122),"",xlookup(G122,z_Others!$B$5:$B$17,z_Others!$J$5:$J$17,"",0,1))</f>
        <v>0.2029</v>
      </c>
      <c r="Q122" s="896">
        <f t="array" ref="Q122">if(isblank(F122),"",xlookup(F122,'FL5_POR_核價 (經管 &amp; BPM)'!E:E,'FL5_POR_核價 (經管 &amp; BPM)'!O:O,"",0,1))</f>
        <v>447.44</v>
      </c>
      <c r="R122" s="894" t="str">
        <f t="shared" si="5"/>
        <v>否</v>
      </c>
      <c r="S122" s="897" t="str">
        <f t="array" ref="S122">if(isblank(F122),"",xlookup(G122,z_Others!$B$5:$B$17,z_Others!$K$5:$K$17,"",0,1))</f>
        <v>(1) 說明書
(2) C-2-C USB 數據線</v>
      </c>
      <c r="T122" s="894" t="str">
        <f t="shared" si="6"/>
        <v>開發手機中框組件模型(適用于Google 牌手機)</v>
      </c>
      <c r="U122" s="898" t="str">
        <f t="array" ref="U122">if(isblank(F122),"",xlookup(G122,z_Others!$B$5:$B$17,z_Others!$G$5:$G$17,"",0,1))</f>
        <v>無線通話用</v>
      </c>
      <c r="V122" s="231" t="str">
        <f t="array" ref="V122">if(isblank(F122),"",xlookup(F122,'FL5_POR_包裝對照表 (Mapping Table)'!E:E,'FL5_POR_包裝對照表 (Mapping Table)'!AB:AB,"",0,1))</f>
        <v>SKU, CLR4, GOOD, MMWAVE, TMO, US, DEMO, FL5</v>
      </c>
      <c r="W122" s="899" t="str">
        <f t="array" ref="W122">if(isblank(F122),"",xlookup(G122,z_Others!$B$5:$B$17,z_Others!$I$5:$I$17,"",0,1))</f>
        <v>152.83 x 71.98 x 12.01</v>
      </c>
      <c r="X122" s="894" t="str">
        <f t="shared" si="7"/>
        <v>Google</v>
      </c>
      <c r="Y122" s="894" t="str">
        <f t="shared" si="8"/>
        <v>Tensor series</v>
      </c>
      <c r="Z122" s="900" t="str">
        <f t="shared" si="9"/>
        <v>蜂窩網絡</v>
      </c>
      <c r="AA122" s="900" t="str">
        <f t="shared" si="10"/>
        <v>WCDMA&amp;GSM&amp;LTE&amp;5G制式</v>
      </c>
      <c r="AB122" s="878" t="str">
        <f t="array" ref="AB122">if(isblank(F122),"",xlookup(AJ122,z_Others!$M$5:$M$9,z_Others!$Q$5:$Q$9,"",0,1))</f>
        <v>直板、6.29 英寸彩屏、內存128G、GPRS、藍牙、前攝1100萬、後攝1200/5000萬</v>
      </c>
      <c r="AC122" s="900" t="str">
        <f t="shared" si="11"/>
        <v>中國</v>
      </c>
      <c r="AD122" s="894" t="str">
        <f t="array" ref="AD122">if(isblank(F122),"",xlookup(G122,z_Others!$B$5:$B$14,z_Others!$H$5:$H$14,"",0,1))</f>
        <v>附件07 (FATP手機)</v>
      </c>
      <c r="AE122" s="901" t="str">
        <f t="shared" si="12"/>
        <v>Foxconn</v>
      </c>
      <c r="AF122" s="791">
        <v>45783.0</v>
      </c>
      <c r="AG122" s="791">
        <f t="shared" si="17"/>
        <v>45859</v>
      </c>
      <c r="AH122" s="902">
        <v>45838.0</v>
      </c>
      <c r="AI122" s="787">
        <v>45811.0</v>
      </c>
      <c r="AJ122" s="677" t="str">
        <f t="array" ref="AJ122">if(isblank(F122),"",xlookup(F122,'FL5_POR_包裝對照表 (Mapping Table)'!E:E,'FL5_POR_包裝對照表 (Mapping Table)'!AS:AS,"",0,1))</f>
        <v>128GB</v>
      </c>
      <c r="AK122" s="677" t="str">
        <f t="array" ref="AK122">if(isblank(F122),"",xlookup(F122,'FL5_POR_包裝對照表 (Mapping Table)'!E:E,'FL5_POR_包裝對照表 (Mapping Table)'!K:K,"",0,1))</f>
        <v>BUE</v>
      </c>
      <c r="AL122" s="677">
        <v>3333.0</v>
      </c>
      <c r="AM122" s="811"/>
      <c r="AN122" s="888" t="str">
        <f t="array" ref="AN122">xlookup(F122,'FL5_POR_包裝對照表 (Mapping Table)'!E:E,'FL5_POR_包裝對照表 (Mapping Table)'!BM:BM,"",0,1)</f>
        <v>No demand</v>
      </c>
      <c r="AO122" s="813"/>
      <c r="AP122" s="813"/>
    </row>
    <row r="123" ht="25.5" customHeight="1">
      <c r="A123" s="889"/>
      <c r="B123" s="877">
        <v>117.0</v>
      </c>
      <c r="C123" s="891" t="str">
        <f>if(isblank(F123),"",'FL5_POR_包裝對照表 (Mapping Table)'!$E$4)</f>
        <v>GFL (FL5)</v>
      </c>
      <c r="D123" s="878" t="str">
        <f t="array" ref="D123">if(isblank(F123),"",xlookup(F123,'FL5_POR_包裝對照表 (Mapping Table)'!E:E,'FL5_POR_包裝對照表 (Mapping Table)'!AZ:AZ,"",0,1))</f>
        <v>MP</v>
      </c>
      <c r="E123" s="677" t="str">
        <f t="shared" si="2"/>
        <v>Close</v>
      </c>
      <c r="F123" s="879" t="s">
        <v>1022</v>
      </c>
      <c r="G123" s="892" t="str">
        <f t="array" ref="G123">if(isblank(F123),"",xlookup(F123,'FL5_POR_包裝對照表 (Mapping Table)'!E:E,'FL5_POR_包裝對照表 (Mapping Table)'!D:D,"",0,1))</f>
        <v>Retail Pack</v>
      </c>
      <c r="H123" s="893" t="str">
        <f t="array" ref="H123">if(isblank(F123),"",xlookup(F123,'FL5_POR_包裝對照表 (Mapping Table)'!E:E,'FL5_POR_包裝對照表 (Mapping Table)'!E:E,"",0,1))</f>
        <v>GA10773-US</v>
      </c>
      <c r="I123" s="677" t="str">
        <f t="array" ref="I123">if(isblank(F123),"",xlookup(F123,'FL5_POR_包裝對照表 (Mapping Table)'!E:E,'FL5_POR_包裝對照表 (Mapping Table)'!AN:AN,"",0,1))</f>
        <v>G950-15935-00</v>
      </c>
      <c r="J123" s="894" t="str">
        <f t="array" ref="J123">if(isblank(F123),"",xlookup(G123,z_Others!$B$5:$B$17,z_Others!$C$5:$C$17,"",0,1))</f>
        <v>智能手機</v>
      </c>
      <c r="K123" s="894" t="str">
        <f t="array" ref="K123">if(isblank(F123),"",xlookup(G123,z_Others!$B$5:$B$17,z_Others!$E$5:$E$17,"",0,1))</f>
        <v>智能手機</v>
      </c>
      <c r="L123" s="894" t="str">
        <f t="array" ref="L123">if(isblank(F123),"",xlookup(G123,z_Others!$B$5:$B$17,z_Others!$F$5:$F$17,"",0,1))</f>
        <v>智能手機</v>
      </c>
      <c r="M123" s="894" t="str">
        <f t="shared" si="3"/>
        <v>Google</v>
      </c>
      <c r="N123" s="894" t="str">
        <f t="shared" si="4"/>
        <v>境外品牌（貼牌生產)</v>
      </c>
      <c r="O123" s="882" t="str">
        <f t="array" ref="O123">if(isblank(F123),"",xlookup(F123,'FL5_POR_包裝對照表 (Mapping Table)'!E:E,'FL5_POR_包裝對照表 (Mapping Table)'!L:L,"",0,1))</f>
        <v>GLBW0</v>
      </c>
      <c r="P123" s="895">
        <f t="array" ref="P123">if(isblank(F123),"",xlookup(G123,z_Others!$B$5:$B$17,z_Others!$J$5:$J$17,"",0,1))</f>
        <v>0.2029</v>
      </c>
      <c r="Q123" s="896">
        <f t="array" ref="Q123">if(isblank(F123),"",xlookup(F123,'FL5_POR_核價 (經管 &amp; BPM)'!E:E,'FL5_POR_核價 (經管 &amp; BPM)'!O:O,"",0,1))</f>
        <v>447.04</v>
      </c>
      <c r="R123" s="894" t="str">
        <f t="shared" si="5"/>
        <v>否</v>
      </c>
      <c r="S123" s="897" t="str">
        <f t="array" ref="S123">if(isblank(F123),"",xlookup(G123,z_Others!$B$5:$B$17,z_Others!$K$5:$K$17,"",0,1))</f>
        <v>(1) 說明書
(2) C-2-C USB 數據線</v>
      </c>
      <c r="T123" s="894" t="str">
        <f t="shared" si="6"/>
        <v>開發手機中框組件模型(適用于Google 牌手機)</v>
      </c>
      <c r="U123" s="898" t="str">
        <f t="array" ref="U123">if(isblank(F123),"",xlookup(G123,z_Others!$B$5:$B$17,z_Others!$G$5:$G$17,"",0,1))</f>
        <v>無線通話用</v>
      </c>
      <c r="V123" s="231" t="str">
        <f t="array" ref="V123">if(isblank(F123),"",xlookup(F123,'FL5_POR_包裝對照表 (Mapping Table)'!E:E,'FL5_POR_包裝對照表 (Mapping Table)'!AB:AB,"",0,1))</f>
        <v>SKU, CLR1, GOOD, MMWAVE, ATT, US, DEMO, FL5</v>
      </c>
      <c r="W123" s="899" t="str">
        <f t="array" ref="W123">if(isblank(F123),"",xlookup(G123,z_Others!$B$5:$B$17,z_Others!$I$5:$I$17,"",0,1))</f>
        <v>152.83 x 71.98 x 12.01</v>
      </c>
      <c r="X123" s="894" t="str">
        <f t="shared" si="7"/>
        <v>Google</v>
      </c>
      <c r="Y123" s="894" t="str">
        <f t="shared" si="8"/>
        <v>Tensor series</v>
      </c>
      <c r="Z123" s="900" t="str">
        <f t="shared" si="9"/>
        <v>蜂窩網絡</v>
      </c>
      <c r="AA123" s="900" t="str">
        <f t="shared" si="10"/>
        <v>WCDMA&amp;GSM&amp;LTE&amp;5G制式</v>
      </c>
      <c r="AB123" s="878" t="str">
        <f t="array" ref="AB123">if(isblank(F123),"",xlookup(AJ123,z_Others!$M$5:$M$9,z_Others!$Q$5:$Q$9,"",0,1))</f>
        <v>直板、6.29 英寸彩屏、內存128G、GPRS、藍牙、前攝1100萬、後攝1200/5000萬</v>
      </c>
      <c r="AC123" s="900" t="str">
        <f t="shared" si="11"/>
        <v>中國</v>
      </c>
      <c r="AD123" s="894" t="str">
        <f t="array" ref="AD123">if(isblank(F123),"",xlookup(G123,z_Others!$B$5:$B$14,z_Others!$H$5:$H$14,"",0,1))</f>
        <v>附件07 (FATP手機)</v>
      </c>
      <c r="AE123" s="901" t="str">
        <f t="shared" si="12"/>
        <v>Foxconn</v>
      </c>
      <c r="AF123" s="791">
        <v>45783.0</v>
      </c>
      <c r="AG123" s="791">
        <f t="shared" si="17"/>
        <v>45859</v>
      </c>
      <c r="AH123" s="902">
        <v>45859.0</v>
      </c>
      <c r="AI123" s="787">
        <v>45811.0</v>
      </c>
      <c r="AJ123" s="677" t="str">
        <f t="array" ref="AJ123">if(isblank(F123),"",xlookup(F123,'FL5_POR_包裝對照表 (Mapping Table)'!E:E,'FL5_POR_包裝對照表 (Mapping Table)'!AS:AS,"",0,1))</f>
        <v>128GB</v>
      </c>
      <c r="AK123" s="677" t="str">
        <f t="array" ref="AK123">if(isblank(F123),"",xlookup(F123,'FL5_POR_包裝對照表 (Mapping Table)'!E:E,'FL5_POR_包裝對照表 (Mapping Table)'!K:K,"",0,1))</f>
        <v>BLK</v>
      </c>
      <c r="AL123" s="677">
        <v>3430.0</v>
      </c>
      <c r="AM123" s="811"/>
      <c r="AN123" s="888" t="str">
        <f t="array" ref="AN123">xlookup(F123,'FL5_POR_包裝對照表 (Mapping Table)'!E:E,'FL5_POR_包裝對照表 (Mapping Table)'!BM:BM,"",0,1)</f>
        <v>No demand</v>
      </c>
      <c r="AO123" s="813"/>
      <c r="AP123" s="813"/>
    </row>
    <row r="124" ht="25.5" customHeight="1">
      <c r="A124" s="889"/>
      <c r="B124" s="877">
        <v>118.0</v>
      </c>
      <c r="C124" s="891" t="str">
        <f>if(isblank(F124),"",'FL5_POR_包裝對照表 (Mapping Table)'!$E$4)</f>
        <v>GFL (FL5)</v>
      </c>
      <c r="D124" s="878" t="str">
        <f t="array" ref="D124">if(isblank(F124),"",xlookup(F124,'FL5_POR_包裝對照表 (Mapping Table)'!E:E,'FL5_POR_包裝對照表 (Mapping Table)'!AZ:AZ,"",0,1))</f>
        <v>MP</v>
      </c>
      <c r="E124" s="677" t="str">
        <f t="shared" si="2"/>
        <v>Close</v>
      </c>
      <c r="F124" s="879" t="s">
        <v>1028</v>
      </c>
      <c r="G124" s="892" t="str">
        <f t="array" ref="G124">if(isblank(F124),"",xlookup(F124,'FL5_POR_包裝對照表 (Mapping Table)'!E:E,'FL5_POR_包裝對照表 (Mapping Table)'!D:D,"",0,1))</f>
        <v>Retail Pack</v>
      </c>
      <c r="H124" s="893" t="str">
        <f t="array" ref="H124">if(isblank(F124),"",xlookup(F124,'FL5_POR_包裝對照表 (Mapping Table)'!E:E,'FL5_POR_包裝對照表 (Mapping Table)'!E:E,"",0,1))</f>
        <v>GA10774-US</v>
      </c>
      <c r="I124" s="677" t="str">
        <f t="array" ref="I124">if(isblank(F124),"",xlookup(F124,'FL5_POR_包裝對照表 (Mapping Table)'!E:E,'FL5_POR_包裝對照表 (Mapping Table)'!AN:AN,"",0,1))</f>
        <v>G950-15935-03</v>
      </c>
      <c r="J124" s="894" t="str">
        <f t="array" ref="J124">if(isblank(F124),"",xlookup(G124,z_Others!$B$5:$B$17,z_Others!$C$5:$C$17,"",0,1))</f>
        <v>智能手機</v>
      </c>
      <c r="K124" s="894" t="str">
        <f t="array" ref="K124">if(isblank(F124),"",xlookup(G124,z_Others!$B$5:$B$17,z_Others!$E$5:$E$17,"",0,1))</f>
        <v>智能手機</v>
      </c>
      <c r="L124" s="894" t="str">
        <f t="array" ref="L124">if(isblank(F124),"",xlookup(G124,z_Others!$B$5:$B$17,z_Others!$F$5:$F$17,"",0,1))</f>
        <v>智能手機</v>
      </c>
      <c r="M124" s="894" t="str">
        <f t="shared" si="3"/>
        <v>Google</v>
      </c>
      <c r="N124" s="894" t="str">
        <f t="shared" si="4"/>
        <v>境外品牌（貼牌生產)</v>
      </c>
      <c r="O124" s="882" t="str">
        <f t="array" ref="O124">if(isblank(F124),"",xlookup(F124,'FL5_POR_包裝對照表 (Mapping Table)'!E:E,'FL5_POR_包裝對照表 (Mapping Table)'!L:L,"",0,1))</f>
        <v>GLBW0</v>
      </c>
      <c r="P124" s="895">
        <f t="array" ref="P124">if(isblank(F124),"",xlookup(G124,z_Others!$B$5:$B$17,z_Others!$J$5:$J$17,"",0,1))</f>
        <v>0.2029</v>
      </c>
      <c r="Q124" s="896">
        <f t="array" ref="Q124">if(isblank(F124),"",xlookup(F124,'FL5_POR_核價 (經管 &amp; BPM)'!E:E,'FL5_POR_核價 (經管 &amp; BPM)'!O:O,"",0,1))</f>
        <v>447.44</v>
      </c>
      <c r="R124" s="894" t="str">
        <f t="shared" si="5"/>
        <v>否</v>
      </c>
      <c r="S124" s="897" t="str">
        <f t="array" ref="S124">if(isblank(F124),"",xlookup(G124,z_Others!$B$5:$B$17,z_Others!$K$5:$K$17,"",0,1))</f>
        <v>(1) 說明書
(2) C-2-C USB 數據線</v>
      </c>
      <c r="T124" s="894" t="str">
        <f t="shared" si="6"/>
        <v>開發手機中框組件模型(適用于Google 牌手機)</v>
      </c>
      <c r="U124" s="898" t="str">
        <f t="array" ref="U124">if(isblank(F124),"",xlookup(G124,z_Others!$B$5:$B$17,z_Others!$G$5:$G$17,"",0,1))</f>
        <v>無線通話用</v>
      </c>
      <c r="V124" s="231" t="str">
        <f t="array" ref="V124">if(isblank(F124),"",xlookup(F124,'FL5_POR_包裝對照表 (Mapping Table)'!E:E,'FL5_POR_包裝對照表 (Mapping Table)'!AB:AB,"",0,1))</f>
        <v>SKU, CLR4, GOOD, MMWAVE, ATT, US, DEMO, FL5</v>
      </c>
      <c r="W124" s="899" t="str">
        <f t="array" ref="W124">if(isblank(F124),"",xlookup(G124,z_Others!$B$5:$B$17,z_Others!$I$5:$I$17,"",0,1))</f>
        <v>152.83 x 71.98 x 12.01</v>
      </c>
      <c r="X124" s="894" t="str">
        <f t="shared" si="7"/>
        <v>Google</v>
      </c>
      <c r="Y124" s="894" t="str">
        <f t="shared" si="8"/>
        <v>Tensor series</v>
      </c>
      <c r="Z124" s="900" t="str">
        <f t="shared" si="9"/>
        <v>蜂窩網絡</v>
      </c>
      <c r="AA124" s="900" t="str">
        <f t="shared" si="10"/>
        <v>WCDMA&amp;GSM&amp;LTE&amp;5G制式</v>
      </c>
      <c r="AB124" s="878" t="str">
        <f t="array" ref="AB124">if(isblank(F124),"",xlookup(AJ124,z_Others!$M$5:$M$9,z_Others!$Q$5:$Q$9,"",0,1))</f>
        <v>直板、6.29 英寸彩屏、內存128G、GPRS、藍牙、前攝1100萬、後攝1200/5000萬</v>
      </c>
      <c r="AC124" s="900" t="str">
        <f t="shared" si="11"/>
        <v>中國</v>
      </c>
      <c r="AD124" s="894" t="str">
        <f t="array" ref="AD124">if(isblank(F124),"",xlookup(G124,z_Others!$B$5:$B$14,z_Others!$H$5:$H$14,"",0,1))</f>
        <v>附件07 (FATP手機)</v>
      </c>
      <c r="AE124" s="901" t="str">
        <f t="shared" si="12"/>
        <v>Foxconn</v>
      </c>
      <c r="AF124" s="791">
        <v>45783.0</v>
      </c>
      <c r="AG124" s="791">
        <f t="shared" si="17"/>
        <v>45859</v>
      </c>
      <c r="AH124" s="902">
        <v>45838.0</v>
      </c>
      <c r="AI124" s="787">
        <v>45811.0</v>
      </c>
      <c r="AJ124" s="677" t="str">
        <f t="array" ref="AJ124">if(isblank(F124),"",xlookup(F124,'FL5_POR_包裝對照表 (Mapping Table)'!E:E,'FL5_POR_包裝對照表 (Mapping Table)'!AS:AS,"",0,1))</f>
        <v>128GB</v>
      </c>
      <c r="AK124" s="677" t="str">
        <f t="array" ref="AK124">if(isblank(F124),"",xlookup(F124,'FL5_POR_包裝對照表 (Mapping Table)'!E:E,'FL5_POR_包裝對照表 (Mapping Table)'!K:K,"",0,1))</f>
        <v>BUE</v>
      </c>
      <c r="AL124" s="677">
        <v>3332.0</v>
      </c>
      <c r="AM124" s="811"/>
      <c r="AN124" s="888" t="str">
        <f t="array" ref="AN124">xlookup(F124,'FL5_POR_包裝對照表 (Mapping Table)'!E:E,'FL5_POR_包裝對照表 (Mapping Table)'!BM:BM,"",0,1)</f>
        <v>No demand</v>
      </c>
      <c r="AO124" s="813"/>
      <c r="AP124" s="813"/>
    </row>
    <row r="125" ht="25.5" customHeight="1">
      <c r="A125" s="889"/>
      <c r="B125" s="877">
        <v>119.0</v>
      </c>
      <c r="C125" s="891" t="str">
        <f>if(isblank(F125),"",'FL5_POR_包裝對照表 (Mapping Table)'!$E$4)</f>
        <v>GFL (FL5)</v>
      </c>
      <c r="D125" s="878" t="str">
        <f t="array" ref="D125">if(isblank(F125),"",xlookup(F125,'FL5_POR_包裝對照表 (Mapping Table)'!E:E,'FL5_POR_包裝對照表 (Mapping Table)'!AZ:AZ,"",0,1))</f>
        <v>MP</v>
      </c>
      <c r="E125" s="677" t="str">
        <f t="shared" si="2"/>
        <v>Close</v>
      </c>
      <c r="F125" s="879" t="s">
        <v>1055</v>
      </c>
      <c r="G125" s="892" t="str">
        <f t="array" ref="G125">if(isblank(F125),"",xlookup(F125,'FL5_POR_包裝對照表 (Mapping Table)'!E:E,'FL5_POR_包裝對照表 (Mapping Table)'!D:D,"",0,1))</f>
        <v>Retail Pack</v>
      </c>
      <c r="H125" s="893" t="str">
        <f t="array" ref="H125">if(isblank(F125),"",xlookup(F125,'FL5_POR_包裝對照表 (Mapping Table)'!E:E,'FL5_POR_包裝對照表 (Mapping Table)'!E:E,"",0,1))</f>
        <v>GA10775-CA</v>
      </c>
      <c r="I125" s="677" t="str">
        <f t="array" ref="I125">if(isblank(F125),"",xlookup(F125,'FL5_POR_包裝對照表 (Mapping Table)'!E:E,'FL5_POR_包裝對照表 (Mapping Table)'!AN:AN,"",0,1))</f>
        <v>G950-15935-10</v>
      </c>
      <c r="J125" s="894" t="str">
        <f t="array" ref="J125">if(isblank(F125),"",xlookup(G125,z_Others!$B$5:$B$17,z_Others!$C$5:$C$17,"",0,1))</f>
        <v>智能手機</v>
      </c>
      <c r="K125" s="894" t="str">
        <f t="array" ref="K125">if(isblank(F125),"",xlookup(G125,z_Others!$B$5:$B$17,z_Others!$E$5:$E$17,"",0,1))</f>
        <v>智能手機</v>
      </c>
      <c r="L125" s="894" t="str">
        <f t="array" ref="L125">if(isblank(F125),"",xlookup(G125,z_Others!$B$5:$B$17,z_Others!$F$5:$F$17,"",0,1))</f>
        <v>智能手機</v>
      </c>
      <c r="M125" s="894" t="str">
        <f t="shared" si="3"/>
        <v>Google</v>
      </c>
      <c r="N125" s="894" t="str">
        <f t="shared" si="4"/>
        <v>境外品牌（貼牌生產)</v>
      </c>
      <c r="O125" s="882" t="str">
        <f t="array" ref="O125">if(isblank(F125),"",xlookup(F125,'FL5_POR_包裝對照表 (Mapping Table)'!E:E,'FL5_POR_包裝對照表 (Mapping Table)'!L:L,"",0,1))</f>
        <v>GK2MP</v>
      </c>
      <c r="P125" s="895">
        <f t="array" ref="P125">if(isblank(F125),"",xlookup(G125,z_Others!$B$5:$B$17,z_Others!$J$5:$J$17,"",0,1))</f>
        <v>0.2029</v>
      </c>
      <c r="Q125" s="896">
        <f t="array" ref="Q125">if(isblank(F125),"",xlookup(F125,'FL5_POR_核價 (經管 &amp; BPM)'!E:E,'FL5_POR_核價 (經管 &amp; BPM)'!O:O,"",0,1))</f>
        <v>429.66</v>
      </c>
      <c r="R125" s="894" t="str">
        <f t="shared" si="5"/>
        <v>否</v>
      </c>
      <c r="S125" s="897" t="str">
        <f t="array" ref="S125">if(isblank(F125),"",xlookup(G125,z_Others!$B$5:$B$17,z_Others!$K$5:$K$17,"",0,1))</f>
        <v>(1) 說明書
(2) C-2-C USB 數據線</v>
      </c>
      <c r="T125" s="894" t="str">
        <f t="shared" si="6"/>
        <v>開發手機中框組件模型(適用于Google 牌手機)</v>
      </c>
      <c r="U125" s="898" t="str">
        <f t="array" ref="U125">if(isblank(F125),"",xlookup(G125,z_Others!$B$5:$B$17,z_Others!$G$5:$G$17,"",0,1))</f>
        <v>無線通話用</v>
      </c>
      <c r="V125" s="231" t="str">
        <f t="array" ref="V125">if(isblank(F125),"",xlookup(F125,'FL5_POR_包裝對照表 (Mapping Table)'!E:E,'FL5_POR_包裝對照表 (Mapping Table)'!AB:AB,"",0,1))</f>
        <v>SKU, CLR1, GOOD, SUB6, CA/TW/SG/MY/AU/MX, DEMO, FL5</v>
      </c>
      <c r="W125" s="899" t="str">
        <f t="array" ref="W125">if(isblank(F125),"",xlookup(G125,z_Others!$B$5:$B$17,z_Others!$I$5:$I$17,"",0,1))</f>
        <v>152.83 x 71.98 x 12.01</v>
      </c>
      <c r="X125" s="894" t="str">
        <f t="shared" si="7"/>
        <v>Google</v>
      </c>
      <c r="Y125" s="894" t="str">
        <f t="shared" si="8"/>
        <v>Tensor series</v>
      </c>
      <c r="Z125" s="900" t="str">
        <f t="shared" si="9"/>
        <v>蜂窩網絡</v>
      </c>
      <c r="AA125" s="900" t="str">
        <f t="shared" si="10"/>
        <v>WCDMA&amp;GSM&amp;LTE&amp;5G制式</v>
      </c>
      <c r="AB125" s="878" t="str">
        <f t="array" ref="AB125">if(isblank(F125),"",xlookup(AJ125,z_Others!$M$5:$M$9,z_Others!$Q$5:$Q$9,"",0,1))</f>
        <v>直板、6.29 英寸彩屏、內存128G、GPRS、藍牙、前攝1100萬、後攝1200/5000萬</v>
      </c>
      <c r="AC125" s="900" t="str">
        <f t="shared" si="11"/>
        <v>中國</v>
      </c>
      <c r="AD125" s="894" t="str">
        <f t="array" ref="AD125">if(isblank(F125),"",xlookup(G125,z_Others!$B$5:$B$14,z_Others!$H$5:$H$14,"",0,1))</f>
        <v>附件07 (FATP手機)</v>
      </c>
      <c r="AE125" s="901" t="str">
        <f t="shared" si="12"/>
        <v>Foxconn</v>
      </c>
      <c r="AF125" s="791">
        <v>45783.0</v>
      </c>
      <c r="AG125" s="791">
        <f t="shared" si="17"/>
        <v>45859</v>
      </c>
      <c r="AH125" s="902">
        <v>45859.0</v>
      </c>
      <c r="AI125" s="787">
        <v>45811.0</v>
      </c>
      <c r="AJ125" s="677" t="str">
        <f t="array" ref="AJ125">if(isblank(F125),"",xlookup(F125,'FL5_POR_包裝對照表 (Mapping Table)'!E:E,'FL5_POR_包裝對照表 (Mapping Table)'!AS:AS,"",0,1))</f>
        <v>128GB</v>
      </c>
      <c r="AK125" s="677" t="str">
        <f t="array" ref="AK125">if(isblank(F125),"",xlookup(F125,'FL5_POR_包裝對照表 (Mapping Table)'!E:E,'FL5_POR_包裝對照表 (Mapping Table)'!K:K,"",0,1))</f>
        <v>BLK</v>
      </c>
      <c r="AL125" s="677">
        <v>3423.0</v>
      </c>
      <c r="AM125" s="811"/>
      <c r="AN125" s="888" t="str">
        <f t="array" ref="AN125">xlookup(F125,'FL5_POR_包裝對照表 (Mapping Table)'!E:E,'FL5_POR_包裝對照表 (Mapping Table)'!BM:BM,"",0,1)</f>
        <v>No demand</v>
      </c>
      <c r="AO125" s="813"/>
      <c r="AP125" s="813"/>
    </row>
    <row r="126" ht="25.5" customHeight="1">
      <c r="A126" s="889"/>
      <c r="B126" s="877">
        <v>120.0</v>
      </c>
      <c r="C126" s="891" t="str">
        <f>if(isblank(F126),"",'FL5_POR_包裝對照表 (Mapping Table)'!$E$4)</f>
        <v>GFL (FL5)</v>
      </c>
      <c r="D126" s="878" t="str">
        <f t="array" ref="D126">if(isblank(F126),"",xlookup(F126,'FL5_POR_包裝對照表 (Mapping Table)'!E:E,'FL5_POR_包裝對照表 (Mapping Table)'!AZ:AZ,"",0,1))</f>
        <v>MP</v>
      </c>
      <c r="E126" s="677" t="str">
        <f t="shared" si="2"/>
        <v>Close</v>
      </c>
      <c r="F126" s="879" t="s">
        <v>1066</v>
      </c>
      <c r="G126" s="892" t="str">
        <f t="array" ref="G126">if(isblank(F126),"",xlookup(F126,'FL5_POR_包裝對照表 (Mapping Table)'!E:E,'FL5_POR_包裝對照表 (Mapping Table)'!D:D,"",0,1))</f>
        <v>Retail Pack</v>
      </c>
      <c r="H126" s="893" t="str">
        <f t="array" ref="H126">if(isblank(F126),"",xlookup(F126,'FL5_POR_包裝對照表 (Mapping Table)'!E:E,'FL5_POR_包裝對照表 (Mapping Table)'!E:E,"",0,1))</f>
        <v>GA10775-GB</v>
      </c>
      <c r="I126" s="677" t="str">
        <f t="array" ref="I126">if(isblank(F126),"",xlookup(F126,'FL5_POR_包裝對照表 (Mapping Table)'!E:E,'FL5_POR_包裝對照表 (Mapping Table)'!AN:AN,"",0,1))</f>
        <v>G950-15935-10</v>
      </c>
      <c r="J126" s="894" t="str">
        <f t="array" ref="J126">if(isblank(F126),"",xlookup(G126,z_Others!$B$5:$B$17,z_Others!$C$5:$C$17,"",0,1))</f>
        <v>智能手機</v>
      </c>
      <c r="K126" s="894" t="str">
        <f t="array" ref="K126">if(isblank(F126),"",xlookup(G126,z_Others!$B$5:$B$17,z_Others!$E$5:$E$17,"",0,1))</f>
        <v>智能手機</v>
      </c>
      <c r="L126" s="894" t="str">
        <f t="array" ref="L126">if(isblank(F126),"",xlookup(G126,z_Others!$B$5:$B$17,z_Others!$F$5:$F$17,"",0,1))</f>
        <v>智能手機</v>
      </c>
      <c r="M126" s="894" t="str">
        <f t="shared" si="3"/>
        <v>Google</v>
      </c>
      <c r="N126" s="894" t="str">
        <f t="shared" si="4"/>
        <v>境外品牌（貼牌生產)</v>
      </c>
      <c r="O126" s="882" t="str">
        <f t="array" ref="O126">if(isblank(F126),"",xlookup(F126,'FL5_POR_包裝對照表 (Mapping Table)'!E:E,'FL5_POR_包裝對照表 (Mapping Table)'!L:L,"",0,1))</f>
        <v> GK2MP</v>
      </c>
      <c r="P126" s="895">
        <f t="array" ref="P126">if(isblank(F126),"",xlookup(G126,z_Others!$B$5:$B$17,z_Others!$J$5:$J$17,"",0,1))</f>
        <v>0.2029</v>
      </c>
      <c r="Q126" s="896">
        <f t="array" ref="Q126">if(isblank(F126),"",xlookup(F126,'FL5_POR_核價 (經管 &amp; BPM)'!E:E,'FL5_POR_核價 (經管 &amp; BPM)'!O:O,"",0,1))</f>
        <v>430.17</v>
      </c>
      <c r="R126" s="894" t="str">
        <f t="shared" si="5"/>
        <v>否</v>
      </c>
      <c r="S126" s="897" t="str">
        <f t="array" ref="S126">if(isblank(F126),"",xlookup(G126,z_Others!$B$5:$B$17,z_Others!$K$5:$K$17,"",0,1))</f>
        <v>(1) 說明書
(2) C-2-C USB 數據線</v>
      </c>
      <c r="T126" s="894" t="str">
        <f t="shared" si="6"/>
        <v>開發手機中框組件模型(適用于Google 牌手機)</v>
      </c>
      <c r="U126" s="898" t="str">
        <f t="array" ref="U126">if(isblank(F126),"",xlookup(G126,z_Others!$B$5:$B$17,z_Others!$G$5:$G$17,"",0,1))</f>
        <v>無線通話用</v>
      </c>
      <c r="V126" s="231" t="str">
        <f t="array" ref="V126">if(isblank(F126),"",xlookup(F126,'FL5_POR_包裝對照表 (Mapping Table)'!E:E,'FL5_POR_包裝對照表 (Mapping Table)'!AB:AB,"",0,1))</f>
        <v>SKU, CLR1, GOOD, SUB6, UK/EU, DEMO, FL5</v>
      </c>
      <c r="W126" s="899" t="str">
        <f t="array" ref="W126">if(isblank(F126),"",xlookup(G126,z_Others!$B$5:$B$17,z_Others!$I$5:$I$17,"",0,1))</f>
        <v>152.83 x 71.98 x 12.01</v>
      </c>
      <c r="X126" s="894" t="str">
        <f t="shared" si="7"/>
        <v>Google</v>
      </c>
      <c r="Y126" s="894" t="str">
        <f t="shared" si="8"/>
        <v>Tensor series</v>
      </c>
      <c r="Z126" s="900" t="str">
        <f t="shared" si="9"/>
        <v>蜂窩網絡</v>
      </c>
      <c r="AA126" s="900" t="str">
        <f t="shared" si="10"/>
        <v>WCDMA&amp;GSM&amp;LTE&amp;5G制式</v>
      </c>
      <c r="AB126" s="878" t="str">
        <f t="array" ref="AB126">if(isblank(F126),"",xlookup(AJ126,z_Others!$M$5:$M$9,z_Others!$Q$5:$Q$9,"",0,1))</f>
        <v>直板、6.29 英寸彩屏、內存128G、GPRS、藍牙、前攝1100萬、後攝1200/5000萬</v>
      </c>
      <c r="AC126" s="900" t="str">
        <f t="shared" si="11"/>
        <v>中國</v>
      </c>
      <c r="AD126" s="894" t="str">
        <f t="array" ref="AD126">if(isblank(F126),"",xlookup(G126,z_Others!$B$5:$B$14,z_Others!$H$5:$H$14,"",0,1))</f>
        <v>附件07 (FATP手機)</v>
      </c>
      <c r="AE126" s="901" t="str">
        <f t="shared" si="12"/>
        <v>Foxconn</v>
      </c>
      <c r="AF126" s="791">
        <v>45783.0</v>
      </c>
      <c r="AG126" s="791">
        <f t="shared" si="17"/>
        <v>45859</v>
      </c>
      <c r="AH126" s="902">
        <v>45859.0</v>
      </c>
      <c r="AI126" s="787">
        <v>45811.0</v>
      </c>
      <c r="AJ126" s="677" t="str">
        <f t="array" ref="AJ126">if(isblank(F126),"",xlookup(F126,'FL5_POR_包裝對照表 (Mapping Table)'!E:E,'FL5_POR_包裝對照表 (Mapping Table)'!AS:AS,"",0,1))</f>
        <v>128GB</v>
      </c>
      <c r="AK126" s="677" t="str">
        <f t="array" ref="AK126">if(isblank(F126),"",xlookup(F126,'FL5_POR_包裝對照表 (Mapping Table)'!E:E,'FL5_POR_包裝對照表 (Mapping Table)'!K:K,"",0,1))</f>
        <v>BLK</v>
      </c>
      <c r="AL126" s="677">
        <v>3422.0</v>
      </c>
      <c r="AM126" s="811"/>
      <c r="AN126" s="888" t="str">
        <f t="array" ref="AN126">xlookup(F126,'FL5_POR_包裝對照表 (Mapping Table)'!E:E,'FL5_POR_包裝對照表 (Mapping Table)'!BM:BM,"",0,1)</f>
        <v>No demand</v>
      </c>
      <c r="AO126" s="813"/>
      <c r="AP126" s="813"/>
    </row>
    <row r="127" ht="25.5" customHeight="1">
      <c r="A127" s="889"/>
      <c r="B127" s="877">
        <v>121.0</v>
      </c>
      <c r="C127" s="891" t="str">
        <f>if(isblank(F127),"",'FL5_POR_包裝對照表 (Mapping Table)'!$E$4)</f>
        <v>GFL (FL5)</v>
      </c>
      <c r="D127" s="878" t="str">
        <f t="array" ref="D127">if(isblank(F127),"",xlookup(F127,'FL5_POR_包裝對照表 (Mapping Table)'!E:E,'FL5_POR_包裝對照表 (Mapping Table)'!AZ:AZ,"",0,1))</f>
        <v>MP</v>
      </c>
      <c r="E127" s="677" t="str">
        <f t="shared" si="2"/>
        <v>Close</v>
      </c>
      <c r="F127" s="879" t="s">
        <v>1034</v>
      </c>
      <c r="G127" s="892" t="str">
        <f t="array" ref="G127">if(isblank(F127),"",xlookup(F127,'FL5_POR_包裝對照表 (Mapping Table)'!E:E,'FL5_POR_包裝對照表 (Mapping Table)'!D:D,"",0,1))</f>
        <v>Retail Pack</v>
      </c>
      <c r="H127" s="893" t="str">
        <f t="array" ref="H127">if(isblank(F127),"",xlookup(F127,'FL5_POR_包裝對照表 (Mapping Table)'!E:E,'FL5_POR_包裝對照表 (Mapping Table)'!E:E,"",0,1))</f>
        <v>GA10775-US</v>
      </c>
      <c r="I127" s="677" t="str">
        <f t="array" ref="I127">if(isblank(F127),"",xlookup(F127,'FL5_POR_包裝對照表 (Mapping Table)'!E:E,'FL5_POR_包裝對照表 (Mapping Table)'!AN:AN,"",0,1))</f>
        <v>G950-15935-00</v>
      </c>
      <c r="J127" s="894" t="str">
        <f t="array" ref="J127">if(isblank(F127),"",xlookup(G127,z_Others!$B$5:$B$17,z_Others!$C$5:$C$17,"",0,1))</f>
        <v>智能手機</v>
      </c>
      <c r="K127" s="894" t="str">
        <f t="array" ref="K127">if(isblank(F127),"",xlookup(G127,z_Others!$B$5:$B$17,z_Others!$E$5:$E$17,"",0,1))</f>
        <v>智能手機</v>
      </c>
      <c r="L127" s="894" t="str">
        <f t="array" ref="L127">if(isblank(F127),"",xlookup(G127,z_Others!$B$5:$B$17,z_Others!$F$5:$F$17,"",0,1))</f>
        <v>智能手機</v>
      </c>
      <c r="M127" s="894" t="str">
        <f t="shared" si="3"/>
        <v>Google</v>
      </c>
      <c r="N127" s="894" t="str">
        <f t="shared" si="4"/>
        <v>境外品牌（貼牌生產)</v>
      </c>
      <c r="O127" s="882" t="str">
        <f t="array" ref="O127">if(isblank(F127),"",xlookup(F127,'FL5_POR_包裝對照表 (Mapping Table)'!E:E,'FL5_POR_包裝對照表 (Mapping Table)'!L:L,"",0,1))</f>
        <v>GLBW0</v>
      </c>
      <c r="P127" s="895">
        <f t="array" ref="P127">if(isblank(F127),"",xlookup(G127,z_Others!$B$5:$B$17,z_Others!$J$5:$J$17,"",0,1))</f>
        <v>0.2029</v>
      </c>
      <c r="Q127" s="896">
        <f t="array" ref="Q127">if(isblank(F127),"",xlookup(F127,'FL5_POR_核價 (經管 &amp; BPM)'!E:E,'FL5_POR_核價 (經管 &amp; BPM)'!O:O,"",0,1))</f>
        <v>429.59</v>
      </c>
      <c r="R127" s="894" t="str">
        <f t="shared" si="5"/>
        <v>否</v>
      </c>
      <c r="S127" s="897" t="str">
        <f t="array" ref="S127">if(isblank(F127),"",xlookup(G127,z_Others!$B$5:$B$17,z_Others!$K$5:$K$17,"",0,1))</f>
        <v>(1) 說明書
(2) C-2-C USB 數據線</v>
      </c>
      <c r="T127" s="894" t="str">
        <f t="shared" si="6"/>
        <v>開發手機中框組件模型(適用于Google 牌手機)</v>
      </c>
      <c r="U127" s="898" t="str">
        <f t="array" ref="U127">if(isblank(F127),"",xlookup(G127,z_Others!$B$5:$B$17,z_Others!$G$5:$G$17,"",0,1))</f>
        <v>無線通話用</v>
      </c>
      <c r="V127" s="231" t="str">
        <f t="array" ref="V127">if(isblank(F127),"",xlookup(F127,'FL5_POR_包裝對照表 (Mapping Table)'!E:E,'FL5_POR_包裝對照表 (Mapping Table)'!AB:AB,"",0,1))</f>
        <v>SKU, CLR1, GOOD, MMWAVE, GSTORE, US, DEMO, FL5</v>
      </c>
      <c r="W127" s="899" t="str">
        <f t="array" ref="W127">if(isblank(F127),"",xlookup(G127,z_Others!$B$5:$B$17,z_Others!$I$5:$I$17,"",0,1))</f>
        <v>152.83 x 71.98 x 12.01</v>
      </c>
      <c r="X127" s="894" t="str">
        <f t="shared" si="7"/>
        <v>Google</v>
      </c>
      <c r="Y127" s="894" t="str">
        <f t="shared" si="8"/>
        <v>Tensor series</v>
      </c>
      <c r="Z127" s="900" t="str">
        <f t="shared" si="9"/>
        <v>蜂窩網絡</v>
      </c>
      <c r="AA127" s="900" t="str">
        <f t="shared" si="10"/>
        <v>WCDMA&amp;GSM&amp;LTE&amp;5G制式</v>
      </c>
      <c r="AB127" s="878" t="str">
        <f t="array" ref="AB127">if(isblank(F127),"",xlookup(AJ127,z_Others!$M$5:$M$9,z_Others!$Q$5:$Q$9,"",0,1))</f>
        <v>直板、6.29 英寸彩屏、內存128G、GPRS、藍牙、前攝1100萬、後攝1200/5000萬</v>
      </c>
      <c r="AC127" s="900" t="str">
        <f t="shared" si="11"/>
        <v>中國</v>
      </c>
      <c r="AD127" s="894" t="str">
        <f t="array" ref="AD127">if(isblank(F127),"",xlookup(G127,z_Others!$B$5:$B$14,z_Others!$H$5:$H$14,"",0,1))</f>
        <v>附件07 (FATP手機)</v>
      </c>
      <c r="AE127" s="901" t="str">
        <f t="shared" si="12"/>
        <v>Foxconn</v>
      </c>
      <c r="AF127" s="791">
        <v>45783.0</v>
      </c>
      <c r="AG127" s="791">
        <f t="shared" si="17"/>
        <v>45859</v>
      </c>
      <c r="AH127" s="902">
        <v>45859.0</v>
      </c>
      <c r="AI127" s="787">
        <v>45811.0</v>
      </c>
      <c r="AJ127" s="677" t="str">
        <f t="array" ref="AJ127">if(isblank(F127),"",xlookup(F127,'FL5_POR_包裝對照表 (Mapping Table)'!E:E,'FL5_POR_包裝對照表 (Mapping Table)'!AS:AS,"",0,1))</f>
        <v>128GB</v>
      </c>
      <c r="AK127" s="677" t="str">
        <f t="array" ref="AK127">if(isblank(F127),"",xlookup(F127,'FL5_POR_包裝對照表 (Mapping Table)'!E:E,'FL5_POR_包裝對照表 (Mapping Table)'!K:K,"",0,1))</f>
        <v>BLK</v>
      </c>
      <c r="AL127" s="677">
        <v>3429.0</v>
      </c>
      <c r="AM127" s="811"/>
      <c r="AN127" s="888" t="str">
        <f t="array" ref="AN127">xlookup(F127,'FL5_POR_包裝對照表 (Mapping Table)'!E:E,'FL5_POR_包裝對照表 (Mapping Table)'!BM:BM,"",0,1)</f>
        <v>No demand</v>
      </c>
      <c r="AO127" s="813"/>
      <c r="AP127" s="813"/>
    </row>
    <row r="128" ht="25.5" customHeight="1">
      <c r="A128" s="889"/>
      <c r="B128" s="877">
        <v>122.0</v>
      </c>
      <c r="C128" s="891" t="str">
        <f>if(isblank(F128),"",'FL5_POR_包裝對照表 (Mapping Table)'!$E$4)</f>
        <v>GFL (FL5)</v>
      </c>
      <c r="D128" s="878" t="str">
        <f t="array" ref="D128">if(isblank(F128),"",xlookup(F128,'FL5_POR_包裝對照表 (Mapping Table)'!E:E,'FL5_POR_包裝對照表 (Mapping Table)'!AZ:AZ,"",0,1))</f>
        <v>MP</v>
      </c>
      <c r="E128" s="677" t="str">
        <f t="shared" si="2"/>
        <v>Close</v>
      </c>
      <c r="F128" s="879" t="s">
        <v>1071</v>
      </c>
      <c r="G128" s="892" t="str">
        <f t="array" ref="G128">if(isblank(F128),"",xlookup(F128,'FL5_POR_包裝對照表 (Mapping Table)'!E:E,'FL5_POR_包裝對照表 (Mapping Table)'!D:D,"",0,1))</f>
        <v>Retail Pack</v>
      </c>
      <c r="H128" s="893" t="str">
        <f t="array" ref="H128">if(isblank(F128),"",xlookup(F128,'FL5_POR_包裝對照表 (Mapping Table)'!E:E,'FL5_POR_包裝對照表 (Mapping Table)'!E:E,"",0,1))</f>
        <v>GA10776-GB</v>
      </c>
      <c r="I128" s="677" t="str">
        <f t="array" ref="I128">if(isblank(F128),"",xlookup(F128,'FL5_POR_包裝對照表 (Mapping Table)'!E:E,'FL5_POR_包裝對照表 (Mapping Table)'!AN:AN,"",0,1))</f>
        <v>G950-15935-13</v>
      </c>
      <c r="J128" s="894" t="str">
        <f t="array" ref="J128">if(isblank(F128),"",xlookup(G128,z_Others!$B$5:$B$17,z_Others!$C$5:$C$17,"",0,1))</f>
        <v>智能手機</v>
      </c>
      <c r="K128" s="894" t="str">
        <f t="array" ref="K128">if(isblank(F128),"",xlookup(G128,z_Others!$B$5:$B$17,z_Others!$E$5:$E$17,"",0,1))</f>
        <v>智能手機</v>
      </c>
      <c r="L128" s="894" t="str">
        <f t="array" ref="L128">if(isblank(F128),"",xlookup(G128,z_Others!$B$5:$B$17,z_Others!$F$5:$F$17,"",0,1))</f>
        <v>智能手機</v>
      </c>
      <c r="M128" s="894" t="str">
        <f t="shared" si="3"/>
        <v>Google</v>
      </c>
      <c r="N128" s="894" t="str">
        <f t="shared" si="4"/>
        <v>境外品牌（貼牌生產)</v>
      </c>
      <c r="O128" s="882" t="str">
        <f t="array" ref="O128">if(isblank(F128),"",xlookup(F128,'FL5_POR_包裝對照表 (Mapping Table)'!E:E,'FL5_POR_包裝對照表 (Mapping Table)'!L:L,"",0,1))</f>
        <v> GK2MP</v>
      </c>
      <c r="P128" s="895">
        <f t="array" ref="P128">if(isblank(F128),"",xlookup(G128,z_Others!$B$5:$B$17,z_Others!$J$5:$J$17,"",0,1))</f>
        <v>0.2029</v>
      </c>
      <c r="Q128" s="896">
        <f t="array" ref="Q128">if(isblank(F128),"",xlookup(F128,'FL5_POR_核價 (經管 &amp; BPM)'!E:E,'FL5_POR_核價 (經管 &amp; BPM)'!O:O,"",0,1))</f>
        <v>430.57</v>
      </c>
      <c r="R128" s="894" t="str">
        <f t="shared" si="5"/>
        <v>否</v>
      </c>
      <c r="S128" s="897" t="str">
        <f t="array" ref="S128">if(isblank(F128),"",xlookup(G128,z_Others!$B$5:$B$17,z_Others!$K$5:$K$17,"",0,1))</f>
        <v>(1) 說明書
(2) C-2-C USB 數據線</v>
      </c>
      <c r="T128" s="894" t="str">
        <f t="shared" si="6"/>
        <v>開發手機中框組件模型(適用于Google 牌手機)</v>
      </c>
      <c r="U128" s="898" t="str">
        <f t="array" ref="U128">if(isblank(F128),"",xlookup(G128,z_Others!$B$5:$B$17,z_Others!$G$5:$G$17,"",0,1))</f>
        <v>無線通話用</v>
      </c>
      <c r="V128" s="231" t="str">
        <f t="array" ref="V128">if(isblank(F128),"",xlookup(F128,'FL5_POR_包裝對照表 (Mapping Table)'!E:E,'FL5_POR_包裝對照表 (Mapping Table)'!AB:AB,"",0,1))</f>
        <v>SKU, CLR4, GOOD, SUB6, UK/EU, DEMO, FL5</v>
      </c>
      <c r="W128" s="899" t="str">
        <f t="array" ref="W128">if(isblank(F128),"",xlookup(G128,z_Others!$B$5:$B$17,z_Others!$I$5:$I$17,"",0,1))</f>
        <v>152.83 x 71.98 x 12.01</v>
      </c>
      <c r="X128" s="894" t="str">
        <f t="shared" si="7"/>
        <v>Google</v>
      </c>
      <c r="Y128" s="894" t="str">
        <f t="shared" si="8"/>
        <v>Tensor series</v>
      </c>
      <c r="Z128" s="900" t="str">
        <f t="shared" si="9"/>
        <v>蜂窩網絡</v>
      </c>
      <c r="AA128" s="900" t="str">
        <f t="shared" si="10"/>
        <v>WCDMA&amp;GSM&amp;LTE&amp;5G制式</v>
      </c>
      <c r="AB128" s="878" t="str">
        <f t="array" ref="AB128">if(isblank(F128),"",xlookup(AJ128,z_Others!$M$5:$M$9,z_Others!$Q$5:$Q$9,"",0,1))</f>
        <v>直板、6.29 英寸彩屏、內存128G、GPRS、藍牙、前攝1100萬、後攝1200/5000萬</v>
      </c>
      <c r="AC128" s="900" t="str">
        <f t="shared" si="11"/>
        <v>中國</v>
      </c>
      <c r="AD128" s="894" t="str">
        <f t="array" ref="AD128">if(isblank(F128),"",xlookup(G128,z_Others!$B$5:$B$14,z_Others!$H$5:$H$14,"",0,1))</f>
        <v>附件07 (FATP手機)</v>
      </c>
      <c r="AE128" s="901" t="str">
        <f t="shared" si="12"/>
        <v>Foxconn</v>
      </c>
      <c r="AF128" s="791">
        <v>45783.0</v>
      </c>
      <c r="AG128" s="791">
        <f t="shared" si="17"/>
        <v>45859</v>
      </c>
      <c r="AH128" s="902">
        <v>45859.0</v>
      </c>
      <c r="AI128" s="787">
        <v>45811.0</v>
      </c>
      <c r="AJ128" s="677" t="str">
        <f t="array" ref="AJ128">if(isblank(F128),"",xlookup(F128,'FL5_POR_包裝對照表 (Mapping Table)'!E:E,'FL5_POR_包裝對照表 (Mapping Table)'!AS:AS,"",0,1))</f>
        <v>128GB</v>
      </c>
      <c r="AK128" s="677" t="str">
        <f t="array" ref="AK128">if(isblank(F128),"",xlookup(F128,'FL5_POR_包裝對照表 (Mapping Table)'!E:E,'FL5_POR_包裝對照表 (Mapping Table)'!K:K,"",0,1))</f>
        <v>BUE</v>
      </c>
      <c r="AL128" s="677">
        <v>3421.0</v>
      </c>
      <c r="AM128" s="811"/>
      <c r="AN128" s="888" t="str">
        <f t="array" ref="AN128">xlookup(F128,'FL5_POR_包裝對照表 (Mapping Table)'!E:E,'FL5_POR_包裝對照表 (Mapping Table)'!BM:BM,"",0,1)</f>
        <v>No demand</v>
      </c>
      <c r="AO128" s="813"/>
      <c r="AP128" s="813"/>
    </row>
    <row r="129" ht="25.5" customHeight="1">
      <c r="A129" s="889"/>
      <c r="B129" s="877">
        <v>123.0</v>
      </c>
      <c r="C129" s="891" t="str">
        <f>if(isblank(F129),"",'FL5_POR_包裝對照表 (Mapping Table)'!$E$4)</f>
        <v>GFL (FL5)</v>
      </c>
      <c r="D129" s="878" t="str">
        <f t="array" ref="D129">if(isblank(F129),"",xlookup(F129,'FL5_POR_包裝對照表 (Mapping Table)'!E:E,'FL5_POR_包裝對照表 (Mapping Table)'!AZ:AZ,"",0,1))</f>
        <v>MP</v>
      </c>
      <c r="E129" s="677" t="str">
        <f t="shared" si="2"/>
        <v>Close</v>
      </c>
      <c r="F129" s="879" t="s">
        <v>1039</v>
      </c>
      <c r="G129" s="892" t="str">
        <f t="array" ref="G129">if(isblank(F129),"",xlookup(F129,'FL5_POR_包裝對照表 (Mapping Table)'!E:E,'FL5_POR_包裝對照表 (Mapping Table)'!D:D,"",0,1))</f>
        <v>Retail Pack</v>
      </c>
      <c r="H129" s="893" t="str">
        <f t="array" ref="H129">if(isblank(F129),"",xlookup(F129,'FL5_POR_包裝對照表 (Mapping Table)'!E:E,'FL5_POR_包裝對照表 (Mapping Table)'!E:E,"",0,1))</f>
        <v>GA10776-US</v>
      </c>
      <c r="I129" s="677" t="str">
        <f t="array" ref="I129">if(isblank(F129),"",xlookup(F129,'FL5_POR_包裝對照表 (Mapping Table)'!E:E,'FL5_POR_包裝對照表 (Mapping Table)'!AN:AN,"",0,1))</f>
        <v>G950-15935-03</v>
      </c>
      <c r="J129" s="894" t="str">
        <f t="array" ref="J129">if(isblank(F129),"",xlookup(G129,z_Others!$B$5:$B$17,z_Others!$C$5:$C$17,"",0,1))</f>
        <v>智能手機</v>
      </c>
      <c r="K129" s="894" t="str">
        <f t="array" ref="K129">if(isblank(F129),"",xlookup(G129,z_Others!$B$5:$B$17,z_Others!$E$5:$E$17,"",0,1))</f>
        <v>智能手機</v>
      </c>
      <c r="L129" s="894" t="str">
        <f t="array" ref="L129">if(isblank(F129),"",xlookup(G129,z_Others!$B$5:$B$17,z_Others!$F$5:$F$17,"",0,1))</f>
        <v>智能手機</v>
      </c>
      <c r="M129" s="894" t="str">
        <f t="shared" si="3"/>
        <v>Google</v>
      </c>
      <c r="N129" s="894" t="str">
        <f t="shared" si="4"/>
        <v>境外品牌（貼牌生產)</v>
      </c>
      <c r="O129" s="882" t="str">
        <f t="array" ref="O129">if(isblank(F129),"",xlookup(F129,'FL5_POR_包裝對照表 (Mapping Table)'!E:E,'FL5_POR_包裝對照表 (Mapping Table)'!L:L,"",0,1))</f>
        <v>GLBW0</v>
      </c>
      <c r="P129" s="895">
        <f t="array" ref="P129">if(isblank(F129),"",xlookup(G129,z_Others!$B$5:$B$17,z_Others!$J$5:$J$17,"",0,1))</f>
        <v>0.2029</v>
      </c>
      <c r="Q129" s="896">
        <f t="array" ref="Q129">if(isblank(F129),"",xlookup(F129,'FL5_POR_核價 (經管 &amp; BPM)'!E:E,'FL5_POR_核價 (經管 &amp; BPM)'!O:O,"",0,1))</f>
        <v>447.44</v>
      </c>
      <c r="R129" s="894" t="str">
        <f t="shared" si="5"/>
        <v>否</v>
      </c>
      <c r="S129" s="897" t="str">
        <f t="array" ref="S129">if(isblank(F129),"",xlookup(G129,z_Others!$B$5:$B$17,z_Others!$K$5:$K$17,"",0,1))</f>
        <v>(1) 說明書
(2) C-2-C USB 數據線</v>
      </c>
      <c r="T129" s="894" t="str">
        <f t="shared" si="6"/>
        <v>開發手機中框組件模型(適用于Google 牌手機)</v>
      </c>
      <c r="U129" s="898" t="str">
        <f t="array" ref="U129">if(isblank(F129),"",xlookup(G129,z_Others!$B$5:$B$17,z_Others!$G$5:$G$17,"",0,1))</f>
        <v>無線通話用</v>
      </c>
      <c r="V129" s="231" t="str">
        <f t="array" ref="V129">if(isblank(F129),"",xlookup(F129,'FL5_POR_包裝對照表 (Mapping Table)'!E:E,'FL5_POR_包裝對照表 (Mapping Table)'!AB:AB,"",0,1))</f>
        <v>SKU, CLR4, GOOD, MMWAVE, GSTORE, US, DEMO, FL5</v>
      </c>
      <c r="W129" s="899" t="str">
        <f t="array" ref="W129">if(isblank(F129),"",xlookup(G129,z_Others!$B$5:$B$17,z_Others!$I$5:$I$17,"",0,1))</f>
        <v>152.83 x 71.98 x 12.01</v>
      </c>
      <c r="X129" s="894" t="str">
        <f t="shared" si="7"/>
        <v>Google</v>
      </c>
      <c r="Y129" s="894" t="str">
        <f t="shared" si="8"/>
        <v>Tensor series</v>
      </c>
      <c r="Z129" s="900" t="str">
        <f t="shared" si="9"/>
        <v>蜂窩網絡</v>
      </c>
      <c r="AA129" s="900" t="str">
        <f t="shared" si="10"/>
        <v>WCDMA&amp;GSM&amp;LTE&amp;5G制式</v>
      </c>
      <c r="AB129" s="878" t="str">
        <f t="array" ref="AB129">if(isblank(F129),"",xlookup(AJ129,z_Others!$M$5:$M$9,z_Others!$Q$5:$Q$9,"",0,1))</f>
        <v>直板、6.29 英寸彩屏、內存128G、GPRS、藍牙、前攝1100萬、後攝1200/5000萬</v>
      </c>
      <c r="AC129" s="900" t="str">
        <f t="shared" si="11"/>
        <v>中國</v>
      </c>
      <c r="AD129" s="894" t="str">
        <f t="array" ref="AD129">if(isblank(F129),"",xlookup(G129,z_Others!$B$5:$B$14,z_Others!$H$5:$H$14,"",0,1))</f>
        <v>附件07 (FATP手機)</v>
      </c>
      <c r="AE129" s="901" t="str">
        <f t="shared" si="12"/>
        <v>Foxconn</v>
      </c>
      <c r="AF129" s="791">
        <v>45783.0</v>
      </c>
      <c r="AG129" s="791">
        <f t="shared" si="17"/>
        <v>45859</v>
      </c>
      <c r="AH129" s="902">
        <v>45838.0</v>
      </c>
      <c r="AI129" s="787">
        <v>45811.0</v>
      </c>
      <c r="AJ129" s="677" t="str">
        <f t="array" ref="AJ129">if(isblank(F129),"",xlookup(F129,'FL5_POR_包裝對照表 (Mapping Table)'!E:E,'FL5_POR_包裝對照表 (Mapping Table)'!AS:AS,"",0,1))</f>
        <v>128GB</v>
      </c>
      <c r="AK129" s="677" t="str">
        <f t="array" ref="AK129">if(isblank(F129),"",xlookup(F129,'FL5_POR_包裝對照表 (Mapping Table)'!E:E,'FL5_POR_包裝對照表 (Mapping Table)'!K:K,"",0,1))</f>
        <v>BUE</v>
      </c>
      <c r="AL129" s="677">
        <v>3331.0</v>
      </c>
      <c r="AM129" s="811"/>
      <c r="AN129" s="888" t="str">
        <f t="array" ref="AN129">xlookup(F129,'FL5_POR_包裝對照表 (Mapping Table)'!E:E,'FL5_POR_包裝對照表 (Mapping Table)'!BM:BM,"",0,1)</f>
        <v>No demand</v>
      </c>
      <c r="AO129" s="813"/>
      <c r="AP129" s="813"/>
    </row>
    <row r="130" ht="25.5" customHeight="1">
      <c r="A130" s="889"/>
      <c r="B130" s="877">
        <v>124.0</v>
      </c>
      <c r="C130" s="891" t="str">
        <f>if(isblank(F130),"",'FL5_POR_包裝對照表 (Mapping Table)'!$E$4)</f>
        <v>GFL (FL5)</v>
      </c>
      <c r="D130" s="878" t="str">
        <f t="array" ref="D130">if(isblank(F130),"",xlookup(F130,'FL5_POR_包裝對照表 (Mapping Table)'!E:E,'FL5_POR_包裝對照表 (Mapping Table)'!AZ:AZ,"",0,1))</f>
        <v>MP</v>
      </c>
      <c r="E130" s="677" t="str">
        <f t="shared" si="2"/>
        <v>Close</v>
      </c>
      <c r="F130" s="879" t="s">
        <v>1076</v>
      </c>
      <c r="G130" s="892" t="str">
        <f t="array" ref="G130">if(isblank(F130),"",xlookup(F130,'FL5_POR_包裝對照表 (Mapping Table)'!E:E,'FL5_POR_包裝對照表 (Mapping Table)'!D:D,"",0,1))</f>
        <v>Retail Pack</v>
      </c>
      <c r="H130" s="893" t="str">
        <f t="array" ref="H130">if(isblank(F130),"",xlookup(F130,'FL5_POR_包裝對照表 (Mapping Table)'!E:E,'FL5_POR_包裝對照表 (Mapping Table)'!E:E,"",0,1))</f>
        <v>GA10777-IN</v>
      </c>
      <c r="I130" s="677" t="str">
        <f t="array" ref="I130">if(isblank(F130),"",xlookup(F130,'FL5_POR_包裝對照表 (Mapping Table)'!E:E,'FL5_POR_包裝對照表 (Mapping Table)'!AN:AN,"",0,1))</f>
        <v>G950-15935-14</v>
      </c>
      <c r="J130" s="894" t="str">
        <f t="array" ref="J130">if(isblank(F130),"",xlookup(G130,z_Others!$B$5:$B$17,z_Others!$C$5:$C$17,"",0,1))</f>
        <v>智能手機</v>
      </c>
      <c r="K130" s="894" t="str">
        <f t="array" ref="K130">if(isblank(F130),"",xlookup(G130,z_Others!$B$5:$B$17,z_Others!$E$5:$E$17,"",0,1))</f>
        <v>智能手機</v>
      </c>
      <c r="L130" s="894" t="str">
        <f t="array" ref="L130">if(isblank(F130),"",xlookup(G130,z_Others!$B$5:$B$17,z_Others!$F$5:$F$17,"",0,1))</f>
        <v>智能手機</v>
      </c>
      <c r="M130" s="894" t="str">
        <f t="shared" si="3"/>
        <v>Google</v>
      </c>
      <c r="N130" s="894" t="str">
        <f t="shared" si="4"/>
        <v>境外品牌（貼牌生產)</v>
      </c>
      <c r="O130" s="882" t="str">
        <f t="array" ref="O130">if(isblank(F130),"",xlookup(F130,'FL5_POR_包裝對照表 (Mapping Table)'!E:E,'FL5_POR_包裝對照表 (Mapping Table)'!L:L,"",0,1))</f>
        <v>GK2MP</v>
      </c>
      <c r="P130" s="895">
        <f t="array" ref="P130">if(isblank(F130),"",xlookup(G130,z_Others!$B$5:$B$17,z_Others!$J$5:$J$17,"",0,1))</f>
        <v>0.2029</v>
      </c>
      <c r="Q130" s="896">
        <f t="array" ref="Q130">if(isblank(F130),"",xlookup(F130,'FL5_POR_核價 (經管 &amp; BPM)'!E:E,'FL5_POR_核價 (經管 &amp; BPM)'!O:O,"",0,1))</f>
        <v>435.64</v>
      </c>
      <c r="R130" s="894" t="str">
        <f t="shared" si="5"/>
        <v>否</v>
      </c>
      <c r="S130" s="897" t="str">
        <f t="array" ref="S130">if(isblank(F130),"",xlookup(G130,z_Others!$B$5:$B$17,z_Others!$K$5:$K$17,"",0,1))</f>
        <v>(1) 說明書
(2) C-2-C USB 數據線</v>
      </c>
      <c r="T130" s="894" t="str">
        <f t="shared" si="6"/>
        <v>開發手機中框組件模型(適用于Google 牌手機)</v>
      </c>
      <c r="U130" s="898" t="str">
        <f t="array" ref="U130">if(isblank(F130),"",xlookup(G130,z_Others!$B$5:$B$17,z_Others!$G$5:$G$17,"",0,1))</f>
        <v>無線通話用</v>
      </c>
      <c r="V130" s="231" t="str">
        <f t="array" ref="V130">if(isblank(F130),"",xlookup(F130,'FL5_POR_包裝對照表 (Mapping Table)'!E:E,'FL5_POR_包裝對照表 (Mapping Table)'!AB:AB,"",0,1))</f>
        <v>SKU, CLR1, BETTER, SUB6, IN, DEMO, FL5</v>
      </c>
      <c r="W130" s="899" t="str">
        <f t="array" ref="W130">if(isblank(F130),"",xlookup(G130,z_Others!$B$5:$B$17,z_Others!$I$5:$I$17,"",0,1))</f>
        <v>152.83 x 71.98 x 12.01</v>
      </c>
      <c r="X130" s="894" t="str">
        <f t="shared" si="7"/>
        <v>Google</v>
      </c>
      <c r="Y130" s="894" t="str">
        <f t="shared" si="8"/>
        <v>Tensor series</v>
      </c>
      <c r="Z130" s="900" t="str">
        <f t="shared" si="9"/>
        <v>蜂窩網絡</v>
      </c>
      <c r="AA130" s="900" t="str">
        <f t="shared" si="10"/>
        <v>WCDMA&amp;GSM&amp;LTE&amp;5G制式</v>
      </c>
      <c r="AB130" s="878" t="str">
        <f t="array" ref="AB130">if(isblank(F130),"",xlookup(AJ130,z_Others!$M$5:$M$9,z_Others!$Q$5:$Q$9,"",0,1))</f>
        <v>直板、6.29 英寸彩屏、內存256G、GPRS、藍牙、前攝1100萬、後攝1200/5000萬</v>
      </c>
      <c r="AC130" s="900" t="str">
        <f t="shared" si="11"/>
        <v>中國</v>
      </c>
      <c r="AD130" s="894" t="str">
        <f t="array" ref="AD130">if(isblank(F130),"",xlookup(G130,z_Others!$B$5:$B$14,z_Others!$H$5:$H$14,"",0,1))</f>
        <v>附件07 (FATP手機)</v>
      </c>
      <c r="AE130" s="901" t="str">
        <f t="shared" si="12"/>
        <v>Foxconn</v>
      </c>
      <c r="AF130" s="791">
        <v>45783.0</v>
      </c>
      <c r="AG130" s="791">
        <f t="shared" si="17"/>
        <v>45859</v>
      </c>
      <c r="AH130" s="902">
        <v>45859.0</v>
      </c>
      <c r="AI130" s="787">
        <v>45811.0</v>
      </c>
      <c r="AJ130" s="677" t="str">
        <f t="array" ref="AJ130">if(isblank(F130),"",xlookup(F130,'FL5_POR_包裝對照表 (Mapping Table)'!E:E,'FL5_POR_包裝對照表 (Mapping Table)'!AS:AS,"",0,1))</f>
        <v>256GB</v>
      </c>
      <c r="AK130" s="677" t="str">
        <f t="array" ref="AK130">if(isblank(F130),"",xlookup(F130,'FL5_POR_包裝對照表 (Mapping Table)'!E:E,'FL5_POR_包裝對照表 (Mapping Table)'!K:K,"",0,1))</f>
        <v>BLK</v>
      </c>
      <c r="AL130" s="677">
        <v>3420.0</v>
      </c>
      <c r="AM130" s="811"/>
      <c r="AN130" s="888" t="str">
        <f t="array" ref="AN130">xlookup(F130,'FL5_POR_包裝對照表 (Mapping Table)'!E:E,'FL5_POR_包裝對照表 (Mapping Table)'!BM:BM,"",0,1)</f>
        <v>No demand</v>
      </c>
      <c r="AO130" s="813"/>
      <c r="AP130" s="813"/>
    </row>
    <row r="131" ht="25.5" customHeight="1">
      <c r="A131" s="889"/>
      <c r="B131" s="877">
        <v>125.0</v>
      </c>
      <c r="C131" s="891" t="str">
        <f>if(isblank(F131),"",'FL5_POR_包裝對照表 (Mapping Table)'!$E$4)</f>
        <v>GFL (FL5)</v>
      </c>
      <c r="D131" s="878" t="str">
        <f t="array" ref="D131">if(isblank(F131),"",xlookup(F131,'FL5_POR_包裝對照表 (Mapping Table)'!E:E,'FL5_POR_包裝對照表 (Mapping Table)'!AZ:AZ,"",0,1))</f>
        <v>MP</v>
      </c>
      <c r="E131" s="677" t="str">
        <f t="shared" si="2"/>
        <v>Close</v>
      </c>
      <c r="F131" s="879" t="s">
        <v>749</v>
      </c>
      <c r="G131" s="892" t="str">
        <f t="array" ref="G131">if(isblank(F131),"",xlookup(F131,'FL5_POR_包裝對照表 (Mapping Table)'!E:E,'FL5_POR_包裝對照表 (Mapping Table)'!D:D,"",0,1))</f>
        <v>Retail Pack</v>
      </c>
      <c r="H131" s="893" t="str">
        <f t="array" ref="H131">if(isblank(F131),"",xlookup(F131,'FL5_POR_包裝對照表 (Mapping Table)'!E:E,'FL5_POR_包裝對照表 (Mapping Table)'!E:E,"",0,1))</f>
        <v>GA11019-US</v>
      </c>
      <c r="I131" s="677" t="str">
        <f t="array" ref="I131">if(isblank(F131),"",xlookup(F131,'FL5_POR_包裝對照表 (Mapping Table)'!E:E,'FL5_POR_包裝對照表 (Mapping Table)'!AN:AN,"",0,1))</f>
        <v>G950-15935-03</v>
      </c>
      <c r="J131" s="894" t="str">
        <f t="array" ref="J131">if(isblank(F131),"",xlookup(G131,z_Others!$B$5:$B$17,z_Others!$C$5:$C$17,"",0,1))</f>
        <v>智能手機</v>
      </c>
      <c r="K131" s="894" t="str">
        <f t="array" ref="K131">if(isblank(F131),"",xlookup(G131,z_Others!$B$5:$B$17,z_Others!$E$5:$E$17,"",0,1))</f>
        <v>智能手機</v>
      </c>
      <c r="L131" s="894" t="str">
        <f t="array" ref="L131">if(isblank(F131),"",xlookup(G131,z_Others!$B$5:$B$17,z_Others!$F$5:$F$17,"",0,1))</f>
        <v>智能手機</v>
      </c>
      <c r="M131" s="894" t="str">
        <f t="shared" si="3"/>
        <v>Google</v>
      </c>
      <c r="N131" s="894" t="str">
        <f t="shared" si="4"/>
        <v>境外品牌（貼牌生產)</v>
      </c>
      <c r="O131" s="882" t="str">
        <f t="array" ref="O131">if(isblank(F131),"",xlookup(F131,'FL5_POR_包裝對照表 (Mapping Table)'!E:E,'FL5_POR_包裝對照表 (Mapping Table)'!L:L,"",0,1))</f>
        <v>GLBW0</v>
      </c>
      <c r="P131" s="895">
        <f t="array" ref="P131">if(isblank(F131),"",xlookup(G131,z_Others!$B$5:$B$17,z_Others!$J$5:$J$17,"",0,1))</f>
        <v>0.2029</v>
      </c>
      <c r="Q131" s="896">
        <f t="array" ref="Q131">if(isblank(F131),"",xlookup(F131,'FL5_POR_核價 (經管 &amp; BPM)'!E:E,'FL5_POR_核價 (經管 &amp; BPM)'!O:O,"",0,1))</f>
        <v>447.47</v>
      </c>
      <c r="R131" s="894" t="str">
        <f t="shared" si="5"/>
        <v>否</v>
      </c>
      <c r="S131" s="897" t="str">
        <f t="array" ref="S131">if(isblank(F131),"",xlookup(G131,z_Others!$B$5:$B$17,z_Others!$K$5:$K$17,"",0,1))</f>
        <v>(1) 說明書
(2) C-2-C USB 數據線</v>
      </c>
      <c r="T131" s="894" t="str">
        <f t="shared" si="6"/>
        <v>開發手機中框組件模型(適用于Google 牌手機)</v>
      </c>
      <c r="U131" s="898" t="str">
        <f t="array" ref="U131">if(isblank(F131),"",xlookup(G131,z_Others!$B$5:$B$17,z_Others!$G$5:$G$17,"",0,1))</f>
        <v>無線通話用</v>
      </c>
      <c r="V131" s="231" t="str">
        <f t="array" ref="V131">if(isblank(F131),"",xlookup(F131,'FL5_POR_包裝對照表 (Mapping Table)'!E:E,'FL5_POR_包裝對照表 (Mapping Table)'!AB:AB,"",0,1))</f>
        <v>SKU, CLR 4, GOOD, MMWAVE, TMO, IQ, US, FL5</v>
      </c>
      <c r="W131" s="899" t="str">
        <f t="array" ref="W131">if(isblank(F131),"",xlookup(G131,z_Others!$B$5:$B$17,z_Others!$I$5:$I$17,"",0,1))</f>
        <v>152.83 x 71.98 x 12.01</v>
      </c>
      <c r="X131" s="894" t="str">
        <f t="shared" si="7"/>
        <v>Google</v>
      </c>
      <c r="Y131" s="894" t="str">
        <f t="shared" si="8"/>
        <v>Tensor series</v>
      </c>
      <c r="Z131" s="900" t="str">
        <f t="shared" si="9"/>
        <v>蜂窩網絡</v>
      </c>
      <c r="AA131" s="900" t="str">
        <f t="shared" si="10"/>
        <v>WCDMA&amp;GSM&amp;LTE&amp;5G制式</v>
      </c>
      <c r="AB131" s="878" t="str">
        <f t="array" ref="AB131">if(isblank(F131),"",xlookup(AJ131,z_Others!$M$5:$M$9,z_Others!$Q$5:$Q$9,"",0,1))</f>
        <v>直板、6.29 英寸彩屏、內存128G、GPRS、藍牙、前攝1100萬、後攝1200/5000萬</v>
      </c>
      <c r="AC131" s="900" t="str">
        <f t="shared" si="11"/>
        <v>中國</v>
      </c>
      <c r="AD131" s="894" t="str">
        <f t="array" ref="AD131">if(isblank(F131),"",xlookup(G131,z_Others!$B$5:$B$14,z_Others!$H$5:$H$14,"",0,1))</f>
        <v>附件07 (FATP手機)</v>
      </c>
      <c r="AE131" s="901" t="str">
        <f t="shared" si="12"/>
        <v>Foxconn</v>
      </c>
      <c r="AF131" s="791">
        <v>45783.0</v>
      </c>
      <c r="AG131" s="791">
        <f t="shared" si="17"/>
        <v>45859</v>
      </c>
      <c r="AH131" s="902">
        <v>45810.0</v>
      </c>
      <c r="AI131" s="787">
        <v>45805.0</v>
      </c>
      <c r="AJ131" s="677" t="str">
        <f t="array" ref="AJ131">if(isblank(F131),"",xlookup(F131,'FL5_POR_包裝對照表 (Mapping Table)'!E:E,'FL5_POR_包裝對照表 (Mapping Table)'!AS:AS,"",0,1))</f>
        <v>128GB</v>
      </c>
      <c r="AK131" s="677" t="str">
        <f t="array" ref="AK131">if(isblank(F131),"",xlookup(F131,'FL5_POR_包裝對照表 (Mapping Table)'!E:E,'FL5_POR_包裝對照表 (Mapping Table)'!K:K,"",0,1))</f>
        <v>BUE</v>
      </c>
      <c r="AL131" s="292">
        <v>3249.0</v>
      </c>
      <c r="AM131" s="811"/>
      <c r="AN131" s="888" t="str">
        <f t="array" ref="AN131">xlookup(F131,'FL5_POR_包裝對照表 (Mapping Table)'!E:E,'FL5_POR_包裝對照表 (Mapping Table)'!BM:BM,"",0,1)</f>
        <v>No demand</v>
      </c>
      <c r="AO131" s="813"/>
      <c r="AP131" s="813"/>
    </row>
    <row r="132" ht="25.5" customHeight="1">
      <c r="A132" s="905"/>
      <c r="B132" s="877">
        <v>126.0</v>
      </c>
      <c r="C132" s="891" t="str">
        <f>if(isblank(F132),"",'FL5_POR_包裝對照表 (Mapping Table)'!$E$4)</f>
        <v>GFL (FL5)</v>
      </c>
      <c r="D132" s="878" t="str">
        <f t="array" ref="D132">if(isblank(F132),"",xlookup(F132,'FL5_POR_包裝對照表 (Mapping Table)'!E:E,'FL5_POR_包裝對照表 (Mapping Table)'!AZ:AZ,"",0,1))</f>
        <v>MP</v>
      </c>
      <c r="E132" s="677" t="str">
        <f t="shared" si="2"/>
        <v>Close</v>
      </c>
      <c r="F132" s="879" t="s">
        <v>729</v>
      </c>
      <c r="G132" s="892" t="str">
        <f t="array" ref="G132">if(isblank(F132),"",xlookup(F132,'FL5_POR_包裝對照表 (Mapping Table)'!E:E,'FL5_POR_包裝對照表 (Mapping Table)'!D:D,"",0,1))</f>
        <v>Retail Pack</v>
      </c>
      <c r="H132" s="893" t="str">
        <f t="array" ref="H132">if(isblank(F132),"",xlookup(F132,'FL5_POR_包裝對照表 (Mapping Table)'!E:E,'FL5_POR_包裝對照表 (Mapping Table)'!E:E,"",0,1))</f>
        <v>IQGA09425-US</v>
      </c>
      <c r="I132" s="677" t="str">
        <f t="array" ref="I132">if(isblank(F132),"",xlookup(F132,'FL5_POR_包裝對照表 (Mapping Table)'!E:E,'FL5_POR_包裝對照表 (Mapping Table)'!AN:AN,"",0,1))</f>
        <v>G950-15935-00</v>
      </c>
      <c r="J132" s="894" t="str">
        <f t="array" ref="J132">if(isblank(F132),"",xlookup(G132,z_Others!$B$5:$B$17,z_Others!$C$5:$C$17,"",0,1))</f>
        <v>智能手機</v>
      </c>
      <c r="K132" s="894" t="str">
        <f t="array" ref="K132">if(isblank(F132),"",xlookup(G132,z_Others!$B$5:$B$17,z_Others!$E$5:$E$17,"",0,1))</f>
        <v>智能手機</v>
      </c>
      <c r="L132" s="894" t="str">
        <f t="array" ref="L132">if(isblank(F132),"",xlookup(G132,z_Others!$B$5:$B$17,z_Others!$F$5:$F$17,"",0,1))</f>
        <v>智能手機</v>
      </c>
      <c r="M132" s="894" t="str">
        <f t="shared" si="3"/>
        <v>Google</v>
      </c>
      <c r="N132" s="894" t="str">
        <f t="shared" si="4"/>
        <v>境外品牌（貼牌生產)</v>
      </c>
      <c r="O132" s="882" t="str">
        <f t="array" ref="O132">if(isblank(F132),"",xlookup(F132,'FL5_POR_包裝對照表 (Mapping Table)'!E:E,'FL5_POR_包裝對照表 (Mapping Table)'!L:L,"",0,1))</f>
        <v>GLBW0</v>
      </c>
      <c r="P132" s="895">
        <f t="array" ref="P132">if(isblank(F132),"",xlookup(G132,z_Others!$B$5:$B$17,z_Others!$J$5:$J$17,"",0,1))</f>
        <v>0.2029</v>
      </c>
      <c r="Q132" s="896">
        <f t="array" ref="Q132">if(isblank(F132),"",xlookup(F132,'FL5_POR_核價 (經管 &amp; BPM)'!E:E,'FL5_POR_核價 (經管 &amp; BPM)'!O:O,"",0,1))</f>
        <v>447.07</v>
      </c>
      <c r="R132" s="894" t="str">
        <f t="shared" si="5"/>
        <v>否</v>
      </c>
      <c r="S132" s="897" t="str">
        <f t="array" ref="S132">if(isblank(F132),"",xlookup(G132,z_Others!$B$5:$B$17,z_Others!$K$5:$K$17,"",0,1))</f>
        <v>(1) 說明書
(2) C-2-C USB 數據線</v>
      </c>
      <c r="T132" s="894" t="str">
        <f t="shared" si="6"/>
        <v>開發手機中框組件模型(適用于Google 牌手機)</v>
      </c>
      <c r="U132" s="898" t="str">
        <f t="array" ref="U132">if(isblank(F132),"",xlookup(G132,z_Others!$B$5:$B$17,z_Others!$G$5:$G$17,"",0,1))</f>
        <v>無線通話用</v>
      </c>
      <c r="V132" s="231" t="str">
        <f t="array" ref="V132">if(isblank(F132),"",xlookup(F132,'FL5_POR_包裝對照表 (Mapping Table)'!E:E,'FL5_POR_包裝對照表 (Mapping Table)'!AB:AB,"",0,1))</f>
        <v>SKU, CLR1, GOOD, MMWAVE, VZW, US, IQ, FL5</v>
      </c>
      <c r="W132" s="899" t="str">
        <f t="array" ref="W132">if(isblank(F132),"",xlookup(G132,z_Others!$B$5:$B$17,z_Others!$I$5:$I$17,"",0,1))</f>
        <v>152.83 x 71.98 x 12.01</v>
      </c>
      <c r="X132" s="894" t="str">
        <f t="shared" si="7"/>
        <v>Google</v>
      </c>
      <c r="Y132" s="894" t="str">
        <f t="shared" si="8"/>
        <v>Tensor series</v>
      </c>
      <c r="Z132" s="900" t="str">
        <f t="shared" si="9"/>
        <v>蜂窩網絡</v>
      </c>
      <c r="AA132" s="900" t="str">
        <f t="shared" si="10"/>
        <v>WCDMA&amp;GSM&amp;LTE&amp;5G制式</v>
      </c>
      <c r="AB132" s="878" t="str">
        <f t="array" ref="AB132">if(isblank(F132),"",xlookup(AJ132,z_Others!$M$5:$M$9,z_Others!$Q$5:$Q$9,"",0,1))</f>
        <v>直板、6.29 英寸彩屏、內存128G、GPRS、藍牙、前攝1100萬、後攝1200/5000萬</v>
      </c>
      <c r="AC132" s="900" t="str">
        <f t="shared" si="11"/>
        <v>中國</v>
      </c>
      <c r="AD132" s="894" t="str">
        <f t="array" ref="AD132">if(isblank(F132),"",xlookup(G132,z_Others!$B$5:$B$14,z_Others!$H$5:$H$14,"",0,1))</f>
        <v>附件07 (FATP手機)</v>
      </c>
      <c r="AE132" s="901" t="str">
        <f t="shared" si="12"/>
        <v>Foxconn</v>
      </c>
      <c r="AF132" s="791">
        <v>45783.0</v>
      </c>
      <c r="AG132" s="791">
        <f t="shared" si="17"/>
        <v>45859</v>
      </c>
      <c r="AH132" s="902">
        <v>45859.0</v>
      </c>
      <c r="AI132" s="787">
        <v>45811.0</v>
      </c>
      <c r="AJ132" s="677" t="str">
        <f t="array" ref="AJ132">if(isblank(F132),"",xlookup(F132,'FL5_POR_包裝對照表 (Mapping Table)'!E:E,'FL5_POR_包裝對照表 (Mapping Table)'!AS:AS,"",0,1))</f>
        <v>128GB</v>
      </c>
      <c r="AK132" s="677" t="str">
        <f t="array" ref="AK132">if(isblank(F132),"",xlookup(F132,'FL5_POR_包裝對照表 (Mapping Table)'!E:E,'FL5_POR_包裝對照表 (Mapping Table)'!K:K,"",0,1))</f>
        <v>BLK</v>
      </c>
      <c r="AL132" s="677">
        <v>3428.0</v>
      </c>
      <c r="AM132" s="811"/>
      <c r="AN132" s="888" t="str">
        <f t="array" ref="AN132">xlookup(F132,'FL5_POR_包裝對照表 (Mapping Table)'!E:E,'FL5_POR_包裝對照表 (Mapping Table)'!BM:BM,"",0,1)</f>
        <v>No demand</v>
      </c>
      <c r="AO132" s="813"/>
      <c r="AP132" s="813"/>
    </row>
    <row r="133" ht="25.5" customHeight="1">
      <c r="A133" s="889"/>
      <c r="B133" s="877">
        <v>127.0</v>
      </c>
      <c r="C133" s="891" t="str">
        <f>if(isblank(F133),"",'FL5_POR_包裝對照表 (Mapping Table)'!$E$4)</f>
        <v>GFL (FL5)</v>
      </c>
      <c r="D133" s="878" t="str">
        <f t="array" ref="D133">if(isblank(F133),"",xlookup(F133,'FL5_POR_包裝對照表 (Mapping Table)'!E:E,'FL5_POR_包裝對照表 (Mapping Table)'!AZ:AZ,"",0,1))</f>
        <v>MP</v>
      </c>
      <c r="E133" s="677" t="str">
        <f t="shared" si="2"/>
        <v>Close</v>
      </c>
      <c r="F133" s="879" t="s">
        <v>754</v>
      </c>
      <c r="G133" s="892" t="str">
        <f t="array" ref="G133">if(isblank(F133),"",xlookup(F133,'FL5_POR_包裝對照表 (Mapping Table)'!E:E,'FL5_POR_包裝對照表 (Mapping Table)'!D:D,"",0,1))</f>
        <v>Retail Pack</v>
      </c>
      <c r="H133" s="893" t="str">
        <f t="array" ref="H133">if(isblank(F133),"",xlookup(F133,'FL5_POR_包裝對照表 (Mapping Table)'!E:E,'FL5_POR_包裝對照表 (Mapping Table)'!E:E,"",0,1))</f>
        <v>IQGA09880-US</v>
      </c>
      <c r="I133" s="677" t="str">
        <f t="array" ref="I133">if(isblank(F133),"",xlookup(F133,'FL5_POR_包裝對照表 (Mapping Table)'!E:E,'FL5_POR_包裝對照表 (Mapping Table)'!AN:AN,"",0,1))</f>
        <v>G950-15935-04</v>
      </c>
      <c r="J133" s="894" t="str">
        <f t="array" ref="J133">if(isblank(F133),"",xlookup(G133,z_Others!$B$5:$B$17,z_Others!$C$5:$C$17,"",0,1))</f>
        <v>智能手機</v>
      </c>
      <c r="K133" s="894" t="str">
        <f t="array" ref="K133">if(isblank(F133),"",xlookup(G133,z_Others!$B$5:$B$17,z_Others!$E$5:$E$17,"",0,1))</f>
        <v>智能手機</v>
      </c>
      <c r="L133" s="894" t="str">
        <f t="array" ref="L133">if(isblank(F133),"",xlookup(G133,z_Others!$B$5:$B$17,z_Others!$F$5:$F$17,"",0,1))</f>
        <v>智能手機</v>
      </c>
      <c r="M133" s="894" t="str">
        <f t="shared" si="3"/>
        <v>Google</v>
      </c>
      <c r="N133" s="894" t="str">
        <f t="shared" si="4"/>
        <v>境外品牌（貼牌生產)</v>
      </c>
      <c r="O133" s="882" t="str">
        <f t="array" ref="O133">if(isblank(F133),"",xlookup(F133,'FL5_POR_包裝對照表 (Mapping Table)'!E:E,'FL5_POR_包裝對照表 (Mapping Table)'!L:L,"",0,1))</f>
        <v>GLBW0</v>
      </c>
      <c r="P133" s="895">
        <f t="array" ref="P133">if(isblank(F133),"",xlookup(G133,z_Others!$B$5:$B$17,z_Others!$J$5:$J$17,"",0,1))</f>
        <v>0.2029</v>
      </c>
      <c r="Q133" s="896">
        <f t="array" ref="Q133">if(isblank(F133),"",xlookup(F133,'FL5_POR_核價 (經管 &amp; BPM)'!E:E,'FL5_POR_核價 (經管 &amp; BPM)'!O:O,"",0,1))</f>
        <v>453.07</v>
      </c>
      <c r="R133" s="894" t="str">
        <f t="shared" si="5"/>
        <v>否</v>
      </c>
      <c r="S133" s="897" t="str">
        <f t="array" ref="S133">if(isblank(F133),"",xlookup(G133,z_Others!$B$5:$B$17,z_Others!$K$5:$K$17,"",0,1))</f>
        <v>(1) 說明書
(2) C-2-C USB 數據線</v>
      </c>
      <c r="T133" s="894" t="str">
        <f t="shared" si="6"/>
        <v>開發手機中框組件模型(適用于Google 牌手機)</v>
      </c>
      <c r="U133" s="898" t="str">
        <f t="array" ref="U133">if(isblank(F133),"",xlookup(G133,z_Others!$B$5:$B$17,z_Others!$G$5:$G$17,"",0,1))</f>
        <v>無線通話用</v>
      </c>
      <c r="V133" s="231" t="str">
        <f t="array" ref="V133">if(isblank(F133),"",xlookup(F133,'FL5_POR_包裝對照表 (Mapping Table)'!E:E,'FL5_POR_包裝對照表 (Mapping Table)'!AB:AB,"",0,1))</f>
        <v>SKU, CLR1, BETTER, MMWAVE, VZW, US, IQ, FL5</v>
      </c>
      <c r="W133" s="899" t="str">
        <f t="array" ref="W133">if(isblank(F133),"",xlookup(G133,z_Others!$B$5:$B$17,z_Others!$I$5:$I$17,"",0,1))</f>
        <v>152.83 x 71.98 x 12.01</v>
      </c>
      <c r="X133" s="894" t="str">
        <f t="shared" si="7"/>
        <v>Google</v>
      </c>
      <c r="Y133" s="894" t="str">
        <f t="shared" si="8"/>
        <v>Tensor series</v>
      </c>
      <c r="Z133" s="900" t="str">
        <f t="shared" si="9"/>
        <v>蜂窩網絡</v>
      </c>
      <c r="AA133" s="900" t="str">
        <f t="shared" si="10"/>
        <v>WCDMA&amp;GSM&amp;LTE&amp;5G制式</v>
      </c>
      <c r="AB133" s="878" t="str">
        <f t="array" ref="AB133">if(isblank(F133),"",xlookup(AJ133,z_Others!$M$5:$M$9,z_Others!$Q$5:$Q$9,"",0,1))</f>
        <v>直板、6.29 英寸彩屏、內存256G、GPRS、藍牙、前攝1100萬、後攝1200/5000萬</v>
      </c>
      <c r="AC133" s="900" t="str">
        <f t="shared" si="11"/>
        <v>中國</v>
      </c>
      <c r="AD133" s="894" t="str">
        <f t="array" ref="AD133">if(isblank(F133),"",xlookup(G133,z_Others!$B$5:$B$14,z_Others!$H$5:$H$14,"",0,1))</f>
        <v>附件07 (FATP手機)</v>
      </c>
      <c r="AE133" s="901" t="str">
        <f t="shared" si="12"/>
        <v>Foxconn</v>
      </c>
      <c r="AF133" s="791">
        <v>45783.0</v>
      </c>
      <c r="AG133" s="791">
        <f t="shared" si="17"/>
        <v>45859</v>
      </c>
      <c r="AH133" s="902">
        <v>45859.0</v>
      </c>
      <c r="AI133" s="787">
        <v>45811.0</v>
      </c>
      <c r="AJ133" s="677" t="str">
        <f t="array" ref="AJ133">if(isblank(F133),"",xlookup(F133,'FL5_POR_包裝對照表 (Mapping Table)'!E:E,'FL5_POR_包裝對照表 (Mapping Table)'!AS:AS,"",0,1))</f>
        <v>256GB</v>
      </c>
      <c r="AK133" s="677" t="str">
        <f t="array" ref="AK133">if(isblank(F133),"",xlookup(F133,'FL5_POR_包裝對照表 (Mapping Table)'!E:E,'FL5_POR_包裝對照表 (Mapping Table)'!K:K,"",0,1))</f>
        <v>BLK</v>
      </c>
      <c r="AL133" s="677">
        <v>3427.0</v>
      </c>
      <c r="AM133" s="811"/>
      <c r="AN133" s="888" t="str">
        <f t="array" ref="AN133">xlookup(F133,'FL5_POR_包裝對照表 (Mapping Table)'!E:E,'FL5_POR_包裝對照表 (Mapping Table)'!BM:BM,"",0,1)</f>
        <v>No demand</v>
      </c>
      <c r="AO133" s="813"/>
      <c r="AP133" s="813"/>
    </row>
    <row r="134" ht="25.5" customHeight="1">
      <c r="A134" s="905"/>
      <c r="B134" s="877">
        <v>128.0</v>
      </c>
      <c r="C134" s="891" t="str">
        <f>if(isblank(F134),"",'FL5_POR_包裝對照表 (Mapping Table)'!$E$4)</f>
        <v>GFL (FL5)</v>
      </c>
      <c r="D134" s="878" t="str">
        <f t="array" ref="D134">if(isblank(F134),"",xlookup(F134,'FL5_POR_包裝對照表 (Mapping Table)'!E:E,'FL5_POR_包裝對照表 (Mapping Table)'!AZ:AZ,"",0,1))</f>
        <v>MP</v>
      </c>
      <c r="E134" s="677" t="str">
        <f t="shared" si="2"/>
        <v>Close</v>
      </c>
      <c r="F134" s="879" t="s">
        <v>734</v>
      </c>
      <c r="G134" s="892" t="str">
        <f t="array" ref="G134">if(isblank(F134),"",xlookup(F134,'FL5_POR_包裝對照表 (Mapping Table)'!E:E,'FL5_POR_包裝對照表 (Mapping Table)'!D:D,"",0,1))</f>
        <v>Retail Pack</v>
      </c>
      <c r="H134" s="893" t="str">
        <f t="array" ref="H134">if(isblank(F134),"",xlookup(F134,'FL5_POR_包裝對照表 (Mapping Table)'!E:E,'FL5_POR_包裝對照表 (Mapping Table)'!E:E,"",0,1))</f>
        <v>IQGA10238-US</v>
      </c>
      <c r="I134" s="677" t="str">
        <f t="array" ref="I134">if(isblank(F134),"",xlookup(F134,'FL5_POR_包裝對照表 (Mapping Table)'!E:E,'FL5_POR_包裝對照表 (Mapping Table)'!AN:AN,"",0,1))</f>
        <v>G950-15935-01</v>
      </c>
      <c r="J134" s="894" t="str">
        <f t="array" ref="J134">if(isblank(F134),"",xlookup(G134,z_Others!$B$5:$B$17,z_Others!$C$5:$C$17,"",0,1))</f>
        <v>智能手機</v>
      </c>
      <c r="K134" s="894" t="str">
        <f t="array" ref="K134">if(isblank(F134),"",xlookup(G134,z_Others!$B$5:$B$17,z_Others!$E$5:$E$17,"",0,1))</f>
        <v>智能手機</v>
      </c>
      <c r="L134" s="894" t="str">
        <f t="array" ref="L134">if(isblank(F134),"",xlookup(G134,z_Others!$B$5:$B$17,z_Others!$F$5:$F$17,"",0,1))</f>
        <v>智能手機</v>
      </c>
      <c r="M134" s="894" t="str">
        <f t="shared" si="3"/>
        <v>Google</v>
      </c>
      <c r="N134" s="894" t="str">
        <f t="shared" si="4"/>
        <v>境外品牌（貼牌生產)</v>
      </c>
      <c r="O134" s="882" t="str">
        <f t="array" ref="O134">if(isblank(F134),"",xlookup(F134,'FL5_POR_包裝對照表 (Mapping Table)'!E:E,'FL5_POR_包裝對照表 (Mapping Table)'!L:L,"",0,1))</f>
        <v>GLBW0</v>
      </c>
      <c r="P134" s="895">
        <f t="array" ref="P134">if(isblank(F134),"",xlookup(G134,z_Others!$B$5:$B$17,z_Others!$J$5:$J$17,"",0,1))</f>
        <v>0.2029</v>
      </c>
      <c r="Q134" s="896">
        <f t="array" ref="Q134">if(isblank(F134),"",xlookup(F134,'FL5_POR_核價 (經管 &amp; BPM)'!E:E,'FL5_POR_核價 (經管 &amp; BPM)'!O:O,"",0,1))</f>
        <v>447.37</v>
      </c>
      <c r="R134" s="894" t="str">
        <f t="shared" si="5"/>
        <v>否</v>
      </c>
      <c r="S134" s="897" t="str">
        <f t="array" ref="S134">if(isblank(F134),"",xlookup(G134,z_Others!$B$5:$B$17,z_Others!$K$5:$K$17,"",0,1))</f>
        <v>(1) 說明書
(2) C-2-C USB 數據線</v>
      </c>
      <c r="T134" s="894" t="str">
        <f t="shared" si="6"/>
        <v>開發手機中框組件模型(適用于Google 牌手機)</v>
      </c>
      <c r="U134" s="898" t="str">
        <f t="array" ref="U134">if(isblank(F134),"",xlookup(G134,z_Others!$B$5:$B$17,z_Others!$G$5:$G$17,"",0,1))</f>
        <v>無線通話用</v>
      </c>
      <c r="V134" s="231" t="str">
        <f t="array" ref="V134">if(isblank(F134),"",xlookup(F134,'FL5_POR_包裝對照表 (Mapping Table)'!E:E,'FL5_POR_包裝對照表 (Mapping Table)'!AB:AB,"",0,1))</f>
        <v>SKU, CLR2, GOOD, MMWAVE, VZW, US, IQ, FL5</v>
      </c>
      <c r="W134" s="899" t="str">
        <f t="array" ref="W134">if(isblank(F134),"",xlookup(G134,z_Others!$B$5:$B$17,z_Others!$I$5:$I$17,"",0,1))</f>
        <v>152.83 x 71.98 x 12.01</v>
      </c>
      <c r="X134" s="894" t="str">
        <f t="shared" si="7"/>
        <v>Google</v>
      </c>
      <c r="Y134" s="894" t="str">
        <f t="shared" si="8"/>
        <v>Tensor series</v>
      </c>
      <c r="Z134" s="900" t="str">
        <f t="shared" si="9"/>
        <v>蜂窩網絡</v>
      </c>
      <c r="AA134" s="900" t="str">
        <f t="shared" si="10"/>
        <v>WCDMA&amp;GSM&amp;LTE&amp;5G制式</v>
      </c>
      <c r="AB134" s="878" t="str">
        <f t="array" ref="AB134">if(isblank(F134),"",xlookup(AJ134,z_Others!$M$5:$M$9,z_Others!$Q$5:$Q$9,"",0,1))</f>
        <v>直板、6.29 英寸彩屏、內存128G、GPRS、藍牙、前攝1100萬、後攝1200/5000萬</v>
      </c>
      <c r="AC134" s="900" t="str">
        <f t="shared" si="11"/>
        <v>中國</v>
      </c>
      <c r="AD134" s="894" t="str">
        <f t="array" ref="AD134">if(isblank(F134),"",xlookup(G134,z_Others!$B$5:$B$14,z_Others!$H$5:$H$14,"",0,1))</f>
        <v>附件07 (FATP手機)</v>
      </c>
      <c r="AE134" s="901" t="str">
        <f t="shared" si="12"/>
        <v>Foxconn</v>
      </c>
      <c r="AF134" s="791">
        <v>45783.0</v>
      </c>
      <c r="AG134" s="791">
        <f t="shared" si="17"/>
        <v>45859</v>
      </c>
      <c r="AH134" s="902">
        <v>45859.0</v>
      </c>
      <c r="AI134" s="787">
        <v>45811.0</v>
      </c>
      <c r="AJ134" s="677" t="str">
        <f t="array" ref="AJ134">if(isblank(F134),"",xlookup(F134,'FL5_POR_包裝對照表 (Mapping Table)'!E:E,'FL5_POR_包裝對照表 (Mapping Table)'!AS:AS,"",0,1))</f>
        <v>128GB</v>
      </c>
      <c r="AK134" s="677" t="str">
        <f t="array" ref="AK134">if(isblank(F134),"",xlookup(F134,'FL5_POR_包裝對照表 (Mapping Table)'!E:E,'FL5_POR_包裝對照表 (Mapping Table)'!K:K,"",0,1))</f>
        <v>PPL</v>
      </c>
      <c r="AL134" s="677">
        <v>3426.0</v>
      </c>
      <c r="AM134" s="811"/>
      <c r="AN134" s="888" t="str">
        <f t="array" ref="AN134">xlookup(F134,'FL5_POR_包裝對照表 (Mapping Table)'!E:E,'FL5_POR_包裝對照表 (Mapping Table)'!BM:BM,"",0,1)</f>
        <v>No demand</v>
      </c>
      <c r="AO134" s="813"/>
      <c r="AP134" s="813"/>
    </row>
    <row r="135" ht="25.5" customHeight="1">
      <c r="A135" s="889"/>
      <c r="B135" s="877">
        <v>129.0</v>
      </c>
      <c r="C135" s="891" t="str">
        <f>if(isblank(F135),"",'FL5_POR_包裝對照表 (Mapping Table)'!$E$4)</f>
        <v>GFL (FL5)</v>
      </c>
      <c r="D135" s="878" t="str">
        <f t="array" ref="D135">if(isblank(F135),"",xlookup(F135,'FL5_POR_包裝對照表 (Mapping Table)'!E:E,'FL5_POR_包裝對照表 (Mapping Table)'!AZ:AZ,"",0,1))</f>
        <v>MP</v>
      </c>
      <c r="E135" s="677" t="str">
        <f t="shared" si="2"/>
        <v>Close</v>
      </c>
      <c r="F135" s="879" t="s">
        <v>739</v>
      </c>
      <c r="G135" s="892" t="str">
        <f t="array" ref="G135">if(isblank(F135),"",xlookup(F135,'FL5_POR_包裝對照表 (Mapping Table)'!E:E,'FL5_POR_包裝對照表 (Mapping Table)'!D:D,"",0,1))</f>
        <v>Retail Pack</v>
      </c>
      <c r="H135" s="893" t="str">
        <f t="array" ref="H135">if(isblank(F135),"",xlookup(F135,'FL5_POR_包裝對照表 (Mapping Table)'!E:E,'FL5_POR_包裝對照表 (Mapping Table)'!E:E,"",0,1))</f>
        <v>IQGA10239-US</v>
      </c>
      <c r="I135" s="677" t="str">
        <f t="array" ref="I135">if(isblank(F135),"",xlookup(F135,'FL5_POR_包裝對照表 (Mapping Table)'!E:E,'FL5_POR_包裝對照表 (Mapping Table)'!AN:AN,"",0,1))</f>
        <v>G950-15935-02</v>
      </c>
      <c r="J135" s="894" t="str">
        <f t="array" ref="J135">if(isblank(F135),"",xlookup(G135,z_Others!$B$5:$B$17,z_Others!$C$5:$C$17,"",0,1))</f>
        <v>智能手機</v>
      </c>
      <c r="K135" s="894" t="str">
        <f t="array" ref="K135">if(isblank(F135),"",xlookup(G135,z_Others!$B$5:$B$17,z_Others!$E$5:$E$17,"",0,1))</f>
        <v>智能手機</v>
      </c>
      <c r="L135" s="894" t="str">
        <f t="array" ref="L135">if(isblank(F135),"",xlookup(G135,z_Others!$B$5:$B$17,z_Others!$F$5:$F$17,"",0,1))</f>
        <v>智能手機</v>
      </c>
      <c r="M135" s="894" t="str">
        <f t="shared" si="3"/>
        <v>Google</v>
      </c>
      <c r="N135" s="894" t="str">
        <f t="shared" si="4"/>
        <v>境外品牌（貼牌生產)</v>
      </c>
      <c r="O135" s="882" t="str">
        <f t="array" ref="O135">if(isblank(F135),"",xlookup(F135,'FL5_POR_包裝對照表 (Mapping Table)'!E:E,'FL5_POR_包裝對照表 (Mapping Table)'!L:L,"",0,1))</f>
        <v>GLBW0</v>
      </c>
      <c r="P135" s="895">
        <f t="array" ref="P135">if(isblank(F135),"",xlookup(G135,z_Others!$B$5:$B$17,z_Others!$J$5:$J$17,"",0,1))</f>
        <v>0.2029</v>
      </c>
      <c r="Q135" s="896">
        <f t="array" ref="Q135">if(isblank(F135),"",xlookup(F135,'FL5_POR_核價 (經管 &amp; BPM)'!E:E,'FL5_POR_核價 (經管 &amp; BPM)'!O:O,"",0,1))</f>
        <v>447.47</v>
      </c>
      <c r="R135" s="894" t="str">
        <f t="shared" si="5"/>
        <v>否</v>
      </c>
      <c r="S135" s="897" t="str">
        <f t="array" ref="S135">if(isblank(F135),"",xlookup(G135,z_Others!$B$5:$B$17,z_Others!$K$5:$K$17,"",0,1))</f>
        <v>(1) 說明書
(2) C-2-C USB 數據線</v>
      </c>
      <c r="T135" s="894" t="str">
        <f t="shared" si="6"/>
        <v>開發手機中框組件模型(適用于Google 牌手機)</v>
      </c>
      <c r="U135" s="898" t="str">
        <f t="array" ref="U135">if(isblank(F135),"",xlookup(G135,z_Others!$B$5:$B$17,z_Others!$G$5:$G$17,"",0,1))</f>
        <v>無線通話用</v>
      </c>
      <c r="V135" s="231" t="str">
        <f t="array" ref="V135">if(isblank(F135),"",xlookup(F135,'FL5_POR_包裝對照表 (Mapping Table)'!E:E,'FL5_POR_包裝對照表 (Mapping Table)'!AB:AB,"",0,1))</f>
        <v>SKU, CLR3, GOOD, MMWAVE, VZW, US, IQ, FL5</v>
      </c>
      <c r="W135" s="899" t="str">
        <f t="array" ref="W135">if(isblank(F135),"",xlookup(G135,z_Others!$B$5:$B$17,z_Others!$I$5:$I$17,"",0,1))</f>
        <v>152.83 x 71.98 x 12.01</v>
      </c>
      <c r="X135" s="894" t="str">
        <f t="shared" si="7"/>
        <v>Google</v>
      </c>
      <c r="Y135" s="894" t="str">
        <f t="shared" si="8"/>
        <v>Tensor series</v>
      </c>
      <c r="Z135" s="900" t="str">
        <f t="shared" si="9"/>
        <v>蜂窩網絡</v>
      </c>
      <c r="AA135" s="900" t="str">
        <f t="shared" si="10"/>
        <v>WCDMA&amp;GSM&amp;LTE&amp;5G制式</v>
      </c>
      <c r="AB135" s="878" t="str">
        <f t="array" ref="AB135">if(isblank(F135),"",xlookup(AJ135,z_Others!$M$5:$M$9,z_Others!$Q$5:$Q$9,"",0,1))</f>
        <v>直板、6.29 英寸彩屏、內存128G、GPRS、藍牙、前攝1100萬、後攝1200/5000萬</v>
      </c>
      <c r="AC135" s="900" t="str">
        <f t="shared" si="11"/>
        <v>中國</v>
      </c>
      <c r="AD135" s="894" t="str">
        <f t="array" ref="AD135">if(isblank(F135),"",xlookup(G135,z_Others!$B$5:$B$14,z_Others!$H$5:$H$14,"",0,1))</f>
        <v>附件07 (FATP手機)</v>
      </c>
      <c r="AE135" s="901" t="str">
        <f t="shared" si="12"/>
        <v>Foxconn</v>
      </c>
      <c r="AF135" s="791">
        <v>45783.0</v>
      </c>
      <c r="AG135" s="791">
        <f t="shared" si="17"/>
        <v>45859</v>
      </c>
      <c r="AH135" s="902">
        <v>45859.0</v>
      </c>
      <c r="AI135" s="787">
        <v>45811.0</v>
      </c>
      <c r="AJ135" s="677" t="str">
        <f t="array" ref="AJ135">if(isblank(F135),"",xlookup(F135,'FL5_POR_包裝對照表 (Mapping Table)'!E:E,'FL5_POR_包裝對照表 (Mapping Table)'!AS:AS,"",0,1))</f>
        <v>128GB</v>
      </c>
      <c r="AK135" s="677" t="str">
        <f t="array" ref="AK135">if(isblank(F135),"",xlookup(F135,'FL5_POR_包裝對照表 (Mapping Table)'!E:E,'FL5_POR_包裝對照表 (Mapping Table)'!K:K,"",0,1))</f>
        <v>YEL</v>
      </c>
      <c r="AL135" s="677">
        <v>3425.0</v>
      </c>
      <c r="AM135" s="811"/>
      <c r="AN135" s="888" t="str">
        <f t="array" ref="AN135">xlookup(F135,'FL5_POR_包裝對照表 (Mapping Table)'!E:E,'FL5_POR_包裝對照表 (Mapping Table)'!BM:BM,"",0,1)</f>
        <v>No demand</v>
      </c>
      <c r="AO135" s="813"/>
      <c r="AP135" s="813"/>
    </row>
    <row r="136" ht="25.5" customHeight="1">
      <c r="A136" s="889"/>
      <c r="B136" s="877">
        <v>130.0</v>
      </c>
      <c r="C136" s="891" t="str">
        <f>if(isblank(F136),"",'FL5_POR_包裝對照表 (Mapping Table)'!$E$4)</f>
        <v>GFL (FL5)</v>
      </c>
      <c r="D136" s="878" t="str">
        <f t="array" ref="D136">if(isblank(F136),"",xlookup(F136,'FL5_POR_包裝對照表 (Mapping Table)'!E:E,'FL5_POR_包裝對照表 (Mapping Table)'!AZ:AZ,"",0,1))</f>
        <v>MP</v>
      </c>
      <c r="E136" s="677" t="str">
        <f t="shared" si="2"/>
        <v>Close</v>
      </c>
      <c r="F136" s="879" t="s">
        <v>759</v>
      </c>
      <c r="G136" s="892" t="str">
        <f t="array" ref="G136">if(isblank(F136),"",xlookup(F136,'FL5_POR_包裝對照表 (Mapping Table)'!E:E,'FL5_POR_包裝對照表 (Mapping Table)'!D:D,"",0,1))</f>
        <v>Retail Pack</v>
      </c>
      <c r="H136" s="893" t="str">
        <f t="array" ref="H136">if(isblank(F136),"",xlookup(F136,'FL5_POR_包裝對照表 (Mapping Table)'!E:E,'FL5_POR_包裝對照表 (Mapping Table)'!E:E,"",0,1))</f>
        <v>IQGA10243-US</v>
      </c>
      <c r="I136" s="677" t="str">
        <f t="array" ref="I136">if(isblank(F136),"",xlookup(F136,'FL5_POR_包裝對照表 (Mapping Table)'!E:E,'FL5_POR_包裝對照表 (Mapping Table)'!AN:AN,"",0,1))</f>
        <v>G950-15935-07</v>
      </c>
      <c r="J136" s="894" t="str">
        <f t="array" ref="J136">if(isblank(F136),"",xlookup(G136,z_Others!$B$5:$B$17,z_Others!$C$5:$C$17,"",0,1))</f>
        <v>智能手機</v>
      </c>
      <c r="K136" s="894" t="str">
        <f t="array" ref="K136">if(isblank(F136),"",xlookup(G136,z_Others!$B$5:$B$17,z_Others!$E$5:$E$17,"",0,1))</f>
        <v>智能手機</v>
      </c>
      <c r="L136" s="894" t="str">
        <f t="array" ref="L136">if(isblank(F136),"",xlookup(G136,z_Others!$B$5:$B$17,z_Others!$F$5:$F$17,"",0,1))</f>
        <v>智能手機</v>
      </c>
      <c r="M136" s="894" t="str">
        <f t="shared" si="3"/>
        <v>Google</v>
      </c>
      <c r="N136" s="894" t="str">
        <f t="shared" si="4"/>
        <v>境外品牌（貼牌生產)</v>
      </c>
      <c r="O136" s="882" t="str">
        <f t="array" ref="O136">if(isblank(F136),"",xlookup(F136,'FL5_POR_包裝對照表 (Mapping Table)'!E:E,'FL5_POR_包裝對照表 (Mapping Table)'!L:L,"",0,1))</f>
        <v>GLBW0</v>
      </c>
      <c r="P136" s="895">
        <f t="array" ref="P136">if(isblank(F136),"",xlookup(G136,z_Others!$B$5:$B$17,z_Others!$J$5:$J$17,"",0,1))</f>
        <v>0.2029</v>
      </c>
      <c r="Q136" s="896">
        <f t="array" ref="Q136">if(isblank(F136),"",xlookup(F136,'FL5_POR_核價 (經管 &amp; BPM)'!E:E,'FL5_POR_核價 (經管 &amp; BPM)'!O:O,"",0,1))</f>
        <v>453.47</v>
      </c>
      <c r="R136" s="894" t="str">
        <f t="shared" si="5"/>
        <v>否</v>
      </c>
      <c r="S136" s="897" t="str">
        <f t="array" ref="S136">if(isblank(F136),"",xlookup(G136,z_Others!$B$5:$B$17,z_Others!$K$5:$K$17,"",0,1))</f>
        <v>(1) 說明書
(2) C-2-C USB 數據線</v>
      </c>
      <c r="T136" s="894" t="str">
        <f t="shared" si="6"/>
        <v>開發手機中框組件模型(適用于Google 牌手機)</v>
      </c>
      <c r="U136" s="898" t="str">
        <f t="array" ref="U136">if(isblank(F136),"",xlookup(G136,z_Others!$B$5:$B$17,z_Others!$G$5:$G$17,"",0,1))</f>
        <v>無線通話用</v>
      </c>
      <c r="V136" s="231" t="str">
        <f t="array" ref="V136">if(isblank(F136),"",xlookup(F136,'FL5_POR_包裝對照表 (Mapping Table)'!E:E,'FL5_POR_包裝對照表 (Mapping Table)'!AB:AB,"",0,1))</f>
        <v>SKU, CLR4, BETTER, MMWAVE, VZW, US, IQ, FL5</v>
      </c>
      <c r="W136" s="899" t="str">
        <f t="array" ref="W136">if(isblank(F136),"",xlookup(G136,z_Others!$B$5:$B$17,z_Others!$I$5:$I$17,"",0,1))</f>
        <v>152.83 x 71.98 x 12.01</v>
      </c>
      <c r="X136" s="894" t="str">
        <f t="shared" si="7"/>
        <v>Google</v>
      </c>
      <c r="Y136" s="894" t="str">
        <f t="shared" si="8"/>
        <v>Tensor series</v>
      </c>
      <c r="Z136" s="900" t="str">
        <f t="shared" si="9"/>
        <v>蜂窩網絡</v>
      </c>
      <c r="AA136" s="900" t="str">
        <f t="shared" si="10"/>
        <v>WCDMA&amp;GSM&amp;LTE&amp;5G制式</v>
      </c>
      <c r="AB136" s="878" t="str">
        <f t="array" ref="AB136">if(isblank(F136),"",xlookup(AJ136,z_Others!$M$5:$M$9,z_Others!$Q$5:$Q$9,"",0,1))</f>
        <v>直板、6.29 英寸彩屏、內存256G、GPRS、藍牙、前攝1100萬、後攝1200/5000萬</v>
      </c>
      <c r="AC136" s="900" t="str">
        <f t="shared" si="11"/>
        <v>中國</v>
      </c>
      <c r="AD136" s="894" t="str">
        <f t="array" ref="AD136">if(isblank(F136),"",xlookup(G136,z_Others!$B$5:$B$14,z_Others!$H$5:$H$14,"",0,1))</f>
        <v>附件07 (FATP手機)</v>
      </c>
      <c r="AE136" s="901" t="str">
        <f t="shared" si="12"/>
        <v>Foxconn</v>
      </c>
      <c r="AF136" s="791">
        <v>45783.0</v>
      </c>
      <c r="AG136" s="791">
        <f t="shared" si="17"/>
        <v>45859</v>
      </c>
      <c r="AH136" s="902">
        <v>45859.0</v>
      </c>
      <c r="AI136" s="787">
        <v>45811.0</v>
      </c>
      <c r="AJ136" s="677" t="str">
        <f t="array" ref="AJ136">if(isblank(F136),"",xlookup(F136,'FL5_POR_包裝對照表 (Mapping Table)'!E:E,'FL5_POR_包裝對照表 (Mapping Table)'!AS:AS,"",0,1))</f>
        <v>256GB</v>
      </c>
      <c r="AK136" s="677" t="str">
        <f t="array" ref="AK136">if(isblank(F136),"",xlookup(F136,'FL5_POR_包裝對照表 (Mapping Table)'!E:E,'FL5_POR_包裝對照表 (Mapping Table)'!K:K,"",0,1))</f>
        <v>BUE</v>
      </c>
      <c r="AL136" s="677">
        <v>3424.0</v>
      </c>
      <c r="AM136" s="811"/>
      <c r="AN136" s="888" t="str">
        <f t="array" ref="AN136">xlookup(F136,'FL5_POR_包裝對照表 (Mapping Table)'!E:E,'FL5_POR_包裝對照表 (Mapping Table)'!BM:BM,"",0,1)</f>
        <v>No demand</v>
      </c>
      <c r="AO136" s="813"/>
      <c r="AP136" s="813"/>
    </row>
    <row r="137" ht="25.5" customHeight="1">
      <c r="A137" s="889"/>
      <c r="B137" s="877">
        <v>131.0</v>
      </c>
      <c r="C137" s="891" t="str">
        <f>if(isblank(F137),"",'FL5_POR_包裝對照表 (Mapping Table)'!$E$4)</f>
        <v>GFL (FL5)</v>
      </c>
      <c r="D137" s="878" t="s">
        <v>278</v>
      </c>
      <c r="E137" s="677" t="str">
        <f t="shared" si="2"/>
        <v>Close</v>
      </c>
      <c r="F137" s="906" t="s">
        <v>2173</v>
      </c>
      <c r="G137" s="880" t="s">
        <v>52</v>
      </c>
      <c r="H137" s="907" t="s">
        <v>2173</v>
      </c>
      <c r="I137" s="310" t="s">
        <v>2173</v>
      </c>
      <c r="J137" s="894" t="str">
        <f t="array" ref="J137">if(isblank(F137),"",xlookup(G137,z_Others!$B$5:$B$17,z_Others!$C$5:$C$17,"",0,1))</f>
        <v>智能手機</v>
      </c>
      <c r="K137" s="894" t="str">
        <f t="array" ref="K137">if(isblank(F137),"",xlookup(G137,z_Others!$B$5:$B$17,z_Others!$E$5:$E$17,"",0,1))</f>
        <v>智能手機</v>
      </c>
      <c r="L137" s="894" t="str">
        <f t="array" ref="L137">if(isblank(F137),"",xlookup(G137,z_Others!$B$5:$B$17,z_Others!$F$5:$F$17,"",0,1))</f>
        <v>智能手機</v>
      </c>
      <c r="M137" s="894" t="str">
        <f t="shared" si="3"/>
        <v>Google</v>
      </c>
      <c r="N137" s="894" t="str">
        <f t="shared" si="4"/>
        <v>境外品牌（貼牌生產)</v>
      </c>
      <c r="O137" s="882" t="str">
        <f t="array" ref="O137">if(isblank(F137),"",xlookup(F137,'FL5_POR_包裝對照表 (Mapping Table)'!E:E,'FL5_POR_包裝對照表 (Mapping Table)'!L:L,"",0,1))</f>
        <v/>
      </c>
      <c r="P137" s="895">
        <f t="array" ref="P137">if(isblank(F137),"",xlookup(G137,z_Others!$B$5:$B$17,z_Others!$J$5:$J$17,"",0,1))</f>
        <v>0.2029</v>
      </c>
      <c r="Q137" s="896">
        <f t="array" ref="Q137">if(isblank(F137),"",xlookup(F137,'FL5_POR_核價 (經管 &amp; BPM)'!E:E,'FL5_POR_核價 (經管 &amp; BPM)'!O:O,"",0,1))</f>
        <v>439.03</v>
      </c>
      <c r="R137" s="894" t="str">
        <f t="shared" si="5"/>
        <v>否</v>
      </c>
      <c r="S137" s="897" t="str">
        <f t="array" ref="S137">if(isblank(F137),"",xlookup(G137,z_Others!$B$5:$B$17,z_Others!$K$5:$K$17,"",0,1))</f>
        <v>無附件</v>
      </c>
      <c r="T137" s="878" t="s">
        <v>2121</v>
      </c>
      <c r="U137" s="885" t="s">
        <v>2145</v>
      </c>
      <c r="V137" s="231" t="s">
        <v>2174</v>
      </c>
      <c r="W137" s="899" t="str">
        <f t="array" ref="W137">if(isblank(F137),"",xlookup(G137,z_Others!$B$5:$B$17,z_Others!$I$5:$I$17,"",0,1))</f>
        <v>152.83 x 71.98 x 12.01</v>
      </c>
      <c r="X137" s="894" t="str">
        <f t="shared" si="7"/>
        <v>Google</v>
      </c>
      <c r="Y137" s="894" t="str">
        <f t="shared" si="8"/>
        <v>Tensor series</v>
      </c>
      <c r="Z137" s="900" t="str">
        <f t="shared" si="9"/>
        <v>蜂窩網絡</v>
      </c>
      <c r="AA137" s="900" t="str">
        <f t="shared" si="10"/>
        <v>WCDMA&amp;GSM&amp;LTE&amp;5G制式</v>
      </c>
      <c r="AB137" s="878" t="s">
        <v>1480</v>
      </c>
      <c r="AC137" s="900" t="str">
        <f t="shared" si="11"/>
        <v>中國</v>
      </c>
      <c r="AD137" s="894" t="str">
        <f t="array" ref="AD137">if(isblank(F137),"",xlookup(G137,z_Others!$B$5:$B$14,z_Others!$H$5:$H$14,"",0,1))</f>
        <v>附件07 (FATP手機)</v>
      </c>
      <c r="AE137" s="901" t="str">
        <f t="shared" si="12"/>
        <v>Foxconn</v>
      </c>
      <c r="AF137" s="791">
        <v>45818.0</v>
      </c>
      <c r="AG137" s="791">
        <f t="shared" ref="AG137:AG139" si="18">if(isblank(AF137),"",_xlfn.WORKDAY.INTL(AF137,15,11))</f>
        <v>45835</v>
      </c>
      <c r="AH137" s="787"/>
      <c r="AI137" s="808">
        <v>45820.0</v>
      </c>
      <c r="AJ137" s="292" t="str">
        <f t="array" ref="AJ137">xlookup(F137,'FL5_POR_包裝對照表 (Mapping Table)'!AN:AN,'FL5_POR_包裝對照表 (Mapping Table)'!AS:AS,"",0,1)</f>
        <v>256GB</v>
      </c>
      <c r="AK137" s="310" t="s">
        <v>1594</v>
      </c>
      <c r="AL137" s="292">
        <v>3544.0</v>
      </c>
      <c r="AM137" s="813"/>
      <c r="AN137" s="908"/>
      <c r="AO137" s="813"/>
      <c r="AP137" s="813"/>
    </row>
    <row r="138" ht="25.5" customHeight="1">
      <c r="A138" s="905"/>
      <c r="B138" s="877">
        <v>132.0</v>
      </c>
      <c r="C138" s="891" t="str">
        <f>if(isblank(F138),"",'FL5_POR_包裝對照表 (Mapping Table)'!$E$4)</f>
        <v>GFL (FL5)</v>
      </c>
      <c r="D138" s="878" t="s">
        <v>278</v>
      </c>
      <c r="E138" s="677" t="str">
        <f t="shared" si="2"/>
        <v>Close</v>
      </c>
      <c r="F138" s="906" t="s">
        <v>2175</v>
      </c>
      <c r="G138" s="880" t="s">
        <v>52</v>
      </c>
      <c r="H138" s="907" t="s">
        <v>2175</v>
      </c>
      <c r="I138" s="310" t="s">
        <v>2175</v>
      </c>
      <c r="J138" s="894" t="str">
        <f t="array" ref="J138">if(isblank(F138),"",xlookup(G138,z_Others!$B$5:$B$17,z_Others!$C$5:$C$17,"",0,1))</f>
        <v>智能手機</v>
      </c>
      <c r="K138" s="894" t="str">
        <f t="array" ref="K138">if(isblank(F138),"",xlookup(G138,z_Others!$B$5:$B$17,z_Others!$E$5:$E$17,"",0,1))</f>
        <v>智能手機</v>
      </c>
      <c r="L138" s="894" t="str">
        <f t="array" ref="L138">if(isblank(F138),"",xlookup(G138,z_Others!$B$5:$B$17,z_Others!$F$5:$F$17,"",0,1))</f>
        <v>智能手機</v>
      </c>
      <c r="M138" s="894" t="str">
        <f t="shared" si="3"/>
        <v>Google</v>
      </c>
      <c r="N138" s="894" t="str">
        <f t="shared" si="4"/>
        <v>境外品牌（貼牌生產)</v>
      </c>
      <c r="O138" s="882" t="str">
        <f t="array" ref="O138">if(isblank(F138),"",xlookup(F138,'FL5_POR_包裝對照表 (Mapping Table)'!E:E,'FL5_POR_包裝對照表 (Mapping Table)'!L:L,"",0,1))</f>
        <v/>
      </c>
      <c r="P138" s="895">
        <f t="array" ref="P138">if(isblank(F138),"",xlookup(G138,z_Others!$B$5:$B$17,z_Others!$J$5:$J$17,"",0,1))</f>
        <v>0.2029</v>
      </c>
      <c r="Q138" s="896">
        <f t="array" ref="Q138">if(isblank(F138),"",xlookup(F138,'FL5_POR_核價 (經管 &amp; BPM)'!E:E,'FL5_POR_核價 (經管 &amp; BPM)'!O:O,"",0,1))</f>
        <v>439.53</v>
      </c>
      <c r="R138" s="894" t="str">
        <f t="shared" si="5"/>
        <v>否</v>
      </c>
      <c r="S138" s="897" t="str">
        <f t="array" ref="S138">if(isblank(F138),"",xlookup(G138,z_Others!$B$5:$B$17,z_Others!$K$5:$K$17,"",0,1))</f>
        <v>無附件</v>
      </c>
      <c r="T138" s="878" t="s">
        <v>2121</v>
      </c>
      <c r="U138" s="885" t="s">
        <v>2145</v>
      </c>
      <c r="V138" s="231" t="s">
        <v>2176</v>
      </c>
      <c r="W138" s="899" t="str">
        <f t="array" ref="W138">if(isblank(F138),"",xlookup(G138,z_Others!$B$5:$B$17,z_Others!$I$5:$I$17,"",0,1))</f>
        <v>152.83 x 71.98 x 12.01</v>
      </c>
      <c r="X138" s="894" t="str">
        <f t="shared" si="7"/>
        <v>Google</v>
      </c>
      <c r="Y138" s="894" t="str">
        <f t="shared" si="8"/>
        <v>Tensor series</v>
      </c>
      <c r="Z138" s="900" t="str">
        <f t="shared" si="9"/>
        <v>蜂窩網絡</v>
      </c>
      <c r="AA138" s="900" t="str">
        <f t="shared" si="10"/>
        <v>WCDMA&amp;GSM&amp;LTE&amp;5G制式</v>
      </c>
      <c r="AB138" s="878" t="s">
        <v>1480</v>
      </c>
      <c r="AC138" s="900" t="str">
        <f t="shared" si="11"/>
        <v>中國</v>
      </c>
      <c r="AD138" s="894" t="str">
        <f t="array" ref="AD138">if(isblank(F138),"",xlookup(G138,z_Others!$B$5:$B$14,z_Others!$H$5:$H$14,"",0,1))</f>
        <v>附件07 (FATP手機)</v>
      </c>
      <c r="AE138" s="901" t="str">
        <f t="shared" si="12"/>
        <v>Foxconn</v>
      </c>
      <c r="AF138" s="791">
        <v>45818.0</v>
      </c>
      <c r="AG138" s="791">
        <f t="shared" si="18"/>
        <v>45835</v>
      </c>
      <c r="AH138" s="787"/>
      <c r="AI138" s="808">
        <v>45820.0</v>
      </c>
      <c r="AJ138" s="292" t="str">
        <f t="array" ref="AJ138">xlookup(F138,'FL5_POR_包裝對照表 (Mapping Table)'!AN:AN,'FL5_POR_包裝對照表 (Mapping Table)'!AS:AS,"",0,1)</f>
        <v>256GB</v>
      </c>
      <c r="AK138" s="310" t="s">
        <v>1604</v>
      </c>
      <c r="AL138" s="292">
        <v>3543.0</v>
      </c>
      <c r="AM138" s="813"/>
      <c r="AN138" s="908"/>
      <c r="AO138" s="813"/>
      <c r="AP138" s="813"/>
    </row>
    <row r="139" ht="25.5" customHeight="1">
      <c r="A139" s="889"/>
      <c r="B139" s="877">
        <v>133.0</v>
      </c>
      <c r="C139" s="891" t="str">
        <f>if(isblank(F139),"",'FL5_POR_包裝對照表 (Mapping Table)'!$E$4)</f>
        <v>GFL (FL5)</v>
      </c>
      <c r="D139" s="878" t="s">
        <v>278</v>
      </c>
      <c r="E139" s="677" t="str">
        <f t="shared" si="2"/>
        <v>Close</v>
      </c>
      <c r="F139" s="906" t="s">
        <v>2177</v>
      </c>
      <c r="G139" s="880" t="s">
        <v>52</v>
      </c>
      <c r="H139" s="907" t="s">
        <v>2177</v>
      </c>
      <c r="I139" s="310" t="s">
        <v>2177</v>
      </c>
      <c r="J139" s="894" t="str">
        <f t="array" ref="J139">if(isblank(F139),"",xlookup(G139,z_Others!$B$5:$B$17,z_Others!$C$5:$C$17,"",0,1))</f>
        <v>智能手機</v>
      </c>
      <c r="K139" s="894" t="str">
        <f t="array" ref="K139">if(isblank(F139),"",xlookup(G139,z_Others!$B$5:$B$17,z_Others!$E$5:$E$17,"",0,1))</f>
        <v>智能手機</v>
      </c>
      <c r="L139" s="894" t="str">
        <f t="array" ref="L139">if(isblank(F139),"",xlookup(G139,z_Others!$B$5:$B$17,z_Others!$F$5:$F$17,"",0,1))</f>
        <v>智能手機</v>
      </c>
      <c r="M139" s="894" t="str">
        <f t="shared" si="3"/>
        <v>Google</v>
      </c>
      <c r="N139" s="894" t="str">
        <f t="shared" si="4"/>
        <v>境外品牌（貼牌生產)</v>
      </c>
      <c r="O139" s="882" t="str">
        <f t="array" ref="O139">if(isblank(F139),"",xlookup(F139,'FL5_POR_包裝對照表 (Mapping Table)'!E:E,'FL5_POR_包裝對照表 (Mapping Table)'!L:L,"",0,1))</f>
        <v/>
      </c>
      <c r="P139" s="895">
        <f t="array" ref="P139">if(isblank(F139),"",xlookup(G139,z_Others!$B$5:$B$17,z_Others!$J$5:$J$17,"",0,1))</f>
        <v>0.2029</v>
      </c>
      <c r="Q139" s="896">
        <f t="array" ref="Q139">if(isblank(F139),"",xlookup(F139,'FL5_POR_核價 (經管 &amp; BPM)'!E:E,'FL5_POR_核價 (經管 &amp; BPM)'!O:O,"",0,1))</f>
        <v>439.13</v>
      </c>
      <c r="R139" s="894" t="str">
        <f t="shared" si="5"/>
        <v>否</v>
      </c>
      <c r="S139" s="897" t="str">
        <f t="array" ref="S139">if(isblank(F139),"",xlookup(G139,z_Others!$B$5:$B$17,z_Others!$K$5:$K$17,"",0,1))</f>
        <v>無附件</v>
      </c>
      <c r="T139" s="878" t="s">
        <v>2121</v>
      </c>
      <c r="U139" s="885" t="s">
        <v>2145</v>
      </c>
      <c r="V139" s="231" t="s">
        <v>2178</v>
      </c>
      <c r="W139" s="899" t="str">
        <f t="array" ref="W139">if(isblank(F139),"",xlookup(G139,z_Others!$B$5:$B$17,z_Others!$I$5:$I$17,"",0,1))</f>
        <v>152.83 x 71.98 x 12.01</v>
      </c>
      <c r="X139" s="894" t="str">
        <f t="shared" si="7"/>
        <v>Google</v>
      </c>
      <c r="Y139" s="894" t="str">
        <f t="shared" si="8"/>
        <v>Tensor series</v>
      </c>
      <c r="Z139" s="900" t="str">
        <f t="shared" si="9"/>
        <v>蜂窩網絡</v>
      </c>
      <c r="AA139" s="900" t="str">
        <f t="shared" si="10"/>
        <v>WCDMA&amp;GSM&amp;LTE&amp;5G制式</v>
      </c>
      <c r="AB139" s="878" t="s">
        <v>1480</v>
      </c>
      <c r="AC139" s="900" t="str">
        <f t="shared" si="11"/>
        <v>中國</v>
      </c>
      <c r="AD139" s="894" t="str">
        <f t="array" ref="AD139">if(isblank(F139),"",xlookup(G139,z_Others!$B$5:$B$14,z_Others!$H$5:$H$14,"",0,1))</f>
        <v>附件07 (FATP手機)</v>
      </c>
      <c r="AE139" s="901" t="str">
        <f t="shared" si="12"/>
        <v>Foxconn</v>
      </c>
      <c r="AF139" s="791">
        <v>45818.0</v>
      </c>
      <c r="AG139" s="791">
        <f t="shared" si="18"/>
        <v>45835</v>
      </c>
      <c r="AH139" s="787"/>
      <c r="AI139" s="808">
        <v>45820.0</v>
      </c>
      <c r="AJ139" s="292" t="str">
        <f t="array" ref="AJ139">xlookup(F139,'FL5_POR_包裝對照表 (Mapping Table)'!AN:AN,'FL5_POR_包裝對照表 (Mapping Table)'!AS:AS,"",0,1)</f>
        <v>256GB</v>
      </c>
      <c r="AK139" s="310" t="s">
        <v>1339</v>
      </c>
      <c r="AL139" s="292">
        <v>3542.0</v>
      </c>
      <c r="AM139" s="813"/>
      <c r="AN139" s="908"/>
      <c r="AO139" s="813"/>
      <c r="AP139" s="813"/>
    </row>
    <row r="140" ht="25.5" customHeight="1">
      <c r="A140" s="905"/>
      <c r="B140" s="877"/>
      <c r="C140" s="891" t="str">
        <f>if(isblank(F140),"",'FL5_POR_包裝對照表 (Mapping Table)'!$E$4)</f>
        <v/>
      </c>
      <c r="D140" s="878" t="str">
        <f t="array" ref="D140">if(isblank(F140),"",xlookup(F140,'FL5_POR_包裝對照表 (Mapping Table)'!E:E,'FL5_POR_包裝對照表 (Mapping Table)'!AZ:AZ,"",0,1))</f>
        <v/>
      </c>
      <c r="E140" s="677" t="str">
        <f t="shared" si="2"/>
        <v/>
      </c>
      <c r="F140" s="879"/>
      <c r="G140" s="892" t="str">
        <f t="array" ref="G140">if(isblank(F140),"",xlookup(F140,'FL5_POR_包裝對照表 (Mapping Table)'!E:E,'FL5_POR_包裝對照表 (Mapping Table)'!D:D,"",0,1))</f>
        <v/>
      </c>
      <c r="H140" s="893" t="str">
        <f t="array" ref="H140">if(isblank(F140),"",xlookup(F140,'FL5_POR_包裝對照表 (Mapping Table)'!E:E,'FL5_POR_包裝對照表 (Mapping Table)'!E:E,"",0,1))</f>
        <v/>
      </c>
      <c r="I140" s="677" t="str">
        <f t="array" ref="I140">if(isblank(F140),"",xlookup(F140,'FL5_POR_包裝對照表 (Mapping Table)'!E:E,'FL5_POR_包裝對照表 (Mapping Table)'!AN:AN,"",0,1))</f>
        <v/>
      </c>
      <c r="J140" s="894" t="str">
        <f t="array" ref="J140">if(isblank(F140),"",xlookup(G140,z_Others!$B$5:$B$17,z_Others!$C$5:$C$17,"",0,1))</f>
        <v/>
      </c>
      <c r="K140" s="894" t="str">
        <f t="array" ref="K140">if(isblank(F140),"",xlookup(G140,z_Others!$B$5:$B$17,z_Others!$E$5:$E$17,"",0,1))</f>
        <v/>
      </c>
      <c r="L140" s="894" t="str">
        <f t="array" ref="L140">if(isblank(F140),"",xlookup(G140,z_Others!$B$5:$B$17,z_Others!$F$5:$F$17,"",0,1))</f>
        <v/>
      </c>
      <c r="M140" s="894" t="str">
        <f t="shared" si="3"/>
        <v/>
      </c>
      <c r="N140" s="894" t="str">
        <f t="shared" si="4"/>
        <v/>
      </c>
      <c r="O140" s="882" t="str">
        <f t="array" ref="O140">if(isblank(F140),"",xlookup(F140,'FL5_POR_包裝對照表 (Mapping Table)'!E:E,'FL5_POR_包裝對照表 (Mapping Table)'!L:L,"",0,1))</f>
        <v/>
      </c>
      <c r="P140" s="909" t="str">
        <f t="array" ref="P140">if(isblank(F140),"",xlookup(G140,z_Others!$B$5:$B$17,z_Others!$J$5:$J$17,"",0,1))</f>
        <v/>
      </c>
      <c r="Q140" s="899" t="str">
        <f t="array" ref="Q140">if(isblank(F140),"",xlookup(F140,'FL5_POR_核價 (經管 &amp; BPM)'!E:E,'FL5_POR_核價 (經管 &amp; BPM)'!O:O,"",0,1))</f>
        <v/>
      </c>
      <c r="R140" s="894" t="str">
        <f t="shared" si="5"/>
        <v/>
      </c>
      <c r="S140" s="894" t="str">
        <f t="array" ref="S140">if(isblank(F140),"",xlookup(G140,z_Others!$B$5:$B$17,z_Others!$K$5:$K$17,"",0,1))</f>
        <v/>
      </c>
      <c r="T140" s="894" t="str">
        <f t="shared" ref="T140:T278" si="19">if(isblank(F140),"",$T$4)</f>
        <v/>
      </c>
      <c r="U140" s="898" t="str">
        <f t="array" ref="U140">if(isblank(F140),"",xlookup(G140,z_Others!$B$5:$B$17,z_Others!$G$5:$G$17,"",0,1))</f>
        <v/>
      </c>
      <c r="V140" s="231" t="str">
        <f t="array" ref="V140">if(isblank(F140),"",xlookup(F140,'FL5_POR_包裝對照表 (Mapping Table)'!E:E,'FL5_POR_包裝對照表 (Mapping Table)'!AB:AB,"",0,1))</f>
        <v/>
      </c>
      <c r="W140" s="899" t="str">
        <f t="array" ref="W140">if(isblank(F140),"",xlookup(G140,z_Others!$B$5:$B$17,z_Others!$I$5:$I$17,"",0,1))</f>
        <v/>
      </c>
      <c r="X140" s="894" t="str">
        <f t="shared" si="7"/>
        <v/>
      </c>
      <c r="Y140" s="894" t="str">
        <f t="shared" si="8"/>
        <v/>
      </c>
      <c r="Z140" s="900" t="str">
        <f t="shared" si="9"/>
        <v/>
      </c>
      <c r="AA140" s="900" t="str">
        <f t="shared" si="10"/>
        <v/>
      </c>
      <c r="AB140" s="878" t="str">
        <f t="array" ref="AB140">if(isblank(F140),"",xlookup(AJ140,z_Others!$M$5:$M$9,z_Others!$Q$5:$Q$9,"",0,1))</f>
        <v/>
      </c>
      <c r="AC140" s="900" t="str">
        <f t="shared" si="11"/>
        <v/>
      </c>
      <c r="AD140" s="894" t="str">
        <f t="array" ref="AD140">if(isblank(F140),"",xlookup(G140,z_Others!$B$5:$B$14,z_Others!$H$5:$H$14,"",0,1))</f>
        <v/>
      </c>
      <c r="AE140" s="901" t="str">
        <f t="shared" si="12"/>
        <v/>
      </c>
      <c r="AF140" s="791"/>
      <c r="AG140" s="791" t="str">
        <f t="shared" ref="AG140:AG184" si="20">if(isblank(AF140),"",_xlfn.WORKDAY.INTL(AF140,65,11))</f>
        <v/>
      </c>
      <c r="AH140" s="787"/>
      <c r="AI140" s="787"/>
      <c r="AJ140" s="677" t="str">
        <f t="array" ref="AJ140">if(isblank(F140),"",xlookup(F140,'FL5_POR_包裝對照表 (Mapping Table)'!E:E,'FL5_POR_包裝對照表 (Mapping Table)'!AS:AS,"",0,1))</f>
        <v/>
      </c>
      <c r="AK140" s="677" t="str">
        <f t="array" ref="AK140">if(isblank(F140),"",xlookup(F140,'FL5_POR_包裝對照表 (Mapping Table)'!E:E,'FL5_POR_包裝對照表 (Mapping Table)'!K:K,"",0,1))</f>
        <v/>
      </c>
      <c r="AL140" s="677"/>
      <c r="AM140" s="813"/>
      <c r="AN140" s="908"/>
      <c r="AO140" s="813"/>
      <c r="AP140" s="813"/>
    </row>
    <row r="141" ht="25.5" customHeight="1">
      <c r="A141" s="889"/>
      <c r="B141" s="877"/>
      <c r="C141" s="891" t="str">
        <f>if(isblank(F141),"",'FL5_POR_包裝對照表 (Mapping Table)'!$E$4)</f>
        <v/>
      </c>
      <c r="D141" s="878" t="str">
        <f t="array" ref="D141">if(isblank(F141),"",xlookup(F141,'FL5_POR_包裝對照表 (Mapping Table)'!E:E,'FL5_POR_包裝對照表 (Mapping Table)'!AZ:AZ,"",0,1))</f>
        <v/>
      </c>
      <c r="E141" s="677" t="str">
        <f t="shared" si="2"/>
        <v/>
      </c>
      <c r="F141" s="879"/>
      <c r="G141" s="892" t="str">
        <f t="array" ref="G141">if(isblank(F141),"",xlookup(F141,'FL5_POR_包裝對照表 (Mapping Table)'!E:E,'FL5_POR_包裝對照表 (Mapping Table)'!D:D,"",0,1))</f>
        <v/>
      </c>
      <c r="H141" s="893" t="str">
        <f t="array" ref="H141">if(isblank(F141),"",xlookup(F141,'FL5_POR_包裝對照表 (Mapping Table)'!E:E,'FL5_POR_包裝對照表 (Mapping Table)'!E:E,"",0,1))</f>
        <v/>
      </c>
      <c r="I141" s="677" t="str">
        <f t="array" ref="I141">if(isblank(F141),"",xlookup(F141,'FL5_POR_包裝對照表 (Mapping Table)'!E:E,'FL5_POR_包裝對照表 (Mapping Table)'!AN:AN,"",0,1))</f>
        <v/>
      </c>
      <c r="J141" s="894" t="str">
        <f t="array" ref="J141">if(isblank(F141),"",xlookup(G141,z_Others!$B$5:$B$17,z_Others!$C$5:$C$17,"",0,1))</f>
        <v/>
      </c>
      <c r="K141" s="894" t="str">
        <f t="array" ref="K141">if(isblank(F141),"",xlookup(G141,z_Others!$B$5:$B$17,z_Others!$E$5:$E$17,"",0,1))</f>
        <v/>
      </c>
      <c r="L141" s="894" t="str">
        <f t="array" ref="L141">if(isblank(F141),"",xlookup(G141,z_Others!$B$5:$B$17,z_Others!$F$5:$F$17,"",0,1))</f>
        <v/>
      </c>
      <c r="M141" s="894" t="str">
        <f t="shared" si="3"/>
        <v/>
      </c>
      <c r="N141" s="894" t="str">
        <f t="shared" si="4"/>
        <v/>
      </c>
      <c r="O141" s="882" t="str">
        <f t="array" ref="O141">if(isblank(F141),"",xlookup(F141,'FL5_POR_包裝對照表 (Mapping Table)'!E:E,'FL5_POR_包裝對照表 (Mapping Table)'!L:L,"",0,1))</f>
        <v/>
      </c>
      <c r="P141" s="909" t="str">
        <f t="array" ref="P141">if(isblank(F141),"",xlookup(G141,z_Others!$B$5:$B$17,z_Others!$J$5:$J$17,"",0,1))</f>
        <v/>
      </c>
      <c r="Q141" s="899" t="str">
        <f t="array" ref="Q141">if(isblank(F141),"",xlookup(F141,'FL5_POR_核價 (經管 &amp; BPM)'!E:E,'FL5_POR_核價 (經管 &amp; BPM)'!O:O,"",0,1))</f>
        <v/>
      </c>
      <c r="R141" s="894" t="str">
        <f t="shared" si="5"/>
        <v/>
      </c>
      <c r="S141" s="894" t="str">
        <f t="array" ref="S141">if(isblank(F141),"",xlookup(G141,z_Others!$B$5:$B$17,z_Others!$K$5:$K$17,"",0,1))</f>
        <v/>
      </c>
      <c r="T141" s="894" t="str">
        <f t="shared" si="19"/>
        <v/>
      </c>
      <c r="U141" s="898" t="str">
        <f t="array" ref="U141">if(isblank(F141),"",xlookup(G141,z_Others!$B$5:$B$17,z_Others!$G$5:$G$17,"",0,1))</f>
        <v/>
      </c>
      <c r="V141" s="231" t="str">
        <f t="array" ref="V141">if(isblank(F141),"",xlookup(F141,'FL5_POR_包裝對照表 (Mapping Table)'!E:E,'FL5_POR_包裝對照表 (Mapping Table)'!AB:AB,"",0,1))</f>
        <v/>
      </c>
      <c r="W141" s="899" t="str">
        <f t="array" ref="W141">if(isblank(F141),"",xlookup(G141,z_Others!$B$5:$B$17,z_Others!$I$5:$I$17,"",0,1))</f>
        <v/>
      </c>
      <c r="X141" s="894" t="str">
        <f t="shared" si="7"/>
        <v/>
      </c>
      <c r="Y141" s="894" t="str">
        <f t="shared" si="8"/>
        <v/>
      </c>
      <c r="Z141" s="900" t="str">
        <f t="shared" si="9"/>
        <v/>
      </c>
      <c r="AA141" s="900" t="str">
        <f t="shared" si="10"/>
        <v/>
      </c>
      <c r="AB141" s="878" t="str">
        <f t="array" ref="AB141">if(isblank(F141),"",xlookup(AJ141,z_Others!$M$5:$M$9,z_Others!$Q$5:$Q$9,"",0,1))</f>
        <v/>
      </c>
      <c r="AC141" s="900" t="str">
        <f t="shared" si="11"/>
        <v/>
      </c>
      <c r="AD141" s="894" t="str">
        <f t="array" ref="AD141">if(isblank(F141),"",xlookup(G141,z_Others!$B$5:$B$14,z_Others!$H$5:$H$14,"",0,1))</f>
        <v/>
      </c>
      <c r="AE141" s="901" t="str">
        <f t="shared" si="12"/>
        <v/>
      </c>
      <c r="AF141" s="791"/>
      <c r="AG141" s="791" t="str">
        <f t="shared" si="20"/>
        <v/>
      </c>
      <c r="AH141" s="787"/>
      <c r="AI141" s="787"/>
      <c r="AJ141" s="677" t="str">
        <f t="array" ref="AJ141">if(isblank(F141),"",xlookup(F141,'FL5_POR_包裝對照表 (Mapping Table)'!E:E,'FL5_POR_包裝對照表 (Mapping Table)'!AS:AS,"",0,1))</f>
        <v/>
      </c>
      <c r="AK141" s="677" t="str">
        <f t="array" ref="AK141">if(isblank(F141),"",xlookup(F141,'FL5_POR_包裝對照表 (Mapping Table)'!E:E,'FL5_POR_包裝對照表 (Mapping Table)'!K:K,"",0,1))</f>
        <v/>
      </c>
      <c r="AL141" s="677"/>
      <c r="AM141" s="813"/>
      <c r="AN141" s="908"/>
      <c r="AO141" s="813"/>
      <c r="AP141" s="813"/>
    </row>
    <row r="142" ht="25.5" customHeight="1">
      <c r="A142" s="889"/>
      <c r="B142" s="877"/>
      <c r="C142" s="891" t="str">
        <f>if(isblank(F142),"",'FL5_POR_包裝對照表 (Mapping Table)'!$E$4)</f>
        <v/>
      </c>
      <c r="D142" s="878" t="str">
        <f t="array" ref="D142">if(isblank(F142),"",xlookup(F142,'FL5_POR_包裝對照表 (Mapping Table)'!E:E,'FL5_POR_包裝對照表 (Mapping Table)'!AZ:AZ,"",0,1))</f>
        <v/>
      </c>
      <c r="E142" s="677" t="str">
        <f t="shared" si="2"/>
        <v/>
      </c>
      <c r="F142" s="879"/>
      <c r="G142" s="892" t="str">
        <f t="array" ref="G142">if(isblank(F142),"",xlookup(F142,'FL5_POR_包裝對照表 (Mapping Table)'!E:E,'FL5_POR_包裝對照表 (Mapping Table)'!D:D,"",0,1))</f>
        <v/>
      </c>
      <c r="H142" s="893" t="str">
        <f t="array" ref="H142">if(isblank(F142),"",xlookup(F142,'FL5_POR_包裝對照表 (Mapping Table)'!E:E,'FL5_POR_包裝對照表 (Mapping Table)'!E:E,"",0,1))</f>
        <v/>
      </c>
      <c r="I142" s="677" t="str">
        <f t="array" ref="I142">if(isblank(F142),"",xlookup(F142,'FL5_POR_包裝對照表 (Mapping Table)'!E:E,'FL5_POR_包裝對照表 (Mapping Table)'!AN:AN,"",0,1))</f>
        <v/>
      </c>
      <c r="J142" s="894" t="str">
        <f t="array" ref="J142">if(isblank(F142),"",xlookup(G142,z_Others!$B$5:$B$17,z_Others!$C$5:$C$17,"",0,1))</f>
        <v/>
      </c>
      <c r="K142" s="894" t="str">
        <f t="array" ref="K142">if(isblank(F142),"",xlookup(G142,z_Others!$B$5:$B$17,z_Others!$E$5:$E$17,"",0,1))</f>
        <v/>
      </c>
      <c r="L142" s="894" t="str">
        <f t="array" ref="L142">if(isblank(F142),"",xlookup(G142,z_Others!$B$5:$B$17,z_Others!$F$5:$F$17,"",0,1))</f>
        <v/>
      </c>
      <c r="M142" s="894" t="str">
        <f t="shared" si="3"/>
        <v/>
      </c>
      <c r="N142" s="894" t="str">
        <f t="shared" si="4"/>
        <v/>
      </c>
      <c r="O142" s="882" t="str">
        <f t="array" ref="O142">if(isblank(F142),"",xlookup(F142,'FL5_POR_包裝對照表 (Mapping Table)'!E:E,'FL5_POR_包裝對照表 (Mapping Table)'!L:L,"",0,1))</f>
        <v/>
      </c>
      <c r="P142" s="909" t="str">
        <f t="array" ref="P142">if(isblank(F142),"",xlookup(G142,z_Others!$B$5:$B$17,z_Others!$J$5:$J$17,"",0,1))</f>
        <v/>
      </c>
      <c r="Q142" s="899" t="str">
        <f t="array" ref="Q142">if(isblank(F142),"",xlookup(F142,'FL5_POR_核價 (經管 &amp; BPM)'!E:E,'FL5_POR_核價 (經管 &amp; BPM)'!O:O,"",0,1))</f>
        <v/>
      </c>
      <c r="R142" s="894" t="str">
        <f t="shared" si="5"/>
        <v/>
      </c>
      <c r="S142" s="894" t="str">
        <f t="array" ref="S142">if(isblank(F142),"",xlookup(G142,z_Others!$B$5:$B$17,z_Others!$K$5:$K$17,"",0,1))</f>
        <v/>
      </c>
      <c r="T142" s="894" t="str">
        <f t="shared" si="19"/>
        <v/>
      </c>
      <c r="U142" s="898" t="str">
        <f t="array" ref="U142">if(isblank(F142),"",xlookup(G142,z_Others!$B$5:$B$17,z_Others!$G$5:$G$17,"",0,1))</f>
        <v/>
      </c>
      <c r="V142" s="231" t="str">
        <f t="array" ref="V142">if(isblank(F142),"",xlookup(F142,'FL5_POR_包裝對照表 (Mapping Table)'!E:E,'FL5_POR_包裝對照表 (Mapping Table)'!AB:AB,"",0,1))</f>
        <v/>
      </c>
      <c r="W142" s="899" t="str">
        <f t="array" ref="W142">if(isblank(F142),"",xlookup(G142,z_Others!$B$5:$B$17,z_Others!$I$5:$I$17,"",0,1))</f>
        <v/>
      </c>
      <c r="X142" s="894" t="str">
        <f t="shared" si="7"/>
        <v/>
      </c>
      <c r="Y142" s="894" t="str">
        <f t="shared" si="8"/>
        <v/>
      </c>
      <c r="Z142" s="900" t="str">
        <f t="shared" si="9"/>
        <v/>
      </c>
      <c r="AA142" s="900" t="str">
        <f t="shared" si="10"/>
        <v/>
      </c>
      <c r="AB142" s="878" t="str">
        <f t="array" ref="AB142">if(isblank(F142),"",xlookup(AJ142,z_Others!$M$5:$M$9,z_Others!$Q$5:$Q$9,"",0,1))</f>
        <v/>
      </c>
      <c r="AC142" s="900" t="str">
        <f t="shared" si="11"/>
        <v/>
      </c>
      <c r="AD142" s="894" t="str">
        <f t="array" ref="AD142">if(isblank(F142),"",xlookup(G142,z_Others!$B$5:$B$14,z_Others!$H$5:$H$14,"",0,1))</f>
        <v/>
      </c>
      <c r="AE142" s="901" t="str">
        <f t="shared" si="12"/>
        <v/>
      </c>
      <c r="AF142" s="791"/>
      <c r="AG142" s="791" t="str">
        <f t="shared" si="20"/>
        <v/>
      </c>
      <c r="AH142" s="787"/>
      <c r="AI142" s="787"/>
      <c r="AJ142" s="677" t="str">
        <f t="array" ref="AJ142">if(isblank(F142),"",xlookup(F142,'FL5_POR_包裝對照表 (Mapping Table)'!E:E,'FL5_POR_包裝對照表 (Mapping Table)'!AS:AS,"",0,1))</f>
        <v/>
      </c>
      <c r="AK142" s="677" t="str">
        <f t="array" ref="AK142">if(isblank(F142),"",xlookup(F142,'FL5_POR_包裝對照表 (Mapping Table)'!E:E,'FL5_POR_包裝對照表 (Mapping Table)'!K:K,"",0,1))</f>
        <v/>
      </c>
      <c r="AL142" s="677"/>
      <c r="AM142" s="813"/>
      <c r="AN142" s="908"/>
      <c r="AO142" s="813"/>
      <c r="AP142" s="813"/>
    </row>
    <row r="143" ht="25.5" customHeight="1">
      <c r="A143" s="889"/>
      <c r="B143" s="877"/>
      <c r="C143" s="891" t="str">
        <f>if(isblank(F143),"",'FL5_POR_包裝對照表 (Mapping Table)'!$E$4)</f>
        <v/>
      </c>
      <c r="D143" s="878" t="str">
        <f t="array" ref="D143">if(isblank(F143),"",xlookup(F143,'FL5_POR_包裝對照表 (Mapping Table)'!E:E,'FL5_POR_包裝對照表 (Mapping Table)'!AZ:AZ,"",0,1))</f>
        <v/>
      </c>
      <c r="E143" s="677" t="str">
        <f t="shared" si="2"/>
        <v/>
      </c>
      <c r="F143" s="879"/>
      <c r="G143" s="892" t="str">
        <f t="array" ref="G143">if(isblank(F143),"",xlookup(F143,'FL5_POR_包裝對照表 (Mapping Table)'!E:E,'FL5_POR_包裝對照表 (Mapping Table)'!D:D,"",0,1))</f>
        <v/>
      </c>
      <c r="H143" s="893" t="str">
        <f t="array" ref="H143">if(isblank(F143),"",xlookup(F143,'FL5_POR_包裝對照表 (Mapping Table)'!E:E,'FL5_POR_包裝對照表 (Mapping Table)'!E:E,"",0,1))</f>
        <v/>
      </c>
      <c r="I143" s="677" t="str">
        <f t="array" ref="I143">if(isblank(F143),"",xlookup(F143,'FL5_POR_包裝對照表 (Mapping Table)'!E:E,'FL5_POR_包裝對照表 (Mapping Table)'!AN:AN,"",0,1))</f>
        <v/>
      </c>
      <c r="J143" s="894" t="str">
        <f t="array" ref="J143">if(isblank(F143),"",xlookup(G143,z_Others!$B$5:$B$17,z_Others!$C$5:$C$17,"",0,1))</f>
        <v/>
      </c>
      <c r="K143" s="894" t="str">
        <f t="array" ref="K143">if(isblank(F143),"",xlookup(G143,z_Others!$B$5:$B$17,z_Others!$E$5:$E$17,"",0,1))</f>
        <v/>
      </c>
      <c r="L143" s="894" t="str">
        <f t="array" ref="L143">if(isblank(F143),"",xlookup(G143,z_Others!$B$5:$B$17,z_Others!$F$5:$F$17,"",0,1))</f>
        <v/>
      </c>
      <c r="M143" s="894" t="str">
        <f t="shared" si="3"/>
        <v/>
      </c>
      <c r="N143" s="894" t="str">
        <f t="shared" si="4"/>
        <v/>
      </c>
      <c r="O143" s="882" t="str">
        <f t="array" ref="O143">if(isblank(F143),"",xlookup(F143,'FL5_POR_包裝對照表 (Mapping Table)'!E:E,'FL5_POR_包裝對照表 (Mapping Table)'!L:L,"",0,1))</f>
        <v/>
      </c>
      <c r="P143" s="909" t="str">
        <f t="array" ref="P143">if(isblank(F143),"",xlookup(G143,z_Others!$B$5:$B$17,z_Others!$J$5:$J$17,"",0,1))</f>
        <v/>
      </c>
      <c r="Q143" s="899" t="str">
        <f t="array" ref="Q143">if(isblank(F143),"",xlookup(F143,'FL5_POR_核價 (經管 &amp; BPM)'!E:E,'FL5_POR_核價 (經管 &amp; BPM)'!O:O,"",0,1))</f>
        <v/>
      </c>
      <c r="R143" s="894" t="str">
        <f t="shared" si="5"/>
        <v/>
      </c>
      <c r="S143" s="894" t="str">
        <f t="array" ref="S143">if(isblank(F143),"",xlookup(G143,z_Others!$B$5:$B$17,z_Others!$K$5:$K$17,"",0,1))</f>
        <v/>
      </c>
      <c r="T143" s="894" t="str">
        <f t="shared" si="19"/>
        <v/>
      </c>
      <c r="U143" s="898" t="str">
        <f t="array" ref="U143">if(isblank(F143),"",xlookup(G143,z_Others!$B$5:$B$17,z_Others!$G$5:$G$17,"",0,1))</f>
        <v/>
      </c>
      <c r="V143" s="231" t="str">
        <f t="array" ref="V143">if(isblank(F143),"",xlookup(F143,'FL5_POR_包裝對照表 (Mapping Table)'!E:E,'FL5_POR_包裝對照表 (Mapping Table)'!AB:AB,"",0,1))</f>
        <v/>
      </c>
      <c r="W143" s="899" t="str">
        <f t="array" ref="W143">if(isblank(F143),"",xlookup(G143,z_Others!$B$5:$B$17,z_Others!$I$5:$I$17,"",0,1))</f>
        <v/>
      </c>
      <c r="X143" s="894" t="str">
        <f t="shared" si="7"/>
        <v/>
      </c>
      <c r="Y143" s="894" t="str">
        <f t="shared" si="8"/>
        <v/>
      </c>
      <c r="Z143" s="900" t="str">
        <f t="shared" si="9"/>
        <v/>
      </c>
      <c r="AA143" s="900" t="str">
        <f t="shared" si="10"/>
        <v/>
      </c>
      <c r="AB143" s="878" t="str">
        <f t="array" ref="AB143">if(isblank(F143),"",xlookup(AJ143,z_Others!$M$5:$M$9,z_Others!$Q$5:$Q$9,"",0,1))</f>
        <v/>
      </c>
      <c r="AC143" s="900" t="str">
        <f t="shared" si="11"/>
        <v/>
      </c>
      <c r="AD143" s="894" t="str">
        <f t="array" ref="AD143">if(isblank(F143),"",xlookup(G143,z_Others!$B$5:$B$14,z_Others!$H$5:$H$14,"",0,1))</f>
        <v/>
      </c>
      <c r="AE143" s="901" t="str">
        <f t="shared" si="12"/>
        <v/>
      </c>
      <c r="AF143" s="791"/>
      <c r="AG143" s="791" t="str">
        <f t="shared" si="20"/>
        <v/>
      </c>
      <c r="AH143" s="787"/>
      <c r="AI143" s="787"/>
      <c r="AJ143" s="677" t="str">
        <f t="array" ref="AJ143">if(isblank(F143),"",xlookup(F143,'FL5_POR_包裝對照表 (Mapping Table)'!E:E,'FL5_POR_包裝對照表 (Mapping Table)'!AS:AS,"",0,1))</f>
        <v/>
      </c>
      <c r="AK143" s="677" t="str">
        <f t="array" ref="AK143">if(isblank(F143),"",xlookup(F143,'FL5_POR_包裝對照表 (Mapping Table)'!E:E,'FL5_POR_包裝對照表 (Mapping Table)'!K:K,"",0,1))</f>
        <v/>
      </c>
      <c r="AL143" s="677"/>
      <c r="AM143" s="813"/>
      <c r="AN143" s="908"/>
      <c r="AO143" s="813"/>
      <c r="AP143" s="813"/>
    </row>
    <row r="144" ht="25.5" customHeight="1">
      <c r="A144" s="889"/>
      <c r="B144" s="877"/>
      <c r="C144" s="891" t="str">
        <f>if(isblank(F144),"",'FL5_POR_包裝對照表 (Mapping Table)'!$E$4)</f>
        <v/>
      </c>
      <c r="D144" s="878" t="str">
        <f t="array" ref="D144">if(isblank(F144),"",xlookup(F144,'FL5_POR_包裝對照表 (Mapping Table)'!E:E,'FL5_POR_包裝對照表 (Mapping Table)'!AZ:AZ,"",0,1))</f>
        <v/>
      </c>
      <c r="E144" s="677" t="str">
        <f t="shared" si="2"/>
        <v/>
      </c>
      <c r="F144" s="879"/>
      <c r="G144" s="892" t="str">
        <f t="array" ref="G144">if(isblank(F144),"",xlookup(F144,'FL5_POR_包裝對照表 (Mapping Table)'!E:E,'FL5_POR_包裝對照表 (Mapping Table)'!D:D,"",0,1))</f>
        <v/>
      </c>
      <c r="H144" s="893" t="str">
        <f t="array" ref="H144">if(isblank(F144),"",xlookup(F144,'FL5_POR_包裝對照表 (Mapping Table)'!E:E,'FL5_POR_包裝對照表 (Mapping Table)'!E:E,"",0,1))</f>
        <v/>
      </c>
      <c r="I144" s="677" t="str">
        <f t="array" ref="I144">if(isblank(F144),"",xlookup(F144,'FL5_POR_包裝對照表 (Mapping Table)'!E:E,'FL5_POR_包裝對照表 (Mapping Table)'!AN:AN,"",0,1))</f>
        <v/>
      </c>
      <c r="J144" s="894" t="str">
        <f t="array" ref="J144">if(isblank(F144),"",xlookup(G144,z_Others!$B$5:$B$17,z_Others!$C$5:$C$17,"",0,1))</f>
        <v/>
      </c>
      <c r="K144" s="894" t="str">
        <f t="array" ref="K144">if(isblank(F144),"",xlookup(G144,z_Others!$B$5:$B$17,z_Others!$E$5:$E$17,"",0,1))</f>
        <v/>
      </c>
      <c r="L144" s="894" t="str">
        <f t="array" ref="L144">if(isblank(F144),"",xlookup(G144,z_Others!$B$5:$B$17,z_Others!$F$5:$F$17,"",0,1))</f>
        <v/>
      </c>
      <c r="M144" s="894" t="str">
        <f t="shared" si="3"/>
        <v/>
      </c>
      <c r="N144" s="894" t="str">
        <f t="shared" si="4"/>
        <v/>
      </c>
      <c r="O144" s="882" t="str">
        <f t="array" ref="O144">if(isblank(F144),"",xlookup(F144,'FL5_POR_包裝對照表 (Mapping Table)'!E:E,'FL5_POR_包裝對照表 (Mapping Table)'!L:L,"",0,1))</f>
        <v/>
      </c>
      <c r="P144" s="909" t="str">
        <f t="array" ref="P144">if(isblank(F144),"",xlookup(G144,z_Others!$B$5:$B$17,z_Others!$J$5:$J$17,"",0,1))</f>
        <v/>
      </c>
      <c r="Q144" s="899" t="str">
        <f t="array" ref="Q144">if(isblank(F144),"",xlookup(F144,'FL5_POR_核價 (經管 &amp; BPM)'!E:E,'FL5_POR_核價 (經管 &amp; BPM)'!O:O,"",0,1))</f>
        <v/>
      </c>
      <c r="R144" s="894" t="str">
        <f t="shared" si="5"/>
        <v/>
      </c>
      <c r="S144" s="894" t="str">
        <f t="array" ref="S144">if(isblank(F144),"",xlookup(G144,z_Others!$B$5:$B$17,z_Others!$K$5:$K$17,"",0,1))</f>
        <v/>
      </c>
      <c r="T144" s="894" t="str">
        <f t="shared" si="19"/>
        <v/>
      </c>
      <c r="U144" s="898" t="str">
        <f t="array" ref="U144">if(isblank(F144),"",xlookup(G144,z_Others!$B$5:$B$17,z_Others!$G$5:$G$17,"",0,1))</f>
        <v/>
      </c>
      <c r="V144" s="231" t="str">
        <f t="array" ref="V144">if(isblank(F144),"",xlookup(F144,'FL5_POR_包裝對照表 (Mapping Table)'!E:E,'FL5_POR_包裝對照表 (Mapping Table)'!AB:AB,"",0,1))</f>
        <v/>
      </c>
      <c r="W144" s="899" t="str">
        <f t="array" ref="W144">if(isblank(F144),"",xlookup(G144,z_Others!$B$5:$B$17,z_Others!$I$5:$I$17,"",0,1))</f>
        <v/>
      </c>
      <c r="X144" s="894" t="str">
        <f t="shared" si="7"/>
        <v/>
      </c>
      <c r="Y144" s="894" t="str">
        <f t="shared" si="8"/>
        <v/>
      </c>
      <c r="Z144" s="900" t="str">
        <f t="shared" si="9"/>
        <v/>
      </c>
      <c r="AA144" s="900" t="str">
        <f t="shared" si="10"/>
        <v/>
      </c>
      <c r="AB144" s="878" t="str">
        <f t="array" ref="AB144">if(isblank(F144),"",xlookup(AJ144,z_Others!$M$5:$M$9,z_Others!$Q$5:$Q$9,"",0,1))</f>
        <v/>
      </c>
      <c r="AC144" s="900" t="str">
        <f t="shared" si="11"/>
        <v/>
      </c>
      <c r="AD144" s="894" t="str">
        <f t="array" ref="AD144">if(isblank(F144),"",xlookup(G144,z_Others!$B$5:$B$14,z_Others!$H$5:$H$14,"",0,1))</f>
        <v/>
      </c>
      <c r="AE144" s="901" t="str">
        <f t="shared" si="12"/>
        <v/>
      </c>
      <c r="AF144" s="791"/>
      <c r="AG144" s="791" t="str">
        <f t="shared" si="20"/>
        <v/>
      </c>
      <c r="AH144" s="787"/>
      <c r="AI144" s="787"/>
      <c r="AJ144" s="677" t="str">
        <f t="array" ref="AJ144">if(isblank(F144),"",xlookup(F144,'FL5_POR_包裝對照表 (Mapping Table)'!E:E,'FL5_POR_包裝對照表 (Mapping Table)'!AS:AS,"",0,1))</f>
        <v/>
      </c>
      <c r="AK144" s="677" t="str">
        <f t="array" ref="AK144">if(isblank(F144),"",xlookup(F144,'FL5_POR_包裝對照表 (Mapping Table)'!E:E,'FL5_POR_包裝對照表 (Mapping Table)'!K:K,"",0,1))</f>
        <v/>
      </c>
      <c r="AL144" s="677"/>
      <c r="AM144" s="813"/>
      <c r="AN144" s="908"/>
      <c r="AO144" s="813"/>
      <c r="AP144" s="813"/>
    </row>
    <row r="145" ht="25.5" customHeight="1">
      <c r="A145" s="889"/>
      <c r="B145" s="877"/>
      <c r="C145" s="891" t="str">
        <f>if(isblank(F145),"",'FL5_POR_包裝對照表 (Mapping Table)'!$E$4)</f>
        <v/>
      </c>
      <c r="D145" s="878" t="str">
        <f t="array" ref="D145">if(isblank(F145),"",xlookup(F145,'FL5_POR_包裝對照表 (Mapping Table)'!E:E,'FL5_POR_包裝對照表 (Mapping Table)'!AZ:AZ,"",0,1))</f>
        <v/>
      </c>
      <c r="E145" s="677" t="str">
        <f t="shared" si="2"/>
        <v/>
      </c>
      <c r="F145" s="879"/>
      <c r="G145" s="892" t="str">
        <f t="array" ref="G145">if(isblank(F145),"",xlookup(F145,'FL5_POR_包裝對照表 (Mapping Table)'!E:E,'FL5_POR_包裝對照表 (Mapping Table)'!D:D,"",0,1))</f>
        <v/>
      </c>
      <c r="H145" s="893" t="str">
        <f t="array" ref="H145">if(isblank(F145),"",xlookup(F145,'FL5_POR_包裝對照表 (Mapping Table)'!E:E,'FL5_POR_包裝對照表 (Mapping Table)'!E:E,"",0,1))</f>
        <v/>
      </c>
      <c r="I145" s="677" t="str">
        <f t="array" ref="I145">if(isblank(F145),"",xlookup(F145,'FL5_POR_包裝對照表 (Mapping Table)'!E:E,'FL5_POR_包裝對照表 (Mapping Table)'!AN:AN,"",0,1))</f>
        <v/>
      </c>
      <c r="J145" s="894" t="str">
        <f t="array" ref="J145">if(isblank(F145),"",xlookup(G145,z_Others!$B$5:$B$17,z_Others!$C$5:$C$17,"",0,1))</f>
        <v/>
      </c>
      <c r="K145" s="894" t="str">
        <f t="array" ref="K145">if(isblank(F145),"",xlookup(G145,z_Others!$B$5:$B$17,z_Others!$E$5:$E$17,"",0,1))</f>
        <v/>
      </c>
      <c r="L145" s="894" t="str">
        <f t="array" ref="L145">if(isblank(F145),"",xlookup(G145,z_Others!$B$5:$B$17,z_Others!$F$5:$F$17,"",0,1))</f>
        <v/>
      </c>
      <c r="M145" s="894" t="str">
        <f t="shared" si="3"/>
        <v/>
      </c>
      <c r="N145" s="894" t="str">
        <f t="shared" si="4"/>
        <v/>
      </c>
      <c r="O145" s="882" t="str">
        <f t="array" ref="O145">if(isblank(F145),"",xlookup(F145,'FL5_POR_包裝對照表 (Mapping Table)'!E:E,'FL5_POR_包裝對照表 (Mapping Table)'!L:L,"",0,1))</f>
        <v/>
      </c>
      <c r="P145" s="909" t="str">
        <f t="array" ref="P145">if(isblank(F145),"",xlookup(G145,z_Others!$B$5:$B$17,z_Others!$J$5:$J$17,"",0,1))</f>
        <v/>
      </c>
      <c r="Q145" s="899" t="str">
        <f t="array" ref="Q145">if(isblank(F145),"",xlookup(F145,'FL5_POR_核價 (經管 &amp; BPM)'!E:E,'FL5_POR_核價 (經管 &amp; BPM)'!O:O,"",0,1))</f>
        <v/>
      </c>
      <c r="R145" s="894" t="str">
        <f t="shared" si="5"/>
        <v/>
      </c>
      <c r="S145" s="894" t="str">
        <f t="array" ref="S145">if(isblank(F145),"",xlookup(G145,z_Others!$B$5:$B$17,z_Others!$K$5:$K$17,"",0,1))</f>
        <v/>
      </c>
      <c r="T145" s="894" t="str">
        <f t="shared" si="19"/>
        <v/>
      </c>
      <c r="U145" s="898" t="str">
        <f t="array" ref="U145">if(isblank(F145),"",xlookup(G145,z_Others!$B$5:$B$17,z_Others!$G$5:$G$17,"",0,1))</f>
        <v/>
      </c>
      <c r="V145" s="231" t="str">
        <f t="array" ref="V145">if(isblank(F145),"",xlookup(F145,'FL5_POR_包裝對照表 (Mapping Table)'!E:E,'FL5_POR_包裝對照表 (Mapping Table)'!AB:AB,"",0,1))</f>
        <v/>
      </c>
      <c r="W145" s="899" t="str">
        <f t="array" ref="W145">if(isblank(F145),"",xlookup(G145,z_Others!$B$5:$B$17,z_Others!$I$5:$I$17,"",0,1))</f>
        <v/>
      </c>
      <c r="X145" s="894" t="str">
        <f t="shared" si="7"/>
        <v/>
      </c>
      <c r="Y145" s="894" t="str">
        <f t="shared" si="8"/>
        <v/>
      </c>
      <c r="Z145" s="900" t="str">
        <f t="shared" si="9"/>
        <v/>
      </c>
      <c r="AA145" s="900" t="str">
        <f t="shared" si="10"/>
        <v/>
      </c>
      <c r="AB145" s="878" t="str">
        <f t="array" ref="AB145">if(isblank(F145),"",xlookup(AJ145,z_Others!$M$5:$M$9,z_Others!$Q$5:$Q$9,"",0,1))</f>
        <v/>
      </c>
      <c r="AC145" s="900" t="str">
        <f t="shared" si="11"/>
        <v/>
      </c>
      <c r="AD145" s="894" t="str">
        <f t="array" ref="AD145">if(isblank(F145),"",xlookup(G145,z_Others!$B$5:$B$14,z_Others!$H$5:$H$14,"",0,1))</f>
        <v/>
      </c>
      <c r="AE145" s="901" t="str">
        <f t="shared" si="12"/>
        <v/>
      </c>
      <c r="AF145" s="791"/>
      <c r="AG145" s="791" t="str">
        <f t="shared" si="20"/>
        <v/>
      </c>
      <c r="AH145" s="787"/>
      <c r="AI145" s="787"/>
      <c r="AJ145" s="677" t="str">
        <f t="array" ref="AJ145">if(isblank(F145),"",xlookup(F145,'FL5_POR_包裝對照表 (Mapping Table)'!E:E,'FL5_POR_包裝對照表 (Mapping Table)'!AS:AS,"",0,1))</f>
        <v/>
      </c>
      <c r="AK145" s="677" t="str">
        <f t="array" ref="AK145">if(isblank(F145),"",xlookup(F145,'FL5_POR_包裝對照表 (Mapping Table)'!E:E,'FL5_POR_包裝對照表 (Mapping Table)'!K:K,"",0,1))</f>
        <v/>
      </c>
      <c r="AL145" s="677"/>
      <c r="AM145" s="813"/>
      <c r="AN145" s="908"/>
      <c r="AO145" s="813"/>
      <c r="AP145" s="813"/>
    </row>
    <row r="146" ht="25.5" customHeight="1">
      <c r="A146" s="889"/>
      <c r="B146" s="877"/>
      <c r="C146" s="891" t="str">
        <f>if(isblank(F146),"",'FL5_POR_包裝對照表 (Mapping Table)'!$E$4)</f>
        <v/>
      </c>
      <c r="D146" s="878" t="str">
        <f t="array" ref="D146">if(isblank(F146),"",xlookup(F146,'FL5_POR_包裝對照表 (Mapping Table)'!E:E,'FL5_POR_包裝對照表 (Mapping Table)'!AZ:AZ,"",0,1))</f>
        <v/>
      </c>
      <c r="E146" s="677" t="str">
        <f t="shared" si="2"/>
        <v/>
      </c>
      <c r="F146" s="879"/>
      <c r="G146" s="892" t="str">
        <f t="array" ref="G146">if(isblank(F146),"",xlookup(F146,'FL5_POR_包裝對照表 (Mapping Table)'!E:E,'FL5_POR_包裝對照表 (Mapping Table)'!D:D,"",0,1))</f>
        <v/>
      </c>
      <c r="H146" s="893" t="str">
        <f t="array" ref="H146">if(isblank(F146),"",xlookup(F146,'FL5_POR_包裝對照表 (Mapping Table)'!E:E,'FL5_POR_包裝對照表 (Mapping Table)'!E:E,"",0,1))</f>
        <v/>
      </c>
      <c r="I146" s="677" t="str">
        <f t="array" ref="I146">if(isblank(F146),"",xlookup(F146,'FL5_POR_包裝對照表 (Mapping Table)'!E:E,'FL5_POR_包裝對照表 (Mapping Table)'!AN:AN,"",0,1))</f>
        <v/>
      </c>
      <c r="J146" s="894" t="str">
        <f t="array" ref="J146">if(isblank(F146),"",xlookup(G146,z_Others!$B$5:$B$17,z_Others!$C$5:$C$17,"",0,1))</f>
        <v/>
      </c>
      <c r="K146" s="894" t="str">
        <f t="array" ref="K146">if(isblank(F146),"",xlookup(G146,z_Others!$B$5:$B$17,z_Others!$E$5:$E$17,"",0,1))</f>
        <v/>
      </c>
      <c r="L146" s="894" t="str">
        <f t="array" ref="L146">if(isblank(F146),"",xlookup(G146,z_Others!$B$5:$B$17,z_Others!$F$5:$F$17,"",0,1))</f>
        <v/>
      </c>
      <c r="M146" s="894" t="str">
        <f t="shared" si="3"/>
        <v/>
      </c>
      <c r="N146" s="894" t="str">
        <f t="shared" si="4"/>
        <v/>
      </c>
      <c r="O146" s="882" t="str">
        <f t="array" ref="O146">if(isblank(F146),"",xlookup(F146,'FL5_POR_包裝對照表 (Mapping Table)'!E:E,'FL5_POR_包裝對照表 (Mapping Table)'!L:L,"",0,1))</f>
        <v/>
      </c>
      <c r="P146" s="909" t="str">
        <f t="array" ref="P146">if(isblank(F146),"",xlookup(G146,z_Others!$B$5:$B$17,z_Others!$J$5:$J$17,"",0,1))</f>
        <v/>
      </c>
      <c r="Q146" s="899" t="str">
        <f t="array" ref="Q146">if(isblank(F146),"",xlookup(F146,'FL5_POR_核價 (經管 &amp; BPM)'!E:E,'FL5_POR_核價 (經管 &amp; BPM)'!O:O,"",0,1))</f>
        <v/>
      </c>
      <c r="R146" s="894" t="str">
        <f t="shared" si="5"/>
        <v/>
      </c>
      <c r="S146" s="894" t="str">
        <f t="array" ref="S146">if(isblank(F146),"",xlookup(G146,z_Others!$B$5:$B$17,z_Others!$K$5:$K$17,"",0,1))</f>
        <v/>
      </c>
      <c r="T146" s="894" t="str">
        <f t="shared" si="19"/>
        <v/>
      </c>
      <c r="U146" s="898" t="str">
        <f t="array" ref="U146">if(isblank(F146),"",xlookup(G146,z_Others!$B$5:$B$17,z_Others!$G$5:$G$17,"",0,1))</f>
        <v/>
      </c>
      <c r="V146" s="231" t="str">
        <f t="array" ref="V146">if(isblank(F146),"",xlookup(F146,'FL5_POR_包裝對照表 (Mapping Table)'!E:E,'FL5_POR_包裝對照表 (Mapping Table)'!AB:AB,"",0,1))</f>
        <v/>
      </c>
      <c r="W146" s="899" t="str">
        <f t="array" ref="W146">if(isblank(F146),"",xlookup(G146,z_Others!$B$5:$B$17,z_Others!$I$5:$I$17,"",0,1))</f>
        <v/>
      </c>
      <c r="X146" s="894" t="str">
        <f t="shared" si="7"/>
        <v/>
      </c>
      <c r="Y146" s="894" t="str">
        <f t="shared" si="8"/>
        <v/>
      </c>
      <c r="Z146" s="900" t="str">
        <f t="shared" si="9"/>
        <v/>
      </c>
      <c r="AA146" s="900" t="str">
        <f t="shared" si="10"/>
        <v/>
      </c>
      <c r="AB146" s="878" t="str">
        <f t="array" ref="AB146">if(isblank(F146),"",xlookup(AJ146,z_Others!$M$5:$M$9,z_Others!$Q$5:$Q$9,"",0,1))</f>
        <v/>
      </c>
      <c r="AC146" s="900" t="str">
        <f t="shared" si="11"/>
        <v/>
      </c>
      <c r="AD146" s="894" t="str">
        <f t="array" ref="AD146">if(isblank(F146),"",xlookup(G146,z_Others!$B$5:$B$14,z_Others!$H$5:$H$14,"",0,1))</f>
        <v/>
      </c>
      <c r="AE146" s="901" t="str">
        <f t="shared" si="12"/>
        <v/>
      </c>
      <c r="AF146" s="791"/>
      <c r="AG146" s="791" t="str">
        <f t="shared" si="20"/>
        <v/>
      </c>
      <c r="AH146" s="787"/>
      <c r="AI146" s="787"/>
      <c r="AJ146" s="677" t="str">
        <f t="array" ref="AJ146">if(isblank(F146),"",xlookup(F146,'FL5_POR_包裝對照表 (Mapping Table)'!E:E,'FL5_POR_包裝對照表 (Mapping Table)'!AS:AS,"",0,1))</f>
        <v/>
      </c>
      <c r="AK146" s="677" t="str">
        <f t="array" ref="AK146">if(isblank(F146),"",xlookup(F146,'FL5_POR_包裝對照表 (Mapping Table)'!E:E,'FL5_POR_包裝對照表 (Mapping Table)'!K:K,"",0,1))</f>
        <v/>
      </c>
      <c r="AL146" s="677"/>
      <c r="AM146" s="813"/>
      <c r="AN146" s="908"/>
      <c r="AO146" s="813"/>
      <c r="AP146" s="813"/>
    </row>
    <row r="147" ht="25.5" customHeight="1">
      <c r="A147" s="889"/>
      <c r="B147" s="877"/>
      <c r="C147" s="891" t="str">
        <f>if(isblank(F147),"",'FL5_POR_包裝對照表 (Mapping Table)'!$E$4)</f>
        <v/>
      </c>
      <c r="D147" s="878" t="str">
        <f t="array" ref="D147">if(isblank(F147),"",xlookup(F147,'FL5_POR_包裝對照表 (Mapping Table)'!E:E,'FL5_POR_包裝對照表 (Mapping Table)'!AZ:AZ,"",0,1))</f>
        <v/>
      </c>
      <c r="E147" s="677" t="str">
        <f t="shared" si="2"/>
        <v/>
      </c>
      <c r="F147" s="879"/>
      <c r="G147" s="892" t="str">
        <f t="array" ref="G147">if(isblank(F147),"",xlookup(F147,'FL5_POR_包裝對照表 (Mapping Table)'!E:E,'FL5_POR_包裝對照表 (Mapping Table)'!D:D,"",0,1))</f>
        <v/>
      </c>
      <c r="H147" s="893" t="str">
        <f t="array" ref="H147">if(isblank(F147),"",xlookup(F147,'FL5_POR_包裝對照表 (Mapping Table)'!E:E,'FL5_POR_包裝對照表 (Mapping Table)'!E:E,"",0,1))</f>
        <v/>
      </c>
      <c r="I147" s="677" t="str">
        <f t="array" ref="I147">if(isblank(F147),"",xlookup(F147,'FL5_POR_包裝對照表 (Mapping Table)'!E:E,'FL5_POR_包裝對照表 (Mapping Table)'!AN:AN,"",0,1))</f>
        <v/>
      </c>
      <c r="J147" s="894" t="str">
        <f t="array" ref="J147">if(isblank(F147),"",xlookup(G147,z_Others!$B$5:$B$17,z_Others!$C$5:$C$17,"",0,1))</f>
        <v/>
      </c>
      <c r="K147" s="894" t="str">
        <f t="array" ref="K147">if(isblank(F147),"",xlookup(G147,z_Others!$B$5:$B$17,z_Others!$E$5:$E$17,"",0,1))</f>
        <v/>
      </c>
      <c r="L147" s="894" t="str">
        <f t="array" ref="L147">if(isblank(F147),"",xlookup(G147,z_Others!$B$5:$B$17,z_Others!$F$5:$F$17,"",0,1))</f>
        <v/>
      </c>
      <c r="M147" s="894" t="str">
        <f t="shared" si="3"/>
        <v/>
      </c>
      <c r="N147" s="894" t="str">
        <f t="shared" si="4"/>
        <v/>
      </c>
      <c r="O147" s="882" t="str">
        <f t="array" ref="O147">if(isblank(F147),"",xlookup(F147,'FL5_POR_包裝對照表 (Mapping Table)'!E:E,'FL5_POR_包裝對照表 (Mapping Table)'!L:L,"",0,1))</f>
        <v/>
      </c>
      <c r="P147" s="909" t="str">
        <f t="array" ref="P147">if(isblank(F147),"",xlookup(G147,z_Others!$B$5:$B$17,z_Others!$J$5:$J$17,"",0,1))</f>
        <v/>
      </c>
      <c r="Q147" s="899" t="str">
        <f t="array" ref="Q147">if(isblank(F147),"",xlookup(F147,'FL5_POR_核價 (經管 &amp; BPM)'!E:E,'FL5_POR_核價 (經管 &amp; BPM)'!O:O,"",0,1))</f>
        <v/>
      </c>
      <c r="R147" s="894" t="str">
        <f t="shared" si="5"/>
        <v/>
      </c>
      <c r="S147" s="894" t="str">
        <f t="array" ref="S147">if(isblank(F147),"",xlookup(G147,z_Others!$B$5:$B$17,z_Others!$K$5:$K$17,"",0,1))</f>
        <v/>
      </c>
      <c r="T147" s="894" t="str">
        <f t="shared" si="19"/>
        <v/>
      </c>
      <c r="U147" s="898" t="str">
        <f t="array" ref="U147">if(isblank(F147),"",xlookup(G147,z_Others!$B$5:$B$17,z_Others!$G$5:$G$17,"",0,1))</f>
        <v/>
      </c>
      <c r="V147" s="231" t="str">
        <f t="array" ref="V147">if(isblank(F147),"",xlookup(F147,'FL5_POR_包裝對照表 (Mapping Table)'!E:E,'FL5_POR_包裝對照表 (Mapping Table)'!AB:AB,"",0,1))</f>
        <v/>
      </c>
      <c r="W147" s="899" t="str">
        <f t="array" ref="W147">if(isblank(F147),"",xlookup(G147,z_Others!$B$5:$B$17,z_Others!$I$5:$I$17,"",0,1))</f>
        <v/>
      </c>
      <c r="X147" s="894" t="str">
        <f t="shared" si="7"/>
        <v/>
      </c>
      <c r="Y147" s="894" t="str">
        <f t="shared" si="8"/>
        <v/>
      </c>
      <c r="Z147" s="900" t="str">
        <f t="shared" si="9"/>
        <v/>
      </c>
      <c r="AA147" s="900" t="str">
        <f t="shared" si="10"/>
        <v/>
      </c>
      <c r="AB147" s="878" t="str">
        <f t="array" ref="AB147">if(isblank(F147),"",xlookup(AJ147,z_Others!$M$5:$M$9,z_Others!$Q$5:$Q$9,"",0,1))</f>
        <v/>
      </c>
      <c r="AC147" s="900" t="str">
        <f t="shared" si="11"/>
        <v/>
      </c>
      <c r="AD147" s="894" t="str">
        <f t="array" ref="AD147">if(isblank(F147),"",xlookup(G147,z_Others!$B$5:$B$14,z_Others!$H$5:$H$14,"",0,1))</f>
        <v/>
      </c>
      <c r="AE147" s="901" t="str">
        <f t="shared" si="12"/>
        <v/>
      </c>
      <c r="AF147" s="791"/>
      <c r="AG147" s="791" t="str">
        <f t="shared" si="20"/>
        <v/>
      </c>
      <c r="AH147" s="787"/>
      <c r="AI147" s="787"/>
      <c r="AJ147" s="677" t="str">
        <f t="array" ref="AJ147">if(isblank(F147),"",xlookup(F147,'FL5_POR_包裝對照表 (Mapping Table)'!E:E,'FL5_POR_包裝對照表 (Mapping Table)'!AS:AS,"",0,1))</f>
        <v/>
      </c>
      <c r="AK147" s="677" t="str">
        <f t="array" ref="AK147">if(isblank(F147),"",xlookup(F147,'FL5_POR_包裝對照表 (Mapping Table)'!E:E,'FL5_POR_包裝對照表 (Mapping Table)'!K:K,"",0,1))</f>
        <v/>
      </c>
      <c r="AL147" s="677"/>
      <c r="AM147" s="813"/>
      <c r="AN147" s="908"/>
      <c r="AO147" s="813"/>
      <c r="AP147" s="813"/>
    </row>
    <row r="148" ht="25.5" customHeight="1">
      <c r="A148" s="889"/>
      <c r="B148" s="877"/>
      <c r="C148" s="891" t="str">
        <f>if(isblank(F148),"",'FL5_POR_包裝對照表 (Mapping Table)'!$E$4)</f>
        <v/>
      </c>
      <c r="D148" s="878" t="str">
        <f t="array" ref="D148">if(isblank(F148),"",xlookup(F148,'FL5_POR_包裝對照表 (Mapping Table)'!E:E,'FL5_POR_包裝對照表 (Mapping Table)'!AZ:AZ,"",0,1))</f>
        <v/>
      </c>
      <c r="E148" s="677" t="str">
        <f t="shared" si="2"/>
        <v/>
      </c>
      <c r="F148" s="879"/>
      <c r="G148" s="892" t="str">
        <f t="array" ref="G148">if(isblank(F148),"",xlookup(F148,'FL5_POR_包裝對照表 (Mapping Table)'!E:E,'FL5_POR_包裝對照表 (Mapping Table)'!D:D,"",0,1))</f>
        <v/>
      </c>
      <c r="H148" s="893" t="str">
        <f t="array" ref="H148">if(isblank(F148),"",xlookup(F148,'FL5_POR_包裝對照表 (Mapping Table)'!E:E,'FL5_POR_包裝對照表 (Mapping Table)'!E:E,"",0,1))</f>
        <v/>
      </c>
      <c r="I148" s="677" t="str">
        <f t="array" ref="I148">if(isblank(F148),"",xlookup(F148,'FL5_POR_包裝對照表 (Mapping Table)'!E:E,'FL5_POR_包裝對照表 (Mapping Table)'!AN:AN,"",0,1))</f>
        <v/>
      </c>
      <c r="J148" s="894" t="str">
        <f t="array" ref="J148">if(isblank(F148),"",xlookup(G148,z_Others!$B$5:$B$17,z_Others!$C$5:$C$17,"",0,1))</f>
        <v/>
      </c>
      <c r="K148" s="894" t="str">
        <f t="array" ref="K148">if(isblank(F148),"",xlookup(G148,z_Others!$B$5:$B$17,z_Others!$E$5:$E$17,"",0,1))</f>
        <v/>
      </c>
      <c r="L148" s="894" t="str">
        <f t="array" ref="L148">if(isblank(F148),"",xlookup(G148,z_Others!$B$5:$B$17,z_Others!$F$5:$F$17,"",0,1))</f>
        <v/>
      </c>
      <c r="M148" s="894" t="str">
        <f t="shared" si="3"/>
        <v/>
      </c>
      <c r="N148" s="894" t="str">
        <f t="shared" si="4"/>
        <v/>
      </c>
      <c r="O148" s="882" t="str">
        <f t="array" ref="O148">if(isblank(F148),"",xlookup(F148,'FL5_POR_包裝對照表 (Mapping Table)'!E:E,'FL5_POR_包裝對照表 (Mapping Table)'!L:L,"",0,1))</f>
        <v/>
      </c>
      <c r="P148" s="909" t="str">
        <f t="array" ref="P148">if(isblank(F148),"",xlookup(G148,z_Others!$B$5:$B$17,z_Others!$J$5:$J$17,"",0,1))</f>
        <v/>
      </c>
      <c r="Q148" s="899" t="str">
        <f t="array" ref="Q148">if(isblank(F148),"",xlookup(F148,'FL5_POR_核價 (經管 &amp; BPM)'!E:E,'FL5_POR_核價 (經管 &amp; BPM)'!O:O,"",0,1))</f>
        <v/>
      </c>
      <c r="R148" s="894" t="str">
        <f t="shared" si="5"/>
        <v/>
      </c>
      <c r="S148" s="894" t="str">
        <f t="array" ref="S148">if(isblank(F148),"",xlookup(G148,z_Others!$B$5:$B$17,z_Others!$K$5:$K$17,"",0,1))</f>
        <v/>
      </c>
      <c r="T148" s="894" t="str">
        <f t="shared" si="19"/>
        <v/>
      </c>
      <c r="U148" s="898" t="str">
        <f t="array" ref="U148">if(isblank(F148),"",xlookup(G148,z_Others!$B$5:$B$17,z_Others!$G$5:$G$17,"",0,1))</f>
        <v/>
      </c>
      <c r="V148" s="231" t="str">
        <f t="array" ref="V148">if(isblank(F148),"",xlookup(F148,'FL5_POR_包裝對照表 (Mapping Table)'!E:E,'FL5_POR_包裝對照表 (Mapping Table)'!AB:AB,"",0,1))</f>
        <v/>
      </c>
      <c r="W148" s="899" t="str">
        <f t="array" ref="W148">if(isblank(F148),"",xlookup(G148,z_Others!$B$5:$B$17,z_Others!$I$5:$I$17,"",0,1))</f>
        <v/>
      </c>
      <c r="X148" s="894" t="str">
        <f t="shared" si="7"/>
        <v/>
      </c>
      <c r="Y148" s="894" t="str">
        <f t="shared" si="8"/>
        <v/>
      </c>
      <c r="Z148" s="900" t="str">
        <f t="shared" si="9"/>
        <v/>
      </c>
      <c r="AA148" s="900" t="str">
        <f t="shared" si="10"/>
        <v/>
      </c>
      <c r="AB148" s="878" t="str">
        <f t="array" ref="AB148">if(isblank(F148),"",xlookup(AJ148,z_Others!$M$5:$M$9,z_Others!$Q$5:$Q$9,"",0,1))</f>
        <v/>
      </c>
      <c r="AC148" s="900" t="str">
        <f t="shared" si="11"/>
        <v/>
      </c>
      <c r="AD148" s="894" t="str">
        <f t="array" ref="AD148">if(isblank(F148),"",xlookup(G148,z_Others!$B$5:$B$14,z_Others!$H$5:$H$14,"",0,1))</f>
        <v/>
      </c>
      <c r="AE148" s="901" t="str">
        <f t="shared" si="12"/>
        <v/>
      </c>
      <c r="AF148" s="791"/>
      <c r="AG148" s="791" t="str">
        <f t="shared" si="20"/>
        <v/>
      </c>
      <c r="AH148" s="787"/>
      <c r="AI148" s="787"/>
      <c r="AJ148" s="677" t="str">
        <f t="array" ref="AJ148">if(isblank(F148),"",xlookup(F148,'FL5_POR_包裝對照表 (Mapping Table)'!E:E,'FL5_POR_包裝對照表 (Mapping Table)'!AS:AS,"",0,1))</f>
        <v/>
      </c>
      <c r="AK148" s="677" t="str">
        <f t="array" ref="AK148">if(isblank(F148),"",xlookup(F148,'FL5_POR_包裝對照表 (Mapping Table)'!E:E,'FL5_POR_包裝對照表 (Mapping Table)'!K:K,"",0,1))</f>
        <v/>
      </c>
      <c r="AL148" s="677"/>
      <c r="AM148" s="813"/>
      <c r="AN148" s="908"/>
      <c r="AO148" s="813"/>
      <c r="AP148" s="813"/>
    </row>
    <row r="149" ht="25.5" customHeight="1">
      <c r="A149" s="889"/>
      <c r="B149" s="877"/>
      <c r="C149" s="891" t="str">
        <f>if(isblank(F149),"",'FL5_POR_包裝對照表 (Mapping Table)'!$E$4)</f>
        <v/>
      </c>
      <c r="D149" s="878" t="str">
        <f t="array" ref="D149">if(isblank(F149),"",xlookup(F149,'FL5_POR_包裝對照表 (Mapping Table)'!E:E,'FL5_POR_包裝對照表 (Mapping Table)'!AZ:AZ,"",0,1))</f>
        <v/>
      </c>
      <c r="E149" s="677" t="str">
        <f t="shared" si="2"/>
        <v/>
      </c>
      <c r="F149" s="879"/>
      <c r="G149" s="892" t="str">
        <f t="array" ref="G149">if(isblank(F149),"",xlookup(F149,'FL5_POR_包裝對照表 (Mapping Table)'!E:E,'FL5_POR_包裝對照表 (Mapping Table)'!D:D,"",0,1))</f>
        <v/>
      </c>
      <c r="H149" s="893" t="str">
        <f t="array" ref="H149">if(isblank(F149),"",xlookup(F149,'FL5_POR_包裝對照表 (Mapping Table)'!E:E,'FL5_POR_包裝對照表 (Mapping Table)'!E:E,"",0,1))</f>
        <v/>
      </c>
      <c r="I149" s="677" t="str">
        <f t="array" ref="I149">if(isblank(F149),"",xlookup(F149,'FL5_POR_包裝對照表 (Mapping Table)'!E:E,'FL5_POR_包裝對照表 (Mapping Table)'!AN:AN,"",0,1))</f>
        <v/>
      </c>
      <c r="J149" s="894" t="str">
        <f t="array" ref="J149">if(isblank(F149),"",xlookup(G149,z_Others!$B$5:$B$17,z_Others!$C$5:$C$17,"",0,1))</f>
        <v/>
      </c>
      <c r="K149" s="894" t="str">
        <f t="array" ref="K149">if(isblank(F149),"",xlookup(G149,z_Others!$B$5:$B$17,z_Others!$E$5:$E$17,"",0,1))</f>
        <v/>
      </c>
      <c r="L149" s="894" t="str">
        <f t="array" ref="L149">if(isblank(F149),"",xlookup(G149,z_Others!$B$5:$B$17,z_Others!$F$5:$F$17,"",0,1))</f>
        <v/>
      </c>
      <c r="M149" s="894" t="str">
        <f t="shared" si="3"/>
        <v/>
      </c>
      <c r="N149" s="894" t="str">
        <f t="shared" si="4"/>
        <v/>
      </c>
      <c r="O149" s="882" t="str">
        <f t="array" ref="O149">if(isblank(F149),"",xlookup(F149,'FL5_POR_包裝對照表 (Mapping Table)'!E:E,'FL5_POR_包裝對照表 (Mapping Table)'!L:L,"",0,1))</f>
        <v/>
      </c>
      <c r="P149" s="909" t="str">
        <f t="array" ref="P149">if(isblank(F149),"",xlookup(G149,z_Others!$B$5:$B$17,z_Others!$J$5:$J$17,"",0,1))</f>
        <v/>
      </c>
      <c r="Q149" s="899" t="str">
        <f t="array" ref="Q149">if(isblank(F149),"",xlookup(F149,'FL5_POR_核價 (經管 &amp; BPM)'!E:E,'FL5_POR_核價 (經管 &amp; BPM)'!O:O,"",0,1))</f>
        <v/>
      </c>
      <c r="R149" s="894" t="str">
        <f t="shared" si="5"/>
        <v/>
      </c>
      <c r="S149" s="894" t="str">
        <f t="array" ref="S149">if(isblank(F149),"",xlookup(G149,z_Others!$B$5:$B$17,z_Others!$K$5:$K$17,"",0,1))</f>
        <v/>
      </c>
      <c r="T149" s="894" t="str">
        <f t="shared" si="19"/>
        <v/>
      </c>
      <c r="U149" s="898" t="str">
        <f t="array" ref="U149">if(isblank(F149),"",xlookup(G149,z_Others!$B$5:$B$17,z_Others!$G$5:$G$17,"",0,1))</f>
        <v/>
      </c>
      <c r="V149" s="231" t="str">
        <f t="array" ref="V149">if(isblank(F149),"",xlookup(F149,'FL5_POR_包裝對照表 (Mapping Table)'!E:E,'FL5_POR_包裝對照表 (Mapping Table)'!AB:AB,"",0,1))</f>
        <v/>
      </c>
      <c r="W149" s="899" t="str">
        <f t="array" ref="W149">if(isblank(F149),"",xlookup(G149,z_Others!$B$5:$B$17,z_Others!$I$5:$I$17,"",0,1))</f>
        <v/>
      </c>
      <c r="X149" s="894" t="str">
        <f t="shared" si="7"/>
        <v/>
      </c>
      <c r="Y149" s="894" t="str">
        <f t="shared" si="8"/>
        <v/>
      </c>
      <c r="Z149" s="900" t="str">
        <f t="shared" si="9"/>
        <v/>
      </c>
      <c r="AA149" s="900" t="str">
        <f t="shared" si="10"/>
        <v/>
      </c>
      <c r="AB149" s="878" t="str">
        <f t="array" ref="AB149">if(isblank(F149),"",xlookup(AJ149,z_Others!$M$5:$M$9,z_Others!$Q$5:$Q$9,"",0,1))</f>
        <v/>
      </c>
      <c r="AC149" s="900" t="str">
        <f t="shared" si="11"/>
        <v/>
      </c>
      <c r="AD149" s="894" t="str">
        <f t="array" ref="AD149">if(isblank(F149),"",xlookup(G149,z_Others!$B$5:$B$14,z_Others!$H$5:$H$14,"",0,1))</f>
        <v/>
      </c>
      <c r="AE149" s="901" t="str">
        <f t="shared" si="12"/>
        <v/>
      </c>
      <c r="AF149" s="791"/>
      <c r="AG149" s="791" t="str">
        <f t="shared" si="20"/>
        <v/>
      </c>
      <c r="AH149" s="787"/>
      <c r="AI149" s="787"/>
      <c r="AJ149" s="677" t="str">
        <f t="array" ref="AJ149">if(isblank(F149),"",xlookup(F149,'FL5_POR_包裝對照表 (Mapping Table)'!E:E,'FL5_POR_包裝對照表 (Mapping Table)'!AS:AS,"",0,1))</f>
        <v/>
      </c>
      <c r="AK149" s="677" t="str">
        <f t="array" ref="AK149">if(isblank(F149),"",xlookup(F149,'FL5_POR_包裝對照表 (Mapping Table)'!E:E,'FL5_POR_包裝對照表 (Mapping Table)'!K:K,"",0,1))</f>
        <v/>
      </c>
      <c r="AL149" s="677"/>
      <c r="AM149" s="813"/>
      <c r="AN149" s="908"/>
      <c r="AO149" s="813"/>
      <c r="AP149" s="813"/>
    </row>
    <row r="150" ht="25.5" customHeight="1">
      <c r="A150" s="889"/>
      <c r="B150" s="877"/>
      <c r="C150" s="891" t="str">
        <f>if(isblank(F150),"",'FL5_POR_包裝對照表 (Mapping Table)'!$E$4)</f>
        <v/>
      </c>
      <c r="D150" s="878" t="str">
        <f t="array" ref="D150">if(isblank(F150),"",xlookup(F150,'FL5_POR_包裝對照表 (Mapping Table)'!E:E,'FL5_POR_包裝對照表 (Mapping Table)'!AZ:AZ,"",0,1))</f>
        <v/>
      </c>
      <c r="E150" s="677" t="str">
        <f t="shared" si="2"/>
        <v/>
      </c>
      <c r="F150" s="879"/>
      <c r="G150" s="892" t="str">
        <f t="array" ref="G150">if(isblank(F150),"",xlookup(F150,'FL5_POR_包裝對照表 (Mapping Table)'!E:E,'FL5_POR_包裝對照表 (Mapping Table)'!D:D,"",0,1))</f>
        <v/>
      </c>
      <c r="H150" s="893" t="str">
        <f t="array" ref="H150">if(isblank(F150),"",xlookup(F150,'FL5_POR_包裝對照表 (Mapping Table)'!E:E,'FL5_POR_包裝對照表 (Mapping Table)'!E:E,"",0,1))</f>
        <v/>
      </c>
      <c r="I150" s="677" t="str">
        <f t="array" ref="I150">if(isblank(F150),"",xlookup(F150,'FL5_POR_包裝對照表 (Mapping Table)'!E:E,'FL5_POR_包裝對照表 (Mapping Table)'!AN:AN,"",0,1))</f>
        <v/>
      </c>
      <c r="J150" s="894" t="str">
        <f t="array" ref="J150">if(isblank(F150),"",xlookup(G150,z_Others!$B$5:$B$17,z_Others!$C$5:$C$17,"",0,1))</f>
        <v/>
      </c>
      <c r="K150" s="894" t="str">
        <f t="array" ref="K150">if(isblank(F150),"",xlookup(G150,z_Others!$B$5:$B$17,z_Others!$E$5:$E$17,"",0,1))</f>
        <v/>
      </c>
      <c r="L150" s="894" t="str">
        <f t="array" ref="L150">if(isblank(F150),"",xlookup(G150,z_Others!$B$5:$B$17,z_Others!$F$5:$F$17,"",0,1))</f>
        <v/>
      </c>
      <c r="M150" s="894" t="str">
        <f t="shared" si="3"/>
        <v/>
      </c>
      <c r="N150" s="894" t="str">
        <f t="shared" si="4"/>
        <v/>
      </c>
      <c r="O150" s="882" t="str">
        <f t="array" ref="O150">if(isblank(F150),"",xlookup(F150,'FL5_POR_包裝對照表 (Mapping Table)'!E:E,'FL5_POR_包裝對照表 (Mapping Table)'!L:L,"",0,1))</f>
        <v/>
      </c>
      <c r="P150" s="909" t="str">
        <f t="array" ref="P150">if(isblank(F150),"",xlookup(G150,z_Others!$B$5:$B$17,z_Others!$J$5:$J$17,"",0,1))</f>
        <v/>
      </c>
      <c r="Q150" s="899" t="str">
        <f t="array" ref="Q150">if(isblank(F150),"",xlookup(F150,'FL5_POR_核價 (經管 &amp; BPM)'!E:E,'FL5_POR_核價 (經管 &amp; BPM)'!O:O,"",0,1))</f>
        <v/>
      </c>
      <c r="R150" s="894" t="str">
        <f t="shared" si="5"/>
        <v/>
      </c>
      <c r="S150" s="894" t="str">
        <f t="array" ref="S150">if(isblank(F150),"",xlookup(G150,z_Others!$B$5:$B$17,z_Others!$K$5:$K$17,"",0,1))</f>
        <v/>
      </c>
      <c r="T150" s="894" t="str">
        <f t="shared" si="19"/>
        <v/>
      </c>
      <c r="U150" s="898" t="str">
        <f t="array" ref="U150">if(isblank(F150),"",xlookup(G150,z_Others!$B$5:$B$17,z_Others!$G$5:$G$17,"",0,1))</f>
        <v/>
      </c>
      <c r="V150" s="231" t="str">
        <f t="array" ref="V150">if(isblank(F150),"",xlookup(F150,'FL5_POR_包裝對照表 (Mapping Table)'!E:E,'FL5_POR_包裝對照表 (Mapping Table)'!AB:AB,"",0,1))</f>
        <v/>
      </c>
      <c r="W150" s="899" t="str">
        <f t="array" ref="W150">if(isblank(F150),"",xlookup(G150,z_Others!$B$5:$B$17,z_Others!$I$5:$I$17,"",0,1))</f>
        <v/>
      </c>
      <c r="X150" s="894" t="str">
        <f t="shared" si="7"/>
        <v/>
      </c>
      <c r="Y150" s="894" t="str">
        <f t="shared" si="8"/>
        <v/>
      </c>
      <c r="Z150" s="900" t="str">
        <f t="shared" si="9"/>
        <v/>
      </c>
      <c r="AA150" s="900" t="str">
        <f t="shared" si="10"/>
        <v/>
      </c>
      <c r="AB150" s="878" t="str">
        <f t="array" ref="AB150">if(isblank(F150),"",xlookup(AJ150,z_Others!$M$5:$M$9,z_Others!$Q$5:$Q$9,"",0,1))</f>
        <v/>
      </c>
      <c r="AC150" s="900" t="str">
        <f t="shared" si="11"/>
        <v/>
      </c>
      <c r="AD150" s="894" t="str">
        <f t="array" ref="AD150">if(isblank(F150),"",xlookup(G150,z_Others!$B$5:$B$14,z_Others!$H$5:$H$14,"",0,1))</f>
        <v/>
      </c>
      <c r="AE150" s="901" t="str">
        <f t="shared" si="12"/>
        <v/>
      </c>
      <c r="AF150" s="791"/>
      <c r="AG150" s="791" t="str">
        <f t="shared" si="20"/>
        <v/>
      </c>
      <c r="AH150" s="787"/>
      <c r="AI150" s="787"/>
      <c r="AJ150" s="677" t="str">
        <f t="array" ref="AJ150">if(isblank(F150),"",xlookup(F150,'FL5_POR_包裝對照表 (Mapping Table)'!E:E,'FL5_POR_包裝對照表 (Mapping Table)'!AS:AS,"",0,1))</f>
        <v/>
      </c>
      <c r="AK150" s="677" t="str">
        <f t="array" ref="AK150">if(isblank(F150),"",xlookup(F150,'FL5_POR_包裝對照表 (Mapping Table)'!E:E,'FL5_POR_包裝對照表 (Mapping Table)'!K:K,"",0,1))</f>
        <v/>
      </c>
      <c r="AL150" s="677"/>
      <c r="AM150" s="813"/>
      <c r="AN150" s="908"/>
      <c r="AO150" s="813"/>
      <c r="AP150" s="813"/>
    </row>
    <row r="151" ht="25.5" customHeight="1">
      <c r="A151" s="889"/>
      <c r="B151" s="877"/>
      <c r="C151" s="891" t="str">
        <f>if(isblank(F151),"",'FL5_POR_包裝對照表 (Mapping Table)'!$E$4)</f>
        <v/>
      </c>
      <c r="D151" s="878" t="str">
        <f t="array" ref="D151">if(isblank(F151),"",xlookup(F151,'FL5_POR_包裝對照表 (Mapping Table)'!E:E,'FL5_POR_包裝對照表 (Mapping Table)'!AZ:AZ,"",0,1))</f>
        <v/>
      </c>
      <c r="E151" s="677" t="str">
        <f t="shared" si="2"/>
        <v/>
      </c>
      <c r="F151" s="879"/>
      <c r="G151" s="892" t="str">
        <f t="array" ref="G151">if(isblank(F151),"",xlookup(F151,'FL5_POR_包裝對照表 (Mapping Table)'!E:E,'FL5_POR_包裝對照表 (Mapping Table)'!D:D,"",0,1))</f>
        <v/>
      </c>
      <c r="H151" s="893" t="str">
        <f t="array" ref="H151">if(isblank(F151),"",xlookup(F151,'FL5_POR_包裝對照表 (Mapping Table)'!E:E,'FL5_POR_包裝對照表 (Mapping Table)'!E:E,"",0,1))</f>
        <v/>
      </c>
      <c r="I151" s="677" t="str">
        <f t="array" ref="I151">if(isblank(F151),"",xlookup(F151,'FL5_POR_包裝對照表 (Mapping Table)'!E:E,'FL5_POR_包裝對照表 (Mapping Table)'!AN:AN,"",0,1))</f>
        <v/>
      </c>
      <c r="J151" s="894" t="str">
        <f t="array" ref="J151">if(isblank(F151),"",xlookup(G151,z_Others!$B$5:$B$17,z_Others!$C$5:$C$17,"",0,1))</f>
        <v/>
      </c>
      <c r="K151" s="894" t="str">
        <f t="array" ref="K151">if(isblank(F151),"",xlookup(G151,z_Others!$B$5:$B$17,z_Others!$E$5:$E$17,"",0,1))</f>
        <v/>
      </c>
      <c r="L151" s="894" t="str">
        <f t="array" ref="L151">if(isblank(F151),"",xlookup(G151,z_Others!$B$5:$B$17,z_Others!$F$5:$F$17,"",0,1))</f>
        <v/>
      </c>
      <c r="M151" s="894" t="str">
        <f t="shared" si="3"/>
        <v/>
      </c>
      <c r="N151" s="894" t="str">
        <f t="shared" si="4"/>
        <v/>
      </c>
      <c r="O151" s="882" t="str">
        <f t="array" ref="O151">if(isblank(F151),"",xlookup(F151,'FL5_POR_包裝對照表 (Mapping Table)'!E:E,'FL5_POR_包裝對照表 (Mapping Table)'!L:L,"",0,1))</f>
        <v/>
      </c>
      <c r="P151" s="909" t="str">
        <f t="array" ref="P151">if(isblank(F151),"",xlookup(G151,z_Others!$B$5:$B$17,z_Others!$J$5:$J$17,"",0,1))</f>
        <v/>
      </c>
      <c r="Q151" s="899" t="str">
        <f t="array" ref="Q151">if(isblank(F151),"",xlookup(F151,'FL5_POR_核價 (經管 &amp; BPM)'!E:E,'FL5_POR_核價 (經管 &amp; BPM)'!O:O,"",0,1))</f>
        <v/>
      </c>
      <c r="R151" s="894" t="str">
        <f t="shared" si="5"/>
        <v/>
      </c>
      <c r="S151" s="894" t="str">
        <f t="array" ref="S151">if(isblank(F151),"",xlookup(G151,z_Others!$B$5:$B$17,z_Others!$K$5:$K$17,"",0,1))</f>
        <v/>
      </c>
      <c r="T151" s="894" t="str">
        <f t="shared" si="19"/>
        <v/>
      </c>
      <c r="U151" s="898" t="str">
        <f t="array" ref="U151">if(isblank(F151),"",xlookup(G151,z_Others!$B$5:$B$17,z_Others!$G$5:$G$17,"",0,1))</f>
        <v/>
      </c>
      <c r="V151" s="231" t="str">
        <f t="array" ref="V151">if(isblank(F151),"",xlookup(F151,'FL5_POR_包裝對照表 (Mapping Table)'!E:E,'FL5_POR_包裝對照表 (Mapping Table)'!AB:AB,"",0,1))</f>
        <v/>
      </c>
      <c r="W151" s="899" t="str">
        <f t="array" ref="W151">if(isblank(F151),"",xlookup(G151,z_Others!$B$5:$B$17,z_Others!$I$5:$I$17,"",0,1))</f>
        <v/>
      </c>
      <c r="X151" s="894" t="str">
        <f t="shared" si="7"/>
        <v/>
      </c>
      <c r="Y151" s="894" t="str">
        <f t="shared" si="8"/>
        <v/>
      </c>
      <c r="Z151" s="900" t="str">
        <f t="shared" si="9"/>
        <v/>
      </c>
      <c r="AA151" s="900" t="str">
        <f t="shared" si="10"/>
        <v/>
      </c>
      <c r="AB151" s="878" t="str">
        <f t="array" ref="AB151">if(isblank(F151),"",xlookup(AJ151,z_Others!$M$5:$M$9,z_Others!$Q$5:$Q$9,"",0,1))</f>
        <v/>
      </c>
      <c r="AC151" s="900" t="str">
        <f t="shared" si="11"/>
        <v/>
      </c>
      <c r="AD151" s="894" t="str">
        <f t="array" ref="AD151">if(isblank(F151),"",xlookup(G151,z_Others!$B$5:$B$14,z_Others!$H$5:$H$14,"",0,1))</f>
        <v/>
      </c>
      <c r="AE151" s="901" t="str">
        <f t="shared" si="12"/>
        <v/>
      </c>
      <c r="AF151" s="791"/>
      <c r="AG151" s="791" t="str">
        <f t="shared" si="20"/>
        <v/>
      </c>
      <c r="AH151" s="787"/>
      <c r="AI151" s="787"/>
      <c r="AJ151" s="677" t="str">
        <f t="array" ref="AJ151">if(isblank(F151),"",xlookup(F151,'FL5_POR_包裝對照表 (Mapping Table)'!E:E,'FL5_POR_包裝對照表 (Mapping Table)'!AS:AS,"",0,1))</f>
        <v/>
      </c>
      <c r="AK151" s="677" t="str">
        <f t="array" ref="AK151">if(isblank(F151),"",xlookup(F151,'FL5_POR_包裝對照表 (Mapping Table)'!E:E,'FL5_POR_包裝對照表 (Mapping Table)'!K:K,"",0,1))</f>
        <v/>
      </c>
      <c r="AL151" s="677"/>
      <c r="AM151" s="813"/>
      <c r="AN151" s="908"/>
      <c r="AO151" s="813"/>
      <c r="AP151" s="813"/>
    </row>
    <row r="152" ht="25.5" customHeight="1">
      <c r="A152" s="889"/>
      <c r="B152" s="877"/>
      <c r="C152" s="891" t="str">
        <f>if(isblank(F152),"",'FL5_POR_包裝對照表 (Mapping Table)'!$E$4)</f>
        <v/>
      </c>
      <c r="D152" s="878" t="str">
        <f t="array" ref="D152">if(isblank(F152),"",xlookup(F152,'FL5_POR_包裝對照表 (Mapping Table)'!E:E,'FL5_POR_包裝對照表 (Mapping Table)'!AZ:AZ,"",0,1))</f>
        <v/>
      </c>
      <c r="E152" s="677" t="str">
        <f t="shared" si="2"/>
        <v/>
      </c>
      <c r="F152" s="879"/>
      <c r="G152" s="892" t="str">
        <f t="array" ref="G152">if(isblank(F152),"",xlookup(F152,'FL5_POR_包裝對照表 (Mapping Table)'!E:E,'FL5_POR_包裝對照表 (Mapping Table)'!D:D,"",0,1))</f>
        <v/>
      </c>
      <c r="H152" s="893" t="str">
        <f t="array" ref="H152">if(isblank(F152),"",xlookup(F152,'FL5_POR_包裝對照表 (Mapping Table)'!E:E,'FL5_POR_包裝對照表 (Mapping Table)'!E:E,"",0,1))</f>
        <v/>
      </c>
      <c r="I152" s="677" t="str">
        <f t="array" ref="I152">if(isblank(F152),"",xlookup(F152,'FL5_POR_包裝對照表 (Mapping Table)'!E:E,'FL5_POR_包裝對照表 (Mapping Table)'!AN:AN,"",0,1))</f>
        <v/>
      </c>
      <c r="J152" s="894" t="str">
        <f t="array" ref="J152">if(isblank(F152),"",xlookup(G152,z_Others!$B$5:$B$17,z_Others!$C$5:$C$17,"",0,1))</f>
        <v/>
      </c>
      <c r="K152" s="894" t="str">
        <f t="array" ref="K152">if(isblank(F152),"",xlookup(G152,z_Others!$B$5:$B$17,z_Others!$E$5:$E$17,"",0,1))</f>
        <v/>
      </c>
      <c r="L152" s="894" t="str">
        <f t="array" ref="L152">if(isblank(F152),"",xlookup(G152,z_Others!$B$5:$B$17,z_Others!$F$5:$F$17,"",0,1))</f>
        <v/>
      </c>
      <c r="M152" s="894" t="str">
        <f t="shared" si="3"/>
        <v/>
      </c>
      <c r="N152" s="894" t="str">
        <f t="shared" si="4"/>
        <v/>
      </c>
      <c r="O152" s="882" t="str">
        <f t="array" ref="O152">if(isblank(F152),"",xlookup(F152,'FL5_POR_包裝對照表 (Mapping Table)'!E:E,'FL5_POR_包裝對照表 (Mapping Table)'!L:L,"",0,1))</f>
        <v/>
      </c>
      <c r="P152" s="909" t="str">
        <f t="array" ref="P152">if(isblank(F152),"",xlookup(G152,z_Others!$B$5:$B$17,z_Others!$J$5:$J$17,"",0,1))</f>
        <v/>
      </c>
      <c r="Q152" s="899" t="str">
        <f t="array" ref="Q152">if(isblank(F152),"",xlookup(F152,'FL5_POR_核價 (經管 &amp; BPM)'!E:E,'FL5_POR_核價 (經管 &amp; BPM)'!O:O,"",0,1))</f>
        <v/>
      </c>
      <c r="R152" s="894" t="str">
        <f t="shared" si="5"/>
        <v/>
      </c>
      <c r="S152" s="894" t="str">
        <f t="array" ref="S152">if(isblank(F152),"",xlookup(G152,z_Others!$B$5:$B$17,z_Others!$K$5:$K$17,"",0,1))</f>
        <v/>
      </c>
      <c r="T152" s="894" t="str">
        <f t="shared" si="19"/>
        <v/>
      </c>
      <c r="U152" s="898" t="str">
        <f t="array" ref="U152">if(isblank(F152),"",xlookup(G152,z_Others!$B$5:$B$17,z_Others!$G$5:$G$17,"",0,1))</f>
        <v/>
      </c>
      <c r="V152" s="231" t="str">
        <f t="array" ref="V152">if(isblank(F152),"",xlookup(F152,'FL5_POR_包裝對照表 (Mapping Table)'!E:E,'FL5_POR_包裝對照表 (Mapping Table)'!AB:AB,"",0,1))</f>
        <v/>
      </c>
      <c r="W152" s="899" t="str">
        <f t="array" ref="W152">if(isblank(F152),"",xlookup(G152,z_Others!$B$5:$B$17,z_Others!$I$5:$I$17,"",0,1))</f>
        <v/>
      </c>
      <c r="X152" s="894" t="str">
        <f t="shared" si="7"/>
        <v/>
      </c>
      <c r="Y152" s="894" t="str">
        <f t="shared" si="8"/>
        <v/>
      </c>
      <c r="Z152" s="900" t="str">
        <f t="shared" si="9"/>
        <v/>
      </c>
      <c r="AA152" s="900" t="str">
        <f t="shared" si="10"/>
        <v/>
      </c>
      <c r="AB152" s="878" t="str">
        <f t="array" ref="AB152">if(isblank(F152),"",xlookup(AJ152,z_Others!$M$5:$M$9,z_Others!$Q$5:$Q$9,"",0,1))</f>
        <v/>
      </c>
      <c r="AC152" s="900" t="str">
        <f t="shared" si="11"/>
        <v/>
      </c>
      <c r="AD152" s="894" t="str">
        <f t="array" ref="AD152">if(isblank(F152),"",xlookup(G152,z_Others!$B$5:$B$14,z_Others!$H$5:$H$14,"",0,1))</f>
        <v/>
      </c>
      <c r="AE152" s="901" t="str">
        <f t="shared" si="12"/>
        <v/>
      </c>
      <c r="AF152" s="791"/>
      <c r="AG152" s="791" t="str">
        <f t="shared" si="20"/>
        <v/>
      </c>
      <c r="AH152" s="787"/>
      <c r="AI152" s="787"/>
      <c r="AJ152" s="677" t="str">
        <f t="array" ref="AJ152">if(isblank(F152),"",xlookup(F152,'FL5_POR_包裝對照表 (Mapping Table)'!E:E,'FL5_POR_包裝對照表 (Mapping Table)'!AS:AS,"",0,1))</f>
        <v/>
      </c>
      <c r="AK152" s="677" t="str">
        <f t="array" ref="AK152">if(isblank(F152),"",xlookup(F152,'FL5_POR_包裝對照表 (Mapping Table)'!E:E,'FL5_POR_包裝對照表 (Mapping Table)'!K:K,"",0,1))</f>
        <v/>
      </c>
      <c r="AL152" s="677"/>
      <c r="AM152" s="813"/>
      <c r="AN152" s="908"/>
      <c r="AO152" s="813"/>
      <c r="AP152" s="813"/>
    </row>
    <row r="153" ht="25.5" customHeight="1">
      <c r="A153" s="889"/>
      <c r="B153" s="877"/>
      <c r="C153" s="891" t="str">
        <f>if(isblank(F153),"",'FL5_POR_包裝對照表 (Mapping Table)'!$E$4)</f>
        <v/>
      </c>
      <c r="D153" s="878" t="str">
        <f t="array" ref="D153">if(isblank(F153),"",xlookup(F153,'FL5_POR_包裝對照表 (Mapping Table)'!E:E,'FL5_POR_包裝對照表 (Mapping Table)'!AZ:AZ,"",0,1))</f>
        <v/>
      </c>
      <c r="E153" s="677" t="str">
        <f t="shared" si="2"/>
        <v/>
      </c>
      <c r="F153" s="879"/>
      <c r="G153" s="892" t="str">
        <f t="array" ref="G153">if(isblank(F153),"",xlookup(F153,'FL5_POR_包裝對照表 (Mapping Table)'!E:E,'FL5_POR_包裝對照表 (Mapping Table)'!D:D,"",0,1))</f>
        <v/>
      </c>
      <c r="H153" s="893" t="str">
        <f t="array" ref="H153">if(isblank(F153),"",xlookup(F153,'FL5_POR_包裝對照表 (Mapping Table)'!E:E,'FL5_POR_包裝對照表 (Mapping Table)'!E:E,"",0,1))</f>
        <v/>
      </c>
      <c r="I153" s="677" t="str">
        <f t="array" ref="I153">if(isblank(F153),"",xlookup(F153,'FL5_POR_包裝對照表 (Mapping Table)'!E:E,'FL5_POR_包裝對照表 (Mapping Table)'!AN:AN,"",0,1))</f>
        <v/>
      </c>
      <c r="J153" s="894" t="str">
        <f t="array" ref="J153">if(isblank(F153),"",xlookup(G153,z_Others!$B$5:$B$17,z_Others!$C$5:$C$17,"",0,1))</f>
        <v/>
      </c>
      <c r="K153" s="894" t="str">
        <f t="array" ref="K153">if(isblank(F153),"",xlookup(G153,z_Others!$B$5:$B$17,z_Others!$E$5:$E$17,"",0,1))</f>
        <v/>
      </c>
      <c r="L153" s="894" t="str">
        <f t="array" ref="L153">if(isblank(F153),"",xlookup(G153,z_Others!$B$5:$B$17,z_Others!$F$5:$F$17,"",0,1))</f>
        <v/>
      </c>
      <c r="M153" s="894" t="str">
        <f t="shared" si="3"/>
        <v/>
      </c>
      <c r="N153" s="894" t="str">
        <f t="shared" si="4"/>
        <v/>
      </c>
      <c r="O153" s="882" t="str">
        <f t="array" ref="O153">if(isblank(F153),"",xlookup(F153,'FL5_POR_包裝對照表 (Mapping Table)'!E:E,'FL5_POR_包裝對照表 (Mapping Table)'!L:L,"",0,1))</f>
        <v/>
      </c>
      <c r="P153" s="909" t="str">
        <f t="array" ref="P153">if(isblank(F153),"",xlookup(G153,z_Others!$B$5:$B$17,z_Others!$J$5:$J$17,"",0,1))</f>
        <v/>
      </c>
      <c r="Q153" s="899" t="str">
        <f t="array" ref="Q153">if(isblank(F153),"",xlookup(F153,'FL5_POR_核價 (經管 &amp; BPM)'!E:E,'FL5_POR_核價 (經管 &amp; BPM)'!O:O,"",0,1))</f>
        <v/>
      </c>
      <c r="R153" s="894" t="str">
        <f t="shared" si="5"/>
        <v/>
      </c>
      <c r="S153" s="894" t="str">
        <f t="array" ref="S153">if(isblank(F153),"",xlookup(G153,z_Others!$B$5:$B$17,z_Others!$K$5:$K$17,"",0,1))</f>
        <v/>
      </c>
      <c r="T153" s="894" t="str">
        <f t="shared" si="19"/>
        <v/>
      </c>
      <c r="U153" s="898" t="str">
        <f t="array" ref="U153">if(isblank(F153),"",xlookup(G153,z_Others!$B$5:$B$17,z_Others!$G$5:$G$17,"",0,1))</f>
        <v/>
      </c>
      <c r="V153" s="231" t="str">
        <f t="array" ref="V153">if(isblank(F153),"",xlookup(F153,'FL5_POR_包裝對照表 (Mapping Table)'!E:E,'FL5_POR_包裝對照表 (Mapping Table)'!AB:AB,"",0,1))</f>
        <v/>
      </c>
      <c r="W153" s="899" t="str">
        <f t="array" ref="W153">if(isblank(F153),"",xlookup(G153,z_Others!$B$5:$B$17,z_Others!$I$5:$I$17,"",0,1))</f>
        <v/>
      </c>
      <c r="X153" s="894" t="str">
        <f t="shared" si="7"/>
        <v/>
      </c>
      <c r="Y153" s="894" t="str">
        <f t="shared" si="8"/>
        <v/>
      </c>
      <c r="Z153" s="900" t="str">
        <f t="shared" si="9"/>
        <v/>
      </c>
      <c r="AA153" s="900" t="str">
        <f t="shared" si="10"/>
        <v/>
      </c>
      <c r="AB153" s="878" t="str">
        <f t="array" ref="AB153">if(isblank(F153),"",xlookup(AJ153,z_Others!$M$5:$M$9,z_Others!$Q$5:$Q$9,"",0,1))</f>
        <v/>
      </c>
      <c r="AC153" s="900" t="str">
        <f t="shared" si="11"/>
        <v/>
      </c>
      <c r="AD153" s="894" t="str">
        <f t="array" ref="AD153">if(isblank(F153),"",xlookup(G153,z_Others!$B$5:$B$14,z_Others!$H$5:$H$14,"",0,1))</f>
        <v/>
      </c>
      <c r="AE153" s="901" t="str">
        <f t="shared" si="12"/>
        <v/>
      </c>
      <c r="AF153" s="791"/>
      <c r="AG153" s="791" t="str">
        <f t="shared" si="20"/>
        <v/>
      </c>
      <c r="AH153" s="787"/>
      <c r="AI153" s="787"/>
      <c r="AJ153" s="677" t="str">
        <f t="array" ref="AJ153">if(isblank(F153),"",xlookup(F153,'FL5_POR_包裝對照表 (Mapping Table)'!E:E,'FL5_POR_包裝對照表 (Mapping Table)'!AS:AS,"",0,1))</f>
        <v/>
      </c>
      <c r="AK153" s="677" t="str">
        <f t="array" ref="AK153">if(isblank(F153),"",xlookup(F153,'FL5_POR_包裝對照表 (Mapping Table)'!E:E,'FL5_POR_包裝對照表 (Mapping Table)'!K:K,"",0,1))</f>
        <v/>
      </c>
      <c r="AL153" s="677"/>
      <c r="AM153" s="813"/>
      <c r="AN153" s="908"/>
      <c r="AO153" s="813"/>
      <c r="AP153" s="813"/>
    </row>
    <row r="154" ht="25.5" customHeight="1">
      <c r="A154" s="889"/>
      <c r="B154" s="877"/>
      <c r="C154" s="891" t="str">
        <f>if(isblank(F154),"",'FL5_POR_包裝對照表 (Mapping Table)'!$E$4)</f>
        <v/>
      </c>
      <c r="D154" s="878" t="str">
        <f t="array" ref="D154">if(isblank(F154),"",xlookup(F154,'FL5_POR_包裝對照表 (Mapping Table)'!E:E,'FL5_POR_包裝對照表 (Mapping Table)'!AZ:AZ,"",0,1))</f>
        <v/>
      </c>
      <c r="E154" s="677" t="str">
        <f t="shared" si="2"/>
        <v/>
      </c>
      <c r="F154" s="879"/>
      <c r="G154" s="892" t="str">
        <f t="array" ref="G154">if(isblank(F154),"",xlookup(F154,'FL5_POR_包裝對照表 (Mapping Table)'!E:E,'FL5_POR_包裝對照表 (Mapping Table)'!D:D,"",0,1))</f>
        <v/>
      </c>
      <c r="H154" s="893" t="str">
        <f t="array" ref="H154">if(isblank(F154),"",xlookup(F154,'FL5_POR_包裝對照表 (Mapping Table)'!E:E,'FL5_POR_包裝對照表 (Mapping Table)'!E:E,"",0,1))</f>
        <v/>
      </c>
      <c r="I154" s="677" t="str">
        <f t="array" ref="I154">if(isblank(F154),"",xlookup(F154,'FL5_POR_包裝對照表 (Mapping Table)'!E:E,'FL5_POR_包裝對照表 (Mapping Table)'!AN:AN,"",0,1))</f>
        <v/>
      </c>
      <c r="J154" s="894" t="str">
        <f t="array" ref="J154">if(isblank(F154),"",xlookup(G154,z_Others!$B$5:$B$17,z_Others!$C$5:$C$17,"",0,1))</f>
        <v/>
      </c>
      <c r="K154" s="894" t="str">
        <f t="array" ref="K154">if(isblank(F154),"",xlookup(G154,z_Others!$B$5:$B$17,z_Others!$E$5:$E$17,"",0,1))</f>
        <v/>
      </c>
      <c r="L154" s="894" t="str">
        <f t="array" ref="L154">if(isblank(F154),"",xlookup(G154,z_Others!$B$5:$B$17,z_Others!$F$5:$F$17,"",0,1))</f>
        <v/>
      </c>
      <c r="M154" s="894" t="str">
        <f t="shared" si="3"/>
        <v/>
      </c>
      <c r="N154" s="894" t="str">
        <f t="shared" si="4"/>
        <v/>
      </c>
      <c r="O154" s="882" t="str">
        <f t="array" ref="O154">if(isblank(F154),"",xlookup(F154,'FL5_POR_包裝對照表 (Mapping Table)'!E:E,'FL5_POR_包裝對照表 (Mapping Table)'!L:L,"",0,1))</f>
        <v/>
      </c>
      <c r="P154" s="909" t="str">
        <f t="array" ref="P154">if(isblank(F154),"",xlookup(G154,z_Others!$B$5:$B$17,z_Others!$J$5:$J$17,"",0,1))</f>
        <v/>
      </c>
      <c r="Q154" s="899" t="str">
        <f t="array" ref="Q154">if(isblank(F154),"",xlookup(F154,'FL5_POR_核價 (經管 &amp; BPM)'!E:E,'FL5_POR_核價 (經管 &amp; BPM)'!O:O,"",0,1))</f>
        <v/>
      </c>
      <c r="R154" s="894" t="str">
        <f t="shared" si="5"/>
        <v/>
      </c>
      <c r="S154" s="894" t="str">
        <f t="array" ref="S154">if(isblank(F154),"",xlookup(G154,z_Others!$B$5:$B$17,z_Others!$K$5:$K$17,"",0,1))</f>
        <v/>
      </c>
      <c r="T154" s="894" t="str">
        <f t="shared" si="19"/>
        <v/>
      </c>
      <c r="U154" s="898" t="str">
        <f t="array" ref="U154">if(isblank(F154),"",xlookup(G154,z_Others!$B$5:$B$17,z_Others!$G$5:$G$17,"",0,1))</f>
        <v/>
      </c>
      <c r="V154" s="231" t="str">
        <f t="array" ref="V154">if(isblank(F154),"",xlookup(F154,'FL5_POR_包裝對照表 (Mapping Table)'!E:E,'FL5_POR_包裝對照表 (Mapping Table)'!AB:AB,"",0,1))</f>
        <v/>
      </c>
      <c r="W154" s="899" t="str">
        <f t="array" ref="W154">if(isblank(F154),"",xlookup(G154,z_Others!$B$5:$B$17,z_Others!$I$5:$I$17,"",0,1))</f>
        <v/>
      </c>
      <c r="X154" s="894" t="str">
        <f t="shared" si="7"/>
        <v/>
      </c>
      <c r="Y154" s="894" t="str">
        <f t="shared" si="8"/>
        <v/>
      </c>
      <c r="Z154" s="900" t="str">
        <f t="shared" si="9"/>
        <v/>
      </c>
      <c r="AA154" s="900" t="str">
        <f t="shared" si="10"/>
        <v/>
      </c>
      <c r="AB154" s="878" t="str">
        <f t="array" ref="AB154">if(isblank(F154),"",xlookup(AJ154,z_Others!$M$5:$M$9,z_Others!$Q$5:$Q$9,"",0,1))</f>
        <v/>
      </c>
      <c r="AC154" s="900" t="str">
        <f t="shared" si="11"/>
        <v/>
      </c>
      <c r="AD154" s="894" t="str">
        <f t="array" ref="AD154">if(isblank(F154),"",xlookup(G154,z_Others!$B$5:$B$14,z_Others!$H$5:$H$14,"",0,1))</f>
        <v/>
      </c>
      <c r="AE154" s="901" t="str">
        <f t="shared" si="12"/>
        <v/>
      </c>
      <c r="AF154" s="791"/>
      <c r="AG154" s="791" t="str">
        <f t="shared" si="20"/>
        <v/>
      </c>
      <c r="AH154" s="787"/>
      <c r="AI154" s="787"/>
      <c r="AJ154" s="677" t="str">
        <f t="array" ref="AJ154">if(isblank(F154),"",xlookup(F154,'FL5_POR_包裝對照表 (Mapping Table)'!E:E,'FL5_POR_包裝對照表 (Mapping Table)'!AS:AS,"",0,1))</f>
        <v/>
      </c>
      <c r="AK154" s="677" t="str">
        <f t="array" ref="AK154">if(isblank(F154),"",xlookup(F154,'FL5_POR_包裝對照表 (Mapping Table)'!E:E,'FL5_POR_包裝對照表 (Mapping Table)'!K:K,"",0,1))</f>
        <v/>
      </c>
      <c r="AL154" s="677"/>
      <c r="AM154" s="813"/>
      <c r="AN154" s="908"/>
      <c r="AO154" s="813"/>
      <c r="AP154" s="813"/>
    </row>
    <row r="155" ht="25.5" customHeight="1">
      <c r="A155" s="889"/>
      <c r="B155" s="877"/>
      <c r="C155" s="891" t="str">
        <f>if(isblank(F155),"",'FL5_POR_包裝對照表 (Mapping Table)'!$E$4)</f>
        <v/>
      </c>
      <c r="D155" s="878" t="str">
        <f t="array" ref="D155">if(isblank(F155),"",xlookup(F155,'FL5_POR_包裝對照表 (Mapping Table)'!E:E,'FL5_POR_包裝對照表 (Mapping Table)'!AZ:AZ,"",0,1))</f>
        <v/>
      </c>
      <c r="E155" s="677" t="str">
        <f t="shared" si="2"/>
        <v/>
      </c>
      <c r="F155" s="879"/>
      <c r="G155" s="892" t="str">
        <f t="array" ref="G155">if(isblank(F155),"",xlookup(F155,'FL5_POR_包裝對照表 (Mapping Table)'!E:E,'FL5_POR_包裝對照表 (Mapping Table)'!D:D,"",0,1))</f>
        <v/>
      </c>
      <c r="H155" s="893" t="str">
        <f t="array" ref="H155">if(isblank(F155),"",xlookup(F155,'FL5_POR_包裝對照表 (Mapping Table)'!E:E,'FL5_POR_包裝對照表 (Mapping Table)'!E:E,"",0,1))</f>
        <v/>
      </c>
      <c r="I155" s="677" t="str">
        <f t="array" ref="I155">if(isblank(F155),"",xlookup(F155,'FL5_POR_包裝對照表 (Mapping Table)'!E:E,'FL5_POR_包裝對照表 (Mapping Table)'!AN:AN,"",0,1))</f>
        <v/>
      </c>
      <c r="J155" s="894" t="str">
        <f t="array" ref="J155">if(isblank(F155),"",xlookup(G155,z_Others!$B$5:$B$17,z_Others!$C$5:$C$17,"",0,1))</f>
        <v/>
      </c>
      <c r="K155" s="894" t="str">
        <f t="array" ref="K155">if(isblank(F155),"",xlookup(G155,z_Others!$B$5:$B$17,z_Others!$E$5:$E$17,"",0,1))</f>
        <v/>
      </c>
      <c r="L155" s="894" t="str">
        <f t="array" ref="L155">if(isblank(F155),"",xlookup(G155,z_Others!$B$5:$B$17,z_Others!$F$5:$F$17,"",0,1))</f>
        <v/>
      </c>
      <c r="M155" s="894" t="str">
        <f t="shared" si="3"/>
        <v/>
      </c>
      <c r="N155" s="894" t="str">
        <f t="shared" si="4"/>
        <v/>
      </c>
      <c r="O155" s="882" t="str">
        <f t="array" ref="O155">if(isblank(F155),"",xlookup(F155,'FL5_POR_包裝對照表 (Mapping Table)'!E:E,'FL5_POR_包裝對照表 (Mapping Table)'!L:L,"",0,1))</f>
        <v/>
      </c>
      <c r="P155" s="909" t="str">
        <f t="array" ref="P155">if(isblank(F155),"",xlookup(G155,z_Others!$B$5:$B$17,z_Others!$J$5:$J$17,"",0,1))</f>
        <v/>
      </c>
      <c r="Q155" s="899" t="str">
        <f t="array" ref="Q155">if(isblank(F155),"",xlookup(F155,'FL5_POR_核價 (經管 &amp; BPM)'!E:E,'FL5_POR_核價 (經管 &amp; BPM)'!O:O,"",0,1))</f>
        <v/>
      </c>
      <c r="R155" s="894" t="str">
        <f t="shared" si="5"/>
        <v/>
      </c>
      <c r="S155" s="894" t="str">
        <f t="array" ref="S155">if(isblank(F155),"",xlookup(G155,z_Others!$B$5:$B$17,z_Others!$K$5:$K$17,"",0,1))</f>
        <v/>
      </c>
      <c r="T155" s="894" t="str">
        <f t="shared" si="19"/>
        <v/>
      </c>
      <c r="U155" s="898" t="str">
        <f t="array" ref="U155">if(isblank(F155),"",xlookup(G155,z_Others!$B$5:$B$17,z_Others!$G$5:$G$17,"",0,1))</f>
        <v/>
      </c>
      <c r="V155" s="231" t="str">
        <f t="array" ref="V155">if(isblank(F155),"",xlookup(F155,'FL5_POR_包裝對照表 (Mapping Table)'!E:E,'FL5_POR_包裝對照表 (Mapping Table)'!AB:AB,"",0,1))</f>
        <v/>
      </c>
      <c r="W155" s="899" t="str">
        <f t="array" ref="W155">if(isblank(F155),"",xlookup(G155,z_Others!$B$5:$B$17,z_Others!$I$5:$I$17,"",0,1))</f>
        <v/>
      </c>
      <c r="X155" s="894" t="str">
        <f t="shared" si="7"/>
        <v/>
      </c>
      <c r="Y155" s="894" t="str">
        <f t="shared" si="8"/>
        <v/>
      </c>
      <c r="Z155" s="900" t="str">
        <f t="shared" si="9"/>
        <v/>
      </c>
      <c r="AA155" s="900" t="str">
        <f t="shared" si="10"/>
        <v/>
      </c>
      <c r="AB155" s="878" t="str">
        <f t="array" ref="AB155">if(isblank(F155),"",xlookup(AJ155,z_Others!$M$5:$M$9,z_Others!$Q$5:$Q$9,"",0,1))</f>
        <v/>
      </c>
      <c r="AC155" s="900" t="str">
        <f t="shared" si="11"/>
        <v/>
      </c>
      <c r="AD155" s="894" t="str">
        <f t="array" ref="AD155">if(isblank(F155),"",xlookup(G155,z_Others!$B$5:$B$14,z_Others!$H$5:$H$14,"",0,1))</f>
        <v/>
      </c>
      <c r="AE155" s="901" t="str">
        <f t="shared" si="12"/>
        <v/>
      </c>
      <c r="AF155" s="791"/>
      <c r="AG155" s="791" t="str">
        <f t="shared" si="20"/>
        <v/>
      </c>
      <c r="AH155" s="787"/>
      <c r="AI155" s="787"/>
      <c r="AJ155" s="677" t="str">
        <f t="array" ref="AJ155">if(isblank(F155),"",xlookup(F155,'FL5_POR_包裝對照表 (Mapping Table)'!E:E,'FL5_POR_包裝對照表 (Mapping Table)'!AS:AS,"",0,1))</f>
        <v/>
      </c>
      <c r="AK155" s="677" t="str">
        <f t="array" ref="AK155">if(isblank(F155),"",xlookup(F155,'FL5_POR_包裝對照表 (Mapping Table)'!E:E,'FL5_POR_包裝對照表 (Mapping Table)'!K:K,"",0,1))</f>
        <v/>
      </c>
      <c r="AL155" s="677"/>
      <c r="AM155" s="813"/>
      <c r="AN155" s="908"/>
      <c r="AO155" s="813"/>
      <c r="AP155" s="813"/>
    </row>
    <row r="156" ht="25.5" customHeight="1">
      <c r="A156" s="889"/>
      <c r="B156" s="877"/>
      <c r="C156" s="891" t="str">
        <f>if(isblank(F156),"",'FL5_POR_包裝對照表 (Mapping Table)'!$E$4)</f>
        <v/>
      </c>
      <c r="D156" s="878" t="str">
        <f t="array" ref="D156">if(isblank(F156),"",xlookup(F156,'FL5_POR_包裝對照表 (Mapping Table)'!E:E,'FL5_POR_包裝對照表 (Mapping Table)'!AZ:AZ,"",0,1))</f>
        <v/>
      </c>
      <c r="E156" s="677" t="str">
        <f t="shared" si="2"/>
        <v/>
      </c>
      <c r="F156" s="879"/>
      <c r="G156" s="892" t="str">
        <f t="array" ref="G156">if(isblank(F156),"",xlookup(F156,'FL5_POR_包裝對照表 (Mapping Table)'!E:E,'FL5_POR_包裝對照表 (Mapping Table)'!D:D,"",0,1))</f>
        <v/>
      </c>
      <c r="H156" s="893" t="str">
        <f t="array" ref="H156">if(isblank(F156),"",xlookup(F156,'FL5_POR_包裝對照表 (Mapping Table)'!E:E,'FL5_POR_包裝對照表 (Mapping Table)'!E:E,"",0,1))</f>
        <v/>
      </c>
      <c r="I156" s="677" t="str">
        <f t="array" ref="I156">if(isblank(F156),"",xlookup(F156,'FL5_POR_包裝對照表 (Mapping Table)'!E:E,'FL5_POR_包裝對照表 (Mapping Table)'!AN:AN,"",0,1))</f>
        <v/>
      </c>
      <c r="J156" s="894" t="str">
        <f t="array" ref="J156">if(isblank(F156),"",xlookup(G156,z_Others!$B$5:$B$17,z_Others!$C$5:$C$17,"",0,1))</f>
        <v/>
      </c>
      <c r="K156" s="894" t="str">
        <f t="array" ref="K156">if(isblank(F156),"",xlookup(G156,z_Others!$B$5:$B$17,z_Others!$E$5:$E$17,"",0,1))</f>
        <v/>
      </c>
      <c r="L156" s="894" t="str">
        <f t="array" ref="L156">if(isblank(F156),"",xlookup(G156,z_Others!$B$5:$B$17,z_Others!$F$5:$F$17,"",0,1))</f>
        <v/>
      </c>
      <c r="M156" s="894" t="str">
        <f t="shared" si="3"/>
        <v/>
      </c>
      <c r="N156" s="894" t="str">
        <f t="shared" si="4"/>
        <v/>
      </c>
      <c r="O156" s="882" t="str">
        <f t="array" ref="O156">if(isblank(F156),"",xlookup(F156,'FL5_POR_包裝對照表 (Mapping Table)'!E:E,'FL5_POR_包裝對照表 (Mapping Table)'!L:L,"",0,1))</f>
        <v/>
      </c>
      <c r="P156" s="909" t="str">
        <f t="array" ref="P156">if(isblank(F156),"",xlookup(G156,z_Others!$B$5:$B$17,z_Others!$J$5:$J$17,"",0,1))</f>
        <v/>
      </c>
      <c r="Q156" s="899" t="str">
        <f t="array" ref="Q156">if(isblank(F156),"",xlookup(F156,'FL5_POR_核價 (經管 &amp; BPM)'!E:E,'FL5_POR_核價 (經管 &amp; BPM)'!O:O,"",0,1))</f>
        <v/>
      </c>
      <c r="R156" s="894" t="str">
        <f t="shared" si="5"/>
        <v/>
      </c>
      <c r="S156" s="894" t="str">
        <f t="array" ref="S156">if(isblank(F156),"",xlookup(G156,z_Others!$B$5:$B$17,z_Others!$K$5:$K$17,"",0,1))</f>
        <v/>
      </c>
      <c r="T156" s="894" t="str">
        <f t="shared" si="19"/>
        <v/>
      </c>
      <c r="U156" s="898" t="str">
        <f t="array" ref="U156">if(isblank(F156),"",xlookup(G156,z_Others!$B$5:$B$17,z_Others!$G$5:$G$17,"",0,1))</f>
        <v/>
      </c>
      <c r="V156" s="231" t="str">
        <f t="array" ref="V156">if(isblank(F156),"",xlookup(F156,'FL5_POR_包裝對照表 (Mapping Table)'!E:E,'FL5_POR_包裝對照表 (Mapping Table)'!AB:AB,"",0,1))</f>
        <v/>
      </c>
      <c r="W156" s="899" t="str">
        <f t="array" ref="W156">if(isblank(F156),"",xlookup(G156,z_Others!$B$5:$B$17,z_Others!$I$5:$I$17,"",0,1))</f>
        <v/>
      </c>
      <c r="X156" s="894" t="str">
        <f t="shared" si="7"/>
        <v/>
      </c>
      <c r="Y156" s="894" t="str">
        <f t="shared" si="8"/>
        <v/>
      </c>
      <c r="Z156" s="900" t="str">
        <f t="shared" si="9"/>
        <v/>
      </c>
      <c r="AA156" s="900" t="str">
        <f t="shared" si="10"/>
        <v/>
      </c>
      <c r="AB156" s="878" t="str">
        <f t="array" ref="AB156">if(isblank(F156),"",xlookup(AJ156,z_Others!$M$5:$M$9,z_Others!$Q$5:$Q$9,"",0,1))</f>
        <v/>
      </c>
      <c r="AC156" s="900" t="str">
        <f t="shared" si="11"/>
        <v/>
      </c>
      <c r="AD156" s="894" t="str">
        <f t="array" ref="AD156">if(isblank(F156),"",xlookup(G156,z_Others!$B$5:$B$14,z_Others!$H$5:$H$14,"",0,1))</f>
        <v/>
      </c>
      <c r="AE156" s="901" t="str">
        <f t="shared" si="12"/>
        <v/>
      </c>
      <c r="AF156" s="791"/>
      <c r="AG156" s="791" t="str">
        <f t="shared" si="20"/>
        <v/>
      </c>
      <c r="AH156" s="787"/>
      <c r="AI156" s="787"/>
      <c r="AJ156" s="677" t="str">
        <f t="array" ref="AJ156">if(isblank(F156),"",xlookup(F156,'FL5_POR_包裝對照表 (Mapping Table)'!E:E,'FL5_POR_包裝對照表 (Mapping Table)'!AS:AS,"",0,1))</f>
        <v/>
      </c>
      <c r="AK156" s="677" t="str">
        <f t="array" ref="AK156">if(isblank(F156),"",xlookup(F156,'FL5_POR_包裝對照表 (Mapping Table)'!E:E,'FL5_POR_包裝對照表 (Mapping Table)'!K:K,"",0,1))</f>
        <v/>
      </c>
      <c r="AL156" s="677"/>
      <c r="AM156" s="813"/>
      <c r="AN156" s="908"/>
      <c r="AO156" s="813"/>
      <c r="AP156" s="813"/>
    </row>
    <row r="157" ht="25.5" customHeight="1">
      <c r="A157" s="889"/>
      <c r="B157" s="877"/>
      <c r="C157" s="891" t="str">
        <f>if(isblank(F157),"",'FL5_POR_包裝對照表 (Mapping Table)'!$E$4)</f>
        <v/>
      </c>
      <c r="D157" s="878" t="str">
        <f t="array" ref="D157">if(isblank(F157),"",xlookup(F157,'FL5_POR_包裝對照表 (Mapping Table)'!E:E,'FL5_POR_包裝對照表 (Mapping Table)'!AZ:AZ,"",0,1))</f>
        <v/>
      </c>
      <c r="E157" s="677" t="str">
        <f t="shared" si="2"/>
        <v/>
      </c>
      <c r="F157" s="879"/>
      <c r="G157" s="892" t="str">
        <f t="array" ref="G157">if(isblank(F157),"",xlookup(F157,'FL5_POR_包裝對照表 (Mapping Table)'!E:E,'FL5_POR_包裝對照表 (Mapping Table)'!D:D,"",0,1))</f>
        <v/>
      </c>
      <c r="H157" s="893" t="str">
        <f t="array" ref="H157">if(isblank(F157),"",xlookup(F157,'FL5_POR_包裝對照表 (Mapping Table)'!E:E,'FL5_POR_包裝對照表 (Mapping Table)'!E:E,"",0,1))</f>
        <v/>
      </c>
      <c r="I157" s="677" t="str">
        <f t="array" ref="I157">if(isblank(F157),"",xlookup(F157,'FL5_POR_包裝對照表 (Mapping Table)'!E:E,'FL5_POR_包裝對照表 (Mapping Table)'!AN:AN,"",0,1))</f>
        <v/>
      </c>
      <c r="J157" s="894" t="str">
        <f t="array" ref="J157">if(isblank(F157),"",xlookup(G157,z_Others!$B$5:$B$17,z_Others!$C$5:$C$17,"",0,1))</f>
        <v/>
      </c>
      <c r="K157" s="894" t="str">
        <f t="array" ref="K157">if(isblank(F157),"",xlookup(G157,z_Others!$B$5:$B$17,z_Others!$E$5:$E$17,"",0,1))</f>
        <v/>
      </c>
      <c r="L157" s="894" t="str">
        <f t="array" ref="L157">if(isblank(F157),"",xlookup(G157,z_Others!$B$5:$B$17,z_Others!$F$5:$F$17,"",0,1))</f>
        <v/>
      </c>
      <c r="M157" s="894" t="str">
        <f t="shared" si="3"/>
        <v/>
      </c>
      <c r="N157" s="894" t="str">
        <f t="shared" si="4"/>
        <v/>
      </c>
      <c r="O157" s="882" t="str">
        <f t="array" ref="O157">if(isblank(F157),"",xlookup(F157,'FL5_POR_包裝對照表 (Mapping Table)'!E:E,'FL5_POR_包裝對照表 (Mapping Table)'!L:L,"",0,1))</f>
        <v/>
      </c>
      <c r="P157" s="909" t="str">
        <f t="array" ref="P157">if(isblank(F157),"",xlookup(G157,z_Others!$B$5:$B$17,z_Others!$J$5:$J$17,"",0,1))</f>
        <v/>
      </c>
      <c r="Q157" s="899" t="str">
        <f t="array" ref="Q157">if(isblank(F157),"",xlookup(F157,'FL5_POR_核價 (經管 &amp; BPM)'!E:E,'FL5_POR_核價 (經管 &amp; BPM)'!O:O,"",0,1))</f>
        <v/>
      </c>
      <c r="R157" s="894" t="str">
        <f t="shared" si="5"/>
        <v/>
      </c>
      <c r="S157" s="894" t="str">
        <f t="array" ref="S157">if(isblank(F157),"",xlookup(G157,z_Others!$B$5:$B$17,z_Others!$K$5:$K$17,"",0,1))</f>
        <v/>
      </c>
      <c r="T157" s="894" t="str">
        <f t="shared" si="19"/>
        <v/>
      </c>
      <c r="U157" s="898" t="str">
        <f t="array" ref="U157">if(isblank(F157),"",xlookup(G157,z_Others!$B$5:$B$17,z_Others!$G$5:$G$17,"",0,1))</f>
        <v/>
      </c>
      <c r="V157" s="231" t="str">
        <f t="array" ref="V157">if(isblank(F157),"",xlookup(F157,'FL5_POR_包裝對照表 (Mapping Table)'!E:E,'FL5_POR_包裝對照表 (Mapping Table)'!AB:AB,"",0,1))</f>
        <v/>
      </c>
      <c r="W157" s="899" t="str">
        <f t="array" ref="W157">if(isblank(F157),"",xlookup(G157,z_Others!$B$5:$B$17,z_Others!$I$5:$I$17,"",0,1))</f>
        <v/>
      </c>
      <c r="X157" s="894" t="str">
        <f t="shared" si="7"/>
        <v/>
      </c>
      <c r="Y157" s="894" t="str">
        <f t="shared" si="8"/>
        <v/>
      </c>
      <c r="Z157" s="900" t="str">
        <f t="shared" si="9"/>
        <v/>
      </c>
      <c r="AA157" s="900" t="str">
        <f t="shared" si="10"/>
        <v/>
      </c>
      <c r="AB157" s="878" t="str">
        <f t="array" ref="AB157">if(isblank(F157),"",xlookup(AJ157,z_Others!$M$5:$M$9,z_Others!$Q$5:$Q$9,"",0,1))</f>
        <v/>
      </c>
      <c r="AC157" s="900" t="str">
        <f t="shared" si="11"/>
        <v/>
      </c>
      <c r="AD157" s="894" t="str">
        <f t="array" ref="AD157">if(isblank(F157),"",xlookup(G157,z_Others!$B$5:$B$14,z_Others!$H$5:$H$14,"",0,1))</f>
        <v/>
      </c>
      <c r="AE157" s="901" t="str">
        <f t="shared" si="12"/>
        <v/>
      </c>
      <c r="AF157" s="791"/>
      <c r="AG157" s="791" t="str">
        <f t="shared" si="20"/>
        <v/>
      </c>
      <c r="AH157" s="787"/>
      <c r="AI157" s="787"/>
      <c r="AJ157" s="677" t="str">
        <f t="array" ref="AJ157">if(isblank(F157),"",xlookup(F157,'FL5_POR_包裝對照表 (Mapping Table)'!E:E,'FL5_POR_包裝對照表 (Mapping Table)'!AS:AS,"",0,1))</f>
        <v/>
      </c>
      <c r="AK157" s="677" t="str">
        <f t="array" ref="AK157">if(isblank(F157),"",xlookup(F157,'FL5_POR_包裝對照表 (Mapping Table)'!E:E,'FL5_POR_包裝對照表 (Mapping Table)'!K:K,"",0,1))</f>
        <v/>
      </c>
      <c r="AL157" s="677"/>
      <c r="AM157" s="813"/>
      <c r="AN157" s="908"/>
      <c r="AO157" s="813"/>
      <c r="AP157" s="813"/>
    </row>
    <row r="158" ht="25.5" customHeight="1">
      <c r="A158" s="889"/>
      <c r="B158" s="877"/>
      <c r="C158" s="891" t="str">
        <f>if(isblank(F158),"",'FL5_POR_包裝對照表 (Mapping Table)'!$E$4)</f>
        <v/>
      </c>
      <c r="D158" s="878" t="str">
        <f t="array" ref="D158">if(isblank(F158),"",xlookup(F158,'FL5_POR_包裝對照表 (Mapping Table)'!E:E,'FL5_POR_包裝對照表 (Mapping Table)'!AZ:AZ,"",0,1))</f>
        <v/>
      </c>
      <c r="E158" s="677" t="str">
        <f t="shared" si="2"/>
        <v/>
      </c>
      <c r="F158" s="879"/>
      <c r="G158" s="892" t="str">
        <f t="array" ref="G158">if(isblank(F158),"",xlookup(F158,'FL5_POR_包裝對照表 (Mapping Table)'!E:E,'FL5_POR_包裝對照表 (Mapping Table)'!D:D,"",0,1))</f>
        <v/>
      </c>
      <c r="H158" s="893" t="str">
        <f t="array" ref="H158">if(isblank(F158),"",xlookup(F158,'FL5_POR_包裝對照表 (Mapping Table)'!E:E,'FL5_POR_包裝對照表 (Mapping Table)'!E:E,"",0,1))</f>
        <v/>
      </c>
      <c r="I158" s="677" t="str">
        <f t="array" ref="I158">if(isblank(F158),"",xlookup(F158,'FL5_POR_包裝對照表 (Mapping Table)'!E:E,'FL5_POR_包裝對照表 (Mapping Table)'!AN:AN,"",0,1))</f>
        <v/>
      </c>
      <c r="J158" s="894" t="str">
        <f t="array" ref="J158">if(isblank(F158),"",xlookup(G158,z_Others!$B$5:$B$17,z_Others!$C$5:$C$17,"",0,1))</f>
        <v/>
      </c>
      <c r="K158" s="894" t="str">
        <f t="array" ref="K158">if(isblank(F158),"",xlookup(G158,z_Others!$B$5:$B$17,z_Others!$E$5:$E$17,"",0,1))</f>
        <v/>
      </c>
      <c r="L158" s="894" t="str">
        <f t="array" ref="L158">if(isblank(F158),"",xlookup(G158,z_Others!$B$5:$B$17,z_Others!$F$5:$F$17,"",0,1))</f>
        <v/>
      </c>
      <c r="M158" s="894" t="str">
        <f t="shared" si="3"/>
        <v/>
      </c>
      <c r="N158" s="894" t="str">
        <f t="shared" si="4"/>
        <v/>
      </c>
      <c r="O158" s="882" t="str">
        <f t="array" ref="O158">if(isblank(F158),"",xlookup(F158,'FL5_POR_包裝對照表 (Mapping Table)'!E:E,'FL5_POR_包裝對照表 (Mapping Table)'!L:L,"",0,1))</f>
        <v/>
      </c>
      <c r="P158" s="909" t="str">
        <f t="array" ref="P158">if(isblank(F158),"",xlookup(G158,z_Others!$B$5:$B$17,z_Others!$J$5:$J$17,"",0,1))</f>
        <v/>
      </c>
      <c r="Q158" s="899" t="str">
        <f t="array" ref="Q158">if(isblank(F158),"",xlookup(F158,'FL5_POR_核價 (經管 &amp; BPM)'!E:E,'FL5_POR_核價 (經管 &amp; BPM)'!O:O,"",0,1))</f>
        <v/>
      </c>
      <c r="R158" s="894" t="str">
        <f t="shared" si="5"/>
        <v/>
      </c>
      <c r="S158" s="894" t="str">
        <f t="array" ref="S158">if(isblank(F158),"",xlookup(G158,z_Others!$B$5:$B$17,z_Others!$K$5:$K$17,"",0,1))</f>
        <v/>
      </c>
      <c r="T158" s="894" t="str">
        <f t="shared" si="19"/>
        <v/>
      </c>
      <c r="U158" s="898" t="str">
        <f t="array" ref="U158">if(isblank(F158),"",xlookup(G158,z_Others!$B$5:$B$17,z_Others!$G$5:$G$17,"",0,1))</f>
        <v/>
      </c>
      <c r="V158" s="231" t="str">
        <f t="array" ref="V158">if(isblank(F158),"",xlookup(F158,'FL5_POR_包裝對照表 (Mapping Table)'!E:E,'FL5_POR_包裝對照表 (Mapping Table)'!AB:AB,"",0,1))</f>
        <v/>
      </c>
      <c r="W158" s="899" t="str">
        <f t="array" ref="W158">if(isblank(F158),"",xlookup(G158,z_Others!$B$5:$B$17,z_Others!$I$5:$I$17,"",0,1))</f>
        <v/>
      </c>
      <c r="X158" s="894" t="str">
        <f t="shared" si="7"/>
        <v/>
      </c>
      <c r="Y158" s="894" t="str">
        <f t="shared" si="8"/>
        <v/>
      </c>
      <c r="Z158" s="900" t="str">
        <f t="shared" si="9"/>
        <v/>
      </c>
      <c r="AA158" s="900" t="str">
        <f t="shared" si="10"/>
        <v/>
      </c>
      <c r="AB158" s="878" t="str">
        <f t="array" ref="AB158">if(isblank(F158),"",xlookup(AJ158,z_Others!$M$5:$M$9,z_Others!$Q$5:$Q$9,"",0,1))</f>
        <v/>
      </c>
      <c r="AC158" s="900" t="str">
        <f t="shared" si="11"/>
        <v/>
      </c>
      <c r="AD158" s="894" t="str">
        <f t="array" ref="AD158">if(isblank(F158),"",xlookup(G158,z_Others!$B$5:$B$14,z_Others!$H$5:$H$14,"",0,1))</f>
        <v/>
      </c>
      <c r="AE158" s="901" t="str">
        <f t="shared" si="12"/>
        <v/>
      </c>
      <c r="AF158" s="791"/>
      <c r="AG158" s="791" t="str">
        <f t="shared" si="20"/>
        <v/>
      </c>
      <c r="AH158" s="787"/>
      <c r="AI158" s="787"/>
      <c r="AJ158" s="677" t="str">
        <f t="array" ref="AJ158">if(isblank(F158),"",xlookup(F158,'FL5_POR_包裝對照表 (Mapping Table)'!E:E,'FL5_POR_包裝對照表 (Mapping Table)'!AS:AS,"",0,1))</f>
        <v/>
      </c>
      <c r="AK158" s="677" t="str">
        <f t="array" ref="AK158">if(isblank(F158),"",xlookup(F158,'FL5_POR_包裝對照表 (Mapping Table)'!E:E,'FL5_POR_包裝對照表 (Mapping Table)'!K:K,"",0,1))</f>
        <v/>
      </c>
      <c r="AL158" s="677"/>
      <c r="AM158" s="813"/>
      <c r="AN158" s="908"/>
      <c r="AO158" s="813"/>
      <c r="AP158" s="813"/>
    </row>
    <row r="159" ht="25.5" customHeight="1">
      <c r="A159" s="889"/>
      <c r="B159" s="877"/>
      <c r="C159" s="891" t="str">
        <f>if(isblank(F159),"",'FL5_POR_包裝對照表 (Mapping Table)'!$E$4)</f>
        <v/>
      </c>
      <c r="D159" s="878" t="str">
        <f t="array" ref="D159">if(isblank(F159),"",xlookup(F159,'FL5_POR_包裝對照表 (Mapping Table)'!E:E,'FL5_POR_包裝對照表 (Mapping Table)'!AZ:AZ,"",0,1))</f>
        <v/>
      </c>
      <c r="E159" s="677" t="str">
        <f t="shared" si="2"/>
        <v/>
      </c>
      <c r="F159" s="879"/>
      <c r="G159" s="892" t="str">
        <f t="array" ref="G159">if(isblank(F159),"",xlookup(F159,'FL5_POR_包裝對照表 (Mapping Table)'!E:E,'FL5_POR_包裝對照表 (Mapping Table)'!D:D,"",0,1))</f>
        <v/>
      </c>
      <c r="H159" s="893" t="str">
        <f t="array" ref="H159">if(isblank(F159),"",xlookup(F159,'FL5_POR_包裝對照表 (Mapping Table)'!E:E,'FL5_POR_包裝對照表 (Mapping Table)'!E:E,"",0,1))</f>
        <v/>
      </c>
      <c r="I159" s="677" t="str">
        <f t="array" ref="I159">if(isblank(F159),"",xlookup(F159,'FL5_POR_包裝對照表 (Mapping Table)'!E:E,'FL5_POR_包裝對照表 (Mapping Table)'!AN:AN,"",0,1))</f>
        <v/>
      </c>
      <c r="J159" s="894" t="str">
        <f t="array" ref="J159">if(isblank(F159),"",xlookup(G159,z_Others!$B$5:$B$17,z_Others!$C$5:$C$17,"",0,1))</f>
        <v/>
      </c>
      <c r="K159" s="894" t="str">
        <f t="array" ref="K159">if(isblank(F159),"",xlookup(G159,z_Others!$B$5:$B$17,z_Others!$E$5:$E$17,"",0,1))</f>
        <v/>
      </c>
      <c r="L159" s="894" t="str">
        <f t="array" ref="L159">if(isblank(F159),"",xlookup(G159,z_Others!$B$5:$B$17,z_Others!$F$5:$F$17,"",0,1))</f>
        <v/>
      </c>
      <c r="M159" s="894" t="str">
        <f t="shared" si="3"/>
        <v/>
      </c>
      <c r="N159" s="894" t="str">
        <f t="shared" si="4"/>
        <v/>
      </c>
      <c r="O159" s="882" t="str">
        <f t="array" ref="O159">if(isblank(F159),"",xlookup(F159,'FL5_POR_包裝對照表 (Mapping Table)'!E:E,'FL5_POR_包裝對照表 (Mapping Table)'!L:L,"",0,1))</f>
        <v/>
      </c>
      <c r="P159" s="909" t="str">
        <f t="array" ref="P159">if(isblank(F159),"",xlookup(G159,z_Others!$B$5:$B$17,z_Others!$J$5:$J$17,"",0,1))</f>
        <v/>
      </c>
      <c r="Q159" s="899" t="str">
        <f t="array" ref="Q159">if(isblank(F159),"",xlookup(F159,'FL5_POR_核價 (經管 &amp; BPM)'!E:E,'FL5_POR_核價 (經管 &amp; BPM)'!O:O,"",0,1))</f>
        <v/>
      </c>
      <c r="R159" s="894" t="str">
        <f t="shared" si="5"/>
        <v/>
      </c>
      <c r="S159" s="894" t="str">
        <f t="array" ref="S159">if(isblank(F159),"",xlookup(G159,z_Others!$B$5:$B$17,z_Others!$K$5:$K$17,"",0,1))</f>
        <v/>
      </c>
      <c r="T159" s="894" t="str">
        <f t="shared" si="19"/>
        <v/>
      </c>
      <c r="U159" s="898" t="str">
        <f t="array" ref="U159">if(isblank(F159),"",xlookup(G159,z_Others!$B$5:$B$17,z_Others!$G$5:$G$17,"",0,1))</f>
        <v/>
      </c>
      <c r="V159" s="231" t="str">
        <f t="array" ref="V159">if(isblank(F159),"",xlookup(F159,'FL5_POR_包裝對照表 (Mapping Table)'!E:E,'FL5_POR_包裝對照表 (Mapping Table)'!AB:AB,"",0,1))</f>
        <v/>
      </c>
      <c r="W159" s="899" t="str">
        <f t="array" ref="W159">if(isblank(F159),"",xlookup(G159,z_Others!$B$5:$B$17,z_Others!$I$5:$I$17,"",0,1))</f>
        <v/>
      </c>
      <c r="X159" s="894" t="str">
        <f t="shared" si="7"/>
        <v/>
      </c>
      <c r="Y159" s="894" t="str">
        <f t="shared" si="8"/>
        <v/>
      </c>
      <c r="Z159" s="900" t="str">
        <f t="shared" si="9"/>
        <v/>
      </c>
      <c r="AA159" s="900" t="str">
        <f t="shared" si="10"/>
        <v/>
      </c>
      <c r="AB159" s="878" t="str">
        <f t="array" ref="AB159">if(isblank(F159),"",xlookup(AJ159,z_Others!$M$5:$M$9,z_Others!$Q$5:$Q$9,"",0,1))</f>
        <v/>
      </c>
      <c r="AC159" s="900" t="str">
        <f t="shared" si="11"/>
        <v/>
      </c>
      <c r="AD159" s="894" t="str">
        <f t="array" ref="AD159">if(isblank(F159),"",xlookup(G159,z_Others!$B$5:$B$14,z_Others!$H$5:$H$14,"",0,1))</f>
        <v/>
      </c>
      <c r="AE159" s="901" t="str">
        <f t="shared" si="12"/>
        <v/>
      </c>
      <c r="AF159" s="791"/>
      <c r="AG159" s="791" t="str">
        <f t="shared" si="20"/>
        <v/>
      </c>
      <c r="AH159" s="787"/>
      <c r="AI159" s="787"/>
      <c r="AJ159" s="677" t="str">
        <f t="array" ref="AJ159">if(isblank(F159),"",xlookup(F159,'FL5_POR_包裝對照表 (Mapping Table)'!E:E,'FL5_POR_包裝對照表 (Mapping Table)'!AS:AS,"",0,1))</f>
        <v/>
      </c>
      <c r="AK159" s="677" t="str">
        <f t="array" ref="AK159">if(isblank(F159),"",xlookup(F159,'FL5_POR_包裝對照表 (Mapping Table)'!E:E,'FL5_POR_包裝對照表 (Mapping Table)'!K:K,"",0,1))</f>
        <v/>
      </c>
      <c r="AL159" s="677"/>
      <c r="AM159" s="813"/>
      <c r="AN159" s="908"/>
      <c r="AO159" s="813"/>
      <c r="AP159" s="813"/>
    </row>
    <row r="160" ht="25.5" customHeight="1">
      <c r="A160" s="889"/>
      <c r="B160" s="877"/>
      <c r="C160" s="891" t="str">
        <f>if(isblank(F160),"",'FL5_POR_包裝對照表 (Mapping Table)'!$E$4)</f>
        <v/>
      </c>
      <c r="D160" s="878" t="str">
        <f t="array" ref="D160">if(isblank(F160),"",xlookup(F160,'FL5_POR_包裝對照表 (Mapping Table)'!E:E,'FL5_POR_包裝對照表 (Mapping Table)'!AZ:AZ,"",0,1))</f>
        <v/>
      </c>
      <c r="E160" s="677" t="str">
        <f t="shared" si="2"/>
        <v/>
      </c>
      <c r="F160" s="879"/>
      <c r="G160" s="892" t="str">
        <f t="array" ref="G160">if(isblank(F160),"",xlookup(F160,'FL5_POR_包裝對照表 (Mapping Table)'!E:E,'FL5_POR_包裝對照表 (Mapping Table)'!D:D,"",0,1))</f>
        <v/>
      </c>
      <c r="H160" s="893" t="str">
        <f t="array" ref="H160">if(isblank(F160),"",xlookup(F160,'FL5_POR_包裝對照表 (Mapping Table)'!E:E,'FL5_POR_包裝對照表 (Mapping Table)'!E:E,"",0,1))</f>
        <v/>
      </c>
      <c r="I160" s="677" t="str">
        <f t="array" ref="I160">if(isblank(F160),"",xlookup(F160,'FL5_POR_包裝對照表 (Mapping Table)'!E:E,'FL5_POR_包裝對照表 (Mapping Table)'!AN:AN,"",0,1))</f>
        <v/>
      </c>
      <c r="J160" s="894" t="str">
        <f t="array" ref="J160">if(isblank(F160),"",xlookup(G160,z_Others!$B$5:$B$17,z_Others!$C$5:$C$17,"",0,1))</f>
        <v/>
      </c>
      <c r="K160" s="894" t="str">
        <f t="array" ref="K160">if(isblank(F160),"",xlookup(G160,z_Others!$B$5:$B$17,z_Others!$E$5:$E$17,"",0,1))</f>
        <v/>
      </c>
      <c r="L160" s="894" t="str">
        <f t="array" ref="L160">if(isblank(F160),"",xlookup(G160,z_Others!$B$5:$B$17,z_Others!$F$5:$F$17,"",0,1))</f>
        <v/>
      </c>
      <c r="M160" s="894" t="str">
        <f t="shared" si="3"/>
        <v/>
      </c>
      <c r="N160" s="894" t="str">
        <f t="shared" si="4"/>
        <v/>
      </c>
      <c r="O160" s="882" t="str">
        <f t="array" ref="O160">if(isblank(F160),"",xlookup(F160,'FL5_POR_包裝對照表 (Mapping Table)'!E:E,'FL5_POR_包裝對照表 (Mapping Table)'!L:L,"",0,1))</f>
        <v/>
      </c>
      <c r="P160" s="909" t="str">
        <f t="array" ref="P160">if(isblank(F160),"",xlookup(G160,z_Others!$B$5:$B$17,z_Others!$J$5:$J$17,"",0,1))</f>
        <v/>
      </c>
      <c r="Q160" s="899" t="str">
        <f t="array" ref="Q160">if(isblank(F160),"",xlookup(F160,'FL5_POR_核價 (經管 &amp; BPM)'!E:E,'FL5_POR_核價 (經管 &amp; BPM)'!O:O,"",0,1))</f>
        <v/>
      </c>
      <c r="R160" s="894" t="str">
        <f t="shared" si="5"/>
        <v/>
      </c>
      <c r="S160" s="894" t="str">
        <f t="array" ref="S160">if(isblank(F160),"",xlookup(G160,z_Others!$B$5:$B$17,z_Others!$K$5:$K$17,"",0,1))</f>
        <v/>
      </c>
      <c r="T160" s="894" t="str">
        <f t="shared" si="19"/>
        <v/>
      </c>
      <c r="U160" s="898" t="str">
        <f t="array" ref="U160">if(isblank(F160),"",xlookup(G160,z_Others!$B$5:$B$17,z_Others!$G$5:$G$17,"",0,1))</f>
        <v/>
      </c>
      <c r="V160" s="231" t="str">
        <f t="array" ref="V160">if(isblank(F160),"",xlookup(F160,'FL5_POR_包裝對照表 (Mapping Table)'!E:E,'FL5_POR_包裝對照表 (Mapping Table)'!AB:AB,"",0,1))</f>
        <v/>
      </c>
      <c r="W160" s="899" t="str">
        <f t="array" ref="W160">if(isblank(F160),"",xlookup(G160,z_Others!$B$5:$B$17,z_Others!$I$5:$I$17,"",0,1))</f>
        <v/>
      </c>
      <c r="X160" s="894" t="str">
        <f t="shared" si="7"/>
        <v/>
      </c>
      <c r="Y160" s="894" t="str">
        <f t="shared" si="8"/>
        <v/>
      </c>
      <c r="Z160" s="900" t="str">
        <f t="shared" si="9"/>
        <v/>
      </c>
      <c r="AA160" s="900" t="str">
        <f t="shared" si="10"/>
        <v/>
      </c>
      <c r="AB160" s="878" t="str">
        <f t="array" ref="AB160">if(isblank(F160),"",xlookup(AJ160,z_Others!$M$5:$M$9,z_Others!$Q$5:$Q$9,"",0,1))</f>
        <v/>
      </c>
      <c r="AC160" s="900" t="str">
        <f t="shared" si="11"/>
        <v/>
      </c>
      <c r="AD160" s="894" t="str">
        <f t="array" ref="AD160">if(isblank(F160),"",xlookup(G160,z_Others!$B$5:$B$14,z_Others!$H$5:$H$14,"",0,1))</f>
        <v/>
      </c>
      <c r="AE160" s="901" t="str">
        <f t="shared" si="12"/>
        <v/>
      </c>
      <c r="AF160" s="791"/>
      <c r="AG160" s="791" t="str">
        <f t="shared" si="20"/>
        <v/>
      </c>
      <c r="AH160" s="787"/>
      <c r="AI160" s="787"/>
      <c r="AJ160" s="677" t="str">
        <f t="array" ref="AJ160">if(isblank(F160),"",xlookup(F160,'FL5_POR_包裝對照表 (Mapping Table)'!E:E,'FL5_POR_包裝對照表 (Mapping Table)'!AS:AS,"",0,1))</f>
        <v/>
      </c>
      <c r="AK160" s="677" t="str">
        <f t="array" ref="AK160">if(isblank(F160),"",xlookup(F160,'FL5_POR_包裝對照表 (Mapping Table)'!E:E,'FL5_POR_包裝對照表 (Mapping Table)'!K:K,"",0,1))</f>
        <v/>
      </c>
      <c r="AL160" s="677"/>
      <c r="AM160" s="813"/>
      <c r="AN160" s="908"/>
      <c r="AO160" s="813"/>
      <c r="AP160" s="813"/>
    </row>
    <row r="161" ht="25.5" customHeight="1">
      <c r="A161" s="889"/>
      <c r="B161" s="877"/>
      <c r="C161" s="891" t="str">
        <f>if(isblank(F161),"",'FL5_POR_包裝對照表 (Mapping Table)'!$E$4)</f>
        <v/>
      </c>
      <c r="D161" s="878" t="str">
        <f t="array" ref="D161">if(isblank(F161),"",xlookup(F161,'FL5_POR_包裝對照表 (Mapping Table)'!E:E,'FL5_POR_包裝對照表 (Mapping Table)'!AZ:AZ,"",0,1))</f>
        <v/>
      </c>
      <c r="E161" s="677" t="str">
        <f t="shared" si="2"/>
        <v/>
      </c>
      <c r="F161" s="879"/>
      <c r="G161" s="892" t="str">
        <f t="array" ref="G161">if(isblank(F161),"",xlookup(F161,'FL5_POR_包裝對照表 (Mapping Table)'!E:E,'FL5_POR_包裝對照表 (Mapping Table)'!D:D,"",0,1))</f>
        <v/>
      </c>
      <c r="H161" s="893" t="str">
        <f t="array" ref="H161">if(isblank(F161),"",xlookup(F161,'FL5_POR_包裝對照表 (Mapping Table)'!E:E,'FL5_POR_包裝對照表 (Mapping Table)'!E:E,"",0,1))</f>
        <v/>
      </c>
      <c r="I161" s="677" t="str">
        <f t="array" ref="I161">if(isblank(F161),"",xlookup(F161,'FL5_POR_包裝對照表 (Mapping Table)'!E:E,'FL5_POR_包裝對照表 (Mapping Table)'!AN:AN,"",0,1))</f>
        <v/>
      </c>
      <c r="J161" s="894" t="str">
        <f t="array" ref="J161">if(isblank(F161),"",xlookup(G161,z_Others!$B$5:$B$17,z_Others!$C$5:$C$17,"",0,1))</f>
        <v/>
      </c>
      <c r="K161" s="894" t="str">
        <f t="array" ref="K161">if(isblank(F161),"",xlookup(G161,z_Others!$B$5:$B$17,z_Others!$E$5:$E$17,"",0,1))</f>
        <v/>
      </c>
      <c r="L161" s="894" t="str">
        <f t="array" ref="L161">if(isblank(F161),"",xlookup(G161,z_Others!$B$5:$B$17,z_Others!$F$5:$F$17,"",0,1))</f>
        <v/>
      </c>
      <c r="M161" s="894" t="str">
        <f t="shared" si="3"/>
        <v/>
      </c>
      <c r="N161" s="894" t="str">
        <f t="shared" si="4"/>
        <v/>
      </c>
      <c r="O161" s="882" t="str">
        <f t="array" ref="O161">if(isblank(F161),"",xlookup(F161,'FL5_POR_包裝對照表 (Mapping Table)'!E:E,'FL5_POR_包裝對照表 (Mapping Table)'!L:L,"",0,1))</f>
        <v/>
      </c>
      <c r="P161" s="909" t="str">
        <f t="array" ref="P161">if(isblank(F161),"",xlookup(G161,z_Others!$B$5:$B$17,z_Others!$J$5:$J$17,"",0,1))</f>
        <v/>
      </c>
      <c r="Q161" s="899" t="str">
        <f t="array" ref="Q161">if(isblank(F161),"",xlookup(F161,'FL5_POR_核價 (經管 &amp; BPM)'!E:E,'FL5_POR_核價 (經管 &amp; BPM)'!O:O,"",0,1))</f>
        <v/>
      </c>
      <c r="R161" s="894" t="str">
        <f t="shared" si="5"/>
        <v/>
      </c>
      <c r="S161" s="894" t="str">
        <f t="array" ref="S161">if(isblank(F161),"",xlookup(G161,z_Others!$B$5:$B$17,z_Others!$K$5:$K$17,"",0,1))</f>
        <v/>
      </c>
      <c r="T161" s="894" t="str">
        <f t="shared" si="19"/>
        <v/>
      </c>
      <c r="U161" s="898" t="str">
        <f t="array" ref="U161">if(isblank(F161),"",xlookup(G161,z_Others!$B$5:$B$17,z_Others!$G$5:$G$17,"",0,1))</f>
        <v/>
      </c>
      <c r="V161" s="231" t="str">
        <f t="array" ref="V161">if(isblank(F161),"",xlookup(F161,'FL5_POR_包裝對照表 (Mapping Table)'!E:E,'FL5_POR_包裝對照表 (Mapping Table)'!AB:AB,"",0,1))</f>
        <v/>
      </c>
      <c r="W161" s="899" t="str">
        <f t="array" ref="W161">if(isblank(F161),"",xlookup(G161,z_Others!$B$5:$B$17,z_Others!$I$5:$I$17,"",0,1))</f>
        <v/>
      </c>
      <c r="X161" s="894" t="str">
        <f t="shared" si="7"/>
        <v/>
      </c>
      <c r="Y161" s="894" t="str">
        <f t="shared" si="8"/>
        <v/>
      </c>
      <c r="Z161" s="900" t="str">
        <f t="shared" si="9"/>
        <v/>
      </c>
      <c r="AA161" s="900" t="str">
        <f t="shared" si="10"/>
        <v/>
      </c>
      <c r="AB161" s="878" t="str">
        <f t="array" ref="AB161">if(isblank(F161),"",xlookup(AJ161,z_Others!$M$5:$M$9,z_Others!$Q$5:$Q$9,"",0,1))</f>
        <v/>
      </c>
      <c r="AC161" s="900" t="str">
        <f t="shared" si="11"/>
        <v/>
      </c>
      <c r="AD161" s="894" t="str">
        <f t="array" ref="AD161">if(isblank(F161),"",xlookup(G161,z_Others!$B$5:$B$14,z_Others!$H$5:$H$14,"",0,1))</f>
        <v/>
      </c>
      <c r="AE161" s="901" t="str">
        <f t="shared" si="12"/>
        <v/>
      </c>
      <c r="AF161" s="791"/>
      <c r="AG161" s="791" t="str">
        <f t="shared" si="20"/>
        <v/>
      </c>
      <c r="AH161" s="787"/>
      <c r="AI161" s="787"/>
      <c r="AJ161" s="677" t="str">
        <f t="array" ref="AJ161">if(isblank(F161),"",xlookup(F161,'FL5_POR_包裝對照表 (Mapping Table)'!E:E,'FL5_POR_包裝對照表 (Mapping Table)'!AS:AS,"",0,1))</f>
        <v/>
      </c>
      <c r="AK161" s="677" t="str">
        <f t="array" ref="AK161">if(isblank(F161),"",xlookup(F161,'FL5_POR_包裝對照表 (Mapping Table)'!E:E,'FL5_POR_包裝對照表 (Mapping Table)'!K:K,"",0,1))</f>
        <v/>
      </c>
      <c r="AL161" s="677"/>
      <c r="AM161" s="813"/>
      <c r="AN161" s="908"/>
      <c r="AO161" s="813"/>
      <c r="AP161" s="813"/>
    </row>
    <row r="162" ht="25.5" customHeight="1">
      <c r="A162" s="889"/>
      <c r="B162" s="877"/>
      <c r="C162" s="891" t="str">
        <f>if(isblank(F162),"",'FL5_POR_包裝對照表 (Mapping Table)'!$E$4)</f>
        <v/>
      </c>
      <c r="D162" s="878" t="str">
        <f t="array" ref="D162">if(isblank(F162),"",xlookup(F162,'FL5_POR_包裝對照表 (Mapping Table)'!E:E,'FL5_POR_包裝對照表 (Mapping Table)'!AZ:AZ,"",0,1))</f>
        <v/>
      </c>
      <c r="E162" s="677" t="str">
        <f t="shared" si="2"/>
        <v/>
      </c>
      <c r="F162" s="879"/>
      <c r="G162" s="892" t="str">
        <f t="array" ref="G162">if(isblank(F162),"",xlookup(F162,'FL5_POR_包裝對照表 (Mapping Table)'!E:E,'FL5_POR_包裝對照表 (Mapping Table)'!D:D,"",0,1))</f>
        <v/>
      </c>
      <c r="H162" s="893" t="str">
        <f t="array" ref="H162">if(isblank(F162),"",xlookup(F162,'FL5_POR_包裝對照表 (Mapping Table)'!E:E,'FL5_POR_包裝對照表 (Mapping Table)'!E:E,"",0,1))</f>
        <v/>
      </c>
      <c r="I162" s="677" t="str">
        <f t="array" ref="I162">if(isblank(F162),"",xlookup(F162,'FL5_POR_包裝對照表 (Mapping Table)'!E:E,'FL5_POR_包裝對照表 (Mapping Table)'!AN:AN,"",0,1))</f>
        <v/>
      </c>
      <c r="J162" s="894" t="str">
        <f t="array" ref="J162">if(isblank(F162),"",xlookup(G162,z_Others!$B$5:$B$17,z_Others!$C$5:$C$17,"",0,1))</f>
        <v/>
      </c>
      <c r="K162" s="894" t="str">
        <f t="array" ref="K162">if(isblank(F162),"",xlookup(G162,z_Others!$B$5:$B$17,z_Others!$E$5:$E$17,"",0,1))</f>
        <v/>
      </c>
      <c r="L162" s="894" t="str">
        <f t="array" ref="L162">if(isblank(F162),"",xlookup(G162,z_Others!$B$5:$B$17,z_Others!$F$5:$F$17,"",0,1))</f>
        <v/>
      </c>
      <c r="M162" s="894" t="str">
        <f t="shared" si="3"/>
        <v/>
      </c>
      <c r="N162" s="894" t="str">
        <f t="shared" si="4"/>
        <v/>
      </c>
      <c r="O162" s="882" t="str">
        <f t="array" ref="O162">if(isblank(F162),"",xlookup(F162,'FL5_POR_包裝對照表 (Mapping Table)'!E:E,'FL5_POR_包裝對照表 (Mapping Table)'!L:L,"",0,1))</f>
        <v/>
      </c>
      <c r="P162" s="909" t="str">
        <f t="array" ref="P162">if(isblank(F162),"",xlookup(G162,z_Others!$B$5:$B$17,z_Others!$J$5:$J$17,"",0,1))</f>
        <v/>
      </c>
      <c r="Q162" s="899" t="str">
        <f t="array" ref="Q162">if(isblank(F162),"",xlookup(F162,'FL5_POR_核價 (經管 &amp; BPM)'!E:E,'FL5_POR_核價 (經管 &amp; BPM)'!O:O,"",0,1))</f>
        <v/>
      </c>
      <c r="R162" s="894" t="str">
        <f t="shared" si="5"/>
        <v/>
      </c>
      <c r="S162" s="894" t="str">
        <f t="array" ref="S162">if(isblank(F162),"",xlookup(G162,z_Others!$B$5:$B$17,z_Others!$K$5:$K$17,"",0,1))</f>
        <v/>
      </c>
      <c r="T162" s="894" t="str">
        <f t="shared" si="19"/>
        <v/>
      </c>
      <c r="U162" s="898" t="str">
        <f t="array" ref="U162">if(isblank(F162),"",xlookup(G162,z_Others!$B$5:$B$17,z_Others!$G$5:$G$17,"",0,1))</f>
        <v/>
      </c>
      <c r="V162" s="231" t="str">
        <f t="array" ref="V162">if(isblank(F162),"",xlookup(F162,'FL5_POR_包裝對照表 (Mapping Table)'!E:E,'FL5_POR_包裝對照表 (Mapping Table)'!AB:AB,"",0,1))</f>
        <v/>
      </c>
      <c r="W162" s="899" t="str">
        <f t="array" ref="W162">if(isblank(F162),"",xlookup(G162,z_Others!$B$5:$B$17,z_Others!$I$5:$I$17,"",0,1))</f>
        <v/>
      </c>
      <c r="X162" s="894" t="str">
        <f t="shared" si="7"/>
        <v/>
      </c>
      <c r="Y162" s="894" t="str">
        <f t="shared" si="8"/>
        <v/>
      </c>
      <c r="Z162" s="900" t="str">
        <f t="shared" si="9"/>
        <v/>
      </c>
      <c r="AA162" s="900" t="str">
        <f t="shared" si="10"/>
        <v/>
      </c>
      <c r="AB162" s="878" t="str">
        <f t="array" ref="AB162">if(isblank(F162),"",xlookup(AJ162,z_Others!$M$5:$M$9,z_Others!$Q$5:$Q$9,"",0,1))</f>
        <v/>
      </c>
      <c r="AC162" s="900" t="str">
        <f t="shared" si="11"/>
        <v/>
      </c>
      <c r="AD162" s="894" t="str">
        <f t="array" ref="AD162">if(isblank(F162),"",xlookup(G162,z_Others!$B$5:$B$14,z_Others!$H$5:$H$14,"",0,1))</f>
        <v/>
      </c>
      <c r="AE162" s="901" t="str">
        <f t="shared" si="12"/>
        <v/>
      </c>
      <c r="AF162" s="791"/>
      <c r="AG162" s="791" t="str">
        <f t="shared" si="20"/>
        <v/>
      </c>
      <c r="AH162" s="787"/>
      <c r="AI162" s="787"/>
      <c r="AJ162" s="677" t="str">
        <f t="array" ref="AJ162">if(isblank(F162),"",xlookup(F162,'FL5_POR_包裝對照表 (Mapping Table)'!E:E,'FL5_POR_包裝對照表 (Mapping Table)'!AS:AS,"",0,1))</f>
        <v/>
      </c>
      <c r="AK162" s="677" t="str">
        <f t="array" ref="AK162">if(isblank(F162),"",xlookup(F162,'FL5_POR_包裝對照表 (Mapping Table)'!E:E,'FL5_POR_包裝對照表 (Mapping Table)'!K:K,"",0,1))</f>
        <v/>
      </c>
      <c r="AL162" s="677"/>
      <c r="AM162" s="813"/>
      <c r="AN162" s="908"/>
      <c r="AO162" s="813"/>
      <c r="AP162" s="813"/>
    </row>
    <row r="163" ht="25.5" customHeight="1">
      <c r="A163" s="889"/>
      <c r="B163" s="877"/>
      <c r="C163" s="891" t="str">
        <f>if(isblank(F163),"",'FL5_POR_包裝對照表 (Mapping Table)'!$E$4)</f>
        <v/>
      </c>
      <c r="D163" s="878" t="str">
        <f t="array" ref="D163">if(isblank(F163),"",xlookup(F163,'FL5_POR_包裝對照表 (Mapping Table)'!E:E,'FL5_POR_包裝對照表 (Mapping Table)'!AZ:AZ,"",0,1))</f>
        <v/>
      </c>
      <c r="E163" s="677" t="str">
        <f t="shared" si="2"/>
        <v/>
      </c>
      <c r="F163" s="879"/>
      <c r="G163" s="892" t="str">
        <f t="array" ref="G163">if(isblank(F163),"",xlookup(F163,'FL5_POR_包裝對照表 (Mapping Table)'!E:E,'FL5_POR_包裝對照表 (Mapping Table)'!D:D,"",0,1))</f>
        <v/>
      </c>
      <c r="H163" s="893" t="str">
        <f t="array" ref="H163">if(isblank(F163),"",xlookup(F163,'FL5_POR_包裝對照表 (Mapping Table)'!E:E,'FL5_POR_包裝對照表 (Mapping Table)'!E:E,"",0,1))</f>
        <v/>
      </c>
      <c r="I163" s="677" t="str">
        <f t="array" ref="I163">if(isblank(F163),"",xlookup(F163,'FL5_POR_包裝對照表 (Mapping Table)'!E:E,'FL5_POR_包裝對照表 (Mapping Table)'!AN:AN,"",0,1))</f>
        <v/>
      </c>
      <c r="J163" s="894" t="str">
        <f t="array" ref="J163">if(isblank(F163),"",xlookup(G163,z_Others!$B$5:$B$17,z_Others!$C$5:$C$17,"",0,1))</f>
        <v/>
      </c>
      <c r="K163" s="894" t="str">
        <f t="array" ref="K163">if(isblank(F163),"",xlookup(G163,z_Others!$B$5:$B$17,z_Others!$E$5:$E$17,"",0,1))</f>
        <v/>
      </c>
      <c r="L163" s="894" t="str">
        <f t="array" ref="L163">if(isblank(F163),"",xlookup(G163,z_Others!$B$5:$B$17,z_Others!$F$5:$F$17,"",0,1))</f>
        <v/>
      </c>
      <c r="M163" s="894" t="str">
        <f t="shared" si="3"/>
        <v/>
      </c>
      <c r="N163" s="894" t="str">
        <f t="shared" si="4"/>
        <v/>
      </c>
      <c r="O163" s="882" t="str">
        <f t="array" ref="O163">if(isblank(F163),"",xlookup(F163,'FL5_POR_包裝對照表 (Mapping Table)'!E:E,'FL5_POR_包裝對照表 (Mapping Table)'!L:L,"",0,1))</f>
        <v/>
      </c>
      <c r="P163" s="909" t="str">
        <f t="array" ref="P163">if(isblank(F163),"",xlookup(G163,z_Others!$B$5:$B$17,z_Others!$J$5:$J$17,"",0,1))</f>
        <v/>
      </c>
      <c r="Q163" s="899" t="str">
        <f t="array" ref="Q163">if(isblank(F163),"",xlookup(F163,'FL5_POR_核價 (經管 &amp; BPM)'!E:E,'FL5_POR_核價 (經管 &amp; BPM)'!O:O,"",0,1))</f>
        <v/>
      </c>
      <c r="R163" s="894" t="str">
        <f t="shared" si="5"/>
        <v/>
      </c>
      <c r="S163" s="894" t="str">
        <f t="array" ref="S163">if(isblank(F163),"",xlookup(G163,z_Others!$B$5:$B$17,z_Others!$K$5:$K$17,"",0,1))</f>
        <v/>
      </c>
      <c r="T163" s="894" t="str">
        <f t="shared" si="19"/>
        <v/>
      </c>
      <c r="U163" s="898" t="str">
        <f t="array" ref="U163">if(isblank(F163),"",xlookup(G163,z_Others!$B$5:$B$17,z_Others!$G$5:$G$17,"",0,1))</f>
        <v/>
      </c>
      <c r="V163" s="231" t="str">
        <f t="array" ref="V163">if(isblank(F163),"",xlookup(F163,'FL5_POR_包裝對照表 (Mapping Table)'!E:E,'FL5_POR_包裝對照表 (Mapping Table)'!AB:AB,"",0,1))</f>
        <v/>
      </c>
      <c r="W163" s="899" t="str">
        <f t="array" ref="W163">if(isblank(F163),"",xlookup(G163,z_Others!$B$5:$B$17,z_Others!$I$5:$I$17,"",0,1))</f>
        <v/>
      </c>
      <c r="X163" s="894" t="str">
        <f t="shared" si="7"/>
        <v/>
      </c>
      <c r="Y163" s="894" t="str">
        <f t="shared" si="8"/>
        <v/>
      </c>
      <c r="Z163" s="900" t="str">
        <f t="shared" si="9"/>
        <v/>
      </c>
      <c r="AA163" s="900" t="str">
        <f t="shared" si="10"/>
        <v/>
      </c>
      <c r="AB163" s="878" t="str">
        <f t="array" ref="AB163">if(isblank(F163),"",xlookup(AJ163,z_Others!$M$5:$M$9,z_Others!$Q$5:$Q$9,"",0,1))</f>
        <v/>
      </c>
      <c r="AC163" s="900" t="str">
        <f t="shared" si="11"/>
        <v/>
      </c>
      <c r="AD163" s="894" t="str">
        <f t="array" ref="AD163">if(isblank(F163),"",xlookup(G163,z_Others!$B$5:$B$14,z_Others!$H$5:$H$14,"",0,1))</f>
        <v/>
      </c>
      <c r="AE163" s="901" t="str">
        <f t="shared" si="12"/>
        <v/>
      </c>
      <c r="AF163" s="791"/>
      <c r="AG163" s="791" t="str">
        <f t="shared" si="20"/>
        <v/>
      </c>
      <c r="AH163" s="787"/>
      <c r="AI163" s="787"/>
      <c r="AJ163" s="677" t="str">
        <f t="array" ref="AJ163">if(isblank(F163),"",xlookup(F163,'FL5_POR_包裝對照表 (Mapping Table)'!E:E,'FL5_POR_包裝對照表 (Mapping Table)'!AS:AS,"",0,1))</f>
        <v/>
      </c>
      <c r="AK163" s="677" t="str">
        <f t="array" ref="AK163">if(isblank(F163),"",xlookup(F163,'FL5_POR_包裝對照表 (Mapping Table)'!E:E,'FL5_POR_包裝對照表 (Mapping Table)'!K:K,"",0,1))</f>
        <v/>
      </c>
      <c r="AL163" s="677"/>
      <c r="AM163" s="813"/>
      <c r="AN163" s="908"/>
      <c r="AO163" s="813"/>
      <c r="AP163" s="813"/>
    </row>
    <row r="164" ht="25.5" customHeight="1">
      <c r="A164" s="889"/>
      <c r="B164" s="877"/>
      <c r="C164" s="891" t="str">
        <f>if(isblank(F164),"",'FL5_POR_包裝對照表 (Mapping Table)'!$E$4)</f>
        <v/>
      </c>
      <c r="D164" s="878" t="str">
        <f t="array" ref="D164">if(isblank(F164),"",xlookup(F164,'FL5_POR_包裝對照表 (Mapping Table)'!E:E,'FL5_POR_包裝對照表 (Mapping Table)'!AZ:AZ,"",0,1))</f>
        <v/>
      </c>
      <c r="E164" s="677" t="str">
        <f t="shared" si="2"/>
        <v/>
      </c>
      <c r="F164" s="879"/>
      <c r="G164" s="892" t="str">
        <f t="array" ref="G164">if(isblank(F164),"",xlookup(F164,'FL5_POR_包裝對照表 (Mapping Table)'!E:E,'FL5_POR_包裝對照表 (Mapping Table)'!D:D,"",0,1))</f>
        <v/>
      </c>
      <c r="H164" s="893" t="str">
        <f t="array" ref="H164">if(isblank(F164),"",xlookup(F164,'FL5_POR_包裝對照表 (Mapping Table)'!E:E,'FL5_POR_包裝對照表 (Mapping Table)'!E:E,"",0,1))</f>
        <v/>
      </c>
      <c r="I164" s="677" t="str">
        <f t="array" ref="I164">if(isblank(F164),"",xlookup(F164,'FL5_POR_包裝對照表 (Mapping Table)'!E:E,'FL5_POR_包裝對照表 (Mapping Table)'!AN:AN,"",0,1))</f>
        <v/>
      </c>
      <c r="J164" s="894" t="str">
        <f t="array" ref="J164">if(isblank(F164),"",xlookup(G164,z_Others!$B$5:$B$17,z_Others!$C$5:$C$17,"",0,1))</f>
        <v/>
      </c>
      <c r="K164" s="894" t="str">
        <f t="array" ref="K164">if(isblank(F164),"",xlookup(G164,z_Others!$B$5:$B$17,z_Others!$E$5:$E$17,"",0,1))</f>
        <v/>
      </c>
      <c r="L164" s="894" t="str">
        <f t="array" ref="L164">if(isblank(F164),"",xlookup(G164,z_Others!$B$5:$B$17,z_Others!$F$5:$F$17,"",0,1))</f>
        <v/>
      </c>
      <c r="M164" s="894" t="str">
        <f t="shared" si="3"/>
        <v/>
      </c>
      <c r="N164" s="894" t="str">
        <f t="shared" si="4"/>
        <v/>
      </c>
      <c r="O164" s="882" t="str">
        <f t="array" ref="O164">if(isblank(F164),"",xlookup(F164,'FL5_POR_包裝對照表 (Mapping Table)'!E:E,'FL5_POR_包裝對照表 (Mapping Table)'!L:L,"",0,1))</f>
        <v/>
      </c>
      <c r="P164" s="909" t="str">
        <f t="array" ref="P164">if(isblank(F164),"",xlookup(G164,z_Others!$B$5:$B$17,z_Others!$J$5:$J$17,"",0,1))</f>
        <v/>
      </c>
      <c r="Q164" s="899" t="str">
        <f t="array" ref="Q164">if(isblank(F164),"",xlookup(F164,'FL5_POR_核價 (經管 &amp; BPM)'!E:E,'FL5_POR_核價 (經管 &amp; BPM)'!O:O,"",0,1))</f>
        <v/>
      </c>
      <c r="R164" s="894" t="str">
        <f t="shared" si="5"/>
        <v/>
      </c>
      <c r="S164" s="894" t="str">
        <f t="array" ref="S164">if(isblank(F164),"",xlookup(G164,z_Others!$B$5:$B$17,z_Others!$K$5:$K$17,"",0,1))</f>
        <v/>
      </c>
      <c r="T164" s="894" t="str">
        <f t="shared" si="19"/>
        <v/>
      </c>
      <c r="U164" s="898" t="str">
        <f t="array" ref="U164">if(isblank(F164),"",xlookup(G164,z_Others!$B$5:$B$17,z_Others!$G$5:$G$17,"",0,1))</f>
        <v/>
      </c>
      <c r="V164" s="231" t="str">
        <f t="array" ref="V164">if(isblank(F164),"",xlookup(F164,'FL5_POR_包裝對照表 (Mapping Table)'!E:E,'FL5_POR_包裝對照表 (Mapping Table)'!AB:AB,"",0,1))</f>
        <v/>
      </c>
      <c r="W164" s="899" t="str">
        <f t="array" ref="W164">if(isblank(F164),"",xlookup(G164,z_Others!$B$5:$B$17,z_Others!$I$5:$I$17,"",0,1))</f>
        <v/>
      </c>
      <c r="X164" s="894" t="str">
        <f t="shared" si="7"/>
        <v/>
      </c>
      <c r="Y164" s="894" t="str">
        <f t="shared" si="8"/>
        <v/>
      </c>
      <c r="Z164" s="900" t="str">
        <f t="shared" si="9"/>
        <v/>
      </c>
      <c r="AA164" s="900" t="str">
        <f t="shared" si="10"/>
        <v/>
      </c>
      <c r="AB164" s="878" t="str">
        <f t="array" ref="AB164">if(isblank(F164),"",xlookup(AJ164,z_Others!$M$5:$M$9,z_Others!$Q$5:$Q$9,"",0,1))</f>
        <v/>
      </c>
      <c r="AC164" s="900" t="str">
        <f t="shared" si="11"/>
        <v/>
      </c>
      <c r="AD164" s="894" t="str">
        <f t="array" ref="AD164">if(isblank(F164),"",xlookup(G164,z_Others!$B$5:$B$14,z_Others!$H$5:$H$14,"",0,1))</f>
        <v/>
      </c>
      <c r="AE164" s="901" t="str">
        <f t="shared" si="12"/>
        <v/>
      </c>
      <c r="AF164" s="791"/>
      <c r="AG164" s="791" t="str">
        <f t="shared" si="20"/>
        <v/>
      </c>
      <c r="AH164" s="787"/>
      <c r="AI164" s="787"/>
      <c r="AJ164" s="677" t="str">
        <f t="array" ref="AJ164">if(isblank(F164),"",xlookup(F164,'FL5_POR_包裝對照表 (Mapping Table)'!E:E,'FL5_POR_包裝對照表 (Mapping Table)'!AS:AS,"",0,1))</f>
        <v/>
      </c>
      <c r="AK164" s="677" t="str">
        <f t="array" ref="AK164">if(isblank(F164),"",xlookup(F164,'FL5_POR_包裝對照表 (Mapping Table)'!E:E,'FL5_POR_包裝對照表 (Mapping Table)'!K:K,"",0,1))</f>
        <v/>
      </c>
      <c r="AL164" s="677"/>
      <c r="AM164" s="813"/>
      <c r="AN164" s="908"/>
      <c r="AO164" s="813"/>
      <c r="AP164" s="813"/>
    </row>
    <row r="165" ht="25.5" customHeight="1">
      <c r="A165" s="889"/>
      <c r="B165" s="877"/>
      <c r="C165" s="891" t="str">
        <f>if(isblank(F165),"",'FL5_POR_包裝對照表 (Mapping Table)'!$E$4)</f>
        <v/>
      </c>
      <c r="D165" s="878" t="str">
        <f t="array" ref="D165">if(isblank(F165),"",xlookup(F165,'FL5_POR_包裝對照表 (Mapping Table)'!E:E,'FL5_POR_包裝對照表 (Mapping Table)'!AZ:AZ,"",0,1))</f>
        <v/>
      </c>
      <c r="E165" s="677" t="str">
        <f t="shared" si="2"/>
        <v/>
      </c>
      <c r="F165" s="879"/>
      <c r="G165" s="892" t="str">
        <f t="array" ref="G165">if(isblank(F165),"",xlookup(F165,'FL5_POR_包裝對照表 (Mapping Table)'!E:E,'FL5_POR_包裝對照表 (Mapping Table)'!D:D,"",0,1))</f>
        <v/>
      </c>
      <c r="H165" s="893" t="str">
        <f t="array" ref="H165">if(isblank(F165),"",xlookup(F165,'FL5_POR_包裝對照表 (Mapping Table)'!E:E,'FL5_POR_包裝對照表 (Mapping Table)'!E:E,"",0,1))</f>
        <v/>
      </c>
      <c r="I165" s="677" t="str">
        <f t="array" ref="I165">if(isblank(F165),"",xlookup(F165,'FL5_POR_包裝對照表 (Mapping Table)'!E:E,'FL5_POR_包裝對照表 (Mapping Table)'!AN:AN,"",0,1))</f>
        <v/>
      </c>
      <c r="J165" s="894" t="str">
        <f t="array" ref="J165">if(isblank(F165),"",xlookup(G165,z_Others!$B$5:$B$17,z_Others!$C$5:$C$17,"",0,1))</f>
        <v/>
      </c>
      <c r="K165" s="894" t="str">
        <f t="array" ref="K165">if(isblank(F165),"",xlookup(G165,z_Others!$B$5:$B$17,z_Others!$E$5:$E$17,"",0,1))</f>
        <v/>
      </c>
      <c r="L165" s="894" t="str">
        <f t="array" ref="L165">if(isblank(F165),"",xlookup(G165,z_Others!$B$5:$B$17,z_Others!$F$5:$F$17,"",0,1))</f>
        <v/>
      </c>
      <c r="M165" s="894" t="str">
        <f t="shared" si="3"/>
        <v/>
      </c>
      <c r="N165" s="894" t="str">
        <f t="shared" si="4"/>
        <v/>
      </c>
      <c r="O165" s="882" t="str">
        <f t="array" ref="O165">if(isblank(F165),"",xlookup(F165,'FL5_POR_包裝對照表 (Mapping Table)'!E:E,'FL5_POR_包裝對照表 (Mapping Table)'!L:L,"",0,1))</f>
        <v/>
      </c>
      <c r="P165" s="909" t="str">
        <f t="array" ref="P165">if(isblank(F165),"",xlookup(G165,z_Others!$B$5:$B$17,z_Others!$J$5:$J$17,"",0,1))</f>
        <v/>
      </c>
      <c r="Q165" s="899" t="str">
        <f t="array" ref="Q165">if(isblank(F165),"",xlookup(F165,'FL5_POR_核價 (經管 &amp; BPM)'!E:E,'FL5_POR_核價 (經管 &amp; BPM)'!O:O,"",0,1))</f>
        <v/>
      </c>
      <c r="R165" s="894" t="str">
        <f t="shared" si="5"/>
        <v/>
      </c>
      <c r="S165" s="894" t="str">
        <f t="array" ref="S165">if(isblank(F165),"",xlookup(G165,z_Others!$B$5:$B$17,z_Others!$K$5:$K$17,"",0,1))</f>
        <v/>
      </c>
      <c r="T165" s="894" t="str">
        <f t="shared" si="19"/>
        <v/>
      </c>
      <c r="U165" s="898" t="str">
        <f t="array" ref="U165">if(isblank(F165),"",xlookup(G165,z_Others!$B$5:$B$17,z_Others!$G$5:$G$17,"",0,1))</f>
        <v/>
      </c>
      <c r="V165" s="231" t="str">
        <f t="array" ref="V165">if(isblank(F165),"",xlookup(F165,'FL5_POR_包裝對照表 (Mapping Table)'!E:E,'FL5_POR_包裝對照表 (Mapping Table)'!AB:AB,"",0,1))</f>
        <v/>
      </c>
      <c r="W165" s="899" t="str">
        <f t="array" ref="W165">if(isblank(F165),"",xlookup(G165,z_Others!$B$5:$B$17,z_Others!$I$5:$I$17,"",0,1))</f>
        <v/>
      </c>
      <c r="X165" s="894" t="str">
        <f t="shared" si="7"/>
        <v/>
      </c>
      <c r="Y165" s="894" t="str">
        <f t="shared" si="8"/>
        <v/>
      </c>
      <c r="Z165" s="900" t="str">
        <f t="shared" si="9"/>
        <v/>
      </c>
      <c r="AA165" s="900" t="str">
        <f t="shared" si="10"/>
        <v/>
      </c>
      <c r="AB165" s="878" t="str">
        <f t="array" ref="AB165">if(isblank(F165),"",xlookup(AJ165,z_Others!$M$5:$M$9,z_Others!$Q$5:$Q$9,"",0,1))</f>
        <v/>
      </c>
      <c r="AC165" s="900" t="str">
        <f t="shared" si="11"/>
        <v/>
      </c>
      <c r="AD165" s="894" t="str">
        <f t="array" ref="AD165">if(isblank(F165),"",xlookup(G165,z_Others!$B$5:$B$14,z_Others!$H$5:$H$14,"",0,1))</f>
        <v/>
      </c>
      <c r="AE165" s="901" t="str">
        <f t="shared" si="12"/>
        <v/>
      </c>
      <c r="AF165" s="791"/>
      <c r="AG165" s="791" t="str">
        <f t="shared" si="20"/>
        <v/>
      </c>
      <c r="AH165" s="787"/>
      <c r="AI165" s="787"/>
      <c r="AJ165" s="677" t="str">
        <f t="array" ref="AJ165">if(isblank(F165),"",xlookup(F165,'FL5_POR_包裝對照表 (Mapping Table)'!E:E,'FL5_POR_包裝對照表 (Mapping Table)'!AS:AS,"",0,1))</f>
        <v/>
      </c>
      <c r="AK165" s="677" t="str">
        <f t="array" ref="AK165">if(isblank(F165),"",xlookup(F165,'FL5_POR_包裝對照表 (Mapping Table)'!E:E,'FL5_POR_包裝對照表 (Mapping Table)'!K:K,"",0,1))</f>
        <v/>
      </c>
      <c r="AL165" s="677"/>
      <c r="AM165" s="813"/>
      <c r="AN165" s="908"/>
      <c r="AO165" s="813"/>
      <c r="AP165" s="813"/>
    </row>
    <row r="166" ht="25.5" customHeight="1">
      <c r="A166" s="889"/>
      <c r="B166" s="877"/>
      <c r="C166" s="891" t="str">
        <f>if(isblank(F166),"",'FL5_POR_包裝對照表 (Mapping Table)'!$E$4)</f>
        <v/>
      </c>
      <c r="D166" s="878" t="str">
        <f t="array" ref="D166">if(isblank(F166),"",xlookup(F166,'FL5_POR_包裝對照表 (Mapping Table)'!E:E,'FL5_POR_包裝對照表 (Mapping Table)'!AZ:AZ,"",0,1))</f>
        <v/>
      </c>
      <c r="E166" s="677" t="str">
        <f t="shared" si="2"/>
        <v/>
      </c>
      <c r="F166" s="879"/>
      <c r="G166" s="892" t="str">
        <f t="array" ref="G166">if(isblank(F166),"",xlookup(F166,'FL5_POR_包裝對照表 (Mapping Table)'!E:E,'FL5_POR_包裝對照表 (Mapping Table)'!D:D,"",0,1))</f>
        <v/>
      </c>
      <c r="H166" s="893" t="str">
        <f t="array" ref="H166">if(isblank(F166),"",xlookup(F166,'FL5_POR_包裝對照表 (Mapping Table)'!E:E,'FL5_POR_包裝對照表 (Mapping Table)'!E:E,"",0,1))</f>
        <v/>
      </c>
      <c r="I166" s="677" t="str">
        <f t="array" ref="I166">if(isblank(F166),"",xlookup(F166,'FL5_POR_包裝對照表 (Mapping Table)'!E:E,'FL5_POR_包裝對照表 (Mapping Table)'!AN:AN,"",0,1))</f>
        <v/>
      </c>
      <c r="J166" s="894" t="str">
        <f t="array" ref="J166">if(isblank(F166),"",xlookup(G166,z_Others!$B$5:$B$17,z_Others!$C$5:$C$17,"",0,1))</f>
        <v/>
      </c>
      <c r="K166" s="894" t="str">
        <f t="array" ref="K166">if(isblank(F166),"",xlookup(G166,z_Others!$B$5:$B$17,z_Others!$E$5:$E$17,"",0,1))</f>
        <v/>
      </c>
      <c r="L166" s="894" t="str">
        <f t="array" ref="L166">if(isblank(F166),"",xlookup(G166,z_Others!$B$5:$B$17,z_Others!$F$5:$F$17,"",0,1))</f>
        <v/>
      </c>
      <c r="M166" s="894" t="str">
        <f t="shared" si="3"/>
        <v/>
      </c>
      <c r="N166" s="894" t="str">
        <f t="shared" si="4"/>
        <v/>
      </c>
      <c r="O166" s="882" t="str">
        <f t="array" ref="O166">if(isblank(F166),"",xlookup(F166,'FL5_POR_包裝對照表 (Mapping Table)'!E:E,'FL5_POR_包裝對照表 (Mapping Table)'!L:L,"",0,1))</f>
        <v/>
      </c>
      <c r="P166" s="909" t="str">
        <f t="array" ref="P166">if(isblank(F166),"",xlookup(G166,z_Others!$B$5:$B$17,z_Others!$J$5:$J$17,"",0,1))</f>
        <v/>
      </c>
      <c r="Q166" s="899" t="str">
        <f t="array" ref="Q166">if(isblank(F166),"",xlookup(F166,'FL5_POR_核價 (經管 &amp; BPM)'!E:E,'FL5_POR_核價 (經管 &amp; BPM)'!O:O,"",0,1))</f>
        <v/>
      </c>
      <c r="R166" s="894" t="str">
        <f t="shared" si="5"/>
        <v/>
      </c>
      <c r="S166" s="894" t="str">
        <f t="array" ref="S166">if(isblank(F166),"",xlookup(G166,z_Others!$B$5:$B$17,z_Others!$K$5:$K$17,"",0,1))</f>
        <v/>
      </c>
      <c r="T166" s="894" t="str">
        <f t="shared" si="19"/>
        <v/>
      </c>
      <c r="U166" s="898" t="str">
        <f t="array" ref="U166">if(isblank(F166),"",xlookup(G166,z_Others!$B$5:$B$17,z_Others!$G$5:$G$17,"",0,1))</f>
        <v/>
      </c>
      <c r="V166" s="231" t="str">
        <f t="array" ref="V166">if(isblank(F166),"",xlookup(F166,'FL5_POR_包裝對照表 (Mapping Table)'!E:E,'FL5_POR_包裝對照表 (Mapping Table)'!AB:AB,"",0,1))</f>
        <v/>
      </c>
      <c r="W166" s="899" t="str">
        <f t="array" ref="W166">if(isblank(F166),"",xlookup(G166,z_Others!$B$5:$B$17,z_Others!$I$5:$I$17,"",0,1))</f>
        <v/>
      </c>
      <c r="X166" s="894" t="str">
        <f t="shared" si="7"/>
        <v/>
      </c>
      <c r="Y166" s="894" t="str">
        <f t="shared" si="8"/>
        <v/>
      </c>
      <c r="Z166" s="900" t="str">
        <f t="shared" si="9"/>
        <v/>
      </c>
      <c r="AA166" s="900" t="str">
        <f t="shared" si="10"/>
        <v/>
      </c>
      <c r="AB166" s="878" t="str">
        <f t="array" ref="AB166">if(isblank(F166),"",xlookup(AJ166,z_Others!$M$5:$M$9,z_Others!$Q$5:$Q$9,"",0,1))</f>
        <v/>
      </c>
      <c r="AC166" s="900" t="str">
        <f t="shared" si="11"/>
        <v/>
      </c>
      <c r="AD166" s="894" t="str">
        <f t="array" ref="AD166">if(isblank(F166),"",xlookup(G166,z_Others!$B$5:$B$14,z_Others!$H$5:$H$14,"",0,1))</f>
        <v/>
      </c>
      <c r="AE166" s="901" t="str">
        <f t="shared" si="12"/>
        <v/>
      </c>
      <c r="AF166" s="791"/>
      <c r="AG166" s="791" t="str">
        <f t="shared" si="20"/>
        <v/>
      </c>
      <c r="AH166" s="787"/>
      <c r="AI166" s="787"/>
      <c r="AJ166" s="677" t="str">
        <f t="array" ref="AJ166">if(isblank(F166),"",xlookup(F166,'FL5_POR_包裝對照表 (Mapping Table)'!E:E,'FL5_POR_包裝對照表 (Mapping Table)'!AS:AS,"",0,1))</f>
        <v/>
      </c>
      <c r="AK166" s="677" t="str">
        <f t="array" ref="AK166">if(isblank(F166),"",xlookup(F166,'FL5_POR_包裝對照表 (Mapping Table)'!E:E,'FL5_POR_包裝對照表 (Mapping Table)'!K:K,"",0,1))</f>
        <v/>
      </c>
      <c r="AL166" s="677"/>
      <c r="AM166" s="813"/>
      <c r="AN166" s="908"/>
      <c r="AO166" s="813"/>
      <c r="AP166" s="813"/>
    </row>
    <row r="167" ht="25.5" customHeight="1">
      <c r="A167" s="889"/>
      <c r="B167" s="877"/>
      <c r="C167" s="891" t="str">
        <f>if(isblank(F167),"",'FL5_POR_包裝對照表 (Mapping Table)'!$E$4)</f>
        <v/>
      </c>
      <c r="D167" s="878" t="str">
        <f t="array" ref="D167">if(isblank(F167),"",xlookup(F167,'FL5_POR_包裝對照表 (Mapping Table)'!E:E,'FL5_POR_包裝對照表 (Mapping Table)'!AZ:AZ,"",0,1))</f>
        <v/>
      </c>
      <c r="E167" s="677" t="str">
        <f t="shared" si="2"/>
        <v/>
      </c>
      <c r="F167" s="879"/>
      <c r="G167" s="892" t="str">
        <f t="array" ref="G167">if(isblank(F167),"",xlookup(F167,'FL5_POR_包裝對照表 (Mapping Table)'!E:E,'FL5_POR_包裝對照表 (Mapping Table)'!D:D,"",0,1))</f>
        <v/>
      </c>
      <c r="H167" s="893" t="str">
        <f t="array" ref="H167">if(isblank(F167),"",xlookup(F167,'FL5_POR_包裝對照表 (Mapping Table)'!E:E,'FL5_POR_包裝對照表 (Mapping Table)'!E:E,"",0,1))</f>
        <v/>
      </c>
      <c r="I167" s="677" t="str">
        <f t="array" ref="I167">if(isblank(F167),"",xlookup(F167,'FL5_POR_包裝對照表 (Mapping Table)'!E:E,'FL5_POR_包裝對照表 (Mapping Table)'!AN:AN,"",0,1))</f>
        <v/>
      </c>
      <c r="J167" s="894" t="str">
        <f t="array" ref="J167">if(isblank(F167),"",xlookup(G167,z_Others!$B$5:$B$17,z_Others!$C$5:$C$17,"",0,1))</f>
        <v/>
      </c>
      <c r="K167" s="894" t="str">
        <f t="array" ref="K167">if(isblank(F167),"",xlookup(G167,z_Others!$B$5:$B$17,z_Others!$E$5:$E$17,"",0,1))</f>
        <v/>
      </c>
      <c r="L167" s="894" t="str">
        <f t="array" ref="L167">if(isblank(F167),"",xlookup(G167,z_Others!$B$5:$B$17,z_Others!$F$5:$F$17,"",0,1))</f>
        <v/>
      </c>
      <c r="M167" s="894" t="str">
        <f t="shared" si="3"/>
        <v/>
      </c>
      <c r="N167" s="894" t="str">
        <f t="shared" si="4"/>
        <v/>
      </c>
      <c r="O167" s="882" t="str">
        <f t="array" ref="O167">if(isblank(F167),"",xlookup(F167,'FL5_POR_包裝對照表 (Mapping Table)'!E:E,'FL5_POR_包裝對照表 (Mapping Table)'!L:L,"",0,1))</f>
        <v/>
      </c>
      <c r="P167" s="909" t="str">
        <f t="array" ref="P167">if(isblank(F167),"",xlookup(G167,z_Others!$B$5:$B$17,z_Others!$J$5:$J$17,"",0,1))</f>
        <v/>
      </c>
      <c r="Q167" s="899" t="str">
        <f t="array" ref="Q167">if(isblank(F167),"",xlookup(F167,'FL5_POR_核價 (經管 &amp; BPM)'!E:E,'FL5_POR_核價 (經管 &amp; BPM)'!O:O,"",0,1))</f>
        <v/>
      </c>
      <c r="R167" s="894" t="str">
        <f t="shared" si="5"/>
        <v/>
      </c>
      <c r="S167" s="894" t="str">
        <f t="array" ref="S167">if(isblank(F167),"",xlookup(G167,z_Others!$B$5:$B$17,z_Others!$K$5:$K$17,"",0,1))</f>
        <v/>
      </c>
      <c r="T167" s="894" t="str">
        <f t="shared" si="19"/>
        <v/>
      </c>
      <c r="U167" s="898" t="str">
        <f t="array" ref="U167">if(isblank(F167),"",xlookup(G167,z_Others!$B$5:$B$17,z_Others!$G$5:$G$17,"",0,1))</f>
        <v/>
      </c>
      <c r="V167" s="231" t="str">
        <f t="array" ref="V167">if(isblank(F167),"",xlookup(F167,'FL5_POR_包裝對照表 (Mapping Table)'!E:E,'FL5_POR_包裝對照表 (Mapping Table)'!AB:AB,"",0,1))</f>
        <v/>
      </c>
      <c r="W167" s="899" t="str">
        <f t="array" ref="W167">if(isblank(F167),"",xlookup(G167,z_Others!$B$5:$B$17,z_Others!$I$5:$I$17,"",0,1))</f>
        <v/>
      </c>
      <c r="X167" s="894" t="str">
        <f t="shared" si="7"/>
        <v/>
      </c>
      <c r="Y167" s="894" t="str">
        <f t="shared" si="8"/>
        <v/>
      </c>
      <c r="Z167" s="900" t="str">
        <f t="shared" si="9"/>
        <v/>
      </c>
      <c r="AA167" s="900" t="str">
        <f t="shared" si="10"/>
        <v/>
      </c>
      <c r="AB167" s="878" t="str">
        <f t="array" ref="AB167">if(isblank(F167),"",xlookup(AJ167,z_Others!$M$5:$M$9,z_Others!$Q$5:$Q$9,"",0,1))</f>
        <v/>
      </c>
      <c r="AC167" s="900" t="str">
        <f t="shared" si="11"/>
        <v/>
      </c>
      <c r="AD167" s="894" t="str">
        <f t="array" ref="AD167">if(isblank(F167),"",xlookup(G167,z_Others!$B$5:$B$14,z_Others!$H$5:$H$14,"",0,1))</f>
        <v/>
      </c>
      <c r="AE167" s="901" t="str">
        <f t="shared" si="12"/>
        <v/>
      </c>
      <c r="AF167" s="791"/>
      <c r="AG167" s="791" t="str">
        <f t="shared" si="20"/>
        <v/>
      </c>
      <c r="AH167" s="787"/>
      <c r="AI167" s="787"/>
      <c r="AJ167" s="677" t="str">
        <f t="array" ref="AJ167">if(isblank(F167),"",xlookup(F167,'FL5_POR_包裝對照表 (Mapping Table)'!E:E,'FL5_POR_包裝對照表 (Mapping Table)'!AS:AS,"",0,1))</f>
        <v/>
      </c>
      <c r="AK167" s="677" t="str">
        <f t="array" ref="AK167">if(isblank(F167),"",xlookup(F167,'FL5_POR_包裝對照表 (Mapping Table)'!E:E,'FL5_POR_包裝對照表 (Mapping Table)'!K:K,"",0,1))</f>
        <v/>
      </c>
      <c r="AL167" s="677"/>
      <c r="AM167" s="813"/>
      <c r="AN167" s="908"/>
      <c r="AO167" s="813"/>
      <c r="AP167" s="813"/>
    </row>
    <row r="168" ht="25.5" customHeight="1">
      <c r="A168" s="889"/>
      <c r="B168" s="877"/>
      <c r="C168" s="891" t="str">
        <f>if(isblank(F168),"",'FL5_POR_包裝對照表 (Mapping Table)'!$E$4)</f>
        <v/>
      </c>
      <c r="D168" s="878" t="str">
        <f t="array" ref="D168">if(isblank(F168),"",xlookup(F168,'FL5_POR_包裝對照表 (Mapping Table)'!E:E,'FL5_POR_包裝對照表 (Mapping Table)'!AZ:AZ,"",0,1))</f>
        <v/>
      </c>
      <c r="E168" s="677" t="str">
        <f t="shared" si="2"/>
        <v/>
      </c>
      <c r="F168" s="879"/>
      <c r="G168" s="892" t="str">
        <f t="array" ref="G168">if(isblank(F168),"",xlookup(F168,'FL5_POR_包裝對照表 (Mapping Table)'!E:E,'FL5_POR_包裝對照表 (Mapping Table)'!D:D,"",0,1))</f>
        <v/>
      </c>
      <c r="H168" s="893" t="str">
        <f t="array" ref="H168">if(isblank(F168),"",xlookup(F168,'FL5_POR_包裝對照表 (Mapping Table)'!E:E,'FL5_POR_包裝對照表 (Mapping Table)'!E:E,"",0,1))</f>
        <v/>
      </c>
      <c r="I168" s="677" t="str">
        <f t="array" ref="I168">if(isblank(F168),"",xlookup(F168,'FL5_POR_包裝對照表 (Mapping Table)'!E:E,'FL5_POR_包裝對照表 (Mapping Table)'!AN:AN,"",0,1))</f>
        <v/>
      </c>
      <c r="J168" s="894" t="str">
        <f t="array" ref="J168">if(isblank(F168),"",xlookup(G168,z_Others!$B$5:$B$17,z_Others!$C$5:$C$17,"",0,1))</f>
        <v/>
      </c>
      <c r="K168" s="894" t="str">
        <f t="array" ref="K168">if(isblank(F168),"",xlookup(G168,z_Others!$B$5:$B$17,z_Others!$E$5:$E$17,"",0,1))</f>
        <v/>
      </c>
      <c r="L168" s="894" t="str">
        <f t="array" ref="L168">if(isblank(F168),"",xlookup(G168,z_Others!$B$5:$B$17,z_Others!$F$5:$F$17,"",0,1))</f>
        <v/>
      </c>
      <c r="M168" s="894" t="str">
        <f t="shared" si="3"/>
        <v/>
      </c>
      <c r="N168" s="894" t="str">
        <f t="shared" si="4"/>
        <v/>
      </c>
      <c r="O168" s="882" t="str">
        <f t="array" ref="O168">if(isblank(F168),"",xlookup(F168,'FL5_POR_包裝對照表 (Mapping Table)'!E:E,'FL5_POR_包裝對照表 (Mapping Table)'!L:L,"",0,1))</f>
        <v/>
      </c>
      <c r="P168" s="909" t="str">
        <f t="array" ref="P168">if(isblank(F168),"",xlookup(G168,z_Others!$B$5:$B$17,z_Others!$J$5:$J$17,"",0,1))</f>
        <v/>
      </c>
      <c r="Q168" s="899" t="str">
        <f t="array" ref="Q168">if(isblank(F168),"",xlookup(F168,'FL5_POR_核價 (經管 &amp; BPM)'!E:E,'FL5_POR_核價 (經管 &amp; BPM)'!O:O,"",0,1))</f>
        <v/>
      </c>
      <c r="R168" s="894" t="str">
        <f t="shared" si="5"/>
        <v/>
      </c>
      <c r="S168" s="894" t="str">
        <f t="array" ref="S168">if(isblank(F168),"",xlookup(G168,z_Others!$B$5:$B$17,z_Others!$K$5:$K$17,"",0,1))</f>
        <v/>
      </c>
      <c r="T168" s="894" t="str">
        <f t="shared" si="19"/>
        <v/>
      </c>
      <c r="U168" s="898" t="str">
        <f t="array" ref="U168">if(isblank(F168),"",xlookup(G168,z_Others!$B$5:$B$17,z_Others!$G$5:$G$17,"",0,1))</f>
        <v/>
      </c>
      <c r="V168" s="231" t="str">
        <f t="array" ref="V168">if(isblank(F168),"",xlookup(F168,'FL5_POR_包裝對照表 (Mapping Table)'!E:E,'FL5_POR_包裝對照表 (Mapping Table)'!AB:AB,"",0,1))</f>
        <v/>
      </c>
      <c r="W168" s="899" t="str">
        <f t="array" ref="W168">if(isblank(F168),"",xlookup(G168,z_Others!$B$5:$B$17,z_Others!$I$5:$I$17,"",0,1))</f>
        <v/>
      </c>
      <c r="X168" s="894" t="str">
        <f t="shared" si="7"/>
        <v/>
      </c>
      <c r="Y168" s="894" t="str">
        <f t="shared" si="8"/>
        <v/>
      </c>
      <c r="Z168" s="900" t="str">
        <f t="shared" si="9"/>
        <v/>
      </c>
      <c r="AA168" s="900" t="str">
        <f t="shared" si="10"/>
        <v/>
      </c>
      <c r="AB168" s="878" t="str">
        <f t="array" ref="AB168">if(isblank(F168),"",xlookup(AJ168,z_Others!$M$5:$M$9,z_Others!$Q$5:$Q$9,"",0,1))</f>
        <v/>
      </c>
      <c r="AC168" s="900" t="str">
        <f t="shared" si="11"/>
        <v/>
      </c>
      <c r="AD168" s="894" t="str">
        <f t="array" ref="AD168">if(isblank(F168),"",xlookup(G168,z_Others!$B$5:$B$14,z_Others!$H$5:$H$14,"",0,1))</f>
        <v/>
      </c>
      <c r="AE168" s="901" t="str">
        <f t="shared" si="12"/>
        <v/>
      </c>
      <c r="AF168" s="791"/>
      <c r="AG168" s="791" t="str">
        <f t="shared" si="20"/>
        <v/>
      </c>
      <c r="AH168" s="787"/>
      <c r="AI168" s="787"/>
      <c r="AJ168" s="677" t="str">
        <f t="array" ref="AJ168">if(isblank(F168),"",xlookup(F168,'FL5_POR_包裝對照表 (Mapping Table)'!E:E,'FL5_POR_包裝對照表 (Mapping Table)'!AS:AS,"",0,1))</f>
        <v/>
      </c>
      <c r="AK168" s="677" t="str">
        <f t="array" ref="AK168">if(isblank(F168),"",xlookup(F168,'FL5_POR_包裝對照表 (Mapping Table)'!E:E,'FL5_POR_包裝對照表 (Mapping Table)'!K:K,"",0,1))</f>
        <v/>
      </c>
      <c r="AL168" s="677"/>
      <c r="AM168" s="813"/>
      <c r="AN168" s="908"/>
      <c r="AO168" s="813"/>
      <c r="AP168" s="813"/>
    </row>
    <row r="169" ht="25.5" customHeight="1">
      <c r="A169" s="889"/>
      <c r="B169" s="877"/>
      <c r="C169" s="891" t="str">
        <f>if(isblank(F169),"",'FL5_POR_包裝對照表 (Mapping Table)'!$E$4)</f>
        <v/>
      </c>
      <c r="D169" s="878" t="str">
        <f t="array" ref="D169">if(isblank(F169),"",xlookup(F169,'FL5_POR_包裝對照表 (Mapping Table)'!E:E,'FL5_POR_包裝對照表 (Mapping Table)'!AZ:AZ,"",0,1))</f>
        <v/>
      </c>
      <c r="E169" s="677" t="str">
        <f t="shared" si="2"/>
        <v/>
      </c>
      <c r="F169" s="879"/>
      <c r="G169" s="892" t="str">
        <f t="array" ref="G169">if(isblank(F169),"",xlookup(F169,'FL5_POR_包裝對照表 (Mapping Table)'!E:E,'FL5_POR_包裝對照表 (Mapping Table)'!D:D,"",0,1))</f>
        <v/>
      </c>
      <c r="H169" s="893" t="str">
        <f t="array" ref="H169">if(isblank(F169),"",xlookup(F169,'FL5_POR_包裝對照表 (Mapping Table)'!E:E,'FL5_POR_包裝對照表 (Mapping Table)'!E:E,"",0,1))</f>
        <v/>
      </c>
      <c r="I169" s="677" t="str">
        <f t="array" ref="I169">if(isblank(F169),"",xlookup(F169,'FL5_POR_包裝對照表 (Mapping Table)'!E:E,'FL5_POR_包裝對照表 (Mapping Table)'!AN:AN,"",0,1))</f>
        <v/>
      </c>
      <c r="J169" s="894" t="str">
        <f t="array" ref="J169">if(isblank(F169),"",xlookup(G169,z_Others!$B$5:$B$17,z_Others!$C$5:$C$17,"",0,1))</f>
        <v/>
      </c>
      <c r="K169" s="894" t="str">
        <f t="array" ref="K169">if(isblank(F169),"",xlookup(G169,z_Others!$B$5:$B$17,z_Others!$E$5:$E$17,"",0,1))</f>
        <v/>
      </c>
      <c r="L169" s="894" t="str">
        <f t="array" ref="L169">if(isblank(F169),"",xlookup(G169,z_Others!$B$5:$B$17,z_Others!$F$5:$F$17,"",0,1))</f>
        <v/>
      </c>
      <c r="M169" s="894" t="str">
        <f t="shared" si="3"/>
        <v/>
      </c>
      <c r="N169" s="894" t="str">
        <f t="shared" si="4"/>
        <v/>
      </c>
      <c r="O169" s="882" t="str">
        <f t="array" ref="O169">if(isblank(F169),"",xlookup(F169,'FL5_POR_包裝對照表 (Mapping Table)'!E:E,'FL5_POR_包裝對照表 (Mapping Table)'!L:L,"",0,1))</f>
        <v/>
      </c>
      <c r="P169" s="909" t="str">
        <f t="array" ref="P169">if(isblank(F169),"",xlookup(G169,z_Others!$B$5:$B$17,z_Others!$J$5:$J$17,"",0,1))</f>
        <v/>
      </c>
      <c r="Q169" s="899" t="str">
        <f t="array" ref="Q169">if(isblank(F169),"",xlookup(F169,'FL5_POR_核價 (經管 &amp; BPM)'!E:E,'FL5_POR_核價 (經管 &amp; BPM)'!O:O,"",0,1))</f>
        <v/>
      </c>
      <c r="R169" s="894" t="str">
        <f t="shared" si="5"/>
        <v/>
      </c>
      <c r="S169" s="894" t="str">
        <f t="array" ref="S169">if(isblank(F169),"",xlookup(G169,z_Others!$B$5:$B$17,z_Others!$K$5:$K$17,"",0,1))</f>
        <v/>
      </c>
      <c r="T169" s="894" t="str">
        <f t="shared" si="19"/>
        <v/>
      </c>
      <c r="U169" s="898" t="str">
        <f t="array" ref="U169">if(isblank(F169),"",xlookup(G169,z_Others!$B$5:$B$17,z_Others!$G$5:$G$17,"",0,1))</f>
        <v/>
      </c>
      <c r="V169" s="231" t="str">
        <f t="array" ref="V169">if(isblank(F169),"",xlookup(F169,'FL5_POR_包裝對照表 (Mapping Table)'!E:E,'FL5_POR_包裝對照表 (Mapping Table)'!AB:AB,"",0,1))</f>
        <v/>
      </c>
      <c r="W169" s="899" t="str">
        <f t="array" ref="W169">if(isblank(F169),"",xlookup(G169,z_Others!$B$5:$B$17,z_Others!$I$5:$I$17,"",0,1))</f>
        <v/>
      </c>
      <c r="X169" s="894" t="str">
        <f t="shared" si="7"/>
        <v/>
      </c>
      <c r="Y169" s="894" t="str">
        <f t="shared" si="8"/>
        <v/>
      </c>
      <c r="Z169" s="900" t="str">
        <f t="shared" si="9"/>
        <v/>
      </c>
      <c r="AA169" s="900" t="str">
        <f t="shared" si="10"/>
        <v/>
      </c>
      <c r="AB169" s="878" t="str">
        <f t="array" ref="AB169">if(isblank(F169),"",xlookup(AJ169,z_Others!$M$5:$M$9,z_Others!$Q$5:$Q$9,"",0,1))</f>
        <v/>
      </c>
      <c r="AC169" s="900" t="str">
        <f t="shared" si="11"/>
        <v/>
      </c>
      <c r="AD169" s="894" t="str">
        <f t="array" ref="AD169">if(isblank(F169),"",xlookup(G169,z_Others!$B$5:$B$14,z_Others!$H$5:$H$14,"",0,1))</f>
        <v/>
      </c>
      <c r="AE169" s="901" t="str">
        <f t="shared" si="12"/>
        <v/>
      </c>
      <c r="AF169" s="791"/>
      <c r="AG169" s="791" t="str">
        <f t="shared" si="20"/>
        <v/>
      </c>
      <c r="AH169" s="787"/>
      <c r="AI169" s="787"/>
      <c r="AJ169" s="677" t="str">
        <f t="array" ref="AJ169">if(isblank(F169),"",xlookup(F169,'FL5_POR_包裝對照表 (Mapping Table)'!E:E,'FL5_POR_包裝對照表 (Mapping Table)'!AS:AS,"",0,1))</f>
        <v/>
      </c>
      <c r="AK169" s="677" t="str">
        <f t="array" ref="AK169">if(isblank(F169),"",xlookup(F169,'FL5_POR_包裝對照表 (Mapping Table)'!E:E,'FL5_POR_包裝對照表 (Mapping Table)'!K:K,"",0,1))</f>
        <v/>
      </c>
      <c r="AL169" s="677"/>
      <c r="AM169" s="813"/>
      <c r="AN169" s="908"/>
      <c r="AO169" s="813"/>
      <c r="AP169" s="813"/>
    </row>
    <row r="170" ht="25.5" customHeight="1">
      <c r="A170" s="889"/>
      <c r="B170" s="877"/>
      <c r="C170" s="891" t="str">
        <f>if(isblank(F170),"",'FL5_POR_包裝對照表 (Mapping Table)'!$E$4)</f>
        <v/>
      </c>
      <c r="D170" s="878" t="str">
        <f t="array" ref="D170">if(isblank(F170),"",xlookup(F170,'FL5_POR_包裝對照表 (Mapping Table)'!E:E,'FL5_POR_包裝對照表 (Mapping Table)'!AZ:AZ,"",0,1))</f>
        <v/>
      </c>
      <c r="E170" s="677" t="str">
        <f t="shared" si="2"/>
        <v/>
      </c>
      <c r="F170" s="879"/>
      <c r="G170" s="892" t="str">
        <f t="array" ref="G170">if(isblank(F170),"",xlookup(F170,'FL5_POR_包裝對照表 (Mapping Table)'!E:E,'FL5_POR_包裝對照表 (Mapping Table)'!D:D,"",0,1))</f>
        <v/>
      </c>
      <c r="H170" s="893" t="str">
        <f t="array" ref="H170">if(isblank(F170),"",xlookup(F170,'FL5_POR_包裝對照表 (Mapping Table)'!E:E,'FL5_POR_包裝對照表 (Mapping Table)'!E:E,"",0,1))</f>
        <v/>
      </c>
      <c r="I170" s="677" t="str">
        <f t="array" ref="I170">if(isblank(F170),"",xlookup(F170,'FL5_POR_包裝對照表 (Mapping Table)'!E:E,'FL5_POR_包裝對照表 (Mapping Table)'!AN:AN,"",0,1))</f>
        <v/>
      </c>
      <c r="J170" s="894" t="str">
        <f t="array" ref="J170">if(isblank(F170),"",xlookup(G170,z_Others!$B$5:$B$17,z_Others!$C$5:$C$17,"",0,1))</f>
        <v/>
      </c>
      <c r="K170" s="894" t="str">
        <f t="array" ref="K170">if(isblank(F170),"",xlookup(G170,z_Others!$B$5:$B$17,z_Others!$E$5:$E$17,"",0,1))</f>
        <v/>
      </c>
      <c r="L170" s="894" t="str">
        <f t="array" ref="L170">if(isblank(F170),"",xlookup(G170,z_Others!$B$5:$B$17,z_Others!$F$5:$F$17,"",0,1))</f>
        <v/>
      </c>
      <c r="M170" s="894" t="str">
        <f t="shared" si="3"/>
        <v/>
      </c>
      <c r="N170" s="894" t="str">
        <f t="shared" si="4"/>
        <v/>
      </c>
      <c r="O170" s="882" t="str">
        <f t="array" ref="O170">if(isblank(F170),"",xlookup(F170,'FL5_POR_包裝對照表 (Mapping Table)'!E:E,'FL5_POR_包裝對照表 (Mapping Table)'!L:L,"",0,1))</f>
        <v/>
      </c>
      <c r="P170" s="909" t="str">
        <f t="array" ref="P170">if(isblank(F170),"",xlookup(G170,z_Others!$B$5:$B$17,z_Others!$J$5:$J$17,"",0,1))</f>
        <v/>
      </c>
      <c r="Q170" s="899" t="str">
        <f t="array" ref="Q170">if(isblank(F170),"",xlookup(F170,'FL5_POR_核價 (經管 &amp; BPM)'!E:E,'FL5_POR_核價 (經管 &amp; BPM)'!O:O,"",0,1))</f>
        <v/>
      </c>
      <c r="R170" s="894" t="str">
        <f t="shared" si="5"/>
        <v/>
      </c>
      <c r="S170" s="894" t="str">
        <f t="array" ref="S170">if(isblank(F170),"",xlookup(G170,z_Others!$B$5:$B$17,z_Others!$K$5:$K$17,"",0,1))</f>
        <v/>
      </c>
      <c r="T170" s="894" t="str">
        <f t="shared" si="19"/>
        <v/>
      </c>
      <c r="U170" s="898" t="str">
        <f t="array" ref="U170">if(isblank(F170),"",xlookup(G170,z_Others!$B$5:$B$17,z_Others!$G$5:$G$17,"",0,1))</f>
        <v/>
      </c>
      <c r="V170" s="231" t="str">
        <f t="array" ref="V170">if(isblank(F170),"",xlookup(F170,'FL5_POR_包裝對照表 (Mapping Table)'!E:E,'FL5_POR_包裝對照表 (Mapping Table)'!AB:AB,"",0,1))</f>
        <v/>
      </c>
      <c r="W170" s="899" t="str">
        <f t="array" ref="W170">if(isblank(F170),"",xlookup(G170,z_Others!$B$5:$B$17,z_Others!$I$5:$I$17,"",0,1))</f>
        <v/>
      </c>
      <c r="X170" s="894" t="str">
        <f t="shared" si="7"/>
        <v/>
      </c>
      <c r="Y170" s="894" t="str">
        <f t="shared" si="8"/>
        <v/>
      </c>
      <c r="Z170" s="900" t="str">
        <f t="shared" si="9"/>
        <v/>
      </c>
      <c r="AA170" s="900" t="str">
        <f t="shared" si="10"/>
        <v/>
      </c>
      <c r="AB170" s="878" t="str">
        <f t="array" ref="AB170">if(isblank(F170),"",xlookup(AJ170,z_Others!$M$5:$M$9,z_Others!$Q$5:$Q$9,"",0,1))</f>
        <v/>
      </c>
      <c r="AC170" s="900" t="str">
        <f t="shared" si="11"/>
        <v/>
      </c>
      <c r="AD170" s="894" t="str">
        <f t="array" ref="AD170">if(isblank(F170),"",xlookup(G170,z_Others!$B$5:$B$14,z_Others!$H$5:$H$14,"",0,1))</f>
        <v/>
      </c>
      <c r="AE170" s="901" t="str">
        <f t="shared" si="12"/>
        <v/>
      </c>
      <c r="AF170" s="791"/>
      <c r="AG170" s="791" t="str">
        <f t="shared" si="20"/>
        <v/>
      </c>
      <c r="AH170" s="787"/>
      <c r="AI170" s="787"/>
      <c r="AJ170" s="677" t="str">
        <f t="array" ref="AJ170">if(isblank(F170),"",xlookup(F170,'FL5_POR_包裝對照表 (Mapping Table)'!E:E,'FL5_POR_包裝對照表 (Mapping Table)'!AS:AS,"",0,1))</f>
        <v/>
      </c>
      <c r="AK170" s="677" t="str">
        <f t="array" ref="AK170">if(isblank(F170),"",xlookup(F170,'FL5_POR_包裝對照表 (Mapping Table)'!E:E,'FL5_POR_包裝對照表 (Mapping Table)'!K:K,"",0,1))</f>
        <v/>
      </c>
      <c r="AL170" s="677"/>
      <c r="AM170" s="813"/>
      <c r="AN170" s="908"/>
      <c r="AO170" s="813"/>
      <c r="AP170" s="813"/>
    </row>
    <row r="171" ht="25.5" customHeight="1">
      <c r="A171" s="889"/>
      <c r="B171" s="877"/>
      <c r="C171" s="891" t="str">
        <f>if(isblank(F171),"",'FL5_POR_包裝對照表 (Mapping Table)'!$E$4)</f>
        <v/>
      </c>
      <c r="D171" s="878" t="str">
        <f t="array" ref="D171">if(isblank(F171),"",xlookup(F171,'FL5_POR_包裝對照表 (Mapping Table)'!E:E,'FL5_POR_包裝對照表 (Mapping Table)'!AZ:AZ,"",0,1))</f>
        <v/>
      </c>
      <c r="E171" s="677" t="str">
        <f t="shared" si="2"/>
        <v/>
      </c>
      <c r="F171" s="879"/>
      <c r="G171" s="892" t="str">
        <f t="array" ref="G171">if(isblank(F171),"",xlookup(F171,'FL5_POR_包裝對照表 (Mapping Table)'!E:E,'FL5_POR_包裝對照表 (Mapping Table)'!D:D,"",0,1))</f>
        <v/>
      </c>
      <c r="H171" s="893" t="str">
        <f t="array" ref="H171">if(isblank(F171),"",xlookup(F171,'FL5_POR_包裝對照表 (Mapping Table)'!E:E,'FL5_POR_包裝對照表 (Mapping Table)'!E:E,"",0,1))</f>
        <v/>
      </c>
      <c r="I171" s="677" t="str">
        <f t="array" ref="I171">if(isblank(F171),"",xlookup(F171,'FL5_POR_包裝對照表 (Mapping Table)'!E:E,'FL5_POR_包裝對照表 (Mapping Table)'!AN:AN,"",0,1))</f>
        <v/>
      </c>
      <c r="J171" s="894" t="str">
        <f t="array" ref="J171">if(isblank(F171),"",xlookup(G171,z_Others!$B$5:$B$17,z_Others!$C$5:$C$17,"",0,1))</f>
        <v/>
      </c>
      <c r="K171" s="894" t="str">
        <f t="array" ref="K171">if(isblank(F171),"",xlookup(G171,z_Others!$B$5:$B$17,z_Others!$E$5:$E$17,"",0,1))</f>
        <v/>
      </c>
      <c r="L171" s="894" t="str">
        <f t="array" ref="L171">if(isblank(F171),"",xlookup(G171,z_Others!$B$5:$B$17,z_Others!$F$5:$F$17,"",0,1))</f>
        <v/>
      </c>
      <c r="M171" s="894" t="str">
        <f t="shared" si="3"/>
        <v/>
      </c>
      <c r="N171" s="894" t="str">
        <f t="shared" si="4"/>
        <v/>
      </c>
      <c r="O171" s="882" t="str">
        <f t="array" ref="O171">if(isblank(F171),"",xlookup(F171,'FL5_POR_包裝對照表 (Mapping Table)'!E:E,'FL5_POR_包裝對照表 (Mapping Table)'!L:L,"",0,1))</f>
        <v/>
      </c>
      <c r="P171" s="909" t="str">
        <f t="array" ref="P171">if(isblank(F171),"",xlookup(G171,z_Others!$B$5:$B$17,z_Others!$J$5:$J$17,"",0,1))</f>
        <v/>
      </c>
      <c r="Q171" s="899" t="str">
        <f t="array" ref="Q171">if(isblank(F171),"",xlookup(F171,'FL5_POR_核價 (經管 &amp; BPM)'!E:E,'FL5_POR_核價 (經管 &amp; BPM)'!O:O,"",0,1))</f>
        <v/>
      </c>
      <c r="R171" s="894" t="str">
        <f t="shared" si="5"/>
        <v/>
      </c>
      <c r="S171" s="894" t="str">
        <f t="array" ref="S171">if(isblank(F171),"",xlookup(G171,z_Others!$B$5:$B$17,z_Others!$K$5:$K$17,"",0,1))</f>
        <v/>
      </c>
      <c r="T171" s="894" t="str">
        <f t="shared" si="19"/>
        <v/>
      </c>
      <c r="U171" s="898" t="str">
        <f t="array" ref="U171">if(isblank(F171),"",xlookup(G171,z_Others!$B$5:$B$17,z_Others!$G$5:$G$17,"",0,1))</f>
        <v/>
      </c>
      <c r="V171" s="231" t="str">
        <f t="array" ref="V171">if(isblank(F171),"",xlookup(F171,'FL5_POR_包裝對照表 (Mapping Table)'!E:E,'FL5_POR_包裝對照表 (Mapping Table)'!AB:AB,"",0,1))</f>
        <v/>
      </c>
      <c r="W171" s="899" t="str">
        <f t="array" ref="W171">if(isblank(F171),"",xlookup(G171,z_Others!$B$5:$B$17,z_Others!$I$5:$I$17,"",0,1))</f>
        <v/>
      </c>
      <c r="X171" s="894" t="str">
        <f t="shared" si="7"/>
        <v/>
      </c>
      <c r="Y171" s="894" t="str">
        <f t="shared" si="8"/>
        <v/>
      </c>
      <c r="Z171" s="900" t="str">
        <f t="shared" si="9"/>
        <v/>
      </c>
      <c r="AA171" s="900" t="str">
        <f t="shared" si="10"/>
        <v/>
      </c>
      <c r="AB171" s="878" t="str">
        <f t="array" ref="AB171">if(isblank(F171),"",xlookup(AJ171,z_Others!$M$5:$M$9,z_Others!$Q$5:$Q$9,"",0,1))</f>
        <v/>
      </c>
      <c r="AC171" s="900" t="str">
        <f t="shared" si="11"/>
        <v/>
      </c>
      <c r="AD171" s="894" t="str">
        <f t="array" ref="AD171">if(isblank(F171),"",xlookup(G171,z_Others!$B$5:$B$14,z_Others!$H$5:$H$14,"",0,1))</f>
        <v/>
      </c>
      <c r="AE171" s="901" t="str">
        <f t="shared" si="12"/>
        <v/>
      </c>
      <c r="AF171" s="791"/>
      <c r="AG171" s="791" t="str">
        <f t="shared" si="20"/>
        <v/>
      </c>
      <c r="AH171" s="787"/>
      <c r="AI171" s="787"/>
      <c r="AJ171" s="677" t="str">
        <f t="array" ref="AJ171">if(isblank(F171),"",xlookup(F171,'FL5_POR_包裝對照表 (Mapping Table)'!E:E,'FL5_POR_包裝對照表 (Mapping Table)'!AS:AS,"",0,1))</f>
        <v/>
      </c>
      <c r="AK171" s="677" t="str">
        <f t="array" ref="AK171">if(isblank(F171),"",xlookup(F171,'FL5_POR_包裝對照表 (Mapping Table)'!E:E,'FL5_POR_包裝對照表 (Mapping Table)'!K:K,"",0,1))</f>
        <v/>
      </c>
      <c r="AL171" s="677"/>
      <c r="AM171" s="813"/>
      <c r="AN171" s="908"/>
      <c r="AO171" s="813"/>
      <c r="AP171" s="813"/>
    </row>
    <row r="172" ht="25.5" customHeight="1">
      <c r="A172" s="889"/>
      <c r="B172" s="877"/>
      <c r="C172" s="891" t="str">
        <f>if(isblank(F172),"",'FL5_POR_包裝對照表 (Mapping Table)'!$E$4)</f>
        <v/>
      </c>
      <c r="D172" s="878" t="str">
        <f t="array" ref="D172">if(isblank(F172),"",xlookup(F172,'FL5_POR_包裝對照表 (Mapping Table)'!E:E,'FL5_POR_包裝對照表 (Mapping Table)'!AZ:AZ,"",0,1))</f>
        <v/>
      </c>
      <c r="E172" s="677" t="str">
        <f t="shared" si="2"/>
        <v/>
      </c>
      <c r="F172" s="879"/>
      <c r="G172" s="892" t="str">
        <f t="array" ref="G172">if(isblank(F172),"",xlookup(F172,'FL5_POR_包裝對照表 (Mapping Table)'!E:E,'FL5_POR_包裝對照表 (Mapping Table)'!D:D,"",0,1))</f>
        <v/>
      </c>
      <c r="H172" s="893" t="str">
        <f t="array" ref="H172">if(isblank(F172),"",xlookup(F172,'FL5_POR_包裝對照表 (Mapping Table)'!E:E,'FL5_POR_包裝對照表 (Mapping Table)'!E:E,"",0,1))</f>
        <v/>
      </c>
      <c r="I172" s="677" t="str">
        <f t="array" ref="I172">if(isblank(F172),"",xlookup(F172,'FL5_POR_包裝對照表 (Mapping Table)'!E:E,'FL5_POR_包裝對照表 (Mapping Table)'!AN:AN,"",0,1))</f>
        <v/>
      </c>
      <c r="J172" s="894" t="str">
        <f t="array" ref="J172">if(isblank(F172),"",xlookup(G172,z_Others!$B$5:$B$17,z_Others!$C$5:$C$17,"",0,1))</f>
        <v/>
      </c>
      <c r="K172" s="894" t="str">
        <f t="array" ref="K172">if(isblank(F172),"",xlookup(G172,z_Others!$B$5:$B$17,z_Others!$E$5:$E$17,"",0,1))</f>
        <v/>
      </c>
      <c r="L172" s="894" t="str">
        <f t="array" ref="L172">if(isblank(F172),"",xlookup(G172,z_Others!$B$5:$B$17,z_Others!$F$5:$F$17,"",0,1))</f>
        <v/>
      </c>
      <c r="M172" s="894" t="str">
        <f t="shared" si="3"/>
        <v/>
      </c>
      <c r="N172" s="894" t="str">
        <f t="shared" si="4"/>
        <v/>
      </c>
      <c r="O172" s="882" t="str">
        <f t="array" ref="O172">if(isblank(F172),"",xlookup(F172,'FL5_POR_包裝對照表 (Mapping Table)'!E:E,'FL5_POR_包裝對照表 (Mapping Table)'!L:L,"",0,1))</f>
        <v/>
      </c>
      <c r="P172" s="909" t="str">
        <f t="array" ref="P172">if(isblank(F172),"",xlookup(G172,z_Others!$B$5:$B$17,z_Others!$J$5:$J$17,"",0,1))</f>
        <v/>
      </c>
      <c r="Q172" s="899" t="str">
        <f t="array" ref="Q172">if(isblank(F172),"",xlookup(F172,'FL5_POR_核價 (經管 &amp; BPM)'!E:E,'FL5_POR_核價 (經管 &amp; BPM)'!O:O,"",0,1))</f>
        <v/>
      </c>
      <c r="R172" s="894" t="str">
        <f t="shared" si="5"/>
        <v/>
      </c>
      <c r="S172" s="894" t="str">
        <f t="array" ref="S172">if(isblank(F172),"",xlookup(G172,z_Others!$B$5:$B$17,z_Others!$K$5:$K$17,"",0,1))</f>
        <v/>
      </c>
      <c r="T172" s="894" t="str">
        <f t="shared" si="19"/>
        <v/>
      </c>
      <c r="U172" s="898" t="str">
        <f t="array" ref="U172">if(isblank(F172),"",xlookup(G172,z_Others!$B$5:$B$17,z_Others!$G$5:$G$17,"",0,1))</f>
        <v/>
      </c>
      <c r="V172" s="231" t="str">
        <f t="array" ref="V172">if(isblank(F172),"",xlookup(F172,'FL5_POR_包裝對照表 (Mapping Table)'!E:E,'FL5_POR_包裝對照表 (Mapping Table)'!AB:AB,"",0,1))</f>
        <v/>
      </c>
      <c r="W172" s="899" t="str">
        <f t="array" ref="W172">if(isblank(F172),"",xlookup(G172,z_Others!$B$5:$B$17,z_Others!$I$5:$I$17,"",0,1))</f>
        <v/>
      </c>
      <c r="X172" s="894" t="str">
        <f t="shared" si="7"/>
        <v/>
      </c>
      <c r="Y172" s="894" t="str">
        <f t="shared" si="8"/>
        <v/>
      </c>
      <c r="Z172" s="900" t="str">
        <f t="shared" si="9"/>
        <v/>
      </c>
      <c r="AA172" s="900" t="str">
        <f t="shared" si="10"/>
        <v/>
      </c>
      <c r="AB172" s="878" t="str">
        <f t="array" ref="AB172">if(isblank(F172),"",xlookup(AJ172,z_Others!$M$5:$M$9,z_Others!$Q$5:$Q$9,"",0,1))</f>
        <v/>
      </c>
      <c r="AC172" s="900" t="str">
        <f t="shared" si="11"/>
        <v/>
      </c>
      <c r="AD172" s="894" t="str">
        <f t="array" ref="AD172">if(isblank(F172),"",xlookup(G172,z_Others!$B$5:$B$14,z_Others!$H$5:$H$14,"",0,1))</f>
        <v/>
      </c>
      <c r="AE172" s="901" t="str">
        <f t="shared" si="12"/>
        <v/>
      </c>
      <c r="AF172" s="791"/>
      <c r="AG172" s="791" t="str">
        <f t="shared" si="20"/>
        <v/>
      </c>
      <c r="AH172" s="787"/>
      <c r="AI172" s="787"/>
      <c r="AJ172" s="677" t="str">
        <f t="array" ref="AJ172">if(isblank(F172),"",xlookup(F172,'FL5_POR_包裝對照表 (Mapping Table)'!E:E,'FL5_POR_包裝對照表 (Mapping Table)'!AS:AS,"",0,1))</f>
        <v/>
      </c>
      <c r="AK172" s="677" t="str">
        <f t="array" ref="AK172">if(isblank(F172),"",xlookup(F172,'FL5_POR_包裝對照表 (Mapping Table)'!E:E,'FL5_POR_包裝對照表 (Mapping Table)'!K:K,"",0,1))</f>
        <v/>
      </c>
      <c r="AL172" s="677"/>
      <c r="AM172" s="813"/>
      <c r="AN172" s="908"/>
      <c r="AO172" s="813"/>
      <c r="AP172" s="813"/>
    </row>
    <row r="173" ht="25.5" customHeight="1">
      <c r="A173" s="889"/>
      <c r="B173" s="877"/>
      <c r="C173" s="891" t="str">
        <f>if(isblank(F173),"",'FL5_POR_包裝對照表 (Mapping Table)'!$E$4)</f>
        <v/>
      </c>
      <c r="D173" s="878" t="str">
        <f t="array" ref="D173">if(isblank(F173),"",xlookup(F173,'FL5_POR_包裝對照表 (Mapping Table)'!E:E,'FL5_POR_包裝對照表 (Mapping Table)'!AZ:AZ,"",0,1))</f>
        <v/>
      </c>
      <c r="E173" s="677" t="str">
        <f t="shared" si="2"/>
        <v/>
      </c>
      <c r="F173" s="879"/>
      <c r="G173" s="892" t="str">
        <f t="array" ref="G173">if(isblank(F173),"",xlookup(F173,'FL5_POR_包裝對照表 (Mapping Table)'!E:E,'FL5_POR_包裝對照表 (Mapping Table)'!D:D,"",0,1))</f>
        <v/>
      </c>
      <c r="H173" s="893" t="str">
        <f t="array" ref="H173">if(isblank(F173),"",xlookup(F173,'FL5_POR_包裝對照表 (Mapping Table)'!E:E,'FL5_POR_包裝對照表 (Mapping Table)'!E:E,"",0,1))</f>
        <v/>
      </c>
      <c r="I173" s="677" t="str">
        <f t="array" ref="I173">if(isblank(F173),"",xlookup(F173,'FL5_POR_包裝對照表 (Mapping Table)'!E:E,'FL5_POR_包裝對照表 (Mapping Table)'!AN:AN,"",0,1))</f>
        <v/>
      </c>
      <c r="J173" s="894" t="str">
        <f t="array" ref="J173">if(isblank(F173),"",xlookup(G173,z_Others!$B$5:$B$17,z_Others!$C$5:$C$17,"",0,1))</f>
        <v/>
      </c>
      <c r="K173" s="894" t="str">
        <f t="array" ref="K173">if(isblank(F173),"",xlookup(G173,z_Others!$B$5:$B$17,z_Others!$E$5:$E$17,"",0,1))</f>
        <v/>
      </c>
      <c r="L173" s="894" t="str">
        <f t="array" ref="L173">if(isblank(F173),"",xlookup(G173,z_Others!$B$5:$B$17,z_Others!$F$5:$F$17,"",0,1))</f>
        <v/>
      </c>
      <c r="M173" s="894" t="str">
        <f t="shared" si="3"/>
        <v/>
      </c>
      <c r="N173" s="894" t="str">
        <f t="shared" si="4"/>
        <v/>
      </c>
      <c r="O173" s="882" t="str">
        <f t="array" ref="O173">if(isblank(F173),"",xlookup(F173,'FL5_POR_包裝對照表 (Mapping Table)'!E:E,'FL5_POR_包裝對照表 (Mapping Table)'!L:L,"",0,1))</f>
        <v/>
      </c>
      <c r="P173" s="909" t="str">
        <f t="array" ref="P173">if(isblank(F173),"",xlookup(G173,z_Others!$B$5:$B$17,z_Others!$J$5:$J$17,"",0,1))</f>
        <v/>
      </c>
      <c r="Q173" s="899" t="str">
        <f t="array" ref="Q173">if(isblank(F173),"",xlookup(F173,'FL5_POR_核價 (經管 &amp; BPM)'!E:E,'FL5_POR_核價 (經管 &amp; BPM)'!O:O,"",0,1))</f>
        <v/>
      </c>
      <c r="R173" s="894" t="str">
        <f t="shared" si="5"/>
        <v/>
      </c>
      <c r="S173" s="894" t="str">
        <f t="array" ref="S173">if(isblank(F173),"",xlookup(G173,z_Others!$B$5:$B$17,z_Others!$K$5:$K$17,"",0,1))</f>
        <v/>
      </c>
      <c r="T173" s="894" t="str">
        <f t="shared" si="19"/>
        <v/>
      </c>
      <c r="U173" s="898" t="str">
        <f t="array" ref="U173">if(isblank(F173),"",xlookup(G173,z_Others!$B$5:$B$17,z_Others!$G$5:$G$17,"",0,1))</f>
        <v/>
      </c>
      <c r="V173" s="231" t="str">
        <f t="array" ref="V173">if(isblank(F173),"",xlookup(F173,'FL5_POR_包裝對照表 (Mapping Table)'!E:E,'FL5_POR_包裝對照表 (Mapping Table)'!AB:AB,"",0,1))</f>
        <v/>
      </c>
      <c r="W173" s="899" t="str">
        <f t="array" ref="W173">if(isblank(F173),"",xlookup(G173,z_Others!$B$5:$B$17,z_Others!$I$5:$I$17,"",0,1))</f>
        <v/>
      </c>
      <c r="X173" s="894" t="str">
        <f t="shared" si="7"/>
        <v/>
      </c>
      <c r="Y173" s="894" t="str">
        <f t="shared" si="8"/>
        <v/>
      </c>
      <c r="Z173" s="900" t="str">
        <f t="shared" si="9"/>
        <v/>
      </c>
      <c r="AA173" s="900" t="str">
        <f t="shared" si="10"/>
        <v/>
      </c>
      <c r="AB173" s="878" t="str">
        <f t="array" ref="AB173">if(isblank(F173),"",xlookup(AJ173,z_Others!$M$5:$M$9,z_Others!$Q$5:$Q$9,"",0,1))</f>
        <v/>
      </c>
      <c r="AC173" s="900" t="str">
        <f t="shared" si="11"/>
        <v/>
      </c>
      <c r="AD173" s="894" t="str">
        <f t="array" ref="AD173">if(isblank(F173),"",xlookup(G173,z_Others!$B$5:$B$14,z_Others!$H$5:$H$14,"",0,1))</f>
        <v/>
      </c>
      <c r="AE173" s="901" t="str">
        <f t="shared" si="12"/>
        <v/>
      </c>
      <c r="AF173" s="791"/>
      <c r="AG173" s="791" t="str">
        <f t="shared" si="20"/>
        <v/>
      </c>
      <c r="AH173" s="787"/>
      <c r="AI173" s="787"/>
      <c r="AJ173" s="677" t="str">
        <f t="array" ref="AJ173">if(isblank(F173),"",xlookup(F173,'FL5_POR_包裝對照表 (Mapping Table)'!E:E,'FL5_POR_包裝對照表 (Mapping Table)'!AS:AS,"",0,1))</f>
        <v/>
      </c>
      <c r="AK173" s="677" t="str">
        <f t="array" ref="AK173">if(isblank(F173),"",xlookup(F173,'FL5_POR_包裝對照表 (Mapping Table)'!E:E,'FL5_POR_包裝對照表 (Mapping Table)'!K:K,"",0,1))</f>
        <v/>
      </c>
      <c r="AL173" s="677"/>
      <c r="AM173" s="813"/>
      <c r="AN173" s="908"/>
      <c r="AO173" s="813"/>
      <c r="AP173" s="813"/>
    </row>
    <row r="174" ht="25.5" customHeight="1">
      <c r="A174" s="889"/>
      <c r="B174" s="877"/>
      <c r="C174" s="891" t="str">
        <f>if(isblank(F174),"",'FL5_POR_包裝對照表 (Mapping Table)'!$E$4)</f>
        <v/>
      </c>
      <c r="D174" s="878" t="str">
        <f t="array" ref="D174">if(isblank(F174),"",xlookup(F174,'FL5_POR_包裝對照表 (Mapping Table)'!E:E,'FL5_POR_包裝對照表 (Mapping Table)'!AZ:AZ,"",0,1))</f>
        <v/>
      </c>
      <c r="E174" s="677" t="str">
        <f t="shared" si="2"/>
        <v/>
      </c>
      <c r="F174" s="879"/>
      <c r="G174" s="892" t="str">
        <f t="array" ref="G174">if(isblank(F174),"",xlookup(F174,'FL5_POR_包裝對照表 (Mapping Table)'!E:E,'FL5_POR_包裝對照表 (Mapping Table)'!D:D,"",0,1))</f>
        <v/>
      </c>
      <c r="H174" s="893" t="str">
        <f t="array" ref="H174">if(isblank(F174),"",xlookup(F174,'FL5_POR_包裝對照表 (Mapping Table)'!E:E,'FL5_POR_包裝對照表 (Mapping Table)'!E:E,"",0,1))</f>
        <v/>
      </c>
      <c r="I174" s="677" t="str">
        <f t="array" ref="I174">if(isblank(F174),"",xlookup(F174,'FL5_POR_包裝對照表 (Mapping Table)'!E:E,'FL5_POR_包裝對照表 (Mapping Table)'!AN:AN,"",0,1))</f>
        <v/>
      </c>
      <c r="J174" s="894" t="str">
        <f t="array" ref="J174">if(isblank(F174),"",xlookup(G174,z_Others!$B$5:$B$17,z_Others!$C$5:$C$17,"",0,1))</f>
        <v/>
      </c>
      <c r="K174" s="894" t="str">
        <f t="array" ref="K174">if(isblank(F174),"",xlookup(G174,z_Others!$B$5:$B$17,z_Others!$E$5:$E$17,"",0,1))</f>
        <v/>
      </c>
      <c r="L174" s="894" t="str">
        <f t="array" ref="L174">if(isblank(F174),"",xlookup(G174,z_Others!$B$5:$B$17,z_Others!$F$5:$F$17,"",0,1))</f>
        <v/>
      </c>
      <c r="M174" s="894" t="str">
        <f t="shared" si="3"/>
        <v/>
      </c>
      <c r="N174" s="894" t="str">
        <f t="shared" si="4"/>
        <v/>
      </c>
      <c r="O174" s="882" t="str">
        <f t="array" ref="O174">if(isblank(F174),"",xlookup(F174,'FL5_POR_包裝對照表 (Mapping Table)'!E:E,'FL5_POR_包裝對照表 (Mapping Table)'!L:L,"",0,1))</f>
        <v/>
      </c>
      <c r="P174" s="909" t="str">
        <f t="array" ref="P174">if(isblank(F174),"",xlookup(G174,z_Others!$B$5:$B$17,z_Others!$J$5:$J$17,"",0,1))</f>
        <v/>
      </c>
      <c r="Q174" s="899" t="str">
        <f t="array" ref="Q174">if(isblank(F174),"",xlookup(F174,'FL5_POR_核價 (經管 &amp; BPM)'!E:E,'FL5_POR_核價 (經管 &amp; BPM)'!O:O,"",0,1))</f>
        <v/>
      </c>
      <c r="R174" s="894" t="str">
        <f t="shared" si="5"/>
        <v/>
      </c>
      <c r="S174" s="894" t="str">
        <f t="array" ref="S174">if(isblank(F174),"",xlookup(G174,z_Others!$B$5:$B$17,z_Others!$K$5:$K$17,"",0,1))</f>
        <v/>
      </c>
      <c r="T174" s="894" t="str">
        <f t="shared" si="19"/>
        <v/>
      </c>
      <c r="U174" s="898" t="str">
        <f t="array" ref="U174">if(isblank(F174),"",xlookup(G174,z_Others!$B$5:$B$17,z_Others!$G$5:$G$17,"",0,1))</f>
        <v/>
      </c>
      <c r="V174" s="231" t="str">
        <f t="array" ref="V174">if(isblank(F174),"",xlookup(F174,'FL5_POR_包裝對照表 (Mapping Table)'!E:E,'FL5_POR_包裝對照表 (Mapping Table)'!AB:AB,"",0,1))</f>
        <v/>
      </c>
      <c r="W174" s="899" t="str">
        <f t="array" ref="W174">if(isblank(F174),"",xlookup(G174,z_Others!$B$5:$B$17,z_Others!$I$5:$I$17,"",0,1))</f>
        <v/>
      </c>
      <c r="X174" s="894" t="str">
        <f t="shared" si="7"/>
        <v/>
      </c>
      <c r="Y174" s="894" t="str">
        <f t="shared" si="8"/>
        <v/>
      </c>
      <c r="Z174" s="900" t="str">
        <f t="shared" si="9"/>
        <v/>
      </c>
      <c r="AA174" s="900" t="str">
        <f t="shared" si="10"/>
        <v/>
      </c>
      <c r="AB174" s="878" t="str">
        <f t="array" ref="AB174">if(isblank(F174),"",xlookup(AJ174,z_Others!$M$5:$M$9,z_Others!$Q$5:$Q$9,"",0,1))</f>
        <v/>
      </c>
      <c r="AC174" s="900" t="str">
        <f t="shared" si="11"/>
        <v/>
      </c>
      <c r="AD174" s="894" t="str">
        <f t="array" ref="AD174">if(isblank(F174),"",xlookup(G174,z_Others!$B$5:$B$14,z_Others!$H$5:$H$14,"",0,1))</f>
        <v/>
      </c>
      <c r="AE174" s="901" t="str">
        <f t="shared" si="12"/>
        <v/>
      </c>
      <c r="AF174" s="791"/>
      <c r="AG174" s="791" t="str">
        <f t="shared" si="20"/>
        <v/>
      </c>
      <c r="AH174" s="787"/>
      <c r="AI174" s="787"/>
      <c r="AJ174" s="677" t="str">
        <f t="array" ref="AJ174">if(isblank(F174),"",xlookup(F174,'FL5_POR_包裝對照表 (Mapping Table)'!E:E,'FL5_POR_包裝對照表 (Mapping Table)'!AS:AS,"",0,1))</f>
        <v/>
      </c>
      <c r="AK174" s="677" t="str">
        <f t="array" ref="AK174">if(isblank(F174),"",xlookup(F174,'FL5_POR_包裝對照表 (Mapping Table)'!E:E,'FL5_POR_包裝對照表 (Mapping Table)'!K:K,"",0,1))</f>
        <v/>
      </c>
      <c r="AL174" s="677"/>
      <c r="AM174" s="813"/>
      <c r="AN174" s="908"/>
      <c r="AO174" s="813"/>
      <c r="AP174" s="813"/>
    </row>
    <row r="175" ht="25.5" customHeight="1">
      <c r="A175" s="910"/>
      <c r="B175" s="877"/>
      <c r="C175" s="891" t="str">
        <f>if(isblank(F175),"",'FL5_POR_包裝對照表 (Mapping Table)'!$E$4)</f>
        <v/>
      </c>
      <c r="D175" s="878" t="str">
        <f t="array" ref="D175">if(isblank(F175),"",xlookup(F175,'FL5_POR_包裝對照表 (Mapping Table)'!E:E,'FL5_POR_包裝對照表 (Mapping Table)'!AZ:AZ,"",0,1))</f>
        <v/>
      </c>
      <c r="E175" s="677" t="str">
        <f t="shared" si="2"/>
        <v/>
      </c>
      <c r="F175" s="879"/>
      <c r="G175" s="892" t="str">
        <f t="array" ref="G175">if(isblank(F175),"",xlookup(F175,'FL5_POR_包裝對照表 (Mapping Table)'!E:E,'FL5_POR_包裝對照表 (Mapping Table)'!D:D,"",0,1))</f>
        <v/>
      </c>
      <c r="H175" s="893" t="str">
        <f t="array" ref="H175">if(isblank(F175),"",xlookup(F175,'FL5_POR_包裝對照表 (Mapping Table)'!E:E,'FL5_POR_包裝對照表 (Mapping Table)'!E:E,"",0,1))</f>
        <v/>
      </c>
      <c r="I175" s="677" t="str">
        <f t="array" ref="I175">if(isblank(F175),"",xlookup(F175,'FL5_POR_包裝對照表 (Mapping Table)'!E:E,'FL5_POR_包裝對照表 (Mapping Table)'!AN:AN,"",0,1))</f>
        <v/>
      </c>
      <c r="J175" s="894" t="str">
        <f t="array" ref="J175">if(isblank(F175),"",xlookup(G175,z_Others!$B$5:$B$17,z_Others!$C$5:$C$17,"",0,1))</f>
        <v/>
      </c>
      <c r="K175" s="894" t="str">
        <f t="array" ref="K175">if(isblank(F175),"",xlookup(G175,z_Others!$B$5:$B$17,z_Others!$E$5:$E$17,"",0,1))</f>
        <v/>
      </c>
      <c r="L175" s="894" t="str">
        <f t="array" ref="L175">if(isblank(F175),"",xlookup(G175,z_Others!$B$5:$B$17,z_Others!$F$5:$F$17,"",0,1))</f>
        <v/>
      </c>
      <c r="M175" s="894" t="str">
        <f t="shared" si="3"/>
        <v/>
      </c>
      <c r="N175" s="894" t="str">
        <f t="shared" si="4"/>
        <v/>
      </c>
      <c r="O175" s="882" t="str">
        <f t="array" ref="O175">if(isblank(F175),"",xlookup(F175,'FL5_POR_包裝對照表 (Mapping Table)'!E:E,'FL5_POR_包裝對照表 (Mapping Table)'!L:L,"",0,1))</f>
        <v/>
      </c>
      <c r="P175" s="909" t="str">
        <f t="array" ref="P175">if(isblank(F175),"",xlookup(G175,z_Others!$B$5:$B$17,z_Others!$J$5:$J$17,"",0,1))</f>
        <v/>
      </c>
      <c r="Q175" s="899" t="str">
        <f t="array" ref="Q175">if(isblank(F175),"",xlookup(F175,'FL5_POR_核價 (經管 &amp; BPM)'!E:E,'FL5_POR_核價 (經管 &amp; BPM)'!O:O,"",0,1))</f>
        <v/>
      </c>
      <c r="R175" s="894" t="str">
        <f t="shared" si="5"/>
        <v/>
      </c>
      <c r="S175" s="894" t="str">
        <f t="array" ref="S175">if(isblank(F175),"",xlookup(G175,z_Others!$B$5:$B$17,z_Others!$K$5:$K$17,"",0,1))</f>
        <v/>
      </c>
      <c r="T175" s="894" t="str">
        <f t="shared" si="19"/>
        <v/>
      </c>
      <c r="U175" s="898" t="str">
        <f t="array" ref="U175">if(isblank(F175),"",xlookup(G175,z_Others!$B$5:$B$17,z_Others!$G$5:$G$17,"",0,1))</f>
        <v/>
      </c>
      <c r="V175" s="231" t="str">
        <f t="array" ref="V175">if(isblank(F175),"",xlookup(F175,'FL5_POR_包裝對照表 (Mapping Table)'!E:E,'FL5_POR_包裝對照表 (Mapping Table)'!AB:AB,"",0,1))</f>
        <v/>
      </c>
      <c r="W175" s="899" t="str">
        <f t="array" ref="W175">if(isblank(F175),"",xlookup(G175,z_Others!$B$5:$B$17,z_Others!$I$5:$I$17,"",0,1))</f>
        <v/>
      </c>
      <c r="X175" s="894" t="str">
        <f t="shared" si="7"/>
        <v/>
      </c>
      <c r="Y175" s="894" t="str">
        <f t="shared" si="8"/>
        <v/>
      </c>
      <c r="Z175" s="900" t="str">
        <f t="shared" si="9"/>
        <v/>
      </c>
      <c r="AA175" s="900" t="str">
        <f t="shared" si="10"/>
        <v/>
      </c>
      <c r="AB175" s="878" t="str">
        <f t="array" ref="AB175">if(isblank(F175),"",xlookup(AJ175,z_Others!$M$5:$M$9,z_Others!$Q$5:$Q$9,"",0,1))</f>
        <v/>
      </c>
      <c r="AC175" s="900" t="str">
        <f t="shared" si="11"/>
        <v/>
      </c>
      <c r="AD175" s="894" t="str">
        <f t="array" ref="AD175">if(isblank(F175),"",xlookup(G175,z_Others!$B$5:$B$14,z_Others!$H$5:$H$14,"",0,1))</f>
        <v/>
      </c>
      <c r="AE175" s="901" t="str">
        <f t="shared" si="12"/>
        <v/>
      </c>
      <c r="AF175" s="791"/>
      <c r="AG175" s="791" t="str">
        <f t="shared" si="20"/>
        <v/>
      </c>
      <c r="AH175" s="787"/>
      <c r="AI175" s="787"/>
      <c r="AJ175" s="677" t="str">
        <f t="array" ref="AJ175">if(isblank(F175),"",xlookup(F175,'FL5_POR_包裝對照表 (Mapping Table)'!E:E,'FL5_POR_包裝對照表 (Mapping Table)'!AS:AS,"",0,1))</f>
        <v/>
      </c>
      <c r="AK175" s="677" t="str">
        <f t="array" ref="AK175">if(isblank(F175),"",xlookup(F175,'FL5_POR_包裝對照表 (Mapping Table)'!E:E,'FL5_POR_包裝對照表 (Mapping Table)'!K:K,"",0,1))</f>
        <v/>
      </c>
      <c r="AL175" s="677"/>
      <c r="AM175" s="813"/>
      <c r="AN175" s="908"/>
      <c r="AO175" s="813"/>
      <c r="AP175" s="813"/>
    </row>
    <row r="176" ht="25.5" customHeight="1">
      <c r="A176" s="910"/>
      <c r="B176" s="877"/>
      <c r="C176" s="891" t="str">
        <f>if(isblank(F176),"",'FL5_POR_包裝對照表 (Mapping Table)'!$E$4)</f>
        <v/>
      </c>
      <c r="D176" s="878" t="str">
        <f t="array" ref="D176">if(isblank(F176),"",xlookup(F176,'FL5_POR_包裝對照表 (Mapping Table)'!E:E,'FL5_POR_包裝對照表 (Mapping Table)'!AZ:AZ,"",0,1))</f>
        <v/>
      </c>
      <c r="E176" s="677" t="str">
        <f t="shared" si="2"/>
        <v/>
      </c>
      <c r="F176" s="879"/>
      <c r="G176" s="892" t="str">
        <f t="array" ref="G176">if(isblank(F176),"",xlookup(F176,'FL5_POR_包裝對照表 (Mapping Table)'!E:E,'FL5_POR_包裝對照表 (Mapping Table)'!D:D,"",0,1))</f>
        <v/>
      </c>
      <c r="H176" s="893" t="str">
        <f t="array" ref="H176">if(isblank(F176),"",xlookup(F176,'FL5_POR_包裝對照表 (Mapping Table)'!E:E,'FL5_POR_包裝對照表 (Mapping Table)'!E:E,"",0,1))</f>
        <v/>
      </c>
      <c r="I176" s="677" t="str">
        <f t="array" ref="I176">if(isblank(F176),"",xlookup(F176,'FL5_POR_包裝對照表 (Mapping Table)'!E:E,'FL5_POR_包裝對照表 (Mapping Table)'!AN:AN,"",0,1))</f>
        <v/>
      </c>
      <c r="J176" s="894" t="str">
        <f t="array" ref="J176">if(isblank(F176),"",xlookup(G176,z_Others!$B$5:$B$17,z_Others!$C$5:$C$17,"",0,1))</f>
        <v/>
      </c>
      <c r="K176" s="894" t="str">
        <f t="array" ref="K176">if(isblank(F176),"",xlookup(G176,z_Others!$B$5:$B$17,z_Others!$E$5:$E$17,"",0,1))</f>
        <v/>
      </c>
      <c r="L176" s="894" t="str">
        <f t="array" ref="L176">if(isblank(F176),"",xlookup(G176,z_Others!$B$5:$B$17,z_Others!$F$5:$F$17,"",0,1))</f>
        <v/>
      </c>
      <c r="M176" s="894" t="str">
        <f t="shared" si="3"/>
        <v/>
      </c>
      <c r="N176" s="894" t="str">
        <f t="shared" si="4"/>
        <v/>
      </c>
      <c r="O176" s="882" t="str">
        <f t="array" ref="O176">if(isblank(F176),"",xlookup(F176,'FL5_POR_包裝對照表 (Mapping Table)'!E:E,'FL5_POR_包裝對照表 (Mapping Table)'!L:L,"",0,1))</f>
        <v/>
      </c>
      <c r="P176" s="909" t="str">
        <f t="array" ref="P176">if(isblank(F176),"",xlookup(G176,z_Others!$B$5:$B$17,z_Others!$J$5:$J$17,"",0,1))</f>
        <v/>
      </c>
      <c r="Q176" s="899" t="str">
        <f t="array" ref="Q176">if(isblank(F176),"",xlookup(F176,'FL5_POR_核價 (經管 &amp; BPM)'!E:E,'FL5_POR_核價 (經管 &amp; BPM)'!O:O,"",0,1))</f>
        <v/>
      </c>
      <c r="R176" s="894" t="str">
        <f t="shared" si="5"/>
        <v/>
      </c>
      <c r="S176" s="894" t="str">
        <f t="array" ref="S176">if(isblank(F176),"",xlookup(G176,z_Others!$B$5:$B$17,z_Others!$K$5:$K$17,"",0,1))</f>
        <v/>
      </c>
      <c r="T176" s="894" t="str">
        <f t="shared" si="19"/>
        <v/>
      </c>
      <c r="U176" s="898" t="str">
        <f t="array" ref="U176">if(isblank(F176),"",xlookup(G176,z_Others!$B$5:$B$17,z_Others!$G$5:$G$17,"",0,1))</f>
        <v/>
      </c>
      <c r="V176" s="231" t="str">
        <f t="array" ref="V176">if(isblank(F176),"",xlookup(F176,'FL5_POR_包裝對照表 (Mapping Table)'!E:E,'FL5_POR_包裝對照表 (Mapping Table)'!AB:AB,"",0,1))</f>
        <v/>
      </c>
      <c r="W176" s="899" t="str">
        <f t="array" ref="W176">if(isblank(F176),"",xlookup(G176,z_Others!$B$5:$B$17,z_Others!$I$5:$I$17,"",0,1))</f>
        <v/>
      </c>
      <c r="X176" s="894" t="str">
        <f t="shared" si="7"/>
        <v/>
      </c>
      <c r="Y176" s="894" t="str">
        <f t="shared" si="8"/>
        <v/>
      </c>
      <c r="Z176" s="900" t="str">
        <f t="shared" si="9"/>
        <v/>
      </c>
      <c r="AA176" s="900" t="str">
        <f t="shared" si="10"/>
        <v/>
      </c>
      <c r="AB176" s="878" t="str">
        <f t="array" ref="AB176">if(isblank(F176),"",xlookup(AJ176,z_Others!$M$5:$M$9,z_Others!$Q$5:$Q$9,"",0,1))</f>
        <v/>
      </c>
      <c r="AC176" s="900" t="str">
        <f t="shared" si="11"/>
        <v/>
      </c>
      <c r="AD176" s="894" t="str">
        <f t="array" ref="AD176">if(isblank(F176),"",xlookup(G176,z_Others!$B$5:$B$14,z_Others!$H$5:$H$14,"",0,1))</f>
        <v/>
      </c>
      <c r="AE176" s="901" t="str">
        <f t="shared" si="12"/>
        <v/>
      </c>
      <c r="AF176" s="791"/>
      <c r="AG176" s="791" t="str">
        <f t="shared" si="20"/>
        <v/>
      </c>
      <c r="AH176" s="787"/>
      <c r="AI176" s="787"/>
      <c r="AJ176" s="677" t="str">
        <f t="array" ref="AJ176">if(isblank(F176),"",xlookup(F176,'FL5_POR_包裝對照表 (Mapping Table)'!E:E,'FL5_POR_包裝對照表 (Mapping Table)'!AS:AS,"",0,1))</f>
        <v/>
      </c>
      <c r="AK176" s="677" t="str">
        <f t="array" ref="AK176">if(isblank(F176),"",xlookup(F176,'FL5_POR_包裝對照表 (Mapping Table)'!E:E,'FL5_POR_包裝對照表 (Mapping Table)'!K:K,"",0,1))</f>
        <v/>
      </c>
      <c r="AL176" s="677"/>
      <c r="AM176" s="813"/>
      <c r="AN176" s="908"/>
      <c r="AO176" s="813"/>
      <c r="AP176" s="813"/>
    </row>
    <row r="177" ht="25.5" customHeight="1">
      <c r="A177" s="910"/>
      <c r="B177" s="877"/>
      <c r="C177" s="891" t="str">
        <f>if(isblank(F177),"",'FL5_POR_包裝對照表 (Mapping Table)'!$E$4)</f>
        <v/>
      </c>
      <c r="D177" s="878" t="str">
        <f t="array" ref="D177">if(isblank(F177),"",xlookup(F177,'FL5_POR_包裝對照表 (Mapping Table)'!E:E,'FL5_POR_包裝對照表 (Mapping Table)'!AZ:AZ,"",0,1))</f>
        <v/>
      </c>
      <c r="E177" s="677" t="str">
        <f t="shared" si="2"/>
        <v/>
      </c>
      <c r="F177" s="879"/>
      <c r="G177" s="892" t="str">
        <f t="array" ref="G177">if(isblank(F177),"",xlookup(F177,'FL5_POR_包裝對照表 (Mapping Table)'!E:E,'FL5_POR_包裝對照表 (Mapping Table)'!D:D,"",0,1))</f>
        <v/>
      </c>
      <c r="H177" s="893" t="str">
        <f t="array" ref="H177">if(isblank(F177),"",xlookup(F177,'FL5_POR_包裝對照表 (Mapping Table)'!E:E,'FL5_POR_包裝對照表 (Mapping Table)'!E:E,"",0,1))</f>
        <v/>
      </c>
      <c r="I177" s="677" t="str">
        <f t="array" ref="I177">if(isblank(F177),"",xlookup(F177,'FL5_POR_包裝對照表 (Mapping Table)'!E:E,'FL5_POR_包裝對照表 (Mapping Table)'!AN:AN,"",0,1))</f>
        <v/>
      </c>
      <c r="J177" s="894" t="str">
        <f t="array" ref="J177">if(isblank(F177),"",xlookup(G177,z_Others!$B$5:$B$17,z_Others!$C$5:$C$17,"",0,1))</f>
        <v/>
      </c>
      <c r="K177" s="894" t="str">
        <f t="array" ref="K177">if(isblank(F177),"",xlookup(G177,z_Others!$B$5:$B$17,z_Others!$E$5:$E$17,"",0,1))</f>
        <v/>
      </c>
      <c r="L177" s="894" t="str">
        <f t="array" ref="L177">if(isblank(F177),"",xlookup(G177,z_Others!$B$5:$B$17,z_Others!$F$5:$F$17,"",0,1))</f>
        <v/>
      </c>
      <c r="M177" s="894" t="str">
        <f t="shared" si="3"/>
        <v/>
      </c>
      <c r="N177" s="894" t="str">
        <f t="shared" si="4"/>
        <v/>
      </c>
      <c r="O177" s="882" t="str">
        <f t="array" ref="O177">if(isblank(F177),"",xlookup(F177,'FL5_POR_包裝對照表 (Mapping Table)'!E:E,'FL5_POR_包裝對照表 (Mapping Table)'!L:L,"",0,1))</f>
        <v/>
      </c>
      <c r="P177" s="909" t="str">
        <f t="array" ref="P177">if(isblank(F177),"",xlookup(G177,z_Others!$B$5:$B$17,z_Others!$J$5:$J$17,"",0,1))</f>
        <v/>
      </c>
      <c r="Q177" s="899" t="str">
        <f t="array" ref="Q177">if(isblank(F177),"",xlookup(F177,'FL5_POR_核價 (經管 &amp; BPM)'!E:E,'FL5_POR_核價 (經管 &amp; BPM)'!O:O,"",0,1))</f>
        <v/>
      </c>
      <c r="R177" s="894" t="str">
        <f t="shared" si="5"/>
        <v/>
      </c>
      <c r="S177" s="894" t="str">
        <f t="array" ref="S177">if(isblank(F177),"",xlookup(G177,z_Others!$B$5:$B$17,z_Others!$K$5:$K$17,"",0,1))</f>
        <v/>
      </c>
      <c r="T177" s="894" t="str">
        <f t="shared" si="19"/>
        <v/>
      </c>
      <c r="U177" s="898" t="str">
        <f t="array" ref="U177">if(isblank(F177),"",xlookup(G177,z_Others!$B$5:$B$17,z_Others!$G$5:$G$17,"",0,1))</f>
        <v/>
      </c>
      <c r="V177" s="231" t="str">
        <f t="array" ref="V177">if(isblank(F177),"",xlookup(F177,'FL5_POR_包裝對照表 (Mapping Table)'!E:E,'FL5_POR_包裝對照表 (Mapping Table)'!AB:AB,"",0,1))</f>
        <v/>
      </c>
      <c r="W177" s="899" t="str">
        <f t="array" ref="W177">if(isblank(F177),"",xlookup(G177,z_Others!$B$5:$B$17,z_Others!$I$5:$I$17,"",0,1))</f>
        <v/>
      </c>
      <c r="X177" s="894" t="str">
        <f t="shared" si="7"/>
        <v/>
      </c>
      <c r="Y177" s="894" t="str">
        <f t="shared" si="8"/>
        <v/>
      </c>
      <c r="Z177" s="900" t="str">
        <f t="shared" si="9"/>
        <v/>
      </c>
      <c r="AA177" s="900" t="str">
        <f t="shared" si="10"/>
        <v/>
      </c>
      <c r="AB177" s="878" t="str">
        <f t="array" ref="AB177">if(isblank(F177),"",xlookup(AJ177,z_Others!$M$5:$M$9,z_Others!$Q$5:$Q$9,"",0,1))</f>
        <v/>
      </c>
      <c r="AC177" s="900" t="str">
        <f t="shared" si="11"/>
        <v/>
      </c>
      <c r="AD177" s="894" t="str">
        <f t="array" ref="AD177">if(isblank(F177),"",xlookup(G177,z_Others!$B$5:$B$14,z_Others!$H$5:$H$14,"",0,1))</f>
        <v/>
      </c>
      <c r="AE177" s="901" t="str">
        <f t="shared" si="12"/>
        <v/>
      </c>
      <c r="AF177" s="791"/>
      <c r="AG177" s="791" t="str">
        <f t="shared" si="20"/>
        <v/>
      </c>
      <c r="AH177" s="787"/>
      <c r="AI177" s="787"/>
      <c r="AJ177" s="677" t="str">
        <f t="array" ref="AJ177">if(isblank(F177),"",xlookup(F177,'FL5_POR_包裝對照表 (Mapping Table)'!E:E,'FL5_POR_包裝對照表 (Mapping Table)'!AS:AS,"",0,1))</f>
        <v/>
      </c>
      <c r="AK177" s="677" t="str">
        <f t="array" ref="AK177">if(isblank(F177),"",xlookup(F177,'FL5_POR_包裝對照表 (Mapping Table)'!E:E,'FL5_POR_包裝對照表 (Mapping Table)'!K:K,"",0,1))</f>
        <v/>
      </c>
      <c r="AL177" s="677"/>
      <c r="AM177" s="813"/>
      <c r="AN177" s="908"/>
      <c r="AO177" s="813"/>
      <c r="AP177" s="813"/>
    </row>
    <row r="178" ht="25.5" customHeight="1">
      <c r="A178" s="905"/>
      <c r="B178" s="877"/>
      <c r="C178" s="891" t="str">
        <f>if(isblank(F178),"",'FL5_POR_包裝對照表 (Mapping Table)'!$E$4)</f>
        <v/>
      </c>
      <c r="D178" s="878" t="str">
        <f t="array" ref="D178">if(isblank(F178),"",xlookup(F178,'FL5_POR_包裝對照表 (Mapping Table)'!E:E,'FL5_POR_包裝對照表 (Mapping Table)'!AZ:AZ,"",0,1))</f>
        <v/>
      </c>
      <c r="E178" s="677" t="str">
        <f t="shared" si="2"/>
        <v/>
      </c>
      <c r="F178" s="879"/>
      <c r="G178" s="892" t="str">
        <f t="array" ref="G178">if(isblank(F178),"",xlookup(F178,'FL5_POR_包裝對照表 (Mapping Table)'!E:E,'FL5_POR_包裝對照表 (Mapping Table)'!D:D,"",0,1))</f>
        <v/>
      </c>
      <c r="H178" s="893" t="str">
        <f t="array" ref="H178">if(isblank(F178),"",xlookup(F178,'FL5_POR_包裝對照表 (Mapping Table)'!E:E,'FL5_POR_包裝對照表 (Mapping Table)'!E:E,"",0,1))</f>
        <v/>
      </c>
      <c r="I178" s="677" t="str">
        <f t="array" ref="I178">if(isblank(F178),"",xlookup(F178,'FL5_POR_包裝對照表 (Mapping Table)'!E:E,'FL5_POR_包裝對照表 (Mapping Table)'!AN:AN,"",0,1))</f>
        <v/>
      </c>
      <c r="J178" s="894" t="str">
        <f t="array" ref="J178">if(isblank(F178),"",xlookup(G178,z_Others!$B$5:$B$17,z_Others!$C$5:$C$17,"",0,1))</f>
        <v/>
      </c>
      <c r="K178" s="894" t="str">
        <f t="array" ref="K178">if(isblank(F178),"",xlookup(G178,z_Others!$B$5:$B$17,z_Others!$E$5:$E$17,"",0,1))</f>
        <v/>
      </c>
      <c r="L178" s="894" t="str">
        <f t="array" ref="L178">if(isblank(F178),"",xlookup(G178,z_Others!$B$5:$B$17,z_Others!$F$5:$F$17,"",0,1))</f>
        <v/>
      </c>
      <c r="M178" s="894" t="str">
        <f t="shared" si="3"/>
        <v/>
      </c>
      <c r="N178" s="894" t="str">
        <f t="shared" si="4"/>
        <v/>
      </c>
      <c r="O178" s="882" t="str">
        <f t="array" ref="O178">if(isblank(F178),"",xlookup(F178,'FL5_POR_包裝對照表 (Mapping Table)'!E:E,'FL5_POR_包裝對照表 (Mapping Table)'!L:L,"",0,1))</f>
        <v/>
      </c>
      <c r="P178" s="909" t="str">
        <f t="array" ref="P178">if(isblank(F178),"",xlookup(G178,z_Others!$B$5:$B$17,z_Others!$J$5:$J$17,"",0,1))</f>
        <v/>
      </c>
      <c r="Q178" s="899" t="str">
        <f t="array" ref="Q178">if(isblank(F178),"",xlookup(F178,'FL5_POR_核價 (經管 &amp; BPM)'!E:E,'FL5_POR_核價 (經管 &amp; BPM)'!O:O,"",0,1))</f>
        <v/>
      </c>
      <c r="R178" s="894" t="str">
        <f t="shared" si="5"/>
        <v/>
      </c>
      <c r="S178" s="894" t="str">
        <f t="array" ref="S178">if(isblank(F178),"",xlookup(G178,z_Others!$B$5:$B$17,z_Others!$K$5:$K$17,"",0,1))</f>
        <v/>
      </c>
      <c r="T178" s="894" t="str">
        <f t="shared" si="19"/>
        <v/>
      </c>
      <c r="U178" s="898" t="str">
        <f t="array" ref="U178">if(isblank(F178),"",xlookup(G178,z_Others!$B$5:$B$17,z_Others!$G$5:$G$17,"",0,1))</f>
        <v/>
      </c>
      <c r="V178" s="231" t="str">
        <f t="array" ref="V178">if(isblank(F178),"",xlookup(F178,'FL5_POR_包裝對照表 (Mapping Table)'!E:E,'FL5_POR_包裝對照表 (Mapping Table)'!AB:AB,"",0,1))</f>
        <v/>
      </c>
      <c r="W178" s="899" t="str">
        <f t="array" ref="W178">if(isblank(F178),"",xlookup(G178,z_Others!$B$5:$B$17,z_Others!$I$5:$I$17,"",0,1))</f>
        <v/>
      </c>
      <c r="X178" s="894" t="str">
        <f t="shared" si="7"/>
        <v/>
      </c>
      <c r="Y178" s="894" t="str">
        <f t="shared" si="8"/>
        <v/>
      </c>
      <c r="Z178" s="900" t="str">
        <f t="shared" si="9"/>
        <v/>
      </c>
      <c r="AA178" s="900" t="str">
        <f t="shared" si="10"/>
        <v/>
      </c>
      <c r="AB178" s="878" t="str">
        <f t="array" ref="AB178">if(isblank(F178),"",xlookup(AJ178,z_Others!$M$5:$M$9,z_Others!$Q$5:$Q$9,"",0,1))</f>
        <v/>
      </c>
      <c r="AC178" s="900" t="str">
        <f t="shared" si="11"/>
        <v/>
      </c>
      <c r="AD178" s="894" t="str">
        <f t="array" ref="AD178">if(isblank(F178),"",xlookup(G178,z_Others!$B$5:$B$14,z_Others!$H$5:$H$14,"",0,1))</f>
        <v/>
      </c>
      <c r="AE178" s="901" t="str">
        <f t="shared" si="12"/>
        <v/>
      </c>
      <c r="AF178" s="791"/>
      <c r="AG178" s="791" t="str">
        <f t="shared" si="20"/>
        <v/>
      </c>
      <c r="AH178" s="787"/>
      <c r="AI178" s="787"/>
      <c r="AJ178" s="677" t="str">
        <f t="array" ref="AJ178">if(isblank(F178),"",xlookup(F178,'FL5_POR_包裝對照表 (Mapping Table)'!E:E,'FL5_POR_包裝對照表 (Mapping Table)'!AS:AS,"",0,1))</f>
        <v/>
      </c>
      <c r="AK178" s="677" t="str">
        <f t="array" ref="AK178">if(isblank(F178),"",xlookup(F178,'FL5_POR_包裝對照表 (Mapping Table)'!E:E,'FL5_POR_包裝對照表 (Mapping Table)'!K:K,"",0,1))</f>
        <v/>
      </c>
      <c r="AL178" s="677"/>
      <c r="AM178" s="813"/>
      <c r="AN178" s="908"/>
      <c r="AO178" s="813"/>
      <c r="AP178" s="813"/>
    </row>
    <row r="179" ht="25.5" customHeight="1">
      <c r="A179" s="905"/>
      <c r="B179" s="877"/>
      <c r="C179" s="891" t="str">
        <f>if(isblank(F179),"",'FL5_POR_包裝對照表 (Mapping Table)'!$E$4)</f>
        <v/>
      </c>
      <c r="D179" s="878" t="str">
        <f t="array" ref="D179">if(isblank(F179),"",xlookup(F179,'FL5_POR_包裝對照表 (Mapping Table)'!E:E,'FL5_POR_包裝對照表 (Mapping Table)'!AZ:AZ,"",0,1))</f>
        <v/>
      </c>
      <c r="E179" s="677" t="str">
        <f t="shared" si="2"/>
        <v/>
      </c>
      <c r="F179" s="879"/>
      <c r="G179" s="892" t="str">
        <f t="array" ref="G179">if(isblank(F179),"",xlookup(F179,'FL5_POR_包裝對照表 (Mapping Table)'!E:E,'FL5_POR_包裝對照表 (Mapping Table)'!D:D,"",0,1))</f>
        <v/>
      </c>
      <c r="H179" s="893" t="str">
        <f t="array" ref="H179">if(isblank(F179),"",xlookup(F179,'FL5_POR_包裝對照表 (Mapping Table)'!E:E,'FL5_POR_包裝對照表 (Mapping Table)'!E:E,"",0,1))</f>
        <v/>
      </c>
      <c r="I179" s="677" t="str">
        <f t="array" ref="I179">if(isblank(F179),"",xlookup(F179,'FL5_POR_包裝對照表 (Mapping Table)'!E:E,'FL5_POR_包裝對照表 (Mapping Table)'!AN:AN,"",0,1))</f>
        <v/>
      </c>
      <c r="J179" s="894" t="str">
        <f t="array" ref="J179">if(isblank(F179),"",xlookup(G179,z_Others!$B$5:$B$17,z_Others!$C$5:$C$17,"",0,1))</f>
        <v/>
      </c>
      <c r="K179" s="894" t="str">
        <f t="array" ref="K179">if(isblank(F179),"",xlookup(G179,z_Others!$B$5:$B$17,z_Others!$E$5:$E$17,"",0,1))</f>
        <v/>
      </c>
      <c r="L179" s="894" t="str">
        <f t="array" ref="L179">if(isblank(F179),"",xlookup(G179,z_Others!$B$5:$B$17,z_Others!$F$5:$F$17,"",0,1))</f>
        <v/>
      </c>
      <c r="M179" s="894" t="str">
        <f t="shared" si="3"/>
        <v/>
      </c>
      <c r="N179" s="894" t="str">
        <f t="shared" si="4"/>
        <v/>
      </c>
      <c r="O179" s="882" t="str">
        <f t="array" ref="O179">if(isblank(F179),"",xlookup(F179,'FL5_POR_包裝對照表 (Mapping Table)'!E:E,'FL5_POR_包裝對照表 (Mapping Table)'!L:L,"",0,1))</f>
        <v/>
      </c>
      <c r="P179" s="909" t="str">
        <f t="array" ref="P179">if(isblank(F179),"",xlookup(G179,z_Others!$B$5:$B$17,z_Others!$J$5:$J$17,"",0,1))</f>
        <v/>
      </c>
      <c r="Q179" s="899" t="str">
        <f t="array" ref="Q179">if(isblank(F179),"",xlookup(F179,'FL5_POR_核價 (經管 &amp; BPM)'!E:E,'FL5_POR_核價 (經管 &amp; BPM)'!O:O,"",0,1))</f>
        <v/>
      </c>
      <c r="R179" s="894" t="str">
        <f t="shared" si="5"/>
        <v/>
      </c>
      <c r="S179" s="894" t="str">
        <f t="array" ref="S179">if(isblank(F179),"",xlookup(G179,z_Others!$B$5:$B$17,z_Others!$K$5:$K$17,"",0,1))</f>
        <v/>
      </c>
      <c r="T179" s="894" t="str">
        <f t="shared" si="19"/>
        <v/>
      </c>
      <c r="U179" s="898" t="str">
        <f t="array" ref="U179">if(isblank(F179),"",xlookup(G179,z_Others!$B$5:$B$17,z_Others!$G$5:$G$17,"",0,1))</f>
        <v/>
      </c>
      <c r="V179" s="231" t="str">
        <f t="array" ref="V179">if(isblank(F179),"",xlookup(F179,'FL5_POR_包裝對照表 (Mapping Table)'!E:E,'FL5_POR_包裝對照表 (Mapping Table)'!AB:AB,"",0,1))</f>
        <v/>
      </c>
      <c r="W179" s="899" t="str">
        <f t="array" ref="W179">if(isblank(F179),"",xlookup(G179,z_Others!$B$5:$B$17,z_Others!$I$5:$I$17,"",0,1))</f>
        <v/>
      </c>
      <c r="X179" s="894" t="str">
        <f t="shared" si="7"/>
        <v/>
      </c>
      <c r="Y179" s="894" t="str">
        <f t="shared" si="8"/>
        <v/>
      </c>
      <c r="Z179" s="900" t="str">
        <f t="shared" si="9"/>
        <v/>
      </c>
      <c r="AA179" s="900" t="str">
        <f t="shared" si="10"/>
        <v/>
      </c>
      <c r="AB179" s="878" t="str">
        <f t="array" ref="AB179">if(isblank(F179),"",xlookup(AJ179,z_Others!$M$5:$M$9,z_Others!$Q$5:$Q$9,"",0,1))</f>
        <v/>
      </c>
      <c r="AC179" s="900" t="str">
        <f t="shared" si="11"/>
        <v/>
      </c>
      <c r="AD179" s="894" t="str">
        <f t="array" ref="AD179">if(isblank(F179),"",xlookup(G179,z_Others!$B$5:$B$14,z_Others!$H$5:$H$14,"",0,1))</f>
        <v/>
      </c>
      <c r="AE179" s="901" t="str">
        <f t="shared" si="12"/>
        <v/>
      </c>
      <c r="AF179" s="791"/>
      <c r="AG179" s="791" t="str">
        <f t="shared" si="20"/>
        <v/>
      </c>
      <c r="AH179" s="787"/>
      <c r="AI179" s="787"/>
      <c r="AJ179" s="677" t="str">
        <f t="array" ref="AJ179">if(isblank(F179),"",xlookup(F179,'FL5_POR_包裝對照表 (Mapping Table)'!E:E,'FL5_POR_包裝對照表 (Mapping Table)'!AS:AS,"",0,1))</f>
        <v/>
      </c>
      <c r="AK179" s="677" t="str">
        <f t="array" ref="AK179">if(isblank(F179),"",xlookup(F179,'FL5_POR_包裝對照表 (Mapping Table)'!E:E,'FL5_POR_包裝對照表 (Mapping Table)'!K:K,"",0,1))</f>
        <v/>
      </c>
      <c r="AL179" s="677"/>
      <c r="AM179" s="813"/>
      <c r="AN179" s="908"/>
      <c r="AO179" s="813"/>
      <c r="AP179" s="813"/>
    </row>
    <row r="180" ht="25.5" customHeight="1">
      <c r="A180" s="910"/>
      <c r="B180" s="877"/>
      <c r="C180" s="891" t="str">
        <f>if(isblank(F180),"",'FL5_POR_包裝對照表 (Mapping Table)'!$E$4)</f>
        <v/>
      </c>
      <c r="D180" s="878" t="str">
        <f t="array" ref="D180">if(isblank(F180),"",xlookup(F180,'FL5_POR_包裝對照表 (Mapping Table)'!E:E,'FL5_POR_包裝對照表 (Mapping Table)'!AZ:AZ,"",0,1))</f>
        <v/>
      </c>
      <c r="E180" s="677" t="str">
        <f t="shared" si="2"/>
        <v/>
      </c>
      <c r="F180" s="879"/>
      <c r="G180" s="892" t="str">
        <f t="array" ref="G180">if(isblank(F180),"",xlookup(F180,'FL5_POR_包裝對照表 (Mapping Table)'!E:E,'FL5_POR_包裝對照表 (Mapping Table)'!D:D,"",0,1))</f>
        <v/>
      </c>
      <c r="H180" s="893" t="str">
        <f t="array" ref="H180">if(isblank(F180),"",xlookup(F180,'FL5_POR_包裝對照表 (Mapping Table)'!E:E,'FL5_POR_包裝對照表 (Mapping Table)'!E:E,"",0,1))</f>
        <v/>
      </c>
      <c r="I180" s="677" t="str">
        <f t="array" ref="I180">if(isblank(F180),"",xlookup(F180,'FL5_POR_包裝對照表 (Mapping Table)'!E:E,'FL5_POR_包裝對照表 (Mapping Table)'!AN:AN,"",0,1))</f>
        <v/>
      </c>
      <c r="J180" s="894" t="str">
        <f t="array" ref="J180">if(isblank(F180),"",xlookup(G180,z_Others!$B$5:$B$17,z_Others!$C$5:$C$17,"",0,1))</f>
        <v/>
      </c>
      <c r="K180" s="894" t="str">
        <f t="array" ref="K180">if(isblank(F180),"",xlookup(G180,z_Others!$B$5:$B$17,z_Others!$E$5:$E$17,"",0,1))</f>
        <v/>
      </c>
      <c r="L180" s="894" t="str">
        <f t="array" ref="L180">if(isblank(F180),"",xlookup(G180,z_Others!$B$5:$B$17,z_Others!$F$5:$F$17,"",0,1))</f>
        <v/>
      </c>
      <c r="M180" s="894" t="str">
        <f t="shared" si="3"/>
        <v/>
      </c>
      <c r="N180" s="894" t="str">
        <f t="shared" si="4"/>
        <v/>
      </c>
      <c r="O180" s="882" t="str">
        <f t="array" ref="O180">if(isblank(F180),"",xlookup(F180,'FL5_POR_包裝對照表 (Mapping Table)'!E:E,'FL5_POR_包裝對照表 (Mapping Table)'!L:L,"",0,1))</f>
        <v/>
      </c>
      <c r="P180" s="909" t="str">
        <f t="array" ref="P180">if(isblank(F180),"",xlookup(G180,z_Others!$B$5:$B$17,z_Others!$J$5:$J$17,"",0,1))</f>
        <v/>
      </c>
      <c r="Q180" s="899" t="str">
        <f t="array" ref="Q180">if(isblank(F180),"",xlookup(F180,'FL5_POR_核價 (經管 &amp; BPM)'!E:E,'FL5_POR_核價 (經管 &amp; BPM)'!O:O,"",0,1))</f>
        <v/>
      </c>
      <c r="R180" s="894" t="str">
        <f t="shared" si="5"/>
        <v/>
      </c>
      <c r="S180" s="894" t="str">
        <f t="array" ref="S180">if(isblank(F180),"",xlookup(G180,z_Others!$B$5:$B$17,z_Others!$K$5:$K$17,"",0,1))</f>
        <v/>
      </c>
      <c r="T180" s="894" t="str">
        <f t="shared" si="19"/>
        <v/>
      </c>
      <c r="U180" s="898" t="str">
        <f t="array" ref="U180">if(isblank(F180),"",xlookup(G180,z_Others!$B$5:$B$17,z_Others!$G$5:$G$17,"",0,1))</f>
        <v/>
      </c>
      <c r="V180" s="231" t="str">
        <f t="array" ref="V180">if(isblank(F180),"",xlookup(F180,'FL5_POR_包裝對照表 (Mapping Table)'!E:E,'FL5_POR_包裝對照表 (Mapping Table)'!AB:AB,"",0,1))</f>
        <v/>
      </c>
      <c r="W180" s="899" t="str">
        <f t="array" ref="W180">if(isblank(F180),"",xlookup(G180,z_Others!$B$5:$B$17,z_Others!$I$5:$I$17,"",0,1))</f>
        <v/>
      </c>
      <c r="X180" s="894" t="str">
        <f t="shared" si="7"/>
        <v/>
      </c>
      <c r="Y180" s="894" t="str">
        <f t="shared" si="8"/>
        <v/>
      </c>
      <c r="Z180" s="900" t="str">
        <f t="shared" si="9"/>
        <v/>
      </c>
      <c r="AA180" s="900" t="str">
        <f t="shared" si="10"/>
        <v/>
      </c>
      <c r="AB180" s="878" t="str">
        <f t="array" ref="AB180">if(isblank(F180),"",xlookup(AJ180,z_Others!$M$5:$M$9,z_Others!$Q$5:$Q$9,"",0,1))</f>
        <v/>
      </c>
      <c r="AC180" s="900" t="str">
        <f t="shared" si="11"/>
        <v/>
      </c>
      <c r="AD180" s="894" t="str">
        <f t="array" ref="AD180">if(isblank(F180),"",xlookup(G180,z_Others!$B$5:$B$14,z_Others!$H$5:$H$14,"",0,1))</f>
        <v/>
      </c>
      <c r="AE180" s="901" t="str">
        <f t="shared" si="12"/>
        <v/>
      </c>
      <c r="AF180" s="791"/>
      <c r="AG180" s="791" t="str">
        <f t="shared" si="20"/>
        <v/>
      </c>
      <c r="AH180" s="787"/>
      <c r="AI180" s="787"/>
      <c r="AJ180" s="677" t="str">
        <f t="array" ref="AJ180">if(isblank(F180),"",xlookup(F180,'FL5_POR_包裝對照表 (Mapping Table)'!E:E,'FL5_POR_包裝對照表 (Mapping Table)'!AS:AS,"",0,1))</f>
        <v/>
      </c>
      <c r="AK180" s="677" t="str">
        <f t="array" ref="AK180">if(isblank(F180),"",xlookup(F180,'FL5_POR_包裝對照表 (Mapping Table)'!E:E,'FL5_POR_包裝對照表 (Mapping Table)'!K:K,"",0,1))</f>
        <v/>
      </c>
      <c r="AL180" s="677"/>
      <c r="AM180" s="813"/>
      <c r="AN180" s="908"/>
      <c r="AO180" s="813"/>
      <c r="AP180" s="813"/>
    </row>
    <row r="181" ht="25.5" customHeight="1">
      <c r="A181" s="910"/>
      <c r="B181" s="877"/>
      <c r="C181" s="891" t="str">
        <f>if(isblank(F181),"",'FL5_POR_包裝對照表 (Mapping Table)'!$E$4)</f>
        <v/>
      </c>
      <c r="D181" s="878" t="str">
        <f t="array" ref="D181">if(isblank(F181),"",xlookup(F181,'FL5_POR_包裝對照表 (Mapping Table)'!E:E,'FL5_POR_包裝對照表 (Mapping Table)'!AZ:AZ,"",0,1))</f>
        <v/>
      </c>
      <c r="E181" s="677" t="str">
        <f t="shared" si="2"/>
        <v/>
      </c>
      <c r="F181" s="879"/>
      <c r="G181" s="892" t="str">
        <f t="array" ref="G181">if(isblank(F181),"",xlookup(F181,'FL5_POR_包裝對照表 (Mapping Table)'!E:E,'FL5_POR_包裝對照表 (Mapping Table)'!D:D,"",0,1))</f>
        <v/>
      </c>
      <c r="H181" s="893" t="str">
        <f t="array" ref="H181">if(isblank(F181),"",xlookup(F181,'FL5_POR_包裝對照表 (Mapping Table)'!E:E,'FL5_POR_包裝對照表 (Mapping Table)'!E:E,"",0,1))</f>
        <v/>
      </c>
      <c r="I181" s="677" t="str">
        <f t="array" ref="I181">if(isblank(F181),"",xlookup(F181,'FL5_POR_包裝對照表 (Mapping Table)'!E:E,'FL5_POR_包裝對照表 (Mapping Table)'!AN:AN,"",0,1))</f>
        <v/>
      </c>
      <c r="J181" s="894" t="str">
        <f t="array" ref="J181">if(isblank(F181),"",xlookup(G181,z_Others!$B$5:$B$17,z_Others!$C$5:$C$17,"",0,1))</f>
        <v/>
      </c>
      <c r="K181" s="894" t="str">
        <f t="array" ref="K181">if(isblank(F181),"",xlookup(G181,z_Others!$B$5:$B$17,z_Others!$E$5:$E$17,"",0,1))</f>
        <v/>
      </c>
      <c r="L181" s="894" t="str">
        <f t="array" ref="L181">if(isblank(F181),"",xlookup(G181,z_Others!$B$5:$B$17,z_Others!$F$5:$F$17,"",0,1))</f>
        <v/>
      </c>
      <c r="M181" s="894" t="str">
        <f t="shared" si="3"/>
        <v/>
      </c>
      <c r="N181" s="894" t="str">
        <f t="shared" si="4"/>
        <v/>
      </c>
      <c r="O181" s="882" t="str">
        <f t="array" ref="O181">if(isblank(F181),"",xlookup(F181,'FL5_POR_包裝對照表 (Mapping Table)'!E:E,'FL5_POR_包裝對照表 (Mapping Table)'!L:L,"",0,1))</f>
        <v/>
      </c>
      <c r="P181" s="909" t="str">
        <f t="array" ref="P181">if(isblank(F181),"",xlookup(G181,z_Others!$B$5:$B$17,z_Others!$J$5:$J$17,"",0,1))</f>
        <v/>
      </c>
      <c r="Q181" s="899" t="str">
        <f t="array" ref="Q181">if(isblank(F181),"",xlookup(F181,'FL5_POR_核價 (經管 &amp; BPM)'!E:E,'FL5_POR_核價 (經管 &amp; BPM)'!O:O,"",0,1))</f>
        <v/>
      </c>
      <c r="R181" s="894" t="str">
        <f t="shared" si="5"/>
        <v/>
      </c>
      <c r="S181" s="894" t="str">
        <f t="array" ref="S181">if(isblank(F181),"",xlookup(G181,z_Others!$B$5:$B$17,z_Others!$K$5:$K$17,"",0,1))</f>
        <v/>
      </c>
      <c r="T181" s="894" t="str">
        <f t="shared" si="19"/>
        <v/>
      </c>
      <c r="U181" s="898" t="str">
        <f t="array" ref="U181">if(isblank(F181),"",xlookup(G181,z_Others!$B$5:$B$17,z_Others!$G$5:$G$17,"",0,1))</f>
        <v/>
      </c>
      <c r="V181" s="231" t="str">
        <f t="array" ref="V181">if(isblank(F181),"",xlookup(F181,'FL5_POR_包裝對照表 (Mapping Table)'!E:E,'FL5_POR_包裝對照表 (Mapping Table)'!AB:AB,"",0,1))</f>
        <v/>
      </c>
      <c r="W181" s="899" t="str">
        <f t="array" ref="W181">if(isblank(F181),"",xlookup(G181,z_Others!$B$5:$B$17,z_Others!$I$5:$I$17,"",0,1))</f>
        <v/>
      </c>
      <c r="X181" s="894" t="str">
        <f t="shared" si="7"/>
        <v/>
      </c>
      <c r="Y181" s="894" t="str">
        <f t="shared" si="8"/>
        <v/>
      </c>
      <c r="Z181" s="900" t="str">
        <f t="shared" si="9"/>
        <v/>
      </c>
      <c r="AA181" s="900" t="str">
        <f t="shared" si="10"/>
        <v/>
      </c>
      <c r="AB181" s="878" t="str">
        <f t="array" ref="AB181">if(isblank(F181),"",xlookup(AJ181,z_Others!$M$5:$M$9,z_Others!$Q$5:$Q$9,"",0,1))</f>
        <v/>
      </c>
      <c r="AC181" s="900" t="str">
        <f t="shared" si="11"/>
        <v/>
      </c>
      <c r="AD181" s="894" t="str">
        <f t="array" ref="AD181">if(isblank(F181),"",xlookup(G181,z_Others!$B$5:$B$14,z_Others!$H$5:$H$14,"",0,1))</f>
        <v/>
      </c>
      <c r="AE181" s="901" t="str">
        <f t="shared" si="12"/>
        <v/>
      </c>
      <c r="AF181" s="791"/>
      <c r="AG181" s="791" t="str">
        <f t="shared" si="20"/>
        <v/>
      </c>
      <c r="AH181" s="787"/>
      <c r="AI181" s="787"/>
      <c r="AJ181" s="677" t="str">
        <f t="array" ref="AJ181">if(isblank(F181),"",xlookup(F181,'FL5_POR_包裝對照表 (Mapping Table)'!E:E,'FL5_POR_包裝對照表 (Mapping Table)'!AS:AS,"",0,1))</f>
        <v/>
      </c>
      <c r="AK181" s="677" t="str">
        <f t="array" ref="AK181">if(isblank(F181),"",xlookup(F181,'FL5_POR_包裝對照表 (Mapping Table)'!E:E,'FL5_POR_包裝對照表 (Mapping Table)'!K:K,"",0,1))</f>
        <v/>
      </c>
      <c r="AL181" s="677"/>
      <c r="AM181" s="813"/>
      <c r="AN181" s="908"/>
      <c r="AO181" s="813"/>
      <c r="AP181" s="813"/>
    </row>
    <row r="182" ht="25.5" customHeight="1">
      <c r="A182" s="910"/>
      <c r="B182" s="877"/>
      <c r="C182" s="891" t="str">
        <f>if(isblank(F182),"",'FL5_POR_包裝對照表 (Mapping Table)'!$E$4)</f>
        <v/>
      </c>
      <c r="D182" s="878" t="str">
        <f t="array" ref="D182">if(isblank(F182),"",xlookup(F182,'FL5_POR_包裝對照表 (Mapping Table)'!E:E,'FL5_POR_包裝對照表 (Mapping Table)'!AZ:AZ,"",0,1))</f>
        <v/>
      </c>
      <c r="E182" s="677" t="str">
        <f t="shared" si="2"/>
        <v/>
      </c>
      <c r="F182" s="879"/>
      <c r="G182" s="892" t="str">
        <f t="array" ref="G182">if(isblank(F182),"",xlookup(F182,'FL5_POR_包裝對照表 (Mapping Table)'!E:E,'FL5_POR_包裝對照表 (Mapping Table)'!D:D,"",0,1))</f>
        <v/>
      </c>
      <c r="H182" s="893" t="str">
        <f t="array" ref="H182">if(isblank(F182),"",xlookup(F182,'FL5_POR_包裝對照表 (Mapping Table)'!E:E,'FL5_POR_包裝對照表 (Mapping Table)'!E:E,"",0,1))</f>
        <v/>
      </c>
      <c r="I182" s="677" t="str">
        <f t="array" ref="I182">if(isblank(F182),"",xlookup(F182,'FL5_POR_包裝對照表 (Mapping Table)'!E:E,'FL5_POR_包裝對照表 (Mapping Table)'!AN:AN,"",0,1))</f>
        <v/>
      </c>
      <c r="J182" s="894" t="str">
        <f t="array" ref="J182">if(isblank(F182),"",xlookup(G182,z_Others!$B$5:$B$17,z_Others!$C$5:$C$17,"",0,1))</f>
        <v/>
      </c>
      <c r="K182" s="894" t="str">
        <f t="array" ref="K182">if(isblank(F182),"",xlookup(G182,z_Others!$B$5:$B$17,z_Others!$E$5:$E$17,"",0,1))</f>
        <v/>
      </c>
      <c r="L182" s="894" t="str">
        <f t="array" ref="L182">if(isblank(F182),"",xlookup(G182,z_Others!$B$5:$B$17,z_Others!$F$5:$F$17,"",0,1))</f>
        <v/>
      </c>
      <c r="M182" s="894" t="str">
        <f t="shared" si="3"/>
        <v/>
      </c>
      <c r="N182" s="894" t="str">
        <f t="shared" si="4"/>
        <v/>
      </c>
      <c r="O182" s="882" t="str">
        <f t="array" ref="O182">if(isblank(F182),"",xlookup(F182,'FL5_POR_包裝對照表 (Mapping Table)'!E:E,'FL5_POR_包裝對照表 (Mapping Table)'!L:L,"",0,1))</f>
        <v/>
      </c>
      <c r="P182" s="909" t="str">
        <f t="array" ref="P182">if(isblank(F182),"",xlookup(G182,z_Others!$B$5:$B$17,z_Others!$J$5:$J$17,"",0,1))</f>
        <v/>
      </c>
      <c r="Q182" s="899" t="str">
        <f t="array" ref="Q182">if(isblank(F182),"",xlookup(F182,'FL5_POR_核價 (經管 &amp; BPM)'!E:E,'FL5_POR_核價 (經管 &amp; BPM)'!O:O,"",0,1))</f>
        <v/>
      </c>
      <c r="R182" s="894" t="str">
        <f t="shared" si="5"/>
        <v/>
      </c>
      <c r="S182" s="894" t="str">
        <f t="array" ref="S182">if(isblank(F182),"",xlookup(G182,z_Others!$B$5:$B$17,z_Others!$K$5:$K$17,"",0,1))</f>
        <v/>
      </c>
      <c r="T182" s="894" t="str">
        <f t="shared" si="19"/>
        <v/>
      </c>
      <c r="U182" s="898" t="str">
        <f t="array" ref="U182">if(isblank(F182),"",xlookup(G182,z_Others!$B$5:$B$17,z_Others!$G$5:$G$17,"",0,1))</f>
        <v/>
      </c>
      <c r="V182" s="231" t="str">
        <f t="array" ref="V182">if(isblank(F182),"",xlookup(F182,'FL5_POR_包裝對照表 (Mapping Table)'!E:E,'FL5_POR_包裝對照表 (Mapping Table)'!AB:AB,"",0,1))</f>
        <v/>
      </c>
      <c r="W182" s="899" t="str">
        <f t="array" ref="W182">if(isblank(F182),"",xlookup(G182,z_Others!$B$5:$B$17,z_Others!$I$5:$I$17,"",0,1))</f>
        <v/>
      </c>
      <c r="X182" s="894" t="str">
        <f t="shared" si="7"/>
        <v/>
      </c>
      <c r="Y182" s="894" t="str">
        <f t="shared" si="8"/>
        <v/>
      </c>
      <c r="Z182" s="900" t="str">
        <f t="shared" si="9"/>
        <v/>
      </c>
      <c r="AA182" s="900" t="str">
        <f t="shared" si="10"/>
        <v/>
      </c>
      <c r="AB182" s="878" t="str">
        <f t="array" ref="AB182">if(isblank(F182),"",xlookup(AJ182,z_Others!$M$5:$M$9,z_Others!$Q$5:$Q$9,"",0,1))</f>
        <v/>
      </c>
      <c r="AC182" s="900" t="str">
        <f t="shared" si="11"/>
        <v/>
      </c>
      <c r="AD182" s="894" t="str">
        <f t="array" ref="AD182">if(isblank(F182),"",xlookup(G182,z_Others!$B$5:$B$14,z_Others!$H$5:$H$14,"",0,1))</f>
        <v/>
      </c>
      <c r="AE182" s="901" t="str">
        <f t="shared" si="12"/>
        <v/>
      </c>
      <c r="AF182" s="791"/>
      <c r="AG182" s="791" t="str">
        <f t="shared" si="20"/>
        <v/>
      </c>
      <c r="AH182" s="787"/>
      <c r="AI182" s="787"/>
      <c r="AJ182" s="677" t="str">
        <f t="array" ref="AJ182">if(isblank(F182),"",xlookup(F182,'FL5_POR_包裝對照表 (Mapping Table)'!E:E,'FL5_POR_包裝對照表 (Mapping Table)'!AS:AS,"",0,1))</f>
        <v/>
      </c>
      <c r="AK182" s="677" t="str">
        <f t="array" ref="AK182">if(isblank(F182),"",xlookup(F182,'FL5_POR_包裝對照表 (Mapping Table)'!E:E,'FL5_POR_包裝對照表 (Mapping Table)'!K:K,"",0,1))</f>
        <v/>
      </c>
      <c r="AL182" s="677"/>
      <c r="AM182" s="813"/>
      <c r="AN182" s="908"/>
      <c r="AO182" s="813"/>
      <c r="AP182" s="813"/>
    </row>
    <row r="183" ht="25.5" customHeight="1">
      <c r="A183" s="910"/>
      <c r="B183" s="877"/>
      <c r="C183" s="891" t="str">
        <f>if(isblank(F183),"",'FL5_POR_包裝對照表 (Mapping Table)'!$E$4)</f>
        <v/>
      </c>
      <c r="D183" s="878" t="str">
        <f t="array" ref="D183">if(isblank(F183),"",xlookup(F183,'FL5_POR_包裝對照表 (Mapping Table)'!E:E,'FL5_POR_包裝對照表 (Mapping Table)'!AZ:AZ,"",0,1))</f>
        <v/>
      </c>
      <c r="E183" s="677" t="str">
        <f t="shared" si="2"/>
        <v/>
      </c>
      <c r="F183" s="879"/>
      <c r="G183" s="892" t="str">
        <f t="array" ref="G183">if(isblank(F183),"",xlookup(F183,'FL5_POR_包裝對照表 (Mapping Table)'!E:E,'FL5_POR_包裝對照表 (Mapping Table)'!D:D,"",0,1))</f>
        <v/>
      </c>
      <c r="H183" s="893" t="str">
        <f t="array" ref="H183">if(isblank(F183),"",xlookup(F183,'FL5_POR_包裝對照表 (Mapping Table)'!E:E,'FL5_POR_包裝對照表 (Mapping Table)'!E:E,"",0,1))</f>
        <v/>
      </c>
      <c r="I183" s="677" t="str">
        <f t="array" ref="I183">if(isblank(F183),"",xlookup(F183,'FL5_POR_包裝對照表 (Mapping Table)'!E:E,'FL5_POR_包裝對照表 (Mapping Table)'!AN:AN,"",0,1))</f>
        <v/>
      </c>
      <c r="J183" s="894" t="str">
        <f t="array" ref="J183">if(isblank(F183),"",xlookup(G183,z_Others!$B$5:$B$17,z_Others!$C$5:$C$17,"",0,1))</f>
        <v/>
      </c>
      <c r="K183" s="894" t="str">
        <f t="array" ref="K183">if(isblank(F183),"",xlookup(G183,z_Others!$B$5:$B$17,z_Others!$E$5:$E$17,"",0,1))</f>
        <v/>
      </c>
      <c r="L183" s="894" t="str">
        <f t="array" ref="L183">if(isblank(F183),"",xlookup(G183,z_Others!$B$5:$B$17,z_Others!$F$5:$F$17,"",0,1))</f>
        <v/>
      </c>
      <c r="M183" s="894" t="str">
        <f t="shared" si="3"/>
        <v/>
      </c>
      <c r="N183" s="894" t="str">
        <f t="shared" si="4"/>
        <v/>
      </c>
      <c r="O183" s="882" t="str">
        <f t="array" ref="O183">if(isblank(F183),"",xlookup(F183,'FL5_POR_包裝對照表 (Mapping Table)'!E:E,'FL5_POR_包裝對照表 (Mapping Table)'!L:L,"",0,1))</f>
        <v/>
      </c>
      <c r="P183" s="909" t="str">
        <f t="array" ref="P183">if(isblank(F183),"",xlookup(G183,z_Others!$B$5:$B$17,z_Others!$J$5:$J$17,"",0,1))</f>
        <v/>
      </c>
      <c r="Q183" s="899" t="str">
        <f t="array" ref="Q183">if(isblank(F183),"",xlookup(F183,'FL5_POR_核價 (經管 &amp; BPM)'!E:E,'FL5_POR_核價 (經管 &amp; BPM)'!O:O,"",0,1))</f>
        <v/>
      </c>
      <c r="R183" s="894" t="str">
        <f t="shared" si="5"/>
        <v/>
      </c>
      <c r="S183" s="894" t="str">
        <f t="array" ref="S183">if(isblank(F183),"",xlookup(G183,z_Others!$B$5:$B$17,z_Others!$K$5:$K$17,"",0,1))</f>
        <v/>
      </c>
      <c r="T183" s="894" t="str">
        <f t="shared" si="19"/>
        <v/>
      </c>
      <c r="U183" s="898" t="str">
        <f t="array" ref="U183">if(isblank(F183),"",xlookup(G183,z_Others!$B$5:$B$17,z_Others!$G$5:$G$17,"",0,1))</f>
        <v/>
      </c>
      <c r="V183" s="231" t="str">
        <f t="array" ref="V183">if(isblank(F183),"",xlookup(F183,'FL5_POR_包裝對照表 (Mapping Table)'!E:E,'FL5_POR_包裝對照表 (Mapping Table)'!AB:AB,"",0,1))</f>
        <v/>
      </c>
      <c r="W183" s="899" t="str">
        <f t="array" ref="W183">if(isblank(F183),"",xlookup(G183,z_Others!$B$5:$B$17,z_Others!$I$5:$I$17,"",0,1))</f>
        <v/>
      </c>
      <c r="X183" s="894" t="str">
        <f t="shared" si="7"/>
        <v/>
      </c>
      <c r="Y183" s="894" t="str">
        <f t="shared" si="8"/>
        <v/>
      </c>
      <c r="Z183" s="900" t="str">
        <f t="shared" si="9"/>
        <v/>
      </c>
      <c r="AA183" s="900" t="str">
        <f t="shared" si="10"/>
        <v/>
      </c>
      <c r="AB183" s="878" t="str">
        <f t="array" ref="AB183">if(isblank(F183),"",xlookup(AJ183,z_Others!$M$5:$M$9,z_Others!$Q$5:$Q$9,"",0,1))</f>
        <v/>
      </c>
      <c r="AC183" s="900" t="str">
        <f t="shared" si="11"/>
        <v/>
      </c>
      <c r="AD183" s="894" t="str">
        <f t="array" ref="AD183">if(isblank(F183),"",xlookup(G183,z_Others!$B$5:$B$14,z_Others!$H$5:$H$14,"",0,1))</f>
        <v/>
      </c>
      <c r="AE183" s="901" t="str">
        <f t="shared" si="12"/>
        <v/>
      </c>
      <c r="AF183" s="791"/>
      <c r="AG183" s="791" t="str">
        <f t="shared" si="20"/>
        <v/>
      </c>
      <c r="AH183" s="787"/>
      <c r="AI183" s="787"/>
      <c r="AJ183" s="677" t="str">
        <f t="array" ref="AJ183">if(isblank(F183),"",xlookup(F183,'FL5_POR_包裝對照表 (Mapping Table)'!E:E,'FL5_POR_包裝對照表 (Mapping Table)'!AS:AS,"",0,1))</f>
        <v/>
      </c>
      <c r="AK183" s="677" t="str">
        <f t="array" ref="AK183">if(isblank(F183),"",xlookup(F183,'FL5_POR_包裝對照表 (Mapping Table)'!E:E,'FL5_POR_包裝對照表 (Mapping Table)'!K:K,"",0,1))</f>
        <v/>
      </c>
      <c r="AL183" s="677"/>
      <c r="AM183" s="813"/>
      <c r="AN183" s="908"/>
      <c r="AO183" s="813"/>
      <c r="AP183" s="813"/>
    </row>
    <row r="184" ht="18.0" customHeight="1">
      <c r="A184" s="910"/>
      <c r="B184" s="877"/>
      <c r="C184" s="891" t="str">
        <f>if(isblank(F184),"",'FL5_POR_包裝對照表 (Mapping Table)'!$E$4)</f>
        <v/>
      </c>
      <c r="D184" s="878" t="str">
        <f t="array" ref="D184">if(isblank(F184),"",xlookup(F184,'FL5_POR_包裝對照表 (Mapping Table)'!E:E,'FL5_POR_包裝對照表 (Mapping Table)'!AZ:AZ,"",0,1))</f>
        <v/>
      </c>
      <c r="E184" s="677" t="str">
        <f t="shared" si="2"/>
        <v/>
      </c>
      <c r="F184" s="879"/>
      <c r="G184" s="892" t="str">
        <f t="array" ref="G184">if(isblank(F184),"",xlookup(F184,'FL5_POR_包裝對照表 (Mapping Table)'!E:E,'FL5_POR_包裝對照表 (Mapping Table)'!D:D,"",0,1))</f>
        <v/>
      </c>
      <c r="H184" s="893" t="str">
        <f t="array" ref="H184">if(isblank(F184),"",xlookup(F184,'FL5_POR_包裝對照表 (Mapping Table)'!E:E,'FL5_POR_包裝對照表 (Mapping Table)'!E:E,"",0,1))</f>
        <v/>
      </c>
      <c r="I184" s="677" t="str">
        <f t="array" ref="I184">if(isblank(F184),"",xlookup(F184,'FL5_POR_包裝對照表 (Mapping Table)'!E:E,'FL5_POR_包裝對照表 (Mapping Table)'!AN:AN,"",0,1))</f>
        <v/>
      </c>
      <c r="J184" s="894" t="str">
        <f t="array" ref="J184">if(isblank(F184),"",xlookup(G184,z_Others!$B$5:$B$17,z_Others!$C$5:$C$17,"",0,1))</f>
        <v/>
      </c>
      <c r="K184" s="894" t="str">
        <f t="array" ref="K184">if(isblank(F184),"",xlookup(G184,z_Others!$B$5:$B$17,z_Others!$E$5:$E$17,"",0,1))</f>
        <v/>
      </c>
      <c r="L184" s="894" t="str">
        <f t="array" ref="L184">if(isblank(F184),"",xlookup(G184,z_Others!$B$5:$B$17,z_Others!$F$5:$F$17,"",0,1))</f>
        <v/>
      </c>
      <c r="M184" s="894" t="str">
        <f t="shared" si="3"/>
        <v/>
      </c>
      <c r="N184" s="894" t="str">
        <f t="shared" si="4"/>
        <v/>
      </c>
      <c r="O184" s="882" t="str">
        <f t="array" ref="O184">if(isblank(F184),"",xlookup(F184,'FL5_POR_包裝對照表 (Mapping Table)'!E:E,'FL5_POR_包裝對照表 (Mapping Table)'!L:L,"",0,1))</f>
        <v/>
      </c>
      <c r="P184" s="909" t="str">
        <f t="array" ref="P184">if(isblank(F184),"",xlookup(G184,z_Others!$B$5:$B$17,z_Others!$J$5:$J$17,"",0,1))</f>
        <v/>
      </c>
      <c r="Q184" s="899" t="str">
        <f t="array" ref="Q184">if(isblank(F184),"",xlookup(F184,'FL5_POR_核價 (經管 &amp; BPM)'!E:E,'FL5_POR_核價 (經管 &amp; BPM)'!O:O,"",0,1))</f>
        <v/>
      </c>
      <c r="R184" s="894" t="str">
        <f t="shared" si="5"/>
        <v/>
      </c>
      <c r="S184" s="894" t="str">
        <f t="array" ref="S184">if(isblank(F184),"",xlookup(G184,z_Others!$B$5:$B$17,z_Others!$K$5:$K$17,"",0,1))</f>
        <v/>
      </c>
      <c r="T184" s="894" t="str">
        <f t="shared" si="19"/>
        <v/>
      </c>
      <c r="U184" s="898" t="str">
        <f t="array" ref="U184">if(isblank(F184),"",xlookup(G184,z_Others!$B$5:$B$17,z_Others!$G$5:$G$17,"",0,1))</f>
        <v/>
      </c>
      <c r="V184" s="231" t="str">
        <f t="array" ref="V184">if(isblank(F184),"",xlookup(F184,'FL5_POR_包裝對照表 (Mapping Table)'!E:E,'FL5_POR_包裝對照表 (Mapping Table)'!AB:AB,"",0,1))</f>
        <v/>
      </c>
      <c r="W184" s="899" t="str">
        <f t="array" ref="W184">if(isblank(F184),"",xlookup(G184,z_Others!$B$5:$B$17,z_Others!$I$5:$I$17,"",0,1))</f>
        <v/>
      </c>
      <c r="X184" s="894" t="str">
        <f t="shared" si="7"/>
        <v/>
      </c>
      <c r="Y184" s="894" t="str">
        <f t="shared" si="8"/>
        <v/>
      </c>
      <c r="Z184" s="900" t="str">
        <f t="shared" si="9"/>
        <v/>
      </c>
      <c r="AA184" s="900" t="str">
        <f t="shared" si="10"/>
        <v/>
      </c>
      <c r="AB184" s="878" t="str">
        <f t="array" ref="AB184">if(isblank(F184),"",xlookup(AJ184,z_Others!$M$5:$M$9,z_Others!$Q$5:$Q$9,"",0,1))</f>
        <v/>
      </c>
      <c r="AC184" s="900" t="str">
        <f t="shared" si="11"/>
        <v/>
      </c>
      <c r="AD184" s="894" t="str">
        <f t="array" ref="AD184">if(isblank(F184),"",xlookup(G184,z_Others!$B$5:$B$14,z_Others!$H$5:$H$14,"",0,1))</f>
        <v/>
      </c>
      <c r="AE184" s="901" t="str">
        <f t="shared" si="12"/>
        <v/>
      </c>
      <c r="AF184" s="791"/>
      <c r="AG184" s="791" t="str">
        <f t="shared" si="20"/>
        <v/>
      </c>
      <c r="AH184" s="787"/>
      <c r="AI184" s="787"/>
      <c r="AJ184" s="677" t="str">
        <f t="array" ref="AJ184">if(isblank(F184),"",xlookup(F184,'FL5_POR_包裝對照表 (Mapping Table)'!E:E,'FL5_POR_包裝對照表 (Mapping Table)'!AS:AS,"",0,1))</f>
        <v/>
      </c>
      <c r="AK184" s="677" t="str">
        <f t="array" ref="AK184">if(isblank(F184),"",xlookup(F184,'FL5_POR_包裝對照表 (Mapping Table)'!E:E,'FL5_POR_包裝對照表 (Mapping Table)'!K:K,"",0,1))</f>
        <v/>
      </c>
      <c r="AL184" s="677"/>
      <c r="AM184" s="813"/>
      <c r="AN184" s="908"/>
      <c r="AO184" s="813"/>
      <c r="AP184" s="813"/>
    </row>
    <row r="185" ht="18.0" customHeight="1">
      <c r="A185" s="910"/>
      <c r="B185" s="877"/>
      <c r="C185" s="891" t="str">
        <f>if(isblank(F185),"",'FL5_POR_包裝對照表 (Mapping Table)'!$E$4)</f>
        <v/>
      </c>
      <c r="D185" s="878" t="str">
        <f t="array" ref="D185">if(isblank(F185),"",xlookup(F185,'FL5_POR_包裝對照表 (Mapping Table)'!E:E,'FL5_POR_包裝對照表 (Mapping Table)'!AZ:AZ,"",0,1))</f>
        <v/>
      </c>
      <c r="E185" s="677" t="str">
        <f t="shared" si="2"/>
        <v/>
      </c>
      <c r="F185" s="879"/>
      <c r="G185" s="892" t="str">
        <f t="array" ref="G185">if(isblank(F185),"",xlookup(F185,'FL5_POR_包裝對照表 (Mapping Table)'!E:E,'FL5_POR_包裝對照表 (Mapping Table)'!D:D,"",0,1))</f>
        <v/>
      </c>
      <c r="H185" s="893" t="str">
        <f t="array" ref="H185">if(isblank(F185),"",xlookup(F185,'FL5_POR_包裝對照表 (Mapping Table)'!E:E,'FL5_POR_包裝對照表 (Mapping Table)'!E:E,"",0,1))</f>
        <v/>
      </c>
      <c r="I185" s="677" t="str">
        <f t="array" ref="I185">if(isblank(F185),"",xlookup(F185,'FL5_POR_包裝對照表 (Mapping Table)'!E:E,'FL5_POR_包裝對照表 (Mapping Table)'!AN:AN,"",0,1))</f>
        <v/>
      </c>
      <c r="J185" s="894" t="str">
        <f t="array" ref="J185">if(isblank(F185),"",xlookup(G185,z_Others!$B$5:$B$17,z_Others!$C$5:$C$17,"",0,1))</f>
        <v/>
      </c>
      <c r="K185" s="894" t="str">
        <f t="array" ref="K185">if(isblank(F185),"",xlookup(G185,z_Others!$B$5:$B$17,z_Others!$E$5:$E$17,"",0,1))</f>
        <v/>
      </c>
      <c r="L185" s="894" t="str">
        <f t="array" ref="L185">if(isblank(F185),"",xlookup(G185,z_Others!$B$5:$B$17,z_Others!$F$5:$F$17,"",0,1))</f>
        <v/>
      </c>
      <c r="M185" s="894" t="str">
        <f t="shared" si="3"/>
        <v/>
      </c>
      <c r="N185" s="894" t="str">
        <f t="shared" si="4"/>
        <v/>
      </c>
      <c r="O185" s="882" t="str">
        <f t="array" ref="O185">if(isblank(F185),"",xlookup(F185,'FL5_POR_包裝對照表 (Mapping Table)'!E:E,'FL5_POR_包裝對照表 (Mapping Table)'!L:L,"",0,1))</f>
        <v/>
      </c>
      <c r="P185" s="909" t="str">
        <f t="array" ref="P185">if(isblank(F185),"",xlookup(G185,z_Others!$B$5:$B$17,z_Others!$J$5:$J$17,"",0,1))</f>
        <v/>
      </c>
      <c r="Q185" s="899" t="str">
        <f t="array" ref="Q185">if(isblank(F185),"",xlookup(F185,'FL5_POR_核價 (經管 &amp; BPM)'!E:E,'FL5_POR_核價 (經管 &amp; BPM)'!O:O,"",0,1))</f>
        <v/>
      </c>
      <c r="R185" s="894" t="str">
        <f t="shared" si="5"/>
        <v/>
      </c>
      <c r="S185" s="894" t="str">
        <f t="array" ref="S185">if(isblank(F185),"",xlookup(G185,z_Others!$B$5:$B$17,z_Others!$K$5:$K$17,"",0,1))</f>
        <v/>
      </c>
      <c r="T185" s="894" t="str">
        <f t="shared" si="19"/>
        <v/>
      </c>
      <c r="U185" s="898" t="str">
        <f t="array" ref="U185">if(isblank(F185),"",xlookup(G185,z_Others!$B$5:$B$17,z_Others!$G$5:$G$17,"",0,1))</f>
        <v/>
      </c>
      <c r="V185" s="231" t="str">
        <f t="array" ref="V185">if(isblank(F185),"",xlookup(F185,'FL5_POR_包裝對照表 (Mapping Table)'!E:E,'FL5_POR_包裝對照表 (Mapping Table)'!AB:AB,"",0,1))</f>
        <v/>
      </c>
      <c r="W185" s="899" t="str">
        <f t="array" ref="W185">if(isblank(F185),"",xlookup(G185,z_Others!$B$5:$B$17,z_Others!$I$5:$I$17,"",0,1))</f>
        <v/>
      </c>
      <c r="X185" s="894" t="str">
        <f t="shared" si="7"/>
        <v/>
      </c>
      <c r="Y185" s="894" t="str">
        <f t="shared" si="8"/>
        <v/>
      </c>
      <c r="Z185" s="900" t="str">
        <f t="shared" si="9"/>
        <v/>
      </c>
      <c r="AA185" s="900" t="str">
        <f t="shared" si="10"/>
        <v/>
      </c>
      <c r="AB185" s="878" t="str">
        <f t="array" ref="AB185">if(isblank(F185),"",xlookup(AJ185,z_Others!$M$5:$M$9,z_Others!$Q$5:$Q$9,"",0,1))</f>
        <v/>
      </c>
      <c r="AC185" s="900" t="str">
        <f t="shared" si="11"/>
        <v/>
      </c>
      <c r="AD185" s="894" t="str">
        <f t="array" ref="AD185">if(isblank(F185),"",xlookup(G185,z_Others!$B$5:$B$14,z_Others!$H$5:$H$14,"",0,1))</f>
        <v/>
      </c>
      <c r="AE185" s="901" t="str">
        <f t="shared" si="12"/>
        <v/>
      </c>
      <c r="AF185" s="791"/>
      <c r="AG185" s="791" t="str">
        <f t="shared" ref="AG185:AG278" si="21">if(isblank(AF185),"",_xlfn.WORKDAY.INTL(AF185,$AG$5,11))</f>
        <v/>
      </c>
      <c r="AH185" s="787"/>
      <c r="AI185" s="787"/>
      <c r="AJ185" s="677" t="str">
        <f t="array" ref="AJ185">if(isblank(F185),"",xlookup(F185,'FL5_POR_包裝對照表 (Mapping Table)'!E:E,'FL5_POR_包裝對照表 (Mapping Table)'!AS:AS,"",0,1))</f>
        <v/>
      </c>
      <c r="AK185" s="677" t="str">
        <f t="array" ref="AK185">if(isblank(F185),"",xlookup(F185,'FL5_POR_包裝對照表 (Mapping Table)'!E:E,'FL5_POR_包裝對照表 (Mapping Table)'!K:K,"",0,1))</f>
        <v/>
      </c>
      <c r="AL185" s="677"/>
      <c r="AM185" s="813"/>
      <c r="AN185" s="908"/>
      <c r="AO185" s="813"/>
      <c r="AP185" s="813"/>
    </row>
    <row r="186" ht="18.0" customHeight="1">
      <c r="A186" s="910"/>
      <c r="B186" s="877"/>
      <c r="C186" s="891" t="str">
        <f>if(isblank(F186),"",'FL5_POR_包裝對照表 (Mapping Table)'!$E$4)</f>
        <v/>
      </c>
      <c r="D186" s="878" t="str">
        <f t="array" ref="D186">if(isblank(F186),"",xlookup(F186,'FL5_POR_包裝對照表 (Mapping Table)'!E:E,'FL5_POR_包裝對照表 (Mapping Table)'!AZ:AZ,"",0,1))</f>
        <v/>
      </c>
      <c r="E186" s="677" t="str">
        <f t="shared" si="2"/>
        <v/>
      </c>
      <c r="F186" s="879"/>
      <c r="G186" s="892" t="str">
        <f t="array" ref="G186">if(isblank(F186),"",xlookup(F186,'FL5_POR_包裝對照表 (Mapping Table)'!E:E,'FL5_POR_包裝對照表 (Mapping Table)'!D:D,"",0,1))</f>
        <v/>
      </c>
      <c r="H186" s="893" t="str">
        <f t="array" ref="H186">if(isblank(F186),"",xlookup(F186,'FL5_POR_包裝對照表 (Mapping Table)'!E:E,'FL5_POR_包裝對照表 (Mapping Table)'!E:E,"",0,1))</f>
        <v/>
      </c>
      <c r="I186" s="677" t="str">
        <f t="array" ref="I186">if(isblank(F186),"",xlookup(F186,'FL5_POR_包裝對照表 (Mapping Table)'!E:E,'FL5_POR_包裝對照表 (Mapping Table)'!AN:AN,"",0,1))</f>
        <v/>
      </c>
      <c r="J186" s="894" t="str">
        <f t="array" ref="J186">if(isblank(F186),"",xlookup(G186,z_Others!$B$5:$B$17,z_Others!$C$5:$C$17,"",0,1))</f>
        <v/>
      </c>
      <c r="K186" s="894" t="str">
        <f t="array" ref="K186">if(isblank(F186),"",xlookup(G186,z_Others!$B$5:$B$17,z_Others!$E$5:$E$17,"",0,1))</f>
        <v/>
      </c>
      <c r="L186" s="894" t="str">
        <f t="array" ref="L186">if(isblank(F186),"",xlookup(G186,z_Others!$B$5:$B$17,z_Others!$F$5:$F$17,"",0,1))</f>
        <v/>
      </c>
      <c r="M186" s="894" t="str">
        <f t="shared" si="3"/>
        <v/>
      </c>
      <c r="N186" s="894" t="str">
        <f t="shared" si="4"/>
        <v/>
      </c>
      <c r="O186" s="882" t="str">
        <f t="array" ref="O186">if(isblank(F186),"",xlookup(F186,'FL5_POR_包裝對照表 (Mapping Table)'!E:E,'FL5_POR_包裝對照表 (Mapping Table)'!L:L,"",0,1))</f>
        <v/>
      </c>
      <c r="P186" s="909" t="str">
        <f t="array" ref="P186">if(isblank(F186),"",xlookup(G186,z_Others!$B$5:$B$17,z_Others!$J$5:$J$17,"",0,1))</f>
        <v/>
      </c>
      <c r="Q186" s="899" t="str">
        <f t="array" ref="Q186">if(isblank(F186),"",xlookup(F186,'FL5_POR_核價 (經管 &amp; BPM)'!E:E,'FL5_POR_核價 (經管 &amp; BPM)'!O:O,"",0,1))</f>
        <v/>
      </c>
      <c r="R186" s="894" t="str">
        <f t="shared" si="5"/>
        <v/>
      </c>
      <c r="S186" s="894" t="str">
        <f t="array" ref="S186">if(isblank(F186),"",xlookup(G186,z_Others!$B$5:$B$17,z_Others!$K$5:$K$17,"",0,1))</f>
        <v/>
      </c>
      <c r="T186" s="894" t="str">
        <f t="shared" si="19"/>
        <v/>
      </c>
      <c r="U186" s="898" t="str">
        <f t="array" ref="U186">if(isblank(F186),"",xlookup(G186,z_Others!$B$5:$B$17,z_Others!$G$5:$G$17,"",0,1))</f>
        <v/>
      </c>
      <c r="V186" s="231" t="str">
        <f t="array" ref="V186">if(isblank(F186),"",xlookup(F186,'FL5_POR_包裝對照表 (Mapping Table)'!E:E,'FL5_POR_包裝對照表 (Mapping Table)'!AB:AB,"",0,1))</f>
        <v/>
      </c>
      <c r="W186" s="899" t="str">
        <f t="array" ref="W186">if(isblank(F186),"",xlookup(G186,z_Others!$B$5:$B$17,z_Others!$I$5:$I$17,"",0,1))</f>
        <v/>
      </c>
      <c r="X186" s="894" t="str">
        <f t="shared" si="7"/>
        <v/>
      </c>
      <c r="Y186" s="894" t="str">
        <f t="shared" si="8"/>
        <v/>
      </c>
      <c r="Z186" s="900" t="str">
        <f t="shared" si="9"/>
        <v/>
      </c>
      <c r="AA186" s="900" t="str">
        <f t="shared" si="10"/>
        <v/>
      </c>
      <c r="AB186" s="878" t="str">
        <f t="array" ref="AB186">if(isblank(F186),"",xlookup(AJ186,z_Others!$M$5:$M$9,z_Others!$Q$5:$Q$9,"",0,1))</f>
        <v/>
      </c>
      <c r="AC186" s="900" t="str">
        <f t="shared" si="11"/>
        <v/>
      </c>
      <c r="AD186" s="894" t="str">
        <f t="array" ref="AD186">if(isblank(F186),"",xlookup(G186,z_Others!$B$5:$B$14,z_Others!$H$5:$H$14,"",0,1))</f>
        <v/>
      </c>
      <c r="AE186" s="901" t="str">
        <f t="shared" si="12"/>
        <v/>
      </c>
      <c r="AF186" s="791"/>
      <c r="AG186" s="791" t="str">
        <f t="shared" si="21"/>
        <v/>
      </c>
      <c r="AH186" s="787"/>
      <c r="AI186" s="787"/>
      <c r="AJ186" s="677" t="str">
        <f t="array" ref="AJ186">if(isblank(F186),"",xlookup(F186,'FL5_POR_包裝對照表 (Mapping Table)'!E:E,'FL5_POR_包裝對照表 (Mapping Table)'!AS:AS,"",0,1))</f>
        <v/>
      </c>
      <c r="AK186" s="677" t="str">
        <f t="array" ref="AK186">if(isblank(F186),"",xlookup(F186,'FL5_POR_包裝對照表 (Mapping Table)'!E:E,'FL5_POR_包裝對照表 (Mapping Table)'!K:K,"",0,1))</f>
        <v/>
      </c>
      <c r="AL186" s="677"/>
      <c r="AM186" s="813"/>
      <c r="AN186" s="908"/>
      <c r="AO186" s="813"/>
      <c r="AP186" s="813"/>
    </row>
    <row r="187" ht="18.0" customHeight="1">
      <c r="A187" s="910"/>
      <c r="B187" s="877"/>
      <c r="C187" s="891" t="str">
        <f>if(isblank(F187),"",'FL5_POR_包裝對照表 (Mapping Table)'!$E$4)</f>
        <v/>
      </c>
      <c r="D187" s="878" t="str">
        <f t="array" ref="D187">if(isblank(F187),"",xlookup(F187,'FL5_POR_包裝對照表 (Mapping Table)'!E:E,'FL5_POR_包裝對照表 (Mapping Table)'!AZ:AZ,"",0,1))</f>
        <v/>
      </c>
      <c r="E187" s="677" t="str">
        <f t="shared" si="2"/>
        <v/>
      </c>
      <c r="F187" s="879"/>
      <c r="G187" s="892" t="str">
        <f t="array" ref="G187">if(isblank(F187),"",xlookup(F187,'FL5_POR_包裝對照表 (Mapping Table)'!E:E,'FL5_POR_包裝對照表 (Mapping Table)'!D:D,"",0,1))</f>
        <v/>
      </c>
      <c r="H187" s="893" t="str">
        <f t="array" ref="H187">if(isblank(F187),"",xlookup(F187,'FL5_POR_包裝對照表 (Mapping Table)'!E:E,'FL5_POR_包裝對照表 (Mapping Table)'!E:E,"",0,1))</f>
        <v/>
      </c>
      <c r="I187" s="677" t="str">
        <f t="array" ref="I187">if(isblank(F187),"",xlookup(F187,'FL5_POR_包裝對照表 (Mapping Table)'!E:E,'FL5_POR_包裝對照表 (Mapping Table)'!AN:AN,"",0,1))</f>
        <v/>
      </c>
      <c r="J187" s="894" t="str">
        <f t="array" ref="J187">if(isblank(F187),"",xlookup(G187,z_Others!$B$5:$B$17,z_Others!$C$5:$C$17,"",0,1))</f>
        <v/>
      </c>
      <c r="K187" s="894" t="str">
        <f t="array" ref="K187">if(isblank(F187),"",xlookup(G187,z_Others!$B$5:$B$17,z_Others!$E$5:$E$17,"",0,1))</f>
        <v/>
      </c>
      <c r="L187" s="894" t="str">
        <f t="array" ref="L187">if(isblank(F187),"",xlookup(G187,z_Others!$B$5:$B$17,z_Others!$F$5:$F$17,"",0,1))</f>
        <v/>
      </c>
      <c r="M187" s="894" t="str">
        <f t="shared" si="3"/>
        <v/>
      </c>
      <c r="N187" s="894" t="str">
        <f t="shared" si="4"/>
        <v/>
      </c>
      <c r="O187" s="882" t="str">
        <f t="array" ref="O187">if(isblank(F187),"",xlookup(F187,'FL5_POR_包裝對照表 (Mapping Table)'!E:E,'FL5_POR_包裝對照表 (Mapping Table)'!L:L,"",0,1))</f>
        <v/>
      </c>
      <c r="P187" s="909" t="str">
        <f t="array" ref="P187">if(isblank(F187),"",xlookup(G187,z_Others!$B$5:$B$17,z_Others!$J$5:$J$17,"",0,1))</f>
        <v/>
      </c>
      <c r="Q187" s="899" t="str">
        <f t="array" ref="Q187">if(isblank(F187),"",xlookup(F187,'FL5_POR_核價 (經管 &amp; BPM)'!E:E,'FL5_POR_核價 (經管 &amp; BPM)'!O:O,"",0,1))</f>
        <v/>
      </c>
      <c r="R187" s="894" t="str">
        <f t="shared" si="5"/>
        <v/>
      </c>
      <c r="S187" s="894" t="str">
        <f t="array" ref="S187">if(isblank(F187),"",xlookup(G187,z_Others!$B$5:$B$17,z_Others!$K$5:$K$17,"",0,1))</f>
        <v/>
      </c>
      <c r="T187" s="894" t="str">
        <f t="shared" si="19"/>
        <v/>
      </c>
      <c r="U187" s="898" t="str">
        <f t="array" ref="U187">if(isblank(F187),"",xlookup(G187,z_Others!$B$5:$B$17,z_Others!$G$5:$G$17,"",0,1))</f>
        <v/>
      </c>
      <c r="V187" s="231" t="str">
        <f t="array" ref="V187">if(isblank(F187),"",xlookup(F187,'FL5_POR_包裝對照表 (Mapping Table)'!E:E,'FL5_POR_包裝對照表 (Mapping Table)'!AB:AB,"",0,1))</f>
        <v/>
      </c>
      <c r="W187" s="899" t="str">
        <f t="array" ref="W187">if(isblank(F187),"",xlookup(G187,z_Others!$B$5:$B$17,z_Others!$I$5:$I$17,"",0,1))</f>
        <v/>
      </c>
      <c r="X187" s="894" t="str">
        <f t="shared" si="7"/>
        <v/>
      </c>
      <c r="Y187" s="894" t="str">
        <f t="shared" si="8"/>
        <v/>
      </c>
      <c r="Z187" s="900" t="str">
        <f t="shared" si="9"/>
        <v/>
      </c>
      <c r="AA187" s="900" t="str">
        <f t="shared" si="10"/>
        <v/>
      </c>
      <c r="AB187" s="878" t="str">
        <f t="array" ref="AB187">if(isblank(F187),"",xlookup(AJ187,z_Others!$M$5:$M$9,z_Others!$Q$5:$Q$9,"",0,1))</f>
        <v/>
      </c>
      <c r="AC187" s="900" t="str">
        <f t="shared" si="11"/>
        <v/>
      </c>
      <c r="AD187" s="894" t="str">
        <f t="array" ref="AD187">if(isblank(F187),"",xlookup(G187,z_Others!$B$5:$B$14,z_Others!$H$5:$H$14,"",0,1))</f>
        <v/>
      </c>
      <c r="AE187" s="901" t="str">
        <f t="shared" si="12"/>
        <v/>
      </c>
      <c r="AF187" s="791"/>
      <c r="AG187" s="791" t="str">
        <f t="shared" si="21"/>
        <v/>
      </c>
      <c r="AH187" s="787"/>
      <c r="AI187" s="787"/>
      <c r="AJ187" s="677" t="str">
        <f t="array" ref="AJ187">if(isblank(F187),"",xlookup(F187,'FL5_POR_包裝對照表 (Mapping Table)'!E:E,'FL5_POR_包裝對照表 (Mapping Table)'!AS:AS,"",0,1))</f>
        <v/>
      </c>
      <c r="AK187" s="677" t="str">
        <f t="array" ref="AK187">if(isblank(F187),"",xlookup(F187,'FL5_POR_包裝對照表 (Mapping Table)'!E:E,'FL5_POR_包裝對照表 (Mapping Table)'!K:K,"",0,1))</f>
        <v/>
      </c>
      <c r="AL187" s="677"/>
      <c r="AM187" s="813"/>
      <c r="AN187" s="908"/>
      <c r="AO187" s="813"/>
      <c r="AP187" s="813"/>
    </row>
    <row r="188" ht="18.0" customHeight="1">
      <c r="A188" s="910"/>
      <c r="B188" s="877"/>
      <c r="C188" s="891" t="str">
        <f>if(isblank(F188),"",'FL5_POR_包裝對照表 (Mapping Table)'!$E$4)</f>
        <v/>
      </c>
      <c r="D188" s="878" t="str">
        <f t="array" ref="D188">if(isblank(F188),"",xlookup(F188,'FL5_POR_包裝對照表 (Mapping Table)'!E:E,'FL5_POR_包裝對照表 (Mapping Table)'!AZ:AZ,"",0,1))</f>
        <v/>
      </c>
      <c r="E188" s="677" t="str">
        <f t="shared" si="2"/>
        <v/>
      </c>
      <c r="F188" s="879"/>
      <c r="G188" s="892" t="str">
        <f t="array" ref="G188">if(isblank(F188),"",xlookup(F188,'FL5_POR_包裝對照表 (Mapping Table)'!E:E,'FL5_POR_包裝對照表 (Mapping Table)'!D:D,"",0,1))</f>
        <v/>
      </c>
      <c r="H188" s="893" t="str">
        <f t="array" ref="H188">if(isblank(F188),"",xlookup(F188,'FL5_POR_包裝對照表 (Mapping Table)'!E:E,'FL5_POR_包裝對照表 (Mapping Table)'!E:E,"",0,1))</f>
        <v/>
      </c>
      <c r="I188" s="677" t="str">
        <f t="array" ref="I188">if(isblank(F188),"",xlookup(F188,'FL5_POR_包裝對照表 (Mapping Table)'!E:E,'FL5_POR_包裝對照表 (Mapping Table)'!AN:AN,"",0,1))</f>
        <v/>
      </c>
      <c r="J188" s="894" t="str">
        <f t="array" ref="J188">if(isblank(F188),"",xlookup(G188,z_Others!$B$5:$B$17,z_Others!$C$5:$C$17,"",0,1))</f>
        <v/>
      </c>
      <c r="K188" s="894" t="str">
        <f t="array" ref="K188">if(isblank(F188),"",xlookup(G188,z_Others!$B$5:$B$17,z_Others!$E$5:$E$17,"",0,1))</f>
        <v/>
      </c>
      <c r="L188" s="894" t="str">
        <f t="array" ref="L188">if(isblank(F188),"",xlookup(G188,z_Others!$B$5:$B$17,z_Others!$F$5:$F$17,"",0,1))</f>
        <v/>
      </c>
      <c r="M188" s="894" t="str">
        <f t="shared" si="3"/>
        <v/>
      </c>
      <c r="N188" s="894" t="str">
        <f t="shared" si="4"/>
        <v/>
      </c>
      <c r="O188" s="882" t="str">
        <f t="array" ref="O188">if(isblank(F188),"",xlookup(F188,'FL5_POR_包裝對照表 (Mapping Table)'!E:E,'FL5_POR_包裝對照表 (Mapping Table)'!L:L,"",0,1))</f>
        <v/>
      </c>
      <c r="P188" s="909" t="str">
        <f t="array" ref="P188">if(isblank(F188),"",xlookup(G188,z_Others!$B$5:$B$17,z_Others!$J$5:$J$17,"",0,1))</f>
        <v/>
      </c>
      <c r="Q188" s="899" t="str">
        <f t="array" ref="Q188">if(isblank(F188),"",xlookup(F188,'FL5_POR_核價 (經管 &amp; BPM)'!E:E,'FL5_POR_核價 (經管 &amp; BPM)'!O:O,"",0,1))</f>
        <v/>
      </c>
      <c r="R188" s="894" t="str">
        <f t="shared" si="5"/>
        <v/>
      </c>
      <c r="S188" s="894" t="str">
        <f t="array" ref="S188">if(isblank(F188),"",xlookup(G188,z_Others!$B$5:$B$17,z_Others!$K$5:$K$17,"",0,1))</f>
        <v/>
      </c>
      <c r="T188" s="894" t="str">
        <f t="shared" si="19"/>
        <v/>
      </c>
      <c r="U188" s="898" t="str">
        <f t="array" ref="U188">if(isblank(F188),"",xlookup(G188,z_Others!$B$5:$B$17,z_Others!$G$5:$G$17,"",0,1))</f>
        <v/>
      </c>
      <c r="V188" s="231" t="str">
        <f t="array" ref="V188">if(isblank(F188),"",xlookup(F188,'FL5_POR_包裝對照表 (Mapping Table)'!E:E,'FL5_POR_包裝對照表 (Mapping Table)'!AB:AB,"",0,1))</f>
        <v/>
      </c>
      <c r="W188" s="899" t="str">
        <f t="array" ref="W188">if(isblank(F188),"",xlookup(G188,z_Others!$B$5:$B$17,z_Others!$I$5:$I$17,"",0,1))</f>
        <v/>
      </c>
      <c r="X188" s="894" t="str">
        <f t="shared" si="7"/>
        <v/>
      </c>
      <c r="Y188" s="894" t="str">
        <f t="shared" si="8"/>
        <v/>
      </c>
      <c r="Z188" s="900" t="str">
        <f t="shared" si="9"/>
        <v/>
      </c>
      <c r="AA188" s="900" t="str">
        <f t="shared" si="10"/>
        <v/>
      </c>
      <c r="AB188" s="878" t="str">
        <f t="array" ref="AB188">if(isblank(F188),"",xlookup(AJ188,z_Others!$M$5:$M$9,z_Others!$Q$5:$Q$9,"",0,1))</f>
        <v/>
      </c>
      <c r="AC188" s="900" t="str">
        <f t="shared" si="11"/>
        <v/>
      </c>
      <c r="AD188" s="894" t="str">
        <f t="array" ref="AD188">if(isblank(F188),"",xlookup(G188,z_Others!$B$5:$B$14,z_Others!$H$5:$H$14,"",0,1))</f>
        <v/>
      </c>
      <c r="AE188" s="901" t="str">
        <f t="shared" si="12"/>
        <v/>
      </c>
      <c r="AF188" s="791"/>
      <c r="AG188" s="791" t="str">
        <f t="shared" si="21"/>
        <v/>
      </c>
      <c r="AH188" s="787"/>
      <c r="AI188" s="787"/>
      <c r="AJ188" s="677" t="str">
        <f t="array" ref="AJ188">if(isblank(F188),"",xlookup(F188,'FL5_POR_包裝對照表 (Mapping Table)'!E:E,'FL5_POR_包裝對照表 (Mapping Table)'!AS:AS,"",0,1))</f>
        <v/>
      </c>
      <c r="AK188" s="677" t="str">
        <f t="array" ref="AK188">if(isblank(F188),"",xlookup(F188,'FL5_POR_包裝對照表 (Mapping Table)'!E:E,'FL5_POR_包裝對照表 (Mapping Table)'!K:K,"",0,1))</f>
        <v/>
      </c>
      <c r="AL188" s="677"/>
      <c r="AM188" s="813"/>
      <c r="AN188" s="908"/>
      <c r="AO188" s="813"/>
      <c r="AP188" s="813"/>
    </row>
    <row r="189" ht="18.0" customHeight="1">
      <c r="A189" s="910"/>
      <c r="B189" s="877"/>
      <c r="C189" s="891" t="str">
        <f>if(isblank(F189),"",'FL5_POR_包裝對照表 (Mapping Table)'!$E$4)</f>
        <v/>
      </c>
      <c r="D189" s="878" t="str">
        <f t="array" ref="D189">if(isblank(F189),"",xlookup(F189,'FL5_POR_包裝對照表 (Mapping Table)'!E:E,'FL5_POR_包裝對照表 (Mapping Table)'!AZ:AZ,"",0,1))</f>
        <v/>
      </c>
      <c r="E189" s="677" t="str">
        <f t="shared" si="2"/>
        <v/>
      </c>
      <c r="F189" s="879"/>
      <c r="G189" s="892" t="str">
        <f t="array" ref="G189">if(isblank(F189),"",xlookup(F189,'FL5_POR_包裝對照表 (Mapping Table)'!E:E,'FL5_POR_包裝對照表 (Mapping Table)'!D:D,"",0,1))</f>
        <v/>
      </c>
      <c r="H189" s="893" t="str">
        <f t="array" ref="H189">if(isblank(F189),"",xlookup(F189,'FL5_POR_包裝對照表 (Mapping Table)'!E:E,'FL5_POR_包裝對照表 (Mapping Table)'!E:E,"",0,1))</f>
        <v/>
      </c>
      <c r="I189" s="677" t="str">
        <f t="array" ref="I189">if(isblank(F189),"",xlookup(F189,'FL5_POR_包裝對照表 (Mapping Table)'!E:E,'FL5_POR_包裝對照表 (Mapping Table)'!AN:AN,"",0,1))</f>
        <v/>
      </c>
      <c r="J189" s="894" t="str">
        <f t="array" ref="J189">if(isblank(F189),"",xlookup(G189,z_Others!$B$5:$B$17,z_Others!$C$5:$C$17,"",0,1))</f>
        <v/>
      </c>
      <c r="K189" s="894" t="str">
        <f t="array" ref="K189">if(isblank(F189),"",xlookup(G189,z_Others!$B$5:$B$17,z_Others!$E$5:$E$17,"",0,1))</f>
        <v/>
      </c>
      <c r="L189" s="894" t="str">
        <f t="array" ref="L189">if(isblank(F189),"",xlookup(G189,z_Others!$B$5:$B$17,z_Others!$F$5:$F$17,"",0,1))</f>
        <v/>
      </c>
      <c r="M189" s="894" t="str">
        <f t="shared" si="3"/>
        <v/>
      </c>
      <c r="N189" s="894" t="str">
        <f t="shared" si="4"/>
        <v/>
      </c>
      <c r="O189" s="882" t="str">
        <f t="array" ref="O189">if(isblank(F189),"",xlookup(F189,'FL5_POR_包裝對照表 (Mapping Table)'!E:E,'FL5_POR_包裝對照表 (Mapping Table)'!L:L,"",0,1))</f>
        <v/>
      </c>
      <c r="P189" s="909" t="str">
        <f t="array" ref="P189">if(isblank(F189),"",xlookup(G189,z_Others!$B$5:$B$17,z_Others!$J$5:$J$17,"",0,1))</f>
        <v/>
      </c>
      <c r="Q189" s="899" t="str">
        <f t="array" ref="Q189">if(isblank(F189),"",xlookup(F189,'FL5_POR_核價 (經管 &amp; BPM)'!E:E,'FL5_POR_核價 (經管 &amp; BPM)'!O:O,"",0,1))</f>
        <v/>
      </c>
      <c r="R189" s="894" t="str">
        <f t="shared" si="5"/>
        <v/>
      </c>
      <c r="S189" s="894" t="str">
        <f t="array" ref="S189">if(isblank(F189),"",xlookup(G189,z_Others!$B$5:$B$17,z_Others!$K$5:$K$17,"",0,1))</f>
        <v/>
      </c>
      <c r="T189" s="894" t="str">
        <f t="shared" si="19"/>
        <v/>
      </c>
      <c r="U189" s="898" t="str">
        <f t="array" ref="U189">if(isblank(F189),"",xlookup(G189,z_Others!$B$5:$B$17,z_Others!$G$5:$G$17,"",0,1))</f>
        <v/>
      </c>
      <c r="V189" s="231" t="str">
        <f t="array" ref="V189">if(isblank(F189),"",xlookup(F189,'FL5_POR_包裝對照表 (Mapping Table)'!E:E,'FL5_POR_包裝對照表 (Mapping Table)'!AB:AB,"",0,1))</f>
        <v/>
      </c>
      <c r="W189" s="899" t="str">
        <f t="array" ref="W189">if(isblank(F189),"",xlookup(G189,z_Others!$B$5:$B$17,z_Others!$I$5:$I$17,"",0,1))</f>
        <v/>
      </c>
      <c r="X189" s="894" t="str">
        <f t="shared" si="7"/>
        <v/>
      </c>
      <c r="Y189" s="894" t="str">
        <f t="shared" si="8"/>
        <v/>
      </c>
      <c r="Z189" s="900" t="str">
        <f t="shared" si="9"/>
        <v/>
      </c>
      <c r="AA189" s="900" t="str">
        <f t="shared" si="10"/>
        <v/>
      </c>
      <c r="AB189" s="878" t="str">
        <f t="array" ref="AB189">if(isblank(F189),"",xlookup(AJ189,z_Others!$M$5:$M$9,z_Others!$Q$5:$Q$9,"",0,1))</f>
        <v/>
      </c>
      <c r="AC189" s="900" t="str">
        <f t="shared" si="11"/>
        <v/>
      </c>
      <c r="AD189" s="894" t="str">
        <f t="array" ref="AD189">if(isblank(F189),"",xlookup(G189,z_Others!$B$5:$B$14,z_Others!$H$5:$H$14,"",0,1))</f>
        <v/>
      </c>
      <c r="AE189" s="901" t="str">
        <f t="shared" si="12"/>
        <v/>
      </c>
      <c r="AF189" s="791"/>
      <c r="AG189" s="791" t="str">
        <f t="shared" si="21"/>
        <v/>
      </c>
      <c r="AH189" s="787"/>
      <c r="AI189" s="787"/>
      <c r="AJ189" s="677" t="str">
        <f t="array" ref="AJ189">if(isblank(F189),"",xlookup(F189,'FL5_POR_包裝對照表 (Mapping Table)'!E:E,'FL5_POR_包裝對照表 (Mapping Table)'!AS:AS,"",0,1))</f>
        <v/>
      </c>
      <c r="AK189" s="677" t="str">
        <f t="array" ref="AK189">if(isblank(F189),"",xlookup(F189,'FL5_POR_包裝對照表 (Mapping Table)'!E:E,'FL5_POR_包裝對照表 (Mapping Table)'!K:K,"",0,1))</f>
        <v/>
      </c>
      <c r="AL189" s="677"/>
      <c r="AM189" s="813"/>
      <c r="AN189" s="908"/>
      <c r="AO189" s="813"/>
      <c r="AP189" s="813"/>
    </row>
    <row r="190" ht="18.0" customHeight="1">
      <c r="A190" s="910"/>
      <c r="B190" s="908"/>
      <c r="C190" s="891" t="str">
        <f>if(isblank(F190),"",'FL5_POR_包裝對照表 (Mapping Table)'!$E$4)</f>
        <v/>
      </c>
      <c r="D190" s="878" t="str">
        <f t="array" ref="D190">if(isblank(F190),"",xlookup(F190,'FL5_POR_包裝對照表 (Mapping Table)'!E:E,'FL5_POR_包裝對照表 (Mapping Table)'!AZ:AZ,"",0,1))</f>
        <v/>
      </c>
      <c r="E190" s="677" t="str">
        <f t="shared" si="2"/>
        <v/>
      </c>
      <c r="F190" s="879"/>
      <c r="G190" s="892" t="str">
        <f t="array" ref="G190">if(isblank(F190),"",xlookup(F190,'FL5_POR_包裝對照表 (Mapping Table)'!E:E,'FL5_POR_包裝對照表 (Mapping Table)'!D:D,"",0,1))</f>
        <v/>
      </c>
      <c r="H190" s="893" t="str">
        <f t="array" ref="H190">if(isblank(F190),"",xlookup(F190,'FL5_POR_包裝對照表 (Mapping Table)'!E:E,'FL5_POR_包裝對照表 (Mapping Table)'!E:E,"",0,1))</f>
        <v/>
      </c>
      <c r="I190" s="677" t="str">
        <f t="array" ref="I190">if(isblank(F190),"",xlookup(F190,'FL5_POR_包裝對照表 (Mapping Table)'!E:E,'FL5_POR_包裝對照表 (Mapping Table)'!AN:AN,"",0,1))</f>
        <v/>
      </c>
      <c r="J190" s="894" t="str">
        <f t="array" ref="J190">if(isblank(F190),"",xlookup(G190,z_Others!$B$5:$B$17,z_Others!$C$5:$C$17,"",0,1))</f>
        <v/>
      </c>
      <c r="K190" s="894" t="str">
        <f t="array" ref="K190">if(isblank(F190),"",xlookup(G190,z_Others!$B$5:$B$17,z_Others!$E$5:$E$17,"",0,1))</f>
        <v/>
      </c>
      <c r="L190" s="894" t="str">
        <f t="array" ref="L190">if(isblank(F190),"",xlookup(G190,z_Others!$B$5:$B$17,z_Others!$F$5:$F$17,"",0,1))</f>
        <v/>
      </c>
      <c r="M190" s="894" t="str">
        <f t="shared" si="3"/>
        <v/>
      </c>
      <c r="N190" s="894" t="str">
        <f t="shared" si="4"/>
        <v/>
      </c>
      <c r="O190" s="882" t="str">
        <f t="array" ref="O190">if(isblank(F190),"",xlookup(F190,'FL5_POR_包裝對照表 (Mapping Table)'!E:E,'FL5_POR_包裝對照表 (Mapping Table)'!L:L,"",0,1))</f>
        <v/>
      </c>
      <c r="P190" s="909" t="str">
        <f t="array" ref="P190">if(isblank(F190),"",xlookup(G190,z_Others!$B$5:$B$17,z_Others!$J$5:$J$17,"",0,1))</f>
        <v/>
      </c>
      <c r="Q190" s="899" t="str">
        <f t="array" ref="Q190">if(isblank(F190),"",xlookup(F190,'FL5_POR_核價 (經管 &amp; BPM)'!E:E,'FL5_POR_核價 (經管 &amp; BPM)'!O:O,"",0,1))</f>
        <v/>
      </c>
      <c r="R190" s="894" t="str">
        <f t="shared" si="5"/>
        <v/>
      </c>
      <c r="S190" s="894" t="str">
        <f t="array" ref="S190">if(isblank(F190),"",xlookup(G190,z_Others!$B$5:$B$17,z_Others!$K$5:$K$17,"",0,1))</f>
        <v/>
      </c>
      <c r="T190" s="894" t="str">
        <f t="shared" si="19"/>
        <v/>
      </c>
      <c r="U190" s="898" t="str">
        <f t="array" ref="U190">if(isblank(F190),"",xlookup(G190,z_Others!$B$5:$B$17,z_Others!$G$5:$G$17,"",0,1))</f>
        <v/>
      </c>
      <c r="V190" s="231" t="str">
        <f t="array" ref="V190">if(isblank(F190),"",xlookup(F190,'FL5_POR_包裝對照表 (Mapping Table)'!E:E,'FL5_POR_包裝對照表 (Mapping Table)'!AB:AB,"",0,1))</f>
        <v/>
      </c>
      <c r="W190" s="899" t="str">
        <f t="array" ref="W190">if(isblank(F190),"",xlookup(G190,z_Others!$B$5:$B$17,z_Others!$I$5:$I$17,"",0,1))</f>
        <v/>
      </c>
      <c r="X190" s="894" t="str">
        <f t="shared" si="7"/>
        <v/>
      </c>
      <c r="Y190" s="894" t="str">
        <f t="shared" si="8"/>
        <v/>
      </c>
      <c r="Z190" s="900" t="str">
        <f t="shared" si="9"/>
        <v/>
      </c>
      <c r="AA190" s="900" t="str">
        <f t="shared" si="10"/>
        <v/>
      </c>
      <c r="AB190" s="878" t="str">
        <f t="array" ref="AB190">if(isblank(F190),"",xlookup(AJ190,z_Others!$M$5:$M$9,z_Others!$Q$5:$Q$9,"",0,1))</f>
        <v/>
      </c>
      <c r="AC190" s="900" t="str">
        <f t="shared" si="11"/>
        <v/>
      </c>
      <c r="AD190" s="894" t="str">
        <f t="array" ref="AD190">if(isblank(F190),"",xlookup(G190,z_Others!$B$5:$B$14,z_Others!$H$5:$H$14,"",0,1))</f>
        <v/>
      </c>
      <c r="AE190" s="901" t="str">
        <f t="shared" si="12"/>
        <v/>
      </c>
      <c r="AF190" s="791"/>
      <c r="AG190" s="791" t="str">
        <f t="shared" si="21"/>
        <v/>
      </c>
      <c r="AH190" s="787"/>
      <c r="AI190" s="787"/>
      <c r="AJ190" s="677" t="str">
        <f t="array" ref="AJ190">if(isblank(F190),"",xlookup(F190,'FL5_POR_包裝對照表 (Mapping Table)'!E:E,'FL5_POR_包裝對照表 (Mapping Table)'!AS:AS,"",0,1))</f>
        <v/>
      </c>
      <c r="AK190" s="677" t="str">
        <f t="array" ref="AK190">if(isblank(F190),"",xlookup(F190,'FL5_POR_包裝對照表 (Mapping Table)'!E:E,'FL5_POR_包裝對照表 (Mapping Table)'!K:K,"",0,1))</f>
        <v/>
      </c>
      <c r="AL190" s="677"/>
      <c r="AM190" s="813"/>
      <c r="AN190" s="908"/>
      <c r="AO190" s="813"/>
      <c r="AP190" s="813"/>
    </row>
    <row r="191" ht="18.0" customHeight="1">
      <c r="A191" s="910"/>
      <c r="B191" s="908"/>
      <c r="C191" s="891" t="str">
        <f>if(isblank(F191),"",'FL5_POR_包裝對照表 (Mapping Table)'!$E$4)</f>
        <v/>
      </c>
      <c r="D191" s="878" t="str">
        <f t="array" ref="D191">if(isblank(F191),"",xlookup(F191,'FL5_POR_包裝對照表 (Mapping Table)'!E:E,'FL5_POR_包裝對照表 (Mapping Table)'!AZ:AZ,"",0,1))</f>
        <v/>
      </c>
      <c r="E191" s="677" t="str">
        <f t="shared" si="2"/>
        <v/>
      </c>
      <c r="F191" s="879"/>
      <c r="G191" s="892" t="str">
        <f t="array" ref="G191">if(isblank(F191),"",xlookup(F191,'FL5_POR_包裝對照表 (Mapping Table)'!E:E,'FL5_POR_包裝對照表 (Mapping Table)'!D:D,"",0,1))</f>
        <v/>
      </c>
      <c r="H191" s="893" t="str">
        <f t="array" ref="H191">if(isblank(F191),"",xlookup(F191,'FL5_POR_包裝對照表 (Mapping Table)'!E:E,'FL5_POR_包裝對照表 (Mapping Table)'!E:E,"",0,1))</f>
        <v/>
      </c>
      <c r="I191" s="677" t="str">
        <f t="array" ref="I191">if(isblank(F191),"",xlookup(F191,'FL5_POR_包裝對照表 (Mapping Table)'!E:E,'FL5_POR_包裝對照表 (Mapping Table)'!AN:AN,"",0,1))</f>
        <v/>
      </c>
      <c r="J191" s="894" t="str">
        <f t="array" ref="J191">if(isblank(F191),"",xlookup(G191,z_Others!$B$5:$B$17,z_Others!$C$5:$C$17,"",0,1))</f>
        <v/>
      </c>
      <c r="K191" s="894" t="str">
        <f t="array" ref="K191">if(isblank(F191),"",xlookup(G191,z_Others!$B$5:$B$17,z_Others!$E$5:$E$17,"",0,1))</f>
        <v/>
      </c>
      <c r="L191" s="894" t="str">
        <f t="array" ref="L191">if(isblank(F191),"",xlookup(G191,z_Others!$B$5:$B$17,z_Others!$F$5:$F$17,"",0,1))</f>
        <v/>
      </c>
      <c r="M191" s="894" t="str">
        <f t="shared" si="3"/>
        <v/>
      </c>
      <c r="N191" s="894" t="str">
        <f t="shared" si="4"/>
        <v/>
      </c>
      <c r="O191" s="882" t="str">
        <f t="array" ref="O191">if(isblank(F191),"",xlookup(F191,'FL5_POR_包裝對照表 (Mapping Table)'!E:E,'FL5_POR_包裝對照表 (Mapping Table)'!L:L,"",0,1))</f>
        <v/>
      </c>
      <c r="P191" s="909" t="str">
        <f t="array" ref="P191">if(isblank(F191),"",xlookup(G191,z_Others!$B$5:$B$17,z_Others!$J$5:$J$17,"",0,1))</f>
        <v/>
      </c>
      <c r="Q191" s="899" t="str">
        <f t="array" ref="Q191">if(isblank(F191),"",xlookup(F191,'FL5_POR_核價 (經管 &amp; BPM)'!E:E,'FL5_POR_核價 (經管 &amp; BPM)'!O:O,"",0,1))</f>
        <v/>
      </c>
      <c r="R191" s="894" t="str">
        <f t="shared" si="5"/>
        <v/>
      </c>
      <c r="S191" s="894" t="str">
        <f t="array" ref="S191">if(isblank(F191),"",xlookup(G191,z_Others!$B$5:$B$17,z_Others!$K$5:$K$17,"",0,1))</f>
        <v/>
      </c>
      <c r="T191" s="894" t="str">
        <f t="shared" si="19"/>
        <v/>
      </c>
      <c r="U191" s="898" t="str">
        <f t="array" ref="U191">if(isblank(F191),"",xlookup(G191,z_Others!$B$5:$B$17,z_Others!$G$5:$G$17,"",0,1))</f>
        <v/>
      </c>
      <c r="V191" s="231" t="str">
        <f t="array" ref="V191">if(isblank(F191),"",xlookup(F191,'FL5_POR_包裝對照表 (Mapping Table)'!E:E,'FL5_POR_包裝對照表 (Mapping Table)'!AB:AB,"",0,1))</f>
        <v/>
      </c>
      <c r="W191" s="899" t="str">
        <f t="array" ref="W191">if(isblank(F191),"",xlookup(G191,z_Others!$B$5:$B$17,z_Others!$I$5:$I$17,"",0,1))</f>
        <v/>
      </c>
      <c r="X191" s="894" t="str">
        <f t="shared" si="7"/>
        <v/>
      </c>
      <c r="Y191" s="894" t="str">
        <f t="shared" si="8"/>
        <v/>
      </c>
      <c r="Z191" s="900" t="str">
        <f t="shared" si="9"/>
        <v/>
      </c>
      <c r="AA191" s="900" t="str">
        <f t="shared" si="10"/>
        <v/>
      </c>
      <c r="AB191" s="878" t="str">
        <f t="array" ref="AB191">if(isblank(F191),"",xlookup(AJ191,z_Others!$M$5:$M$9,z_Others!$Q$5:$Q$9,"",0,1))</f>
        <v/>
      </c>
      <c r="AC191" s="900" t="str">
        <f t="shared" si="11"/>
        <v/>
      </c>
      <c r="AD191" s="894" t="str">
        <f t="array" ref="AD191">if(isblank(F191),"",xlookup(G191,z_Others!$B$5:$B$14,z_Others!$H$5:$H$14,"",0,1))</f>
        <v/>
      </c>
      <c r="AE191" s="901" t="str">
        <f t="shared" si="12"/>
        <v/>
      </c>
      <c r="AF191" s="791"/>
      <c r="AG191" s="791" t="str">
        <f t="shared" si="21"/>
        <v/>
      </c>
      <c r="AH191" s="787"/>
      <c r="AI191" s="787"/>
      <c r="AJ191" s="677" t="str">
        <f t="array" ref="AJ191">if(isblank(F191),"",xlookup(F191,'FL5_POR_包裝對照表 (Mapping Table)'!E:E,'FL5_POR_包裝對照表 (Mapping Table)'!AS:AS,"",0,1))</f>
        <v/>
      </c>
      <c r="AK191" s="677" t="str">
        <f t="array" ref="AK191">if(isblank(F191),"",xlookup(F191,'FL5_POR_包裝對照表 (Mapping Table)'!E:E,'FL5_POR_包裝對照表 (Mapping Table)'!K:K,"",0,1))</f>
        <v/>
      </c>
      <c r="AL191" s="677"/>
      <c r="AM191" s="813"/>
      <c r="AN191" s="908"/>
      <c r="AO191" s="813"/>
      <c r="AP191" s="813"/>
    </row>
    <row r="192" ht="18.0" customHeight="1">
      <c r="A192" s="910"/>
      <c r="B192" s="908"/>
      <c r="C192" s="891" t="str">
        <f>if(isblank(F192),"",'FL5_POR_包裝對照表 (Mapping Table)'!$E$4)</f>
        <v/>
      </c>
      <c r="D192" s="878" t="str">
        <f t="array" ref="D192">if(isblank(F192),"",xlookup(F192,'FL5_POR_包裝對照表 (Mapping Table)'!E:E,'FL5_POR_包裝對照表 (Mapping Table)'!AZ:AZ,"",0,1))</f>
        <v/>
      </c>
      <c r="E192" s="677" t="str">
        <f t="shared" si="2"/>
        <v/>
      </c>
      <c r="F192" s="879"/>
      <c r="G192" s="892" t="str">
        <f t="array" ref="G192">if(isblank(F192),"",xlookup(F192,'FL5_POR_包裝對照表 (Mapping Table)'!E:E,'FL5_POR_包裝對照表 (Mapping Table)'!D:D,"",0,1))</f>
        <v/>
      </c>
      <c r="H192" s="893" t="str">
        <f t="array" ref="H192">if(isblank(F192),"",xlookup(F192,'FL5_POR_包裝對照表 (Mapping Table)'!E:E,'FL5_POR_包裝對照表 (Mapping Table)'!E:E,"",0,1))</f>
        <v/>
      </c>
      <c r="I192" s="677" t="str">
        <f t="array" ref="I192">if(isblank(F192),"",xlookup(F192,'FL5_POR_包裝對照表 (Mapping Table)'!E:E,'FL5_POR_包裝對照表 (Mapping Table)'!AN:AN,"",0,1))</f>
        <v/>
      </c>
      <c r="J192" s="894" t="str">
        <f t="array" ref="J192">if(isblank(F192),"",xlookup(G192,z_Others!$B$5:$B$17,z_Others!$C$5:$C$17,"",0,1))</f>
        <v/>
      </c>
      <c r="K192" s="894" t="str">
        <f t="array" ref="K192">if(isblank(F192),"",xlookup(G192,z_Others!$B$5:$B$17,z_Others!$E$5:$E$17,"",0,1))</f>
        <v/>
      </c>
      <c r="L192" s="894" t="str">
        <f t="array" ref="L192">if(isblank(F192),"",xlookup(G192,z_Others!$B$5:$B$17,z_Others!$F$5:$F$17,"",0,1))</f>
        <v/>
      </c>
      <c r="M192" s="894" t="str">
        <f t="shared" si="3"/>
        <v/>
      </c>
      <c r="N192" s="894" t="str">
        <f t="shared" si="4"/>
        <v/>
      </c>
      <c r="O192" s="882" t="str">
        <f t="array" ref="O192">if(isblank(F192),"",xlookup(F192,'FL5_POR_包裝對照表 (Mapping Table)'!E:E,'FL5_POR_包裝對照表 (Mapping Table)'!L:L,"",0,1))</f>
        <v/>
      </c>
      <c r="P192" s="909" t="str">
        <f t="array" ref="P192">if(isblank(F192),"",xlookup(G192,z_Others!$B$5:$B$17,z_Others!$J$5:$J$17,"",0,1))</f>
        <v/>
      </c>
      <c r="Q192" s="899" t="str">
        <f t="array" ref="Q192">if(isblank(F192),"",xlookup(F192,'FL5_POR_核價 (經管 &amp; BPM)'!E:E,'FL5_POR_核價 (經管 &amp; BPM)'!O:O,"",0,1))</f>
        <v/>
      </c>
      <c r="R192" s="894" t="str">
        <f t="shared" si="5"/>
        <v/>
      </c>
      <c r="S192" s="894" t="str">
        <f t="array" ref="S192">if(isblank(F192),"",xlookup(G192,z_Others!$B$5:$B$17,z_Others!$K$5:$K$17,"",0,1))</f>
        <v/>
      </c>
      <c r="T192" s="894" t="str">
        <f t="shared" si="19"/>
        <v/>
      </c>
      <c r="U192" s="898" t="str">
        <f t="array" ref="U192">if(isblank(F192),"",xlookup(G192,z_Others!$B$5:$B$17,z_Others!$G$5:$G$17,"",0,1))</f>
        <v/>
      </c>
      <c r="V192" s="231" t="str">
        <f t="array" ref="V192">if(isblank(F192),"",xlookup(F192,'FL5_POR_包裝對照表 (Mapping Table)'!E:E,'FL5_POR_包裝對照表 (Mapping Table)'!AB:AB,"",0,1))</f>
        <v/>
      </c>
      <c r="W192" s="899" t="str">
        <f t="array" ref="W192">if(isblank(F192),"",xlookup(G192,z_Others!$B$5:$B$17,z_Others!$I$5:$I$17,"",0,1))</f>
        <v/>
      </c>
      <c r="X192" s="894" t="str">
        <f t="shared" si="7"/>
        <v/>
      </c>
      <c r="Y192" s="894" t="str">
        <f t="shared" si="8"/>
        <v/>
      </c>
      <c r="Z192" s="900" t="str">
        <f t="shared" si="9"/>
        <v/>
      </c>
      <c r="AA192" s="900" t="str">
        <f t="shared" si="10"/>
        <v/>
      </c>
      <c r="AB192" s="878" t="str">
        <f t="array" ref="AB192">if(isblank(F192),"",xlookup(AJ192,z_Others!$M$5:$M$9,z_Others!$Q$5:$Q$9,"",0,1))</f>
        <v/>
      </c>
      <c r="AC192" s="900" t="str">
        <f t="shared" si="11"/>
        <v/>
      </c>
      <c r="AD192" s="894" t="str">
        <f t="array" ref="AD192">if(isblank(F192),"",xlookup(G192,z_Others!$B$5:$B$14,z_Others!$H$5:$H$14,"",0,1))</f>
        <v/>
      </c>
      <c r="AE192" s="901" t="str">
        <f t="shared" si="12"/>
        <v/>
      </c>
      <c r="AF192" s="791"/>
      <c r="AG192" s="791" t="str">
        <f t="shared" si="21"/>
        <v/>
      </c>
      <c r="AH192" s="787"/>
      <c r="AI192" s="787"/>
      <c r="AJ192" s="677" t="str">
        <f t="array" ref="AJ192">if(isblank(F192),"",xlookup(F192,'FL5_POR_包裝對照表 (Mapping Table)'!E:E,'FL5_POR_包裝對照表 (Mapping Table)'!AS:AS,"",0,1))</f>
        <v/>
      </c>
      <c r="AK192" s="677" t="str">
        <f t="array" ref="AK192">if(isblank(F192),"",xlookup(F192,'FL5_POR_包裝對照表 (Mapping Table)'!E:E,'FL5_POR_包裝對照表 (Mapping Table)'!K:K,"",0,1))</f>
        <v/>
      </c>
      <c r="AL192" s="677"/>
      <c r="AM192" s="813"/>
      <c r="AN192" s="908"/>
      <c r="AO192" s="813"/>
      <c r="AP192" s="813"/>
    </row>
    <row r="193" ht="18.0" customHeight="1">
      <c r="A193" s="910"/>
      <c r="B193" s="908"/>
      <c r="C193" s="891" t="str">
        <f>if(isblank(F193),"",'FL5_POR_包裝對照表 (Mapping Table)'!$E$4)</f>
        <v/>
      </c>
      <c r="D193" s="878" t="str">
        <f t="array" ref="D193">if(isblank(F193),"",xlookup(F193,'FL5_POR_包裝對照表 (Mapping Table)'!E:E,'FL5_POR_包裝對照表 (Mapping Table)'!AZ:AZ,"",0,1))</f>
        <v/>
      </c>
      <c r="E193" s="677" t="str">
        <f t="shared" si="2"/>
        <v/>
      </c>
      <c r="F193" s="879"/>
      <c r="G193" s="892" t="str">
        <f t="array" ref="G193">if(isblank(F193),"",xlookup(F193,'FL5_POR_包裝對照表 (Mapping Table)'!E:E,'FL5_POR_包裝對照表 (Mapping Table)'!D:D,"",0,1))</f>
        <v/>
      </c>
      <c r="H193" s="893" t="str">
        <f t="array" ref="H193">if(isblank(F193),"",xlookup(F193,'FL5_POR_包裝對照表 (Mapping Table)'!E:E,'FL5_POR_包裝對照表 (Mapping Table)'!E:E,"",0,1))</f>
        <v/>
      </c>
      <c r="I193" s="677" t="str">
        <f t="array" ref="I193">if(isblank(F193),"",xlookup(F193,'FL5_POR_包裝對照表 (Mapping Table)'!E:E,'FL5_POR_包裝對照表 (Mapping Table)'!AN:AN,"",0,1))</f>
        <v/>
      </c>
      <c r="J193" s="894" t="str">
        <f t="array" ref="J193">if(isblank(F193),"",xlookup(G193,z_Others!$B$5:$B$17,z_Others!$C$5:$C$17,"",0,1))</f>
        <v/>
      </c>
      <c r="K193" s="894" t="str">
        <f t="array" ref="K193">if(isblank(F193),"",xlookup(G193,z_Others!$B$5:$B$17,z_Others!$E$5:$E$17,"",0,1))</f>
        <v/>
      </c>
      <c r="L193" s="894" t="str">
        <f t="array" ref="L193">if(isblank(F193),"",xlookup(G193,z_Others!$B$5:$B$17,z_Others!$F$5:$F$17,"",0,1))</f>
        <v/>
      </c>
      <c r="M193" s="894" t="str">
        <f t="shared" si="3"/>
        <v/>
      </c>
      <c r="N193" s="894" t="str">
        <f t="shared" si="4"/>
        <v/>
      </c>
      <c r="O193" s="882" t="str">
        <f t="array" ref="O193">if(isblank(F193),"",xlookup(F193,'FL5_POR_包裝對照表 (Mapping Table)'!E:E,'FL5_POR_包裝對照表 (Mapping Table)'!L:L,"",0,1))</f>
        <v/>
      </c>
      <c r="P193" s="909" t="str">
        <f t="array" ref="P193">if(isblank(F193),"",xlookup(G193,z_Others!$B$5:$B$17,z_Others!$J$5:$J$17,"",0,1))</f>
        <v/>
      </c>
      <c r="Q193" s="899" t="str">
        <f t="array" ref="Q193">if(isblank(F193),"",xlookup(F193,'FL5_POR_核價 (經管 &amp; BPM)'!E:E,'FL5_POR_核價 (經管 &amp; BPM)'!O:O,"",0,1))</f>
        <v/>
      </c>
      <c r="R193" s="894" t="str">
        <f t="shared" si="5"/>
        <v/>
      </c>
      <c r="S193" s="894" t="str">
        <f t="array" ref="S193">if(isblank(F193),"",xlookup(G193,z_Others!$B$5:$B$17,z_Others!$K$5:$K$17,"",0,1))</f>
        <v/>
      </c>
      <c r="T193" s="894" t="str">
        <f t="shared" si="19"/>
        <v/>
      </c>
      <c r="U193" s="898" t="str">
        <f t="array" ref="U193">if(isblank(F193),"",xlookup(G193,z_Others!$B$5:$B$17,z_Others!$G$5:$G$17,"",0,1))</f>
        <v/>
      </c>
      <c r="V193" s="231" t="str">
        <f t="array" ref="V193">if(isblank(F193),"",xlookup(F193,'FL5_POR_包裝對照表 (Mapping Table)'!E:E,'FL5_POR_包裝對照表 (Mapping Table)'!AB:AB,"",0,1))</f>
        <v/>
      </c>
      <c r="W193" s="899" t="str">
        <f t="array" ref="W193">if(isblank(F193),"",xlookup(G193,z_Others!$B$5:$B$17,z_Others!$I$5:$I$17,"",0,1))</f>
        <v/>
      </c>
      <c r="X193" s="894" t="str">
        <f t="shared" si="7"/>
        <v/>
      </c>
      <c r="Y193" s="894" t="str">
        <f t="shared" si="8"/>
        <v/>
      </c>
      <c r="Z193" s="900" t="str">
        <f t="shared" si="9"/>
        <v/>
      </c>
      <c r="AA193" s="900" t="str">
        <f t="shared" si="10"/>
        <v/>
      </c>
      <c r="AB193" s="878" t="str">
        <f t="array" ref="AB193">if(isblank(F193),"",xlookup(AJ193,z_Others!$M$5:$M$9,z_Others!$Q$5:$Q$9,"",0,1))</f>
        <v/>
      </c>
      <c r="AC193" s="900" t="str">
        <f t="shared" si="11"/>
        <v/>
      </c>
      <c r="AD193" s="894" t="str">
        <f t="array" ref="AD193">if(isblank(F193),"",xlookup(G193,z_Others!$B$5:$B$14,z_Others!$H$5:$H$14,"",0,1))</f>
        <v/>
      </c>
      <c r="AE193" s="901" t="str">
        <f t="shared" si="12"/>
        <v/>
      </c>
      <c r="AF193" s="791"/>
      <c r="AG193" s="791" t="str">
        <f t="shared" si="21"/>
        <v/>
      </c>
      <c r="AH193" s="787"/>
      <c r="AI193" s="787"/>
      <c r="AJ193" s="677" t="str">
        <f t="array" ref="AJ193">if(isblank(F193),"",xlookup(F193,'FL5_POR_包裝對照表 (Mapping Table)'!E:E,'FL5_POR_包裝對照表 (Mapping Table)'!AS:AS,"",0,1))</f>
        <v/>
      </c>
      <c r="AK193" s="677" t="str">
        <f t="array" ref="AK193">if(isblank(F193),"",xlookup(F193,'FL5_POR_包裝對照表 (Mapping Table)'!E:E,'FL5_POR_包裝對照表 (Mapping Table)'!K:K,"",0,1))</f>
        <v/>
      </c>
      <c r="AL193" s="677"/>
      <c r="AM193" s="813"/>
      <c r="AN193" s="908"/>
      <c r="AO193" s="813"/>
      <c r="AP193" s="813"/>
    </row>
    <row r="194" ht="18.0" customHeight="1">
      <c r="A194" s="910"/>
      <c r="B194" s="908"/>
      <c r="C194" s="891" t="str">
        <f>if(isblank(F194),"",'FL5_POR_包裝對照表 (Mapping Table)'!$E$4)</f>
        <v/>
      </c>
      <c r="D194" s="878" t="str">
        <f t="array" ref="D194">if(isblank(F194),"",xlookup(F194,'FL5_POR_包裝對照表 (Mapping Table)'!E:E,'FL5_POR_包裝對照表 (Mapping Table)'!AZ:AZ,"",0,1))</f>
        <v/>
      </c>
      <c r="E194" s="677" t="str">
        <f t="shared" si="2"/>
        <v/>
      </c>
      <c r="F194" s="879"/>
      <c r="G194" s="892" t="str">
        <f t="array" ref="G194">if(isblank(F194),"",xlookup(F194,'FL5_POR_包裝對照表 (Mapping Table)'!E:E,'FL5_POR_包裝對照表 (Mapping Table)'!D:D,"",0,1))</f>
        <v/>
      </c>
      <c r="H194" s="893" t="str">
        <f t="array" ref="H194">if(isblank(F194),"",xlookup(F194,'FL5_POR_包裝對照表 (Mapping Table)'!E:E,'FL5_POR_包裝對照表 (Mapping Table)'!E:E,"",0,1))</f>
        <v/>
      </c>
      <c r="I194" s="677" t="str">
        <f t="array" ref="I194">if(isblank(F194),"",xlookup(F194,'FL5_POR_包裝對照表 (Mapping Table)'!E:E,'FL5_POR_包裝對照表 (Mapping Table)'!AN:AN,"",0,1))</f>
        <v/>
      </c>
      <c r="J194" s="894" t="str">
        <f t="array" ref="J194">if(isblank(F194),"",xlookup(G194,z_Others!$B$5:$B$17,z_Others!$C$5:$C$17,"",0,1))</f>
        <v/>
      </c>
      <c r="K194" s="894" t="str">
        <f t="array" ref="K194">if(isblank(F194),"",xlookup(G194,z_Others!$B$5:$B$17,z_Others!$E$5:$E$17,"",0,1))</f>
        <v/>
      </c>
      <c r="L194" s="894" t="str">
        <f t="array" ref="L194">if(isblank(F194),"",xlookup(G194,z_Others!$B$5:$B$17,z_Others!$F$5:$F$17,"",0,1))</f>
        <v/>
      </c>
      <c r="M194" s="894" t="str">
        <f t="shared" si="3"/>
        <v/>
      </c>
      <c r="N194" s="894" t="str">
        <f t="shared" si="4"/>
        <v/>
      </c>
      <c r="O194" s="882" t="str">
        <f t="array" ref="O194">if(isblank(F194),"",xlookup(F194,'FL5_POR_包裝對照表 (Mapping Table)'!E:E,'FL5_POR_包裝對照表 (Mapping Table)'!L:L,"",0,1))</f>
        <v/>
      </c>
      <c r="P194" s="909" t="str">
        <f t="array" ref="P194">if(isblank(F194),"",xlookup(G194,z_Others!$B$5:$B$17,z_Others!$J$5:$J$17,"",0,1))</f>
        <v/>
      </c>
      <c r="Q194" s="899" t="str">
        <f t="array" ref="Q194">if(isblank(F194),"",xlookup(F194,'FL5_POR_核價 (經管 &amp; BPM)'!E:E,'FL5_POR_核價 (經管 &amp; BPM)'!O:O,"",0,1))</f>
        <v/>
      </c>
      <c r="R194" s="894" t="str">
        <f t="shared" si="5"/>
        <v/>
      </c>
      <c r="S194" s="894" t="str">
        <f t="array" ref="S194">if(isblank(F194),"",xlookup(G194,z_Others!$B$5:$B$17,z_Others!$K$5:$K$17,"",0,1))</f>
        <v/>
      </c>
      <c r="T194" s="894" t="str">
        <f t="shared" si="19"/>
        <v/>
      </c>
      <c r="U194" s="898" t="str">
        <f t="array" ref="U194">if(isblank(F194),"",xlookup(G194,z_Others!$B$5:$B$17,z_Others!$G$5:$G$17,"",0,1))</f>
        <v/>
      </c>
      <c r="V194" s="231" t="str">
        <f t="array" ref="V194">if(isblank(F194),"",xlookup(F194,'FL5_POR_包裝對照表 (Mapping Table)'!E:E,'FL5_POR_包裝對照表 (Mapping Table)'!AB:AB,"",0,1))</f>
        <v/>
      </c>
      <c r="W194" s="899" t="str">
        <f t="array" ref="W194">if(isblank(F194),"",xlookup(G194,z_Others!$B$5:$B$17,z_Others!$I$5:$I$17,"",0,1))</f>
        <v/>
      </c>
      <c r="X194" s="894" t="str">
        <f t="shared" si="7"/>
        <v/>
      </c>
      <c r="Y194" s="894" t="str">
        <f t="shared" si="8"/>
        <v/>
      </c>
      <c r="Z194" s="900" t="str">
        <f t="shared" si="9"/>
        <v/>
      </c>
      <c r="AA194" s="900" t="str">
        <f t="shared" si="10"/>
        <v/>
      </c>
      <c r="AB194" s="878" t="str">
        <f t="array" ref="AB194">if(isblank(F194),"",xlookup(AJ194,z_Others!$M$5:$M$9,z_Others!$Q$5:$Q$9,"",0,1))</f>
        <v/>
      </c>
      <c r="AC194" s="900" t="str">
        <f t="shared" si="11"/>
        <v/>
      </c>
      <c r="AD194" s="894" t="str">
        <f t="array" ref="AD194">if(isblank(F194),"",xlookup(G194,z_Others!$B$5:$B$14,z_Others!$H$5:$H$14,"",0,1))</f>
        <v/>
      </c>
      <c r="AE194" s="901" t="str">
        <f t="shared" si="12"/>
        <v/>
      </c>
      <c r="AF194" s="791"/>
      <c r="AG194" s="791" t="str">
        <f t="shared" si="21"/>
        <v/>
      </c>
      <c r="AH194" s="787"/>
      <c r="AI194" s="787"/>
      <c r="AJ194" s="677" t="str">
        <f t="array" ref="AJ194">if(isblank(F194),"",xlookup(F194,'FL5_POR_包裝對照表 (Mapping Table)'!E:E,'FL5_POR_包裝對照表 (Mapping Table)'!AS:AS,"",0,1))</f>
        <v/>
      </c>
      <c r="AK194" s="677" t="str">
        <f t="array" ref="AK194">if(isblank(F194),"",xlookup(F194,'FL5_POR_包裝對照表 (Mapping Table)'!E:E,'FL5_POR_包裝對照表 (Mapping Table)'!K:K,"",0,1))</f>
        <v/>
      </c>
      <c r="AL194" s="677"/>
      <c r="AM194" s="813"/>
      <c r="AN194" s="908"/>
      <c r="AO194" s="813"/>
      <c r="AP194" s="813"/>
    </row>
    <row r="195" ht="18.0" customHeight="1">
      <c r="A195" s="910"/>
      <c r="B195" s="908"/>
      <c r="C195" s="891" t="str">
        <f>if(isblank(F195),"",'FL5_POR_包裝對照表 (Mapping Table)'!$E$4)</f>
        <v/>
      </c>
      <c r="D195" s="878" t="str">
        <f t="array" ref="D195">if(isblank(F195),"",xlookup(F195,'FL5_POR_包裝對照表 (Mapping Table)'!E:E,'FL5_POR_包裝對照表 (Mapping Table)'!AZ:AZ,"",0,1))</f>
        <v/>
      </c>
      <c r="E195" s="677" t="str">
        <f t="shared" si="2"/>
        <v/>
      </c>
      <c r="F195" s="879"/>
      <c r="G195" s="892" t="str">
        <f t="array" ref="G195">if(isblank(F195),"",xlookup(F195,'FL5_POR_包裝對照表 (Mapping Table)'!E:E,'FL5_POR_包裝對照表 (Mapping Table)'!D:D,"",0,1))</f>
        <v/>
      </c>
      <c r="H195" s="893" t="str">
        <f t="array" ref="H195">if(isblank(F195),"",xlookup(F195,'FL5_POR_包裝對照表 (Mapping Table)'!E:E,'FL5_POR_包裝對照表 (Mapping Table)'!E:E,"",0,1))</f>
        <v/>
      </c>
      <c r="I195" s="677" t="str">
        <f t="array" ref="I195">if(isblank(F195),"",xlookup(F195,'FL5_POR_包裝對照表 (Mapping Table)'!E:E,'FL5_POR_包裝對照表 (Mapping Table)'!AN:AN,"",0,1))</f>
        <v/>
      </c>
      <c r="J195" s="894" t="str">
        <f t="array" ref="J195">if(isblank(F195),"",xlookup(G195,z_Others!$B$5:$B$17,z_Others!$C$5:$C$17,"",0,1))</f>
        <v/>
      </c>
      <c r="K195" s="894" t="str">
        <f t="array" ref="K195">if(isblank(F195),"",xlookup(G195,z_Others!$B$5:$B$17,z_Others!$E$5:$E$17,"",0,1))</f>
        <v/>
      </c>
      <c r="L195" s="894" t="str">
        <f t="array" ref="L195">if(isblank(F195),"",xlookup(G195,z_Others!$B$5:$B$17,z_Others!$F$5:$F$17,"",0,1))</f>
        <v/>
      </c>
      <c r="M195" s="894" t="str">
        <f t="shared" si="3"/>
        <v/>
      </c>
      <c r="N195" s="894" t="str">
        <f t="shared" si="4"/>
        <v/>
      </c>
      <c r="O195" s="882" t="str">
        <f t="array" ref="O195">if(isblank(F195),"",xlookup(F195,'FL5_POR_包裝對照表 (Mapping Table)'!E:E,'FL5_POR_包裝對照表 (Mapping Table)'!L:L,"",0,1))</f>
        <v/>
      </c>
      <c r="P195" s="909" t="str">
        <f t="array" ref="P195">if(isblank(F195),"",xlookup(G195,z_Others!$B$5:$B$17,z_Others!$J$5:$J$17,"",0,1))</f>
        <v/>
      </c>
      <c r="Q195" s="899" t="str">
        <f t="array" ref="Q195">if(isblank(F195),"",xlookup(F195,'FL5_POR_核價 (經管 &amp; BPM)'!E:E,'FL5_POR_核價 (經管 &amp; BPM)'!O:O,"",0,1))</f>
        <v/>
      </c>
      <c r="R195" s="894" t="str">
        <f t="shared" si="5"/>
        <v/>
      </c>
      <c r="S195" s="894" t="str">
        <f t="array" ref="S195">if(isblank(F195),"",xlookup(G195,z_Others!$B$5:$B$17,z_Others!$K$5:$K$17,"",0,1))</f>
        <v/>
      </c>
      <c r="T195" s="894" t="str">
        <f t="shared" si="19"/>
        <v/>
      </c>
      <c r="U195" s="898" t="str">
        <f t="array" ref="U195">if(isblank(F195),"",xlookup(G195,z_Others!$B$5:$B$17,z_Others!$G$5:$G$17,"",0,1))</f>
        <v/>
      </c>
      <c r="V195" s="231" t="str">
        <f t="array" ref="V195">if(isblank(F195),"",xlookup(F195,'FL5_POR_包裝對照表 (Mapping Table)'!E:E,'FL5_POR_包裝對照表 (Mapping Table)'!AB:AB,"",0,1))</f>
        <v/>
      </c>
      <c r="W195" s="899" t="str">
        <f t="array" ref="W195">if(isblank(F195),"",xlookup(G195,z_Others!$B$5:$B$17,z_Others!$I$5:$I$17,"",0,1))</f>
        <v/>
      </c>
      <c r="X195" s="894" t="str">
        <f t="shared" si="7"/>
        <v/>
      </c>
      <c r="Y195" s="894" t="str">
        <f t="shared" si="8"/>
        <v/>
      </c>
      <c r="Z195" s="900" t="str">
        <f t="shared" si="9"/>
        <v/>
      </c>
      <c r="AA195" s="900" t="str">
        <f t="shared" si="10"/>
        <v/>
      </c>
      <c r="AB195" s="878" t="str">
        <f t="array" ref="AB195">if(isblank(F195),"",xlookup(AJ195,z_Others!$M$5:$M$9,z_Others!$Q$5:$Q$9,"",0,1))</f>
        <v/>
      </c>
      <c r="AC195" s="900" t="str">
        <f t="shared" si="11"/>
        <v/>
      </c>
      <c r="AD195" s="894" t="str">
        <f t="array" ref="AD195">if(isblank(F195),"",xlookup(G195,z_Others!$B$5:$B$14,z_Others!$H$5:$H$14,"",0,1))</f>
        <v/>
      </c>
      <c r="AE195" s="901" t="str">
        <f t="shared" si="12"/>
        <v/>
      </c>
      <c r="AF195" s="791"/>
      <c r="AG195" s="791" t="str">
        <f t="shared" si="21"/>
        <v/>
      </c>
      <c r="AH195" s="787"/>
      <c r="AI195" s="787"/>
      <c r="AJ195" s="677" t="str">
        <f t="array" ref="AJ195">if(isblank(F195),"",xlookup(F195,'FL5_POR_包裝對照表 (Mapping Table)'!E:E,'FL5_POR_包裝對照表 (Mapping Table)'!AS:AS,"",0,1))</f>
        <v/>
      </c>
      <c r="AK195" s="677" t="str">
        <f t="array" ref="AK195">if(isblank(F195),"",xlookup(F195,'FL5_POR_包裝對照表 (Mapping Table)'!E:E,'FL5_POR_包裝對照表 (Mapping Table)'!K:K,"",0,1))</f>
        <v/>
      </c>
      <c r="AL195" s="677"/>
      <c r="AM195" s="813"/>
      <c r="AN195" s="908"/>
      <c r="AO195" s="813"/>
      <c r="AP195" s="813"/>
    </row>
    <row r="196" ht="18.0" customHeight="1">
      <c r="A196" s="910"/>
      <c r="B196" s="908"/>
      <c r="C196" s="891" t="str">
        <f>if(isblank(F196),"",'FL5_POR_包裝對照表 (Mapping Table)'!$E$4)</f>
        <v/>
      </c>
      <c r="D196" s="878" t="str">
        <f t="array" ref="D196">if(isblank(F196),"",xlookup(F196,'FL5_POR_包裝對照表 (Mapping Table)'!E:E,'FL5_POR_包裝對照表 (Mapping Table)'!AZ:AZ,"",0,1))</f>
        <v/>
      </c>
      <c r="E196" s="677" t="str">
        <f t="shared" si="2"/>
        <v/>
      </c>
      <c r="F196" s="879"/>
      <c r="G196" s="892" t="str">
        <f t="array" ref="G196">if(isblank(F196),"",xlookup(F196,'FL5_POR_包裝對照表 (Mapping Table)'!E:E,'FL5_POR_包裝對照表 (Mapping Table)'!D:D,"",0,1))</f>
        <v/>
      </c>
      <c r="H196" s="893" t="str">
        <f t="array" ref="H196">if(isblank(F196),"",xlookup(F196,'FL5_POR_包裝對照表 (Mapping Table)'!E:E,'FL5_POR_包裝對照表 (Mapping Table)'!E:E,"",0,1))</f>
        <v/>
      </c>
      <c r="I196" s="677" t="str">
        <f t="array" ref="I196">if(isblank(F196),"",xlookup(F196,'FL5_POR_包裝對照表 (Mapping Table)'!E:E,'FL5_POR_包裝對照表 (Mapping Table)'!AN:AN,"",0,1))</f>
        <v/>
      </c>
      <c r="J196" s="894" t="str">
        <f t="array" ref="J196">if(isblank(F196),"",xlookup(G196,z_Others!$B$5:$B$17,z_Others!$C$5:$C$17,"",0,1))</f>
        <v/>
      </c>
      <c r="K196" s="894" t="str">
        <f t="array" ref="K196">if(isblank(F196),"",xlookup(G196,z_Others!$B$5:$B$17,z_Others!$E$5:$E$17,"",0,1))</f>
        <v/>
      </c>
      <c r="L196" s="894" t="str">
        <f t="array" ref="L196">if(isblank(F196),"",xlookup(G196,z_Others!$B$5:$B$17,z_Others!$F$5:$F$17,"",0,1))</f>
        <v/>
      </c>
      <c r="M196" s="894" t="str">
        <f t="shared" si="3"/>
        <v/>
      </c>
      <c r="N196" s="894" t="str">
        <f t="shared" si="4"/>
        <v/>
      </c>
      <c r="O196" s="882" t="str">
        <f t="array" ref="O196">if(isblank(F196),"",xlookup(F196,'FL5_POR_包裝對照表 (Mapping Table)'!E:E,'FL5_POR_包裝對照表 (Mapping Table)'!L:L,"",0,1))</f>
        <v/>
      </c>
      <c r="P196" s="909" t="str">
        <f t="array" ref="P196">if(isblank(F196),"",xlookup(G196,z_Others!$B$5:$B$17,z_Others!$J$5:$J$17,"",0,1))</f>
        <v/>
      </c>
      <c r="Q196" s="899" t="str">
        <f t="array" ref="Q196">if(isblank(F196),"",xlookup(F196,'FL5_POR_核價 (經管 &amp; BPM)'!E:E,'FL5_POR_核價 (經管 &amp; BPM)'!O:O,"",0,1))</f>
        <v/>
      </c>
      <c r="R196" s="894" t="str">
        <f t="shared" si="5"/>
        <v/>
      </c>
      <c r="S196" s="894" t="str">
        <f t="array" ref="S196">if(isblank(F196),"",xlookup(G196,z_Others!$B$5:$B$17,z_Others!$K$5:$K$17,"",0,1))</f>
        <v/>
      </c>
      <c r="T196" s="894" t="str">
        <f t="shared" si="19"/>
        <v/>
      </c>
      <c r="U196" s="898" t="str">
        <f t="array" ref="U196">if(isblank(F196),"",xlookup(G196,z_Others!$B$5:$B$17,z_Others!$G$5:$G$17,"",0,1))</f>
        <v/>
      </c>
      <c r="V196" s="231" t="str">
        <f t="array" ref="V196">if(isblank(F196),"",xlookup(F196,'FL5_POR_包裝對照表 (Mapping Table)'!E:E,'FL5_POR_包裝對照表 (Mapping Table)'!AB:AB,"",0,1))</f>
        <v/>
      </c>
      <c r="W196" s="899" t="str">
        <f t="array" ref="W196">if(isblank(F196),"",xlookup(G196,z_Others!$B$5:$B$17,z_Others!$I$5:$I$17,"",0,1))</f>
        <v/>
      </c>
      <c r="X196" s="894" t="str">
        <f t="shared" si="7"/>
        <v/>
      </c>
      <c r="Y196" s="894" t="str">
        <f t="shared" si="8"/>
        <v/>
      </c>
      <c r="Z196" s="900" t="str">
        <f t="shared" si="9"/>
        <v/>
      </c>
      <c r="AA196" s="900" t="str">
        <f t="shared" si="10"/>
        <v/>
      </c>
      <c r="AB196" s="878" t="str">
        <f t="array" ref="AB196">if(isblank(F196),"",xlookup(AJ196,z_Others!$M$5:$M$9,z_Others!$Q$5:$Q$9,"",0,1))</f>
        <v/>
      </c>
      <c r="AC196" s="900" t="str">
        <f t="shared" si="11"/>
        <v/>
      </c>
      <c r="AD196" s="894" t="str">
        <f t="array" ref="AD196">if(isblank(F196),"",xlookup(G196,z_Others!$B$5:$B$14,z_Others!$H$5:$H$14,"",0,1))</f>
        <v/>
      </c>
      <c r="AE196" s="901" t="str">
        <f t="shared" si="12"/>
        <v/>
      </c>
      <c r="AF196" s="791"/>
      <c r="AG196" s="791" t="str">
        <f t="shared" si="21"/>
        <v/>
      </c>
      <c r="AH196" s="787"/>
      <c r="AI196" s="787"/>
      <c r="AJ196" s="677" t="str">
        <f t="array" ref="AJ196">if(isblank(F196),"",xlookup(F196,'FL5_POR_包裝對照表 (Mapping Table)'!E:E,'FL5_POR_包裝對照表 (Mapping Table)'!AS:AS,"",0,1))</f>
        <v/>
      </c>
      <c r="AK196" s="677" t="str">
        <f t="array" ref="AK196">if(isblank(F196),"",xlookup(F196,'FL5_POR_包裝對照表 (Mapping Table)'!E:E,'FL5_POR_包裝對照表 (Mapping Table)'!K:K,"",0,1))</f>
        <v/>
      </c>
      <c r="AL196" s="677"/>
      <c r="AM196" s="813"/>
      <c r="AN196" s="908"/>
      <c r="AO196" s="813"/>
      <c r="AP196" s="813"/>
    </row>
    <row r="197" ht="18.0" customHeight="1">
      <c r="A197" s="910"/>
      <c r="B197" s="908"/>
      <c r="C197" s="891" t="str">
        <f>if(isblank(F197),"",'FL5_POR_包裝對照表 (Mapping Table)'!$E$4)</f>
        <v/>
      </c>
      <c r="D197" s="878" t="str">
        <f t="array" ref="D197">if(isblank(F197),"",xlookup(F197,'FL5_POR_包裝對照表 (Mapping Table)'!E:E,'FL5_POR_包裝對照表 (Mapping Table)'!AZ:AZ,"",0,1))</f>
        <v/>
      </c>
      <c r="E197" s="677" t="str">
        <f t="shared" si="2"/>
        <v/>
      </c>
      <c r="F197" s="879"/>
      <c r="G197" s="892" t="str">
        <f t="array" ref="G197">if(isblank(F197),"",xlookup(F197,'FL5_POR_包裝對照表 (Mapping Table)'!E:E,'FL5_POR_包裝對照表 (Mapping Table)'!D:D,"",0,1))</f>
        <v/>
      </c>
      <c r="H197" s="893" t="str">
        <f t="array" ref="H197">if(isblank(F197),"",xlookup(F197,'FL5_POR_包裝對照表 (Mapping Table)'!E:E,'FL5_POR_包裝對照表 (Mapping Table)'!E:E,"",0,1))</f>
        <v/>
      </c>
      <c r="I197" s="677" t="str">
        <f t="array" ref="I197">if(isblank(F197),"",xlookup(F197,'FL5_POR_包裝對照表 (Mapping Table)'!E:E,'FL5_POR_包裝對照表 (Mapping Table)'!AN:AN,"",0,1))</f>
        <v/>
      </c>
      <c r="J197" s="894" t="str">
        <f t="array" ref="J197">if(isblank(F197),"",xlookup(G197,z_Others!$B$5:$B$17,z_Others!$C$5:$C$17,"",0,1))</f>
        <v/>
      </c>
      <c r="K197" s="894" t="str">
        <f t="array" ref="K197">if(isblank(F197),"",xlookup(G197,z_Others!$B$5:$B$17,z_Others!$E$5:$E$17,"",0,1))</f>
        <v/>
      </c>
      <c r="L197" s="894" t="str">
        <f t="array" ref="L197">if(isblank(F197),"",xlookup(G197,z_Others!$B$5:$B$17,z_Others!$F$5:$F$17,"",0,1))</f>
        <v/>
      </c>
      <c r="M197" s="894" t="str">
        <f t="shared" si="3"/>
        <v/>
      </c>
      <c r="N197" s="894" t="str">
        <f t="shared" si="4"/>
        <v/>
      </c>
      <c r="O197" s="882" t="str">
        <f t="array" ref="O197">if(isblank(F197),"",xlookup(F197,'FL5_POR_包裝對照表 (Mapping Table)'!E:E,'FL5_POR_包裝對照表 (Mapping Table)'!L:L,"",0,1))</f>
        <v/>
      </c>
      <c r="P197" s="909" t="str">
        <f t="array" ref="P197">if(isblank(F197),"",xlookup(G197,z_Others!$B$5:$B$17,z_Others!$J$5:$J$17,"",0,1))</f>
        <v/>
      </c>
      <c r="Q197" s="899" t="str">
        <f t="array" ref="Q197">if(isblank(F197),"",xlookup(F197,'FL5_POR_核價 (經管 &amp; BPM)'!E:E,'FL5_POR_核價 (經管 &amp; BPM)'!O:O,"",0,1))</f>
        <v/>
      </c>
      <c r="R197" s="894" t="str">
        <f t="shared" si="5"/>
        <v/>
      </c>
      <c r="S197" s="894" t="str">
        <f t="array" ref="S197">if(isblank(F197),"",xlookup(G197,z_Others!$B$5:$B$17,z_Others!$K$5:$K$17,"",0,1))</f>
        <v/>
      </c>
      <c r="T197" s="894" t="str">
        <f t="shared" si="19"/>
        <v/>
      </c>
      <c r="U197" s="898" t="str">
        <f t="array" ref="U197">if(isblank(F197),"",xlookup(G197,z_Others!$B$5:$B$17,z_Others!$G$5:$G$17,"",0,1))</f>
        <v/>
      </c>
      <c r="V197" s="231" t="str">
        <f t="array" ref="V197">if(isblank(F197),"",xlookup(F197,'FL5_POR_包裝對照表 (Mapping Table)'!E:E,'FL5_POR_包裝對照表 (Mapping Table)'!AB:AB,"",0,1))</f>
        <v/>
      </c>
      <c r="W197" s="899" t="str">
        <f t="array" ref="W197">if(isblank(F197),"",xlookup(G197,z_Others!$B$5:$B$17,z_Others!$I$5:$I$17,"",0,1))</f>
        <v/>
      </c>
      <c r="X197" s="894" t="str">
        <f t="shared" si="7"/>
        <v/>
      </c>
      <c r="Y197" s="894" t="str">
        <f t="shared" si="8"/>
        <v/>
      </c>
      <c r="Z197" s="900" t="str">
        <f t="shared" si="9"/>
        <v/>
      </c>
      <c r="AA197" s="900" t="str">
        <f t="shared" si="10"/>
        <v/>
      </c>
      <c r="AB197" s="878" t="str">
        <f t="array" ref="AB197">if(isblank(F197),"",xlookup(AJ197,z_Others!$M$5:$M$9,z_Others!$Q$5:$Q$9,"",0,1))</f>
        <v/>
      </c>
      <c r="AC197" s="900" t="str">
        <f t="shared" si="11"/>
        <v/>
      </c>
      <c r="AD197" s="894" t="str">
        <f t="array" ref="AD197">if(isblank(F197),"",xlookup(G197,z_Others!$B$5:$B$14,z_Others!$H$5:$H$14,"",0,1))</f>
        <v/>
      </c>
      <c r="AE197" s="901" t="str">
        <f t="shared" si="12"/>
        <v/>
      </c>
      <c r="AF197" s="791"/>
      <c r="AG197" s="791" t="str">
        <f t="shared" si="21"/>
        <v/>
      </c>
      <c r="AH197" s="787"/>
      <c r="AI197" s="787"/>
      <c r="AJ197" s="677" t="str">
        <f t="array" ref="AJ197">if(isblank(F197),"",xlookup(F197,'FL5_POR_包裝對照表 (Mapping Table)'!E:E,'FL5_POR_包裝對照表 (Mapping Table)'!AS:AS,"",0,1))</f>
        <v/>
      </c>
      <c r="AK197" s="677" t="str">
        <f t="array" ref="AK197">if(isblank(F197),"",xlookup(F197,'FL5_POR_包裝對照表 (Mapping Table)'!E:E,'FL5_POR_包裝對照表 (Mapping Table)'!K:K,"",0,1))</f>
        <v/>
      </c>
      <c r="AL197" s="677"/>
      <c r="AM197" s="813"/>
      <c r="AN197" s="908"/>
      <c r="AO197" s="813"/>
      <c r="AP197" s="813"/>
    </row>
    <row r="198" ht="18.0" customHeight="1">
      <c r="A198" s="910"/>
      <c r="B198" s="908"/>
      <c r="C198" s="891" t="str">
        <f>if(isblank(F198),"",'FL5_POR_包裝對照表 (Mapping Table)'!$E$4)</f>
        <v/>
      </c>
      <c r="D198" s="878" t="str">
        <f t="array" ref="D198">if(isblank(F198),"",xlookup(F198,'FL5_POR_包裝對照表 (Mapping Table)'!E:E,'FL5_POR_包裝對照表 (Mapping Table)'!AZ:AZ,"",0,1))</f>
        <v/>
      </c>
      <c r="E198" s="677" t="str">
        <f t="shared" si="2"/>
        <v/>
      </c>
      <c r="F198" s="879"/>
      <c r="G198" s="892" t="str">
        <f t="array" ref="G198">if(isblank(F198),"",xlookup(F198,'FL5_POR_包裝對照表 (Mapping Table)'!E:E,'FL5_POR_包裝對照表 (Mapping Table)'!D:D,"",0,1))</f>
        <v/>
      </c>
      <c r="H198" s="893" t="str">
        <f t="array" ref="H198">if(isblank(F198),"",xlookup(F198,'FL5_POR_包裝對照表 (Mapping Table)'!E:E,'FL5_POR_包裝對照表 (Mapping Table)'!E:E,"",0,1))</f>
        <v/>
      </c>
      <c r="I198" s="677" t="str">
        <f t="array" ref="I198">if(isblank(F198),"",xlookup(F198,'FL5_POR_包裝對照表 (Mapping Table)'!E:E,'FL5_POR_包裝對照表 (Mapping Table)'!AN:AN,"",0,1))</f>
        <v/>
      </c>
      <c r="J198" s="894" t="str">
        <f t="array" ref="J198">if(isblank(F198),"",xlookup(G198,z_Others!$B$5:$B$17,z_Others!$C$5:$C$17,"",0,1))</f>
        <v/>
      </c>
      <c r="K198" s="894" t="str">
        <f t="array" ref="K198">if(isblank(F198),"",xlookup(G198,z_Others!$B$5:$B$17,z_Others!$E$5:$E$17,"",0,1))</f>
        <v/>
      </c>
      <c r="L198" s="894" t="str">
        <f t="array" ref="L198">if(isblank(F198),"",xlookup(G198,z_Others!$B$5:$B$17,z_Others!$F$5:$F$17,"",0,1))</f>
        <v/>
      </c>
      <c r="M198" s="894" t="str">
        <f t="shared" si="3"/>
        <v/>
      </c>
      <c r="N198" s="894" t="str">
        <f t="shared" si="4"/>
        <v/>
      </c>
      <c r="O198" s="882" t="str">
        <f t="array" ref="O198">if(isblank(F198),"",xlookup(F198,'FL5_POR_包裝對照表 (Mapping Table)'!E:E,'FL5_POR_包裝對照表 (Mapping Table)'!L:L,"",0,1))</f>
        <v/>
      </c>
      <c r="P198" s="909" t="str">
        <f t="array" ref="P198">if(isblank(F198),"",xlookup(G198,z_Others!$B$5:$B$17,z_Others!$J$5:$J$17,"",0,1))</f>
        <v/>
      </c>
      <c r="Q198" s="899" t="str">
        <f t="array" ref="Q198">if(isblank(F198),"",xlookup(F198,'FL5_POR_核價 (經管 &amp; BPM)'!E:E,'FL5_POR_核價 (經管 &amp; BPM)'!O:O,"",0,1))</f>
        <v/>
      </c>
      <c r="R198" s="894" t="str">
        <f t="shared" si="5"/>
        <v/>
      </c>
      <c r="S198" s="894" t="str">
        <f t="array" ref="S198">if(isblank(F198),"",xlookup(G198,z_Others!$B$5:$B$17,z_Others!$K$5:$K$17,"",0,1))</f>
        <v/>
      </c>
      <c r="T198" s="894" t="str">
        <f t="shared" si="19"/>
        <v/>
      </c>
      <c r="U198" s="898" t="str">
        <f t="array" ref="U198">if(isblank(F198),"",xlookup(G198,z_Others!$B$5:$B$17,z_Others!$G$5:$G$17,"",0,1))</f>
        <v/>
      </c>
      <c r="V198" s="231" t="str">
        <f t="array" ref="V198">if(isblank(F198),"",xlookup(F198,'FL5_POR_包裝對照表 (Mapping Table)'!E:E,'FL5_POR_包裝對照表 (Mapping Table)'!AB:AB,"",0,1))</f>
        <v/>
      </c>
      <c r="W198" s="899" t="str">
        <f t="array" ref="W198">if(isblank(F198),"",xlookup(G198,z_Others!$B$5:$B$17,z_Others!$I$5:$I$17,"",0,1))</f>
        <v/>
      </c>
      <c r="X198" s="894" t="str">
        <f t="shared" si="7"/>
        <v/>
      </c>
      <c r="Y198" s="894" t="str">
        <f t="shared" si="8"/>
        <v/>
      </c>
      <c r="Z198" s="900" t="str">
        <f t="shared" si="9"/>
        <v/>
      </c>
      <c r="AA198" s="900" t="str">
        <f t="shared" si="10"/>
        <v/>
      </c>
      <c r="AB198" s="878" t="str">
        <f t="array" ref="AB198">if(isblank(F198),"",xlookup(AJ198,z_Others!$M$5:$M$9,z_Others!$Q$5:$Q$9,"",0,1))</f>
        <v/>
      </c>
      <c r="AC198" s="900" t="str">
        <f t="shared" si="11"/>
        <v/>
      </c>
      <c r="AD198" s="894" t="str">
        <f t="array" ref="AD198">if(isblank(F198),"",xlookup(G198,z_Others!$B$5:$B$14,z_Others!$H$5:$H$14,"",0,1))</f>
        <v/>
      </c>
      <c r="AE198" s="901" t="str">
        <f t="shared" si="12"/>
        <v/>
      </c>
      <c r="AF198" s="791"/>
      <c r="AG198" s="791" t="str">
        <f t="shared" si="21"/>
        <v/>
      </c>
      <c r="AH198" s="787"/>
      <c r="AI198" s="787"/>
      <c r="AJ198" s="677" t="str">
        <f t="array" ref="AJ198">if(isblank(F198),"",xlookup(F198,'FL5_POR_包裝對照表 (Mapping Table)'!E:E,'FL5_POR_包裝對照表 (Mapping Table)'!AS:AS,"",0,1))</f>
        <v/>
      </c>
      <c r="AK198" s="677" t="str">
        <f t="array" ref="AK198">if(isblank(F198),"",xlookup(F198,'FL5_POR_包裝對照表 (Mapping Table)'!E:E,'FL5_POR_包裝對照表 (Mapping Table)'!K:K,"",0,1))</f>
        <v/>
      </c>
      <c r="AL198" s="677"/>
      <c r="AM198" s="813"/>
      <c r="AN198" s="908"/>
      <c r="AO198" s="813"/>
      <c r="AP198" s="813"/>
    </row>
    <row r="199" ht="18.0" customHeight="1">
      <c r="A199" s="910"/>
      <c r="B199" s="908"/>
      <c r="C199" s="891" t="str">
        <f>if(isblank(F199),"",'FL5_POR_包裝對照表 (Mapping Table)'!$E$4)</f>
        <v/>
      </c>
      <c r="D199" s="878" t="str">
        <f t="array" ref="D199">if(isblank(F199),"",xlookup(F199,'FL5_POR_包裝對照表 (Mapping Table)'!E:E,'FL5_POR_包裝對照表 (Mapping Table)'!AZ:AZ,"",0,1))</f>
        <v/>
      </c>
      <c r="E199" s="677" t="str">
        <f t="shared" si="2"/>
        <v/>
      </c>
      <c r="F199" s="879"/>
      <c r="G199" s="892" t="str">
        <f t="array" ref="G199">if(isblank(F199),"",xlookup(F199,'FL5_POR_包裝對照表 (Mapping Table)'!E:E,'FL5_POR_包裝對照表 (Mapping Table)'!D:D,"",0,1))</f>
        <v/>
      </c>
      <c r="H199" s="893" t="str">
        <f t="array" ref="H199">if(isblank(F199),"",xlookup(F199,'FL5_POR_包裝對照表 (Mapping Table)'!E:E,'FL5_POR_包裝對照表 (Mapping Table)'!E:E,"",0,1))</f>
        <v/>
      </c>
      <c r="I199" s="677" t="str">
        <f t="array" ref="I199">if(isblank(F199),"",xlookup(F199,'FL5_POR_包裝對照表 (Mapping Table)'!E:E,'FL5_POR_包裝對照表 (Mapping Table)'!AN:AN,"",0,1))</f>
        <v/>
      </c>
      <c r="J199" s="894" t="str">
        <f t="array" ref="J199">if(isblank(F199),"",xlookup(G199,z_Others!$B$5:$B$17,z_Others!$C$5:$C$17,"",0,1))</f>
        <v/>
      </c>
      <c r="K199" s="894" t="str">
        <f t="array" ref="K199">if(isblank(F199),"",xlookup(G199,z_Others!$B$5:$B$17,z_Others!$E$5:$E$17,"",0,1))</f>
        <v/>
      </c>
      <c r="L199" s="894" t="str">
        <f t="array" ref="L199">if(isblank(F199),"",xlookup(G199,z_Others!$B$5:$B$17,z_Others!$F$5:$F$17,"",0,1))</f>
        <v/>
      </c>
      <c r="M199" s="894" t="str">
        <f t="shared" si="3"/>
        <v/>
      </c>
      <c r="N199" s="894" t="str">
        <f t="shared" si="4"/>
        <v/>
      </c>
      <c r="O199" s="882" t="str">
        <f t="array" ref="O199">if(isblank(F199),"",xlookup(F199,'FL5_POR_包裝對照表 (Mapping Table)'!E:E,'FL5_POR_包裝對照表 (Mapping Table)'!L:L,"",0,1))</f>
        <v/>
      </c>
      <c r="P199" s="909" t="str">
        <f t="array" ref="P199">if(isblank(F199),"",xlookup(G199,z_Others!$B$5:$B$17,z_Others!$J$5:$J$17,"",0,1))</f>
        <v/>
      </c>
      <c r="Q199" s="899" t="str">
        <f t="array" ref="Q199">if(isblank(F199),"",xlookup(F199,'FL5_POR_核價 (經管 &amp; BPM)'!E:E,'FL5_POR_核價 (經管 &amp; BPM)'!O:O,"",0,1))</f>
        <v/>
      </c>
      <c r="R199" s="894" t="str">
        <f t="shared" si="5"/>
        <v/>
      </c>
      <c r="S199" s="894" t="str">
        <f t="array" ref="S199">if(isblank(F199),"",xlookup(G199,z_Others!$B$5:$B$17,z_Others!$K$5:$K$17,"",0,1))</f>
        <v/>
      </c>
      <c r="T199" s="894" t="str">
        <f t="shared" si="19"/>
        <v/>
      </c>
      <c r="U199" s="898" t="str">
        <f t="array" ref="U199">if(isblank(F199),"",xlookup(G199,z_Others!$B$5:$B$17,z_Others!$G$5:$G$17,"",0,1))</f>
        <v/>
      </c>
      <c r="V199" s="231" t="str">
        <f t="array" ref="V199">if(isblank(F199),"",xlookup(F199,'FL5_POR_包裝對照表 (Mapping Table)'!E:E,'FL5_POR_包裝對照表 (Mapping Table)'!AB:AB,"",0,1))</f>
        <v/>
      </c>
      <c r="W199" s="899" t="str">
        <f t="array" ref="W199">if(isblank(F199),"",xlookup(G199,z_Others!$B$5:$B$17,z_Others!$I$5:$I$17,"",0,1))</f>
        <v/>
      </c>
      <c r="X199" s="894" t="str">
        <f t="shared" si="7"/>
        <v/>
      </c>
      <c r="Y199" s="894" t="str">
        <f t="shared" si="8"/>
        <v/>
      </c>
      <c r="Z199" s="900" t="str">
        <f t="shared" si="9"/>
        <v/>
      </c>
      <c r="AA199" s="900" t="str">
        <f t="shared" si="10"/>
        <v/>
      </c>
      <c r="AB199" s="878" t="str">
        <f t="array" ref="AB199">if(isblank(F199),"",xlookup(AJ199,z_Others!$M$5:$M$9,z_Others!$Q$5:$Q$9,"",0,1))</f>
        <v/>
      </c>
      <c r="AC199" s="900" t="str">
        <f t="shared" si="11"/>
        <v/>
      </c>
      <c r="AD199" s="894" t="str">
        <f t="array" ref="AD199">if(isblank(F199),"",xlookup(G199,z_Others!$B$5:$B$14,z_Others!$H$5:$H$14,"",0,1))</f>
        <v/>
      </c>
      <c r="AE199" s="901" t="str">
        <f t="shared" si="12"/>
        <v/>
      </c>
      <c r="AF199" s="791"/>
      <c r="AG199" s="791" t="str">
        <f t="shared" si="21"/>
        <v/>
      </c>
      <c r="AH199" s="787"/>
      <c r="AI199" s="787"/>
      <c r="AJ199" s="677" t="str">
        <f t="array" ref="AJ199">if(isblank(F199),"",xlookup(F199,'FL5_POR_包裝對照表 (Mapping Table)'!E:E,'FL5_POR_包裝對照表 (Mapping Table)'!AS:AS,"",0,1))</f>
        <v/>
      </c>
      <c r="AK199" s="677" t="str">
        <f t="array" ref="AK199">if(isblank(F199),"",xlookup(F199,'FL5_POR_包裝對照表 (Mapping Table)'!E:E,'FL5_POR_包裝對照表 (Mapping Table)'!K:K,"",0,1))</f>
        <v/>
      </c>
      <c r="AL199" s="677"/>
      <c r="AM199" s="813"/>
      <c r="AN199" s="908"/>
      <c r="AO199" s="813"/>
      <c r="AP199" s="813"/>
    </row>
    <row r="200" ht="18.0" customHeight="1">
      <c r="A200" s="910"/>
      <c r="B200" s="908"/>
      <c r="C200" s="891" t="str">
        <f>if(isblank(F200),"",'FL5_POR_包裝對照表 (Mapping Table)'!$E$4)</f>
        <v/>
      </c>
      <c r="D200" s="878" t="str">
        <f t="array" ref="D200">if(isblank(F200),"",xlookup(F200,'FL5_POR_包裝對照表 (Mapping Table)'!E:E,'FL5_POR_包裝對照表 (Mapping Table)'!AZ:AZ,"",0,1))</f>
        <v/>
      </c>
      <c r="E200" s="677" t="str">
        <f t="shared" si="2"/>
        <v/>
      </c>
      <c r="F200" s="879"/>
      <c r="G200" s="892" t="str">
        <f t="array" ref="G200">if(isblank(F200),"",xlookup(F200,'FL5_POR_包裝對照表 (Mapping Table)'!E:E,'FL5_POR_包裝對照表 (Mapping Table)'!D:D,"",0,1))</f>
        <v/>
      </c>
      <c r="H200" s="893" t="str">
        <f t="array" ref="H200">if(isblank(F200),"",xlookup(F200,'FL5_POR_包裝對照表 (Mapping Table)'!E:E,'FL5_POR_包裝對照表 (Mapping Table)'!E:E,"",0,1))</f>
        <v/>
      </c>
      <c r="I200" s="677" t="str">
        <f t="array" ref="I200">if(isblank(F200),"",xlookup(F200,'FL5_POR_包裝對照表 (Mapping Table)'!E:E,'FL5_POR_包裝對照表 (Mapping Table)'!AN:AN,"",0,1))</f>
        <v/>
      </c>
      <c r="J200" s="894" t="str">
        <f t="array" ref="J200">if(isblank(F200),"",xlookup(G200,z_Others!$B$5:$B$17,z_Others!$C$5:$C$17,"",0,1))</f>
        <v/>
      </c>
      <c r="K200" s="894" t="str">
        <f t="array" ref="K200">if(isblank(F200),"",xlookup(G200,z_Others!$B$5:$B$17,z_Others!$E$5:$E$17,"",0,1))</f>
        <v/>
      </c>
      <c r="L200" s="894" t="str">
        <f t="array" ref="L200">if(isblank(F200),"",xlookup(G200,z_Others!$B$5:$B$17,z_Others!$F$5:$F$17,"",0,1))</f>
        <v/>
      </c>
      <c r="M200" s="894" t="str">
        <f t="shared" si="3"/>
        <v/>
      </c>
      <c r="N200" s="894" t="str">
        <f t="shared" si="4"/>
        <v/>
      </c>
      <c r="O200" s="882" t="str">
        <f t="array" ref="O200">if(isblank(F200),"",xlookup(F200,'FL5_POR_包裝對照表 (Mapping Table)'!E:E,'FL5_POR_包裝對照表 (Mapping Table)'!L:L,"",0,1))</f>
        <v/>
      </c>
      <c r="P200" s="909" t="str">
        <f t="array" ref="P200">if(isblank(F200),"",xlookup(G200,z_Others!$B$5:$B$17,z_Others!$J$5:$J$17,"",0,1))</f>
        <v/>
      </c>
      <c r="Q200" s="899" t="str">
        <f t="array" ref="Q200">if(isblank(F200),"",xlookup(F200,'FL5_POR_核價 (經管 &amp; BPM)'!E:E,'FL5_POR_核價 (經管 &amp; BPM)'!O:O,"",0,1))</f>
        <v/>
      </c>
      <c r="R200" s="894" t="str">
        <f t="shared" si="5"/>
        <v/>
      </c>
      <c r="S200" s="894" t="str">
        <f t="array" ref="S200">if(isblank(F200),"",xlookup(G200,z_Others!$B$5:$B$17,z_Others!$K$5:$K$17,"",0,1))</f>
        <v/>
      </c>
      <c r="T200" s="894" t="str">
        <f t="shared" si="19"/>
        <v/>
      </c>
      <c r="U200" s="898" t="str">
        <f t="array" ref="U200">if(isblank(F200),"",xlookup(G200,z_Others!$B$5:$B$17,z_Others!$G$5:$G$17,"",0,1))</f>
        <v/>
      </c>
      <c r="V200" s="231" t="str">
        <f t="array" ref="V200">if(isblank(F200),"",xlookup(F200,'FL5_POR_包裝對照表 (Mapping Table)'!E:E,'FL5_POR_包裝對照表 (Mapping Table)'!AB:AB,"",0,1))</f>
        <v/>
      </c>
      <c r="W200" s="899" t="str">
        <f t="array" ref="W200">if(isblank(F200),"",xlookup(G200,z_Others!$B$5:$B$17,z_Others!$I$5:$I$17,"",0,1))</f>
        <v/>
      </c>
      <c r="X200" s="894" t="str">
        <f t="shared" si="7"/>
        <v/>
      </c>
      <c r="Y200" s="894" t="str">
        <f t="shared" si="8"/>
        <v/>
      </c>
      <c r="Z200" s="900" t="str">
        <f t="shared" si="9"/>
        <v/>
      </c>
      <c r="AA200" s="900" t="str">
        <f t="shared" si="10"/>
        <v/>
      </c>
      <c r="AB200" s="878" t="str">
        <f t="array" ref="AB200">if(isblank(F200),"",xlookup(AJ200,z_Others!$M$5:$M$9,z_Others!$Q$5:$Q$9,"",0,1))</f>
        <v/>
      </c>
      <c r="AC200" s="900" t="str">
        <f t="shared" si="11"/>
        <v/>
      </c>
      <c r="AD200" s="894" t="str">
        <f t="array" ref="AD200">if(isblank(F200),"",xlookup(G200,z_Others!$B$5:$B$14,z_Others!$H$5:$H$14,"",0,1))</f>
        <v/>
      </c>
      <c r="AE200" s="901" t="str">
        <f t="shared" si="12"/>
        <v/>
      </c>
      <c r="AF200" s="791"/>
      <c r="AG200" s="791" t="str">
        <f t="shared" si="21"/>
        <v/>
      </c>
      <c r="AH200" s="787"/>
      <c r="AI200" s="787"/>
      <c r="AJ200" s="677" t="str">
        <f t="array" ref="AJ200">if(isblank(F200),"",xlookup(F200,'FL5_POR_包裝對照表 (Mapping Table)'!E:E,'FL5_POR_包裝對照表 (Mapping Table)'!AS:AS,"",0,1))</f>
        <v/>
      </c>
      <c r="AK200" s="677" t="str">
        <f t="array" ref="AK200">if(isblank(F200),"",xlookup(F200,'FL5_POR_包裝對照表 (Mapping Table)'!E:E,'FL5_POR_包裝對照表 (Mapping Table)'!K:K,"",0,1))</f>
        <v/>
      </c>
      <c r="AL200" s="677"/>
      <c r="AM200" s="813"/>
      <c r="AN200" s="908"/>
      <c r="AO200" s="813"/>
      <c r="AP200" s="813"/>
    </row>
    <row r="201" ht="18.0" customHeight="1">
      <c r="A201" s="910"/>
      <c r="B201" s="908"/>
      <c r="C201" s="891" t="str">
        <f>if(isblank(F201),"",'FL5_POR_包裝對照表 (Mapping Table)'!$E$4)</f>
        <v/>
      </c>
      <c r="D201" s="878" t="str">
        <f t="array" ref="D201">if(isblank(F201),"",xlookup(F201,'FL5_POR_包裝對照表 (Mapping Table)'!E:E,'FL5_POR_包裝對照表 (Mapping Table)'!AZ:AZ,"",0,1))</f>
        <v/>
      </c>
      <c r="E201" s="677" t="str">
        <f t="shared" si="2"/>
        <v/>
      </c>
      <c r="F201" s="879"/>
      <c r="G201" s="892" t="str">
        <f t="array" ref="G201">if(isblank(F201),"",xlookup(F201,'FL5_POR_包裝對照表 (Mapping Table)'!E:E,'FL5_POR_包裝對照表 (Mapping Table)'!D:D,"",0,1))</f>
        <v/>
      </c>
      <c r="H201" s="893" t="str">
        <f t="array" ref="H201">if(isblank(F201),"",xlookup(F201,'FL5_POR_包裝對照表 (Mapping Table)'!E:E,'FL5_POR_包裝對照表 (Mapping Table)'!E:E,"",0,1))</f>
        <v/>
      </c>
      <c r="I201" s="677" t="str">
        <f t="array" ref="I201">if(isblank(F201),"",xlookup(F201,'FL5_POR_包裝對照表 (Mapping Table)'!E:E,'FL5_POR_包裝對照表 (Mapping Table)'!AN:AN,"",0,1))</f>
        <v/>
      </c>
      <c r="J201" s="894" t="str">
        <f t="array" ref="J201">if(isblank(F201),"",xlookup(G201,z_Others!$B$5:$B$17,z_Others!$C$5:$C$17,"",0,1))</f>
        <v/>
      </c>
      <c r="K201" s="894" t="str">
        <f t="array" ref="K201">if(isblank(F201),"",xlookup(G201,z_Others!$B$5:$B$17,z_Others!$E$5:$E$17,"",0,1))</f>
        <v/>
      </c>
      <c r="L201" s="894" t="str">
        <f t="array" ref="L201">if(isblank(F201),"",xlookup(G201,z_Others!$B$5:$B$17,z_Others!$F$5:$F$17,"",0,1))</f>
        <v/>
      </c>
      <c r="M201" s="894" t="str">
        <f t="shared" si="3"/>
        <v/>
      </c>
      <c r="N201" s="894" t="str">
        <f t="shared" si="4"/>
        <v/>
      </c>
      <c r="O201" s="882" t="str">
        <f t="array" ref="O201">if(isblank(F201),"",xlookup(F201,'FL5_POR_包裝對照表 (Mapping Table)'!E:E,'FL5_POR_包裝對照表 (Mapping Table)'!L:L,"",0,1))</f>
        <v/>
      </c>
      <c r="P201" s="909" t="str">
        <f t="array" ref="P201">if(isblank(F201),"",xlookup(G201,z_Others!$B$5:$B$17,z_Others!$J$5:$J$17,"",0,1))</f>
        <v/>
      </c>
      <c r="Q201" s="899" t="str">
        <f t="array" ref="Q201">if(isblank(F201),"",xlookup(F201,'FL5_POR_核價 (經管 &amp; BPM)'!E:E,'FL5_POR_核價 (經管 &amp; BPM)'!O:O,"",0,1))</f>
        <v/>
      </c>
      <c r="R201" s="894" t="str">
        <f t="shared" si="5"/>
        <v/>
      </c>
      <c r="S201" s="894" t="str">
        <f t="array" ref="S201">if(isblank(F201),"",xlookup(G201,z_Others!$B$5:$B$17,z_Others!$K$5:$K$17,"",0,1))</f>
        <v/>
      </c>
      <c r="T201" s="894" t="str">
        <f t="shared" si="19"/>
        <v/>
      </c>
      <c r="U201" s="898" t="str">
        <f t="array" ref="U201">if(isblank(F201),"",xlookup(G201,z_Others!$B$5:$B$17,z_Others!$G$5:$G$17,"",0,1))</f>
        <v/>
      </c>
      <c r="V201" s="231" t="str">
        <f t="array" ref="V201">if(isblank(F201),"",xlookup(F201,'FL5_POR_包裝對照表 (Mapping Table)'!E:E,'FL5_POR_包裝對照表 (Mapping Table)'!AB:AB,"",0,1))</f>
        <v/>
      </c>
      <c r="W201" s="899" t="str">
        <f t="array" ref="W201">if(isblank(F201),"",xlookup(G201,z_Others!$B$5:$B$17,z_Others!$I$5:$I$17,"",0,1))</f>
        <v/>
      </c>
      <c r="X201" s="894" t="str">
        <f t="shared" si="7"/>
        <v/>
      </c>
      <c r="Y201" s="894" t="str">
        <f t="shared" si="8"/>
        <v/>
      </c>
      <c r="Z201" s="900" t="str">
        <f t="shared" si="9"/>
        <v/>
      </c>
      <c r="AA201" s="900" t="str">
        <f t="shared" si="10"/>
        <v/>
      </c>
      <c r="AB201" s="878" t="str">
        <f t="array" ref="AB201">if(isblank(F201),"",xlookup(AJ201,z_Others!$M$5:$M$9,z_Others!$Q$5:$Q$9,"",0,1))</f>
        <v/>
      </c>
      <c r="AC201" s="900" t="str">
        <f t="shared" si="11"/>
        <v/>
      </c>
      <c r="AD201" s="894" t="str">
        <f t="array" ref="AD201">if(isblank(F201),"",xlookup(G201,z_Others!$B$5:$B$14,z_Others!$H$5:$H$14,"",0,1))</f>
        <v/>
      </c>
      <c r="AE201" s="901" t="str">
        <f t="shared" si="12"/>
        <v/>
      </c>
      <c r="AF201" s="791"/>
      <c r="AG201" s="791" t="str">
        <f t="shared" si="21"/>
        <v/>
      </c>
      <c r="AH201" s="787"/>
      <c r="AI201" s="787"/>
      <c r="AJ201" s="677" t="str">
        <f t="array" ref="AJ201">if(isblank(F201),"",xlookup(F201,'FL5_POR_包裝對照表 (Mapping Table)'!E:E,'FL5_POR_包裝對照表 (Mapping Table)'!AS:AS,"",0,1))</f>
        <v/>
      </c>
      <c r="AK201" s="677" t="str">
        <f t="array" ref="AK201">if(isblank(F201),"",xlookup(F201,'FL5_POR_包裝對照表 (Mapping Table)'!E:E,'FL5_POR_包裝對照表 (Mapping Table)'!K:K,"",0,1))</f>
        <v/>
      </c>
      <c r="AL201" s="677"/>
      <c r="AM201" s="813"/>
      <c r="AN201" s="908"/>
      <c r="AO201" s="813"/>
      <c r="AP201" s="813"/>
    </row>
    <row r="202" ht="18.0" customHeight="1">
      <c r="A202" s="910"/>
      <c r="B202" s="908"/>
      <c r="C202" s="891" t="str">
        <f>if(isblank(F202),"",'FL5_POR_包裝對照表 (Mapping Table)'!$E$4)</f>
        <v/>
      </c>
      <c r="D202" s="878" t="str">
        <f t="array" ref="D202">if(isblank(F202),"",xlookup(F202,'FL5_POR_包裝對照表 (Mapping Table)'!E:E,'FL5_POR_包裝對照表 (Mapping Table)'!AZ:AZ,"",0,1))</f>
        <v/>
      </c>
      <c r="E202" s="677" t="str">
        <f t="shared" si="2"/>
        <v/>
      </c>
      <c r="F202" s="879"/>
      <c r="G202" s="892" t="str">
        <f t="array" ref="G202">if(isblank(F202),"",xlookup(F202,'FL5_POR_包裝對照表 (Mapping Table)'!E:E,'FL5_POR_包裝對照表 (Mapping Table)'!D:D,"",0,1))</f>
        <v/>
      </c>
      <c r="H202" s="893" t="str">
        <f t="array" ref="H202">if(isblank(F202),"",xlookup(F202,'FL5_POR_包裝對照表 (Mapping Table)'!E:E,'FL5_POR_包裝對照表 (Mapping Table)'!E:E,"",0,1))</f>
        <v/>
      </c>
      <c r="I202" s="677" t="str">
        <f t="array" ref="I202">if(isblank(F202),"",xlookup(F202,'FL5_POR_包裝對照表 (Mapping Table)'!E:E,'FL5_POR_包裝對照表 (Mapping Table)'!AN:AN,"",0,1))</f>
        <v/>
      </c>
      <c r="J202" s="894" t="str">
        <f t="array" ref="J202">if(isblank(F202),"",xlookup(G202,z_Others!$B$5:$B$17,z_Others!$C$5:$C$17,"",0,1))</f>
        <v/>
      </c>
      <c r="K202" s="894" t="str">
        <f t="array" ref="K202">if(isblank(F202),"",xlookup(G202,z_Others!$B$5:$B$17,z_Others!$E$5:$E$17,"",0,1))</f>
        <v/>
      </c>
      <c r="L202" s="894" t="str">
        <f t="array" ref="L202">if(isblank(F202),"",xlookup(G202,z_Others!$B$5:$B$17,z_Others!$F$5:$F$17,"",0,1))</f>
        <v/>
      </c>
      <c r="M202" s="894" t="str">
        <f t="shared" si="3"/>
        <v/>
      </c>
      <c r="N202" s="894" t="str">
        <f t="shared" si="4"/>
        <v/>
      </c>
      <c r="O202" s="882" t="str">
        <f t="array" ref="O202">if(isblank(F202),"",xlookup(F202,'FL5_POR_包裝對照表 (Mapping Table)'!E:E,'FL5_POR_包裝對照表 (Mapping Table)'!L:L,"",0,1))</f>
        <v/>
      </c>
      <c r="P202" s="909" t="str">
        <f t="array" ref="P202">if(isblank(F202),"",xlookup(G202,z_Others!$B$5:$B$17,z_Others!$J$5:$J$17,"",0,1))</f>
        <v/>
      </c>
      <c r="Q202" s="899" t="str">
        <f t="array" ref="Q202">if(isblank(F202),"",xlookup(F202,'FL5_POR_核價 (經管 &amp; BPM)'!E:E,'FL5_POR_核價 (經管 &amp; BPM)'!O:O,"",0,1))</f>
        <v/>
      </c>
      <c r="R202" s="894" t="str">
        <f t="shared" si="5"/>
        <v/>
      </c>
      <c r="S202" s="894" t="str">
        <f t="array" ref="S202">if(isblank(F202),"",xlookup(G202,z_Others!$B$5:$B$17,z_Others!$K$5:$K$17,"",0,1))</f>
        <v/>
      </c>
      <c r="T202" s="894" t="str">
        <f t="shared" si="19"/>
        <v/>
      </c>
      <c r="U202" s="898" t="str">
        <f t="array" ref="U202">if(isblank(F202),"",xlookup(G202,z_Others!$B$5:$B$17,z_Others!$G$5:$G$17,"",0,1))</f>
        <v/>
      </c>
      <c r="V202" s="231" t="str">
        <f t="array" ref="V202">if(isblank(F202),"",xlookup(F202,'FL5_POR_包裝對照表 (Mapping Table)'!E:E,'FL5_POR_包裝對照表 (Mapping Table)'!AB:AB,"",0,1))</f>
        <v/>
      </c>
      <c r="W202" s="899" t="str">
        <f t="array" ref="W202">if(isblank(F202),"",xlookup(G202,z_Others!$B$5:$B$17,z_Others!$I$5:$I$17,"",0,1))</f>
        <v/>
      </c>
      <c r="X202" s="894" t="str">
        <f t="shared" si="7"/>
        <v/>
      </c>
      <c r="Y202" s="894" t="str">
        <f t="shared" si="8"/>
        <v/>
      </c>
      <c r="Z202" s="900" t="str">
        <f t="shared" si="9"/>
        <v/>
      </c>
      <c r="AA202" s="900" t="str">
        <f t="shared" si="10"/>
        <v/>
      </c>
      <c r="AB202" s="878" t="str">
        <f t="array" ref="AB202">if(isblank(F202),"",xlookup(AJ202,z_Others!$M$5:$M$9,z_Others!$Q$5:$Q$9,"",0,1))</f>
        <v/>
      </c>
      <c r="AC202" s="900" t="str">
        <f t="shared" si="11"/>
        <v/>
      </c>
      <c r="AD202" s="894" t="str">
        <f t="array" ref="AD202">if(isblank(F202),"",xlookup(G202,z_Others!$B$5:$B$14,z_Others!$H$5:$H$14,"",0,1))</f>
        <v/>
      </c>
      <c r="AE202" s="901" t="str">
        <f t="shared" si="12"/>
        <v/>
      </c>
      <c r="AF202" s="791"/>
      <c r="AG202" s="791" t="str">
        <f t="shared" si="21"/>
        <v/>
      </c>
      <c r="AH202" s="787"/>
      <c r="AI202" s="787"/>
      <c r="AJ202" s="677" t="str">
        <f t="array" ref="AJ202">if(isblank(F202),"",xlookup(F202,'FL5_POR_包裝對照表 (Mapping Table)'!E:E,'FL5_POR_包裝對照表 (Mapping Table)'!AS:AS,"",0,1))</f>
        <v/>
      </c>
      <c r="AK202" s="677" t="str">
        <f t="array" ref="AK202">if(isblank(F202),"",xlookup(F202,'FL5_POR_包裝對照表 (Mapping Table)'!E:E,'FL5_POR_包裝對照表 (Mapping Table)'!K:K,"",0,1))</f>
        <v/>
      </c>
      <c r="AL202" s="677"/>
      <c r="AM202" s="813"/>
      <c r="AN202" s="908"/>
      <c r="AO202" s="813"/>
      <c r="AP202" s="813"/>
    </row>
    <row r="203" ht="18.0" customHeight="1">
      <c r="A203" s="910"/>
      <c r="B203" s="908"/>
      <c r="C203" s="891" t="str">
        <f>if(isblank(F203),"",'FL5_POR_包裝對照表 (Mapping Table)'!$E$4)</f>
        <v/>
      </c>
      <c r="D203" s="878" t="str">
        <f t="array" ref="D203">if(isblank(F203),"",xlookup(F203,'FL5_POR_包裝對照表 (Mapping Table)'!E:E,'FL5_POR_包裝對照表 (Mapping Table)'!AZ:AZ,"",0,1))</f>
        <v/>
      </c>
      <c r="E203" s="677" t="str">
        <f t="shared" si="2"/>
        <v/>
      </c>
      <c r="F203" s="879"/>
      <c r="G203" s="892" t="str">
        <f t="array" ref="G203">if(isblank(F203),"",xlookup(F203,'FL5_POR_包裝對照表 (Mapping Table)'!E:E,'FL5_POR_包裝對照表 (Mapping Table)'!D:D,"",0,1))</f>
        <v/>
      </c>
      <c r="H203" s="893" t="str">
        <f t="array" ref="H203">if(isblank(F203),"",xlookup(F203,'FL5_POR_包裝對照表 (Mapping Table)'!E:E,'FL5_POR_包裝對照表 (Mapping Table)'!E:E,"",0,1))</f>
        <v/>
      </c>
      <c r="I203" s="677" t="str">
        <f t="array" ref="I203">if(isblank(F203),"",xlookup(F203,'FL5_POR_包裝對照表 (Mapping Table)'!E:E,'FL5_POR_包裝對照表 (Mapping Table)'!AN:AN,"",0,1))</f>
        <v/>
      </c>
      <c r="J203" s="894" t="str">
        <f t="array" ref="J203">if(isblank(F203),"",xlookup(G203,z_Others!$B$5:$B$17,z_Others!$C$5:$C$17,"",0,1))</f>
        <v/>
      </c>
      <c r="K203" s="894" t="str">
        <f t="array" ref="K203">if(isblank(F203),"",xlookup(G203,z_Others!$B$5:$B$17,z_Others!$E$5:$E$17,"",0,1))</f>
        <v/>
      </c>
      <c r="L203" s="894" t="str">
        <f t="array" ref="L203">if(isblank(F203),"",xlookup(G203,z_Others!$B$5:$B$17,z_Others!$F$5:$F$17,"",0,1))</f>
        <v/>
      </c>
      <c r="M203" s="894" t="str">
        <f t="shared" si="3"/>
        <v/>
      </c>
      <c r="N203" s="894" t="str">
        <f t="shared" si="4"/>
        <v/>
      </c>
      <c r="O203" s="882" t="str">
        <f t="array" ref="O203">if(isblank(F203),"",xlookup(F203,'FL5_POR_包裝對照表 (Mapping Table)'!E:E,'FL5_POR_包裝對照表 (Mapping Table)'!L:L,"",0,1))</f>
        <v/>
      </c>
      <c r="P203" s="909" t="str">
        <f t="array" ref="P203">if(isblank(F203),"",xlookup(G203,z_Others!$B$5:$B$17,z_Others!$J$5:$J$17,"",0,1))</f>
        <v/>
      </c>
      <c r="Q203" s="899" t="str">
        <f t="array" ref="Q203">if(isblank(F203),"",xlookup(F203,'FL5_POR_核價 (經管 &amp; BPM)'!E:E,'FL5_POR_核價 (經管 &amp; BPM)'!O:O,"",0,1))</f>
        <v/>
      </c>
      <c r="R203" s="894" t="str">
        <f t="shared" si="5"/>
        <v/>
      </c>
      <c r="S203" s="894" t="str">
        <f t="array" ref="S203">if(isblank(F203),"",xlookup(G203,z_Others!$B$5:$B$17,z_Others!$K$5:$K$17,"",0,1))</f>
        <v/>
      </c>
      <c r="T203" s="894" t="str">
        <f t="shared" si="19"/>
        <v/>
      </c>
      <c r="U203" s="898" t="str">
        <f t="array" ref="U203">if(isblank(F203),"",xlookup(G203,z_Others!$B$5:$B$17,z_Others!$G$5:$G$17,"",0,1))</f>
        <v/>
      </c>
      <c r="V203" s="231" t="str">
        <f t="array" ref="V203">if(isblank(F203),"",xlookup(F203,'FL5_POR_包裝對照表 (Mapping Table)'!E:E,'FL5_POR_包裝對照表 (Mapping Table)'!AB:AB,"",0,1))</f>
        <v/>
      </c>
      <c r="W203" s="899" t="str">
        <f t="array" ref="W203">if(isblank(F203),"",xlookup(G203,z_Others!$B$5:$B$17,z_Others!$I$5:$I$17,"",0,1))</f>
        <v/>
      </c>
      <c r="X203" s="894" t="str">
        <f t="shared" si="7"/>
        <v/>
      </c>
      <c r="Y203" s="894" t="str">
        <f t="shared" si="8"/>
        <v/>
      </c>
      <c r="Z203" s="900" t="str">
        <f t="shared" si="9"/>
        <v/>
      </c>
      <c r="AA203" s="900" t="str">
        <f t="shared" si="10"/>
        <v/>
      </c>
      <c r="AB203" s="878" t="str">
        <f t="array" ref="AB203">if(isblank(F203),"",xlookup(AJ203,z_Others!$M$5:$M$9,z_Others!$Q$5:$Q$9,"",0,1))</f>
        <v/>
      </c>
      <c r="AC203" s="900" t="str">
        <f t="shared" si="11"/>
        <v/>
      </c>
      <c r="AD203" s="894" t="str">
        <f t="array" ref="AD203">if(isblank(F203),"",xlookup(G203,z_Others!$B$5:$B$14,z_Others!$H$5:$H$14,"",0,1))</f>
        <v/>
      </c>
      <c r="AE203" s="901" t="str">
        <f t="shared" si="12"/>
        <v/>
      </c>
      <c r="AF203" s="791"/>
      <c r="AG203" s="791" t="str">
        <f t="shared" si="21"/>
        <v/>
      </c>
      <c r="AH203" s="787"/>
      <c r="AI203" s="787"/>
      <c r="AJ203" s="677" t="str">
        <f t="array" ref="AJ203">if(isblank(F203),"",xlookup(F203,'FL5_POR_包裝對照表 (Mapping Table)'!E:E,'FL5_POR_包裝對照表 (Mapping Table)'!AS:AS,"",0,1))</f>
        <v/>
      </c>
      <c r="AK203" s="677" t="str">
        <f t="array" ref="AK203">if(isblank(F203),"",xlookup(F203,'FL5_POR_包裝對照表 (Mapping Table)'!E:E,'FL5_POR_包裝對照表 (Mapping Table)'!K:K,"",0,1))</f>
        <v/>
      </c>
      <c r="AL203" s="677"/>
      <c r="AM203" s="813"/>
      <c r="AN203" s="908"/>
      <c r="AO203" s="813"/>
      <c r="AP203" s="813"/>
    </row>
    <row r="204" ht="18.0" customHeight="1">
      <c r="A204" s="910"/>
      <c r="B204" s="908"/>
      <c r="C204" s="891" t="str">
        <f>if(isblank(F204),"",'FL5_POR_包裝對照表 (Mapping Table)'!$E$4)</f>
        <v/>
      </c>
      <c r="D204" s="878" t="str">
        <f t="array" ref="D204">if(isblank(F204),"",xlookup(F204,'FL5_POR_包裝對照表 (Mapping Table)'!E:E,'FL5_POR_包裝對照表 (Mapping Table)'!AZ:AZ,"",0,1))</f>
        <v/>
      </c>
      <c r="E204" s="677" t="str">
        <f t="shared" si="2"/>
        <v/>
      </c>
      <c r="F204" s="879"/>
      <c r="G204" s="892" t="str">
        <f t="array" ref="G204">if(isblank(F204),"",xlookup(F204,'FL5_POR_包裝對照表 (Mapping Table)'!E:E,'FL5_POR_包裝對照表 (Mapping Table)'!D:D,"",0,1))</f>
        <v/>
      </c>
      <c r="H204" s="893" t="str">
        <f t="array" ref="H204">if(isblank(F204),"",xlookup(F204,'FL5_POR_包裝對照表 (Mapping Table)'!E:E,'FL5_POR_包裝對照表 (Mapping Table)'!E:E,"",0,1))</f>
        <v/>
      </c>
      <c r="I204" s="677" t="str">
        <f t="array" ref="I204">if(isblank(F204),"",xlookup(F204,'FL5_POR_包裝對照表 (Mapping Table)'!E:E,'FL5_POR_包裝對照表 (Mapping Table)'!AN:AN,"",0,1))</f>
        <v/>
      </c>
      <c r="J204" s="894" t="str">
        <f t="array" ref="J204">if(isblank(F204),"",xlookup(G204,z_Others!$B$5:$B$17,z_Others!$C$5:$C$17,"",0,1))</f>
        <v/>
      </c>
      <c r="K204" s="894" t="str">
        <f t="array" ref="K204">if(isblank(F204),"",xlookup(G204,z_Others!$B$5:$B$17,z_Others!$E$5:$E$17,"",0,1))</f>
        <v/>
      </c>
      <c r="L204" s="894" t="str">
        <f t="array" ref="L204">if(isblank(F204),"",xlookup(G204,z_Others!$B$5:$B$17,z_Others!$F$5:$F$17,"",0,1))</f>
        <v/>
      </c>
      <c r="M204" s="894" t="str">
        <f t="shared" si="3"/>
        <v/>
      </c>
      <c r="N204" s="894" t="str">
        <f t="shared" si="4"/>
        <v/>
      </c>
      <c r="O204" s="882" t="str">
        <f t="array" ref="O204">if(isblank(F204),"",xlookup(F204,'FL5_POR_包裝對照表 (Mapping Table)'!E:E,'FL5_POR_包裝對照表 (Mapping Table)'!L:L,"",0,1))</f>
        <v/>
      </c>
      <c r="P204" s="909" t="str">
        <f t="array" ref="P204">if(isblank(F204),"",xlookup(G204,z_Others!$B$5:$B$17,z_Others!$J$5:$J$17,"",0,1))</f>
        <v/>
      </c>
      <c r="Q204" s="899" t="str">
        <f t="array" ref="Q204">if(isblank(F204),"",xlookup(F204,'FL5_POR_核價 (經管 &amp; BPM)'!E:E,'FL5_POR_核價 (經管 &amp; BPM)'!O:O,"",0,1))</f>
        <v/>
      </c>
      <c r="R204" s="894" t="str">
        <f t="shared" si="5"/>
        <v/>
      </c>
      <c r="S204" s="894" t="str">
        <f t="array" ref="S204">if(isblank(F204),"",xlookup(G204,z_Others!$B$5:$B$17,z_Others!$K$5:$K$17,"",0,1))</f>
        <v/>
      </c>
      <c r="T204" s="894" t="str">
        <f t="shared" si="19"/>
        <v/>
      </c>
      <c r="U204" s="898" t="str">
        <f t="array" ref="U204">if(isblank(F204),"",xlookup(G204,z_Others!$B$5:$B$17,z_Others!$G$5:$G$17,"",0,1))</f>
        <v/>
      </c>
      <c r="V204" s="231" t="str">
        <f t="array" ref="V204">if(isblank(F204),"",xlookup(F204,'FL5_POR_包裝對照表 (Mapping Table)'!E:E,'FL5_POR_包裝對照表 (Mapping Table)'!AB:AB,"",0,1))</f>
        <v/>
      </c>
      <c r="W204" s="899" t="str">
        <f t="array" ref="W204">if(isblank(F204),"",xlookup(G204,z_Others!$B$5:$B$17,z_Others!$I$5:$I$17,"",0,1))</f>
        <v/>
      </c>
      <c r="X204" s="894" t="str">
        <f t="shared" si="7"/>
        <v/>
      </c>
      <c r="Y204" s="894" t="str">
        <f t="shared" si="8"/>
        <v/>
      </c>
      <c r="Z204" s="900" t="str">
        <f t="shared" si="9"/>
        <v/>
      </c>
      <c r="AA204" s="900" t="str">
        <f t="shared" si="10"/>
        <v/>
      </c>
      <c r="AB204" s="878" t="str">
        <f t="array" ref="AB204">if(isblank(F204),"",xlookup(AJ204,z_Others!$M$5:$M$9,z_Others!$Q$5:$Q$9,"",0,1))</f>
        <v/>
      </c>
      <c r="AC204" s="900" t="str">
        <f t="shared" si="11"/>
        <v/>
      </c>
      <c r="AD204" s="894" t="str">
        <f t="array" ref="AD204">if(isblank(F204),"",xlookup(G204,z_Others!$B$5:$B$14,z_Others!$H$5:$H$14,"",0,1))</f>
        <v/>
      </c>
      <c r="AE204" s="901" t="str">
        <f t="shared" si="12"/>
        <v/>
      </c>
      <c r="AF204" s="791"/>
      <c r="AG204" s="791" t="str">
        <f t="shared" si="21"/>
        <v/>
      </c>
      <c r="AH204" s="787"/>
      <c r="AI204" s="787"/>
      <c r="AJ204" s="677" t="str">
        <f t="array" ref="AJ204">if(isblank(F204),"",xlookup(F204,'FL5_POR_包裝對照表 (Mapping Table)'!E:E,'FL5_POR_包裝對照表 (Mapping Table)'!AS:AS,"",0,1))</f>
        <v/>
      </c>
      <c r="AK204" s="677" t="str">
        <f t="array" ref="AK204">if(isblank(F204),"",xlookup(F204,'FL5_POR_包裝對照表 (Mapping Table)'!E:E,'FL5_POR_包裝對照表 (Mapping Table)'!K:K,"",0,1))</f>
        <v/>
      </c>
      <c r="AL204" s="677"/>
      <c r="AM204" s="813"/>
      <c r="AN204" s="908"/>
      <c r="AO204" s="813"/>
      <c r="AP204" s="813"/>
    </row>
    <row r="205" ht="18.0" customHeight="1">
      <c r="A205" s="910"/>
      <c r="B205" s="908"/>
      <c r="C205" s="891" t="str">
        <f>if(isblank(F205),"",'FL5_POR_包裝對照表 (Mapping Table)'!$E$4)</f>
        <v/>
      </c>
      <c r="D205" s="878" t="str">
        <f t="array" ref="D205">if(isblank(F205),"",xlookup(F205,'FL5_POR_包裝對照表 (Mapping Table)'!E:E,'FL5_POR_包裝對照表 (Mapping Table)'!AZ:AZ,"",0,1))</f>
        <v/>
      </c>
      <c r="E205" s="677" t="str">
        <f t="shared" si="2"/>
        <v/>
      </c>
      <c r="F205" s="879"/>
      <c r="G205" s="892" t="str">
        <f t="array" ref="G205">if(isblank(F205),"",xlookup(F205,'FL5_POR_包裝對照表 (Mapping Table)'!E:E,'FL5_POR_包裝對照表 (Mapping Table)'!D:D,"",0,1))</f>
        <v/>
      </c>
      <c r="H205" s="893" t="str">
        <f t="array" ref="H205">if(isblank(F205),"",xlookup(F205,'FL5_POR_包裝對照表 (Mapping Table)'!E:E,'FL5_POR_包裝對照表 (Mapping Table)'!E:E,"",0,1))</f>
        <v/>
      </c>
      <c r="I205" s="677" t="str">
        <f t="array" ref="I205">if(isblank(F205),"",xlookup(F205,'FL5_POR_包裝對照表 (Mapping Table)'!E:E,'FL5_POR_包裝對照表 (Mapping Table)'!AN:AN,"",0,1))</f>
        <v/>
      </c>
      <c r="J205" s="894" t="str">
        <f t="array" ref="J205">if(isblank(F205),"",xlookup(G205,z_Others!$B$5:$B$17,z_Others!$C$5:$C$17,"",0,1))</f>
        <v/>
      </c>
      <c r="K205" s="894" t="str">
        <f t="array" ref="K205">if(isblank(F205),"",xlookup(G205,z_Others!$B$5:$B$17,z_Others!$E$5:$E$17,"",0,1))</f>
        <v/>
      </c>
      <c r="L205" s="894" t="str">
        <f t="array" ref="L205">if(isblank(F205),"",xlookup(G205,z_Others!$B$5:$B$17,z_Others!$F$5:$F$17,"",0,1))</f>
        <v/>
      </c>
      <c r="M205" s="894" t="str">
        <f t="shared" si="3"/>
        <v/>
      </c>
      <c r="N205" s="894" t="str">
        <f t="shared" si="4"/>
        <v/>
      </c>
      <c r="O205" s="882" t="str">
        <f t="array" ref="O205">if(isblank(F205),"",xlookup(F205,'FL5_POR_包裝對照表 (Mapping Table)'!E:E,'FL5_POR_包裝對照表 (Mapping Table)'!L:L,"",0,1))</f>
        <v/>
      </c>
      <c r="P205" s="909" t="str">
        <f t="array" ref="P205">if(isblank(F205),"",xlookup(G205,z_Others!$B$5:$B$17,z_Others!$J$5:$J$17,"",0,1))</f>
        <v/>
      </c>
      <c r="Q205" s="899" t="str">
        <f t="array" ref="Q205">if(isblank(F205),"",xlookup(F205,'FL5_POR_核價 (經管 &amp; BPM)'!E:E,'FL5_POR_核價 (經管 &amp; BPM)'!O:O,"",0,1))</f>
        <v/>
      </c>
      <c r="R205" s="894" t="str">
        <f t="shared" si="5"/>
        <v/>
      </c>
      <c r="S205" s="894" t="str">
        <f t="array" ref="S205">if(isblank(F205),"",xlookup(G205,z_Others!$B$5:$B$17,z_Others!$K$5:$K$17,"",0,1))</f>
        <v/>
      </c>
      <c r="T205" s="894" t="str">
        <f t="shared" si="19"/>
        <v/>
      </c>
      <c r="U205" s="898" t="str">
        <f t="array" ref="U205">if(isblank(F205),"",xlookup(G205,z_Others!$B$5:$B$17,z_Others!$G$5:$G$17,"",0,1))</f>
        <v/>
      </c>
      <c r="V205" s="231" t="str">
        <f t="array" ref="V205">if(isblank(F205),"",xlookup(F205,'FL5_POR_包裝對照表 (Mapping Table)'!E:E,'FL5_POR_包裝對照表 (Mapping Table)'!AB:AB,"",0,1))</f>
        <v/>
      </c>
      <c r="W205" s="899" t="str">
        <f t="array" ref="W205">if(isblank(F205),"",xlookup(G205,z_Others!$B$5:$B$17,z_Others!$I$5:$I$17,"",0,1))</f>
        <v/>
      </c>
      <c r="X205" s="894" t="str">
        <f t="shared" si="7"/>
        <v/>
      </c>
      <c r="Y205" s="894" t="str">
        <f t="shared" si="8"/>
        <v/>
      </c>
      <c r="Z205" s="900" t="str">
        <f t="shared" si="9"/>
        <v/>
      </c>
      <c r="AA205" s="900" t="str">
        <f t="shared" si="10"/>
        <v/>
      </c>
      <c r="AB205" s="878" t="str">
        <f t="array" ref="AB205">if(isblank(F205),"",xlookup(AJ205,z_Others!$M$5:$M$9,z_Others!$Q$5:$Q$9,"",0,1))</f>
        <v/>
      </c>
      <c r="AC205" s="900" t="str">
        <f t="shared" si="11"/>
        <v/>
      </c>
      <c r="AD205" s="894" t="str">
        <f t="array" ref="AD205">if(isblank(F205),"",xlookup(G205,z_Others!$B$5:$B$14,z_Others!$H$5:$H$14,"",0,1))</f>
        <v/>
      </c>
      <c r="AE205" s="901" t="str">
        <f t="shared" si="12"/>
        <v/>
      </c>
      <c r="AF205" s="791"/>
      <c r="AG205" s="791" t="str">
        <f t="shared" si="21"/>
        <v/>
      </c>
      <c r="AH205" s="787"/>
      <c r="AI205" s="787"/>
      <c r="AJ205" s="677" t="str">
        <f t="array" ref="AJ205">if(isblank(F205),"",xlookup(F205,'FL5_POR_包裝對照表 (Mapping Table)'!E:E,'FL5_POR_包裝對照表 (Mapping Table)'!AS:AS,"",0,1))</f>
        <v/>
      </c>
      <c r="AK205" s="677" t="str">
        <f t="array" ref="AK205">if(isblank(F205),"",xlookup(F205,'FL5_POR_包裝對照表 (Mapping Table)'!E:E,'FL5_POR_包裝對照表 (Mapping Table)'!K:K,"",0,1))</f>
        <v/>
      </c>
      <c r="AL205" s="677"/>
      <c r="AM205" s="813"/>
      <c r="AN205" s="908"/>
      <c r="AO205" s="813"/>
      <c r="AP205" s="813"/>
    </row>
    <row r="206" ht="18.0" customHeight="1">
      <c r="A206" s="910"/>
      <c r="B206" s="908"/>
      <c r="C206" s="891" t="str">
        <f>if(isblank(F206),"",'FL5_POR_包裝對照表 (Mapping Table)'!$E$4)</f>
        <v/>
      </c>
      <c r="D206" s="878" t="str">
        <f t="array" ref="D206">if(isblank(F206),"",xlookup(F206,'FL5_POR_包裝對照表 (Mapping Table)'!E:E,'FL5_POR_包裝對照表 (Mapping Table)'!AZ:AZ,"",0,1))</f>
        <v/>
      </c>
      <c r="E206" s="677" t="str">
        <f t="shared" si="2"/>
        <v/>
      </c>
      <c r="F206" s="879"/>
      <c r="G206" s="892" t="str">
        <f t="array" ref="G206">if(isblank(F206),"",xlookup(F206,'FL5_POR_包裝對照表 (Mapping Table)'!E:E,'FL5_POR_包裝對照表 (Mapping Table)'!D:D,"",0,1))</f>
        <v/>
      </c>
      <c r="H206" s="893" t="str">
        <f t="array" ref="H206">if(isblank(F206),"",xlookup(F206,'FL5_POR_包裝對照表 (Mapping Table)'!E:E,'FL5_POR_包裝對照表 (Mapping Table)'!E:E,"",0,1))</f>
        <v/>
      </c>
      <c r="I206" s="677" t="str">
        <f t="array" ref="I206">if(isblank(F206),"",xlookup(F206,'FL5_POR_包裝對照表 (Mapping Table)'!E:E,'FL5_POR_包裝對照表 (Mapping Table)'!AN:AN,"",0,1))</f>
        <v/>
      </c>
      <c r="J206" s="894" t="str">
        <f t="array" ref="J206">if(isblank(F206),"",xlookup(G206,z_Others!$B$5:$B$17,z_Others!$C$5:$C$17,"",0,1))</f>
        <v/>
      </c>
      <c r="K206" s="894" t="str">
        <f t="array" ref="K206">if(isblank(F206),"",xlookup(G206,z_Others!$B$5:$B$17,z_Others!$E$5:$E$17,"",0,1))</f>
        <v/>
      </c>
      <c r="L206" s="894" t="str">
        <f t="array" ref="L206">if(isblank(F206),"",xlookup(G206,z_Others!$B$5:$B$17,z_Others!$F$5:$F$17,"",0,1))</f>
        <v/>
      </c>
      <c r="M206" s="894" t="str">
        <f t="shared" si="3"/>
        <v/>
      </c>
      <c r="N206" s="894" t="str">
        <f t="shared" si="4"/>
        <v/>
      </c>
      <c r="O206" s="882" t="str">
        <f t="array" ref="O206">if(isblank(F206),"",xlookup(F206,'FL5_POR_包裝對照表 (Mapping Table)'!E:E,'FL5_POR_包裝對照表 (Mapping Table)'!L:L,"",0,1))</f>
        <v/>
      </c>
      <c r="P206" s="909" t="str">
        <f t="array" ref="P206">if(isblank(F206),"",xlookup(G206,z_Others!$B$5:$B$17,z_Others!$J$5:$J$17,"",0,1))</f>
        <v/>
      </c>
      <c r="Q206" s="899" t="str">
        <f t="array" ref="Q206">if(isblank(F206),"",xlookup(F206,'FL5_POR_核價 (經管 &amp; BPM)'!E:E,'FL5_POR_核價 (經管 &amp; BPM)'!O:O,"",0,1))</f>
        <v/>
      </c>
      <c r="R206" s="894" t="str">
        <f t="shared" si="5"/>
        <v/>
      </c>
      <c r="S206" s="894" t="str">
        <f t="array" ref="S206">if(isblank(F206),"",xlookup(G206,z_Others!$B$5:$B$17,z_Others!$K$5:$K$17,"",0,1))</f>
        <v/>
      </c>
      <c r="T206" s="894" t="str">
        <f t="shared" si="19"/>
        <v/>
      </c>
      <c r="U206" s="898" t="str">
        <f t="array" ref="U206">if(isblank(F206),"",xlookup(G206,z_Others!$B$5:$B$17,z_Others!$G$5:$G$17,"",0,1))</f>
        <v/>
      </c>
      <c r="V206" s="231" t="str">
        <f t="array" ref="V206">if(isblank(F206),"",xlookup(F206,'FL5_POR_包裝對照表 (Mapping Table)'!E:E,'FL5_POR_包裝對照表 (Mapping Table)'!AB:AB,"",0,1))</f>
        <v/>
      </c>
      <c r="W206" s="899" t="str">
        <f t="array" ref="W206">if(isblank(F206),"",xlookup(G206,z_Others!$B$5:$B$17,z_Others!$I$5:$I$17,"",0,1))</f>
        <v/>
      </c>
      <c r="X206" s="894" t="str">
        <f t="shared" si="7"/>
        <v/>
      </c>
      <c r="Y206" s="894" t="str">
        <f t="shared" si="8"/>
        <v/>
      </c>
      <c r="Z206" s="900" t="str">
        <f t="shared" si="9"/>
        <v/>
      </c>
      <c r="AA206" s="900" t="str">
        <f t="shared" si="10"/>
        <v/>
      </c>
      <c r="AB206" s="878" t="str">
        <f t="array" ref="AB206">if(isblank(F206),"",xlookup(AJ206,z_Others!$M$5:$M$9,z_Others!$Q$5:$Q$9,"",0,1))</f>
        <v/>
      </c>
      <c r="AC206" s="900" t="str">
        <f t="shared" si="11"/>
        <v/>
      </c>
      <c r="AD206" s="894" t="str">
        <f t="array" ref="AD206">if(isblank(F206),"",xlookup(G206,z_Others!$B$5:$B$14,z_Others!$H$5:$H$14,"",0,1))</f>
        <v/>
      </c>
      <c r="AE206" s="901" t="str">
        <f t="shared" si="12"/>
        <v/>
      </c>
      <c r="AF206" s="791"/>
      <c r="AG206" s="791" t="str">
        <f t="shared" si="21"/>
        <v/>
      </c>
      <c r="AH206" s="787"/>
      <c r="AI206" s="787"/>
      <c r="AJ206" s="677" t="str">
        <f t="array" ref="AJ206">if(isblank(F206),"",xlookup(F206,'FL5_POR_包裝對照表 (Mapping Table)'!E:E,'FL5_POR_包裝對照表 (Mapping Table)'!AS:AS,"",0,1))</f>
        <v/>
      </c>
      <c r="AK206" s="677" t="str">
        <f t="array" ref="AK206">if(isblank(F206),"",xlookup(F206,'FL5_POR_包裝對照表 (Mapping Table)'!E:E,'FL5_POR_包裝對照表 (Mapping Table)'!K:K,"",0,1))</f>
        <v/>
      </c>
      <c r="AL206" s="677"/>
      <c r="AM206" s="813"/>
      <c r="AN206" s="908"/>
      <c r="AO206" s="813"/>
      <c r="AP206" s="813"/>
    </row>
    <row r="207" ht="18.0" customHeight="1">
      <c r="A207" s="910"/>
      <c r="B207" s="908"/>
      <c r="C207" s="891" t="str">
        <f>if(isblank(F207),"",'FL5_POR_包裝對照表 (Mapping Table)'!$E$4)</f>
        <v/>
      </c>
      <c r="D207" s="878" t="str">
        <f t="array" ref="D207">if(isblank(F207),"",xlookup(F207,'FL5_POR_包裝對照表 (Mapping Table)'!E:E,'FL5_POR_包裝對照表 (Mapping Table)'!AZ:AZ,"",0,1))</f>
        <v/>
      </c>
      <c r="E207" s="677" t="str">
        <f t="shared" si="2"/>
        <v/>
      </c>
      <c r="F207" s="879"/>
      <c r="G207" s="892" t="str">
        <f t="array" ref="G207">if(isblank(F207),"",xlookup(F207,'FL5_POR_包裝對照表 (Mapping Table)'!E:E,'FL5_POR_包裝對照表 (Mapping Table)'!D:D,"",0,1))</f>
        <v/>
      </c>
      <c r="H207" s="893" t="str">
        <f t="array" ref="H207">if(isblank(F207),"",xlookup(F207,'FL5_POR_包裝對照表 (Mapping Table)'!E:E,'FL5_POR_包裝對照表 (Mapping Table)'!E:E,"",0,1))</f>
        <v/>
      </c>
      <c r="I207" s="677" t="str">
        <f t="array" ref="I207">if(isblank(F207),"",xlookup(F207,'FL5_POR_包裝對照表 (Mapping Table)'!E:E,'FL5_POR_包裝對照表 (Mapping Table)'!AN:AN,"",0,1))</f>
        <v/>
      </c>
      <c r="J207" s="894" t="str">
        <f t="array" ref="J207">if(isblank(F207),"",xlookup(G207,z_Others!$B$5:$B$17,z_Others!$C$5:$C$17,"",0,1))</f>
        <v/>
      </c>
      <c r="K207" s="894" t="str">
        <f t="array" ref="K207">if(isblank(F207),"",xlookup(G207,z_Others!$B$5:$B$17,z_Others!$E$5:$E$17,"",0,1))</f>
        <v/>
      </c>
      <c r="L207" s="894" t="str">
        <f t="array" ref="L207">if(isblank(F207),"",xlookup(G207,z_Others!$B$5:$B$17,z_Others!$F$5:$F$17,"",0,1))</f>
        <v/>
      </c>
      <c r="M207" s="894" t="str">
        <f t="shared" si="3"/>
        <v/>
      </c>
      <c r="N207" s="894" t="str">
        <f t="shared" si="4"/>
        <v/>
      </c>
      <c r="O207" s="882" t="str">
        <f t="array" ref="O207">if(isblank(F207),"",xlookup(F207,'FL5_POR_包裝對照表 (Mapping Table)'!E:E,'FL5_POR_包裝對照表 (Mapping Table)'!L:L,"",0,1))</f>
        <v/>
      </c>
      <c r="P207" s="909" t="str">
        <f t="array" ref="P207">if(isblank(F207),"",xlookup(G207,z_Others!$B$5:$B$17,z_Others!$J$5:$J$17,"",0,1))</f>
        <v/>
      </c>
      <c r="Q207" s="899" t="str">
        <f t="array" ref="Q207">if(isblank(F207),"",xlookup(F207,'FL5_POR_核價 (經管 &amp; BPM)'!E:E,'FL5_POR_核價 (經管 &amp; BPM)'!O:O,"",0,1))</f>
        <v/>
      </c>
      <c r="R207" s="894" t="str">
        <f t="shared" si="5"/>
        <v/>
      </c>
      <c r="S207" s="894" t="str">
        <f t="array" ref="S207">if(isblank(F207),"",xlookup(G207,z_Others!$B$5:$B$17,z_Others!$K$5:$K$17,"",0,1))</f>
        <v/>
      </c>
      <c r="T207" s="894" t="str">
        <f t="shared" si="19"/>
        <v/>
      </c>
      <c r="U207" s="898" t="str">
        <f t="array" ref="U207">if(isblank(F207),"",xlookup(G207,z_Others!$B$5:$B$17,z_Others!$G$5:$G$17,"",0,1))</f>
        <v/>
      </c>
      <c r="V207" s="231" t="str">
        <f t="array" ref="V207">if(isblank(F207),"",xlookup(F207,'FL5_POR_包裝對照表 (Mapping Table)'!E:E,'FL5_POR_包裝對照表 (Mapping Table)'!AB:AB,"",0,1))</f>
        <v/>
      </c>
      <c r="W207" s="899" t="str">
        <f t="array" ref="W207">if(isblank(F207),"",xlookup(G207,z_Others!$B$5:$B$17,z_Others!$I$5:$I$17,"",0,1))</f>
        <v/>
      </c>
      <c r="X207" s="894" t="str">
        <f t="shared" si="7"/>
        <v/>
      </c>
      <c r="Y207" s="894" t="str">
        <f t="shared" si="8"/>
        <v/>
      </c>
      <c r="Z207" s="900" t="str">
        <f t="shared" si="9"/>
        <v/>
      </c>
      <c r="AA207" s="900" t="str">
        <f t="shared" si="10"/>
        <v/>
      </c>
      <c r="AB207" s="878" t="str">
        <f t="array" ref="AB207">if(isblank(F207),"",xlookup(AJ207,z_Others!$M$5:$M$9,z_Others!$Q$5:$Q$9,"",0,1))</f>
        <v/>
      </c>
      <c r="AC207" s="900" t="str">
        <f t="shared" si="11"/>
        <v/>
      </c>
      <c r="AD207" s="894" t="str">
        <f t="array" ref="AD207">if(isblank(F207),"",xlookup(G207,z_Others!$B$5:$B$14,z_Others!$H$5:$H$14,"",0,1))</f>
        <v/>
      </c>
      <c r="AE207" s="901" t="str">
        <f t="shared" si="12"/>
        <v/>
      </c>
      <c r="AF207" s="791"/>
      <c r="AG207" s="791" t="str">
        <f t="shared" si="21"/>
        <v/>
      </c>
      <c r="AH207" s="787"/>
      <c r="AI207" s="787"/>
      <c r="AJ207" s="677" t="str">
        <f t="array" ref="AJ207">if(isblank(F207),"",xlookup(F207,'FL5_POR_包裝對照表 (Mapping Table)'!E:E,'FL5_POR_包裝對照表 (Mapping Table)'!AS:AS,"",0,1))</f>
        <v/>
      </c>
      <c r="AK207" s="677" t="str">
        <f t="array" ref="AK207">if(isblank(F207),"",xlookup(F207,'FL5_POR_包裝對照表 (Mapping Table)'!E:E,'FL5_POR_包裝對照表 (Mapping Table)'!K:K,"",0,1))</f>
        <v/>
      </c>
      <c r="AL207" s="677"/>
      <c r="AM207" s="813"/>
      <c r="AN207" s="908"/>
      <c r="AO207" s="813"/>
      <c r="AP207" s="813"/>
    </row>
    <row r="208" ht="18.0" customHeight="1">
      <c r="A208" s="910"/>
      <c r="B208" s="908"/>
      <c r="C208" s="891" t="str">
        <f>if(isblank(F208),"",'FL5_POR_包裝對照表 (Mapping Table)'!$E$4)</f>
        <v/>
      </c>
      <c r="D208" s="878" t="str">
        <f t="array" ref="D208">if(isblank(F208),"",xlookup(F208,'FL5_POR_包裝對照表 (Mapping Table)'!E:E,'FL5_POR_包裝對照表 (Mapping Table)'!AZ:AZ,"",0,1))</f>
        <v/>
      </c>
      <c r="E208" s="677" t="str">
        <f t="shared" si="2"/>
        <v/>
      </c>
      <c r="F208" s="879"/>
      <c r="G208" s="892" t="str">
        <f t="array" ref="G208">if(isblank(F208),"",xlookup(F208,'FL5_POR_包裝對照表 (Mapping Table)'!E:E,'FL5_POR_包裝對照表 (Mapping Table)'!D:D,"",0,1))</f>
        <v/>
      </c>
      <c r="H208" s="893" t="str">
        <f t="array" ref="H208">if(isblank(F208),"",xlookup(F208,'FL5_POR_包裝對照表 (Mapping Table)'!E:E,'FL5_POR_包裝對照表 (Mapping Table)'!E:E,"",0,1))</f>
        <v/>
      </c>
      <c r="I208" s="677" t="str">
        <f t="array" ref="I208">if(isblank(F208),"",xlookup(F208,'FL5_POR_包裝對照表 (Mapping Table)'!E:E,'FL5_POR_包裝對照表 (Mapping Table)'!AN:AN,"",0,1))</f>
        <v/>
      </c>
      <c r="J208" s="894" t="str">
        <f t="array" ref="J208">if(isblank(F208),"",xlookup(G208,z_Others!$B$5:$B$17,z_Others!$C$5:$C$17,"",0,1))</f>
        <v/>
      </c>
      <c r="K208" s="894" t="str">
        <f t="array" ref="K208">if(isblank(F208),"",xlookup(G208,z_Others!$B$5:$B$17,z_Others!$E$5:$E$17,"",0,1))</f>
        <v/>
      </c>
      <c r="L208" s="894" t="str">
        <f t="array" ref="L208">if(isblank(F208),"",xlookup(G208,z_Others!$B$5:$B$17,z_Others!$F$5:$F$17,"",0,1))</f>
        <v/>
      </c>
      <c r="M208" s="894" t="str">
        <f t="shared" si="3"/>
        <v/>
      </c>
      <c r="N208" s="894" t="str">
        <f t="shared" si="4"/>
        <v/>
      </c>
      <c r="O208" s="882" t="str">
        <f t="array" ref="O208">if(isblank(F208),"",xlookup(F208,'FL5_POR_包裝對照表 (Mapping Table)'!E:E,'FL5_POR_包裝對照表 (Mapping Table)'!L:L,"",0,1))</f>
        <v/>
      </c>
      <c r="P208" s="909" t="str">
        <f t="array" ref="P208">if(isblank(F208),"",xlookup(G208,z_Others!$B$5:$B$17,z_Others!$J$5:$J$17,"",0,1))</f>
        <v/>
      </c>
      <c r="Q208" s="899" t="str">
        <f t="array" ref="Q208">if(isblank(F208),"",xlookup(F208,'FL5_POR_核價 (經管 &amp; BPM)'!E:E,'FL5_POR_核價 (經管 &amp; BPM)'!O:O,"",0,1))</f>
        <v/>
      </c>
      <c r="R208" s="894" t="str">
        <f t="shared" si="5"/>
        <v/>
      </c>
      <c r="S208" s="894" t="str">
        <f t="array" ref="S208">if(isblank(F208),"",xlookup(G208,z_Others!$B$5:$B$17,z_Others!$K$5:$K$17,"",0,1))</f>
        <v/>
      </c>
      <c r="T208" s="894" t="str">
        <f t="shared" si="19"/>
        <v/>
      </c>
      <c r="U208" s="898" t="str">
        <f t="array" ref="U208">if(isblank(F208),"",xlookup(G208,z_Others!$B$5:$B$17,z_Others!$G$5:$G$17,"",0,1))</f>
        <v/>
      </c>
      <c r="V208" s="231" t="str">
        <f t="array" ref="V208">if(isblank(F208),"",xlookup(F208,'FL5_POR_包裝對照表 (Mapping Table)'!E:E,'FL5_POR_包裝對照表 (Mapping Table)'!AB:AB,"",0,1))</f>
        <v/>
      </c>
      <c r="W208" s="899" t="str">
        <f t="array" ref="W208">if(isblank(F208),"",xlookup(G208,z_Others!$B$5:$B$17,z_Others!$I$5:$I$17,"",0,1))</f>
        <v/>
      </c>
      <c r="X208" s="894" t="str">
        <f t="shared" si="7"/>
        <v/>
      </c>
      <c r="Y208" s="894" t="str">
        <f t="shared" si="8"/>
        <v/>
      </c>
      <c r="Z208" s="900" t="str">
        <f t="shared" si="9"/>
        <v/>
      </c>
      <c r="AA208" s="900" t="str">
        <f t="shared" si="10"/>
        <v/>
      </c>
      <c r="AB208" s="878" t="str">
        <f t="array" ref="AB208">if(isblank(F208),"",xlookup(AJ208,z_Others!$M$5:$M$9,z_Others!$Q$5:$Q$9,"",0,1))</f>
        <v/>
      </c>
      <c r="AC208" s="900" t="str">
        <f t="shared" si="11"/>
        <v/>
      </c>
      <c r="AD208" s="894" t="str">
        <f t="array" ref="AD208">if(isblank(F208),"",xlookup(G208,z_Others!$B$5:$B$14,z_Others!$H$5:$H$14,"",0,1))</f>
        <v/>
      </c>
      <c r="AE208" s="901" t="str">
        <f t="shared" si="12"/>
        <v/>
      </c>
      <c r="AF208" s="791"/>
      <c r="AG208" s="791" t="str">
        <f t="shared" si="21"/>
        <v/>
      </c>
      <c r="AH208" s="787"/>
      <c r="AI208" s="787"/>
      <c r="AJ208" s="677" t="str">
        <f t="array" ref="AJ208">if(isblank(F208),"",xlookup(F208,'FL5_POR_包裝對照表 (Mapping Table)'!E:E,'FL5_POR_包裝對照表 (Mapping Table)'!AS:AS,"",0,1))</f>
        <v/>
      </c>
      <c r="AK208" s="677" t="str">
        <f t="array" ref="AK208">if(isblank(F208),"",xlookup(F208,'FL5_POR_包裝對照表 (Mapping Table)'!E:E,'FL5_POR_包裝對照表 (Mapping Table)'!K:K,"",0,1))</f>
        <v/>
      </c>
      <c r="AL208" s="677"/>
      <c r="AM208" s="813"/>
      <c r="AN208" s="908"/>
      <c r="AO208" s="813"/>
      <c r="AP208" s="813"/>
    </row>
    <row r="209" ht="18.0" customHeight="1">
      <c r="A209" s="910"/>
      <c r="B209" s="908"/>
      <c r="C209" s="891" t="str">
        <f>if(isblank(F209),"",'FL5_POR_包裝對照表 (Mapping Table)'!$E$4)</f>
        <v/>
      </c>
      <c r="D209" s="878" t="str">
        <f t="array" ref="D209">if(isblank(F209),"",xlookup(F209,'FL5_POR_包裝對照表 (Mapping Table)'!E:E,'FL5_POR_包裝對照表 (Mapping Table)'!AZ:AZ,"",0,1))</f>
        <v/>
      </c>
      <c r="E209" s="677" t="str">
        <f t="shared" si="2"/>
        <v/>
      </c>
      <c r="F209" s="879"/>
      <c r="G209" s="892" t="str">
        <f t="array" ref="G209">if(isblank(F209),"",xlookup(F209,'FL5_POR_包裝對照表 (Mapping Table)'!E:E,'FL5_POR_包裝對照表 (Mapping Table)'!D:D,"",0,1))</f>
        <v/>
      </c>
      <c r="H209" s="893" t="str">
        <f t="array" ref="H209">if(isblank(F209),"",xlookup(F209,'FL5_POR_包裝對照表 (Mapping Table)'!E:E,'FL5_POR_包裝對照表 (Mapping Table)'!E:E,"",0,1))</f>
        <v/>
      </c>
      <c r="I209" s="677" t="str">
        <f t="array" ref="I209">if(isblank(F209),"",xlookup(F209,'FL5_POR_包裝對照表 (Mapping Table)'!E:E,'FL5_POR_包裝對照表 (Mapping Table)'!AN:AN,"",0,1))</f>
        <v/>
      </c>
      <c r="J209" s="894" t="str">
        <f t="array" ref="J209">if(isblank(F209),"",xlookup(G209,z_Others!$B$5:$B$17,z_Others!$C$5:$C$17,"",0,1))</f>
        <v/>
      </c>
      <c r="K209" s="894" t="str">
        <f t="array" ref="K209">if(isblank(F209),"",xlookup(G209,z_Others!$B$5:$B$17,z_Others!$E$5:$E$17,"",0,1))</f>
        <v/>
      </c>
      <c r="L209" s="894" t="str">
        <f t="array" ref="L209">if(isblank(F209),"",xlookup(G209,z_Others!$B$5:$B$17,z_Others!$F$5:$F$17,"",0,1))</f>
        <v/>
      </c>
      <c r="M209" s="894" t="str">
        <f t="shared" si="3"/>
        <v/>
      </c>
      <c r="N209" s="894" t="str">
        <f t="shared" si="4"/>
        <v/>
      </c>
      <c r="O209" s="882" t="str">
        <f t="array" ref="O209">if(isblank(F209),"",xlookup(F209,'FL5_POR_包裝對照表 (Mapping Table)'!E:E,'FL5_POR_包裝對照表 (Mapping Table)'!L:L,"",0,1))</f>
        <v/>
      </c>
      <c r="P209" s="909" t="str">
        <f t="array" ref="P209">if(isblank(F209),"",xlookup(G209,z_Others!$B$5:$B$17,z_Others!$J$5:$J$17,"",0,1))</f>
        <v/>
      </c>
      <c r="Q209" s="899" t="str">
        <f t="array" ref="Q209">if(isblank(F209),"",xlookup(F209,'FL5_POR_核價 (經管 &amp; BPM)'!E:E,'FL5_POR_核價 (經管 &amp; BPM)'!O:O,"",0,1))</f>
        <v/>
      </c>
      <c r="R209" s="894" t="str">
        <f t="shared" si="5"/>
        <v/>
      </c>
      <c r="S209" s="894" t="str">
        <f t="array" ref="S209">if(isblank(F209),"",xlookup(G209,z_Others!$B$5:$B$17,z_Others!$K$5:$K$17,"",0,1))</f>
        <v/>
      </c>
      <c r="T209" s="894" t="str">
        <f t="shared" si="19"/>
        <v/>
      </c>
      <c r="U209" s="898" t="str">
        <f t="array" ref="U209">if(isblank(F209),"",xlookup(G209,z_Others!$B$5:$B$17,z_Others!$G$5:$G$17,"",0,1))</f>
        <v/>
      </c>
      <c r="V209" s="231" t="str">
        <f t="array" ref="V209">if(isblank(F209),"",xlookup(F209,'FL5_POR_包裝對照表 (Mapping Table)'!E:E,'FL5_POR_包裝對照表 (Mapping Table)'!AB:AB,"",0,1))</f>
        <v/>
      </c>
      <c r="W209" s="899" t="str">
        <f t="array" ref="W209">if(isblank(F209),"",xlookup(G209,z_Others!$B$5:$B$17,z_Others!$I$5:$I$17,"",0,1))</f>
        <v/>
      </c>
      <c r="X209" s="894" t="str">
        <f t="shared" si="7"/>
        <v/>
      </c>
      <c r="Y209" s="894" t="str">
        <f t="shared" si="8"/>
        <v/>
      </c>
      <c r="Z209" s="900" t="str">
        <f t="shared" si="9"/>
        <v/>
      </c>
      <c r="AA209" s="900" t="str">
        <f t="shared" si="10"/>
        <v/>
      </c>
      <c r="AB209" s="878" t="str">
        <f t="array" ref="AB209">if(isblank(F209),"",xlookup(AJ209,z_Others!$M$5:$M$9,z_Others!$Q$5:$Q$9,"",0,1))</f>
        <v/>
      </c>
      <c r="AC209" s="900" t="str">
        <f t="shared" si="11"/>
        <v/>
      </c>
      <c r="AD209" s="894" t="str">
        <f t="array" ref="AD209">if(isblank(F209),"",xlookup(G209,z_Others!$B$5:$B$14,z_Others!$H$5:$H$14,"",0,1))</f>
        <v/>
      </c>
      <c r="AE209" s="901" t="str">
        <f t="shared" si="12"/>
        <v/>
      </c>
      <c r="AF209" s="791"/>
      <c r="AG209" s="791" t="str">
        <f t="shared" si="21"/>
        <v/>
      </c>
      <c r="AH209" s="787"/>
      <c r="AI209" s="787"/>
      <c r="AJ209" s="677" t="str">
        <f t="array" ref="AJ209">if(isblank(F209),"",xlookup(F209,'FL5_POR_包裝對照表 (Mapping Table)'!E:E,'FL5_POR_包裝對照表 (Mapping Table)'!AS:AS,"",0,1))</f>
        <v/>
      </c>
      <c r="AK209" s="677" t="str">
        <f t="array" ref="AK209">if(isblank(F209),"",xlookup(F209,'FL5_POR_包裝對照表 (Mapping Table)'!E:E,'FL5_POR_包裝對照表 (Mapping Table)'!K:K,"",0,1))</f>
        <v/>
      </c>
      <c r="AL209" s="677"/>
      <c r="AM209" s="813"/>
      <c r="AN209" s="908"/>
      <c r="AO209" s="813"/>
      <c r="AP209" s="813"/>
    </row>
    <row r="210" ht="18.0" customHeight="1">
      <c r="A210" s="910"/>
      <c r="B210" s="908"/>
      <c r="C210" s="891" t="str">
        <f>if(isblank(F210),"",'FL5_POR_包裝對照表 (Mapping Table)'!$E$4)</f>
        <v/>
      </c>
      <c r="D210" s="878" t="str">
        <f t="array" ref="D210">if(isblank(F210),"",xlookup(F210,'FL5_POR_包裝對照表 (Mapping Table)'!E:E,'FL5_POR_包裝對照表 (Mapping Table)'!AZ:AZ,"",0,1))</f>
        <v/>
      </c>
      <c r="E210" s="677" t="str">
        <f t="shared" si="2"/>
        <v/>
      </c>
      <c r="F210" s="879"/>
      <c r="G210" s="892" t="str">
        <f t="array" ref="G210">if(isblank(F210),"",xlookup(F210,'FL5_POR_包裝對照表 (Mapping Table)'!E:E,'FL5_POR_包裝對照表 (Mapping Table)'!D:D,"",0,1))</f>
        <v/>
      </c>
      <c r="H210" s="893" t="str">
        <f t="array" ref="H210">if(isblank(F210),"",xlookup(F210,'FL5_POR_包裝對照表 (Mapping Table)'!E:E,'FL5_POR_包裝對照表 (Mapping Table)'!E:E,"",0,1))</f>
        <v/>
      </c>
      <c r="I210" s="677" t="str">
        <f t="array" ref="I210">if(isblank(F210),"",xlookup(F210,'FL5_POR_包裝對照表 (Mapping Table)'!E:E,'FL5_POR_包裝對照表 (Mapping Table)'!AN:AN,"",0,1))</f>
        <v/>
      </c>
      <c r="J210" s="894" t="str">
        <f t="array" ref="J210">if(isblank(F210),"",xlookup(G210,z_Others!$B$5:$B$17,z_Others!$C$5:$C$17,"",0,1))</f>
        <v/>
      </c>
      <c r="K210" s="894" t="str">
        <f t="array" ref="K210">if(isblank(F210),"",xlookup(G210,z_Others!$B$5:$B$17,z_Others!$E$5:$E$17,"",0,1))</f>
        <v/>
      </c>
      <c r="L210" s="894" t="str">
        <f t="array" ref="L210">if(isblank(F210),"",xlookup(G210,z_Others!$B$5:$B$17,z_Others!$F$5:$F$17,"",0,1))</f>
        <v/>
      </c>
      <c r="M210" s="894" t="str">
        <f t="shared" si="3"/>
        <v/>
      </c>
      <c r="N210" s="894" t="str">
        <f t="shared" si="4"/>
        <v/>
      </c>
      <c r="O210" s="882" t="str">
        <f t="array" ref="O210">if(isblank(F210),"",xlookup(F210,'FL5_POR_包裝對照表 (Mapping Table)'!E:E,'FL5_POR_包裝對照表 (Mapping Table)'!L:L,"",0,1))</f>
        <v/>
      </c>
      <c r="P210" s="909" t="str">
        <f t="array" ref="P210">if(isblank(F210),"",xlookup(G210,z_Others!$B$5:$B$17,z_Others!$J$5:$J$17,"",0,1))</f>
        <v/>
      </c>
      <c r="Q210" s="899" t="str">
        <f t="array" ref="Q210">if(isblank(F210),"",xlookup(F210,'FL5_POR_核價 (經管 &amp; BPM)'!E:E,'FL5_POR_核價 (經管 &amp; BPM)'!O:O,"",0,1))</f>
        <v/>
      </c>
      <c r="R210" s="894" t="str">
        <f t="shared" si="5"/>
        <v/>
      </c>
      <c r="S210" s="894" t="str">
        <f t="array" ref="S210">if(isblank(F210),"",xlookup(G210,z_Others!$B$5:$B$17,z_Others!$K$5:$K$17,"",0,1))</f>
        <v/>
      </c>
      <c r="T210" s="894" t="str">
        <f t="shared" si="19"/>
        <v/>
      </c>
      <c r="U210" s="898" t="str">
        <f t="array" ref="U210">if(isblank(F210),"",xlookup(G210,z_Others!$B$5:$B$17,z_Others!$G$5:$G$17,"",0,1))</f>
        <v/>
      </c>
      <c r="V210" s="231" t="str">
        <f t="array" ref="V210">if(isblank(F210),"",xlookup(F210,'FL5_POR_包裝對照表 (Mapping Table)'!E:E,'FL5_POR_包裝對照表 (Mapping Table)'!AB:AB,"",0,1))</f>
        <v/>
      </c>
      <c r="W210" s="899" t="str">
        <f t="array" ref="W210">if(isblank(F210),"",xlookup(G210,z_Others!$B$5:$B$17,z_Others!$I$5:$I$17,"",0,1))</f>
        <v/>
      </c>
      <c r="X210" s="894" t="str">
        <f t="shared" si="7"/>
        <v/>
      </c>
      <c r="Y210" s="894" t="str">
        <f t="shared" si="8"/>
        <v/>
      </c>
      <c r="Z210" s="900" t="str">
        <f t="shared" si="9"/>
        <v/>
      </c>
      <c r="AA210" s="900" t="str">
        <f t="shared" si="10"/>
        <v/>
      </c>
      <c r="AB210" s="878" t="str">
        <f t="array" ref="AB210">if(isblank(F210),"",xlookup(AJ210,z_Others!$M$5:$M$9,z_Others!$Q$5:$Q$9,"",0,1))</f>
        <v/>
      </c>
      <c r="AC210" s="900" t="str">
        <f t="shared" si="11"/>
        <v/>
      </c>
      <c r="AD210" s="894" t="str">
        <f t="array" ref="AD210">if(isblank(F210),"",xlookup(G210,z_Others!$B$5:$B$14,z_Others!$H$5:$H$14,"",0,1))</f>
        <v/>
      </c>
      <c r="AE210" s="901" t="str">
        <f t="shared" si="12"/>
        <v/>
      </c>
      <c r="AF210" s="791"/>
      <c r="AG210" s="791" t="str">
        <f t="shared" si="21"/>
        <v/>
      </c>
      <c r="AH210" s="787"/>
      <c r="AI210" s="787"/>
      <c r="AJ210" s="677" t="str">
        <f t="array" ref="AJ210">if(isblank(F210),"",xlookup(F210,'FL5_POR_包裝對照表 (Mapping Table)'!E:E,'FL5_POR_包裝對照表 (Mapping Table)'!AS:AS,"",0,1))</f>
        <v/>
      </c>
      <c r="AK210" s="677" t="str">
        <f t="array" ref="AK210">if(isblank(F210),"",xlookup(F210,'FL5_POR_包裝對照表 (Mapping Table)'!E:E,'FL5_POR_包裝對照表 (Mapping Table)'!K:K,"",0,1))</f>
        <v/>
      </c>
      <c r="AL210" s="677"/>
      <c r="AM210" s="813"/>
      <c r="AN210" s="908"/>
      <c r="AO210" s="813"/>
      <c r="AP210" s="813"/>
    </row>
    <row r="211" ht="18.0" customHeight="1">
      <c r="A211" s="910"/>
      <c r="B211" s="908"/>
      <c r="C211" s="891" t="str">
        <f>if(isblank(F211),"",'FL5_POR_包裝對照表 (Mapping Table)'!$E$4)</f>
        <v/>
      </c>
      <c r="D211" s="878" t="str">
        <f t="array" ref="D211">if(isblank(F211),"",xlookup(F211,'FL5_POR_包裝對照表 (Mapping Table)'!E:E,'FL5_POR_包裝對照表 (Mapping Table)'!AZ:AZ,"",0,1))</f>
        <v/>
      </c>
      <c r="E211" s="677" t="str">
        <f t="shared" si="2"/>
        <v/>
      </c>
      <c r="F211" s="879"/>
      <c r="G211" s="892" t="str">
        <f t="array" ref="G211">if(isblank(F211),"",xlookup(F211,'FL5_POR_包裝對照表 (Mapping Table)'!E:E,'FL5_POR_包裝對照表 (Mapping Table)'!D:D,"",0,1))</f>
        <v/>
      </c>
      <c r="H211" s="893" t="str">
        <f t="array" ref="H211">if(isblank(F211),"",xlookup(F211,'FL5_POR_包裝對照表 (Mapping Table)'!E:E,'FL5_POR_包裝對照表 (Mapping Table)'!E:E,"",0,1))</f>
        <v/>
      </c>
      <c r="I211" s="677" t="str">
        <f t="array" ref="I211">if(isblank(F211),"",xlookup(F211,'FL5_POR_包裝對照表 (Mapping Table)'!E:E,'FL5_POR_包裝對照表 (Mapping Table)'!AN:AN,"",0,1))</f>
        <v/>
      </c>
      <c r="J211" s="894" t="str">
        <f t="array" ref="J211">if(isblank(F211),"",xlookup(G211,z_Others!$B$5:$B$17,z_Others!$C$5:$C$17,"",0,1))</f>
        <v/>
      </c>
      <c r="K211" s="894" t="str">
        <f t="array" ref="K211">if(isblank(F211),"",xlookup(G211,z_Others!$B$5:$B$17,z_Others!$E$5:$E$17,"",0,1))</f>
        <v/>
      </c>
      <c r="L211" s="894" t="str">
        <f t="array" ref="L211">if(isblank(F211),"",xlookup(G211,z_Others!$B$5:$B$17,z_Others!$F$5:$F$17,"",0,1))</f>
        <v/>
      </c>
      <c r="M211" s="894" t="str">
        <f t="shared" si="3"/>
        <v/>
      </c>
      <c r="N211" s="894" t="str">
        <f t="shared" si="4"/>
        <v/>
      </c>
      <c r="O211" s="882" t="str">
        <f t="array" ref="O211">if(isblank(F211),"",xlookup(F211,'FL5_POR_包裝對照表 (Mapping Table)'!E:E,'FL5_POR_包裝對照表 (Mapping Table)'!L:L,"",0,1))</f>
        <v/>
      </c>
      <c r="P211" s="909" t="str">
        <f t="array" ref="P211">if(isblank(F211),"",xlookup(G211,z_Others!$B$5:$B$17,z_Others!$J$5:$J$17,"",0,1))</f>
        <v/>
      </c>
      <c r="Q211" s="899" t="str">
        <f t="array" ref="Q211">if(isblank(F211),"",xlookup(F211,'FL5_POR_核價 (經管 &amp; BPM)'!E:E,'FL5_POR_核價 (經管 &amp; BPM)'!O:O,"",0,1))</f>
        <v/>
      </c>
      <c r="R211" s="894" t="str">
        <f t="shared" si="5"/>
        <v/>
      </c>
      <c r="S211" s="894" t="str">
        <f t="array" ref="S211">if(isblank(F211),"",xlookup(G211,z_Others!$B$5:$B$17,z_Others!$K$5:$K$17,"",0,1))</f>
        <v/>
      </c>
      <c r="T211" s="894" t="str">
        <f t="shared" si="19"/>
        <v/>
      </c>
      <c r="U211" s="898" t="str">
        <f t="array" ref="U211">if(isblank(F211),"",xlookup(G211,z_Others!$B$5:$B$17,z_Others!$G$5:$G$17,"",0,1))</f>
        <v/>
      </c>
      <c r="V211" s="231" t="str">
        <f t="array" ref="V211">if(isblank(F211),"",xlookup(F211,'FL5_POR_包裝對照表 (Mapping Table)'!E:E,'FL5_POR_包裝對照表 (Mapping Table)'!AB:AB,"",0,1))</f>
        <v/>
      </c>
      <c r="W211" s="899" t="str">
        <f t="array" ref="W211">if(isblank(F211),"",xlookup(G211,z_Others!$B$5:$B$17,z_Others!$I$5:$I$17,"",0,1))</f>
        <v/>
      </c>
      <c r="X211" s="894" t="str">
        <f t="shared" si="7"/>
        <v/>
      </c>
      <c r="Y211" s="894" t="str">
        <f t="shared" si="8"/>
        <v/>
      </c>
      <c r="Z211" s="900" t="str">
        <f t="shared" si="9"/>
        <v/>
      </c>
      <c r="AA211" s="900" t="str">
        <f t="shared" si="10"/>
        <v/>
      </c>
      <c r="AB211" s="878" t="str">
        <f t="array" ref="AB211">if(isblank(F211),"",xlookup(AJ211,z_Others!$M$5:$M$9,z_Others!$Q$5:$Q$9,"",0,1))</f>
        <v/>
      </c>
      <c r="AC211" s="900" t="str">
        <f t="shared" si="11"/>
        <v/>
      </c>
      <c r="AD211" s="894" t="str">
        <f t="array" ref="AD211">if(isblank(F211),"",xlookup(G211,z_Others!$B$5:$B$14,z_Others!$H$5:$H$14,"",0,1))</f>
        <v/>
      </c>
      <c r="AE211" s="901" t="str">
        <f t="shared" si="12"/>
        <v/>
      </c>
      <c r="AF211" s="791"/>
      <c r="AG211" s="791" t="str">
        <f t="shared" si="21"/>
        <v/>
      </c>
      <c r="AH211" s="787"/>
      <c r="AI211" s="787"/>
      <c r="AJ211" s="677" t="str">
        <f t="array" ref="AJ211">if(isblank(F211),"",xlookup(F211,'FL5_POR_包裝對照表 (Mapping Table)'!E:E,'FL5_POR_包裝對照表 (Mapping Table)'!AS:AS,"",0,1))</f>
        <v/>
      </c>
      <c r="AK211" s="677" t="str">
        <f t="array" ref="AK211">if(isblank(F211),"",xlookup(F211,'FL5_POR_包裝對照表 (Mapping Table)'!E:E,'FL5_POR_包裝對照表 (Mapping Table)'!K:K,"",0,1))</f>
        <v/>
      </c>
      <c r="AL211" s="677"/>
      <c r="AM211" s="813"/>
      <c r="AN211" s="908"/>
      <c r="AO211" s="813"/>
      <c r="AP211" s="813"/>
    </row>
    <row r="212" ht="18.0" customHeight="1">
      <c r="A212" s="910"/>
      <c r="B212" s="908"/>
      <c r="C212" s="891" t="str">
        <f>if(isblank(F212),"",'FL5_POR_包裝對照表 (Mapping Table)'!$E$4)</f>
        <v/>
      </c>
      <c r="D212" s="878" t="str">
        <f t="array" ref="D212">if(isblank(F212),"",xlookup(F212,'FL5_POR_包裝對照表 (Mapping Table)'!E:E,'FL5_POR_包裝對照表 (Mapping Table)'!AZ:AZ,"",0,1))</f>
        <v/>
      </c>
      <c r="E212" s="677" t="str">
        <f t="shared" si="2"/>
        <v/>
      </c>
      <c r="F212" s="879"/>
      <c r="G212" s="892" t="str">
        <f t="array" ref="G212">if(isblank(F212),"",xlookup(F212,'FL5_POR_包裝對照表 (Mapping Table)'!E:E,'FL5_POR_包裝對照表 (Mapping Table)'!D:D,"",0,1))</f>
        <v/>
      </c>
      <c r="H212" s="893" t="str">
        <f t="array" ref="H212">if(isblank(F212),"",xlookup(F212,'FL5_POR_包裝對照表 (Mapping Table)'!E:E,'FL5_POR_包裝對照表 (Mapping Table)'!E:E,"",0,1))</f>
        <v/>
      </c>
      <c r="I212" s="677" t="str">
        <f t="array" ref="I212">if(isblank(F212),"",xlookup(F212,'FL5_POR_包裝對照表 (Mapping Table)'!E:E,'FL5_POR_包裝對照表 (Mapping Table)'!AN:AN,"",0,1))</f>
        <v/>
      </c>
      <c r="J212" s="894" t="str">
        <f t="array" ref="J212">if(isblank(F212),"",xlookup(G212,z_Others!$B$5:$B$17,z_Others!$C$5:$C$17,"",0,1))</f>
        <v/>
      </c>
      <c r="K212" s="894" t="str">
        <f t="array" ref="K212">if(isblank(F212),"",xlookup(G212,z_Others!$B$5:$B$17,z_Others!$E$5:$E$17,"",0,1))</f>
        <v/>
      </c>
      <c r="L212" s="894" t="str">
        <f t="array" ref="L212">if(isblank(F212),"",xlookup(G212,z_Others!$B$5:$B$17,z_Others!$F$5:$F$17,"",0,1))</f>
        <v/>
      </c>
      <c r="M212" s="894" t="str">
        <f t="shared" si="3"/>
        <v/>
      </c>
      <c r="N212" s="894" t="str">
        <f t="shared" si="4"/>
        <v/>
      </c>
      <c r="O212" s="882" t="str">
        <f t="array" ref="O212">if(isblank(F212),"",xlookup(F212,'FL5_POR_包裝對照表 (Mapping Table)'!E:E,'FL5_POR_包裝對照表 (Mapping Table)'!L:L,"",0,1))</f>
        <v/>
      </c>
      <c r="P212" s="909" t="str">
        <f t="array" ref="P212">if(isblank(F212),"",xlookup(G212,z_Others!$B$5:$B$17,z_Others!$J$5:$J$17,"",0,1))</f>
        <v/>
      </c>
      <c r="Q212" s="899" t="str">
        <f t="array" ref="Q212">if(isblank(F212),"",xlookup(F212,'FL5_POR_核價 (經管 &amp; BPM)'!E:E,'FL5_POR_核價 (經管 &amp; BPM)'!O:O,"",0,1))</f>
        <v/>
      </c>
      <c r="R212" s="894" t="str">
        <f t="shared" si="5"/>
        <v/>
      </c>
      <c r="S212" s="894" t="str">
        <f t="array" ref="S212">if(isblank(F212),"",xlookup(G212,z_Others!$B$5:$B$17,z_Others!$K$5:$K$17,"",0,1))</f>
        <v/>
      </c>
      <c r="T212" s="894" t="str">
        <f t="shared" si="19"/>
        <v/>
      </c>
      <c r="U212" s="898" t="str">
        <f t="array" ref="U212">if(isblank(F212),"",xlookup(G212,z_Others!$B$5:$B$17,z_Others!$G$5:$G$17,"",0,1))</f>
        <v/>
      </c>
      <c r="V212" s="231" t="str">
        <f t="array" ref="V212">if(isblank(F212),"",xlookup(F212,'FL5_POR_包裝對照表 (Mapping Table)'!E:E,'FL5_POR_包裝對照表 (Mapping Table)'!AB:AB,"",0,1))</f>
        <v/>
      </c>
      <c r="W212" s="899" t="str">
        <f t="array" ref="W212">if(isblank(F212),"",xlookup(G212,z_Others!$B$5:$B$17,z_Others!$I$5:$I$17,"",0,1))</f>
        <v/>
      </c>
      <c r="X212" s="894" t="str">
        <f t="shared" si="7"/>
        <v/>
      </c>
      <c r="Y212" s="894" t="str">
        <f t="shared" si="8"/>
        <v/>
      </c>
      <c r="Z212" s="900" t="str">
        <f t="shared" si="9"/>
        <v/>
      </c>
      <c r="AA212" s="900" t="str">
        <f t="shared" si="10"/>
        <v/>
      </c>
      <c r="AB212" s="878" t="str">
        <f t="array" ref="AB212">if(isblank(F212),"",xlookup(AJ212,z_Others!$M$5:$M$9,z_Others!$Q$5:$Q$9,"",0,1))</f>
        <v/>
      </c>
      <c r="AC212" s="900" t="str">
        <f t="shared" si="11"/>
        <v/>
      </c>
      <c r="AD212" s="894" t="str">
        <f t="array" ref="AD212">if(isblank(F212),"",xlookup(G212,z_Others!$B$5:$B$14,z_Others!$H$5:$H$14,"",0,1))</f>
        <v/>
      </c>
      <c r="AE212" s="901" t="str">
        <f t="shared" si="12"/>
        <v/>
      </c>
      <c r="AF212" s="791"/>
      <c r="AG212" s="791" t="str">
        <f t="shared" si="21"/>
        <v/>
      </c>
      <c r="AH212" s="787"/>
      <c r="AI212" s="787"/>
      <c r="AJ212" s="677" t="str">
        <f t="array" ref="AJ212">if(isblank(F212),"",xlookup(F212,'FL5_POR_包裝對照表 (Mapping Table)'!E:E,'FL5_POR_包裝對照表 (Mapping Table)'!AS:AS,"",0,1))</f>
        <v/>
      </c>
      <c r="AK212" s="677" t="str">
        <f t="array" ref="AK212">if(isblank(F212),"",xlookup(F212,'FL5_POR_包裝對照表 (Mapping Table)'!E:E,'FL5_POR_包裝對照表 (Mapping Table)'!K:K,"",0,1))</f>
        <v/>
      </c>
      <c r="AL212" s="677"/>
      <c r="AM212" s="813"/>
      <c r="AN212" s="908"/>
      <c r="AO212" s="813"/>
      <c r="AP212" s="813"/>
    </row>
    <row r="213" ht="18.0" customHeight="1">
      <c r="A213" s="910"/>
      <c r="B213" s="908"/>
      <c r="C213" s="891" t="str">
        <f>if(isblank(F213),"",'FL5_POR_包裝對照表 (Mapping Table)'!$E$4)</f>
        <v/>
      </c>
      <c r="D213" s="878" t="str">
        <f t="array" ref="D213">if(isblank(F213),"",xlookup(F213,'FL5_POR_包裝對照表 (Mapping Table)'!E:E,'FL5_POR_包裝對照表 (Mapping Table)'!AZ:AZ,"",0,1))</f>
        <v/>
      </c>
      <c r="E213" s="677" t="str">
        <f t="shared" si="2"/>
        <v/>
      </c>
      <c r="F213" s="879"/>
      <c r="G213" s="892" t="str">
        <f t="array" ref="G213">if(isblank(F213),"",xlookup(F213,'FL5_POR_包裝對照表 (Mapping Table)'!E:E,'FL5_POR_包裝對照表 (Mapping Table)'!D:D,"",0,1))</f>
        <v/>
      </c>
      <c r="H213" s="893" t="str">
        <f t="array" ref="H213">if(isblank(F213),"",xlookup(F213,'FL5_POR_包裝對照表 (Mapping Table)'!E:E,'FL5_POR_包裝對照表 (Mapping Table)'!E:E,"",0,1))</f>
        <v/>
      </c>
      <c r="I213" s="677" t="str">
        <f t="array" ref="I213">if(isblank(F213),"",xlookup(F213,'FL5_POR_包裝對照表 (Mapping Table)'!E:E,'FL5_POR_包裝對照表 (Mapping Table)'!AN:AN,"",0,1))</f>
        <v/>
      </c>
      <c r="J213" s="894" t="str">
        <f t="array" ref="J213">if(isblank(F213),"",xlookup(G213,z_Others!$B$5:$B$17,z_Others!$C$5:$C$17,"",0,1))</f>
        <v/>
      </c>
      <c r="K213" s="894" t="str">
        <f t="array" ref="K213">if(isblank(F213),"",xlookup(G213,z_Others!$B$5:$B$17,z_Others!$E$5:$E$17,"",0,1))</f>
        <v/>
      </c>
      <c r="L213" s="894" t="str">
        <f t="array" ref="L213">if(isblank(F213),"",xlookup(G213,z_Others!$B$5:$B$17,z_Others!$F$5:$F$17,"",0,1))</f>
        <v/>
      </c>
      <c r="M213" s="894" t="str">
        <f t="shared" si="3"/>
        <v/>
      </c>
      <c r="N213" s="894" t="str">
        <f t="shared" si="4"/>
        <v/>
      </c>
      <c r="O213" s="882" t="str">
        <f t="array" ref="O213">if(isblank(F213),"",xlookup(F213,'FL5_POR_包裝對照表 (Mapping Table)'!E:E,'FL5_POR_包裝對照表 (Mapping Table)'!L:L,"",0,1))</f>
        <v/>
      </c>
      <c r="P213" s="909" t="str">
        <f t="array" ref="P213">if(isblank(F213),"",xlookup(G213,z_Others!$B$5:$B$17,z_Others!$J$5:$J$17,"",0,1))</f>
        <v/>
      </c>
      <c r="Q213" s="899" t="str">
        <f t="array" ref="Q213">if(isblank(F213),"",xlookup(F213,'FL5_POR_核價 (經管 &amp; BPM)'!E:E,'FL5_POR_核價 (經管 &amp; BPM)'!O:O,"",0,1))</f>
        <v/>
      </c>
      <c r="R213" s="894" t="str">
        <f t="shared" si="5"/>
        <v/>
      </c>
      <c r="S213" s="894" t="str">
        <f t="array" ref="S213">if(isblank(F213),"",xlookup(G213,z_Others!$B$5:$B$17,z_Others!$K$5:$K$17,"",0,1))</f>
        <v/>
      </c>
      <c r="T213" s="894" t="str">
        <f t="shared" si="19"/>
        <v/>
      </c>
      <c r="U213" s="898" t="str">
        <f t="array" ref="U213">if(isblank(F213),"",xlookup(G213,z_Others!$B$5:$B$17,z_Others!$G$5:$G$17,"",0,1))</f>
        <v/>
      </c>
      <c r="V213" s="231" t="str">
        <f t="array" ref="V213">if(isblank(F213),"",xlookup(F213,'FL5_POR_包裝對照表 (Mapping Table)'!E:E,'FL5_POR_包裝對照表 (Mapping Table)'!AB:AB,"",0,1))</f>
        <v/>
      </c>
      <c r="W213" s="899" t="str">
        <f t="array" ref="W213">if(isblank(F213),"",xlookup(G213,z_Others!$B$5:$B$17,z_Others!$I$5:$I$17,"",0,1))</f>
        <v/>
      </c>
      <c r="X213" s="894" t="str">
        <f t="shared" si="7"/>
        <v/>
      </c>
      <c r="Y213" s="894" t="str">
        <f t="shared" si="8"/>
        <v/>
      </c>
      <c r="Z213" s="900" t="str">
        <f t="shared" si="9"/>
        <v/>
      </c>
      <c r="AA213" s="900" t="str">
        <f t="shared" si="10"/>
        <v/>
      </c>
      <c r="AB213" s="878" t="str">
        <f t="array" ref="AB213">if(isblank(F213),"",xlookup(AJ213,z_Others!$M$5:$M$9,z_Others!$Q$5:$Q$9,"",0,1))</f>
        <v/>
      </c>
      <c r="AC213" s="900" t="str">
        <f t="shared" si="11"/>
        <v/>
      </c>
      <c r="AD213" s="894" t="str">
        <f t="array" ref="AD213">if(isblank(F213),"",xlookup(G213,z_Others!$B$5:$B$14,z_Others!$H$5:$H$14,"",0,1))</f>
        <v/>
      </c>
      <c r="AE213" s="901" t="str">
        <f t="shared" si="12"/>
        <v/>
      </c>
      <c r="AF213" s="791"/>
      <c r="AG213" s="791" t="str">
        <f t="shared" si="21"/>
        <v/>
      </c>
      <c r="AH213" s="787"/>
      <c r="AI213" s="787"/>
      <c r="AJ213" s="677" t="str">
        <f t="array" ref="AJ213">if(isblank(F213),"",xlookup(F213,'FL5_POR_包裝對照表 (Mapping Table)'!E:E,'FL5_POR_包裝對照表 (Mapping Table)'!AS:AS,"",0,1))</f>
        <v/>
      </c>
      <c r="AK213" s="677" t="str">
        <f t="array" ref="AK213">if(isblank(F213),"",xlookup(F213,'FL5_POR_包裝對照表 (Mapping Table)'!E:E,'FL5_POR_包裝對照表 (Mapping Table)'!K:K,"",0,1))</f>
        <v/>
      </c>
      <c r="AL213" s="677"/>
      <c r="AM213" s="813"/>
      <c r="AN213" s="908"/>
      <c r="AO213" s="813"/>
      <c r="AP213" s="813"/>
    </row>
    <row r="214" ht="18.0" customHeight="1">
      <c r="A214" s="910"/>
      <c r="B214" s="908"/>
      <c r="C214" s="891" t="str">
        <f>if(isblank(F214),"",'FL5_POR_包裝對照表 (Mapping Table)'!$E$4)</f>
        <v/>
      </c>
      <c r="D214" s="878" t="str">
        <f t="array" ref="D214">if(isblank(F214),"",xlookup(F214,'FL5_POR_包裝對照表 (Mapping Table)'!E:E,'FL5_POR_包裝對照表 (Mapping Table)'!AZ:AZ,"",0,1))</f>
        <v/>
      </c>
      <c r="E214" s="677" t="str">
        <f t="shared" si="2"/>
        <v/>
      </c>
      <c r="F214" s="879"/>
      <c r="G214" s="892" t="str">
        <f t="array" ref="G214">if(isblank(F214),"",xlookup(F214,'FL5_POR_包裝對照表 (Mapping Table)'!E:E,'FL5_POR_包裝對照表 (Mapping Table)'!D:D,"",0,1))</f>
        <v/>
      </c>
      <c r="H214" s="893" t="str">
        <f t="array" ref="H214">if(isblank(F214),"",xlookup(F214,'FL5_POR_包裝對照表 (Mapping Table)'!E:E,'FL5_POR_包裝對照表 (Mapping Table)'!E:E,"",0,1))</f>
        <v/>
      </c>
      <c r="I214" s="677" t="str">
        <f t="array" ref="I214">if(isblank(F214),"",xlookup(F214,'FL5_POR_包裝對照表 (Mapping Table)'!E:E,'FL5_POR_包裝對照表 (Mapping Table)'!AN:AN,"",0,1))</f>
        <v/>
      </c>
      <c r="J214" s="894" t="str">
        <f t="array" ref="J214">if(isblank(F214),"",xlookup(G214,z_Others!$B$5:$B$17,z_Others!$C$5:$C$17,"",0,1))</f>
        <v/>
      </c>
      <c r="K214" s="894" t="str">
        <f t="array" ref="K214">if(isblank(F214),"",xlookup(G214,z_Others!$B$5:$B$17,z_Others!$E$5:$E$17,"",0,1))</f>
        <v/>
      </c>
      <c r="L214" s="894" t="str">
        <f t="array" ref="L214">if(isblank(F214),"",xlookup(G214,z_Others!$B$5:$B$17,z_Others!$F$5:$F$17,"",0,1))</f>
        <v/>
      </c>
      <c r="M214" s="894" t="str">
        <f t="shared" si="3"/>
        <v/>
      </c>
      <c r="N214" s="894" t="str">
        <f t="shared" si="4"/>
        <v/>
      </c>
      <c r="O214" s="882" t="str">
        <f t="array" ref="O214">if(isblank(F214),"",xlookup(F214,'FL5_POR_包裝對照表 (Mapping Table)'!E:E,'FL5_POR_包裝對照表 (Mapping Table)'!L:L,"",0,1))</f>
        <v/>
      </c>
      <c r="P214" s="909" t="str">
        <f t="array" ref="P214">if(isblank(F214),"",xlookup(G214,z_Others!$B$5:$B$17,z_Others!$J$5:$J$17,"",0,1))</f>
        <v/>
      </c>
      <c r="Q214" s="899" t="str">
        <f t="array" ref="Q214">if(isblank(F214),"",xlookup(F214,'FL5_POR_核價 (經管 &amp; BPM)'!E:E,'FL5_POR_核價 (經管 &amp; BPM)'!O:O,"",0,1))</f>
        <v/>
      </c>
      <c r="R214" s="894" t="str">
        <f t="shared" si="5"/>
        <v/>
      </c>
      <c r="S214" s="894" t="str">
        <f t="array" ref="S214">if(isblank(F214),"",xlookup(G214,z_Others!$B$5:$B$17,z_Others!$K$5:$K$17,"",0,1))</f>
        <v/>
      </c>
      <c r="T214" s="894" t="str">
        <f t="shared" si="19"/>
        <v/>
      </c>
      <c r="U214" s="898" t="str">
        <f t="array" ref="U214">if(isblank(F214),"",xlookup(G214,z_Others!$B$5:$B$17,z_Others!$G$5:$G$17,"",0,1))</f>
        <v/>
      </c>
      <c r="V214" s="231" t="str">
        <f t="array" ref="V214">if(isblank(F214),"",xlookup(F214,'FL5_POR_包裝對照表 (Mapping Table)'!E:E,'FL5_POR_包裝對照表 (Mapping Table)'!AB:AB,"",0,1))</f>
        <v/>
      </c>
      <c r="W214" s="899" t="str">
        <f t="array" ref="W214">if(isblank(F214),"",xlookup(G214,z_Others!$B$5:$B$17,z_Others!$I$5:$I$17,"",0,1))</f>
        <v/>
      </c>
      <c r="X214" s="894" t="str">
        <f t="shared" si="7"/>
        <v/>
      </c>
      <c r="Y214" s="894" t="str">
        <f t="shared" si="8"/>
        <v/>
      </c>
      <c r="Z214" s="900" t="str">
        <f t="shared" si="9"/>
        <v/>
      </c>
      <c r="AA214" s="900" t="str">
        <f t="shared" si="10"/>
        <v/>
      </c>
      <c r="AB214" s="878" t="str">
        <f t="array" ref="AB214">if(isblank(F214),"",xlookup(AJ214,z_Others!$M$5:$M$9,z_Others!$Q$5:$Q$9,"",0,1))</f>
        <v/>
      </c>
      <c r="AC214" s="900" t="str">
        <f t="shared" si="11"/>
        <v/>
      </c>
      <c r="AD214" s="894" t="str">
        <f t="array" ref="AD214">if(isblank(F214),"",xlookup(G214,z_Others!$B$5:$B$14,z_Others!$H$5:$H$14,"",0,1))</f>
        <v/>
      </c>
      <c r="AE214" s="901" t="str">
        <f t="shared" si="12"/>
        <v/>
      </c>
      <c r="AF214" s="791"/>
      <c r="AG214" s="791" t="str">
        <f t="shared" si="21"/>
        <v/>
      </c>
      <c r="AH214" s="787"/>
      <c r="AI214" s="787"/>
      <c r="AJ214" s="677" t="str">
        <f t="array" ref="AJ214">if(isblank(F214),"",xlookup(F214,'FL5_POR_包裝對照表 (Mapping Table)'!E:E,'FL5_POR_包裝對照表 (Mapping Table)'!AS:AS,"",0,1))</f>
        <v/>
      </c>
      <c r="AK214" s="677" t="str">
        <f t="array" ref="AK214">if(isblank(F214),"",xlookup(F214,'FL5_POR_包裝對照表 (Mapping Table)'!E:E,'FL5_POR_包裝對照表 (Mapping Table)'!K:K,"",0,1))</f>
        <v/>
      </c>
      <c r="AL214" s="677"/>
      <c r="AM214" s="813"/>
      <c r="AN214" s="908"/>
      <c r="AO214" s="813"/>
      <c r="AP214" s="813"/>
    </row>
    <row r="215" ht="18.0" customHeight="1">
      <c r="A215" s="910"/>
      <c r="B215" s="908"/>
      <c r="C215" s="891" t="str">
        <f>if(isblank(F215),"",'FL5_POR_包裝對照表 (Mapping Table)'!$E$4)</f>
        <v/>
      </c>
      <c r="D215" s="878" t="str">
        <f t="array" ref="D215">if(isblank(F215),"",xlookup(F215,'FL5_POR_包裝對照表 (Mapping Table)'!E:E,'FL5_POR_包裝對照表 (Mapping Table)'!AZ:AZ,"",0,1))</f>
        <v/>
      </c>
      <c r="E215" s="677" t="str">
        <f t="shared" si="2"/>
        <v/>
      </c>
      <c r="F215" s="879"/>
      <c r="G215" s="892" t="str">
        <f t="array" ref="G215">if(isblank(F215),"",xlookup(F215,'FL5_POR_包裝對照表 (Mapping Table)'!E:E,'FL5_POR_包裝對照表 (Mapping Table)'!D:D,"",0,1))</f>
        <v/>
      </c>
      <c r="H215" s="893" t="str">
        <f t="array" ref="H215">if(isblank(F215),"",xlookup(F215,'FL5_POR_包裝對照表 (Mapping Table)'!E:E,'FL5_POR_包裝對照表 (Mapping Table)'!E:E,"",0,1))</f>
        <v/>
      </c>
      <c r="I215" s="677" t="str">
        <f t="array" ref="I215">if(isblank(F215),"",xlookup(F215,'FL5_POR_包裝對照表 (Mapping Table)'!E:E,'FL5_POR_包裝對照表 (Mapping Table)'!AN:AN,"",0,1))</f>
        <v/>
      </c>
      <c r="J215" s="894" t="str">
        <f t="array" ref="J215">if(isblank(F215),"",xlookup(G215,z_Others!$B$5:$B$17,z_Others!$C$5:$C$17,"",0,1))</f>
        <v/>
      </c>
      <c r="K215" s="894" t="str">
        <f t="array" ref="K215">if(isblank(F215),"",xlookup(G215,z_Others!$B$5:$B$17,z_Others!$E$5:$E$17,"",0,1))</f>
        <v/>
      </c>
      <c r="L215" s="894" t="str">
        <f t="array" ref="L215">if(isblank(F215),"",xlookup(G215,z_Others!$B$5:$B$17,z_Others!$F$5:$F$17,"",0,1))</f>
        <v/>
      </c>
      <c r="M215" s="894" t="str">
        <f t="shared" si="3"/>
        <v/>
      </c>
      <c r="N215" s="894" t="str">
        <f t="shared" si="4"/>
        <v/>
      </c>
      <c r="O215" s="882" t="str">
        <f t="array" ref="O215">if(isblank(F215),"",xlookup(F215,'FL5_POR_包裝對照表 (Mapping Table)'!E:E,'FL5_POR_包裝對照表 (Mapping Table)'!L:L,"",0,1))</f>
        <v/>
      </c>
      <c r="P215" s="909" t="str">
        <f t="array" ref="P215">if(isblank(F215),"",xlookup(G215,z_Others!$B$5:$B$17,z_Others!$J$5:$J$17,"",0,1))</f>
        <v/>
      </c>
      <c r="Q215" s="899" t="str">
        <f t="array" ref="Q215">if(isblank(F215),"",xlookup(F215,'FL5_POR_核價 (經管 &amp; BPM)'!E:E,'FL5_POR_核價 (經管 &amp; BPM)'!O:O,"",0,1))</f>
        <v/>
      </c>
      <c r="R215" s="894" t="str">
        <f t="shared" si="5"/>
        <v/>
      </c>
      <c r="S215" s="894" t="str">
        <f t="array" ref="S215">if(isblank(F215),"",xlookup(G215,z_Others!$B$5:$B$17,z_Others!$K$5:$K$17,"",0,1))</f>
        <v/>
      </c>
      <c r="T215" s="894" t="str">
        <f t="shared" si="19"/>
        <v/>
      </c>
      <c r="U215" s="898" t="str">
        <f t="array" ref="U215">if(isblank(F215),"",xlookup(G215,z_Others!$B$5:$B$17,z_Others!$G$5:$G$17,"",0,1))</f>
        <v/>
      </c>
      <c r="V215" s="231" t="str">
        <f t="array" ref="V215">if(isblank(F215),"",xlookup(F215,'FL5_POR_包裝對照表 (Mapping Table)'!E:E,'FL5_POR_包裝對照表 (Mapping Table)'!AB:AB,"",0,1))</f>
        <v/>
      </c>
      <c r="W215" s="899" t="str">
        <f t="array" ref="W215">if(isblank(F215),"",xlookup(G215,z_Others!$B$5:$B$17,z_Others!$I$5:$I$17,"",0,1))</f>
        <v/>
      </c>
      <c r="X215" s="894" t="str">
        <f t="shared" si="7"/>
        <v/>
      </c>
      <c r="Y215" s="894" t="str">
        <f t="shared" si="8"/>
        <v/>
      </c>
      <c r="Z215" s="900" t="str">
        <f t="shared" si="9"/>
        <v/>
      </c>
      <c r="AA215" s="900" t="str">
        <f t="shared" si="10"/>
        <v/>
      </c>
      <c r="AB215" s="878" t="str">
        <f t="array" ref="AB215">if(isblank(F215),"",xlookup(AJ215,z_Others!$M$5:$M$9,z_Others!$Q$5:$Q$9,"",0,1))</f>
        <v/>
      </c>
      <c r="AC215" s="900" t="str">
        <f t="shared" si="11"/>
        <v/>
      </c>
      <c r="AD215" s="894" t="str">
        <f t="array" ref="AD215">if(isblank(F215),"",xlookup(G215,z_Others!$B$5:$B$14,z_Others!$H$5:$H$14,"",0,1))</f>
        <v/>
      </c>
      <c r="AE215" s="901" t="str">
        <f t="shared" si="12"/>
        <v/>
      </c>
      <c r="AF215" s="791"/>
      <c r="AG215" s="791" t="str">
        <f t="shared" si="21"/>
        <v/>
      </c>
      <c r="AH215" s="787"/>
      <c r="AI215" s="787"/>
      <c r="AJ215" s="677" t="str">
        <f t="array" ref="AJ215">if(isblank(F215),"",xlookup(F215,'FL5_POR_包裝對照表 (Mapping Table)'!E:E,'FL5_POR_包裝對照表 (Mapping Table)'!AS:AS,"",0,1))</f>
        <v/>
      </c>
      <c r="AK215" s="677" t="str">
        <f t="array" ref="AK215">if(isblank(F215),"",xlookup(F215,'FL5_POR_包裝對照表 (Mapping Table)'!E:E,'FL5_POR_包裝對照表 (Mapping Table)'!K:K,"",0,1))</f>
        <v/>
      </c>
      <c r="AL215" s="677"/>
      <c r="AM215" s="813"/>
      <c r="AN215" s="908"/>
      <c r="AO215" s="813"/>
      <c r="AP215" s="813"/>
    </row>
    <row r="216" ht="18.0" customHeight="1">
      <c r="A216" s="910"/>
      <c r="B216" s="908"/>
      <c r="C216" s="891" t="str">
        <f>if(isblank(F216),"",'FL5_POR_包裝對照表 (Mapping Table)'!$E$4)</f>
        <v/>
      </c>
      <c r="D216" s="878" t="str">
        <f t="array" ref="D216">if(isblank(F216),"",xlookup(F216,'FL5_POR_包裝對照表 (Mapping Table)'!E:E,'FL5_POR_包裝對照表 (Mapping Table)'!AZ:AZ,"",0,1))</f>
        <v/>
      </c>
      <c r="E216" s="677" t="str">
        <f t="shared" si="2"/>
        <v/>
      </c>
      <c r="F216" s="879"/>
      <c r="G216" s="892" t="str">
        <f t="array" ref="G216">if(isblank(F216),"",xlookup(F216,'FL5_POR_包裝對照表 (Mapping Table)'!E:E,'FL5_POR_包裝對照表 (Mapping Table)'!D:D,"",0,1))</f>
        <v/>
      </c>
      <c r="H216" s="893" t="str">
        <f t="array" ref="H216">if(isblank(F216),"",xlookup(F216,'FL5_POR_包裝對照表 (Mapping Table)'!E:E,'FL5_POR_包裝對照表 (Mapping Table)'!E:E,"",0,1))</f>
        <v/>
      </c>
      <c r="I216" s="677" t="str">
        <f t="array" ref="I216">if(isblank(F216),"",xlookup(F216,'FL5_POR_包裝對照表 (Mapping Table)'!E:E,'FL5_POR_包裝對照表 (Mapping Table)'!AN:AN,"",0,1))</f>
        <v/>
      </c>
      <c r="J216" s="894" t="str">
        <f t="array" ref="J216">if(isblank(F216),"",xlookup(G216,z_Others!$B$5:$B$17,z_Others!$C$5:$C$17,"",0,1))</f>
        <v/>
      </c>
      <c r="K216" s="894" t="str">
        <f t="array" ref="K216">if(isblank(F216),"",xlookup(G216,z_Others!$B$5:$B$17,z_Others!$E$5:$E$17,"",0,1))</f>
        <v/>
      </c>
      <c r="L216" s="894" t="str">
        <f t="array" ref="L216">if(isblank(F216),"",xlookup(G216,z_Others!$B$5:$B$17,z_Others!$F$5:$F$17,"",0,1))</f>
        <v/>
      </c>
      <c r="M216" s="894" t="str">
        <f t="shared" si="3"/>
        <v/>
      </c>
      <c r="N216" s="894" t="str">
        <f t="shared" si="4"/>
        <v/>
      </c>
      <c r="O216" s="882" t="str">
        <f t="array" ref="O216">if(isblank(F216),"",xlookup(F216,'FL5_POR_包裝對照表 (Mapping Table)'!E:E,'FL5_POR_包裝對照表 (Mapping Table)'!L:L,"",0,1))</f>
        <v/>
      </c>
      <c r="P216" s="909" t="str">
        <f t="array" ref="P216">if(isblank(F216),"",xlookup(G216,z_Others!$B$5:$B$17,z_Others!$J$5:$J$17,"",0,1))</f>
        <v/>
      </c>
      <c r="Q216" s="899" t="str">
        <f t="array" ref="Q216">if(isblank(F216),"",xlookup(F216,'FL5_POR_核價 (經管 &amp; BPM)'!E:E,'FL5_POR_核價 (經管 &amp; BPM)'!O:O,"",0,1))</f>
        <v/>
      </c>
      <c r="R216" s="894" t="str">
        <f t="shared" si="5"/>
        <v/>
      </c>
      <c r="S216" s="894" t="str">
        <f t="array" ref="S216">if(isblank(F216),"",xlookup(G216,z_Others!$B$5:$B$17,z_Others!$K$5:$K$17,"",0,1))</f>
        <v/>
      </c>
      <c r="T216" s="894" t="str">
        <f t="shared" si="19"/>
        <v/>
      </c>
      <c r="U216" s="898" t="str">
        <f t="array" ref="U216">if(isblank(F216),"",xlookup(G216,z_Others!$B$5:$B$17,z_Others!$G$5:$G$17,"",0,1))</f>
        <v/>
      </c>
      <c r="V216" s="231" t="str">
        <f t="array" ref="V216">if(isblank(F216),"",xlookup(F216,'FL5_POR_包裝對照表 (Mapping Table)'!E:E,'FL5_POR_包裝對照表 (Mapping Table)'!AB:AB,"",0,1))</f>
        <v/>
      </c>
      <c r="W216" s="899" t="str">
        <f t="array" ref="W216">if(isblank(F216),"",xlookup(G216,z_Others!$B$5:$B$17,z_Others!$I$5:$I$17,"",0,1))</f>
        <v/>
      </c>
      <c r="X216" s="894" t="str">
        <f t="shared" si="7"/>
        <v/>
      </c>
      <c r="Y216" s="894" t="str">
        <f t="shared" si="8"/>
        <v/>
      </c>
      <c r="Z216" s="900" t="str">
        <f t="shared" si="9"/>
        <v/>
      </c>
      <c r="AA216" s="900" t="str">
        <f t="shared" si="10"/>
        <v/>
      </c>
      <c r="AB216" s="878" t="str">
        <f t="array" ref="AB216">if(isblank(F216),"",xlookup(AJ216,z_Others!$M$5:$M$9,z_Others!$Q$5:$Q$9,"",0,1))</f>
        <v/>
      </c>
      <c r="AC216" s="900" t="str">
        <f t="shared" si="11"/>
        <v/>
      </c>
      <c r="AD216" s="894" t="str">
        <f t="array" ref="AD216">if(isblank(F216),"",xlookup(G216,z_Others!$B$5:$B$14,z_Others!$H$5:$H$14,"",0,1))</f>
        <v/>
      </c>
      <c r="AE216" s="901" t="str">
        <f t="shared" si="12"/>
        <v/>
      </c>
      <c r="AF216" s="791"/>
      <c r="AG216" s="791" t="str">
        <f t="shared" si="21"/>
        <v/>
      </c>
      <c r="AH216" s="787"/>
      <c r="AI216" s="787"/>
      <c r="AJ216" s="677" t="str">
        <f t="array" ref="AJ216">if(isblank(F216),"",xlookup(F216,'FL5_POR_包裝對照表 (Mapping Table)'!E:E,'FL5_POR_包裝對照表 (Mapping Table)'!AS:AS,"",0,1))</f>
        <v/>
      </c>
      <c r="AK216" s="677" t="str">
        <f t="array" ref="AK216">if(isblank(F216),"",xlookup(F216,'FL5_POR_包裝對照表 (Mapping Table)'!E:E,'FL5_POR_包裝對照表 (Mapping Table)'!K:K,"",0,1))</f>
        <v/>
      </c>
      <c r="AL216" s="677"/>
      <c r="AM216" s="813"/>
      <c r="AN216" s="908"/>
      <c r="AO216" s="813"/>
      <c r="AP216" s="813"/>
    </row>
    <row r="217" ht="18.0" customHeight="1">
      <c r="A217" s="910"/>
      <c r="B217" s="908"/>
      <c r="C217" s="891" t="str">
        <f>if(isblank(F217),"",'FL5_POR_包裝對照表 (Mapping Table)'!$E$4)</f>
        <v/>
      </c>
      <c r="D217" s="878" t="str">
        <f t="array" ref="D217">if(isblank(F217),"",xlookup(F217,'FL5_POR_包裝對照表 (Mapping Table)'!E:E,'FL5_POR_包裝對照表 (Mapping Table)'!AZ:AZ,"",0,1))</f>
        <v/>
      </c>
      <c r="E217" s="677" t="str">
        <f t="shared" si="2"/>
        <v/>
      </c>
      <c r="F217" s="879"/>
      <c r="G217" s="892" t="str">
        <f t="array" ref="G217">if(isblank(F217),"",xlookup(F217,'FL5_POR_包裝對照表 (Mapping Table)'!E:E,'FL5_POR_包裝對照表 (Mapping Table)'!D:D,"",0,1))</f>
        <v/>
      </c>
      <c r="H217" s="893" t="str">
        <f t="array" ref="H217">if(isblank(F217),"",xlookup(F217,'FL5_POR_包裝對照表 (Mapping Table)'!E:E,'FL5_POR_包裝對照表 (Mapping Table)'!E:E,"",0,1))</f>
        <v/>
      </c>
      <c r="I217" s="677" t="str">
        <f t="array" ref="I217">if(isblank(F217),"",xlookup(F217,'FL5_POR_包裝對照表 (Mapping Table)'!E:E,'FL5_POR_包裝對照表 (Mapping Table)'!AN:AN,"",0,1))</f>
        <v/>
      </c>
      <c r="J217" s="894" t="str">
        <f t="array" ref="J217">if(isblank(F217),"",xlookup(G217,z_Others!$B$5:$B$17,z_Others!$C$5:$C$17,"",0,1))</f>
        <v/>
      </c>
      <c r="K217" s="894" t="str">
        <f t="array" ref="K217">if(isblank(F217),"",xlookup(G217,z_Others!$B$5:$B$17,z_Others!$E$5:$E$17,"",0,1))</f>
        <v/>
      </c>
      <c r="L217" s="894" t="str">
        <f t="array" ref="L217">if(isblank(F217),"",xlookup(G217,z_Others!$B$5:$B$17,z_Others!$F$5:$F$17,"",0,1))</f>
        <v/>
      </c>
      <c r="M217" s="894" t="str">
        <f t="shared" si="3"/>
        <v/>
      </c>
      <c r="N217" s="894" t="str">
        <f t="shared" si="4"/>
        <v/>
      </c>
      <c r="O217" s="882" t="str">
        <f t="array" ref="O217">if(isblank(F217),"",xlookup(F217,'FL5_POR_包裝對照表 (Mapping Table)'!E:E,'FL5_POR_包裝對照表 (Mapping Table)'!L:L,"",0,1))</f>
        <v/>
      </c>
      <c r="P217" s="909" t="str">
        <f t="array" ref="P217">if(isblank(F217),"",xlookup(G217,z_Others!$B$5:$B$17,z_Others!$J$5:$J$17,"",0,1))</f>
        <v/>
      </c>
      <c r="Q217" s="899" t="str">
        <f t="array" ref="Q217">if(isblank(F217),"",xlookup(F217,'FL5_POR_核價 (經管 &amp; BPM)'!E:E,'FL5_POR_核價 (經管 &amp; BPM)'!O:O,"",0,1))</f>
        <v/>
      </c>
      <c r="R217" s="894" t="str">
        <f t="shared" si="5"/>
        <v/>
      </c>
      <c r="S217" s="894" t="str">
        <f t="array" ref="S217">if(isblank(F217),"",xlookup(G217,z_Others!$B$5:$B$17,z_Others!$K$5:$K$17,"",0,1))</f>
        <v/>
      </c>
      <c r="T217" s="894" t="str">
        <f t="shared" si="19"/>
        <v/>
      </c>
      <c r="U217" s="898" t="str">
        <f t="array" ref="U217">if(isblank(F217),"",xlookup(G217,z_Others!$B$5:$B$17,z_Others!$G$5:$G$17,"",0,1))</f>
        <v/>
      </c>
      <c r="V217" s="231" t="str">
        <f t="array" ref="V217">if(isblank(F217),"",xlookup(F217,'FL5_POR_包裝對照表 (Mapping Table)'!E:E,'FL5_POR_包裝對照表 (Mapping Table)'!AB:AB,"",0,1))</f>
        <v/>
      </c>
      <c r="W217" s="899" t="str">
        <f t="array" ref="W217">if(isblank(F217),"",xlookup(G217,z_Others!$B$5:$B$17,z_Others!$I$5:$I$17,"",0,1))</f>
        <v/>
      </c>
      <c r="X217" s="894" t="str">
        <f t="shared" si="7"/>
        <v/>
      </c>
      <c r="Y217" s="894" t="str">
        <f t="shared" si="8"/>
        <v/>
      </c>
      <c r="Z217" s="900" t="str">
        <f t="shared" si="9"/>
        <v/>
      </c>
      <c r="AA217" s="900" t="str">
        <f t="shared" si="10"/>
        <v/>
      </c>
      <c r="AB217" s="878" t="str">
        <f t="array" ref="AB217">if(isblank(F217),"",xlookup(AJ217,z_Others!$M$5:$M$9,z_Others!$Q$5:$Q$9,"",0,1))</f>
        <v/>
      </c>
      <c r="AC217" s="900" t="str">
        <f t="shared" si="11"/>
        <v/>
      </c>
      <c r="AD217" s="894" t="str">
        <f t="array" ref="AD217">if(isblank(F217),"",xlookup(G217,z_Others!$B$5:$B$14,z_Others!$H$5:$H$14,"",0,1))</f>
        <v/>
      </c>
      <c r="AE217" s="901" t="str">
        <f t="shared" si="12"/>
        <v/>
      </c>
      <c r="AF217" s="791"/>
      <c r="AG217" s="791" t="str">
        <f t="shared" si="21"/>
        <v/>
      </c>
      <c r="AH217" s="787"/>
      <c r="AI217" s="787"/>
      <c r="AJ217" s="677" t="str">
        <f t="array" ref="AJ217">if(isblank(F217),"",xlookup(F217,'FL5_POR_包裝對照表 (Mapping Table)'!E:E,'FL5_POR_包裝對照表 (Mapping Table)'!AS:AS,"",0,1))</f>
        <v/>
      </c>
      <c r="AK217" s="677" t="str">
        <f t="array" ref="AK217">if(isblank(F217),"",xlookup(F217,'FL5_POR_包裝對照表 (Mapping Table)'!E:E,'FL5_POR_包裝對照表 (Mapping Table)'!K:K,"",0,1))</f>
        <v/>
      </c>
      <c r="AL217" s="677"/>
      <c r="AM217" s="813"/>
      <c r="AN217" s="908"/>
      <c r="AO217" s="813"/>
      <c r="AP217" s="813"/>
    </row>
    <row r="218" ht="18.0" customHeight="1">
      <c r="A218" s="910"/>
      <c r="B218" s="908"/>
      <c r="C218" s="891" t="str">
        <f>if(isblank(F218),"",'FL5_POR_包裝對照表 (Mapping Table)'!$E$4)</f>
        <v/>
      </c>
      <c r="D218" s="878" t="str">
        <f t="array" ref="D218">if(isblank(F218),"",xlookup(F218,'FL5_POR_包裝對照表 (Mapping Table)'!E:E,'FL5_POR_包裝對照表 (Mapping Table)'!AZ:AZ,"",0,1))</f>
        <v/>
      </c>
      <c r="E218" s="677" t="str">
        <f t="shared" si="2"/>
        <v/>
      </c>
      <c r="F218" s="879"/>
      <c r="G218" s="892" t="str">
        <f t="array" ref="G218">if(isblank(F218),"",xlookup(F218,'FL5_POR_包裝對照表 (Mapping Table)'!E:E,'FL5_POR_包裝對照表 (Mapping Table)'!D:D,"",0,1))</f>
        <v/>
      </c>
      <c r="H218" s="893" t="str">
        <f t="array" ref="H218">if(isblank(F218),"",xlookup(F218,'FL5_POR_包裝對照表 (Mapping Table)'!E:E,'FL5_POR_包裝對照表 (Mapping Table)'!E:E,"",0,1))</f>
        <v/>
      </c>
      <c r="I218" s="677" t="str">
        <f t="array" ref="I218">if(isblank(F218),"",xlookup(F218,'FL5_POR_包裝對照表 (Mapping Table)'!E:E,'FL5_POR_包裝對照表 (Mapping Table)'!AN:AN,"",0,1))</f>
        <v/>
      </c>
      <c r="J218" s="894" t="str">
        <f t="array" ref="J218">if(isblank(F218),"",xlookup(G218,z_Others!$B$5:$B$17,z_Others!$C$5:$C$17,"",0,1))</f>
        <v/>
      </c>
      <c r="K218" s="894" t="str">
        <f t="array" ref="K218">if(isblank(F218),"",xlookup(G218,z_Others!$B$5:$B$17,z_Others!$E$5:$E$17,"",0,1))</f>
        <v/>
      </c>
      <c r="L218" s="894" t="str">
        <f t="array" ref="L218">if(isblank(F218),"",xlookup(G218,z_Others!$B$5:$B$17,z_Others!$F$5:$F$17,"",0,1))</f>
        <v/>
      </c>
      <c r="M218" s="894" t="str">
        <f t="shared" si="3"/>
        <v/>
      </c>
      <c r="N218" s="894" t="str">
        <f t="shared" si="4"/>
        <v/>
      </c>
      <c r="O218" s="882" t="str">
        <f t="array" ref="O218">if(isblank(F218),"",xlookup(F218,'FL5_POR_包裝對照表 (Mapping Table)'!E:E,'FL5_POR_包裝對照表 (Mapping Table)'!L:L,"",0,1))</f>
        <v/>
      </c>
      <c r="P218" s="909" t="str">
        <f t="array" ref="P218">if(isblank(F218),"",xlookup(G218,z_Others!$B$5:$B$17,z_Others!$J$5:$J$17,"",0,1))</f>
        <v/>
      </c>
      <c r="Q218" s="899" t="str">
        <f t="array" ref="Q218">if(isblank(F218),"",xlookup(F218,'FL5_POR_核價 (經管 &amp; BPM)'!E:E,'FL5_POR_核價 (經管 &amp; BPM)'!O:O,"",0,1))</f>
        <v/>
      </c>
      <c r="R218" s="894" t="str">
        <f t="shared" si="5"/>
        <v/>
      </c>
      <c r="S218" s="894" t="str">
        <f t="array" ref="S218">if(isblank(F218),"",xlookup(G218,z_Others!$B$5:$B$17,z_Others!$K$5:$K$17,"",0,1))</f>
        <v/>
      </c>
      <c r="T218" s="894" t="str">
        <f t="shared" si="19"/>
        <v/>
      </c>
      <c r="U218" s="898" t="str">
        <f t="array" ref="U218">if(isblank(F218),"",xlookup(G218,z_Others!$B$5:$B$17,z_Others!$G$5:$G$17,"",0,1))</f>
        <v/>
      </c>
      <c r="V218" s="231" t="str">
        <f t="array" ref="V218">if(isblank(F218),"",xlookup(F218,'FL5_POR_包裝對照表 (Mapping Table)'!E:E,'FL5_POR_包裝對照表 (Mapping Table)'!AB:AB,"",0,1))</f>
        <v/>
      </c>
      <c r="W218" s="899" t="str">
        <f t="array" ref="W218">if(isblank(F218),"",xlookup(G218,z_Others!$B$5:$B$17,z_Others!$I$5:$I$17,"",0,1))</f>
        <v/>
      </c>
      <c r="X218" s="894" t="str">
        <f t="shared" si="7"/>
        <v/>
      </c>
      <c r="Y218" s="894" t="str">
        <f t="shared" si="8"/>
        <v/>
      </c>
      <c r="Z218" s="900" t="str">
        <f t="shared" si="9"/>
        <v/>
      </c>
      <c r="AA218" s="900" t="str">
        <f t="shared" si="10"/>
        <v/>
      </c>
      <c r="AB218" s="878" t="str">
        <f t="array" ref="AB218">if(isblank(F218),"",xlookup(AJ218,z_Others!$M$5:$M$9,z_Others!$Q$5:$Q$9,"",0,1))</f>
        <v/>
      </c>
      <c r="AC218" s="900" t="str">
        <f t="shared" si="11"/>
        <v/>
      </c>
      <c r="AD218" s="894" t="str">
        <f t="array" ref="AD218">if(isblank(F218),"",xlookup(G218,z_Others!$B$5:$B$14,z_Others!$H$5:$H$14,"",0,1))</f>
        <v/>
      </c>
      <c r="AE218" s="901" t="str">
        <f t="shared" si="12"/>
        <v/>
      </c>
      <c r="AF218" s="791"/>
      <c r="AG218" s="791" t="str">
        <f t="shared" si="21"/>
        <v/>
      </c>
      <c r="AH218" s="787"/>
      <c r="AI218" s="787"/>
      <c r="AJ218" s="677" t="str">
        <f t="array" ref="AJ218">if(isblank(F218),"",xlookup(F218,'FL5_POR_包裝對照表 (Mapping Table)'!E:E,'FL5_POR_包裝對照表 (Mapping Table)'!AS:AS,"",0,1))</f>
        <v/>
      </c>
      <c r="AK218" s="677" t="str">
        <f t="array" ref="AK218">if(isblank(F218),"",xlookup(F218,'FL5_POR_包裝對照表 (Mapping Table)'!E:E,'FL5_POR_包裝對照表 (Mapping Table)'!K:K,"",0,1))</f>
        <v/>
      </c>
      <c r="AL218" s="677"/>
      <c r="AM218" s="813"/>
      <c r="AN218" s="908"/>
      <c r="AO218" s="813"/>
      <c r="AP218" s="813"/>
    </row>
    <row r="219" ht="18.0" customHeight="1">
      <c r="A219" s="910"/>
      <c r="B219" s="908"/>
      <c r="C219" s="891" t="str">
        <f>if(isblank(F219),"",'FL5_POR_包裝對照表 (Mapping Table)'!$E$4)</f>
        <v/>
      </c>
      <c r="D219" s="878" t="str">
        <f t="array" ref="D219">if(isblank(F219),"",xlookup(F219,'FL5_POR_包裝對照表 (Mapping Table)'!E:E,'FL5_POR_包裝對照表 (Mapping Table)'!AZ:AZ,"",0,1))</f>
        <v/>
      </c>
      <c r="E219" s="677" t="str">
        <f t="shared" si="2"/>
        <v/>
      </c>
      <c r="F219" s="879"/>
      <c r="G219" s="892" t="str">
        <f t="array" ref="G219">if(isblank(F219),"",xlookup(F219,'FL5_POR_包裝對照表 (Mapping Table)'!E:E,'FL5_POR_包裝對照表 (Mapping Table)'!D:D,"",0,1))</f>
        <v/>
      </c>
      <c r="H219" s="893" t="str">
        <f t="array" ref="H219">if(isblank(F219),"",xlookup(F219,'FL5_POR_包裝對照表 (Mapping Table)'!E:E,'FL5_POR_包裝對照表 (Mapping Table)'!E:E,"",0,1))</f>
        <v/>
      </c>
      <c r="I219" s="677" t="str">
        <f t="array" ref="I219">if(isblank(F219),"",xlookup(F219,'FL5_POR_包裝對照表 (Mapping Table)'!E:E,'FL5_POR_包裝對照表 (Mapping Table)'!AN:AN,"",0,1))</f>
        <v/>
      </c>
      <c r="J219" s="894" t="str">
        <f t="array" ref="J219">if(isblank(F219),"",xlookup(G219,z_Others!$B$5:$B$17,z_Others!$C$5:$C$17,"",0,1))</f>
        <v/>
      </c>
      <c r="K219" s="894" t="str">
        <f t="array" ref="K219">if(isblank(F219),"",xlookup(G219,z_Others!$B$5:$B$17,z_Others!$E$5:$E$17,"",0,1))</f>
        <v/>
      </c>
      <c r="L219" s="894" t="str">
        <f t="array" ref="L219">if(isblank(F219),"",xlookup(G219,z_Others!$B$5:$B$17,z_Others!$F$5:$F$17,"",0,1))</f>
        <v/>
      </c>
      <c r="M219" s="894" t="str">
        <f t="shared" si="3"/>
        <v/>
      </c>
      <c r="N219" s="894" t="str">
        <f t="shared" si="4"/>
        <v/>
      </c>
      <c r="O219" s="882" t="str">
        <f t="array" ref="O219">if(isblank(F219),"",xlookup(F219,'FL5_POR_包裝對照表 (Mapping Table)'!E:E,'FL5_POR_包裝對照表 (Mapping Table)'!L:L,"",0,1))</f>
        <v/>
      </c>
      <c r="P219" s="909" t="str">
        <f t="array" ref="P219">if(isblank(F219),"",xlookup(G219,z_Others!$B$5:$B$17,z_Others!$J$5:$J$17,"",0,1))</f>
        <v/>
      </c>
      <c r="Q219" s="899" t="str">
        <f t="array" ref="Q219">if(isblank(F219),"",xlookup(F219,'FL5_POR_核價 (經管 &amp; BPM)'!E:E,'FL5_POR_核價 (經管 &amp; BPM)'!O:O,"",0,1))</f>
        <v/>
      </c>
      <c r="R219" s="894" t="str">
        <f t="shared" si="5"/>
        <v/>
      </c>
      <c r="S219" s="894" t="str">
        <f t="array" ref="S219">if(isblank(F219),"",xlookup(G219,z_Others!$B$5:$B$17,z_Others!$K$5:$K$17,"",0,1))</f>
        <v/>
      </c>
      <c r="T219" s="894" t="str">
        <f t="shared" si="19"/>
        <v/>
      </c>
      <c r="U219" s="898" t="str">
        <f t="array" ref="U219">if(isblank(F219),"",xlookup(G219,z_Others!$B$5:$B$17,z_Others!$G$5:$G$17,"",0,1))</f>
        <v/>
      </c>
      <c r="V219" s="231" t="str">
        <f t="array" ref="V219">if(isblank(F219),"",xlookup(F219,'FL5_POR_包裝對照表 (Mapping Table)'!E:E,'FL5_POR_包裝對照表 (Mapping Table)'!AB:AB,"",0,1))</f>
        <v/>
      </c>
      <c r="W219" s="899" t="str">
        <f t="array" ref="W219">if(isblank(F219),"",xlookup(G219,z_Others!$B$5:$B$17,z_Others!$I$5:$I$17,"",0,1))</f>
        <v/>
      </c>
      <c r="X219" s="894" t="str">
        <f t="shared" si="7"/>
        <v/>
      </c>
      <c r="Y219" s="894" t="str">
        <f t="shared" si="8"/>
        <v/>
      </c>
      <c r="Z219" s="900" t="str">
        <f t="shared" si="9"/>
        <v/>
      </c>
      <c r="AA219" s="900" t="str">
        <f t="shared" si="10"/>
        <v/>
      </c>
      <c r="AB219" s="878" t="str">
        <f t="array" ref="AB219">if(isblank(F219),"",xlookup(AJ219,z_Others!$M$5:$M$9,z_Others!$Q$5:$Q$9,"",0,1))</f>
        <v/>
      </c>
      <c r="AC219" s="900" t="str">
        <f t="shared" si="11"/>
        <v/>
      </c>
      <c r="AD219" s="894" t="str">
        <f t="array" ref="AD219">if(isblank(F219),"",xlookup(G219,z_Others!$B$5:$B$14,z_Others!$H$5:$H$14,"",0,1))</f>
        <v/>
      </c>
      <c r="AE219" s="901" t="str">
        <f t="shared" si="12"/>
        <v/>
      </c>
      <c r="AF219" s="791"/>
      <c r="AG219" s="791" t="str">
        <f t="shared" si="21"/>
        <v/>
      </c>
      <c r="AH219" s="787"/>
      <c r="AI219" s="787"/>
      <c r="AJ219" s="677" t="str">
        <f t="array" ref="AJ219">if(isblank(F219),"",xlookup(F219,'FL5_POR_包裝對照表 (Mapping Table)'!E:E,'FL5_POR_包裝對照表 (Mapping Table)'!AS:AS,"",0,1))</f>
        <v/>
      </c>
      <c r="AK219" s="677" t="str">
        <f t="array" ref="AK219">if(isblank(F219),"",xlookup(F219,'FL5_POR_包裝對照表 (Mapping Table)'!E:E,'FL5_POR_包裝對照表 (Mapping Table)'!K:K,"",0,1))</f>
        <v/>
      </c>
      <c r="AL219" s="677"/>
      <c r="AM219" s="813"/>
      <c r="AN219" s="908"/>
      <c r="AO219" s="813"/>
      <c r="AP219" s="813"/>
    </row>
    <row r="220" ht="18.0" customHeight="1">
      <c r="A220" s="910"/>
      <c r="B220" s="908"/>
      <c r="C220" s="891" t="str">
        <f>if(isblank(F220),"",'FL5_POR_包裝對照表 (Mapping Table)'!$E$4)</f>
        <v/>
      </c>
      <c r="D220" s="878" t="str">
        <f t="array" ref="D220">if(isblank(F220),"",xlookup(F220,'FL5_POR_包裝對照表 (Mapping Table)'!E:E,'FL5_POR_包裝對照表 (Mapping Table)'!AZ:AZ,"",0,1))</f>
        <v/>
      </c>
      <c r="E220" s="677" t="str">
        <f t="shared" si="2"/>
        <v/>
      </c>
      <c r="F220" s="879"/>
      <c r="G220" s="892" t="str">
        <f t="array" ref="G220">if(isblank(F220),"",xlookup(F220,'FL5_POR_包裝對照表 (Mapping Table)'!E:E,'FL5_POR_包裝對照表 (Mapping Table)'!D:D,"",0,1))</f>
        <v/>
      </c>
      <c r="H220" s="893" t="str">
        <f t="array" ref="H220">if(isblank(F220),"",xlookup(F220,'FL5_POR_包裝對照表 (Mapping Table)'!E:E,'FL5_POR_包裝對照表 (Mapping Table)'!E:E,"",0,1))</f>
        <v/>
      </c>
      <c r="I220" s="677" t="str">
        <f t="array" ref="I220">if(isblank(F220),"",xlookup(F220,'FL5_POR_包裝對照表 (Mapping Table)'!E:E,'FL5_POR_包裝對照表 (Mapping Table)'!AN:AN,"",0,1))</f>
        <v/>
      </c>
      <c r="J220" s="894" t="str">
        <f t="array" ref="J220">if(isblank(F220),"",xlookup(G220,z_Others!$B$5:$B$17,z_Others!$C$5:$C$17,"",0,1))</f>
        <v/>
      </c>
      <c r="K220" s="894" t="str">
        <f t="array" ref="K220">if(isblank(F220),"",xlookup(G220,z_Others!$B$5:$B$17,z_Others!$E$5:$E$17,"",0,1))</f>
        <v/>
      </c>
      <c r="L220" s="894" t="str">
        <f t="array" ref="L220">if(isblank(F220),"",xlookup(G220,z_Others!$B$5:$B$17,z_Others!$F$5:$F$17,"",0,1))</f>
        <v/>
      </c>
      <c r="M220" s="894" t="str">
        <f t="shared" si="3"/>
        <v/>
      </c>
      <c r="N220" s="894" t="str">
        <f t="shared" si="4"/>
        <v/>
      </c>
      <c r="O220" s="882" t="str">
        <f t="array" ref="O220">if(isblank(F220),"",xlookup(F220,'FL5_POR_包裝對照表 (Mapping Table)'!E:E,'FL5_POR_包裝對照表 (Mapping Table)'!L:L,"",0,1))</f>
        <v/>
      </c>
      <c r="P220" s="909" t="str">
        <f t="array" ref="P220">if(isblank(F220),"",xlookup(G220,z_Others!$B$5:$B$17,z_Others!$J$5:$J$17,"",0,1))</f>
        <v/>
      </c>
      <c r="Q220" s="899" t="str">
        <f t="array" ref="Q220">if(isblank(F220),"",xlookup(F220,'FL5_POR_核價 (經管 &amp; BPM)'!E:E,'FL5_POR_核價 (經管 &amp; BPM)'!O:O,"",0,1))</f>
        <v/>
      </c>
      <c r="R220" s="894" t="str">
        <f t="shared" si="5"/>
        <v/>
      </c>
      <c r="S220" s="894" t="str">
        <f t="array" ref="S220">if(isblank(F220),"",xlookup(G220,z_Others!$B$5:$B$17,z_Others!$K$5:$K$17,"",0,1))</f>
        <v/>
      </c>
      <c r="T220" s="894" t="str">
        <f t="shared" si="19"/>
        <v/>
      </c>
      <c r="U220" s="898" t="str">
        <f t="array" ref="U220">if(isblank(F220),"",xlookup(G220,z_Others!$B$5:$B$17,z_Others!$G$5:$G$17,"",0,1))</f>
        <v/>
      </c>
      <c r="V220" s="231" t="str">
        <f t="array" ref="V220">if(isblank(F220),"",xlookup(F220,'FL5_POR_包裝對照表 (Mapping Table)'!E:E,'FL5_POR_包裝對照表 (Mapping Table)'!AB:AB,"",0,1))</f>
        <v/>
      </c>
      <c r="W220" s="899" t="str">
        <f t="array" ref="W220">if(isblank(F220),"",xlookup(G220,z_Others!$B$5:$B$17,z_Others!$I$5:$I$17,"",0,1))</f>
        <v/>
      </c>
      <c r="X220" s="894" t="str">
        <f t="shared" si="7"/>
        <v/>
      </c>
      <c r="Y220" s="894" t="str">
        <f t="shared" si="8"/>
        <v/>
      </c>
      <c r="Z220" s="900" t="str">
        <f t="shared" si="9"/>
        <v/>
      </c>
      <c r="AA220" s="900" t="str">
        <f t="shared" si="10"/>
        <v/>
      </c>
      <c r="AB220" s="878" t="str">
        <f t="array" ref="AB220">if(isblank(F220),"",xlookup(AJ220,z_Others!$M$5:$M$9,z_Others!$Q$5:$Q$9,"",0,1))</f>
        <v/>
      </c>
      <c r="AC220" s="900" t="str">
        <f t="shared" si="11"/>
        <v/>
      </c>
      <c r="AD220" s="894" t="str">
        <f t="array" ref="AD220">if(isblank(F220),"",xlookup(G220,z_Others!$B$5:$B$14,z_Others!$H$5:$H$14,"",0,1))</f>
        <v/>
      </c>
      <c r="AE220" s="901" t="str">
        <f t="shared" si="12"/>
        <v/>
      </c>
      <c r="AF220" s="791"/>
      <c r="AG220" s="791" t="str">
        <f t="shared" si="21"/>
        <v/>
      </c>
      <c r="AH220" s="787"/>
      <c r="AI220" s="787"/>
      <c r="AJ220" s="677" t="str">
        <f t="array" ref="AJ220">if(isblank(F220),"",xlookup(F220,'FL5_POR_包裝對照表 (Mapping Table)'!E:E,'FL5_POR_包裝對照表 (Mapping Table)'!AS:AS,"",0,1))</f>
        <v/>
      </c>
      <c r="AK220" s="677" t="str">
        <f t="array" ref="AK220">if(isblank(F220),"",xlookup(F220,'FL5_POR_包裝對照表 (Mapping Table)'!E:E,'FL5_POR_包裝對照表 (Mapping Table)'!K:K,"",0,1))</f>
        <v/>
      </c>
      <c r="AL220" s="677"/>
      <c r="AM220" s="813"/>
      <c r="AN220" s="908"/>
      <c r="AO220" s="813"/>
      <c r="AP220" s="813"/>
    </row>
    <row r="221" ht="18.0" customHeight="1">
      <c r="A221" s="910"/>
      <c r="B221" s="908"/>
      <c r="C221" s="891" t="str">
        <f>if(isblank(F221),"",'FL5_POR_包裝對照表 (Mapping Table)'!$E$4)</f>
        <v/>
      </c>
      <c r="D221" s="878" t="str">
        <f t="array" ref="D221">if(isblank(F221),"",xlookup(F221,'FL5_POR_包裝對照表 (Mapping Table)'!E:E,'FL5_POR_包裝對照表 (Mapping Table)'!AZ:AZ,"",0,1))</f>
        <v/>
      </c>
      <c r="E221" s="677" t="str">
        <f t="shared" si="2"/>
        <v/>
      </c>
      <c r="F221" s="879"/>
      <c r="G221" s="892" t="str">
        <f t="array" ref="G221">if(isblank(F221),"",xlookup(F221,'FL5_POR_包裝對照表 (Mapping Table)'!E:E,'FL5_POR_包裝對照表 (Mapping Table)'!D:D,"",0,1))</f>
        <v/>
      </c>
      <c r="H221" s="893" t="str">
        <f t="array" ref="H221">if(isblank(F221),"",xlookup(F221,'FL5_POR_包裝對照表 (Mapping Table)'!E:E,'FL5_POR_包裝對照表 (Mapping Table)'!E:E,"",0,1))</f>
        <v/>
      </c>
      <c r="I221" s="677" t="str">
        <f t="array" ref="I221">if(isblank(F221),"",xlookup(F221,'FL5_POR_包裝對照表 (Mapping Table)'!E:E,'FL5_POR_包裝對照表 (Mapping Table)'!AN:AN,"",0,1))</f>
        <v/>
      </c>
      <c r="J221" s="894" t="str">
        <f t="array" ref="J221">if(isblank(F221),"",xlookup(G221,z_Others!$B$5:$B$17,z_Others!$C$5:$C$17,"",0,1))</f>
        <v/>
      </c>
      <c r="K221" s="894" t="str">
        <f t="array" ref="K221">if(isblank(F221),"",xlookup(G221,z_Others!$B$5:$B$17,z_Others!$E$5:$E$17,"",0,1))</f>
        <v/>
      </c>
      <c r="L221" s="894" t="str">
        <f t="array" ref="L221">if(isblank(F221),"",xlookup(G221,z_Others!$B$5:$B$17,z_Others!$F$5:$F$17,"",0,1))</f>
        <v/>
      </c>
      <c r="M221" s="894" t="str">
        <f t="shared" si="3"/>
        <v/>
      </c>
      <c r="N221" s="894" t="str">
        <f t="shared" si="4"/>
        <v/>
      </c>
      <c r="O221" s="882" t="str">
        <f t="array" ref="O221">if(isblank(F221),"",xlookup(F221,'FL5_POR_包裝對照表 (Mapping Table)'!E:E,'FL5_POR_包裝對照表 (Mapping Table)'!L:L,"",0,1))</f>
        <v/>
      </c>
      <c r="P221" s="909" t="str">
        <f t="array" ref="P221">if(isblank(F221),"",xlookup(G221,z_Others!$B$5:$B$17,z_Others!$J$5:$J$17,"",0,1))</f>
        <v/>
      </c>
      <c r="Q221" s="899" t="str">
        <f t="array" ref="Q221">if(isblank(F221),"",xlookup(F221,'FL5_POR_核價 (經管 &amp; BPM)'!E:E,'FL5_POR_核價 (經管 &amp; BPM)'!O:O,"",0,1))</f>
        <v/>
      </c>
      <c r="R221" s="894" t="str">
        <f t="shared" si="5"/>
        <v/>
      </c>
      <c r="S221" s="894" t="str">
        <f t="array" ref="S221">if(isblank(F221),"",xlookup(G221,z_Others!$B$5:$B$17,z_Others!$K$5:$K$17,"",0,1))</f>
        <v/>
      </c>
      <c r="T221" s="894" t="str">
        <f t="shared" si="19"/>
        <v/>
      </c>
      <c r="U221" s="898" t="str">
        <f t="array" ref="U221">if(isblank(F221),"",xlookup(G221,z_Others!$B$5:$B$17,z_Others!$G$5:$G$17,"",0,1))</f>
        <v/>
      </c>
      <c r="V221" s="231" t="str">
        <f t="array" ref="V221">if(isblank(F221),"",xlookup(F221,'FL5_POR_包裝對照表 (Mapping Table)'!E:E,'FL5_POR_包裝對照表 (Mapping Table)'!AB:AB,"",0,1))</f>
        <v/>
      </c>
      <c r="W221" s="899" t="str">
        <f t="array" ref="W221">if(isblank(F221),"",xlookup(G221,z_Others!$B$5:$B$17,z_Others!$I$5:$I$17,"",0,1))</f>
        <v/>
      </c>
      <c r="X221" s="894" t="str">
        <f t="shared" si="7"/>
        <v/>
      </c>
      <c r="Y221" s="894" t="str">
        <f t="shared" si="8"/>
        <v/>
      </c>
      <c r="Z221" s="900" t="str">
        <f t="shared" si="9"/>
        <v/>
      </c>
      <c r="AA221" s="900" t="str">
        <f t="shared" si="10"/>
        <v/>
      </c>
      <c r="AB221" s="878" t="str">
        <f t="array" ref="AB221">if(isblank(F221),"",xlookup(AJ221,z_Others!$M$5:$M$9,z_Others!$Q$5:$Q$9,"",0,1))</f>
        <v/>
      </c>
      <c r="AC221" s="900" t="str">
        <f t="shared" si="11"/>
        <v/>
      </c>
      <c r="AD221" s="894" t="str">
        <f t="array" ref="AD221">if(isblank(F221),"",xlookup(G221,z_Others!$B$5:$B$14,z_Others!$H$5:$H$14,"",0,1))</f>
        <v/>
      </c>
      <c r="AE221" s="901" t="str">
        <f t="shared" si="12"/>
        <v/>
      </c>
      <c r="AF221" s="791"/>
      <c r="AG221" s="791" t="str">
        <f t="shared" si="21"/>
        <v/>
      </c>
      <c r="AH221" s="787"/>
      <c r="AI221" s="787"/>
      <c r="AJ221" s="677" t="str">
        <f t="array" ref="AJ221">if(isblank(F221),"",xlookup(F221,'FL5_POR_包裝對照表 (Mapping Table)'!E:E,'FL5_POR_包裝對照表 (Mapping Table)'!AS:AS,"",0,1))</f>
        <v/>
      </c>
      <c r="AK221" s="677" t="str">
        <f t="array" ref="AK221">if(isblank(F221),"",xlookup(F221,'FL5_POR_包裝對照表 (Mapping Table)'!E:E,'FL5_POR_包裝對照表 (Mapping Table)'!K:K,"",0,1))</f>
        <v/>
      </c>
      <c r="AL221" s="677"/>
      <c r="AM221" s="813"/>
      <c r="AN221" s="908"/>
      <c r="AO221" s="813"/>
      <c r="AP221" s="813"/>
    </row>
    <row r="222" ht="18.0" customHeight="1">
      <c r="A222" s="910"/>
      <c r="B222" s="908"/>
      <c r="C222" s="891" t="str">
        <f>if(isblank(F222),"",'FL5_POR_包裝對照表 (Mapping Table)'!$E$4)</f>
        <v/>
      </c>
      <c r="D222" s="878" t="str">
        <f t="array" ref="D222">if(isblank(F222),"",xlookup(F222,'FL5_POR_包裝對照表 (Mapping Table)'!E:E,'FL5_POR_包裝對照表 (Mapping Table)'!AZ:AZ,"",0,1))</f>
        <v/>
      </c>
      <c r="E222" s="677" t="str">
        <f t="shared" si="2"/>
        <v/>
      </c>
      <c r="F222" s="879"/>
      <c r="G222" s="892" t="str">
        <f t="array" ref="G222">if(isblank(F222),"",xlookup(F222,'FL5_POR_包裝對照表 (Mapping Table)'!E:E,'FL5_POR_包裝對照表 (Mapping Table)'!D:D,"",0,1))</f>
        <v/>
      </c>
      <c r="H222" s="893" t="str">
        <f t="array" ref="H222">if(isblank(F222),"",xlookup(F222,'FL5_POR_包裝對照表 (Mapping Table)'!E:E,'FL5_POR_包裝對照表 (Mapping Table)'!E:E,"",0,1))</f>
        <v/>
      </c>
      <c r="I222" s="677" t="str">
        <f t="array" ref="I222">if(isblank(F222),"",xlookup(F222,'FL5_POR_包裝對照表 (Mapping Table)'!E:E,'FL5_POR_包裝對照表 (Mapping Table)'!AN:AN,"",0,1))</f>
        <v/>
      </c>
      <c r="J222" s="894" t="str">
        <f t="array" ref="J222">if(isblank(F222),"",xlookup(G222,z_Others!$B$5:$B$17,z_Others!$C$5:$C$17,"",0,1))</f>
        <v/>
      </c>
      <c r="K222" s="894" t="str">
        <f t="array" ref="K222">if(isblank(F222),"",xlookup(G222,z_Others!$B$5:$B$17,z_Others!$E$5:$E$17,"",0,1))</f>
        <v/>
      </c>
      <c r="L222" s="894" t="str">
        <f t="array" ref="L222">if(isblank(F222),"",xlookup(G222,z_Others!$B$5:$B$17,z_Others!$F$5:$F$17,"",0,1))</f>
        <v/>
      </c>
      <c r="M222" s="894" t="str">
        <f t="shared" si="3"/>
        <v/>
      </c>
      <c r="N222" s="894" t="str">
        <f t="shared" si="4"/>
        <v/>
      </c>
      <c r="O222" s="882" t="str">
        <f t="array" ref="O222">if(isblank(F222),"",xlookup(F222,'FL5_POR_包裝對照表 (Mapping Table)'!E:E,'FL5_POR_包裝對照表 (Mapping Table)'!L:L,"",0,1))</f>
        <v/>
      </c>
      <c r="P222" s="909" t="str">
        <f t="array" ref="P222">if(isblank(F222),"",xlookup(G222,z_Others!$B$5:$B$17,z_Others!$J$5:$J$17,"",0,1))</f>
        <v/>
      </c>
      <c r="Q222" s="899" t="str">
        <f t="array" ref="Q222">if(isblank(F222),"",xlookup(F222,'FL5_POR_核價 (經管 &amp; BPM)'!E:E,'FL5_POR_核價 (經管 &amp; BPM)'!O:O,"",0,1))</f>
        <v/>
      </c>
      <c r="R222" s="894" t="str">
        <f t="shared" si="5"/>
        <v/>
      </c>
      <c r="S222" s="894" t="str">
        <f t="array" ref="S222">if(isblank(F222),"",xlookup(G222,z_Others!$B$5:$B$17,z_Others!$K$5:$K$17,"",0,1))</f>
        <v/>
      </c>
      <c r="T222" s="894" t="str">
        <f t="shared" si="19"/>
        <v/>
      </c>
      <c r="U222" s="898" t="str">
        <f t="array" ref="U222">if(isblank(F222),"",xlookup(G222,z_Others!$B$5:$B$17,z_Others!$G$5:$G$17,"",0,1))</f>
        <v/>
      </c>
      <c r="V222" s="231" t="str">
        <f t="array" ref="V222">if(isblank(F222),"",xlookup(F222,'FL5_POR_包裝對照表 (Mapping Table)'!E:E,'FL5_POR_包裝對照表 (Mapping Table)'!AB:AB,"",0,1))</f>
        <v/>
      </c>
      <c r="W222" s="899" t="str">
        <f t="array" ref="W222">if(isblank(F222),"",xlookup(G222,z_Others!$B$5:$B$17,z_Others!$I$5:$I$17,"",0,1))</f>
        <v/>
      </c>
      <c r="X222" s="894" t="str">
        <f t="shared" si="7"/>
        <v/>
      </c>
      <c r="Y222" s="894" t="str">
        <f t="shared" si="8"/>
        <v/>
      </c>
      <c r="Z222" s="900" t="str">
        <f t="shared" si="9"/>
        <v/>
      </c>
      <c r="AA222" s="900" t="str">
        <f t="shared" si="10"/>
        <v/>
      </c>
      <c r="AB222" s="878" t="str">
        <f t="array" ref="AB222">if(isblank(F222),"",xlookup(AJ222,z_Others!$M$5:$M$9,z_Others!$Q$5:$Q$9,"",0,1))</f>
        <v/>
      </c>
      <c r="AC222" s="900" t="str">
        <f t="shared" si="11"/>
        <v/>
      </c>
      <c r="AD222" s="894" t="str">
        <f t="array" ref="AD222">if(isblank(F222),"",xlookup(G222,z_Others!$B$5:$B$14,z_Others!$H$5:$H$14,"",0,1))</f>
        <v/>
      </c>
      <c r="AE222" s="901" t="str">
        <f t="shared" si="12"/>
        <v/>
      </c>
      <c r="AF222" s="791"/>
      <c r="AG222" s="791" t="str">
        <f t="shared" si="21"/>
        <v/>
      </c>
      <c r="AH222" s="787"/>
      <c r="AI222" s="787"/>
      <c r="AJ222" s="677" t="str">
        <f t="array" ref="AJ222">if(isblank(F222),"",xlookup(F222,'FL5_POR_包裝對照表 (Mapping Table)'!E:E,'FL5_POR_包裝對照表 (Mapping Table)'!AS:AS,"",0,1))</f>
        <v/>
      </c>
      <c r="AK222" s="677" t="str">
        <f t="array" ref="AK222">if(isblank(F222),"",xlookup(F222,'FL5_POR_包裝對照表 (Mapping Table)'!E:E,'FL5_POR_包裝對照表 (Mapping Table)'!K:K,"",0,1))</f>
        <v/>
      </c>
      <c r="AL222" s="677"/>
      <c r="AM222" s="813"/>
      <c r="AN222" s="908"/>
      <c r="AO222" s="813"/>
      <c r="AP222" s="813"/>
    </row>
    <row r="223" ht="18.0" customHeight="1">
      <c r="A223" s="910"/>
      <c r="B223" s="908"/>
      <c r="C223" s="891" t="str">
        <f>if(isblank(F223),"",'FL5_POR_包裝對照表 (Mapping Table)'!$E$4)</f>
        <v/>
      </c>
      <c r="D223" s="878" t="str">
        <f t="array" ref="D223">if(isblank(F223),"",xlookup(F223,'FL5_POR_包裝對照表 (Mapping Table)'!E:E,'FL5_POR_包裝對照表 (Mapping Table)'!AZ:AZ,"",0,1))</f>
        <v/>
      </c>
      <c r="E223" s="677" t="str">
        <f t="shared" si="2"/>
        <v/>
      </c>
      <c r="F223" s="879"/>
      <c r="G223" s="892" t="str">
        <f t="array" ref="G223">if(isblank(F223),"",xlookup(F223,'FL5_POR_包裝對照表 (Mapping Table)'!E:E,'FL5_POR_包裝對照表 (Mapping Table)'!D:D,"",0,1))</f>
        <v/>
      </c>
      <c r="H223" s="893" t="str">
        <f t="array" ref="H223">if(isblank(F223),"",xlookup(F223,'FL5_POR_包裝對照表 (Mapping Table)'!E:E,'FL5_POR_包裝對照表 (Mapping Table)'!E:E,"",0,1))</f>
        <v/>
      </c>
      <c r="I223" s="677" t="str">
        <f t="array" ref="I223">if(isblank(F223),"",xlookup(F223,'FL5_POR_包裝對照表 (Mapping Table)'!E:E,'FL5_POR_包裝對照表 (Mapping Table)'!AN:AN,"",0,1))</f>
        <v/>
      </c>
      <c r="J223" s="894" t="str">
        <f t="array" ref="J223">if(isblank(F223),"",xlookup(G223,z_Others!$B$5:$B$17,z_Others!$C$5:$C$17,"",0,1))</f>
        <v/>
      </c>
      <c r="K223" s="894" t="str">
        <f t="array" ref="K223">if(isblank(F223),"",xlookup(G223,z_Others!$B$5:$B$17,z_Others!$E$5:$E$17,"",0,1))</f>
        <v/>
      </c>
      <c r="L223" s="894" t="str">
        <f t="array" ref="L223">if(isblank(F223),"",xlookup(G223,z_Others!$B$5:$B$17,z_Others!$F$5:$F$17,"",0,1))</f>
        <v/>
      </c>
      <c r="M223" s="894" t="str">
        <f t="shared" si="3"/>
        <v/>
      </c>
      <c r="N223" s="894" t="str">
        <f t="shared" si="4"/>
        <v/>
      </c>
      <c r="O223" s="882" t="str">
        <f t="array" ref="O223">if(isblank(F223),"",xlookup(F223,'FL5_POR_包裝對照表 (Mapping Table)'!E:E,'FL5_POR_包裝對照表 (Mapping Table)'!L:L,"",0,1))</f>
        <v/>
      </c>
      <c r="P223" s="909" t="str">
        <f t="array" ref="P223">if(isblank(F223),"",xlookup(G223,z_Others!$B$5:$B$17,z_Others!$J$5:$J$17,"",0,1))</f>
        <v/>
      </c>
      <c r="Q223" s="899" t="str">
        <f t="array" ref="Q223">if(isblank(F223),"",xlookup(F223,'FL5_POR_核價 (經管 &amp; BPM)'!E:E,'FL5_POR_核價 (經管 &amp; BPM)'!O:O,"",0,1))</f>
        <v/>
      </c>
      <c r="R223" s="894" t="str">
        <f t="shared" si="5"/>
        <v/>
      </c>
      <c r="S223" s="894" t="str">
        <f t="array" ref="S223">if(isblank(F223),"",xlookup(G223,z_Others!$B$5:$B$17,z_Others!$K$5:$K$17,"",0,1))</f>
        <v/>
      </c>
      <c r="T223" s="894" t="str">
        <f t="shared" si="19"/>
        <v/>
      </c>
      <c r="U223" s="898" t="str">
        <f t="array" ref="U223">if(isblank(F223),"",xlookup(G223,z_Others!$B$5:$B$17,z_Others!$G$5:$G$17,"",0,1))</f>
        <v/>
      </c>
      <c r="V223" s="231" t="str">
        <f t="array" ref="V223">if(isblank(F223),"",xlookup(F223,'FL5_POR_包裝對照表 (Mapping Table)'!E:E,'FL5_POR_包裝對照表 (Mapping Table)'!AB:AB,"",0,1))</f>
        <v/>
      </c>
      <c r="W223" s="899" t="str">
        <f t="array" ref="W223">if(isblank(F223),"",xlookup(G223,z_Others!$B$5:$B$17,z_Others!$I$5:$I$17,"",0,1))</f>
        <v/>
      </c>
      <c r="X223" s="894" t="str">
        <f t="shared" si="7"/>
        <v/>
      </c>
      <c r="Y223" s="894" t="str">
        <f t="shared" si="8"/>
        <v/>
      </c>
      <c r="Z223" s="900" t="str">
        <f t="shared" si="9"/>
        <v/>
      </c>
      <c r="AA223" s="900" t="str">
        <f t="shared" si="10"/>
        <v/>
      </c>
      <c r="AB223" s="878" t="str">
        <f t="array" ref="AB223">if(isblank(F223),"",xlookup(AJ223,z_Others!$M$5:$M$9,z_Others!$Q$5:$Q$9,"",0,1))</f>
        <v/>
      </c>
      <c r="AC223" s="900" t="str">
        <f t="shared" si="11"/>
        <v/>
      </c>
      <c r="AD223" s="894" t="str">
        <f t="array" ref="AD223">if(isblank(F223),"",xlookup(G223,z_Others!$B$5:$B$14,z_Others!$H$5:$H$14,"",0,1))</f>
        <v/>
      </c>
      <c r="AE223" s="901" t="str">
        <f t="shared" si="12"/>
        <v/>
      </c>
      <c r="AF223" s="791"/>
      <c r="AG223" s="791" t="str">
        <f t="shared" si="21"/>
        <v/>
      </c>
      <c r="AH223" s="787"/>
      <c r="AI223" s="787"/>
      <c r="AJ223" s="677" t="str">
        <f t="array" ref="AJ223">if(isblank(F223),"",xlookup(F223,'FL5_POR_包裝對照表 (Mapping Table)'!E:E,'FL5_POR_包裝對照表 (Mapping Table)'!AS:AS,"",0,1))</f>
        <v/>
      </c>
      <c r="AK223" s="677" t="str">
        <f t="array" ref="AK223">if(isblank(F223),"",xlookup(F223,'FL5_POR_包裝對照表 (Mapping Table)'!E:E,'FL5_POR_包裝對照表 (Mapping Table)'!K:K,"",0,1))</f>
        <v/>
      </c>
      <c r="AL223" s="677"/>
      <c r="AM223" s="813"/>
      <c r="AN223" s="908"/>
      <c r="AO223" s="813"/>
      <c r="AP223" s="813"/>
    </row>
    <row r="224" ht="18.0" customHeight="1">
      <c r="A224" s="910"/>
      <c r="B224" s="908"/>
      <c r="C224" s="891" t="str">
        <f>if(isblank(F224),"",'FL5_POR_包裝對照表 (Mapping Table)'!$E$4)</f>
        <v/>
      </c>
      <c r="D224" s="878" t="str">
        <f t="array" ref="D224">if(isblank(F224),"",xlookup(F224,'FL5_POR_包裝對照表 (Mapping Table)'!E:E,'FL5_POR_包裝對照表 (Mapping Table)'!AZ:AZ,"",0,1))</f>
        <v/>
      </c>
      <c r="E224" s="677" t="str">
        <f t="shared" si="2"/>
        <v/>
      </c>
      <c r="F224" s="879"/>
      <c r="G224" s="892" t="str">
        <f t="array" ref="G224">if(isblank(F224),"",xlookup(F224,'FL5_POR_包裝對照表 (Mapping Table)'!E:E,'FL5_POR_包裝對照表 (Mapping Table)'!D:D,"",0,1))</f>
        <v/>
      </c>
      <c r="H224" s="893" t="str">
        <f t="array" ref="H224">if(isblank(F224),"",xlookup(F224,'FL5_POR_包裝對照表 (Mapping Table)'!E:E,'FL5_POR_包裝對照表 (Mapping Table)'!E:E,"",0,1))</f>
        <v/>
      </c>
      <c r="I224" s="677" t="str">
        <f t="array" ref="I224">if(isblank(F224),"",xlookup(F224,'FL5_POR_包裝對照表 (Mapping Table)'!E:E,'FL5_POR_包裝對照表 (Mapping Table)'!AN:AN,"",0,1))</f>
        <v/>
      </c>
      <c r="J224" s="894" t="str">
        <f t="array" ref="J224">if(isblank(F224),"",xlookup(G224,z_Others!$B$5:$B$17,z_Others!$C$5:$C$17,"",0,1))</f>
        <v/>
      </c>
      <c r="K224" s="894" t="str">
        <f t="array" ref="K224">if(isblank(F224),"",xlookup(G224,z_Others!$B$5:$B$17,z_Others!$E$5:$E$17,"",0,1))</f>
        <v/>
      </c>
      <c r="L224" s="894" t="str">
        <f t="array" ref="L224">if(isblank(F224),"",xlookup(G224,z_Others!$B$5:$B$17,z_Others!$F$5:$F$17,"",0,1))</f>
        <v/>
      </c>
      <c r="M224" s="894" t="str">
        <f t="shared" si="3"/>
        <v/>
      </c>
      <c r="N224" s="894" t="str">
        <f t="shared" si="4"/>
        <v/>
      </c>
      <c r="O224" s="882" t="str">
        <f t="array" ref="O224">if(isblank(F224),"",xlookup(F224,'FL5_POR_包裝對照表 (Mapping Table)'!E:E,'FL5_POR_包裝對照表 (Mapping Table)'!L:L,"",0,1))</f>
        <v/>
      </c>
      <c r="P224" s="909" t="str">
        <f t="array" ref="P224">if(isblank(F224),"",xlookup(G224,z_Others!$B$5:$B$17,z_Others!$J$5:$J$17,"",0,1))</f>
        <v/>
      </c>
      <c r="Q224" s="899" t="str">
        <f t="array" ref="Q224">if(isblank(F224),"",xlookup(F224,'FL5_POR_核價 (經管 &amp; BPM)'!E:E,'FL5_POR_核價 (經管 &amp; BPM)'!O:O,"",0,1))</f>
        <v/>
      </c>
      <c r="R224" s="894" t="str">
        <f t="shared" si="5"/>
        <v/>
      </c>
      <c r="S224" s="894" t="str">
        <f t="array" ref="S224">if(isblank(F224),"",xlookup(G224,z_Others!$B$5:$B$17,z_Others!$K$5:$K$17,"",0,1))</f>
        <v/>
      </c>
      <c r="T224" s="894" t="str">
        <f t="shared" si="19"/>
        <v/>
      </c>
      <c r="U224" s="898" t="str">
        <f t="array" ref="U224">if(isblank(F224),"",xlookup(G224,z_Others!$B$5:$B$17,z_Others!$G$5:$G$17,"",0,1))</f>
        <v/>
      </c>
      <c r="V224" s="231" t="str">
        <f t="array" ref="V224">if(isblank(F224),"",xlookup(F224,'FL5_POR_包裝對照表 (Mapping Table)'!E:E,'FL5_POR_包裝對照表 (Mapping Table)'!AB:AB,"",0,1))</f>
        <v/>
      </c>
      <c r="W224" s="899" t="str">
        <f t="array" ref="W224">if(isblank(F224),"",xlookup(G224,z_Others!$B$5:$B$17,z_Others!$I$5:$I$17,"",0,1))</f>
        <v/>
      </c>
      <c r="X224" s="894" t="str">
        <f t="shared" si="7"/>
        <v/>
      </c>
      <c r="Y224" s="894" t="str">
        <f t="shared" si="8"/>
        <v/>
      </c>
      <c r="Z224" s="900" t="str">
        <f t="shared" si="9"/>
        <v/>
      </c>
      <c r="AA224" s="900" t="str">
        <f t="shared" si="10"/>
        <v/>
      </c>
      <c r="AB224" s="878" t="str">
        <f t="array" ref="AB224">if(isblank(F224),"",xlookup(AJ224,z_Others!$M$5:$M$9,z_Others!$Q$5:$Q$9,"",0,1))</f>
        <v/>
      </c>
      <c r="AC224" s="900" t="str">
        <f t="shared" si="11"/>
        <v/>
      </c>
      <c r="AD224" s="894" t="str">
        <f t="array" ref="AD224">if(isblank(F224),"",xlookup(G224,z_Others!$B$5:$B$14,z_Others!$H$5:$H$14,"",0,1))</f>
        <v/>
      </c>
      <c r="AE224" s="901" t="str">
        <f t="shared" si="12"/>
        <v/>
      </c>
      <c r="AF224" s="791"/>
      <c r="AG224" s="791" t="str">
        <f t="shared" si="21"/>
        <v/>
      </c>
      <c r="AH224" s="787"/>
      <c r="AI224" s="787"/>
      <c r="AJ224" s="677" t="str">
        <f t="array" ref="AJ224">if(isblank(F224),"",xlookup(F224,'FL5_POR_包裝對照表 (Mapping Table)'!E:E,'FL5_POR_包裝對照表 (Mapping Table)'!AS:AS,"",0,1))</f>
        <v/>
      </c>
      <c r="AK224" s="677" t="str">
        <f t="array" ref="AK224">if(isblank(F224),"",xlookup(F224,'FL5_POR_包裝對照表 (Mapping Table)'!E:E,'FL5_POR_包裝對照表 (Mapping Table)'!K:K,"",0,1))</f>
        <v/>
      </c>
      <c r="AL224" s="677"/>
      <c r="AM224" s="813"/>
      <c r="AN224" s="908"/>
      <c r="AO224" s="813"/>
      <c r="AP224" s="813"/>
    </row>
    <row r="225" ht="18.0" customHeight="1">
      <c r="A225" s="910"/>
      <c r="B225" s="908"/>
      <c r="C225" s="891" t="str">
        <f>if(isblank(F225),"",'FL5_POR_包裝對照表 (Mapping Table)'!$E$4)</f>
        <v/>
      </c>
      <c r="D225" s="878" t="str">
        <f t="array" ref="D225">if(isblank(F225),"",xlookup(F225,'FL5_POR_包裝對照表 (Mapping Table)'!E:E,'FL5_POR_包裝對照表 (Mapping Table)'!AZ:AZ,"",0,1))</f>
        <v/>
      </c>
      <c r="E225" s="677" t="str">
        <f t="shared" si="2"/>
        <v/>
      </c>
      <c r="F225" s="879"/>
      <c r="G225" s="892" t="str">
        <f t="array" ref="G225">if(isblank(F225),"",xlookup(F225,'FL5_POR_包裝對照表 (Mapping Table)'!E:E,'FL5_POR_包裝對照表 (Mapping Table)'!D:D,"",0,1))</f>
        <v/>
      </c>
      <c r="H225" s="893" t="str">
        <f t="array" ref="H225">if(isblank(F225),"",xlookup(F225,'FL5_POR_包裝對照表 (Mapping Table)'!E:E,'FL5_POR_包裝對照表 (Mapping Table)'!E:E,"",0,1))</f>
        <v/>
      </c>
      <c r="I225" s="677" t="str">
        <f t="array" ref="I225">if(isblank(F225),"",xlookup(F225,'FL5_POR_包裝對照表 (Mapping Table)'!E:E,'FL5_POR_包裝對照表 (Mapping Table)'!AN:AN,"",0,1))</f>
        <v/>
      </c>
      <c r="J225" s="894" t="str">
        <f t="array" ref="J225">if(isblank(F225),"",xlookup(G225,z_Others!$B$5:$B$17,z_Others!$C$5:$C$17,"",0,1))</f>
        <v/>
      </c>
      <c r="K225" s="894" t="str">
        <f t="array" ref="K225">if(isblank(F225),"",xlookup(G225,z_Others!$B$5:$B$17,z_Others!$E$5:$E$17,"",0,1))</f>
        <v/>
      </c>
      <c r="L225" s="894" t="str">
        <f t="array" ref="L225">if(isblank(F225),"",xlookup(G225,z_Others!$B$5:$B$17,z_Others!$F$5:$F$17,"",0,1))</f>
        <v/>
      </c>
      <c r="M225" s="894" t="str">
        <f t="shared" si="3"/>
        <v/>
      </c>
      <c r="N225" s="894" t="str">
        <f t="shared" si="4"/>
        <v/>
      </c>
      <c r="O225" s="882" t="str">
        <f t="array" ref="O225">if(isblank(F225),"",xlookup(F225,'FL5_POR_包裝對照表 (Mapping Table)'!E:E,'FL5_POR_包裝對照表 (Mapping Table)'!L:L,"",0,1))</f>
        <v/>
      </c>
      <c r="P225" s="909" t="str">
        <f t="array" ref="P225">if(isblank(F225),"",xlookup(G225,z_Others!$B$5:$B$17,z_Others!$J$5:$J$17,"",0,1))</f>
        <v/>
      </c>
      <c r="Q225" s="899" t="str">
        <f t="array" ref="Q225">if(isblank(F225),"",xlookup(F225,'FL5_POR_核價 (經管 &amp; BPM)'!E:E,'FL5_POR_核價 (經管 &amp; BPM)'!O:O,"",0,1))</f>
        <v/>
      </c>
      <c r="R225" s="894" t="str">
        <f t="shared" si="5"/>
        <v/>
      </c>
      <c r="S225" s="894" t="str">
        <f t="array" ref="S225">if(isblank(F225),"",xlookup(G225,z_Others!$B$5:$B$17,z_Others!$K$5:$K$17,"",0,1))</f>
        <v/>
      </c>
      <c r="T225" s="894" t="str">
        <f t="shared" si="19"/>
        <v/>
      </c>
      <c r="U225" s="898" t="str">
        <f t="array" ref="U225">if(isblank(F225),"",xlookup(G225,z_Others!$B$5:$B$17,z_Others!$G$5:$G$17,"",0,1))</f>
        <v/>
      </c>
      <c r="V225" s="231" t="str">
        <f t="array" ref="V225">if(isblank(F225),"",xlookup(F225,'FL5_POR_包裝對照表 (Mapping Table)'!E:E,'FL5_POR_包裝對照表 (Mapping Table)'!AB:AB,"",0,1))</f>
        <v/>
      </c>
      <c r="W225" s="899" t="str">
        <f t="array" ref="W225">if(isblank(F225),"",xlookup(G225,z_Others!$B$5:$B$17,z_Others!$I$5:$I$17,"",0,1))</f>
        <v/>
      </c>
      <c r="X225" s="894" t="str">
        <f t="shared" si="7"/>
        <v/>
      </c>
      <c r="Y225" s="894" t="str">
        <f t="shared" si="8"/>
        <v/>
      </c>
      <c r="Z225" s="900" t="str">
        <f t="shared" si="9"/>
        <v/>
      </c>
      <c r="AA225" s="900" t="str">
        <f t="shared" si="10"/>
        <v/>
      </c>
      <c r="AB225" s="878" t="str">
        <f t="array" ref="AB225">if(isblank(F225),"",xlookup(AJ225,z_Others!$M$5:$M$9,z_Others!$Q$5:$Q$9,"",0,1))</f>
        <v/>
      </c>
      <c r="AC225" s="900" t="str">
        <f t="shared" si="11"/>
        <v/>
      </c>
      <c r="AD225" s="894" t="str">
        <f t="array" ref="AD225">if(isblank(F225),"",xlookup(G225,z_Others!$B$5:$B$14,z_Others!$H$5:$H$14,"",0,1))</f>
        <v/>
      </c>
      <c r="AE225" s="901" t="str">
        <f t="shared" si="12"/>
        <v/>
      </c>
      <c r="AF225" s="791"/>
      <c r="AG225" s="791" t="str">
        <f t="shared" si="21"/>
        <v/>
      </c>
      <c r="AH225" s="787"/>
      <c r="AI225" s="787"/>
      <c r="AJ225" s="677" t="str">
        <f t="array" ref="AJ225">if(isblank(F225),"",xlookup(F225,'FL5_POR_包裝對照表 (Mapping Table)'!E:E,'FL5_POR_包裝對照表 (Mapping Table)'!AS:AS,"",0,1))</f>
        <v/>
      </c>
      <c r="AK225" s="677" t="str">
        <f t="array" ref="AK225">if(isblank(F225),"",xlookup(F225,'FL5_POR_包裝對照表 (Mapping Table)'!E:E,'FL5_POR_包裝對照表 (Mapping Table)'!K:K,"",0,1))</f>
        <v/>
      </c>
      <c r="AL225" s="677"/>
      <c r="AM225" s="813"/>
      <c r="AN225" s="908"/>
      <c r="AO225" s="813"/>
      <c r="AP225" s="813"/>
    </row>
    <row r="226" ht="18.0" customHeight="1">
      <c r="A226" s="910"/>
      <c r="B226" s="908"/>
      <c r="C226" s="891" t="str">
        <f>if(isblank(F226),"",'FL5_POR_包裝對照表 (Mapping Table)'!$E$4)</f>
        <v/>
      </c>
      <c r="D226" s="878" t="str">
        <f t="array" ref="D226">if(isblank(F226),"",xlookup(F226,'FL5_POR_包裝對照表 (Mapping Table)'!E:E,'FL5_POR_包裝對照表 (Mapping Table)'!AZ:AZ,"",0,1))</f>
        <v/>
      </c>
      <c r="E226" s="677" t="str">
        <f t="shared" si="2"/>
        <v/>
      </c>
      <c r="F226" s="879"/>
      <c r="G226" s="892" t="str">
        <f t="array" ref="G226">if(isblank(F226),"",xlookup(F226,'FL5_POR_包裝對照表 (Mapping Table)'!E:E,'FL5_POR_包裝對照表 (Mapping Table)'!D:D,"",0,1))</f>
        <v/>
      </c>
      <c r="H226" s="893" t="str">
        <f t="array" ref="H226">if(isblank(F226),"",xlookup(F226,'FL5_POR_包裝對照表 (Mapping Table)'!E:E,'FL5_POR_包裝對照表 (Mapping Table)'!E:E,"",0,1))</f>
        <v/>
      </c>
      <c r="I226" s="677" t="str">
        <f t="array" ref="I226">if(isblank(F226),"",xlookup(F226,'FL5_POR_包裝對照表 (Mapping Table)'!E:E,'FL5_POR_包裝對照表 (Mapping Table)'!AN:AN,"",0,1))</f>
        <v/>
      </c>
      <c r="J226" s="894" t="str">
        <f t="array" ref="J226">if(isblank(F226),"",xlookup(G226,z_Others!$B$5:$B$17,z_Others!$C$5:$C$17,"",0,1))</f>
        <v/>
      </c>
      <c r="K226" s="894" t="str">
        <f t="array" ref="K226">if(isblank(F226),"",xlookup(G226,z_Others!$B$5:$B$17,z_Others!$E$5:$E$17,"",0,1))</f>
        <v/>
      </c>
      <c r="L226" s="894" t="str">
        <f t="array" ref="L226">if(isblank(F226),"",xlookup(G226,z_Others!$B$5:$B$17,z_Others!$F$5:$F$17,"",0,1))</f>
        <v/>
      </c>
      <c r="M226" s="894" t="str">
        <f t="shared" si="3"/>
        <v/>
      </c>
      <c r="N226" s="894" t="str">
        <f t="shared" si="4"/>
        <v/>
      </c>
      <c r="O226" s="882" t="str">
        <f t="array" ref="O226">if(isblank(F226),"",xlookup(F226,'FL5_POR_包裝對照表 (Mapping Table)'!E:E,'FL5_POR_包裝對照表 (Mapping Table)'!L:L,"",0,1))</f>
        <v/>
      </c>
      <c r="P226" s="909" t="str">
        <f t="array" ref="P226">if(isblank(F226),"",xlookup(G226,z_Others!$B$5:$B$17,z_Others!$J$5:$J$17,"",0,1))</f>
        <v/>
      </c>
      <c r="Q226" s="899" t="str">
        <f t="array" ref="Q226">if(isblank(F226),"",xlookup(F226,'FL5_POR_核價 (經管 &amp; BPM)'!E:E,'FL5_POR_核價 (經管 &amp; BPM)'!O:O,"",0,1))</f>
        <v/>
      </c>
      <c r="R226" s="894" t="str">
        <f t="shared" si="5"/>
        <v/>
      </c>
      <c r="S226" s="894" t="str">
        <f t="array" ref="S226">if(isblank(F226),"",xlookup(G226,z_Others!$B$5:$B$17,z_Others!$K$5:$K$17,"",0,1))</f>
        <v/>
      </c>
      <c r="T226" s="894" t="str">
        <f t="shared" si="19"/>
        <v/>
      </c>
      <c r="U226" s="898" t="str">
        <f t="array" ref="U226">if(isblank(F226),"",xlookup(G226,z_Others!$B$5:$B$17,z_Others!$G$5:$G$17,"",0,1))</f>
        <v/>
      </c>
      <c r="V226" s="231" t="str">
        <f t="array" ref="V226">if(isblank(F226),"",xlookup(F226,'FL5_POR_包裝對照表 (Mapping Table)'!E:E,'FL5_POR_包裝對照表 (Mapping Table)'!AB:AB,"",0,1))</f>
        <v/>
      </c>
      <c r="W226" s="899" t="str">
        <f t="array" ref="W226">if(isblank(F226),"",xlookup(G226,z_Others!$B$5:$B$17,z_Others!$I$5:$I$17,"",0,1))</f>
        <v/>
      </c>
      <c r="X226" s="894" t="str">
        <f t="shared" si="7"/>
        <v/>
      </c>
      <c r="Y226" s="894" t="str">
        <f t="shared" si="8"/>
        <v/>
      </c>
      <c r="Z226" s="900" t="str">
        <f t="shared" si="9"/>
        <v/>
      </c>
      <c r="AA226" s="900" t="str">
        <f t="shared" si="10"/>
        <v/>
      </c>
      <c r="AB226" s="878" t="str">
        <f t="array" ref="AB226">if(isblank(F226),"",xlookup(AJ226,z_Others!$M$5:$M$9,z_Others!$Q$5:$Q$9,"",0,1))</f>
        <v/>
      </c>
      <c r="AC226" s="900" t="str">
        <f t="shared" si="11"/>
        <v/>
      </c>
      <c r="AD226" s="894" t="str">
        <f t="array" ref="AD226">if(isblank(F226),"",xlookup(G226,z_Others!$B$5:$B$14,z_Others!$H$5:$H$14,"",0,1))</f>
        <v/>
      </c>
      <c r="AE226" s="901" t="str">
        <f t="shared" si="12"/>
        <v/>
      </c>
      <c r="AF226" s="791"/>
      <c r="AG226" s="791" t="str">
        <f t="shared" si="21"/>
        <v/>
      </c>
      <c r="AH226" s="787"/>
      <c r="AI226" s="787"/>
      <c r="AJ226" s="677" t="str">
        <f t="array" ref="AJ226">if(isblank(F226),"",xlookup(F226,'FL5_POR_包裝對照表 (Mapping Table)'!E:E,'FL5_POR_包裝對照表 (Mapping Table)'!AS:AS,"",0,1))</f>
        <v/>
      </c>
      <c r="AK226" s="677" t="str">
        <f t="array" ref="AK226">if(isblank(F226),"",xlookup(F226,'FL5_POR_包裝對照表 (Mapping Table)'!E:E,'FL5_POR_包裝對照表 (Mapping Table)'!K:K,"",0,1))</f>
        <v/>
      </c>
      <c r="AL226" s="677"/>
      <c r="AM226" s="813"/>
      <c r="AN226" s="908"/>
      <c r="AO226" s="813"/>
      <c r="AP226" s="813"/>
    </row>
    <row r="227" ht="18.0" customHeight="1">
      <c r="A227" s="910"/>
      <c r="B227" s="908"/>
      <c r="C227" s="891" t="str">
        <f>if(isblank(F227),"",'FL5_POR_包裝對照表 (Mapping Table)'!$E$4)</f>
        <v/>
      </c>
      <c r="D227" s="878" t="str">
        <f t="array" ref="D227">if(isblank(F227),"",xlookup(F227,'FL5_POR_包裝對照表 (Mapping Table)'!E:E,'FL5_POR_包裝對照表 (Mapping Table)'!AZ:AZ,"",0,1))</f>
        <v/>
      </c>
      <c r="E227" s="677" t="str">
        <f t="shared" si="2"/>
        <v/>
      </c>
      <c r="F227" s="879"/>
      <c r="G227" s="892" t="str">
        <f t="array" ref="G227">if(isblank(F227),"",xlookup(F227,'FL5_POR_包裝對照表 (Mapping Table)'!E:E,'FL5_POR_包裝對照表 (Mapping Table)'!D:D,"",0,1))</f>
        <v/>
      </c>
      <c r="H227" s="893" t="str">
        <f t="array" ref="H227">if(isblank(F227),"",xlookup(F227,'FL5_POR_包裝對照表 (Mapping Table)'!E:E,'FL5_POR_包裝對照表 (Mapping Table)'!E:E,"",0,1))</f>
        <v/>
      </c>
      <c r="I227" s="677" t="str">
        <f t="array" ref="I227">if(isblank(F227),"",xlookup(F227,'FL5_POR_包裝對照表 (Mapping Table)'!E:E,'FL5_POR_包裝對照表 (Mapping Table)'!AN:AN,"",0,1))</f>
        <v/>
      </c>
      <c r="J227" s="894" t="str">
        <f t="array" ref="J227">if(isblank(F227),"",xlookup(G227,z_Others!$B$5:$B$17,z_Others!$C$5:$C$17,"",0,1))</f>
        <v/>
      </c>
      <c r="K227" s="894" t="str">
        <f t="array" ref="K227">if(isblank(F227),"",xlookup(G227,z_Others!$B$5:$B$17,z_Others!$E$5:$E$17,"",0,1))</f>
        <v/>
      </c>
      <c r="L227" s="894" t="str">
        <f t="array" ref="L227">if(isblank(F227),"",xlookup(G227,z_Others!$B$5:$B$17,z_Others!$F$5:$F$17,"",0,1))</f>
        <v/>
      </c>
      <c r="M227" s="894" t="str">
        <f t="shared" si="3"/>
        <v/>
      </c>
      <c r="N227" s="894" t="str">
        <f t="shared" si="4"/>
        <v/>
      </c>
      <c r="O227" s="882" t="str">
        <f t="array" ref="O227">if(isblank(F227),"",xlookup(F227,'FL5_POR_包裝對照表 (Mapping Table)'!E:E,'FL5_POR_包裝對照表 (Mapping Table)'!L:L,"",0,1))</f>
        <v/>
      </c>
      <c r="P227" s="909" t="str">
        <f t="array" ref="P227">if(isblank(F227),"",xlookup(G227,z_Others!$B$5:$B$17,z_Others!$J$5:$J$17,"",0,1))</f>
        <v/>
      </c>
      <c r="Q227" s="899" t="str">
        <f t="array" ref="Q227">if(isblank(F227),"",xlookup(F227,'FL5_POR_核價 (經管 &amp; BPM)'!E:E,'FL5_POR_核價 (經管 &amp; BPM)'!O:O,"",0,1))</f>
        <v/>
      </c>
      <c r="R227" s="894" t="str">
        <f t="shared" si="5"/>
        <v/>
      </c>
      <c r="S227" s="894" t="str">
        <f t="array" ref="S227">if(isblank(F227),"",xlookup(G227,z_Others!$B$5:$B$17,z_Others!$K$5:$K$17,"",0,1))</f>
        <v/>
      </c>
      <c r="T227" s="894" t="str">
        <f t="shared" si="19"/>
        <v/>
      </c>
      <c r="U227" s="898" t="str">
        <f t="array" ref="U227">if(isblank(F227),"",xlookup(G227,z_Others!$B$5:$B$17,z_Others!$G$5:$G$17,"",0,1))</f>
        <v/>
      </c>
      <c r="V227" s="231" t="str">
        <f t="array" ref="V227">if(isblank(F227),"",xlookup(F227,'FL5_POR_包裝對照表 (Mapping Table)'!E:E,'FL5_POR_包裝對照表 (Mapping Table)'!AB:AB,"",0,1))</f>
        <v/>
      </c>
      <c r="W227" s="899" t="str">
        <f t="array" ref="W227">if(isblank(F227),"",xlookup(G227,z_Others!$B$5:$B$17,z_Others!$I$5:$I$17,"",0,1))</f>
        <v/>
      </c>
      <c r="X227" s="894" t="str">
        <f t="shared" si="7"/>
        <v/>
      </c>
      <c r="Y227" s="894" t="str">
        <f t="shared" si="8"/>
        <v/>
      </c>
      <c r="Z227" s="900" t="str">
        <f t="shared" si="9"/>
        <v/>
      </c>
      <c r="AA227" s="900" t="str">
        <f t="shared" si="10"/>
        <v/>
      </c>
      <c r="AB227" s="878" t="str">
        <f t="array" ref="AB227">if(isblank(F227),"",xlookup(AJ227,z_Others!$M$5:$M$9,z_Others!$Q$5:$Q$9,"",0,1))</f>
        <v/>
      </c>
      <c r="AC227" s="900" t="str">
        <f t="shared" si="11"/>
        <v/>
      </c>
      <c r="AD227" s="894" t="str">
        <f t="array" ref="AD227">if(isblank(F227),"",xlookup(G227,z_Others!$B$5:$B$14,z_Others!$H$5:$H$14,"",0,1))</f>
        <v/>
      </c>
      <c r="AE227" s="901" t="str">
        <f t="shared" si="12"/>
        <v/>
      </c>
      <c r="AF227" s="791"/>
      <c r="AG227" s="791" t="str">
        <f t="shared" si="21"/>
        <v/>
      </c>
      <c r="AH227" s="787"/>
      <c r="AI227" s="787"/>
      <c r="AJ227" s="677" t="str">
        <f t="array" ref="AJ227">if(isblank(F227),"",xlookup(F227,'FL5_POR_包裝對照表 (Mapping Table)'!E:E,'FL5_POR_包裝對照表 (Mapping Table)'!AS:AS,"",0,1))</f>
        <v/>
      </c>
      <c r="AK227" s="677" t="str">
        <f t="array" ref="AK227">if(isblank(F227),"",xlookup(F227,'FL5_POR_包裝對照表 (Mapping Table)'!E:E,'FL5_POR_包裝對照表 (Mapping Table)'!K:K,"",0,1))</f>
        <v/>
      </c>
      <c r="AL227" s="677"/>
      <c r="AM227" s="813"/>
      <c r="AN227" s="908"/>
      <c r="AO227" s="813"/>
      <c r="AP227" s="813"/>
    </row>
    <row r="228" ht="18.0" customHeight="1">
      <c r="A228" s="910"/>
      <c r="B228" s="908"/>
      <c r="C228" s="891" t="str">
        <f>if(isblank(F228),"",'FL5_POR_包裝對照表 (Mapping Table)'!$E$4)</f>
        <v/>
      </c>
      <c r="D228" s="878" t="str">
        <f t="array" ref="D228">if(isblank(F228),"",xlookup(F228,'FL5_POR_包裝對照表 (Mapping Table)'!E:E,'FL5_POR_包裝對照表 (Mapping Table)'!AZ:AZ,"",0,1))</f>
        <v/>
      </c>
      <c r="E228" s="677" t="str">
        <f t="shared" si="2"/>
        <v/>
      </c>
      <c r="F228" s="879"/>
      <c r="G228" s="892" t="str">
        <f t="array" ref="G228">if(isblank(F228),"",xlookup(F228,'FL5_POR_包裝對照表 (Mapping Table)'!E:E,'FL5_POR_包裝對照表 (Mapping Table)'!D:D,"",0,1))</f>
        <v/>
      </c>
      <c r="H228" s="893" t="str">
        <f t="array" ref="H228">if(isblank(F228),"",xlookup(F228,'FL5_POR_包裝對照表 (Mapping Table)'!E:E,'FL5_POR_包裝對照表 (Mapping Table)'!E:E,"",0,1))</f>
        <v/>
      </c>
      <c r="I228" s="677" t="str">
        <f t="array" ref="I228">if(isblank(F228),"",xlookup(F228,'FL5_POR_包裝對照表 (Mapping Table)'!E:E,'FL5_POR_包裝對照表 (Mapping Table)'!AN:AN,"",0,1))</f>
        <v/>
      </c>
      <c r="J228" s="894" t="str">
        <f t="array" ref="J228">if(isblank(F228),"",xlookup(G228,z_Others!$B$5:$B$17,z_Others!$C$5:$C$17,"",0,1))</f>
        <v/>
      </c>
      <c r="K228" s="894" t="str">
        <f t="array" ref="K228">if(isblank(F228),"",xlookup(G228,z_Others!$B$5:$B$17,z_Others!$E$5:$E$17,"",0,1))</f>
        <v/>
      </c>
      <c r="L228" s="894" t="str">
        <f t="array" ref="L228">if(isblank(F228),"",xlookup(G228,z_Others!$B$5:$B$17,z_Others!$F$5:$F$17,"",0,1))</f>
        <v/>
      </c>
      <c r="M228" s="894" t="str">
        <f t="shared" si="3"/>
        <v/>
      </c>
      <c r="N228" s="894" t="str">
        <f t="shared" si="4"/>
        <v/>
      </c>
      <c r="O228" s="882" t="str">
        <f t="array" ref="O228">if(isblank(F228),"",xlookup(F228,'FL5_POR_包裝對照表 (Mapping Table)'!E:E,'FL5_POR_包裝對照表 (Mapping Table)'!L:L,"",0,1))</f>
        <v/>
      </c>
      <c r="P228" s="909" t="str">
        <f t="array" ref="P228">if(isblank(F228),"",xlookup(G228,z_Others!$B$5:$B$17,z_Others!$J$5:$J$17,"",0,1))</f>
        <v/>
      </c>
      <c r="Q228" s="899" t="str">
        <f t="array" ref="Q228">if(isblank(F228),"",xlookup(F228,'FL5_POR_核價 (經管 &amp; BPM)'!E:E,'FL5_POR_核價 (經管 &amp; BPM)'!O:O,"",0,1))</f>
        <v/>
      </c>
      <c r="R228" s="894" t="str">
        <f t="shared" si="5"/>
        <v/>
      </c>
      <c r="S228" s="894" t="str">
        <f t="array" ref="S228">if(isblank(F228),"",xlookup(G228,z_Others!$B$5:$B$17,z_Others!$K$5:$K$17,"",0,1))</f>
        <v/>
      </c>
      <c r="T228" s="894" t="str">
        <f t="shared" si="19"/>
        <v/>
      </c>
      <c r="U228" s="898" t="str">
        <f t="array" ref="U228">if(isblank(F228),"",xlookup(G228,z_Others!$B$5:$B$17,z_Others!$G$5:$G$17,"",0,1))</f>
        <v/>
      </c>
      <c r="V228" s="231" t="str">
        <f t="array" ref="V228">if(isblank(F228),"",xlookup(F228,'FL5_POR_包裝對照表 (Mapping Table)'!E:E,'FL5_POR_包裝對照表 (Mapping Table)'!AB:AB,"",0,1))</f>
        <v/>
      </c>
      <c r="W228" s="899" t="str">
        <f t="array" ref="W228">if(isblank(F228),"",xlookup(G228,z_Others!$B$5:$B$17,z_Others!$I$5:$I$17,"",0,1))</f>
        <v/>
      </c>
      <c r="X228" s="894" t="str">
        <f t="shared" si="7"/>
        <v/>
      </c>
      <c r="Y228" s="894" t="str">
        <f t="shared" si="8"/>
        <v/>
      </c>
      <c r="Z228" s="900" t="str">
        <f t="shared" si="9"/>
        <v/>
      </c>
      <c r="AA228" s="900" t="str">
        <f t="shared" si="10"/>
        <v/>
      </c>
      <c r="AB228" s="878" t="str">
        <f t="array" ref="AB228">if(isblank(F228),"",xlookup(AJ228,z_Others!$M$5:$M$9,z_Others!$Q$5:$Q$9,"",0,1))</f>
        <v/>
      </c>
      <c r="AC228" s="900" t="str">
        <f t="shared" si="11"/>
        <v/>
      </c>
      <c r="AD228" s="894" t="str">
        <f t="array" ref="AD228">if(isblank(F228),"",xlookup(G228,z_Others!$B$5:$B$14,z_Others!$H$5:$H$14,"",0,1))</f>
        <v/>
      </c>
      <c r="AE228" s="901" t="str">
        <f t="shared" si="12"/>
        <v/>
      </c>
      <c r="AF228" s="791"/>
      <c r="AG228" s="791" t="str">
        <f t="shared" si="21"/>
        <v/>
      </c>
      <c r="AH228" s="787"/>
      <c r="AI228" s="787"/>
      <c r="AJ228" s="677" t="str">
        <f t="array" ref="AJ228">if(isblank(F228),"",xlookup(F228,'FL5_POR_包裝對照表 (Mapping Table)'!E:E,'FL5_POR_包裝對照表 (Mapping Table)'!AS:AS,"",0,1))</f>
        <v/>
      </c>
      <c r="AK228" s="677" t="str">
        <f t="array" ref="AK228">if(isblank(F228),"",xlookup(F228,'FL5_POR_包裝對照表 (Mapping Table)'!E:E,'FL5_POR_包裝對照表 (Mapping Table)'!K:K,"",0,1))</f>
        <v/>
      </c>
      <c r="AL228" s="677"/>
      <c r="AM228" s="813"/>
      <c r="AN228" s="908"/>
      <c r="AO228" s="813"/>
      <c r="AP228" s="813"/>
    </row>
    <row r="229" ht="18.0" customHeight="1">
      <c r="A229" s="910"/>
      <c r="B229" s="908"/>
      <c r="C229" s="891" t="str">
        <f>if(isblank(F229),"",'FL5_POR_包裝對照表 (Mapping Table)'!$E$4)</f>
        <v/>
      </c>
      <c r="D229" s="878" t="str">
        <f t="array" ref="D229">if(isblank(F229),"",xlookup(F229,'FL5_POR_包裝對照表 (Mapping Table)'!E:E,'FL5_POR_包裝對照表 (Mapping Table)'!AZ:AZ,"",0,1))</f>
        <v/>
      </c>
      <c r="E229" s="677" t="str">
        <f t="shared" si="2"/>
        <v/>
      </c>
      <c r="F229" s="879"/>
      <c r="G229" s="892" t="str">
        <f t="array" ref="G229">if(isblank(F229),"",xlookup(F229,'FL5_POR_包裝對照表 (Mapping Table)'!E:E,'FL5_POR_包裝對照表 (Mapping Table)'!D:D,"",0,1))</f>
        <v/>
      </c>
      <c r="H229" s="893" t="str">
        <f t="array" ref="H229">if(isblank(F229),"",xlookup(F229,'FL5_POR_包裝對照表 (Mapping Table)'!E:E,'FL5_POR_包裝對照表 (Mapping Table)'!E:E,"",0,1))</f>
        <v/>
      </c>
      <c r="I229" s="677" t="str">
        <f t="array" ref="I229">if(isblank(F229),"",xlookup(F229,'FL5_POR_包裝對照表 (Mapping Table)'!E:E,'FL5_POR_包裝對照表 (Mapping Table)'!AN:AN,"",0,1))</f>
        <v/>
      </c>
      <c r="J229" s="894" t="str">
        <f t="array" ref="J229">if(isblank(F229),"",xlookup(G229,z_Others!$B$5:$B$17,z_Others!$C$5:$C$17,"",0,1))</f>
        <v/>
      </c>
      <c r="K229" s="894" t="str">
        <f t="array" ref="K229">if(isblank(F229),"",xlookup(G229,z_Others!$B$5:$B$17,z_Others!$E$5:$E$17,"",0,1))</f>
        <v/>
      </c>
      <c r="L229" s="894" t="str">
        <f t="array" ref="L229">if(isblank(F229),"",xlookup(G229,z_Others!$B$5:$B$17,z_Others!$F$5:$F$17,"",0,1))</f>
        <v/>
      </c>
      <c r="M229" s="894" t="str">
        <f t="shared" si="3"/>
        <v/>
      </c>
      <c r="N229" s="894" t="str">
        <f t="shared" si="4"/>
        <v/>
      </c>
      <c r="O229" s="882" t="str">
        <f t="array" ref="O229">if(isblank(F229),"",xlookup(F229,'FL5_POR_包裝對照表 (Mapping Table)'!E:E,'FL5_POR_包裝對照表 (Mapping Table)'!L:L,"",0,1))</f>
        <v/>
      </c>
      <c r="P229" s="909" t="str">
        <f t="array" ref="P229">if(isblank(F229),"",xlookup(G229,z_Others!$B$5:$B$17,z_Others!$J$5:$J$17,"",0,1))</f>
        <v/>
      </c>
      <c r="Q229" s="899" t="str">
        <f t="array" ref="Q229">if(isblank(F229),"",xlookup(F229,'FL5_POR_核價 (經管 &amp; BPM)'!E:E,'FL5_POR_核價 (經管 &amp; BPM)'!O:O,"",0,1))</f>
        <v/>
      </c>
      <c r="R229" s="894" t="str">
        <f t="shared" si="5"/>
        <v/>
      </c>
      <c r="S229" s="894" t="str">
        <f t="array" ref="S229">if(isblank(F229),"",xlookup(G229,z_Others!$B$5:$B$17,z_Others!$K$5:$K$17,"",0,1))</f>
        <v/>
      </c>
      <c r="T229" s="894" t="str">
        <f t="shared" si="19"/>
        <v/>
      </c>
      <c r="U229" s="898" t="str">
        <f t="array" ref="U229">if(isblank(F229),"",xlookup(G229,z_Others!$B$5:$B$17,z_Others!$G$5:$G$17,"",0,1))</f>
        <v/>
      </c>
      <c r="V229" s="231" t="str">
        <f t="array" ref="V229">if(isblank(F229),"",xlookup(F229,'FL5_POR_包裝對照表 (Mapping Table)'!E:E,'FL5_POR_包裝對照表 (Mapping Table)'!AB:AB,"",0,1))</f>
        <v/>
      </c>
      <c r="W229" s="899" t="str">
        <f t="array" ref="W229">if(isblank(F229),"",xlookup(G229,z_Others!$B$5:$B$17,z_Others!$I$5:$I$17,"",0,1))</f>
        <v/>
      </c>
      <c r="X229" s="894" t="str">
        <f t="shared" si="7"/>
        <v/>
      </c>
      <c r="Y229" s="894" t="str">
        <f t="shared" si="8"/>
        <v/>
      </c>
      <c r="Z229" s="900" t="str">
        <f t="shared" si="9"/>
        <v/>
      </c>
      <c r="AA229" s="900" t="str">
        <f t="shared" si="10"/>
        <v/>
      </c>
      <c r="AB229" s="878" t="str">
        <f t="array" ref="AB229">if(isblank(F229),"",xlookup(AJ229,z_Others!$M$5:$M$9,z_Others!$Q$5:$Q$9,"",0,1))</f>
        <v/>
      </c>
      <c r="AC229" s="900" t="str">
        <f t="shared" si="11"/>
        <v/>
      </c>
      <c r="AD229" s="894" t="str">
        <f t="array" ref="AD229">if(isblank(F229),"",xlookup(G229,z_Others!$B$5:$B$14,z_Others!$H$5:$H$14,"",0,1))</f>
        <v/>
      </c>
      <c r="AE229" s="901" t="str">
        <f t="shared" si="12"/>
        <v/>
      </c>
      <c r="AF229" s="791"/>
      <c r="AG229" s="791" t="str">
        <f t="shared" si="21"/>
        <v/>
      </c>
      <c r="AH229" s="787"/>
      <c r="AI229" s="787"/>
      <c r="AJ229" s="677" t="str">
        <f t="array" ref="AJ229">if(isblank(F229),"",xlookup(F229,'FL5_POR_包裝對照表 (Mapping Table)'!E:E,'FL5_POR_包裝對照表 (Mapping Table)'!AS:AS,"",0,1))</f>
        <v/>
      </c>
      <c r="AK229" s="677" t="str">
        <f t="array" ref="AK229">if(isblank(F229),"",xlookup(F229,'FL5_POR_包裝對照表 (Mapping Table)'!E:E,'FL5_POR_包裝對照表 (Mapping Table)'!K:K,"",0,1))</f>
        <v/>
      </c>
      <c r="AL229" s="677"/>
      <c r="AM229" s="813"/>
      <c r="AN229" s="908"/>
      <c r="AO229" s="813"/>
      <c r="AP229" s="813"/>
    </row>
    <row r="230" ht="18.0" customHeight="1">
      <c r="A230" s="910"/>
      <c r="B230" s="908"/>
      <c r="C230" s="891" t="str">
        <f>if(isblank(F230),"",'FL5_POR_包裝對照表 (Mapping Table)'!$E$4)</f>
        <v/>
      </c>
      <c r="D230" s="878" t="str">
        <f t="array" ref="D230">if(isblank(F230),"",xlookup(F230,'FL5_POR_包裝對照表 (Mapping Table)'!E:E,'FL5_POR_包裝對照表 (Mapping Table)'!AZ:AZ,"",0,1))</f>
        <v/>
      </c>
      <c r="E230" s="677" t="str">
        <f t="shared" si="2"/>
        <v/>
      </c>
      <c r="F230" s="879"/>
      <c r="G230" s="892" t="str">
        <f t="array" ref="G230">if(isblank(F230),"",xlookup(F230,'FL5_POR_包裝對照表 (Mapping Table)'!E:E,'FL5_POR_包裝對照表 (Mapping Table)'!D:D,"",0,1))</f>
        <v/>
      </c>
      <c r="H230" s="893" t="str">
        <f t="array" ref="H230">if(isblank(F230),"",xlookup(F230,'FL5_POR_包裝對照表 (Mapping Table)'!E:E,'FL5_POR_包裝對照表 (Mapping Table)'!E:E,"",0,1))</f>
        <v/>
      </c>
      <c r="I230" s="677" t="str">
        <f t="array" ref="I230">if(isblank(F230),"",xlookup(F230,'FL5_POR_包裝對照表 (Mapping Table)'!E:E,'FL5_POR_包裝對照表 (Mapping Table)'!AN:AN,"",0,1))</f>
        <v/>
      </c>
      <c r="J230" s="894" t="str">
        <f t="array" ref="J230">if(isblank(F230),"",xlookup(G230,z_Others!$B$5:$B$17,z_Others!$C$5:$C$17,"",0,1))</f>
        <v/>
      </c>
      <c r="K230" s="894" t="str">
        <f t="array" ref="K230">if(isblank(F230),"",xlookup(G230,z_Others!$B$5:$B$17,z_Others!$E$5:$E$17,"",0,1))</f>
        <v/>
      </c>
      <c r="L230" s="894" t="str">
        <f t="array" ref="L230">if(isblank(F230),"",xlookup(G230,z_Others!$B$5:$B$17,z_Others!$F$5:$F$17,"",0,1))</f>
        <v/>
      </c>
      <c r="M230" s="894" t="str">
        <f t="shared" si="3"/>
        <v/>
      </c>
      <c r="N230" s="894" t="str">
        <f t="shared" si="4"/>
        <v/>
      </c>
      <c r="O230" s="882" t="str">
        <f t="array" ref="O230">if(isblank(F230),"",xlookup(F230,'FL5_POR_包裝對照表 (Mapping Table)'!E:E,'FL5_POR_包裝對照表 (Mapping Table)'!L:L,"",0,1))</f>
        <v/>
      </c>
      <c r="P230" s="909" t="str">
        <f t="array" ref="P230">if(isblank(F230),"",xlookup(G230,z_Others!$B$5:$B$17,z_Others!$J$5:$J$17,"",0,1))</f>
        <v/>
      </c>
      <c r="Q230" s="899" t="str">
        <f t="array" ref="Q230">if(isblank(F230),"",xlookup(F230,'FL5_POR_核價 (經管 &amp; BPM)'!E:E,'FL5_POR_核價 (經管 &amp; BPM)'!O:O,"",0,1))</f>
        <v/>
      </c>
      <c r="R230" s="894" t="str">
        <f t="shared" si="5"/>
        <v/>
      </c>
      <c r="S230" s="894" t="str">
        <f t="array" ref="S230">if(isblank(F230),"",xlookup(G230,z_Others!$B$5:$B$17,z_Others!$K$5:$K$17,"",0,1))</f>
        <v/>
      </c>
      <c r="T230" s="894" t="str">
        <f t="shared" si="19"/>
        <v/>
      </c>
      <c r="U230" s="898" t="str">
        <f t="array" ref="U230">if(isblank(F230),"",xlookup(G230,z_Others!$B$5:$B$17,z_Others!$G$5:$G$17,"",0,1))</f>
        <v/>
      </c>
      <c r="V230" s="231" t="str">
        <f t="array" ref="V230">if(isblank(F230),"",xlookup(F230,'FL5_POR_包裝對照表 (Mapping Table)'!E:E,'FL5_POR_包裝對照表 (Mapping Table)'!AB:AB,"",0,1))</f>
        <v/>
      </c>
      <c r="W230" s="899" t="str">
        <f t="array" ref="W230">if(isblank(F230),"",xlookup(G230,z_Others!$B$5:$B$17,z_Others!$I$5:$I$17,"",0,1))</f>
        <v/>
      </c>
      <c r="X230" s="894" t="str">
        <f t="shared" si="7"/>
        <v/>
      </c>
      <c r="Y230" s="894" t="str">
        <f t="shared" si="8"/>
        <v/>
      </c>
      <c r="Z230" s="900" t="str">
        <f t="shared" si="9"/>
        <v/>
      </c>
      <c r="AA230" s="900" t="str">
        <f t="shared" si="10"/>
        <v/>
      </c>
      <c r="AB230" s="878" t="str">
        <f t="array" ref="AB230">if(isblank(F230),"",xlookup(AJ230,z_Others!$M$5:$M$9,z_Others!$Q$5:$Q$9,"",0,1))</f>
        <v/>
      </c>
      <c r="AC230" s="900" t="str">
        <f t="shared" si="11"/>
        <v/>
      </c>
      <c r="AD230" s="894" t="str">
        <f t="array" ref="AD230">if(isblank(F230),"",xlookup(G230,z_Others!$B$5:$B$14,z_Others!$H$5:$H$14,"",0,1))</f>
        <v/>
      </c>
      <c r="AE230" s="901" t="str">
        <f t="shared" si="12"/>
        <v/>
      </c>
      <c r="AF230" s="791"/>
      <c r="AG230" s="791" t="str">
        <f t="shared" si="21"/>
        <v/>
      </c>
      <c r="AH230" s="787"/>
      <c r="AI230" s="787"/>
      <c r="AJ230" s="677" t="str">
        <f t="array" ref="AJ230">if(isblank(F230),"",xlookup(F230,'FL5_POR_包裝對照表 (Mapping Table)'!E:E,'FL5_POR_包裝對照表 (Mapping Table)'!AS:AS,"",0,1))</f>
        <v/>
      </c>
      <c r="AK230" s="677" t="str">
        <f t="array" ref="AK230">if(isblank(F230),"",xlookup(F230,'FL5_POR_包裝對照表 (Mapping Table)'!E:E,'FL5_POR_包裝對照表 (Mapping Table)'!K:K,"",0,1))</f>
        <v/>
      </c>
      <c r="AL230" s="677"/>
      <c r="AM230" s="813"/>
      <c r="AN230" s="908"/>
      <c r="AO230" s="813"/>
      <c r="AP230" s="813"/>
    </row>
    <row r="231" ht="18.0" customHeight="1">
      <c r="A231" s="910"/>
      <c r="B231" s="908"/>
      <c r="C231" s="891" t="str">
        <f>if(isblank(F231),"",'FL5_POR_包裝對照表 (Mapping Table)'!$E$4)</f>
        <v/>
      </c>
      <c r="D231" s="878" t="str">
        <f t="array" ref="D231">if(isblank(F231),"",xlookup(F231,'FL5_POR_包裝對照表 (Mapping Table)'!E:E,'FL5_POR_包裝對照表 (Mapping Table)'!AZ:AZ,"",0,1))</f>
        <v/>
      </c>
      <c r="E231" s="677" t="str">
        <f t="shared" si="2"/>
        <v/>
      </c>
      <c r="F231" s="879"/>
      <c r="G231" s="892" t="str">
        <f t="array" ref="G231">if(isblank(F231),"",xlookup(F231,'FL5_POR_包裝對照表 (Mapping Table)'!E:E,'FL5_POR_包裝對照表 (Mapping Table)'!D:D,"",0,1))</f>
        <v/>
      </c>
      <c r="H231" s="893" t="str">
        <f t="array" ref="H231">if(isblank(F231),"",xlookup(F231,'FL5_POR_包裝對照表 (Mapping Table)'!E:E,'FL5_POR_包裝對照表 (Mapping Table)'!E:E,"",0,1))</f>
        <v/>
      </c>
      <c r="I231" s="677" t="str">
        <f t="array" ref="I231">if(isblank(F231),"",xlookup(F231,'FL5_POR_包裝對照表 (Mapping Table)'!E:E,'FL5_POR_包裝對照表 (Mapping Table)'!AN:AN,"",0,1))</f>
        <v/>
      </c>
      <c r="J231" s="894" t="str">
        <f t="array" ref="J231">if(isblank(F231),"",xlookup(G231,z_Others!$B$5:$B$17,z_Others!$C$5:$C$17,"",0,1))</f>
        <v/>
      </c>
      <c r="K231" s="894" t="str">
        <f t="array" ref="K231">if(isblank(F231),"",xlookup(G231,z_Others!$B$5:$B$17,z_Others!$E$5:$E$17,"",0,1))</f>
        <v/>
      </c>
      <c r="L231" s="894" t="str">
        <f t="array" ref="L231">if(isblank(F231),"",xlookup(G231,z_Others!$B$5:$B$17,z_Others!$F$5:$F$17,"",0,1))</f>
        <v/>
      </c>
      <c r="M231" s="894" t="str">
        <f t="shared" si="3"/>
        <v/>
      </c>
      <c r="N231" s="894" t="str">
        <f t="shared" si="4"/>
        <v/>
      </c>
      <c r="O231" s="882" t="str">
        <f t="array" ref="O231">if(isblank(F231),"",xlookup(F231,'FL5_POR_包裝對照表 (Mapping Table)'!E:E,'FL5_POR_包裝對照表 (Mapping Table)'!L:L,"",0,1))</f>
        <v/>
      </c>
      <c r="P231" s="909" t="str">
        <f t="array" ref="P231">if(isblank(F231),"",xlookup(G231,z_Others!$B$5:$B$17,z_Others!$J$5:$J$17,"",0,1))</f>
        <v/>
      </c>
      <c r="Q231" s="899" t="str">
        <f t="array" ref="Q231">if(isblank(F231),"",xlookup(F231,'FL5_POR_核價 (經管 &amp; BPM)'!E:E,'FL5_POR_核價 (經管 &amp; BPM)'!O:O,"",0,1))</f>
        <v/>
      </c>
      <c r="R231" s="894" t="str">
        <f t="shared" si="5"/>
        <v/>
      </c>
      <c r="S231" s="894" t="str">
        <f t="array" ref="S231">if(isblank(F231),"",xlookup(G231,z_Others!$B$5:$B$17,z_Others!$K$5:$K$17,"",0,1))</f>
        <v/>
      </c>
      <c r="T231" s="894" t="str">
        <f t="shared" si="19"/>
        <v/>
      </c>
      <c r="U231" s="898" t="str">
        <f t="array" ref="U231">if(isblank(F231),"",xlookup(G231,z_Others!$B$5:$B$17,z_Others!$G$5:$G$17,"",0,1))</f>
        <v/>
      </c>
      <c r="V231" s="231" t="str">
        <f t="array" ref="V231">if(isblank(F231),"",xlookup(F231,'FL5_POR_包裝對照表 (Mapping Table)'!E:E,'FL5_POR_包裝對照表 (Mapping Table)'!AB:AB,"",0,1))</f>
        <v/>
      </c>
      <c r="W231" s="899" t="str">
        <f t="array" ref="W231">if(isblank(F231),"",xlookup(G231,z_Others!$B$5:$B$17,z_Others!$I$5:$I$17,"",0,1))</f>
        <v/>
      </c>
      <c r="X231" s="894" t="str">
        <f t="shared" si="7"/>
        <v/>
      </c>
      <c r="Y231" s="894" t="str">
        <f t="shared" si="8"/>
        <v/>
      </c>
      <c r="Z231" s="900" t="str">
        <f t="shared" si="9"/>
        <v/>
      </c>
      <c r="AA231" s="900" t="str">
        <f t="shared" si="10"/>
        <v/>
      </c>
      <c r="AB231" s="878" t="str">
        <f t="array" ref="AB231">if(isblank(F231),"",xlookup(AJ231,z_Others!$M$5:$M$9,z_Others!$Q$5:$Q$9,"",0,1))</f>
        <v/>
      </c>
      <c r="AC231" s="900" t="str">
        <f t="shared" si="11"/>
        <v/>
      </c>
      <c r="AD231" s="894" t="str">
        <f t="array" ref="AD231">if(isblank(F231),"",xlookup(G231,z_Others!$B$5:$B$14,z_Others!$H$5:$H$14,"",0,1))</f>
        <v/>
      </c>
      <c r="AE231" s="901" t="str">
        <f t="shared" si="12"/>
        <v/>
      </c>
      <c r="AF231" s="791"/>
      <c r="AG231" s="791" t="str">
        <f t="shared" si="21"/>
        <v/>
      </c>
      <c r="AH231" s="787"/>
      <c r="AI231" s="787"/>
      <c r="AJ231" s="677" t="str">
        <f t="array" ref="AJ231">if(isblank(F231),"",xlookup(F231,'FL5_POR_包裝對照表 (Mapping Table)'!E:E,'FL5_POR_包裝對照表 (Mapping Table)'!AS:AS,"",0,1))</f>
        <v/>
      </c>
      <c r="AK231" s="677" t="str">
        <f t="array" ref="AK231">if(isblank(F231),"",xlookup(F231,'FL5_POR_包裝對照表 (Mapping Table)'!E:E,'FL5_POR_包裝對照表 (Mapping Table)'!K:K,"",0,1))</f>
        <v/>
      </c>
      <c r="AL231" s="677"/>
      <c r="AM231" s="813"/>
      <c r="AN231" s="908"/>
      <c r="AO231" s="813"/>
      <c r="AP231" s="813"/>
    </row>
    <row r="232" ht="18.0" customHeight="1">
      <c r="A232" s="910"/>
      <c r="B232" s="908"/>
      <c r="C232" s="891" t="str">
        <f>if(isblank(F232),"",'FL5_POR_包裝對照表 (Mapping Table)'!$E$4)</f>
        <v/>
      </c>
      <c r="D232" s="878" t="str">
        <f t="array" ref="D232">if(isblank(F232),"",xlookup(F232,'FL5_POR_包裝對照表 (Mapping Table)'!E:E,'FL5_POR_包裝對照表 (Mapping Table)'!AZ:AZ,"",0,1))</f>
        <v/>
      </c>
      <c r="E232" s="677" t="str">
        <f t="shared" si="2"/>
        <v/>
      </c>
      <c r="F232" s="879"/>
      <c r="G232" s="892" t="str">
        <f t="array" ref="G232">if(isblank(F232),"",xlookup(F232,'FL5_POR_包裝對照表 (Mapping Table)'!E:E,'FL5_POR_包裝對照表 (Mapping Table)'!D:D,"",0,1))</f>
        <v/>
      </c>
      <c r="H232" s="893" t="str">
        <f t="array" ref="H232">if(isblank(F232),"",xlookup(F232,'FL5_POR_包裝對照表 (Mapping Table)'!E:E,'FL5_POR_包裝對照表 (Mapping Table)'!E:E,"",0,1))</f>
        <v/>
      </c>
      <c r="I232" s="677" t="str">
        <f t="array" ref="I232">if(isblank(F232),"",xlookup(F232,'FL5_POR_包裝對照表 (Mapping Table)'!E:E,'FL5_POR_包裝對照表 (Mapping Table)'!AN:AN,"",0,1))</f>
        <v/>
      </c>
      <c r="J232" s="894" t="str">
        <f t="array" ref="J232">if(isblank(F232),"",xlookup(G232,z_Others!$B$5:$B$17,z_Others!$C$5:$C$17,"",0,1))</f>
        <v/>
      </c>
      <c r="K232" s="894" t="str">
        <f t="array" ref="K232">if(isblank(F232),"",xlookup(G232,z_Others!$B$5:$B$17,z_Others!$E$5:$E$17,"",0,1))</f>
        <v/>
      </c>
      <c r="L232" s="894" t="str">
        <f t="array" ref="L232">if(isblank(F232),"",xlookup(G232,z_Others!$B$5:$B$17,z_Others!$F$5:$F$17,"",0,1))</f>
        <v/>
      </c>
      <c r="M232" s="894" t="str">
        <f t="shared" si="3"/>
        <v/>
      </c>
      <c r="N232" s="894" t="str">
        <f t="shared" si="4"/>
        <v/>
      </c>
      <c r="O232" s="882" t="str">
        <f t="array" ref="O232">if(isblank(F232),"",xlookup(F232,'FL5_POR_包裝對照表 (Mapping Table)'!E:E,'FL5_POR_包裝對照表 (Mapping Table)'!L:L,"",0,1))</f>
        <v/>
      </c>
      <c r="P232" s="909" t="str">
        <f t="array" ref="P232">if(isblank(F232),"",xlookup(G232,z_Others!$B$5:$B$17,z_Others!$J$5:$J$17,"",0,1))</f>
        <v/>
      </c>
      <c r="Q232" s="899" t="str">
        <f t="array" ref="Q232">if(isblank(F232),"",xlookup(F232,'FL5_POR_核價 (經管 &amp; BPM)'!E:E,'FL5_POR_核價 (經管 &amp; BPM)'!O:O,"",0,1))</f>
        <v/>
      </c>
      <c r="R232" s="894" t="str">
        <f t="shared" si="5"/>
        <v/>
      </c>
      <c r="S232" s="894" t="str">
        <f t="array" ref="S232">if(isblank(F232),"",xlookup(G232,z_Others!$B$5:$B$17,z_Others!$K$5:$K$17,"",0,1))</f>
        <v/>
      </c>
      <c r="T232" s="894" t="str">
        <f t="shared" si="19"/>
        <v/>
      </c>
      <c r="U232" s="898" t="str">
        <f t="array" ref="U232">if(isblank(F232),"",xlookup(G232,z_Others!$B$5:$B$17,z_Others!$G$5:$G$17,"",0,1))</f>
        <v/>
      </c>
      <c r="V232" s="231" t="str">
        <f t="array" ref="V232">if(isblank(F232),"",xlookup(F232,'FL5_POR_包裝對照表 (Mapping Table)'!E:E,'FL5_POR_包裝對照表 (Mapping Table)'!AB:AB,"",0,1))</f>
        <v/>
      </c>
      <c r="W232" s="899" t="str">
        <f t="array" ref="W232">if(isblank(F232),"",xlookup(G232,z_Others!$B$5:$B$17,z_Others!$I$5:$I$17,"",0,1))</f>
        <v/>
      </c>
      <c r="X232" s="894" t="str">
        <f t="shared" si="7"/>
        <v/>
      </c>
      <c r="Y232" s="894" t="str">
        <f t="shared" si="8"/>
        <v/>
      </c>
      <c r="Z232" s="900" t="str">
        <f t="shared" si="9"/>
        <v/>
      </c>
      <c r="AA232" s="900" t="str">
        <f t="shared" si="10"/>
        <v/>
      </c>
      <c r="AB232" s="878" t="str">
        <f t="array" ref="AB232">if(isblank(F232),"",xlookup(AJ232,z_Others!$M$5:$M$9,z_Others!$Q$5:$Q$9,"",0,1))</f>
        <v/>
      </c>
      <c r="AC232" s="900" t="str">
        <f t="shared" si="11"/>
        <v/>
      </c>
      <c r="AD232" s="894" t="str">
        <f t="array" ref="AD232">if(isblank(F232),"",xlookup(G232,z_Others!$B$5:$B$14,z_Others!$H$5:$H$14,"",0,1))</f>
        <v/>
      </c>
      <c r="AE232" s="901" t="str">
        <f t="shared" si="12"/>
        <v/>
      </c>
      <c r="AF232" s="791"/>
      <c r="AG232" s="791" t="str">
        <f t="shared" si="21"/>
        <v/>
      </c>
      <c r="AH232" s="787"/>
      <c r="AI232" s="787"/>
      <c r="AJ232" s="677" t="str">
        <f t="array" ref="AJ232">if(isblank(F232),"",xlookup(F232,'FL5_POR_包裝對照表 (Mapping Table)'!E:E,'FL5_POR_包裝對照表 (Mapping Table)'!AS:AS,"",0,1))</f>
        <v/>
      </c>
      <c r="AK232" s="677" t="str">
        <f t="array" ref="AK232">if(isblank(F232),"",xlookup(F232,'FL5_POR_包裝對照表 (Mapping Table)'!E:E,'FL5_POR_包裝對照表 (Mapping Table)'!K:K,"",0,1))</f>
        <v/>
      </c>
      <c r="AL232" s="677"/>
      <c r="AM232" s="813"/>
      <c r="AN232" s="908"/>
      <c r="AO232" s="813"/>
      <c r="AP232" s="813"/>
    </row>
    <row r="233" ht="18.0" customHeight="1">
      <c r="A233" s="910"/>
      <c r="B233" s="908"/>
      <c r="C233" s="891" t="str">
        <f>if(isblank(F233),"",'FL5_POR_包裝對照表 (Mapping Table)'!$E$4)</f>
        <v/>
      </c>
      <c r="D233" s="878" t="str">
        <f t="array" ref="D233">if(isblank(F233),"",xlookup(F233,'FL5_POR_包裝對照表 (Mapping Table)'!E:E,'FL5_POR_包裝對照表 (Mapping Table)'!AZ:AZ,"",0,1))</f>
        <v/>
      </c>
      <c r="E233" s="677" t="str">
        <f t="shared" si="2"/>
        <v/>
      </c>
      <c r="F233" s="879"/>
      <c r="G233" s="892" t="str">
        <f t="array" ref="G233">if(isblank(F233),"",xlookup(F233,'FL5_POR_包裝對照表 (Mapping Table)'!E:E,'FL5_POR_包裝對照表 (Mapping Table)'!D:D,"",0,1))</f>
        <v/>
      </c>
      <c r="H233" s="893" t="str">
        <f t="array" ref="H233">if(isblank(F233),"",xlookup(F233,'FL5_POR_包裝對照表 (Mapping Table)'!E:E,'FL5_POR_包裝對照表 (Mapping Table)'!E:E,"",0,1))</f>
        <v/>
      </c>
      <c r="I233" s="677" t="str">
        <f t="array" ref="I233">if(isblank(F233),"",xlookup(F233,'FL5_POR_包裝對照表 (Mapping Table)'!E:E,'FL5_POR_包裝對照表 (Mapping Table)'!AN:AN,"",0,1))</f>
        <v/>
      </c>
      <c r="J233" s="894" t="str">
        <f t="array" ref="J233">if(isblank(F233),"",xlookup(G233,z_Others!$B$5:$B$17,z_Others!$C$5:$C$17,"",0,1))</f>
        <v/>
      </c>
      <c r="K233" s="894" t="str">
        <f t="array" ref="K233">if(isblank(F233),"",xlookup(G233,z_Others!$B$5:$B$17,z_Others!$E$5:$E$17,"",0,1))</f>
        <v/>
      </c>
      <c r="L233" s="894" t="str">
        <f t="array" ref="L233">if(isblank(F233),"",xlookup(G233,z_Others!$B$5:$B$17,z_Others!$F$5:$F$17,"",0,1))</f>
        <v/>
      </c>
      <c r="M233" s="894" t="str">
        <f t="shared" si="3"/>
        <v/>
      </c>
      <c r="N233" s="894" t="str">
        <f t="shared" si="4"/>
        <v/>
      </c>
      <c r="O233" s="882" t="str">
        <f t="array" ref="O233">if(isblank(F233),"",xlookup(F233,'FL5_POR_包裝對照表 (Mapping Table)'!E:E,'FL5_POR_包裝對照表 (Mapping Table)'!L:L,"",0,1))</f>
        <v/>
      </c>
      <c r="P233" s="909" t="str">
        <f t="array" ref="P233">if(isblank(F233),"",xlookup(G233,z_Others!$B$5:$B$17,z_Others!$J$5:$J$17,"",0,1))</f>
        <v/>
      </c>
      <c r="Q233" s="899" t="str">
        <f t="array" ref="Q233">if(isblank(F233),"",xlookup(F233,'FL5_POR_核價 (經管 &amp; BPM)'!E:E,'FL5_POR_核價 (經管 &amp; BPM)'!O:O,"",0,1))</f>
        <v/>
      </c>
      <c r="R233" s="894" t="str">
        <f t="shared" si="5"/>
        <v/>
      </c>
      <c r="S233" s="894" t="str">
        <f t="array" ref="S233">if(isblank(F233),"",xlookup(G233,z_Others!$B$5:$B$17,z_Others!$K$5:$K$17,"",0,1))</f>
        <v/>
      </c>
      <c r="T233" s="894" t="str">
        <f t="shared" si="19"/>
        <v/>
      </c>
      <c r="U233" s="898" t="str">
        <f t="array" ref="U233">if(isblank(F233),"",xlookup(G233,z_Others!$B$5:$B$17,z_Others!$G$5:$G$17,"",0,1))</f>
        <v/>
      </c>
      <c r="V233" s="231" t="str">
        <f t="array" ref="V233">if(isblank(F233),"",xlookup(F233,'FL5_POR_包裝對照表 (Mapping Table)'!E:E,'FL5_POR_包裝對照表 (Mapping Table)'!AB:AB,"",0,1))</f>
        <v/>
      </c>
      <c r="W233" s="899" t="str">
        <f t="array" ref="W233">if(isblank(F233),"",xlookup(G233,z_Others!$B$5:$B$17,z_Others!$I$5:$I$17,"",0,1))</f>
        <v/>
      </c>
      <c r="X233" s="894" t="str">
        <f t="shared" si="7"/>
        <v/>
      </c>
      <c r="Y233" s="894" t="str">
        <f t="shared" si="8"/>
        <v/>
      </c>
      <c r="Z233" s="900" t="str">
        <f t="shared" si="9"/>
        <v/>
      </c>
      <c r="AA233" s="900" t="str">
        <f t="shared" si="10"/>
        <v/>
      </c>
      <c r="AB233" s="878" t="str">
        <f t="array" ref="AB233">if(isblank(F233),"",xlookup(AJ233,z_Others!$M$5:$M$9,z_Others!$Q$5:$Q$9,"",0,1))</f>
        <v/>
      </c>
      <c r="AC233" s="900" t="str">
        <f t="shared" si="11"/>
        <v/>
      </c>
      <c r="AD233" s="894" t="str">
        <f t="array" ref="AD233">if(isblank(F233),"",xlookup(G233,z_Others!$B$5:$B$14,z_Others!$H$5:$H$14,"",0,1))</f>
        <v/>
      </c>
      <c r="AE233" s="901" t="str">
        <f t="shared" si="12"/>
        <v/>
      </c>
      <c r="AF233" s="791"/>
      <c r="AG233" s="791" t="str">
        <f t="shared" si="21"/>
        <v/>
      </c>
      <c r="AH233" s="787"/>
      <c r="AI233" s="787"/>
      <c r="AJ233" s="677" t="str">
        <f t="array" ref="AJ233">if(isblank(F233),"",xlookup(F233,'FL5_POR_包裝對照表 (Mapping Table)'!E:E,'FL5_POR_包裝對照表 (Mapping Table)'!AS:AS,"",0,1))</f>
        <v/>
      </c>
      <c r="AK233" s="677" t="str">
        <f t="array" ref="AK233">if(isblank(F233),"",xlookup(F233,'FL5_POR_包裝對照表 (Mapping Table)'!E:E,'FL5_POR_包裝對照表 (Mapping Table)'!K:K,"",0,1))</f>
        <v/>
      </c>
      <c r="AL233" s="677"/>
      <c r="AM233" s="813"/>
      <c r="AN233" s="908"/>
      <c r="AO233" s="813"/>
      <c r="AP233" s="813"/>
    </row>
    <row r="234" ht="18.0" customHeight="1">
      <c r="A234" s="910"/>
      <c r="B234" s="908"/>
      <c r="C234" s="891" t="str">
        <f>if(isblank(F234),"",'FL5_POR_包裝對照表 (Mapping Table)'!$E$4)</f>
        <v/>
      </c>
      <c r="D234" s="878" t="str">
        <f t="array" ref="D234">if(isblank(F234),"",xlookup(F234,'FL5_POR_包裝對照表 (Mapping Table)'!E:E,'FL5_POR_包裝對照表 (Mapping Table)'!AZ:AZ,"",0,1))</f>
        <v/>
      </c>
      <c r="E234" s="677" t="str">
        <f t="shared" si="2"/>
        <v/>
      </c>
      <c r="F234" s="879"/>
      <c r="G234" s="892" t="str">
        <f t="array" ref="G234">if(isblank(F234),"",xlookup(F234,'FL5_POR_包裝對照表 (Mapping Table)'!E:E,'FL5_POR_包裝對照表 (Mapping Table)'!D:D,"",0,1))</f>
        <v/>
      </c>
      <c r="H234" s="893" t="str">
        <f t="array" ref="H234">if(isblank(F234),"",xlookup(F234,'FL5_POR_包裝對照表 (Mapping Table)'!E:E,'FL5_POR_包裝對照表 (Mapping Table)'!E:E,"",0,1))</f>
        <v/>
      </c>
      <c r="I234" s="677" t="str">
        <f t="array" ref="I234">if(isblank(F234),"",xlookup(F234,'FL5_POR_包裝對照表 (Mapping Table)'!E:E,'FL5_POR_包裝對照表 (Mapping Table)'!AN:AN,"",0,1))</f>
        <v/>
      </c>
      <c r="J234" s="894" t="str">
        <f t="array" ref="J234">if(isblank(F234),"",xlookup(G234,z_Others!$B$5:$B$17,z_Others!$C$5:$C$17,"",0,1))</f>
        <v/>
      </c>
      <c r="K234" s="894" t="str">
        <f t="array" ref="K234">if(isblank(F234),"",xlookup(G234,z_Others!$B$5:$B$17,z_Others!$E$5:$E$17,"",0,1))</f>
        <v/>
      </c>
      <c r="L234" s="894" t="str">
        <f t="array" ref="L234">if(isblank(F234),"",xlookup(G234,z_Others!$B$5:$B$17,z_Others!$F$5:$F$17,"",0,1))</f>
        <v/>
      </c>
      <c r="M234" s="894" t="str">
        <f t="shared" si="3"/>
        <v/>
      </c>
      <c r="N234" s="894" t="str">
        <f t="shared" si="4"/>
        <v/>
      </c>
      <c r="O234" s="882" t="str">
        <f t="array" ref="O234">if(isblank(F234),"",xlookup(F234,'FL5_POR_包裝對照表 (Mapping Table)'!E:E,'FL5_POR_包裝對照表 (Mapping Table)'!L:L,"",0,1))</f>
        <v/>
      </c>
      <c r="P234" s="909" t="str">
        <f t="array" ref="P234">if(isblank(F234),"",xlookup(G234,z_Others!$B$5:$B$17,z_Others!$J$5:$J$17,"",0,1))</f>
        <v/>
      </c>
      <c r="Q234" s="899" t="str">
        <f t="array" ref="Q234">if(isblank(F234),"",xlookup(F234,'FL5_POR_核價 (經管 &amp; BPM)'!E:E,'FL5_POR_核價 (經管 &amp; BPM)'!O:O,"",0,1))</f>
        <v/>
      </c>
      <c r="R234" s="894" t="str">
        <f t="shared" si="5"/>
        <v/>
      </c>
      <c r="S234" s="894" t="str">
        <f t="array" ref="S234">if(isblank(F234),"",xlookup(G234,z_Others!$B$5:$B$17,z_Others!$K$5:$K$17,"",0,1))</f>
        <v/>
      </c>
      <c r="T234" s="894" t="str">
        <f t="shared" si="19"/>
        <v/>
      </c>
      <c r="U234" s="898" t="str">
        <f t="array" ref="U234">if(isblank(F234),"",xlookup(G234,z_Others!$B$5:$B$17,z_Others!$G$5:$G$17,"",0,1))</f>
        <v/>
      </c>
      <c r="V234" s="231" t="str">
        <f t="array" ref="V234">if(isblank(F234),"",xlookup(F234,'FL5_POR_包裝對照表 (Mapping Table)'!E:E,'FL5_POR_包裝對照表 (Mapping Table)'!AB:AB,"",0,1))</f>
        <v/>
      </c>
      <c r="W234" s="899" t="str">
        <f t="array" ref="W234">if(isblank(F234),"",xlookup(G234,z_Others!$B$5:$B$17,z_Others!$I$5:$I$17,"",0,1))</f>
        <v/>
      </c>
      <c r="X234" s="894" t="str">
        <f t="shared" si="7"/>
        <v/>
      </c>
      <c r="Y234" s="894" t="str">
        <f t="shared" si="8"/>
        <v/>
      </c>
      <c r="Z234" s="900" t="str">
        <f t="shared" si="9"/>
        <v/>
      </c>
      <c r="AA234" s="900" t="str">
        <f t="shared" si="10"/>
        <v/>
      </c>
      <c r="AB234" s="878" t="str">
        <f t="array" ref="AB234">if(isblank(F234),"",xlookup(AJ234,z_Others!$M$5:$M$9,z_Others!$Q$5:$Q$9,"",0,1))</f>
        <v/>
      </c>
      <c r="AC234" s="900" t="str">
        <f t="shared" si="11"/>
        <v/>
      </c>
      <c r="AD234" s="894" t="str">
        <f t="array" ref="AD234">if(isblank(F234),"",xlookup(G234,z_Others!$B$5:$B$14,z_Others!$H$5:$H$14,"",0,1))</f>
        <v/>
      </c>
      <c r="AE234" s="901" t="str">
        <f t="shared" si="12"/>
        <v/>
      </c>
      <c r="AF234" s="791"/>
      <c r="AG234" s="791" t="str">
        <f t="shared" si="21"/>
        <v/>
      </c>
      <c r="AH234" s="787"/>
      <c r="AI234" s="787"/>
      <c r="AJ234" s="677" t="str">
        <f t="array" ref="AJ234">if(isblank(F234),"",xlookup(F234,'FL5_POR_包裝對照表 (Mapping Table)'!E:E,'FL5_POR_包裝對照表 (Mapping Table)'!AS:AS,"",0,1))</f>
        <v/>
      </c>
      <c r="AK234" s="677" t="str">
        <f t="array" ref="AK234">if(isblank(F234),"",xlookup(F234,'FL5_POR_包裝對照表 (Mapping Table)'!E:E,'FL5_POR_包裝對照表 (Mapping Table)'!K:K,"",0,1))</f>
        <v/>
      </c>
      <c r="AL234" s="677"/>
      <c r="AM234" s="813"/>
      <c r="AN234" s="908"/>
      <c r="AO234" s="813"/>
      <c r="AP234" s="813"/>
    </row>
    <row r="235" ht="18.0" customHeight="1">
      <c r="A235" s="910"/>
      <c r="B235" s="908"/>
      <c r="C235" s="891" t="str">
        <f>if(isblank(F235),"",'FL5_POR_包裝對照表 (Mapping Table)'!$E$4)</f>
        <v/>
      </c>
      <c r="D235" s="878" t="str">
        <f t="array" ref="D235">if(isblank(F235),"",xlookup(F235,'FL5_POR_包裝對照表 (Mapping Table)'!E:E,'FL5_POR_包裝對照表 (Mapping Table)'!AZ:AZ,"",0,1))</f>
        <v/>
      </c>
      <c r="E235" s="677" t="str">
        <f t="shared" si="2"/>
        <v/>
      </c>
      <c r="F235" s="879"/>
      <c r="G235" s="892" t="str">
        <f t="array" ref="G235">if(isblank(F235),"",xlookup(F235,'FL5_POR_包裝對照表 (Mapping Table)'!E:E,'FL5_POR_包裝對照表 (Mapping Table)'!D:D,"",0,1))</f>
        <v/>
      </c>
      <c r="H235" s="893" t="str">
        <f t="array" ref="H235">if(isblank(F235),"",xlookup(F235,'FL5_POR_包裝對照表 (Mapping Table)'!E:E,'FL5_POR_包裝對照表 (Mapping Table)'!E:E,"",0,1))</f>
        <v/>
      </c>
      <c r="I235" s="677" t="str">
        <f t="array" ref="I235">if(isblank(F235),"",xlookup(F235,'FL5_POR_包裝對照表 (Mapping Table)'!E:E,'FL5_POR_包裝對照表 (Mapping Table)'!AN:AN,"",0,1))</f>
        <v/>
      </c>
      <c r="J235" s="894" t="str">
        <f t="array" ref="J235">if(isblank(F235),"",xlookup(G235,z_Others!$B$5:$B$17,z_Others!$C$5:$C$17,"",0,1))</f>
        <v/>
      </c>
      <c r="K235" s="894" t="str">
        <f t="array" ref="K235">if(isblank(F235),"",xlookup(G235,z_Others!$B$5:$B$17,z_Others!$E$5:$E$17,"",0,1))</f>
        <v/>
      </c>
      <c r="L235" s="894" t="str">
        <f t="array" ref="L235">if(isblank(F235),"",xlookup(G235,z_Others!$B$5:$B$17,z_Others!$F$5:$F$17,"",0,1))</f>
        <v/>
      </c>
      <c r="M235" s="894" t="str">
        <f t="shared" si="3"/>
        <v/>
      </c>
      <c r="N235" s="894" t="str">
        <f t="shared" si="4"/>
        <v/>
      </c>
      <c r="O235" s="882" t="str">
        <f t="array" ref="O235">if(isblank(F235),"",xlookup(F235,'FL5_POR_包裝對照表 (Mapping Table)'!E:E,'FL5_POR_包裝對照表 (Mapping Table)'!L:L,"",0,1))</f>
        <v/>
      </c>
      <c r="P235" s="909" t="str">
        <f t="array" ref="P235">if(isblank(F235),"",xlookup(G235,z_Others!$B$5:$B$17,z_Others!$J$5:$J$17,"",0,1))</f>
        <v/>
      </c>
      <c r="Q235" s="899" t="str">
        <f t="array" ref="Q235">if(isblank(F235),"",xlookup(F235,'FL5_POR_核價 (經管 &amp; BPM)'!E:E,'FL5_POR_核價 (經管 &amp; BPM)'!O:O,"",0,1))</f>
        <v/>
      </c>
      <c r="R235" s="894" t="str">
        <f t="shared" si="5"/>
        <v/>
      </c>
      <c r="S235" s="894" t="str">
        <f t="array" ref="S235">if(isblank(F235),"",xlookup(G235,z_Others!$B$5:$B$17,z_Others!$K$5:$K$17,"",0,1))</f>
        <v/>
      </c>
      <c r="T235" s="894" t="str">
        <f t="shared" si="19"/>
        <v/>
      </c>
      <c r="U235" s="898" t="str">
        <f t="array" ref="U235">if(isblank(F235),"",xlookup(G235,z_Others!$B$5:$B$17,z_Others!$G$5:$G$17,"",0,1))</f>
        <v/>
      </c>
      <c r="V235" s="231" t="str">
        <f t="array" ref="V235">if(isblank(F235),"",xlookup(F235,'FL5_POR_包裝對照表 (Mapping Table)'!E:E,'FL5_POR_包裝對照表 (Mapping Table)'!AB:AB,"",0,1))</f>
        <v/>
      </c>
      <c r="W235" s="899" t="str">
        <f t="array" ref="W235">if(isblank(F235),"",xlookup(G235,z_Others!$B$5:$B$17,z_Others!$I$5:$I$17,"",0,1))</f>
        <v/>
      </c>
      <c r="X235" s="894" t="str">
        <f t="shared" si="7"/>
        <v/>
      </c>
      <c r="Y235" s="894" t="str">
        <f t="shared" si="8"/>
        <v/>
      </c>
      <c r="Z235" s="900" t="str">
        <f t="shared" si="9"/>
        <v/>
      </c>
      <c r="AA235" s="900" t="str">
        <f t="shared" si="10"/>
        <v/>
      </c>
      <c r="AB235" s="878" t="str">
        <f t="array" ref="AB235">if(isblank(F235),"",xlookup(AJ235,z_Others!$M$5:$M$9,z_Others!$Q$5:$Q$9,"",0,1))</f>
        <v/>
      </c>
      <c r="AC235" s="900" t="str">
        <f t="shared" si="11"/>
        <v/>
      </c>
      <c r="AD235" s="894" t="str">
        <f t="array" ref="AD235">if(isblank(F235),"",xlookup(G235,z_Others!$B$5:$B$14,z_Others!$H$5:$H$14,"",0,1))</f>
        <v/>
      </c>
      <c r="AE235" s="901" t="str">
        <f t="shared" si="12"/>
        <v/>
      </c>
      <c r="AF235" s="791"/>
      <c r="AG235" s="791" t="str">
        <f t="shared" si="21"/>
        <v/>
      </c>
      <c r="AH235" s="787"/>
      <c r="AI235" s="787"/>
      <c r="AJ235" s="677" t="str">
        <f t="array" ref="AJ235">if(isblank(F235),"",xlookup(F235,'FL5_POR_包裝對照表 (Mapping Table)'!E:E,'FL5_POR_包裝對照表 (Mapping Table)'!AS:AS,"",0,1))</f>
        <v/>
      </c>
      <c r="AK235" s="677" t="str">
        <f t="array" ref="AK235">if(isblank(F235),"",xlookup(F235,'FL5_POR_包裝對照表 (Mapping Table)'!E:E,'FL5_POR_包裝對照表 (Mapping Table)'!K:K,"",0,1))</f>
        <v/>
      </c>
      <c r="AL235" s="677"/>
      <c r="AM235" s="813"/>
      <c r="AN235" s="908"/>
      <c r="AO235" s="813"/>
      <c r="AP235" s="813"/>
    </row>
    <row r="236" ht="18.0" customHeight="1">
      <c r="A236" s="910"/>
      <c r="B236" s="908"/>
      <c r="C236" s="891" t="str">
        <f>if(isblank(F236),"",'FL5_POR_包裝對照表 (Mapping Table)'!$E$4)</f>
        <v/>
      </c>
      <c r="D236" s="878" t="str">
        <f t="array" ref="D236">if(isblank(F236),"",xlookup(F236,'FL5_POR_包裝對照表 (Mapping Table)'!E:E,'FL5_POR_包裝對照表 (Mapping Table)'!AZ:AZ,"",0,1))</f>
        <v/>
      </c>
      <c r="E236" s="677" t="str">
        <f t="shared" si="2"/>
        <v/>
      </c>
      <c r="F236" s="879"/>
      <c r="G236" s="892" t="str">
        <f t="array" ref="G236">if(isblank(F236),"",xlookup(F236,'FL5_POR_包裝對照表 (Mapping Table)'!E:E,'FL5_POR_包裝對照表 (Mapping Table)'!D:D,"",0,1))</f>
        <v/>
      </c>
      <c r="H236" s="893" t="str">
        <f t="array" ref="H236">if(isblank(F236),"",xlookup(F236,'FL5_POR_包裝對照表 (Mapping Table)'!E:E,'FL5_POR_包裝對照表 (Mapping Table)'!E:E,"",0,1))</f>
        <v/>
      </c>
      <c r="I236" s="677" t="str">
        <f t="array" ref="I236">if(isblank(F236),"",xlookup(F236,'FL5_POR_包裝對照表 (Mapping Table)'!E:E,'FL5_POR_包裝對照表 (Mapping Table)'!AN:AN,"",0,1))</f>
        <v/>
      </c>
      <c r="J236" s="894" t="str">
        <f t="array" ref="J236">if(isblank(F236),"",xlookup(G236,z_Others!$B$5:$B$17,z_Others!$C$5:$C$17,"",0,1))</f>
        <v/>
      </c>
      <c r="K236" s="894" t="str">
        <f t="array" ref="K236">if(isblank(F236),"",xlookup(G236,z_Others!$B$5:$B$17,z_Others!$E$5:$E$17,"",0,1))</f>
        <v/>
      </c>
      <c r="L236" s="894" t="str">
        <f t="array" ref="L236">if(isblank(F236),"",xlookup(G236,z_Others!$B$5:$B$17,z_Others!$F$5:$F$17,"",0,1))</f>
        <v/>
      </c>
      <c r="M236" s="894" t="str">
        <f t="shared" si="3"/>
        <v/>
      </c>
      <c r="N236" s="894" t="str">
        <f t="shared" si="4"/>
        <v/>
      </c>
      <c r="O236" s="882" t="str">
        <f t="array" ref="O236">if(isblank(F236),"",xlookup(F236,'FL5_POR_包裝對照表 (Mapping Table)'!E:E,'FL5_POR_包裝對照表 (Mapping Table)'!L:L,"",0,1))</f>
        <v/>
      </c>
      <c r="P236" s="909" t="str">
        <f t="array" ref="P236">if(isblank(F236),"",xlookup(G236,z_Others!$B$5:$B$17,z_Others!$J$5:$J$17,"",0,1))</f>
        <v/>
      </c>
      <c r="Q236" s="899" t="str">
        <f t="array" ref="Q236">if(isblank(F236),"",xlookup(F236,'FL5_POR_核價 (經管 &amp; BPM)'!E:E,'FL5_POR_核價 (經管 &amp; BPM)'!O:O,"",0,1))</f>
        <v/>
      </c>
      <c r="R236" s="894" t="str">
        <f t="shared" si="5"/>
        <v/>
      </c>
      <c r="S236" s="894" t="str">
        <f t="array" ref="S236">if(isblank(F236),"",xlookup(G236,z_Others!$B$5:$B$17,z_Others!$K$5:$K$17,"",0,1))</f>
        <v/>
      </c>
      <c r="T236" s="894" t="str">
        <f t="shared" si="19"/>
        <v/>
      </c>
      <c r="U236" s="898" t="str">
        <f t="array" ref="U236">if(isblank(F236),"",xlookup(G236,z_Others!$B$5:$B$17,z_Others!$G$5:$G$17,"",0,1))</f>
        <v/>
      </c>
      <c r="V236" s="231" t="str">
        <f t="array" ref="V236">if(isblank(F236),"",xlookup(F236,'FL5_POR_包裝對照表 (Mapping Table)'!E:E,'FL5_POR_包裝對照表 (Mapping Table)'!AB:AB,"",0,1))</f>
        <v/>
      </c>
      <c r="W236" s="899" t="str">
        <f t="array" ref="W236">if(isblank(F236),"",xlookup(G236,z_Others!$B$5:$B$17,z_Others!$I$5:$I$17,"",0,1))</f>
        <v/>
      </c>
      <c r="X236" s="894" t="str">
        <f t="shared" si="7"/>
        <v/>
      </c>
      <c r="Y236" s="894" t="str">
        <f t="shared" si="8"/>
        <v/>
      </c>
      <c r="Z236" s="900" t="str">
        <f t="shared" si="9"/>
        <v/>
      </c>
      <c r="AA236" s="900" t="str">
        <f t="shared" si="10"/>
        <v/>
      </c>
      <c r="AB236" s="878" t="str">
        <f t="array" ref="AB236">if(isblank(F236),"",xlookup(AJ236,z_Others!$M$5:$M$9,z_Others!$Q$5:$Q$9,"",0,1))</f>
        <v/>
      </c>
      <c r="AC236" s="900" t="str">
        <f t="shared" si="11"/>
        <v/>
      </c>
      <c r="AD236" s="894" t="str">
        <f t="array" ref="AD236">if(isblank(F236),"",xlookup(G236,z_Others!$B$5:$B$14,z_Others!$H$5:$H$14,"",0,1))</f>
        <v/>
      </c>
      <c r="AE236" s="901" t="str">
        <f t="shared" si="12"/>
        <v/>
      </c>
      <c r="AF236" s="791"/>
      <c r="AG236" s="791" t="str">
        <f t="shared" si="21"/>
        <v/>
      </c>
      <c r="AH236" s="787"/>
      <c r="AI236" s="787"/>
      <c r="AJ236" s="677" t="str">
        <f t="array" ref="AJ236">if(isblank(F236),"",xlookup(F236,'FL5_POR_包裝對照表 (Mapping Table)'!E:E,'FL5_POR_包裝對照表 (Mapping Table)'!AS:AS,"",0,1))</f>
        <v/>
      </c>
      <c r="AK236" s="677" t="str">
        <f t="array" ref="AK236">if(isblank(F236),"",xlookup(F236,'FL5_POR_包裝對照表 (Mapping Table)'!E:E,'FL5_POR_包裝對照表 (Mapping Table)'!K:K,"",0,1))</f>
        <v/>
      </c>
      <c r="AL236" s="677"/>
      <c r="AM236" s="813"/>
      <c r="AN236" s="908"/>
      <c r="AO236" s="813"/>
      <c r="AP236" s="813"/>
    </row>
    <row r="237" ht="18.0" customHeight="1">
      <c r="A237" s="910"/>
      <c r="B237" s="908"/>
      <c r="C237" s="891" t="str">
        <f>if(isblank(F237),"",'FL5_POR_包裝對照表 (Mapping Table)'!$E$4)</f>
        <v/>
      </c>
      <c r="D237" s="878" t="str">
        <f t="array" ref="D237">if(isblank(F237),"",xlookup(F237,'FL5_POR_包裝對照表 (Mapping Table)'!E:E,'FL5_POR_包裝對照表 (Mapping Table)'!AZ:AZ,"",0,1))</f>
        <v/>
      </c>
      <c r="E237" s="677" t="str">
        <f t="shared" si="2"/>
        <v/>
      </c>
      <c r="F237" s="879"/>
      <c r="G237" s="892" t="str">
        <f t="array" ref="G237">if(isblank(F237),"",xlookup(F237,'FL5_POR_包裝對照表 (Mapping Table)'!E:E,'FL5_POR_包裝對照表 (Mapping Table)'!D:D,"",0,1))</f>
        <v/>
      </c>
      <c r="H237" s="893" t="str">
        <f t="array" ref="H237">if(isblank(F237),"",xlookup(F237,'FL5_POR_包裝對照表 (Mapping Table)'!E:E,'FL5_POR_包裝對照表 (Mapping Table)'!E:E,"",0,1))</f>
        <v/>
      </c>
      <c r="I237" s="677" t="str">
        <f t="array" ref="I237">if(isblank(F237),"",xlookup(F237,'FL5_POR_包裝對照表 (Mapping Table)'!E:E,'FL5_POR_包裝對照表 (Mapping Table)'!AN:AN,"",0,1))</f>
        <v/>
      </c>
      <c r="J237" s="894" t="str">
        <f t="array" ref="J237">if(isblank(F237),"",xlookup(G237,z_Others!$B$5:$B$17,z_Others!$C$5:$C$17,"",0,1))</f>
        <v/>
      </c>
      <c r="K237" s="894" t="str">
        <f t="array" ref="K237">if(isblank(F237),"",xlookup(G237,z_Others!$B$5:$B$17,z_Others!$E$5:$E$17,"",0,1))</f>
        <v/>
      </c>
      <c r="L237" s="894" t="str">
        <f t="array" ref="L237">if(isblank(F237),"",xlookup(G237,z_Others!$B$5:$B$17,z_Others!$F$5:$F$17,"",0,1))</f>
        <v/>
      </c>
      <c r="M237" s="894" t="str">
        <f t="shared" si="3"/>
        <v/>
      </c>
      <c r="N237" s="894" t="str">
        <f t="shared" si="4"/>
        <v/>
      </c>
      <c r="O237" s="882" t="str">
        <f t="array" ref="O237">if(isblank(F237),"",xlookup(F237,'FL5_POR_包裝對照表 (Mapping Table)'!E:E,'FL5_POR_包裝對照表 (Mapping Table)'!L:L,"",0,1))</f>
        <v/>
      </c>
      <c r="P237" s="909" t="str">
        <f t="array" ref="P237">if(isblank(F237),"",xlookup(G237,z_Others!$B$5:$B$17,z_Others!$J$5:$J$17,"",0,1))</f>
        <v/>
      </c>
      <c r="Q237" s="899" t="str">
        <f t="array" ref="Q237">if(isblank(F237),"",xlookup(F237,'FL5_POR_核價 (經管 &amp; BPM)'!E:E,'FL5_POR_核價 (經管 &amp; BPM)'!O:O,"",0,1))</f>
        <v/>
      </c>
      <c r="R237" s="894" t="str">
        <f t="shared" si="5"/>
        <v/>
      </c>
      <c r="S237" s="894" t="str">
        <f t="array" ref="S237">if(isblank(F237),"",xlookup(G237,z_Others!$B$5:$B$17,z_Others!$K$5:$K$17,"",0,1))</f>
        <v/>
      </c>
      <c r="T237" s="894" t="str">
        <f t="shared" si="19"/>
        <v/>
      </c>
      <c r="U237" s="898" t="str">
        <f t="array" ref="U237">if(isblank(F237),"",xlookup(G237,z_Others!$B$5:$B$17,z_Others!$G$5:$G$17,"",0,1))</f>
        <v/>
      </c>
      <c r="V237" s="231" t="str">
        <f t="array" ref="V237">if(isblank(F237),"",xlookup(F237,'FL5_POR_包裝對照表 (Mapping Table)'!E:E,'FL5_POR_包裝對照表 (Mapping Table)'!AB:AB,"",0,1))</f>
        <v/>
      </c>
      <c r="W237" s="899" t="str">
        <f t="array" ref="W237">if(isblank(F237),"",xlookup(G237,z_Others!$B$5:$B$17,z_Others!$I$5:$I$17,"",0,1))</f>
        <v/>
      </c>
      <c r="X237" s="894" t="str">
        <f t="shared" si="7"/>
        <v/>
      </c>
      <c r="Y237" s="894" t="str">
        <f t="shared" si="8"/>
        <v/>
      </c>
      <c r="Z237" s="900" t="str">
        <f t="shared" si="9"/>
        <v/>
      </c>
      <c r="AA237" s="900" t="str">
        <f t="shared" si="10"/>
        <v/>
      </c>
      <c r="AB237" s="878" t="str">
        <f t="array" ref="AB237">if(isblank(F237),"",xlookup(AJ237,z_Others!$M$5:$M$9,z_Others!$Q$5:$Q$9,"",0,1))</f>
        <v/>
      </c>
      <c r="AC237" s="900" t="str">
        <f t="shared" si="11"/>
        <v/>
      </c>
      <c r="AD237" s="894" t="str">
        <f t="array" ref="AD237">if(isblank(F237),"",xlookup(G237,z_Others!$B$5:$B$14,z_Others!$H$5:$H$14,"",0,1))</f>
        <v/>
      </c>
      <c r="AE237" s="901" t="str">
        <f t="shared" si="12"/>
        <v/>
      </c>
      <c r="AF237" s="791"/>
      <c r="AG237" s="791" t="str">
        <f t="shared" si="21"/>
        <v/>
      </c>
      <c r="AH237" s="787"/>
      <c r="AI237" s="787"/>
      <c r="AJ237" s="677" t="str">
        <f t="array" ref="AJ237">if(isblank(F237),"",xlookup(F237,'FL5_POR_包裝對照表 (Mapping Table)'!E:E,'FL5_POR_包裝對照表 (Mapping Table)'!AS:AS,"",0,1))</f>
        <v/>
      </c>
      <c r="AK237" s="677" t="str">
        <f t="array" ref="AK237">if(isblank(F237),"",xlookup(F237,'FL5_POR_包裝對照表 (Mapping Table)'!E:E,'FL5_POR_包裝對照表 (Mapping Table)'!K:K,"",0,1))</f>
        <v/>
      </c>
      <c r="AL237" s="677"/>
      <c r="AM237" s="813"/>
      <c r="AN237" s="908"/>
      <c r="AO237" s="813"/>
      <c r="AP237" s="813"/>
    </row>
    <row r="238" ht="18.0" customHeight="1">
      <c r="A238" s="910"/>
      <c r="B238" s="908"/>
      <c r="C238" s="891" t="str">
        <f>if(isblank(F238),"",'FL5_POR_包裝對照表 (Mapping Table)'!$E$4)</f>
        <v/>
      </c>
      <c r="D238" s="878" t="str">
        <f t="array" ref="D238">if(isblank(F238),"",xlookup(F238,'FL5_POR_包裝對照表 (Mapping Table)'!E:E,'FL5_POR_包裝對照表 (Mapping Table)'!AZ:AZ,"",0,1))</f>
        <v/>
      </c>
      <c r="E238" s="677" t="str">
        <f t="shared" si="2"/>
        <v/>
      </c>
      <c r="F238" s="879"/>
      <c r="G238" s="892" t="str">
        <f t="array" ref="G238">if(isblank(F238),"",xlookup(F238,'FL5_POR_包裝對照表 (Mapping Table)'!E:E,'FL5_POR_包裝對照表 (Mapping Table)'!D:D,"",0,1))</f>
        <v/>
      </c>
      <c r="H238" s="893" t="str">
        <f t="array" ref="H238">if(isblank(F238),"",xlookup(F238,'FL5_POR_包裝對照表 (Mapping Table)'!E:E,'FL5_POR_包裝對照表 (Mapping Table)'!E:E,"",0,1))</f>
        <v/>
      </c>
      <c r="I238" s="677" t="str">
        <f t="array" ref="I238">if(isblank(F238),"",xlookup(F238,'FL5_POR_包裝對照表 (Mapping Table)'!E:E,'FL5_POR_包裝對照表 (Mapping Table)'!AN:AN,"",0,1))</f>
        <v/>
      </c>
      <c r="J238" s="894" t="str">
        <f t="array" ref="J238">if(isblank(F238),"",xlookup(G238,z_Others!$B$5:$B$17,z_Others!$C$5:$C$17,"",0,1))</f>
        <v/>
      </c>
      <c r="K238" s="894" t="str">
        <f t="array" ref="K238">if(isblank(F238),"",xlookup(G238,z_Others!$B$5:$B$17,z_Others!$E$5:$E$17,"",0,1))</f>
        <v/>
      </c>
      <c r="L238" s="894" t="str">
        <f t="array" ref="L238">if(isblank(F238),"",xlookup(G238,z_Others!$B$5:$B$17,z_Others!$F$5:$F$17,"",0,1))</f>
        <v/>
      </c>
      <c r="M238" s="894" t="str">
        <f t="shared" si="3"/>
        <v/>
      </c>
      <c r="N238" s="894" t="str">
        <f t="shared" si="4"/>
        <v/>
      </c>
      <c r="O238" s="882" t="str">
        <f t="array" ref="O238">if(isblank(F238),"",xlookup(F238,'FL5_POR_包裝對照表 (Mapping Table)'!E:E,'FL5_POR_包裝對照表 (Mapping Table)'!L:L,"",0,1))</f>
        <v/>
      </c>
      <c r="P238" s="909" t="str">
        <f t="array" ref="P238">if(isblank(F238),"",xlookup(G238,z_Others!$B$5:$B$17,z_Others!$J$5:$J$17,"",0,1))</f>
        <v/>
      </c>
      <c r="Q238" s="899" t="str">
        <f t="array" ref="Q238">if(isblank(F238),"",xlookup(F238,'FL5_POR_核價 (經管 &amp; BPM)'!E:E,'FL5_POR_核價 (經管 &amp; BPM)'!O:O,"",0,1))</f>
        <v/>
      </c>
      <c r="R238" s="894" t="str">
        <f t="shared" si="5"/>
        <v/>
      </c>
      <c r="S238" s="894" t="str">
        <f t="array" ref="S238">if(isblank(F238),"",xlookup(G238,z_Others!$B$5:$B$17,z_Others!$K$5:$K$17,"",0,1))</f>
        <v/>
      </c>
      <c r="T238" s="894" t="str">
        <f t="shared" si="19"/>
        <v/>
      </c>
      <c r="U238" s="898" t="str">
        <f t="array" ref="U238">if(isblank(F238),"",xlookup(G238,z_Others!$B$5:$B$17,z_Others!$G$5:$G$17,"",0,1))</f>
        <v/>
      </c>
      <c r="V238" s="231" t="str">
        <f t="array" ref="V238">if(isblank(F238),"",xlookup(F238,'FL5_POR_包裝對照表 (Mapping Table)'!E:E,'FL5_POR_包裝對照表 (Mapping Table)'!AB:AB,"",0,1))</f>
        <v/>
      </c>
      <c r="W238" s="899" t="str">
        <f t="array" ref="W238">if(isblank(F238),"",xlookup(G238,z_Others!$B$5:$B$17,z_Others!$I$5:$I$17,"",0,1))</f>
        <v/>
      </c>
      <c r="X238" s="894" t="str">
        <f t="shared" si="7"/>
        <v/>
      </c>
      <c r="Y238" s="894" t="str">
        <f t="shared" si="8"/>
        <v/>
      </c>
      <c r="Z238" s="900" t="str">
        <f t="shared" si="9"/>
        <v/>
      </c>
      <c r="AA238" s="900" t="str">
        <f t="shared" si="10"/>
        <v/>
      </c>
      <c r="AB238" s="878" t="str">
        <f t="array" ref="AB238">if(isblank(F238),"",xlookup(AJ238,z_Others!$M$5:$M$9,z_Others!$Q$5:$Q$9,"",0,1))</f>
        <v/>
      </c>
      <c r="AC238" s="900" t="str">
        <f t="shared" si="11"/>
        <v/>
      </c>
      <c r="AD238" s="894" t="str">
        <f t="array" ref="AD238">if(isblank(F238),"",xlookup(G238,z_Others!$B$5:$B$14,z_Others!$H$5:$H$14,"",0,1))</f>
        <v/>
      </c>
      <c r="AE238" s="901" t="str">
        <f t="shared" si="12"/>
        <v/>
      </c>
      <c r="AF238" s="791"/>
      <c r="AG238" s="791" t="str">
        <f t="shared" si="21"/>
        <v/>
      </c>
      <c r="AH238" s="787"/>
      <c r="AI238" s="787"/>
      <c r="AJ238" s="677" t="str">
        <f t="array" ref="AJ238">if(isblank(F238),"",xlookup(F238,'FL5_POR_包裝對照表 (Mapping Table)'!E:E,'FL5_POR_包裝對照表 (Mapping Table)'!AS:AS,"",0,1))</f>
        <v/>
      </c>
      <c r="AK238" s="677" t="str">
        <f t="array" ref="AK238">if(isblank(F238),"",xlookup(F238,'FL5_POR_包裝對照表 (Mapping Table)'!E:E,'FL5_POR_包裝對照表 (Mapping Table)'!K:K,"",0,1))</f>
        <v/>
      </c>
      <c r="AL238" s="677"/>
      <c r="AM238" s="813"/>
      <c r="AN238" s="908"/>
      <c r="AO238" s="813"/>
      <c r="AP238" s="813"/>
    </row>
    <row r="239" ht="18.0" customHeight="1">
      <c r="A239" s="910"/>
      <c r="B239" s="908"/>
      <c r="C239" s="891" t="str">
        <f>if(isblank(F239),"",'FL5_POR_包裝對照表 (Mapping Table)'!$E$4)</f>
        <v/>
      </c>
      <c r="D239" s="878" t="str">
        <f t="array" ref="D239">if(isblank(F239),"",xlookup(F239,'FL5_POR_包裝對照表 (Mapping Table)'!E:E,'FL5_POR_包裝對照表 (Mapping Table)'!AZ:AZ,"",0,1))</f>
        <v/>
      </c>
      <c r="E239" s="677" t="str">
        <f t="shared" si="2"/>
        <v/>
      </c>
      <c r="F239" s="879"/>
      <c r="G239" s="892" t="str">
        <f t="array" ref="G239">if(isblank(F239),"",xlookup(F239,'FL5_POR_包裝對照表 (Mapping Table)'!E:E,'FL5_POR_包裝對照表 (Mapping Table)'!D:D,"",0,1))</f>
        <v/>
      </c>
      <c r="H239" s="893" t="str">
        <f t="array" ref="H239">if(isblank(F239),"",xlookup(F239,'FL5_POR_包裝對照表 (Mapping Table)'!E:E,'FL5_POR_包裝對照表 (Mapping Table)'!E:E,"",0,1))</f>
        <v/>
      </c>
      <c r="I239" s="677" t="str">
        <f t="array" ref="I239">if(isblank(F239),"",xlookup(F239,'FL5_POR_包裝對照表 (Mapping Table)'!E:E,'FL5_POR_包裝對照表 (Mapping Table)'!AN:AN,"",0,1))</f>
        <v/>
      </c>
      <c r="J239" s="894" t="str">
        <f t="array" ref="J239">if(isblank(F239),"",xlookup(G239,z_Others!$B$5:$B$17,z_Others!$C$5:$C$17,"",0,1))</f>
        <v/>
      </c>
      <c r="K239" s="894" t="str">
        <f t="array" ref="K239">if(isblank(F239),"",xlookup(G239,z_Others!$B$5:$B$17,z_Others!$E$5:$E$17,"",0,1))</f>
        <v/>
      </c>
      <c r="L239" s="894" t="str">
        <f t="array" ref="L239">if(isblank(F239),"",xlookup(G239,z_Others!$B$5:$B$17,z_Others!$F$5:$F$17,"",0,1))</f>
        <v/>
      </c>
      <c r="M239" s="894" t="str">
        <f t="shared" si="3"/>
        <v/>
      </c>
      <c r="N239" s="894" t="str">
        <f t="shared" si="4"/>
        <v/>
      </c>
      <c r="O239" s="882" t="str">
        <f t="array" ref="O239">if(isblank(F239),"",xlookup(F239,'FL5_POR_包裝對照表 (Mapping Table)'!E:E,'FL5_POR_包裝對照表 (Mapping Table)'!L:L,"",0,1))</f>
        <v/>
      </c>
      <c r="P239" s="909" t="str">
        <f t="array" ref="P239">if(isblank(F239),"",xlookup(G239,z_Others!$B$5:$B$17,z_Others!$J$5:$J$17,"",0,1))</f>
        <v/>
      </c>
      <c r="Q239" s="899" t="str">
        <f t="array" ref="Q239">if(isblank(F239),"",xlookup(F239,'FL5_POR_核價 (經管 &amp; BPM)'!E:E,'FL5_POR_核價 (經管 &amp; BPM)'!O:O,"",0,1))</f>
        <v/>
      </c>
      <c r="R239" s="894" t="str">
        <f t="shared" si="5"/>
        <v/>
      </c>
      <c r="S239" s="894" t="str">
        <f t="array" ref="S239">if(isblank(F239),"",xlookup(G239,z_Others!$B$5:$B$17,z_Others!$K$5:$K$17,"",0,1))</f>
        <v/>
      </c>
      <c r="T239" s="894" t="str">
        <f t="shared" si="19"/>
        <v/>
      </c>
      <c r="U239" s="898" t="str">
        <f t="array" ref="U239">if(isblank(F239),"",xlookup(G239,z_Others!$B$5:$B$17,z_Others!$G$5:$G$17,"",0,1))</f>
        <v/>
      </c>
      <c r="V239" s="231" t="str">
        <f t="array" ref="V239">if(isblank(F239),"",xlookup(F239,'FL5_POR_包裝對照表 (Mapping Table)'!E:E,'FL5_POR_包裝對照表 (Mapping Table)'!AB:AB,"",0,1))</f>
        <v/>
      </c>
      <c r="W239" s="899" t="str">
        <f t="array" ref="W239">if(isblank(F239),"",xlookup(G239,z_Others!$B$5:$B$17,z_Others!$I$5:$I$17,"",0,1))</f>
        <v/>
      </c>
      <c r="X239" s="894" t="str">
        <f t="shared" si="7"/>
        <v/>
      </c>
      <c r="Y239" s="894" t="str">
        <f t="shared" si="8"/>
        <v/>
      </c>
      <c r="Z239" s="900" t="str">
        <f t="shared" si="9"/>
        <v/>
      </c>
      <c r="AA239" s="900" t="str">
        <f t="shared" si="10"/>
        <v/>
      </c>
      <c r="AB239" s="878" t="str">
        <f t="array" ref="AB239">if(isblank(F239),"",xlookup(AJ239,z_Others!$M$5:$M$9,z_Others!$Q$5:$Q$9,"",0,1))</f>
        <v/>
      </c>
      <c r="AC239" s="900" t="str">
        <f t="shared" si="11"/>
        <v/>
      </c>
      <c r="AD239" s="894" t="str">
        <f t="array" ref="AD239">if(isblank(F239),"",xlookup(G239,z_Others!$B$5:$B$14,z_Others!$H$5:$H$14,"",0,1))</f>
        <v/>
      </c>
      <c r="AE239" s="901" t="str">
        <f t="shared" si="12"/>
        <v/>
      </c>
      <c r="AF239" s="791"/>
      <c r="AG239" s="791" t="str">
        <f t="shared" si="21"/>
        <v/>
      </c>
      <c r="AH239" s="787"/>
      <c r="AI239" s="787"/>
      <c r="AJ239" s="677" t="str">
        <f t="array" ref="AJ239">if(isblank(F239),"",xlookup(F239,'FL5_POR_包裝對照表 (Mapping Table)'!E:E,'FL5_POR_包裝對照表 (Mapping Table)'!AS:AS,"",0,1))</f>
        <v/>
      </c>
      <c r="AK239" s="677" t="str">
        <f t="array" ref="AK239">if(isblank(F239),"",xlookup(F239,'FL5_POR_包裝對照表 (Mapping Table)'!E:E,'FL5_POR_包裝對照表 (Mapping Table)'!K:K,"",0,1))</f>
        <v/>
      </c>
      <c r="AL239" s="677"/>
      <c r="AM239" s="813"/>
      <c r="AN239" s="908"/>
      <c r="AO239" s="813"/>
      <c r="AP239" s="813"/>
    </row>
    <row r="240" ht="18.0" customHeight="1">
      <c r="A240" s="910"/>
      <c r="B240" s="908"/>
      <c r="C240" s="891" t="str">
        <f>if(isblank(F240),"",'FL5_POR_包裝對照表 (Mapping Table)'!$E$4)</f>
        <v/>
      </c>
      <c r="D240" s="878" t="str">
        <f t="array" ref="D240">if(isblank(F240),"",xlookup(F240,'FL5_POR_包裝對照表 (Mapping Table)'!E:E,'FL5_POR_包裝對照表 (Mapping Table)'!AZ:AZ,"",0,1))</f>
        <v/>
      </c>
      <c r="E240" s="677" t="str">
        <f t="shared" si="2"/>
        <v/>
      </c>
      <c r="F240" s="879"/>
      <c r="G240" s="892" t="str">
        <f t="array" ref="G240">if(isblank(F240),"",xlookup(F240,'FL5_POR_包裝對照表 (Mapping Table)'!E:E,'FL5_POR_包裝對照表 (Mapping Table)'!D:D,"",0,1))</f>
        <v/>
      </c>
      <c r="H240" s="893" t="str">
        <f t="array" ref="H240">if(isblank(F240),"",xlookup(F240,'FL5_POR_包裝對照表 (Mapping Table)'!E:E,'FL5_POR_包裝對照表 (Mapping Table)'!E:E,"",0,1))</f>
        <v/>
      </c>
      <c r="I240" s="677" t="str">
        <f t="array" ref="I240">if(isblank(F240),"",xlookup(F240,'FL5_POR_包裝對照表 (Mapping Table)'!E:E,'FL5_POR_包裝對照表 (Mapping Table)'!AN:AN,"",0,1))</f>
        <v/>
      </c>
      <c r="J240" s="894" t="str">
        <f t="array" ref="J240">if(isblank(F240),"",xlookup(G240,z_Others!$B$5:$B$17,z_Others!$C$5:$C$17,"",0,1))</f>
        <v/>
      </c>
      <c r="K240" s="894" t="str">
        <f t="array" ref="K240">if(isblank(F240),"",xlookup(G240,z_Others!$B$5:$B$17,z_Others!$E$5:$E$17,"",0,1))</f>
        <v/>
      </c>
      <c r="L240" s="894" t="str">
        <f t="array" ref="L240">if(isblank(F240),"",xlookup(G240,z_Others!$B$5:$B$17,z_Others!$F$5:$F$17,"",0,1))</f>
        <v/>
      </c>
      <c r="M240" s="894" t="str">
        <f t="shared" si="3"/>
        <v/>
      </c>
      <c r="N240" s="894" t="str">
        <f t="shared" si="4"/>
        <v/>
      </c>
      <c r="O240" s="882" t="str">
        <f t="array" ref="O240">if(isblank(F240),"",xlookup(F240,'FL5_POR_包裝對照表 (Mapping Table)'!E:E,'FL5_POR_包裝對照表 (Mapping Table)'!L:L,"",0,1))</f>
        <v/>
      </c>
      <c r="P240" s="909" t="str">
        <f t="array" ref="P240">if(isblank(F240),"",xlookup(G240,z_Others!$B$5:$B$17,z_Others!$J$5:$J$17,"",0,1))</f>
        <v/>
      </c>
      <c r="Q240" s="899" t="str">
        <f t="array" ref="Q240">if(isblank(F240),"",xlookup(F240,'FL5_POR_核價 (經管 &amp; BPM)'!E:E,'FL5_POR_核價 (經管 &amp; BPM)'!O:O,"",0,1))</f>
        <v/>
      </c>
      <c r="R240" s="894" t="str">
        <f t="shared" si="5"/>
        <v/>
      </c>
      <c r="S240" s="894" t="str">
        <f t="array" ref="S240">if(isblank(F240),"",xlookup(G240,z_Others!$B$5:$B$17,z_Others!$K$5:$K$17,"",0,1))</f>
        <v/>
      </c>
      <c r="T240" s="894" t="str">
        <f t="shared" si="19"/>
        <v/>
      </c>
      <c r="U240" s="898" t="str">
        <f t="array" ref="U240">if(isblank(F240),"",xlookup(G240,z_Others!$B$5:$B$17,z_Others!$G$5:$G$17,"",0,1))</f>
        <v/>
      </c>
      <c r="V240" s="231" t="str">
        <f t="array" ref="V240">if(isblank(F240),"",xlookup(F240,'FL5_POR_包裝對照表 (Mapping Table)'!E:E,'FL5_POR_包裝對照表 (Mapping Table)'!AB:AB,"",0,1))</f>
        <v/>
      </c>
      <c r="W240" s="899" t="str">
        <f t="array" ref="W240">if(isblank(F240),"",xlookup(G240,z_Others!$B$5:$B$17,z_Others!$I$5:$I$17,"",0,1))</f>
        <v/>
      </c>
      <c r="X240" s="894" t="str">
        <f t="shared" si="7"/>
        <v/>
      </c>
      <c r="Y240" s="894" t="str">
        <f t="shared" si="8"/>
        <v/>
      </c>
      <c r="Z240" s="900" t="str">
        <f t="shared" si="9"/>
        <v/>
      </c>
      <c r="AA240" s="900" t="str">
        <f t="shared" si="10"/>
        <v/>
      </c>
      <c r="AB240" s="878" t="str">
        <f t="array" ref="AB240">if(isblank(F240),"",xlookup(AJ240,z_Others!$M$5:$M$9,z_Others!$Q$5:$Q$9,"",0,1))</f>
        <v/>
      </c>
      <c r="AC240" s="900" t="str">
        <f t="shared" si="11"/>
        <v/>
      </c>
      <c r="AD240" s="894" t="str">
        <f t="array" ref="AD240">if(isblank(F240),"",xlookup(G240,z_Others!$B$5:$B$14,z_Others!$H$5:$H$14,"",0,1))</f>
        <v/>
      </c>
      <c r="AE240" s="901" t="str">
        <f t="shared" si="12"/>
        <v/>
      </c>
      <c r="AF240" s="791"/>
      <c r="AG240" s="791" t="str">
        <f t="shared" si="21"/>
        <v/>
      </c>
      <c r="AH240" s="787"/>
      <c r="AI240" s="787"/>
      <c r="AJ240" s="677" t="str">
        <f t="array" ref="AJ240">if(isblank(F240),"",xlookup(F240,'FL5_POR_包裝對照表 (Mapping Table)'!E:E,'FL5_POR_包裝對照表 (Mapping Table)'!AS:AS,"",0,1))</f>
        <v/>
      </c>
      <c r="AK240" s="677" t="str">
        <f t="array" ref="AK240">if(isblank(F240),"",xlookup(F240,'FL5_POR_包裝對照表 (Mapping Table)'!E:E,'FL5_POR_包裝對照表 (Mapping Table)'!K:K,"",0,1))</f>
        <v/>
      </c>
      <c r="AL240" s="677"/>
      <c r="AM240" s="813"/>
      <c r="AN240" s="908"/>
      <c r="AO240" s="813"/>
      <c r="AP240" s="813"/>
    </row>
    <row r="241" ht="18.0" customHeight="1">
      <c r="A241" s="910"/>
      <c r="B241" s="908"/>
      <c r="C241" s="891" t="str">
        <f>if(isblank(F241),"",'FL5_POR_包裝對照表 (Mapping Table)'!$E$4)</f>
        <v/>
      </c>
      <c r="D241" s="878" t="str">
        <f t="array" ref="D241">if(isblank(F241),"",xlookup(F241,'FL5_POR_包裝對照表 (Mapping Table)'!E:E,'FL5_POR_包裝對照表 (Mapping Table)'!AZ:AZ,"",0,1))</f>
        <v/>
      </c>
      <c r="E241" s="677" t="str">
        <f t="shared" si="2"/>
        <v/>
      </c>
      <c r="F241" s="879"/>
      <c r="G241" s="892" t="str">
        <f t="array" ref="G241">if(isblank(F241),"",xlookup(F241,'FL5_POR_包裝對照表 (Mapping Table)'!E:E,'FL5_POR_包裝對照表 (Mapping Table)'!D:D,"",0,1))</f>
        <v/>
      </c>
      <c r="H241" s="893" t="str">
        <f t="array" ref="H241">if(isblank(F241),"",xlookup(F241,'FL5_POR_包裝對照表 (Mapping Table)'!E:E,'FL5_POR_包裝對照表 (Mapping Table)'!E:E,"",0,1))</f>
        <v/>
      </c>
      <c r="I241" s="677" t="str">
        <f t="array" ref="I241">if(isblank(F241),"",xlookup(F241,'FL5_POR_包裝對照表 (Mapping Table)'!E:E,'FL5_POR_包裝對照表 (Mapping Table)'!AN:AN,"",0,1))</f>
        <v/>
      </c>
      <c r="J241" s="894" t="str">
        <f t="array" ref="J241">if(isblank(F241),"",xlookup(G241,z_Others!$B$5:$B$17,z_Others!$C$5:$C$17,"",0,1))</f>
        <v/>
      </c>
      <c r="K241" s="894" t="str">
        <f t="array" ref="K241">if(isblank(F241),"",xlookup(G241,z_Others!$B$5:$B$17,z_Others!$E$5:$E$17,"",0,1))</f>
        <v/>
      </c>
      <c r="L241" s="894" t="str">
        <f t="array" ref="L241">if(isblank(F241),"",xlookup(G241,z_Others!$B$5:$B$17,z_Others!$F$5:$F$17,"",0,1))</f>
        <v/>
      </c>
      <c r="M241" s="894" t="str">
        <f t="shared" si="3"/>
        <v/>
      </c>
      <c r="N241" s="894" t="str">
        <f t="shared" si="4"/>
        <v/>
      </c>
      <c r="O241" s="882" t="str">
        <f t="array" ref="O241">if(isblank(F241),"",xlookup(F241,'FL5_POR_包裝對照表 (Mapping Table)'!E:E,'FL5_POR_包裝對照表 (Mapping Table)'!L:L,"",0,1))</f>
        <v/>
      </c>
      <c r="P241" s="909" t="str">
        <f t="array" ref="P241">if(isblank(F241),"",xlookup(G241,z_Others!$B$5:$B$17,z_Others!$J$5:$J$17,"",0,1))</f>
        <v/>
      </c>
      <c r="Q241" s="899" t="str">
        <f t="array" ref="Q241">if(isblank(F241),"",xlookup(F241,'FL5_POR_核價 (經管 &amp; BPM)'!E:E,'FL5_POR_核價 (經管 &amp; BPM)'!O:O,"",0,1))</f>
        <v/>
      </c>
      <c r="R241" s="894" t="str">
        <f t="shared" si="5"/>
        <v/>
      </c>
      <c r="S241" s="894" t="str">
        <f t="array" ref="S241">if(isblank(F241),"",xlookup(G241,z_Others!$B$5:$B$17,z_Others!$K$5:$K$17,"",0,1))</f>
        <v/>
      </c>
      <c r="T241" s="894" t="str">
        <f t="shared" si="19"/>
        <v/>
      </c>
      <c r="U241" s="898" t="str">
        <f t="array" ref="U241">if(isblank(F241),"",xlookup(G241,z_Others!$B$5:$B$17,z_Others!$G$5:$G$17,"",0,1))</f>
        <v/>
      </c>
      <c r="V241" s="231" t="str">
        <f t="array" ref="V241">if(isblank(F241),"",xlookup(F241,'FL5_POR_包裝對照表 (Mapping Table)'!E:E,'FL5_POR_包裝對照表 (Mapping Table)'!AB:AB,"",0,1))</f>
        <v/>
      </c>
      <c r="W241" s="899" t="str">
        <f t="array" ref="W241">if(isblank(F241),"",xlookup(G241,z_Others!$B$5:$B$17,z_Others!$I$5:$I$17,"",0,1))</f>
        <v/>
      </c>
      <c r="X241" s="894" t="str">
        <f t="shared" si="7"/>
        <v/>
      </c>
      <c r="Y241" s="894" t="str">
        <f t="shared" si="8"/>
        <v/>
      </c>
      <c r="Z241" s="900" t="str">
        <f t="shared" si="9"/>
        <v/>
      </c>
      <c r="AA241" s="900" t="str">
        <f t="shared" si="10"/>
        <v/>
      </c>
      <c r="AB241" s="878" t="str">
        <f t="array" ref="AB241">if(isblank(F241),"",xlookup(AJ241,z_Others!$M$5:$M$9,z_Others!$Q$5:$Q$9,"",0,1))</f>
        <v/>
      </c>
      <c r="AC241" s="900" t="str">
        <f t="shared" si="11"/>
        <v/>
      </c>
      <c r="AD241" s="894" t="str">
        <f t="array" ref="AD241">if(isblank(F241),"",xlookup(G241,z_Others!$B$5:$B$14,z_Others!$H$5:$H$14,"",0,1))</f>
        <v/>
      </c>
      <c r="AE241" s="901" t="str">
        <f t="shared" si="12"/>
        <v/>
      </c>
      <c r="AF241" s="791"/>
      <c r="AG241" s="791" t="str">
        <f t="shared" si="21"/>
        <v/>
      </c>
      <c r="AH241" s="787"/>
      <c r="AI241" s="787"/>
      <c r="AJ241" s="677" t="str">
        <f t="array" ref="AJ241">if(isblank(F241),"",xlookup(F241,'FL5_POR_包裝對照表 (Mapping Table)'!E:E,'FL5_POR_包裝對照表 (Mapping Table)'!AS:AS,"",0,1))</f>
        <v/>
      </c>
      <c r="AK241" s="677" t="str">
        <f t="array" ref="AK241">if(isblank(F241),"",xlookup(F241,'FL5_POR_包裝對照表 (Mapping Table)'!E:E,'FL5_POR_包裝對照表 (Mapping Table)'!K:K,"",0,1))</f>
        <v/>
      </c>
      <c r="AL241" s="677"/>
      <c r="AM241" s="813"/>
      <c r="AN241" s="908"/>
      <c r="AO241" s="813"/>
      <c r="AP241" s="813"/>
    </row>
    <row r="242" ht="18.0" customHeight="1">
      <c r="A242" s="910"/>
      <c r="B242" s="908"/>
      <c r="C242" s="891" t="str">
        <f>if(isblank(F242),"",'FL5_POR_包裝對照表 (Mapping Table)'!$E$4)</f>
        <v/>
      </c>
      <c r="D242" s="878" t="str">
        <f t="array" ref="D242">if(isblank(F242),"",xlookup(F242,'FL5_POR_包裝對照表 (Mapping Table)'!E:E,'FL5_POR_包裝對照表 (Mapping Table)'!AZ:AZ,"",0,1))</f>
        <v/>
      </c>
      <c r="E242" s="677" t="str">
        <f t="shared" si="2"/>
        <v/>
      </c>
      <c r="F242" s="879"/>
      <c r="G242" s="892" t="str">
        <f t="array" ref="G242">if(isblank(F242),"",xlookup(F242,'FL5_POR_包裝對照表 (Mapping Table)'!E:E,'FL5_POR_包裝對照表 (Mapping Table)'!D:D,"",0,1))</f>
        <v/>
      </c>
      <c r="H242" s="893" t="str">
        <f t="array" ref="H242">if(isblank(F242),"",xlookup(F242,'FL5_POR_包裝對照表 (Mapping Table)'!E:E,'FL5_POR_包裝對照表 (Mapping Table)'!E:E,"",0,1))</f>
        <v/>
      </c>
      <c r="I242" s="677" t="str">
        <f t="array" ref="I242">if(isblank(F242),"",xlookup(F242,'FL5_POR_包裝對照表 (Mapping Table)'!E:E,'FL5_POR_包裝對照表 (Mapping Table)'!AN:AN,"",0,1))</f>
        <v/>
      </c>
      <c r="J242" s="894" t="str">
        <f t="array" ref="J242">if(isblank(F242),"",xlookup(G242,z_Others!$B$5:$B$17,z_Others!$C$5:$C$17,"",0,1))</f>
        <v/>
      </c>
      <c r="K242" s="894" t="str">
        <f t="array" ref="K242">if(isblank(F242),"",xlookup(G242,z_Others!$B$5:$B$17,z_Others!$E$5:$E$17,"",0,1))</f>
        <v/>
      </c>
      <c r="L242" s="894" t="str">
        <f t="array" ref="L242">if(isblank(F242),"",xlookup(G242,z_Others!$B$5:$B$17,z_Others!$F$5:$F$17,"",0,1))</f>
        <v/>
      </c>
      <c r="M242" s="894" t="str">
        <f t="shared" si="3"/>
        <v/>
      </c>
      <c r="N242" s="894" t="str">
        <f t="shared" si="4"/>
        <v/>
      </c>
      <c r="O242" s="882" t="str">
        <f t="array" ref="O242">if(isblank(F242),"",xlookup(F242,'FL5_POR_包裝對照表 (Mapping Table)'!E:E,'FL5_POR_包裝對照表 (Mapping Table)'!L:L,"",0,1))</f>
        <v/>
      </c>
      <c r="P242" s="909" t="str">
        <f t="array" ref="P242">if(isblank(F242),"",xlookup(G242,z_Others!$B$5:$B$17,z_Others!$J$5:$J$17,"",0,1))</f>
        <v/>
      </c>
      <c r="Q242" s="899" t="str">
        <f t="array" ref="Q242">if(isblank(F242),"",xlookup(F242,'FL5_POR_核價 (經管 &amp; BPM)'!E:E,'FL5_POR_核價 (經管 &amp; BPM)'!O:O,"",0,1))</f>
        <v/>
      </c>
      <c r="R242" s="894" t="str">
        <f t="shared" si="5"/>
        <v/>
      </c>
      <c r="S242" s="894" t="str">
        <f t="array" ref="S242">if(isblank(F242),"",xlookup(G242,z_Others!$B$5:$B$17,z_Others!$K$5:$K$17,"",0,1))</f>
        <v/>
      </c>
      <c r="T242" s="894" t="str">
        <f t="shared" si="19"/>
        <v/>
      </c>
      <c r="U242" s="898" t="str">
        <f t="array" ref="U242">if(isblank(F242),"",xlookup(G242,z_Others!$B$5:$B$17,z_Others!$G$5:$G$17,"",0,1))</f>
        <v/>
      </c>
      <c r="V242" s="231" t="str">
        <f t="array" ref="V242">if(isblank(F242),"",xlookup(F242,'FL5_POR_包裝對照表 (Mapping Table)'!E:E,'FL5_POR_包裝對照表 (Mapping Table)'!AB:AB,"",0,1))</f>
        <v/>
      </c>
      <c r="W242" s="899" t="str">
        <f t="array" ref="W242">if(isblank(F242),"",xlookup(G242,z_Others!$B$5:$B$17,z_Others!$I$5:$I$17,"",0,1))</f>
        <v/>
      </c>
      <c r="X242" s="894" t="str">
        <f t="shared" si="7"/>
        <v/>
      </c>
      <c r="Y242" s="894" t="str">
        <f t="shared" si="8"/>
        <v/>
      </c>
      <c r="Z242" s="900" t="str">
        <f t="shared" si="9"/>
        <v/>
      </c>
      <c r="AA242" s="900" t="str">
        <f t="shared" si="10"/>
        <v/>
      </c>
      <c r="AB242" s="878" t="str">
        <f t="array" ref="AB242">if(isblank(F242),"",xlookup(AJ242,z_Others!$M$5:$M$9,z_Others!$Q$5:$Q$9,"",0,1))</f>
        <v/>
      </c>
      <c r="AC242" s="900" t="str">
        <f t="shared" si="11"/>
        <v/>
      </c>
      <c r="AD242" s="894" t="str">
        <f t="array" ref="AD242">if(isblank(F242),"",xlookup(G242,z_Others!$B$5:$B$14,z_Others!$H$5:$H$14,"",0,1))</f>
        <v/>
      </c>
      <c r="AE242" s="901" t="str">
        <f t="shared" si="12"/>
        <v/>
      </c>
      <c r="AF242" s="791"/>
      <c r="AG242" s="791" t="str">
        <f t="shared" si="21"/>
        <v/>
      </c>
      <c r="AH242" s="787"/>
      <c r="AI242" s="787"/>
      <c r="AJ242" s="677" t="str">
        <f t="array" ref="AJ242">if(isblank(F242),"",xlookup(F242,'FL5_POR_包裝對照表 (Mapping Table)'!E:E,'FL5_POR_包裝對照表 (Mapping Table)'!AS:AS,"",0,1))</f>
        <v/>
      </c>
      <c r="AK242" s="677" t="str">
        <f t="array" ref="AK242">if(isblank(F242),"",xlookup(F242,'FL5_POR_包裝對照表 (Mapping Table)'!E:E,'FL5_POR_包裝對照表 (Mapping Table)'!K:K,"",0,1))</f>
        <v/>
      </c>
      <c r="AL242" s="677"/>
      <c r="AM242" s="813"/>
      <c r="AN242" s="908"/>
      <c r="AO242" s="813"/>
      <c r="AP242" s="813"/>
    </row>
    <row r="243" ht="18.0" customHeight="1">
      <c r="A243" s="910"/>
      <c r="B243" s="908"/>
      <c r="C243" s="891" t="str">
        <f>if(isblank(F243),"",'FL5_POR_包裝對照表 (Mapping Table)'!$E$4)</f>
        <v/>
      </c>
      <c r="D243" s="878" t="str">
        <f t="array" ref="D243">if(isblank(F243),"",xlookup(F243,'FL5_POR_包裝對照表 (Mapping Table)'!E:E,'FL5_POR_包裝對照表 (Mapping Table)'!AZ:AZ,"",0,1))</f>
        <v/>
      </c>
      <c r="E243" s="677" t="str">
        <f t="shared" si="2"/>
        <v/>
      </c>
      <c r="F243" s="879"/>
      <c r="G243" s="892" t="str">
        <f t="array" ref="G243">if(isblank(F243),"",xlookup(F243,'FL5_POR_包裝對照表 (Mapping Table)'!E:E,'FL5_POR_包裝對照表 (Mapping Table)'!D:D,"",0,1))</f>
        <v/>
      </c>
      <c r="H243" s="893" t="str">
        <f t="array" ref="H243">if(isblank(F243),"",xlookup(F243,'FL5_POR_包裝對照表 (Mapping Table)'!E:E,'FL5_POR_包裝對照表 (Mapping Table)'!E:E,"",0,1))</f>
        <v/>
      </c>
      <c r="I243" s="677" t="str">
        <f t="array" ref="I243">if(isblank(F243),"",xlookup(F243,'FL5_POR_包裝對照表 (Mapping Table)'!E:E,'FL5_POR_包裝對照表 (Mapping Table)'!AN:AN,"",0,1))</f>
        <v/>
      </c>
      <c r="J243" s="894" t="str">
        <f t="array" ref="J243">if(isblank(F243),"",xlookup(G243,z_Others!$B$5:$B$17,z_Others!$C$5:$C$17,"",0,1))</f>
        <v/>
      </c>
      <c r="K243" s="894" t="str">
        <f t="array" ref="K243">if(isblank(F243),"",xlookup(G243,z_Others!$B$5:$B$17,z_Others!$E$5:$E$17,"",0,1))</f>
        <v/>
      </c>
      <c r="L243" s="894" t="str">
        <f t="array" ref="L243">if(isblank(F243),"",xlookup(G243,z_Others!$B$5:$B$17,z_Others!$F$5:$F$17,"",0,1))</f>
        <v/>
      </c>
      <c r="M243" s="894" t="str">
        <f t="shared" si="3"/>
        <v/>
      </c>
      <c r="N243" s="894" t="str">
        <f t="shared" si="4"/>
        <v/>
      </c>
      <c r="O243" s="882" t="str">
        <f t="array" ref="O243">if(isblank(F243),"",xlookup(F243,'FL5_POR_包裝對照表 (Mapping Table)'!E:E,'FL5_POR_包裝對照表 (Mapping Table)'!L:L,"",0,1))</f>
        <v/>
      </c>
      <c r="P243" s="909" t="str">
        <f t="array" ref="P243">if(isblank(F243),"",xlookup(G243,z_Others!$B$5:$B$17,z_Others!$J$5:$J$17,"",0,1))</f>
        <v/>
      </c>
      <c r="Q243" s="899" t="str">
        <f t="array" ref="Q243">if(isblank(F243),"",xlookup(F243,'FL5_POR_核價 (經管 &amp; BPM)'!E:E,'FL5_POR_核價 (經管 &amp; BPM)'!O:O,"",0,1))</f>
        <v/>
      </c>
      <c r="R243" s="894" t="str">
        <f t="shared" si="5"/>
        <v/>
      </c>
      <c r="S243" s="894" t="str">
        <f t="array" ref="S243">if(isblank(F243),"",xlookup(G243,z_Others!$B$5:$B$17,z_Others!$K$5:$K$17,"",0,1))</f>
        <v/>
      </c>
      <c r="T243" s="894" t="str">
        <f t="shared" si="19"/>
        <v/>
      </c>
      <c r="U243" s="898" t="str">
        <f t="array" ref="U243">if(isblank(F243),"",xlookup(G243,z_Others!$B$5:$B$17,z_Others!$G$5:$G$17,"",0,1))</f>
        <v/>
      </c>
      <c r="V243" s="231" t="str">
        <f t="array" ref="V243">if(isblank(F243),"",xlookup(F243,'FL5_POR_包裝對照表 (Mapping Table)'!E:E,'FL5_POR_包裝對照表 (Mapping Table)'!AB:AB,"",0,1))</f>
        <v/>
      </c>
      <c r="W243" s="899" t="str">
        <f t="array" ref="W243">if(isblank(F243),"",xlookup(G243,z_Others!$B$5:$B$17,z_Others!$I$5:$I$17,"",0,1))</f>
        <v/>
      </c>
      <c r="X243" s="894" t="str">
        <f t="shared" si="7"/>
        <v/>
      </c>
      <c r="Y243" s="894" t="str">
        <f t="shared" si="8"/>
        <v/>
      </c>
      <c r="Z243" s="900" t="str">
        <f t="shared" si="9"/>
        <v/>
      </c>
      <c r="AA243" s="900" t="str">
        <f t="shared" si="10"/>
        <v/>
      </c>
      <c r="AB243" s="878" t="str">
        <f t="array" ref="AB243">if(isblank(F243),"",xlookup(AJ243,z_Others!$M$5:$M$9,z_Others!$Q$5:$Q$9,"",0,1))</f>
        <v/>
      </c>
      <c r="AC243" s="900" t="str">
        <f t="shared" si="11"/>
        <v/>
      </c>
      <c r="AD243" s="894" t="str">
        <f t="array" ref="AD243">if(isblank(F243),"",xlookup(G243,z_Others!$B$5:$B$14,z_Others!$H$5:$H$14,"",0,1))</f>
        <v/>
      </c>
      <c r="AE243" s="901" t="str">
        <f t="shared" si="12"/>
        <v/>
      </c>
      <c r="AF243" s="791"/>
      <c r="AG243" s="791" t="str">
        <f t="shared" si="21"/>
        <v/>
      </c>
      <c r="AH243" s="787"/>
      <c r="AI243" s="787"/>
      <c r="AJ243" s="677" t="str">
        <f t="array" ref="AJ243">if(isblank(F243),"",xlookup(F243,'FL5_POR_包裝對照表 (Mapping Table)'!E:E,'FL5_POR_包裝對照表 (Mapping Table)'!AS:AS,"",0,1))</f>
        <v/>
      </c>
      <c r="AK243" s="677" t="str">
        <f t="array" ref="AK243">if(isblank(F243),"",xlookup(F243,'FL5_POR_包裝對照表 (Mapping Table)'!E:E,'FL5_POR_包裝對照表 (Mapping Table)'!K:K,"",0,1))</f>
        <v/>
      </c>
      <c r="AL243" s="677"/>
      <c r="AM243" s="813"/>
      <c r="AN243" s="908"/>
      <c r="AO243" s="813"/>
      <c r="AP243" s="813"/>
    </row>
    <row r="244" ht="18.0" customHeight="1">
      <c r="A244" s="910"/>
      <c r="B244" s="908"/>
      <c r="C244" s="891" t="str">
        <f>if(isblank(F244),"",'FL5_POR_包裝對照表 (Mapping Table)'!$E$4)</f>
        <v/>
      </c>
      <c r="D244" s="878" t="str">
        <f t="array" ref="D244">if(isblank(F244),"",xlookup(F244,'FL5_POR_包裝對照表 (Mapping Table)'!E:E,'FL5_POR_包裝對照表 (Mapping Table)'!AZ:AZ,"",0,1))</f>
        <v/>
      </c>
      <c r="E244" s="677" t="str">
        <f t="shared" si="2"/>
        <v/>
      </c>
      <c r="F244" s="879"/>
      <c r="G244" s="892" t="str">
        <f t="array" ref="G244">if(isblank(F244),"",xlookup(F244,'FL5_POR_包裝對照表 (Mapping Table)'!E:E,'FL5_POR_包裝對照表 (Mapping Table)'!D:D,"",0,1))</f>
        <v/>
      </c>
      <c r="H244" s="893" t="str">
        <f t="array" ref="H244">if(isblank(F244),"",xlookup(F244,'FL5_POR_包裝對照表 (Mapping Table)'!E:E,'FL5_POR_包裝對照表 (Mapping Table)'!E:E,"",0,1))</f>
        <v/>
      </c>
      <c r="I244" s="677" t="str">
        <f t="array" ref="I244">if(isblank(F244),"",xlookup(F244,'FL5_POR_包裝對照表 (Mapping Table)'!E:E,'FL5_POR_包裝對照表 (Mapping Table)'!AN:AN,"",0,1))</f>
        <v/>
      </c>
      <c r="J244" s="894" t="str">
        <f t="array" ref="J244">if(isblank(F244),"",xlookup(G244,z_Others!$B$5:$B$17,z_Others!$C$5:$C$17,"",0,1))</f>
        <v/>
      </c>
      <c r="K244" s="894" t="str">
        <f t="array" ref="K244">if(isblank(F244),"",xlookup(G244,z_Others!$B$5:$B$17,z_Others!$E$5:$E$17,"",0,1))</f>
        <v/>
      </c>
      <c r="L244" s="894" t="str">
        <f t="array" ref="L244">if(isblank(F244),"",xlookup(G244,z_Others!$B$5:$B$17,z_Others!$F$5:$F$17,"",0,1))</f>
        <v/>
      </c>
      <c r="M244" s="894" t="str">
        <f t="shared" si="3"/>
        <v/>
      </c>
      <c r="N244" s="894" t="str">
        <f t="shared" si="4"/>
        <v/>
      </c>
      <c r="O244" s="882" t="str">
        <f t="array" ref="O244">if(isblank(F244),"",xlookup(F244,'FL5_POR_包裝對照表 (Mapping Table)'!E:E,'FL5_POR_包裝對照表 (Mapping Table)'!L:L,"",0,1))</f>
        <v/>
      </c>
      <c r="P244" s="909" t="str">
        <f t="array" ref="P244">if(isblank(F244),"",xlookup(G244,z_Others!$B$5:$B$17,z_Others!$J$5:$J$17,"",0,1))</f>
        <v/>
      </c>
      <c r="Q244" s="899" t="str">
        <f t="array" ref="Q244">if(isblank(F244),"",xlookup(F244,'FL5_POR_核價 (經管 &amp; BPM)'!E:E,'FL5_POR_核價 (經管 &amp; BPM)'!O:O,"",0,1))</f>
        <v/>
      </c>
      <c r="R244" s="894" t="str">
        <f t="shared" si="5"/>
        <v/>
      </c>
      <c r="S244" s="894" t="str">
        <f t="array" ref="S244">if(isblank(F244),"",xlookup(G244,z_Others!$B$5:$B$17,z_Others!$K$5:$K$17,"",0,1))</f>
        <v/>
      </c>
      <c r="T244" s="894" t="str">
        <f t="shared" si="19"/>
        <v/>
      </c>
      <c r="U244" s="898" t="str">
        <f t="array" ref="U244">if(isblank(F244),"",xlookup(G244,z_Others!$B$5:$B$17,z_Others!$G$5:$G$17,"",0,1))</f>
        <v/>
      </c>
      <c r="V244" s="231" t="str">
        <f t="array" ref="V244">if(isblank(F244),"",xlookup(F244,'FL5_POR_包裝對照表 (Mapping Table)'!E:E,'FL5_POR_包裝對照表 (Mapping Table)'!AB:AB,"",0,1))</f>
        <v/>
      </c>
      <c r="W244" s="899" t="str">
        <f t="array" ref="W244">if(isblank(F244),"",xlookup(G244,z_Others!$B$5:$B$17,z_Others!$I$5:$I$17,"",0,1))</f>
        <v/>
      </c>
      <c r="X244" s="894" t="str">
        <f t="shared" si="7"/>
        <v/>
      </c>
      <c r="Y244" s="894" t="str">
        <f t="shared" si="8"/>
        <v/>
      </c>
      <c r="Z244" s="900" t="str">
        <f t="shared" si="9"/>
        <v/>
      </c>
      <c r="AA244" s="900" t="str">
        <f t="shared" si="10"/>
        <v/>
      </c>
      <c r="AB244" s="878" t="str">
        <f t="array" ref="AB244">if(isblank(F244),"",xlookup(AJ244,z_Others!$M$5:$M$9,z_Others!$Q$5:$Q$9,"",0,1))</f>
        <v/>
      </c>
      <c r="AC244" s="900" t="str">
        <f t="shared" si="11"/>
        <v/>
      </c>
      <c r="AD244" s="894" t="str">
        <f t="array" ref="AD244">if(isblank(F244),"",xlookup(G244,z_Others!$B$5:$B$14,z_Others!$H$5:$H$14,"",0,1))</f>
        <v/>
      </c>
      <c r="AE244" s="901" t="str">
        <f t="shared" si="12"/>
        <v/>
      </c>
      <c r="AF244" s="791"/>
      <c r="AG244" s="791" t="str">
        <f t="shared" si="21"/>
        <v/>
      </c>
      <c r="AH244" s="787"/>
      <c r="AI244" s="787"/>
      <c r="AJ244" s="677" t="str">
        <f t="array" ref="AJ244">if(isblank(F244),"",xlookup(F244,'FL5_POR_包裝對照表 (Mapping Table)'!E:E,'FL5_POR_包裝對照表 (Mapping Table)'!AS:AS,"",0,1))</f>
        <v/>
      </c>
      <c r="AK244" s="677" t="str">
        <f t="array" ref="AK244">if(isblank(F244),"",xlookup(F244,'FL5_POR_包裝對照表 (Mapping Table)'!E:E,'FL5_POR_包裝對照表 (Mapping Table)'!K:K,"",0,1))</f>
        <v/>
      </c>
      <c r="AL244" s="677"/>
      <c r="AM244" s="813"/>
      <c r="AN244" s="908"/>
      <c r="AO244" s="813"/>
      <c r="AP244" s="813"/>
    </row>
    <row r="245" ht="18.0" customHeight="1">
      <c r="A245" s="910"/>
      <c r="B245" s="908"/>
      <c r="C245" s="891" t="str">
        <f>if(isblank(F245),"",'FL5_POR_包裝對照表 (Mapping Table)'!$E$4)</f>
        <v/>
      </c>
      <c r="D245" s="878" t="str">
        <f t="array" ref="D245">if(isblank(F245),"",xlookup(F245,'FL5_POR_包裝對照表 (Mapping Table)'!E:E,'FL5_POR_包裝對照表 (Mapping Table)'!AZ:AZ,"",0,1))</f>
        <v/>
      </c>
      <c r="E245" s="677" t="str">
        <f t="shared" si="2"/>
        <v/>
      </c>
      <c r="F245" s="879"/>
      <c r="G245" s="892" t="str">
        <f t="array" ref="G245">if(isblank(F245),"",xlookup(F245,'FL5_POR_包裝對照表 (Mapping Table)'!E:E,'FL5_POR_包裝對照表 (Mapping Table)'!D:D,"",0,1))</f>
        <v/>
      </c>
      <c r="H245" s="893" t="str">
        <f t="array" ref="H245">if(isblank(F245),"",xlookup(F245,'FL5_POR_包裝對照表 (Mapping Table)'!E:E,'FL5_POR_包裝對照表 (Mapping Table)'!E:E,"",0,1))</f>
        <v/>
      </c>
      <c r="I245" s="677" t="str">
        <f t="array" ref="I245">if(isblank(F245),"",xlookup(F245,'FL5_POR_包裝對照表 (Mapping Table)'!E:E,'FL5_POR_包裝對照表 (Mapping Table)'!AN:AN,"",0,1))</f>
        <v/>
      </c>
      <c r="J245" s="894" t="str">
        <f t="array" ref="J245">if(isblank(F245),"",xlookup(G245,z_Others!$B$5:$B$17,z_Others!$C$5:$C$17,"",0,1))</f>
        <v/>
      </c>
      <c r="K245" s="894" t="str">
        <f t="array" ref="K245">if(isblank(F245),"",xlookup(G245,z_Others!$B$5:$B$17,z_Others!$E$5:$E$17,"",0,1))</f>
        <v/>
      </c>
      <c r="L245" s="894" t="str">
        <f t="array" ref="L245">if(isblank(F245),"",xlookup(G245,z_Others!$B$5:$B$17,z_Others!$F$5:$F$17,"",0,1))</f>
        <v/>
      </c>
      <c r="M245" s="894" t="str">
        <f t="shared" si="3"/>
        <v/>
      </c>
      <c r="N245" s="894" t="str">
        <f t="shared" si="4"/>
        <v/>
      </c>
      <c r="O245" s="882" t="str">
        <f t="array" ref="O245">if(isblank(F245),"",xlookup(F245,'FL5_POR_包裝對照表 (Mapping Table)'!E:E,'FL5_POR_包裝對照表 (Mapping Table)'!L:L,"",0,1))</f>
        <v/>
      </c>
      <c r="P245" s="909" t="str">
        <f t="array" ref="P245">if(isblank(F245),"",xlookup(G245,z_Others!$B$5:$B$17,z_Others!$J$5:$J$17,"",0,1))</f>
        <v/>
      </c>
      <c r="Q245" s="899" t="str">
        <f t="array" ref="Q245">if(isblank(F245),"",xlookup(F245,'FL5_POR_核價 (經管 &amp; BPM)'!E:E,'FL5_POR_核價 (經管 &amp; BPM)'!O:O,"",0,1))</f>
        <v/>
      </c>
      <c r="R245" s="894" t="str">
        <f t="shared" si="5"/>
        <v/>
      </c>
      <c r="S245" s="894" t="str">
        <f t="array" ref="S245">if(isblank(F245),"",xlookup(G245,z_Others!$B$5:$B$17,z_Others!$K$5:$K$17,"",0,1))</f>
        <v/>
      </c>
      <c r="T245" s="894" t="str">
        <f t="shared" si="19"/>
        <v/>
      </c>
      <c r="U245" s="898" t="str">
        <f t="array" ref="U245">if(isblank(F245),"",xlookup(G245,z_Others!$B$5:$B$17,z_Others!$G$5:$G$17,"",0,1))</f>
        <v/>
      </c>
      <c r="V245" s="231" t="str">
        <f t="array" ref="V245">if(isblank(F245),"",xlookup(F245,'FL5_POR_包裝對照表 (Mapping Table)'!E:E,'FL5_POR_包裝對照表 (Mapping Table)'!AB:AB,"",0,1))</f>
        <v/>
      </c>
      <c r="W245" s="899" t="str">
        <f t="array" ref="W245">if(isblank(F245),"",xlookup(G245,z_Others!$B$5:$B$17,z_Others!$I$5:$I$17,"",0,1))</f>
        <v/>
      </c>
      <c r="X245" s="894" t="str">
        <f t="shared" si="7"/>
        <v/>
      </c>
      <c r="Y245" s="894" t="str">
        <f t="shared" si="8"/>
        <v/>
      </c>
      <c r="Z245" s="900" t="str">
        <f t="shared" si="9"/>
        <v/>
      </c>
      <c r="AA245" s="900" t="str">
        <f t="shared" si="10"/>
        <v/>
      </c>
      <c r="AB245" s="878" t="str">
        <f t="array" ref="AB245">if(isblank(F245),"",xlookup(AJ245,z_Others!$M$5:$M$9,z_Others!$Q$5:$Q$9,"",0,1))</f>
        <v/>
      </c>
      <c r="AC245" s="900" t="str">
        <f t="shared" si="11"/>
        <v/>
      </c>
      <c r="AD245" s="894" t="str">
        <f t="array" ref="AD245">if(isblank(F245),"",xlookup(G245,z_Others!$B$5:$B$14,z_Others!$H$5:$H$14,"",0,1))</f>
        <v/>
      </c>
      <c r="AE245" s="901" t="str">
        <f t="shared" si="12"/>
        <v/>
      </c>
      <c r="AF245" s="791"/>
      <c r="AG245" s="791" t="str">
        <f t="shared" si="21"/>
        <v/>
      </c>
      <c r="AH245" s="787"/>
      <c r="AI245" s="787"/>
      <c r="AJ245" s="677" t="str">
        <f t="array" ref="AJ245">if(isblank(F245),"",xlookup(F245,'FL5_POR_包裝對照表 (Mapping Table)'!E:E,'FL5_POR_包裝對照表 (Mapping Table)'!AS:AS,"",0,1))</f>
        <v/>
      </c>
      <c r="AK245" s="677" t="str">
        <f t="array" ref="AK245">if(isblank(F245),"",xlookup(F245,'FL5_POR_包裝對照表 (Mapping Table)'!E:E,'FL5_POR_包裝對照表 (Mapping Table)'!K:K,"",0,1))</f>
        <v/>
      </c>
      <c r="AL245" s="677"/>
      <c r="AM245" s="813"/>
      <c r="AN245" s="908"/>
      <c r="AO245" s="813"/>
      <c r="AP245" s="813"/>
    </row>
    <row r="246" ht="18.0" customHeight="1">
      <c r="A246" s="910"/>
      <c r="B246" s="908"/>
      <c r="C246" s="891" t="str">
        <f>if(isblank(F246),"",'FL5_POR_包裝對照表 (Mapping Table)'!$E$4)</f>
        <v/>
      </c>
      <c r="D246" s="878" t="str">
        <f t="array" ref="D246">if(isblank(F246),"",xlookup(F246,'FL5_POR_包裝對照表 (Mapping Table)'!E:E,'FL5_POR_包裝對照表 (Mapping Table)'!AZ:AZ,"",0,1))</f>
        <v/>
      </c>
      <c r="E246" s="677" t="str">
        <f t="shared" si="2"/>
        <v/>
      </c>
      <c r="F246" s="879"/>
      <c r="G246" s="892" t="str">
        <f t="array" ref="G246">if(isblank(F246),"",xlookup(F246,'FL5_POR_包裝對照表 (Mapping Table)'!E:E,'FL5_POR_包裝對照表 (Mapping Table)'!D:D,"",0,1))</f>
        <v/>
      </c>
      <c r="H246" s="893" t="str">
        <f t="array" ref="H246">if(isblank(F246),"",xlookup(F246,'FL5_POR_包裝對照表 (Mapping Table)'!E:E,'FL5_POR_包裝對照表 (Mapping Table)'!E:E,"",0,1))</f>
        <v/>
      </c>
      <c r="I246" s="677" t="str">
        <f t="array" ref="I246">if(isblank(F246),"",xlookup(F246,'FL5_POR_包裝對照表 (Mapping Table)'!E:E,'FL5_POR_包裝對照表 (Mapping Table)'!AN:AN,"",0,1))</f>
        <v/>
      </c>
      <c r="J246" s="894" t="str">
        <f t="array" ref="J246">if(isblank(F246),"",xlookup(G246,z_Others!$B$5:$B$17,z_Others!$C$5:$C$17,"",0,1))</f>
        <v/>
      </c>
      <c r="K246" s="894" t="str">
        <f t="array" ref="K246">if(isblank(F246),"",xlookup(G246,z_Others!$B$5:$B$17,z_Others!$E$5:$E$17,"",0,1))</f>
        <v/>
      </c>
      <c r="L246" s="894" t="str">
        <f t="array" ref="L246">if(isblank(F246),"",xlookup(G246,z_Others!$B$5:$B$17,z_Others!$F$5:$F$17,"",0,1))</f>
        <v/>
      </c>
      <c r="M246" s="894" t="str">
        <f t="shared" si="3"/>
        <v/>
      </c>
      <c r="N246" s="894" t="str">
        <f t="shared" si="4"/>
        <v/>
      </c>
      <c r="O246" s="882" t="str">
        <f t="array" ref="O246">if(isblank(F246),"",xlookup(F246,'FL5_POR_包裝對照表 (Mapping Table)'!E:E,'FL5_POR_包裝對照表 (Mapping Table)'!L:L,"",0,1))</f>
        <v/>
      </c>
      <c r="P246" s="909" t="str">
        <f t="array" ref="P246">if(isblank(F246),"",xlookup(G246,z_Others!$B$5:$B$17,z_Others!$J$5:$J$17,"",0,1))</f>
        <v/>
      </c>
      <c r="Q246" s="899" t="str">
        <f t="array" ref="Q246">if(isblank(F246),"",xlookup(F246,'FL5_POR_核價 (經管 &amp; BPM)'!E:E,'FL5_POR_核價 (經管 &amp; BPM)'!O:O,"",0,1))</f>
        <v/>
      </c>
      <c r="R246" s="894" t="str">
        <f t="shared" si="5"/>
        <v/>
      </c>
      <c r="S246" s="894" t="str">
        <f t="array" ref="S246">if(isblank(F246),"",xlookup(G246,z_Others!$B$5:$B$17,z_Others!$K$5:$K$17,"",0,1))</f>
        <v/>
      </c>
      <c r="T246" s="894" t="str">
        <f t="shared" si="19"/>
        <v/>
      </c>
      <c r="U246" s="898" t="str">
        <f t="array" ref="U246">if(isblank(F246),"",xlookup(G246,z_Others!$B$5:$B$17,z_Others!$G$5:$G$17,"",0,1))</f>
        <v/>
      </c>
      <c r="V246" s="231" t="str">
        <f t="array" ref="V246">if(isblank(F246),"",xlookup(F246,'FL5_POR_包裝對照表 (Mapping Table)'!E:E,'FL5_POR_包裝對照表 (Mapping Table)'!AB:AB,"",0,1))</f>
        <v/>
      </c>
      <c r="W246" s="899" t="str">
        <f t="array" ref="W246">if(isblank(F246),"",xlookup(G246,z_Others!$B$5:$B$17,z_Others!$I$5:$I$17,"",0,1))</f>
        <v/>
      </c>
      <c r="X246" s="894" t="str">
        <f t="shared" si="7"/>
        <v/>
      </c>
      <c r="Y246" s="894" t="str">
        <f t="shared" si="8"/>
        <v/>
      </c>
      <c r="Z246" s="900" t="str">
        <f t="shared" si="9"/>
        <v/>
      </c>
      <c r="AA246" s="900" t="str">
        <f t="shared" si="10"/>
        <v/>
      </c>
      <c r="AB246" s="878" t="str">
        <f t="array" ref="AB246">if(isblank(F246),"",xlookup(AJ246,z_Others!$M$5:$M$9,z_Others!$Q$5:$Q$9,"",0,1))</f>
        <v/>
      </c>
      <c r="AC246" s="900" t="str">
        <f t="shared" si="11"/>
        <v/>
      </c>
      <c r="AD246" s="894" t="str">
        <f t="array" ref="AD246">if(isblank(F246),"",xlookup(G246,z_Others!$B$5:$B$14,z_Others!$H$5:$H$14,"",0,1))</f>
        <v/>
      </c>
      <c r="AE246" s="901" t="str">
        <f t="shared" si="12"/>
        <v/>
      </c>
      <c r="AF246" s="791"/>
      <c r="AG246" s="791" t="str">
        <f t="shared" si="21"/>
        <v/>
      </c>
      <c r="AH246" s="787"/>
      <c r="AI246" s="787"/>
      <c r="AJ246" s="677" t="str">
        <f t="array" ref="AJ246">if(isblank(F246),"",xlookup(F246,'FL5_POR_包裝對照表 (Mapping Table)'!E:E,'FL5_POR_包裝對照表 (Mapping Table)'!AS:AS,"",0,1))</f>
        <v/>
      </c>
      <c r="AK246" s="677" t="str">
        <f t="array" ref="AK246">if(isblank(F246),"",xlookup(F246,'FL5_POR_包裝對照表 (Mapping Table)'!E:E,'FL5_POR_包裝對照表 (Mapping Table)'!K:K,"",0,1))</f>
        <v/>
      </c>
      <c r="AL246" s="677"/>
      <c r="AM246" s="813"/>
      <c r="AN246" s="908"/>
      <c r="AO246" s="813"/>
      <c r="AP246" s="813"/>
    </row>
    <row r="247" ht="18.0" customHeight="1">
      <c r="A247" s="910"/>
      <c r="B247" s="908"/>
      <c r="C247" s="891" t="str">
        <f>if(isblank(F247),"",'FL5_POR_包裝對照表 (Mapping Table)'!$E$4)</f>
        <v/>
      </c>
      <c r="D247" s="878" t="str">
        <f t="array" ref="D247">if(isblank(F247),"",xlookup(F247,'FL5_POR_包裝對照表 (Mapping Table)'!E:E,'FL5_POR_包裝對照表 (Mapping Table)'!AZ:AZ,"",0,1))</f>
        <v/>
      </c>
      <c r="E247" s="677" t="str">
        <f t="shared" si="2"/>
        <v/>
      </c>
      <c r="F247" s="879"/>
      <c r="G247" s="892" t="str">
        <f t="array" ref="G247">if(isblank(F247),"",xlookup(F247,'FL5_POR_包裝對照表 (Mapping Table)'!E:E,'FL5_POR_包裝對照表 (Mapping Table)'!D:D,"",0,1))</f>
        <v/>
      </c>
      <c r="H247" s="893" t="str">
        <f t="array" ref="H247">if(isblank(F247),"",xlookup(F247,'FL5_POR_包裝對照表 (Mapping Table)'!E:E,'FL5_POR_包裝對照表 (Mapping Table)'!E:E,"",0,1))</f>
        <v/>
      </c>
      <c r="I247" s="677" t="str">
        <f t="array" ref="I247">if(isblank(F247),"",xlookup(F247,'FL5_POR_包裝對照表 (Mapping Table)'!E:E,'FL5_POR_包裝對照表 (Mapping Table)'!AN:AN,"",0,1))</f>
        <v/>
      </c>
      <c r="J247" s="894" t="str">
        <f t="array" ref="J247">if(isblank(F247),"",xlookup(G247,z_Others!$B$5:$B$17,z_Others!$C$5:$C$17,"",0,1))</f>
        <v/>
      </c>
      <c r="K247" s="894" t="str">
        <f t="array" ref="K247">if(isblank(F247),"",xlookup(G247,z_Others!$B$5:$B$17,z_Others!$E$5:$E$17,"",0,1))</f>
        <v/>
      </c>
      <c r="L247" s="894" t="str">
        <f t="array" ref="L247">if(isblank(F247),"",xlookup(G247,z_Others!$B$5:$B$17,z_Others!$F$5:$F$17,"",0,1))</f>
        <v/>
      </c>
      <c r="M247" s="894" t="str">
        <f t="shared" si="3"/>
        <v/>
      </c>
      <c r="N247" s="894" t="str">
        <f t="shared" si="4"/>
        <v/>
      </c>
      <c r="O247" s="882" t="str">
        <f t="array" ref="O247">if(isblank(F247),"",xlookup(F247,'FL5_POR_包裝對照表 (Mapping Table)'!E:E,'FL5_POR_包裝對照表 (Mapping Table)'!L:L,"",0,1))</f>
        <v/>
      </c>
      <c r="P247" s="909" t="str">
        <f t="array" ref="P247">if(isblank(F247),"",xlookup(G247,z_Others!$B$5:$B$17,z_Others!$J$5:$J$17,"",0,1))</f>
        <v/>
      </c>
      <c r="Q247" s="899" t="str">
        <f t="array" ref="Q247">if(isblank(F247),"",xlookup(F247,'FL5_POR_核價 (經管 &amp; BPM)'!E:E,'FL5_POR_核價 (經管 &amp; BPM)'!O:O,"",0,1))</f>
        <v/>
      </c>
      <c r="R247" s="894" t="str">
        <f t="shared" si="5"/>
        <v/>
      </c>
      <c r="S247" s="894" t="str">
        <f t="array" ref="S247">if(isblank(F247),"",xlookup(G247,z_Others!$B$5:$B$17,z_Others!$K$5:$K$17,"",0,1))</f>
        <v/>
      </c>
      <c r="T247" s="894" t="str">
        <f t="shared" si="19"/>
        <v/>
      </c>
      <c r="U247" s="898" t="str">
        <f t="array" ref="U247">if(isblank(F247),"",xlookup(G247,z_Others!$B$5:$B$17,z_Others!$G$5:$G$17,"",0,1))</f>
        <v/>
      </c>
      <c r="V247" s="231" t="str">
        <f t="array" ref="V247">if(isblank(F247),"",xlookup(F247,'FL5_POR_包裝對照表 (Mapping Table)'!E:E,'FL5_POR_包裝對照表 (Mapping Table)'!AB:AB,"",0,1))</f>
        <v/>
      </c>
      <c r="W247" s="899" t="str">
        <f t="array" ref="W247">if(isblank(F247),"",xlookup(G247,z_Others!$B$5:$B$17,z_Others!$I$5:$I$17,"",0,1))</f>
        <v/>
      </c>
      <c r="X247" s="894" t="str">
        <f t="shared" si="7"/>
        <v/>
      </c>
      <c r="Y247" s="894" t="str">
        <f t="shared" si="8"/>
        <v/>
      </c>
      <c r="Z247" s="900" t="str">
        <f t="shared" si="9"/>
        <v/>
      </c>
      <c r="AA247" s="900" t="str">
        <f t="shared" si="10"/>
        <v/>
      </c>
      <c r="AB247" s="878" t="str">
        <f t="array" ref="AB247">if(isblank(F247),"",xlookup(AJ247,z_Others!$M$5:$M$9,z_Others!$Q$5:$Q$9,"",0,1))</f>
        <v/>
      </c>
      <c r="AC247" s="900" t="str">
        <f t="shared" si="11"/>
        <v/>
      </c>
      <c r="AD247" s="894" t="str">
        <f t="array" ref="AD247">if(isblank(F247),"",xlookup(G247,z_Others!$B$5:$B$14,z_Others!$H$5:$H$14,"",0,1))</f>
        <v/>
      </c>
      <c r="AE247" s="901" t="str">
        <f t="shared" si="12"/>
        <v/>
      </c>
      <c r="AF247" s="791"/>
      <c r="AG247" s="791" t="str">
        <f t="shared" si="21"/>
        <v/>
      </c>
      <c r="AH247" s="787"/>
      <c r="AI247" s="787"/>
      <c r="AJ247" s="677" t="str">
        <f t="array" ref="AJ247">if(isblank(F247),"",xlookup(F247,'FL5_POR_包裝對照表 (Mapping Table)'!E:E,'FL5_POR_包裝對照表 (Mapping Table)'!AS:AS,"",0,1))</f>
        <v/>
      </c>
      <c r="AK247" s="677" t="str">
        <f t="array" ref="AK247">if(isblank(F247),"",xlookup(F247,'FL5_POR_包裝對照表 (Mapping Table)'!E:E,'FL5_POR_包裝對照表 (Mapping Table)'!K:K,"",0,1))</f>
        <v/>
      </c>
      <c r="AL247" s="677"/>
      <c r="AM247" s="813"/>
      <c r="AN247" s="908"/>
      <c r="AO247" s="813"/>
      <c r="AP247" s="813"/>
    </row>
    <row r="248" ht="18.0" customHeight="1">
      <c r="A248" s="910"/>
      <c r="B248" s="908"/>
      <c r="C248" s="891" t="str">
        <f>if(isblank(F248),"",'FL5_POR_包裝對照表 (Mapping Table)'!$E$4)</f>
        <v/>
      </c>
      <c r="D248" s="878" t="str">
        <f t="array" ref="D248">if(isblank(F248),"",xlookup(F248,'FL5_POR_包裝對照表 (Mapping Table)'!E:E,'FL5_POR_包裝對照表 (Mapping Table)'!AZ:AZ,"",0,1))</f>
        <v/>
      </c>
      <c r="E248" s="677" t="str">
        <f t="shared" si="2"/>
        <v/>
      </c>
      <c r="F248" s="879"/>
      <c r="G248" s="892" t="str">
        <f t="array" ref="G248">if(isblank(F248),"",xlookup(F248,'FL5_POR_包裝對照表 (Mapping Table)'!E:E,'FL5_POR_包裝對照表 (Mapping Table)'!D:D,"",0,1))</f>
        <v/>
      </c>
      <c r="H248" s="893" t="str">
        <f t="array" ref="H248">if(isblank(F248),"",xlookup(F248,'FL5_POR_包裝對照表 (Mapping Table)'!E:E,'FL5_POR_包裝對照表 (Mapping Table)'!E:E,"",0,1))</f>
        <v/>
      </c>
      <c r="I248" s="677" t="str">
        <f t="array" ref="I248">if(isblank(F248),"",xlookup(F248,'FL5_POR_包裝對照表 (Mapping Table)'!E:E,'FL5_POR_包裝對照表 (Mapping Table)'!AN:AN,"",0,1))</f>
        <v/>
      </c>
      <c r="J248" s="894" t="str">
        <f t="array" ref="J248">if(isblank(F248),"",xlookup(G248,z_Others!$B$5:$B$17,z_Others!$C$5:$C$17,"",0,1))</f>
        <v/>
      </c>
      <c r="K248" s="894" t="str">
        <f t="array" ref="K248">if(isblank(F248),"",xlookup(G248,z_Others!$B$5:$B$17,z_Others!$E$5:$E$17,"",0,1))</f>
        <v/>
      </c>
      <c r="L248" s="894" t="str">
        <f t="array" ref="L248">if(isblank(F248),"",xlookup(G248,z_Others!$B$5:$B$17,z_Others!$F$5:$F$17,"",0,1))</f>
        <v/>
      </c>
      <c r="M248" s="894" t="str">
        <f t="shared" si="3"/>
        <v/>
      </c>
      <c r="N248" s="894" t="str">
        <f t="shared" si="4"/>
        <v/>
      </c>
      <c r="O248" s="882" t="str">
        <f t="array" ref="O248">if(isblank(F248),"",xlookup(F248,'FL5_POR_包裝對照表 (Mapping Table)'!E:E,'FL5_POR_包裝對照表 (Mapping Table)'!L:L,"",0,1))</f>
        <v/>
      </c>
      <c r="P248" s="909" t="str">
        <f t="array" ref="P248">if(isblank(F248),"",xlookup(G248,z_Others!$B$5:$B$17,z_Others!$J$5:$J$17,"",0,1))</f>
        <v/>
      </c>
      <c r="Q248" s="899" t="str">
        <f t="array" ref="Q248">if(isblank(F248),"",xlookup(F248,'FL5_POR_核價 (經管 &amp; BPM)'!E:E,'FL5_POR_核價 (經管 &amp; BPM)'!O:O,"",0,1))</f>
        <v/>
      </c>
      <c r="R248" s="894" t="str">
        <f t="shared" si="5"/>
        <v/>
      </c>
      <c r="S248" s="894" t="str">
        <f t="array" ref="S248">if(isblank(F248),"",xlookup(G248,z_Others!$B$5:$B$17,z_Others!$K$5:$K$17,"",0,1))</f>
        <v/>
      </c>
      <c r="T248" s="894" t="str">
        <f t="shared" si="19"/>
        <v/>
      </c>
      <c r="U248" s="898" t="str">
        <f t="array" ref="U248">if(isblank(F248),"",xlookup(G248,z_Others!$B$5:$B$17,z_Others!$G$5:$G$17,"",0,1))</f>
        <v/>
      </c>
      <c r="V248" s="231" t="str">
        <f t="array" ref="V248">if(isblank(F248),"",xlookup(F248,'FL5_POR_包裝對照表 (Mapping Table)'!E:E,'FL5_POR_包裝對照表 (Mapping Table)'!AB:AB,"",0,1))</f>
        <v/>
      </c>
      <c r="W248" s="899" t="str">
        <f t="array" ref="W248">if(isblank(F248),"",xlookup(G248,z_Others!$B$5:$B$17,z_Others!$I$5:$I$17,"",0,1))</f>
        <v/>
      </c>
      <c r="X248" s="894" t="str">
        <f t="shared" si="7"/>
        <v/>
      </c>
      <c r="Y248" s="894" t="str">
        <f t="shared" si="8"/>
        <v/>
      </c>
      <c r="Z248" s="900" t="str">
        <f t="shared" si="9"/>
        <v/>
      </c>
      <c r="AA248" s="900" t="str">
        <f t="shared" si="10"/>
        <v/>
      </c>
      <c r="AB248" s="878" t="str">
        <f t="array" ref="AB248">if(isblank(F248),"",xlookup(AJ248,z_Others!$M$5:$M$9,z_Others!$Q$5:$Q$9,"",0,1))</f>
        <v/>
      </c>
      <c r="AC248" s="900" t="str">
        <f t="shared" si="11"/>
        <v/>
      </c>
      <c r="AD248" s="894" t="str">
        <f t="array" ref="AD248">if(isblank(F248),"",xlookup(G248,z_Others!$B$5:$B$14,z_Others!$H$5:$H$14,"",0,1))</f>
        <v/>
      </c>
      <c r="AE248" s="901" t="str">
        <f t="shared" si="12"/>
        <v/>
      </c>
      <c r="AF248" s="791"/>
      <c r="AG248" s="791" t="str">
        <f t="shared" si="21"/>
        <v/>
      </c>
      <c r="AH248" s="787"/>
      <c r="AI248" s="787"/>
      <c r="AJ248" s="677" t="str">
        <f t="array" ref="AJ248">if(isblank(F248),"",xlookup(F248,'FL5_POR_包裝對照表 (Mapping Table)'!E:E,'FL5_POR_包裝對照表 (Mapping Table)'!AS:AS,"",0,1))</f>
        <v/>
      </c>
      <c r="AK248" s="677" t="str">
        <f t="array" ref="AK248">if(isblank(F248),"",xlookup(F248,'FL5_POR_包裝對照表 (Mapping Table)'!E:E,'FL5_POR_包裝對照表 (Mapping Table)'!K:K,"",0,1))</f>
        <v/>
      </c>
      <c r="AL248" s="677"/>
      <c r="AM248" s="813"/>
      <c r="AN248" s="908"/>
      <c r="AO248" s="813"/>
      <c r="AP248" s="813"/>
    </row>
    <row r="249" ht="18.0" customHeight="1">
      <c r="A249" s="910"/>
      <c r="B249" s="908"/>
      <c r="C249" s="891" t="str">
        <f>if(isblank(F249),"",'FL5_POR_包裝對照表 (Mapping Table)'!$E$4)</f>
        <v/>
      </c>
      <c r="D249" s="878" t="str">
        <f t="array" ref="D249">if(isblank(F249),"",xlookup(F249,'FL5_POR_包裝對照表 (Mapping Table)'!E:E,'FL5_POR_包裝對照表 (Mapping Table)'!AZ:AZ,"",0,1))</f>
        <v/>
      </c>
      <c r="E249" s="677" t="str">
        <f t="shared" si="2"/>
        <v/>
      </c>
      <c r="F249" s="879"/>
      <c r="G249" s="892" t="str">
        <f t="array" ref="G249">if(isblank(F249),"",xlookup(F249,'FL5_POR_包裝對照表 (Mapping Table)'!E:E,'FL5_POR_包裝對照表 (Mapping Table)'!D:D,"",0,1))</f>
        <v/>
      </c>
      <c r="H249" s="893" t="str">
        <f t="array" ref="H249">if(isblank(F249),"",xlookup(F249,'FL5_POR_包裝對照表 (Mapping Table)'!E:E,'FL5_POR_包裝對照表 (Mapping Table)'!E:E,"",0,1))</f>
        <v/>
      </c>
      <c r="I249" s="677" t="str">
        <f t="array" ref="I249">if(isblank(F249),"",xlookup(F249,'FL5_POR_包裝對照表 (Mapping Table)'!E:E,'FL5_POR_包裝對照表 (Mapping Table)'!AN:AN,"",0,1))</f>
        <v/>
      </c>
      <c r="J249" s="894" t="str">
        <f t="array" ref="J249">if(isblank(F249),"",xlookup(G249,z_Others!$B$5:$B$17,z_Others!$C$5:$C$17,"",0,1))</f>
        <v/>
      </c>
      <c r="K249" s="894" t="str">
        <f t="array" ref="K249">if(isblank(F249),"",xlookup(G249,z_Others!$B$5:$B$17,z_Others!$E$5:$E$17,"",0,1))</f>
        <v/>
      </c>
      <c r="L249" s="894" t="str">
        <f t="array" ref="L249">if(isblank(F249),"",xlookup(G249,z_Others!$B$5:$B$17,z_Others!$F$5:$F$17,"",0,1))</f>
        <v/>
      </c>
      <c r="M249" s="894" t="str">
        <f t="shared" si="3"/>
        <v/>
      </c>
      <c r="N249" s="894" t="str">
        <f t="shared" si="4"/>
        <v/>
      </c>
      <c r="O249" s="882" t="str">
        <f t="array" ref="O249">if(isblank(F249),"",xlookup(F249,'FL5_POR_包裝對照表 (Mapping Table)'!E:E,'FL5_POR_包裝對照表 (Mapping Table)'!L:L,"",0,1))</f>
        <v/>
      </c>
      <c r="P249" s="909" t="str">
        <f t="array" ref="P249">if(isblank(F249),"",xlookup(G249,z_Others!$B$5:$B$17,z_Others!$J$5:$J$17,"",0,1))</f>
        <v/>
      </c>
      <c r="Q249" s="899" t="str">
        <f t="array" ref="Q249">if(isblank(F249),"",xlookup(F249,'FL5_POR_核價 (經管 &amp; BPM)'!E:E,'FL5_POR_核價 (經管 &amp; BPM)'!O:O,"",0,1))</f>
        <v/>
      </c>
      <c r="R249" s="894" t="str">
        <f t="shared" si="5"/>
        <v/>
      </c>
      <c r="S249" s="894" t="str">
        <f t="array" ref="S249">if(isblank(F249),"",xlookup(G249,z_Others!$B$5:$B$17,z_Others!$K$5:$K$17,"",0,1))</f>
        <v/>
      </c>
      <c r="T249" s="894" t="str">
        <f t="shared" si="19"/>
        <v/>
      </c>
      <c r="U249" s="898" t="str">
        <f t="array" ref="U249">if(isblank(F249),"",xlookup(G249,z_Others!$B$5:$B$17,z_Others!$G$5:$G$17,"",0,1))</f>
        <v/>
      </c>
      <c r="V249" s="231" t="str">
        <f t="array" ref="V249">if(isblank(F249),"",xlookup(F249,'FL5_POR_包裝對照表 (Mapping Table)'!E:E,'FL5_POR_包裝對照表 (Mapping Table)'!AB:AB,"",0,1))</f>
        <v/>
      </c>
      <c r="W249" s="899" t="str">
        <f t="array" ref="W249">if(isblank(F249),"",xlookup(G249,z_Others!$B$5:$B$17,z_Others!$I$5:$I$17,"",0,1))</f>
        <v/>
      </c>
      <c r="X249" s="894" t="str">
        <f t="shared" si="7"/>
        <v/>
      </c>
      <c r="Y249" s="894" t="str">
        <f t="shared" si="8"/>
        <v/>
      </c>
      <c r="Z249" s="900" t="str">
        <f t="shared" si="9"/>
        <v/>
      </c>
      <c r="AA249" s="900" t="str">
        <f t="shared" si="10"/>
        <v/>
      </c>
      <c r="AB249" s="878" t="str">
        <f t="array" ref="AB249">if(isblank(F249),"",xlookup(AJ249,z_Others!$M$5:$M$9,z_Others!$Q$5:$Q$9,"",0,1))</f>
        <v/>
      </c>
      <c r="AC249" s="900" t="str">
        <f t="shared" si="11"/>
        <v/>
      </c>
      <c r="AD249" s="894" t="str">
        <f t="array" ref="AD249">if(isblank(F249),"",xlookup(G249,z_Others!$B$5:$B$14,z_Others!$H$5:$H$14,"",0,1))</f>
        <v/>
      </c>
      <c r="AE249" s="901" t="str">
        <f t="shared" si="12"/>
        <v/>
      </c>
      <c r="AF249" s="791"/>
      <c r="AG249" s="791" t="str">
        <f t="shared" si="21"/>
        <v/>
      </c>
      <c r="AH249" s="787"/>
      <c r="AI249" s="787"/>
      <c r="AJ249" s="677" t="str">
        <f t="array" ref="AJ249">if(isblank(F249),"",xlookup(F249,'FL5_POR_包裝對照表 (Mapping Table)'!E:E,'FL5_POR_包裝對照表 (Mapping Table)'!AS:AS,"",0,1))</f>
        <v/>
      </c>
      <c r="AK249" s="677" t="str">
        <f t="array" ref="AK249">if(isblank(F249),"",xlookup(F249,'FL5_POR_包裝對照表 (Mapping Table)'!E:E,'FL5_POR_包裝對照表 (Mapping Table)'!K:K,"",0,1))</f>
        <v/>
      </c>
      <c r="AL249" s="677"/>
      <c r="AM249" s="813"/>
      <c r="AN249" s="908"/>
      <c r="AO249" s="813"/>
      <c r="AP249" s="813"/>
    </row>
    <row r="250" ht="18.0" customHeight="1">
      <c r="A250" s="910"/>
      <c r="B250" s="908"/>
      <c r="C250" s="891" t="str">
        <f>if(isblank(F250),"",'FL5_POR_包裝對照表 (Mapping Table)'!$E$4)</f>
        <v/>
      </c>
      <c r="D250" s="878" t="str">
        <f t="array" ref="D250">if(isblank(F250),"",xlookup(F250,'FL5_POR_包裝對照表 (Mapping Table)'!E:E,'FL5_POR_包裝對照表 (Mapping Table)'!AZ:AZ,"",0,1))</f>
        <v/>
      </c>
      <c r="E250" s="677" t="str">
        <f t="shared" si="2"/>
        <v/>
      </c>
      <c r="F250" s="879"/>
      <c r="G250" s="892" t="str">
        <f t="array" ref="G250">if(isblank(F250),"",xlookup(F250,'FL5_POR_包裝對照表 (Mapping Table)'!E:E,'FL5_POR_包裝對照表 (Mapping Table)'!D:D,"",0,1))</f>
        <v/>
      </c>
      <c r="H250" s="893" t="str">
        <f t="array" ref="H250">if(isblank(F250),"",xlookup(F250,'FL5_POR_包裝對照表 (Mapping Table)'!E:E,'FL5_POR_包裝對照表 (Mapping Table)'!E:E,"",0,1))</f>
        <v/>
      </c>
      <c r="I250" s="677" t="str">
        <f t="array" ref="I250">if(isblank(F250),"",xlookup(F250,'FL5_POR_包裝對照表 (Mapping Table)'!E:E,'FL5_POR_包裝對照表 (Mapping Table)'!AN:AN,"",0,1))</f>
        <v/>
      </c>
      <c r="J250" s="894" t="str">
        <f t="array" ref="J250">if(isblank(F250),"",xlookup(G250,z_Others!$B$5:$B$17,z_Others!$C$5:$C$17,"",0,1))</f>
        <v/>
      </c>
      <c r="K250" s="894" t="str">
        <f t="array" ref="K250">if(isblank(F250),"",xlookup(G250,z_Others!$B$5:$B$17,z_Others!$E$5:$E$17,"",0,1))</f>
        <v/>
      </c>
      <c r="L250" s="894" t="str">
        <f t="array" ref="L250">if(isblank(F250),"",xlookup(G250,z_Others!$B$5:$B$17,z_Others!$F$5:$F$17,"",0,1))</f>
        <v/>
      </c>
      <c r="M250" s="894" t="str">
        <f t="shared" si="3"/>
        <v/>
      </c>
      <c r="N250" s="894" t="str">
        <f t="shared" si="4"/>
        <v/>
      </c>
      <c r="O250" s="882" t="str">
        <f t="array" ref="O250">if(isblank(F250),"",xlookup(F250,'FL5_POR_包裝對照表 (Mapping Table)'!E:E,'FL5_POR_包裝對照表 (Mapping Table)'!L:L,"",0,1))</f>
        <v/>
      </c>
      <c r="P250" s="909" t="str">
        <f t="array" ref="P250">if(isblank(F250),"",xlookup(G250,z_Others!$B$5:$B$17,z_Others!$J$5:$J$17,"",0,1))</f>
        <v/>
      </c>
      <c r="Q250" s="899" t="str">
        <f t="array" ref="Q250">if(isblank(F250),"",xlookup(F250,'FL5_POR_核價 (經管 &amp; BPM)'!E:E,'FL5_POR_核價 (經管 &amp; BPM)'!O:O,"",0,1))</f>
        <v/>
      </c>
      <c r="R250" s="894" t="str">
        <f t="shared" si="5"/>
        <v/>
      </c>
      <c r="S250" s="894" t="str">
        <f t="array" ref="S250">if(isblank(F250),"",xlookup(G250,z_Others!$B$5:$B$17,z_Others!$K$5:$K$17,"",0,1))</f>
        <v/>
      </c>
      <c r="T250" s="894" t="str">
        <f t="shared" si="19"/>
        <v/>
      </c>
      <c r="U250" s="898" t="str">
        <f t="array" ref="U250">if(isblank(F250),"",xlookup(G250,z_Others!$B$5:$B$17,z_Others!$G$5:$G$17,"",0,1))</f>
        <v/>
      </c>
      <c r="V250" s="231" t="str">
        <f t="array" ref="V250">if(isblank(F250),"",xlookup(F250,'FL5_POR_包裝對照表 (Mapping Table)'!E:E,'FL5_POR_包裝對照表 (Mapping Table)'!AB:AB,"",0,1))</f>
        <v/>
      </c>
      <c r="W250" s="899" t="str">
        <f t="array" ref="W250">if(isblank(F250),"",xlookup(G250,z_Others!$B$5:$B$17,z_Others!$I$5:$I$17,"",0,1))</f>
        <v/>
      </c>
      <c r="X250" s="894" t="str">
        <f t="shared" si="7"/>
        <v/>
      </c>
      <c r="Y250" s="894" t="str">
        <f t="shared" si="8"/>
        <v/>
      </c>
      <c r="Z250" s="900" t="str">
        <f t="shared" si="9"/>
        <v/>
      </c>
      <c r="AA250" s="900" t="str">
        <f t="shared" si="10"/>
        <v/>
      </c>
      <c r="AB250" s="878" t="str">
        <f t="array" ref="AB250">if(isblank(F250),"",xlookup(AJ250,z_Others!$M$5:$M$9,z_Others!$Q$5:$Q$9,"",0,1))</f>
        <v/>
      </c>
      <c r="AC250" s="900" t="str">
        <f t="shared" si="11"/>
        <v/>
      </c>
      <c r="AD250" s="894" t="str">
        <f t="array" ref="AD250">if(isblank(F250),"",xlookup(G250,z_Others!$B$5:$B$14,z_Others!$H$5:$H$14,"",0,1))</f>
        <v/>
      </c>
      <c r="AE250" s="901" t="str">
        <f t="shared" si="12"/>
        <v/>
      </c>
      <c r="AF250" s="791"/>
      <c r="AG250" s="791" t="str">
        <f t="shared" si="21"/>
        <v/>
      </c>
      <c r="AH250" s="787"/>
      <c r="AI250" s="787"/>
      <c r="AJ250" s="677" t="str">
        <f t="array" ref="AJ250">if(isblank(F250),"",xlookup(F250,'FL5_POR_包裝對照表 (Mapping Table)'!E:E,'FL5_POR_包裝對照表 (Mapping Table)'!AS:AS,"",0,1))</f>
        <v/>
      </c>
      <c r="AK250" s="677" t="str">
        <f t="array" ref="AK250">if(isblank(F250),"",xlookup(F250,'FL5_POR_包裝對照表 (Mapping Table)'!E:E,'FL5_POR_包裝對照表 (Mapping Table)'!K:K,"",0,1))</f>
        <v/>
      </c>
      <c r="AL250" s="677"/>
      <c r="AM250" s="813"/>
      <c r="AN250" s="908"/>
      <c r="AO250" s="813"/>
      <c r="AP250" s="813"/>
    </row>
    <row r="251" ht="18.0" customHeight="1">
      <c r="A251" s="910"/>
      <c r="B251" s="908"/>
      <c r="C251" s="891" t="str">
        <f>if(isblank(F251),"",'FL5_POR_包裝對照表 (Mapping Table)'!$E$4)</f>
        <v/>
      </c>
      <c r="D251" s="878" t="str">
        <f t="array" ref="D251">if(isblank(F251),"",xlookup(F251,'FL5_POR_包裝對照表 (Mapping Table)'!E:E,'FL5_POR_包裝對照表 (Mapping Table)'!AZ:AZ,"",0,1))</f>
        <v/>
      </c>
      <c r="E251" s="677" t="str">
        <f t="shared" si="2"/>
        <v/>
      </c>
      <c r="F251" s="879"/>
      <c r="G251" s="892" t="str">
        <f t="array" ref="G251">if(isblank(F251),"",xlookup(F251,'FL5_POR_包裝對照表 (Mapping Table)'!E:E,'FL5_POR_包裝對照表 (Mapping Table)'!D:D,"",0,1))</f>
        <v/>
      </c>
      <c r="H251" s="893" t="str">
        <f t="array" ref="H251">if(isblank(F251),"",xlookup(F251,'FL5_POR_包裝對照表 (Mapping Table)'!E:E,'FL5_POR_包裝對照表 (Mapping Table)'!E:E,"",0,1))</f>
        <v/>
      </c>
      <c r="I251" s="677" t="str">
        <f t="array" ref="I251">if(isblank(F251),"",xlookup(F251,'FL5_POR_包裝對照表 (Mapping Table)'!E:E,'FL5_POR_包裝對照表 (Mapping Table)'!AN:AN,"",0,1))</f>
        <v/>
      </c>
      <c r="J251" s="894" t="str">
        <f t="array" ref="J251">if(isblank(F251),"",xlookup(G251,z_Others!$B$5:$B$17,z_Others!$C$5:$C$17,"",0,1))</f>
        <v/>
      </c>
      <c r="K251" s="894" t="str">
        <f t="array" ref="K251">if(isblank(F251),"",xlookup(G251,z_Others!$B$5:$B$17,z_Others!$E$5:$E$17,"",0,1))</f>
        <v/>
      </c>
      <c r="L251" s="894" t="str">
        <f t="array" ref="L251">if(isblank(F251),"",xlookup(G251,z_Others!$B$5:$B$17,z_Others!$F$5:$F$17,"",0,1))</f>
        <v/>
      </c>
      <c r="M251" s="894" t="str">
        <f t="shared" si="3"/>
        <v/>
      </c>
      <c r="N251" s="894" t="str">
        <f t="shared" si="4"/>
        <v/>
      </c>
      <c r="O251" s="882" t="str">
        <f t="array" ref="O251">if(isblank(F251),"",xlookup(F251,'FL5_POR_包裝對照表 (Mapping Table)'!E:E,'FL5_POR_包裝對照表 (Mapping Table)'!L:L,"",0,1))</f>
        <v/>
      </c>
      <c r="P251" s="909" t="str">
        <f t="array" ref="P251">if(isblank(F251),"",xlookup(G251,z_Others!$B$5:$B$17,z_Others!$J$5:$J$17,"",0,1))</f>
        <v/>
      </c>
      <c r="Q251" s="899" t="str">
        <f t="array" ref="Q251">if(isblank(F251),"",xlookup(F251,'FL5_POR_核價 (經管 &amp; BPM)'!E:E,'FL5_POR_核價 (經管 &amp; BPM)'!O:O,"",0,1))</f>
        <v/>
      </c>
      <c r="R251" s="894" t="str">
        <f t="shared" si="5"/>
        <v/>
      </c>
      <c r="S251" s="894" t="str">
        <f t="array" ref="S251">if(isblank(F251),"",xlookup(G251,z_Others!$B$5:$B$17,z_Others!$K$5:$K$17,"",0,1))</f>
        <v/>
      </c>
      <c r="T251" s="894" t="str">
        <f t="shared" si="19"/>
        <v/>
      </c>
      <c r="U251" s="898" t="str">
        <f t="array" ref="U251">if(isblank(F251),"",xlookup(G251,z_Others!$B$5:$B$17,z_Others!$G$5:$G$17,"",0,1))</f>
        <v/>
      </c>
      <c r="V251" s="231" t="str">
        <f t="array" ref="V251">if(isblank(F251),"",xlookup(F251,'FL5_POR_包裝對照表 (Mapping Table)'!E:E,'FL5_POR_包裝對照表 (Mapping Table)'!AB:AB,"",0,1))</f>
        <v/>
      </c>
      <c r="W251" s="899" t="str">
        <f t="array" ref="W251">if(isblank(F251),"",xlookup(G251,z_Others!$B$5:$B$17,z_Others!$I$5:$I$17,"",0,1))</f>
        <v/>
      </c>
      <c r="X251" s="894" t="str">
        <f t="shared" si="7"/>
        <v/>
      </c>
      <c r="Y251" s="894" t="str">
        <f t="shared" si="8"/>
        <v/>
      </c>
      <c r="Z251" s="900" t="str">
        <f t="shared" si="9"/>
        <v/>
      </c>
      <c r="AA251" s="900" t="str">
        <f t="shared" si="10"/>
        <v/>
      </c>
      <c r="AB251" s="878" t="str">
        <f t="array" ref="AB251">if(isblank(F251),"",xlookup(AJ251,z_Others!$M$5:$M$9,z_Others!$Q$5:$Q$9,"",0,1))</f>
        <v/>
      </c>
      <c r="AC251" s="900" t="str">
        <f t="shared" si="11"/>
        <v/>
      </c>
      <c r="AD251" s="894" t="str">
        <f t="array" ref="AD251">if(isblank(F251),"",xlookup(G251,z_Others!$B$5:$B$14,z_Others!$H$5:$H$14,"",0,1))</f>
        <v/>
      </c>
      <c r="AE251" s="901" t="str">
        <f t="shared" si="12"/>
        <v/>
      </c>
      <c r="AF251" s="791"/>
      <c r="AG251" s="791" t="str">
        <f t="shared" si="21"/>
        <v/>
      </c>
      <c r="AH251" s="787"/>
      <c r="AI251" s="787"/>
      <c r="AJ251" s="677" t="str">
        <f t="array" ref="AJ251">if(isblank(F251),"",xlookup(F251,'FL5_POR_包裝對照表 (Mapping Table)'!E:E,'FL5_POR_包裝對照表 (Mapping Table)'!AS:AS,"",0,1))</f>
        <v/>
      </c>
      <c r="AK251" s="677" t="str">
        <f t="array" ref="AK251">if(isblank(F251),"",xlookup(F251,'FL5_POR_包裝對照表 (Mapping Table)'!E:E,'FL5_POR_包裝對照表 (Mapping Table)'!K:K,"",0,1))</f>
        <v/>
      </c>
      <c r="AL251" s="677"/>
      <c r="AM251" s="813"/>
      <c r="AN251" s="908"/>
      <c r="AO251" s="813"/>
      <c r="AP251" s="813"/>
    </row>
    <row r="252" ht="18.0" customHeight="1">
      <c r="A252" s="910"/>
      <c r="B252" s="908"/>
      <c r="C252" s="891" t="str">
        <f>if(isblank(F252),"",'FL5_POR_包裝對照表 (Mapping Table)'!$E$4)</f>
        <v/>
      </c>
      <c r="D252" s="878" t="str">
        <f t="array" ref="D252">if(isblank(F252),"",xlookup(F252,'FL5_POR_包裝對照表 (Mapping Table)'!E:E,'FL5_POR_包裝對照表 (Mapping Table)'!AZ:AZ,"",0,1))</f>
        <v/>
      </c>
      <c r="E252" s="677" t="str">
        <f t="shared" si="2"/>
        <v/>
      </c>
      <c r="F252" s="879"/>
      <c r="G252" s="892" t="str">
        <f t="array" ref="G252">if(isblank(F252),"",xlookup(F252,'FL5_POR_包裝對照表 (Mapping Table)'!E:E,'FL5_POR_包裝對照表 (Mapping Table)'!D:D,"",0,1))</f>
        <v/>
      </c>
      <c r="H252" s="893" t="str">
        <f t="array" ref="H252">if(isblank(F252),"",xlookup(F252,'FL5_POR_包裝對照表 (Mapping Table)'!E:E,'FL5_POR_包裝對照表 (Mapping Table)'!E:E,"",0,1))</f>
        <v/>
      </c>
      <c r="I252" s="677" t="str">
        <f t="array" ref="I252">if(isblank(F252),"",xlookup(F252,'FL5_POR_包裝對照表 (Mapping Table)'!E:E,'FL5_POR_包裝對照表 (Mapping Table)'!AN:AN,"",0,1))</f>
        <v/>
      </c>
      <c r="J252" s="894" t="str">
        <f t="array" ref="J252">if(isblank(F252),"",xlookup(G252,z_Others!$B$5:$B$17,z_Others!$C$5:$C$17,"",0,1))</f>
        <v/>
      </c>
      <c r="K252" s="894" t="str">
        <f t="array" ref="K252">if(isblank(F252),"",xlookup(G252,z_Others!$B$5:$B$17,z_Others!$E$5:$E$17,"",0,1))</f>
        <v/>
      </c>
      <c r="L252" s="894" t="str">
        <f t="array" ref="L252">if(isblank(F252),"",xlookup(G252,z_Others!$B$5:$B$17,z_Others!$F$5:$F$17,"",0,1))</f>
        <v/>
      </c>
      <c r="M252" s="894" t="str">
        <f t="shared" si="3"/>
        <v/>
      </c>
      <c r="N252" s="894" t="str">
        <f t="shared" si="4"/>
        <v/>
      </c>
      <c r="O252" s="882" t="str">
        <f t="array" ref="O252">if(isblank(F252),"",xlookup(F252,'FL5_POR_包裝對照表 (Mapping Table)'!E:E,'FL5_POR_包裝對照表 (Mapping Table)'!L:L,"",0,1))</f>
        <v/>
      </c>
      <c r="P252" s="909" t="str">
        <f t="array" ref="P252">if(isblank(F252),"",xlookup(G252,z_Others!$B$5:$B$17,z_Others!$J$5:$J$17,"",0,1))</f>
        <v/>
      </c>
      <c r="Q252" s="899" t="str">
        <f t="array" ref="Q252">if(isblank(F252),"",xlookup(F252,'FL5_POR_核價 (經管 &amp; BPM)'!E:E,'FL5_POR_核價 (經管 &amp; BPM)'!O:O,"",0,1))</f>
        <v/>
      </c>
      <c r="R252" s="894" t="str">
        <f t="shared" si="5"/>
        <v/>
      </c>
      <c r="S252" s="894" t="str">
        <f t="array" ref="S252">if(isblank(F252),"",xlookup(G252,z_Others!$B$5:$B$17,z_Others!$K$5:$K$17,"",0,1))</f>
        <v/>
      </c>
      <c r="T252" s="894" t="str">
        <f t="shared" si="19"/>
        <v/>
      </c>
      <c r="U252" s="898" t="str">
        <f t="array" ref="U252">if(isblank(F252),"",xlookup(G252,z_Others!$B$5:$B$17,z_Others!$G$5:$G$17,"",0,1))</f>
        <v/>
      </c>
      <c r="V252" s="231" t="str">
        <f t="array" ref="V252">if(isblank(F252),"",xlookup(F252,'FL5_POR_包裝對照表 (Mapping Table)'!E:E,'FL5_POR_包裝對照表 (Mapping Table)'!AB:AB,"",0,1))</f>
        <v/>
      </c>
      <c r="W252" s="899" t="str">
        <f t="array" ref="W252">if(isblank(F252),"",xlookup(G252,z_Others!$B$5:$B$17,z_Others!$I$5:$I$17,"",0,1))</f>
        <v/>
      </c>
      <c r="X252" s="894" t="str">
        <f t="shared" si="7"/>
        <v/>
      </c>
      <c r="Y252" s="894" t="str">
        <f t="shared" si="8"/>
        <v/>
      </c>
      <c r="Z252" s="900" t="str">
        <f t="shared" si="9"/>
        <v/>
      </c>
      <c r="AA252" s="900" t="str">
        <f t="shared" si="10"/>
        <v/>
      </c>
      <c r="AB252" s="878" t="str">
        <f t="array" ref="AB252">if(isblank(F252),"",xlookup(AJ252,z_Others!$M$5:$M$9,z_Others!$Q$5:$Q$9,"",0,1))</f>
        <v/>
      </c>
      <c r="AC252" s="900" t="str">
        <f t="shared" si="11"/>
        <v/>
      </c>
      <c r="AD252" s="894" t="str">
        <f t="array" ref="AD252">if(isblank(F252),"",xlookup(G252,z_Others!$B$5:$B$14,z_Others!$H$5:$H$14,"",0,1))</f>
        <v/>
      </c>
      <c r="AE252" s="901" t="str">
        <f t="shared" si="12"/>
        <v/>
      </c>
      <c r="AF252" s="791"/>
      <c r="AG252" s="791" t="str">
        <f t="shared" si="21"/>
        <v/>
      </c>
      <c r="AH252" s="787"/>
      <c r="AI252" s="787"/>
      <c r="AJ252" s="677" t="str">
        <f t="array" ref="AJ252">if(isblank(F252),"",xlookup(F252,'FL5_POR_包裝對照表 (Mapping Table)'!E:E,'FL5_POR_包裝對照表 (Mapping Table)'!AS:AS,"",0,1))</f>
        <v/>
      </c>
      <c r="AK252" s="677" t="str">
        <f t="array" ref="AK252">if(isblank(F252),"",xlookup(F252,'FL5_POR_包裝對照表 (Mapping Table)'!E:E,'FL5_POR_包裝對照表 (Mapping Table)'!K:K,"",0,1))</f>
        <v/>
      </c>
      <c r="AL252" s="677"/>
      <c r="AM252" s="813"/>
      <c r="AN252" s="908"/>
      <c r="AO252" s="813"/>
      <c r="AP252" s="813"/>
    </row>
    <row r="253" ht="18.0" customHeight="1">
      <c r="A253" s="910"/>
      <c r="B253" s="908"/>
      <c r="C253" s="891" t="str">
        <f>if(isblank(F253),"",'FL5_POR_包裝對照表 (Mapping Table)'!$E$4)</f>
        <v/>
      </c>
      <c r="D253" s="878" t="str">
        <f t="array" ref="D253">if(isblank(F253),"",xlookup(F253,'FL5_POR_包裝對照表 (Mapping Table)'!E:E,'FL5_POR_包裝對照表 (Mapping Table)'!AZ:AZ,"",0,1))</f>
        <v/>
      </c>
      <c r="E253" s="677" t="str">
        <f t="shared" si="2"/>
        <v/>
      </c>
      <c r="F253" s="879"/>
      <c r="G253" s="892" t="str">
        <f t="array" ref="G253">if(isblank(F253),"",xlookup(F253,'FL5_POR_包裝對照表 (Mapping Table)'!E:E,'FL5_POR_包裝對照表 (Mapping Table)'!D:D,"",0,1))</f>
        <v/>
      </c>
      <c r="H253" s="893" t="str">
        <f t="array" ref="H253">if(isblank(F253),"",xlookup(F253,'FL5_POR_包裝對照表 (Mapping Table)'!E:E,'FL5_POR_包裝對照表 (Mapping Table)'!E:E,"",0,1))</f>
        <v/>
      </c>
      <c r="I253" s="677" t="str">
        <f t="array" ref="I253">if(isblank(F253),"",xlookup(F253,'FL5_POR_包裝對照表 (Mapping Table)'!E:E,'FL5_POR_包裝對照表 (Mapping Table)'!AN:AN,"",0,1))</f>
        <v/>
      </c>
      <c r="J253" s="894" t="str">
        <f t="array" ref="J253">if(isblank(F253),"",xlookup(G253,z_Others!$B$5:$B$17,z_Others!$C$5:$C$17,"",0,1))</f>
        <v/>
      </c>
      <c r="K253" s="894" t="str">
        <f t="array" ref="K253">if(isblank(F253),"",xlookup(G253,z_Others!$B$5:$B$17,z_Others!$E$5:$E$17,"",0,1))</f>
        <v/>
      </c>
      <c r="L253" s="894" t="str">
        <f t="array" ref="L253">if(isblank(F253),"",xlookup(G253,z_Others!$B$5:$B$17,z_Others!$F$5:$F$17,"",0,1))</f>
        <v/>
      </c>
      <c r="M253" s="894" t="str">
        <f t="shared" si="3"/>
        <v/>
      </c>
      <c r="N253" s="894" t="str">
        <f t="shared" si="4"/>
        <v/>
      </c>
      <c r="O253" s="882" t="str">
        <f t="array" ref="O253">if(isblank(F253),"",xlookup(F253,'FL5_POR_包裝對照表 (Mapping Table)'!E:E,'FL5_POR_包裝對照表 (Mapping Table)'!L:L,"",0,1))</f>
        <v/>
      </c>
      <c r="P253" s="909" t="str">
        <f t="array" ref="P253">if(isblank(F253),"",xlookup(G253,z_Others!$B$5:$B$17,z_Others!$J$5:$J$17,"",0,1))</f>
        <v/>
      </c>
      <c r="Q253" s="899" t="str">
        <f t="array" ref="Q253">if(isblank(F253),"",xlookup(F253,'FL5_POR_核價 (經管 &amp; BPM)'!E:E,'FL5_POR_核價 (經管 &amp; BPM)'!O:O,"",0,1))</f>
        <v/>
      </c>
      <c r="R253" s="894" t="str">
        <f t="shared" si="5"/>
        <v/>
      </c>
      <c r="S253" s="894" t="str">
        <f t="array" ref="S253">if(isblank(F253),"",xlookup(G253,z_Others!$B$5:$B$17,z_Others!$K$5:$K$17,"",0,1))</f>
        <v/>
      </c>
      <c r="T253" s="894" t="str">
        <f t="shared" si="19"/>
        <v/>
      </c>
      <c r="U253" s="898" t="str">
        <f t="array" ref="U253">if(isblank(F253),"",xlookup(G253,z_Others!$B$5:$B$17,z_Others!$G$5:$G$17,"",0,1))</f>
        <v/>
      </c>
      <c r="V253" s="231" t="str">
        <f t="array" ref="V253">if(isblank(F253),"",xlookup(F253,'FL5_POR_包裝對照表 (Mapping Table)'!E:E,'FL5_POR_包裝對照表 (Mapping Table)'!AB:AB,"",0,1))</f>
        <v/>
      </c>
      <c r="W253" s="899" t="str">
        <f t="array" ref="W253">if(isblank(F253),"",xlookup(G253,z_Others!$B$5:$B$17,z_Others!$I$5:$I$17,"",0,1))</f>
        <v/>
      </c>
      <c r="X253" s="894" t="str">
        <f t="shared" si="7"/>
        <v/>
      </c>
      <c r="Y253" s="894" t="str">
        <f t="shared" si="8"/>
        <v/>
      </c>
      <c r="Z253" s="900" t="str">
        <f t="shared" si="9"/>
        <v/>
      </c>
      <c r="AA253" s="900" t="str">
        <f t="shared" si="10"/>
        <v/>
      </c>
      <c r="AB253" s="878" t="str">
        <f t="array" ref="AB253">if(isblank(F253),"",xlookup(AJ253,z_Others!$M$5:$M$9,z_Others!$Q$5:$Q$9,"",0,1))</f>
        <v/>
      </c>
      <c r="AC253" s="900" t="str">
        <f t="shared" si="11"/>
        <v/>
      </c>
      <c r="AD253" s="894" t="str">
        <f t="array" ref="AD253">if(isblank(F253),"",xlookup(G253,z_Others!$B$5:$B$14,z_Others!$H$5:$H$14,"",0,1))</f>
        <v/>
      </c>
      <c r="AE253" s="901" t="str">
        <f t="shared" si="12"/>
        <v/>
      </c>
      <c r="AF253" s="791"/>
      <c r="AG253" s="791" t="str">
        <f t="shared" si="21"/>
        <v/>
      </c>
      <c r="AH253" s="787"/>
      <c r="AI253" s="787"/>
      <c r="AJ253" s="677" t="str">
        <f t="array" ref="AJ253">if(isblank(F253),"",xlookup(F253,'FL5_POR_包裝對照表 (Mapping Table)'!E:E,'FL5_POR_包裝對照表 (Mapping Table)'!AS:AS,"",0,1))</f>
        <v/>
      </c>
      <c r="AK253" s="677" t="str">
        <f t="array" ref="AK253">if(isblank(F253),"",xlookup(F253,'FL5_POR_包裝對照表 (Mapping Table)'!E:E,'FL5_POR_包裝對照表 (Mapping Table)'!K:K,"",0,1))</f>
        <v/>
      </c>
      <c r="AL253" s="677"/>
      <c r="AM253" s="813"/>
      <c r="AN253" s="908"/>
      <c r="AO253" s="813"/>
      <c r="AP253" s="813"/>
    </row>
    <row r="254" ht="18.0" customHeight="1">
      <c r="A254" s="910"/>
      <c r="B254" s="908"/>
      <c r="C254" s="891" t="str">
        <f>if(isblank(F254),"",'FL5_POR_包裝對照表 (Mapping Table)'!$E$4)</f>
        <v/>
      </c>
      <c r="D254" s="878" t="str">
        <f t="array" ref="D254">if(isblank(F254),"",xlookup(F254,'FL5_POR_包裝對照表 (Mapping Table)'!E:E,'FL5_POR_包裝對照表 (Mapping Table)'!AZ:AZ,"",0,1))</f>
        <v/>
      </c>
      <c r="E254" s="677" t="str">
        <f t="shared" si="2"/>
        <v/>
      </c>
      <c r="F254" s="879"/>
      <c r="G254" s="892" t="str">
        <f t="array" ref="G254">if(isblank(F254),"",xlookup(F254,'FL5_POR_包裝對照表 (Mapping Table)'!E:E,'FL5_POR_包裝對照表 (Mapping Table)'!D:D,"",0,1))</f>
        <v/>
      </c>
      <c r="H254" s="893" t="str">
        <f t="array" ref="H254">if(isblank(F254),"",xlookup(F254,'FL5_POR_包裝對照表 (Mapping Table)'!E:E,'FL5_POR_包裝對照表 (Mapping Table)'!E:E,"",0,1))</f>
        <v/>
      </c>
      <c r="I254" s="677" t="str">
        <f t="array" ref="I254">if(isblank(F254),"",xlookup(F254,'FL5_POR_包裝對照表 (Mapping Table)'!E:E,'FL5_POR_包裝對照表 (Mapping Table)'!AN:AN,"",0,1))</f>
        <v/>
      </c>
      <c r="J254" s="894" t="str">
        <f t="array" ref="J254">if(isblank(F254),"",xlookup(G254,z_Others!$B$5:$B$17,z_Others!$C$5:$C$17,"",0,1))</f>
        <v/>
      </c>
      <c r="K254" s="894" t="str">
        <f t="array" ref="K254">if(isblank(F254),"",xlookup(G254,z_Others!$B$5:$B$17,z_Others!$E$5:$E$17,"",0,1))</f>
        <v/>
      </c>
      <c r="L254" s="894" t="str">
        <f t="array" ref="L254">if(isblank(F254),"",xlookup(G254,z_Others!$B$5:$B$17,z_Others!$F$5:$F$17,"",0,1))</f>
        <v/>
      </c>
      <c r="M254" s="894" t="str">
        <f t="shared" si="3"/>
        <v/>
      </c>
      <c r="N254" s="894" t="str">
        <f t="shared" si="4"/>
        <v/>
      </c>
      <c r="O254" s="882" t="str">
        <f t="array" ref="O254">if(isblank(F254),"",xlookup(F254,'FL5_POR_包裝對照表 (Mapping Table)'!E:E,'FL5_POR_包裝對照表 (Mapping Table)'!L:L,"",0,1))</f>
        <v/>
      </c>
      <c r="P254" s="909" t="str">
        <f t="array" ref="P254">if(isblank(F254),"",xlookup(G254,z_Others!$B$5:$B$17,z_Others!$J$5:$J$17,"",0,1))</f>
        <v/>
      </c>
      <c r="Q254" s="899" t="str">
        <f t="array" ref="Q254">if(isblank(F254),"",xlookup(F254,'FL5_POR_核價 (經管 &amp; BPM)'!E:E,'FL5_POR_核價 (經管 &amp; BPM)'!O:O,"",0,1))</f>
        <v/>
      </c>
      <c r="R254" s="894" t="str">
        <f t="shared" si="5"/>
        <v/>
      </c>
      <c r="S254" s="894" t="str">
        <f t="array" ref="S254">if(isblank(F254),"",xlookup(G254,z_Others!$B$5:$B$17,z_Others!$K$5:$K$17,"",0,1))</f>
        <v/>
      </c>
      <c r="T254" s="894" t="str">
        <f t="shared" si="19"/>
        <v/>
      </c>
      <c r="U254" s="898" t="str">
        <f t="array" ref="U254">if(isblank(F254),"",xlookup(G254,z_Others!$B$5:$B$17,z_Others!$G$5:$G$17,"",0,1))</f>
        <v/>
      </c>
      <c r="V254" s="231" t="str">
        <f t="array" ref="V254">if(isblank(F254),"",xlookup(F254,'FL5_POR_包裝對照表 (Mapping Table)'!E:E,'FL5_POR_包裝對照表 (Mapping Table)'!AB:AB,"",0,1))</f>
        <v/>
      </c>
      <c r="W254" s="899" t="str">
        <f t="array" ref="W254">if(isblank(F254),"",xlookup(G254,z_Others!$B$5:$B$17,z_Others!$I$5:$I$17,"",0,1))</f>
        <v/>
      </c>
      <c r="X254" s="894" t="str">
        <f t="shared" si="7"/>
        <v/>
      </c>
      <c r="Y254" s="894" t="str">
        <f t="shared" si="8"/>
        <v/>
      </c>
      <c r="Z254" s="900" t="str">
        <f t="shared" si="9"/>
        <v/>
      </c>
      <c r="AA254" s="900" t="str">
        <f t="shared" si="10"/>
        <v/>
      </c>
      <c r="AB254" s="878" t="str">
        <f t="array" ref="AB254">if(isblank(F254),"",xlookup(AJ254,z_Others!$M$5:$M$9,z_Others!$Q$5:$Q$9,"",0,1))</f>
        <v/>
      </c>
      <c r="AC254" s="900" t="str">
        <f t="shared" si="11"/>
        <v/>
      </c>
      <c r="AD254" s="894" t="str">
        <f t="array" ref="AD254">if(isblank(F254),"",xlookup(G254,z_Others!$B$5:$B$14,z_Others!$H$5:$H$14,"",0,1))</f>
        <v/>
      </c>
      <c r="AE254" s="901" t="str">
        <f t="shared" si="12"/>
        <v/>
      </c>
      <c r="AF254" s="791"/>
      <c r="AG254" s="791" t="str">
        <f t="shared" si="21"/>
        <v/>
      </c>
      <c r="AH254" s="787"/>
      <c r="AI254" s="787"/>
      <c r="AJ254" s="677" t="str">
        <f t="array" ref="AJ254">if(isblank(F254),"",xlookup(F254,'FL5_POR_包裝對照表 (Mapping Table)'!E:E,'FL5_POR_包裝對照表 (Mapping Table)'!AS:AS,"",0,1))</f>
        <v/>
      </c>
      <c r="AK254" s="677" t="str">
        <f t="array" ref="AK254">if(isblank(F254),"",xlookup(F254,'FL5_POR_包裝對照表 (Mapping Table)'!E:E,'FL5_POR_包裝對照表 (Mapping Table)'!K:K,"",0,1))</f>
        <v/>
      </c>
      <c r="AL254" s="677"/>
      <c r="AM254" s="813"/>
      <c r="AN254" s="908"/>
      <c r="AO254" s="813"/>
      <c r="AP254" s="813"/>
    </row>
    <row r="255" ht="18.0" customHeight="1">
      <c r="A255" s="910"/>
      <c r="B255" s="908"/>
      <c r="C255" s="891" t="str">
        <f>if(isblank(F255),"",'FL5_POR_包裝對照表 (Mapping Table)'!$E$4)</f>
        <v/>
      </c>
      <c r="D255" s="878" t="str">
        <f t="array" ref="D255">if(isblank(F255),"",xlookup(F255,'FL5_POR_包裝對照表 (Mapping Table)'!E:E,'FL5_POR_包裝對照表 (Mapping Table)'!AZ:AZ,"",0,1))</f>
        <v/>
      </c>
      <c r="E255" s="677" t="str">
        <f t="shared" si="2"/>
        <v/>
      </c>
      <c r="F255" s="879"/>
      <c r="G255" s="892" t="str">
        <f t="array" ref="G255">if(isblank(F255),"",xlookup(F255,'FL5_POR_包裝對照表 (Mapping Table)'!E:E,'FL5_POR_包裝對照表 (Mapping Table)'!D:D,"",0,1))</f>
        <v/>
      </c>
      <c r="H255" s="893" t="str">
        <f t="array" ref="H255">if(isblank(F255),"",xlookup(F255,'FL5_POR_包裝對照表 (Mapping Table)'!E:E,'FL5_POR_包裝對照表 (Mapping Table)'!E:E,"",0,1))</f>
        <v/>
      </c>
      <c r="I255" s="677" t="str">
        <f t="array" ref="I255">if(isblank(F255),"",xlookup(F255,'FL5_POR_包裝對照表 (Mapping Table)'!E:E,'FL5_POR_包裝對照表 (Mapping Table)'!AN:AN,"",0,1))</f>
        <v/>
      </c>
      <c r="J255" s="894" t="str">
        <f t="array" ref="J255">if(isblank(F255),"",xlookup(G255,z_Others!$B$5:$B$17,z_Others!$C$5:$C$17,"",0,1))</f>
        <v/>
      </c>
      <c r="K255" s="894" t="str">
        <f t="array" ref="K255">if(isblank(F255),"",xlookup(G255,z_Others!$B$5:$B$17,z_Others!$E$5:$E$17,"",0,1))</f>
        <v/>
      </c>
      <c r="L255" s="894" t="str">
        <f t="array" ref="L255">if(isblank(F255),"",xlookup(G255,z_Others!$B$5:$B$17,z_Others!$F$5:$F$17,"",0,1))</f>
        <v/>
      </c>
      <c r="M255" s="894" t="str">
        <f t="shared" si="3"/>
        <v/>
      </c>
      <c r="N255" s="894" t="str">
        <f t="shared" si="4"/>
        <v/>
      </c>
      <c r="O255" s="882" t="str">
        <f t="array" ref="O255">if(isblank(F255),"",xlookup(F255,'FL5_POR_包裝對照表 (Mapping Table)'!E:E,'FL5_POR_包裝對照表 (Mapping Table)'!L:L,"",0,1))</f>
        <v/>
      </c>
      <c r="P255" s="909" t="str">
        <f t="array" ref="P255">if(isblank(F255),"",xlookup(G255,z_Others!$B$5:$B$17,z_Others!$J$5:$J$17,"",0,1))</f>
        <v/>
      </c>
      <c r="Q255" s="899" t="str">
        <f t="array" ref="Q255">if(isblank(F255),"",xlookup(F255,'FL5_POR_核價 (經管 &amp; BPM)'!E:E,'FL5_POR_核價 (經管 &amp; BPM)'!O:O,"",0,1))</f>
        <v/>
      </c>
      <c r="R255" s="894" t="str">
        <f t="shared" si="5"/>
        <v/>
      </c>
      <c r="S255" s="894" t="str">
        <f t="array" ref="S255">if(isblank(F255),"",xlookup(G255,z_Others!$B$5:$B$17,z_Others!$K$5:$K$17,"",0,1))</f>
        <v/>
      </c>
      <c r="T255" s="894" t="str">
        <f t="shared" si="19"/>
        <v/>
      </c>
      <c r="U255" s="898" t="str">
        <f t="array" ref="U255">if(isblank(F255),"",xlookup(G255,z_Others!$B$5:$B$17,z_Others!$G$5:$G$17,"",0,1))</f>
        <v/>
      </c>
      <c r="V255" s="231" t="str">
        <f t="array" ref="V255">if(isblank(F255),"",xlookup(F255,'FL5_POR_包裝對照表 (Mapping Table)'!E:E,'FL5_POR_包裝對照表 (Mapping Table)'!AB:AB,"",0,1))</f>
        <v/>
      </c>
      <c r="W255" s="899" t="str">
        <f t="array" ref="W255">if(isblank(F255),"",xlookup(G255,z_Others!$B$5:$B$17,z_Others!$I$5:$I$17,"",0,1))</f>
        <v/>
      </c>
      <c r="X255" s="894" t="str">
        <f t="shared" si="7"/>
        <v/>
      </c>
      <c r="Y255" s="894" t="str">
        <f t="shared" si="8"/>
        <v/>
      </c>
      <c r="Z255" s="900" t="str">
        <f t="shared" si="9"/>
        <v/>
      </c>
      <c r="AA255" s="900" t="str">
        <f t="shared" si="10"/>
        <v/>
      </c>
      <c r="AB255" s="878" t="str">
        <f t="array" ref="AB255">if(isblank(F255),"",xlookup(AJ255,z_Others!$M$5:$M$9,z_Others!$Q$5:$Q$9,"",0,1))</f>
        <v/>
      </c>
      <c r="AC255" s="900" t="str">
        <f t="shared" si="11"/>
        <v/>
      </c>
      <c r="AD255" s="894" t="str">
        <f t="array" ref="AD255">if(isblank(F255),"",xlookup(G255,z_Others!$B$5:$B$14,z_Others!$H$5:$H$14,"",0,1))</f>
        <v/>
      </c>
      <c r="AE255" s="901" t="str">
        <f t="shared" si="12"/>
        <v/>
      </c>
      <c r="AF255" s="791"/>
      <c r="AG255" s="791" t="str">
        <f t="shared" si="21"/>
        <v/>
      </c>
      <c r="AH255" s="787"/>
      <c r="AI255" s="787"/>
      <c r="AJ255" s="677" t="str">
        <f t="array" ref="AJ255">if(isblank(F255),"",xlookup(F255,'FL5_POR_包裝對照表 (Mapping Table)'!E:E,'FL5_POR_包裝對照表 (Mapping Table)'!AS:AS,"",0,1))</f>
        <v/>
      </c>
      <c r="AK255" s="677" t="str">
        <f t="array" ref="AK255">if(isblank(F255),"",xlookup(F255,'FL5_POR_包裝對照表 (Mapping Table)'!E:E,'FL5_POR_包裝對照表 (Mapping Table)'!K:K,"",0,1))</f>
        <v/>
      </c>
      <c r="AL255" s="677"/>
      <c r="AM255" s="813"/>
      <c r="AN255" s="908"/>
      <c r="AO255" s="813"/>
      <c r="AP255" s="813"/>
    </row>
    <row r="256" ht="18.0" customHeight="1">
      <c r="A256" s="910"/>
      <c r="B256" s="908"/>
      <c r="C256" s="891" t="str">
        <f>if(isblank(F256),"",'FL5_POR_包裝對照表 (Mapping Table)'!$E$4)</f>
        <v/>
      </c>
      <c r="D256" s="878" t="str">
        <f t="array" ref="D256">if(isblank(F256),"",xlookup(F256,'FL5_POR_包裝對照表 (Mapping Table)'!E:E,'FL5_POR_包裝對照表 (Mapping Table)'!AZ:AZ,"",0,1))</f>
        <v/>
      </c>
      <c r="E256" s="677" t="str">
        <f t="shared" si="2"/>
        <v/>
      </c>
      <c r="F256" s="879"/>
      <c r="G256" s="892" t="str">
        <f t="array" ref="G256">if(isblank(F256),"",xlookup(F256,'FL5_POR_包裝對照表 (Mapping Table)'!E:E,'FL5_POR_包裝對照表 (Mapping Table)'!D:D,"",0,1))</f>
        <v/>
      </c>
      <c r="H256" s="893" t="str">
        <f t="array" ref="H256">if(isblank(F256),"",xlookup(F256,'FL5_POR_包裝對照表 (Mapping Table)'!E:E,'FL5_POR_包裝對照表 (Mapping Table)'!E:E,"",0,1))</f>
        <v/>
      </c>
      <c r="I256" s="677" t="str">
        <f t="array" ref="I256">if(isblank(F256),"",xlookup(F256,'FL5_POR_包裝對照表 (Mapping Table)'!E:E,'FL5_POR_包裝對照表 (Mapping Table)'!AN:AN,"",0,1))</f>
        <v/>
      </c>
      <c r="J256" s="894" t="str">
        <f t="array" ref="J256">if(isblank(F256),"",xlookup(G256,z_Others!$B$5:$B$17,z_Others!$C$5:$C$17,"",0,1))</f>
        <v/>
      </c>
      <c r="K256" s="894" t="str">
        <f t="array" ref="K256">if(isblank(F256),"",xlookup(G256,z_Others!$B$5:$B$17,z_Others!$E$5:$E$17,"",0,1))</f>
        <v/>
      </c>
      <c r="L256" s="894" t="str">
        <f t="array" ref="L256">if(isblank(F256),"",xlookup(G256,z_Others!$B$5:$B$17,z_Others!$F$5:$F$17,"",0,1))</f>
        <v/>
      </c>
      <c r="M256" s="894" t="str">
        <f t="shared" si="3"/>
        <v/>
      </c>
      <c r="N256" s="894" t="str">
        <f t="shared" si="4"/>
        <v/>
      </c>
      <c r="O256" s="882" t="str">
        <f t="array" ref="O256">if(isblank(F256),"",xlookup(F256,'FL5_POR_包裝對照表 (Mapping Table)'!E:E,'FL5_POR_包裝對照表 (Mapping Table)'!L:L,"",0,1))</f>
        <v/>
      </c>
      <c r="P256" s="909" t="str">
        <f t="array" ref="P256">if(isblank(F256),"",xlookup(G256,z_Others!$B$5:$B$17,z_Others!$J$5:$J$17,"",0,1))</f>
        <v/>
      </c>
      <c r="Q256" s="899" t="str">
        <f t="array" ref="Q256">if(isblank(F256),"",xlookup(F256,'FL5_POR_核價 (經管 &amp; BPM)'!E:E,'FL5_POR_核價 (經管 &amp; BPM)'!O:O,"",0,1))</f>
        <v/>
      </c>
      <c r="R256" s="894" t="str">
        <f t="shared" si="5"/>
        <v/>
      </c>
      <c r="S256" s="894" t="str">
        <f t="array" ref="S256">if(isblank(F256),"",xlookup(G256,z_Others!$B$5:$B$17,z_Others!$K$5:$K$17,"",0,1))</f>
        <v/>
      </c>
      <c r="T256" s="894" t="str">
        <f t="shared" si="19"/>
        <v/>
      </c>
      <c r="U256" s="898" t="str">
        <f t="array" ref="U256">if(isblank(F256),"",xlookup(G256,z_Others!$B$5:$B$17,z_Others!$G$5:$G$17,"",0,1))</f>
        <v/>
      </c>
      <c r="V256" s="231" t="str">
        <f t="array" ref="V256">if(isblank(F256),"",xlookup(F256,'FL5_POR_包裝對照表 (Mapping Table)'!E:E,'FL5_POR_包裝對照表 (Mapping Table)'!AB:AB,"",0,1))</f>
        <v/>
      </c>
      <c r="W256" s="899" t="str">
        <f t="array" ref="W256">if(isblank(F256),"",xlookup(G256,z_Others!$B$5:$B$17,z_Others!$I$5:$I$17,"",0,1))</f>
        <v/>
      </c>
      <c r="X256" s="894" t="str">
        <f t="shared" si="7"/>
        <v/>
      </c>
      <c r="Y256" s="894" t="str">
        <f t="shared" si="8"/>
        <v/>
      </c>
      <c r="Z256" s="900" t="str">
        <f t="shared" si="9"/>
        <v/>
      </c>
      <c r="AA256" s="900" t="str">
        <f t="shared" si="10"/>
        <v/>
      </c>
      <c r="AB256" s="878" t="str">
        <f t="array" ref="AB256">if(isblank(F256),"",xlookup(AJ256,z_Others!$M$5:$M$9,z_Others!$Q$5:$Q$9,"",0,1))</f>
        <v/>
      </c>
      <c r="AC256" s="900" t="str">
        <f t="shared" si="11"/>
        <v/>
      </c>
      <c r="AD256" s="894" t="str">
        <f t="array" ref="AD256">if(isblank(F256),"",xlookup(G256,z_Others!$B$5:$B$14,z_Others!$H$5:$H$14,"",0,1))</f>
        <v/>
      </c>
      <c r="AE256" s="901" t="str">
        <f t="shared" si="12"/>
        <v/>
      </c>
      <c r="AF256" s="791"/>
      <c r="AG256" s="791" t="str">
        <f t="shared" si="21"/>
        <v/>
      </c>
      <c r="AH256" s="787"/>
      <c r="AI256" s="787"/>
      <c r="AJ256" s="677" t="str">
        <f t="array" ref="AJ256">if(isblank(F256),"",xlookup(F256,'FL5_POR_包裝對照表 (Mapping Table)'!E:E,'FL5_POR_包裝對照表 (Mapping Table)'!AS:AS,"",0,1))</f>
        <v/>
      </c>
      <c r="AK256" s="677" t="str">
        <f t="array" ref="AK256">if(isblank(F256),"",xlookup(F256,'FL5_POR_包裝對照表 (Mapping Table)'!E:E,'FL5_POR_包裝對照表 (Mapping Table)'!K:K,"",0,1))</f>
        <v/>
      </c>
      <c r="AL256" s="677"/>
      <c r="AM256" s="813"/>
      <c r="AN256" s="908"/>
      <c r="AO256" s="813"/>
      <c r="AP256" s="813"/>
    </row>
    <row r="257" ht="18.0" customHeight="1">
      <c r="A257" s="910"/>
      <c r="B257" s="908"/>
      <c r="C257" s="891" t="str">
        <f>if(isblank(F257),"",'FL5_POR_包裝對照表 (Mapping Table)'!$E$4)</f>
        <v/>
      </c>
      <c r="D257" s="878" t="str">
        <f t="array" ref="D257">if(isblank(F257),"",xlookup(F257,'FL5_POR_包裝對照表 (Mapping Table)'!E:E,'FL5_POR_包裝對照表 (Mapping Table)'!AZ:AZ,"",0,1))</f>
        <v/>
      </c>
      <c r="E257" s="677" t="str">
        <f t="shared" si="2"/>
        <v/>
      </c>
      <c r="F257" s="879"/>
      <c r="G257" s="892" t="str">
        <f t="array" ref="G257">if(isblank(F257),"",xlookup(F257,'FL5_POR_包裝對照表 (Mapping Table)'!E:E,'FL5_POR_包裝對照表 (Mapping Table)'!D:D,"",0,1))</f>
        <v/>
      </c>
      <c r="H257" s="893" t="str">
        <f t="array" ref="H257">if(isblank(F257),"",xlookup(F257,'FL5_POR_包裝對照表 (Mapping Table)'!E:E,'FL5_POR_包裝對照表 (Mapping Table)'!E:E,"",0,1))</f>
        <v/>
      </c>
      <c r="I257" s="677" t="str">
        <f t="array" ref="I257">if(isblank(F257),"",xlookup(F257,'FL5_POR_包裝對照表 (Mapping Table)'!E:E,'FL5_POR_包裝對照表 (Mapping Table)'!AN:AN,"",0,1))</f>
        <v/>
      </c>
      <c r="J257" s="894" t="str">
        <f t="array" ref="J257">if(isblank(F257),"",xlookup(G257,z_Others!$B$5:$B$17,z_Others!$C$5:$C$17,"",0,1))</f>
        <v/>
      </c>
      <c r="K257" s="894" t="str">
        <f t="array" ref="K257">if(isblank(F257),"",xlookup(G257,z_Others!$B$5:$B$17,z_Others!$E$5:$E$17,"",0,1))</f>
        <v/>
      </c>
      <c r="L257" s="894" t="str">
        <f t="array" ref="L257">if(isblank(F257),"",xlookup(G257,z_Others!$B$5:$B$17,z_Others!$F$5:$F$17,"",0,1))</f>
        <v/>
      </c>
      <c r="M257" s="894" t="str">
        <f t="shared" si="3"/>
        <v/>
      </c>
      <c r="N257" s="894" t="str">
        <f t="shared" si="4"/>
        <v/>
      </c>
      <c r="O257" s="882" t="str">
        <f t="array" ref="O257">if(isblank(F257),"",xlookup(F257,'FL5_POR_包裝對照表 (Mapping Table)'!E:E,'FL5_POR_包裝對照表 (Mapping Table)'!L:L,"",0,1))</f>
        <v/>
      </c>
      <c r="P257" s="909" t="str">
        <f t="array" ref="P257">if(isblank(F257),"",xlookup(G257,z_Others!$B$5:$B$17,z_Others!$J$5:$J$17,"",0,1))</f>
        <v/>
      </c>
      <c r="Q257" s="899" t="str">
        <f t="array" ref="Q257">if(isblank(F257),"",xlookup(F257,'FL5_POR_核價 (經管 &amp; BPM)'!E:E,'FL5_POR_核價 (經管 &amp; BPM)'!O:O,"",0,1))</f>
        <v/>
      </c>
      <c r="R257" s="894" t="str">
        <f t="shared" si="5"/>
        <v/>
      </c>
      <c r="S257" s="894" t="str">
        <f t="array" ref="S257">if(isblank(F257),"",xlookup(G257,z_Others!$B$5:$B$17,z_Others!$K$5:$K$17,"",0,1))</f>
        <v/>
      </c>
      <c r="T257" s="894" t="str">
        <f t="shared" si="19"/>
        <v/>
      </c>
      <c r="U257" s="898" t="str">
        <f t="array" ref="U257">if(isblank(F257),"",xlookup(G257,z_Others!$B$5:$B$17,z_Others!$G$5:$G$17,"",0,1))</f>
        <v/>
      </c>
      <c r="V257" s="231" t="str">
        <f t="array" ref="V257">if(isblank(F257),"",xlookup(F257,'FL5_POR_包裝對照表 (Mapping Table)'!E:E,'FL5_POR_包裝對照表 (Mapping Table)'!AB:AB,"",0,1))</f>
        <v/>
      </c>
      <c r="W257" s="899" t="str">
        <f t="array" ref="W257">if(isblank(F257),"",xlookup(G257,z_Others!$B$5:$B$17,z_Others!$I$5:$I$17,"",0,1))</f>
        <v/>
      </c>
      <c r="X257" s="894" t="str">
        <f t="shared" si="7"/>
        <v/>
      </c>
      <c r="Y257" s="894" t="str">
        <f t="shared" si="8"/>
        <v/>
      </c>
      <c r="Z257" s="900" t="str">
        <f t="shared" si="9"/>
        <v/>
      </c>
      <c r="AA257" s="900" t="str">
        <f t="shared" si="10"/>
        <v/>
      </c>
      <c r="AB257" s="878" t="str">
        <f t="array" ref="AB257">if(isblank(F257),"",xlookup(AJ257,z_Others!$M$5:$M$9,z_Others!$Q$5:$Q$9,"",0,1))</f>
        <v/>
      </c>
      <c r="AC257" s="900" t="str">
        <f t="shared" si="11"/>
        <v/>
      </c>
      <c r="AD257" s="894" t="str">
        <f t="array" ref="AD257">if(isblank(F257),"",xlookup(G257,z_Others!$B$5:$B$14,z_Others!$H$5:$H$14,"",0,1))</f>
        <v/>
      </c>
      <c r="AE257" s="901" t="str">
        <f t="shared" si="12"/>
        <v/>
      </c>
      <c r="AF257" s="791"/>
      <c r="AG257" s="791" t="str">
        <f t="shared" si="21"/>
        <v/>
      </c>
      <c r="AH257" s="787"/>
      <c r="AI257" s="787"/>
      <c r="AJ257" s="677" t="str">
        <f t="array" ref="AJ257">if(isblank(F257),"",xlookup(F257,'FL5_POR_包裝對照表 (Mapping Table)'!E:E,'FL5_POR_包裝對照表 (Mapping Table)'!AS:AS,"",0,1))</f>
        <v/>
      </c>
      <c r="AK257" s="677" t="str">
        <f t="array" ref="AK257">if(isblank(F257),"",xlookup(F257,'FL5_POR_包裝對照表 (Mapping Table)'!E:E,'FL5_POR_包裝對照表 (Mapping Table)'!K:K,"",0,1))</f>
        <v/>
      </c>
      <c r="AL257" s="677"/>
      <c r="AM257" s="813"/>
      <c r="AN257" s="908"/>
      <c r="AO257" s="813"/>
      <c r="AP257" s="813"/>
    </row>
    <row r="258" ht="18.0" customHeight="1">
      <c r="A258" s="910"/>
      <c r="B258" s="908"/>
      <c r="C258" s="891" t="str">
        <f>if(isblank(F258),"",'FL5_POR_包裝對照表 (Mapping Table)'!$E$4)</f>
        <v/>
      </c>
      <c r="D258" s="878" t="str">
        <f t="array" ref="D258">if(isblank(F258),"",xlookup(F258,'FL5_POR_包裝對照表 (Mapping Table)'!E:E,'FL5_POR_包裝對照表 (Mapping Table)'!AZ:AZ,"",0,1))</f>
        <v/>
      </c>
      <c r="E258" s="677" t="str">
        <f t="shared" si="2"/>
        <v/>
      </c>
      <c r="F258" s="879"/>
      <c r="G258" s="892" t="str">
        <f t="array" ref="G258">if(isblank(F258),"",xlookup(F258,'FL5_POR_包裝對照表 (Mapping Table)'!E:E,'FL5_POR_包裝對照表 (Mapping Table)'!D:D,"",0,1))</f>
        <v/>
      </c>
      <c r="H258" s="893" t="str">
        <f t="array" ref="H258">if(isblank(F258),"",xlookup(F258,'FL5_POR_包裝對照表 (Mapping Table)'!E:E,'FL5_POR_包裝對照表 (Mapping Table)'!E:E,"",0,1))</f>
        <v/>
      </c>
      <c r="I258" s="677" t="str">
        <f t="array" ref="I258">if(isblank(F258),"",xlookup(F258,'FL5_POR_包裝對照表 (Mapping Table)'!E:E,'FL5_POR_包裝對照表 (Mapping Table)'!AN:AN,"",0,1))</f>
        <v/>
      </c>
      <c r="J258" s="894" t="str">
        <f t="array" ref="J258">if(isblank(F258),"",xlookup(G258,z_Others!$B$5:$B$17,z_Others!$C$5:$C$17,"",0,1))</f>
        <v/>
      </c>
      <c r="K258" s="894" t="str">
        <f t="array" ref="K258">if(isblank(F258),"",xlookup(G258,z_Others!$B$5:$B$17,z_Others!$E$5:$E$17,"",0,1))</f>
        <v/>
      </c>
      <c r="L258" s="894" t="str">
        <f t="array" ref="L258">if(isblank(F258),"",xlookup(G258,z_Others!$B$5:$B$17,z_Others!$F$5:$F$17,"",0,1))</f>
        <v/>
      </c>
      <c r="M258" s="894" t="str">
        <f t="shared" si="3"/>
        <v/>
      </c>
      <c r="N258" s="894" t="str">
        <f t="shared" si="4"/>
        <v/>
      </c>
      <c r="O258" s="882" t="str">
        <f t="array" ref="O258">if(isblank(F258),"",xlookup(F258,'FL5_POR_包裝對照表 (Mapping Table)'!E:E,'FL5_POR_包裝對照表 (Mapping Table)'!L:L,"",0,1))</f>
        <v/>
      </c>
      <c r="P258" s="909" t="str">
        <f t="array" ref="P258">if(isblank(F258),"",xlookup(G258,z_Others!$B$5:$B$17,z_Others!$J$5:$J$17,"",0,1))</f>
        <v/>
      </c>
      <c r="Q258" s="899" t="str">
        <f t="array" ref="Q258">if(isblank(F258),"",xlookup(F258,'FL5_POR_核價 (經管 &amp; BPM)'!E:E,'FL5_POR_核價 (經管 &amp; BPM)'!O:O,"",0,1))</f>
        <v/>
      </c>
      <c r="R258" s="894" t="str">
        <f t="shared" si="5"/>
        <v/>
      </c>
      <c r="S258" s="894" t="str">
        <f t="array" ref="S258">if(isblank(F258),"",xlookup(G258,z_Others!$B$5:$B$17,z_Others!$K$5:$K$17,"",0,1))</f>
        <v/>
      </c>
      <c r="T258" s="894" t="str">
        <f t="shared" si="19"/>
        <v/>
      </c>
      <c r="U258" s="898" t="str">
        <f t="array" ref="U258">if(isblank(F258),"",xlookup(G258,z_Others!$B$5:$B$17,z_Others!$G$5:$G$17,"",0,1))</f>
        <v/>
      </c>
      <c r="V258" s="231" t="str">
        <f t="array" ref="V258">if(isblank(F258),"",xlookup(F258,'FL5_POR_包裝對照表 (Mapping Table)'!E:E,'FL5_POR_包裝對照表 (Mapping Table)'!AB:AB,"",0,1))</f>
        <v/>
      </c>
      <c r="W258" s="899" t="str">
        <f t="array" ref="W258">if(isblank(F258),"",xlookup(G258,z_Others!$B$5:$B$17,z_Others!$I$5:$I$17,"",0,1))</f>
        <v/>
      </c>
      <c r="X258" s="894" t="str">
        <f t="shared" si="7"/>
        <v/>
      </c>
      <c r="Y258" s="894" t="str">
        <f t="shared" si="8"/>
        <v/>
      </c>
      <c r="Z258" s="900" t="str">
        <f t="shared" si="9"/>
        <v/>
      </c>
      <c r="AA258" s="900" t="str">
        <f t="shared" si="10"/>
        <v/>
      </c>
      <c r="AB258" s="878" t="str">
        <f t="array" ref="AB258">if(isblank(F258),"",xlookup(AJ258,z_Others!$M$5:$M$9,z_Others!$Q$5:$Q$9,"",0,1))</f>
        <v/>
      </c>
      <c r="AC258" s="900" t="str">
        <f t="shared" si="11"/>
        <v/>
      </c>
      <c r="AD258" s="894" t="str">
        <f t="array" ref="AD258">if(isblank(F258),"",xlookup(G258,z_Others!$B$5:$B$14,z_Others!$H$5:$H$14,"",0,1))</f>
        <v/>
      </c>
      <c r="AE258" s="901" t="str">
        <f t="shared" si="12"/>
        <v/>
      </c>
      <c r="AF258" s="791"/>
      <c r="AG258" s="791" t="str">
        <f t="shared" si="21"/>
        <v/>
      </c>
      <c r="AH258" s="787"/>
      <c r="AI258" s="787"/>
      <c r="AJ258" s="677" t="str">
        <f t="array" ref="AJ258">if(isblank(F258),"",xlookup(F258,'FL5_POR_包裝對照表 (Mapping Table)'!E:E,'FL5_POR_包裝對照表 (Mapping Table)'!AS:AS,"",0,1))</f>
        <v/>
      </c>
      <c r="AK258" s="677" t="str">
        <f t="array" ref="AK258">if(isblank(F258),"",xlookup(F258,'FL5_POR_包裝對照表 (Mapping Table)'!E:E,'FL5_POR_包裝對照表 (Mapping Table)'!K:K,"",0,1))</f>
        <v/>
      </c>
      <c r="AL258" s="677"/>
      <c r="AM258" s="813"/>
      <c r="AN258" s="908"/>
      <c r="AO258" s="813"/>
      <c r="AP258" s="813"/>
    </row>
    <row r="259" ht="18.0" customHeight="1">
      <c r="A259" s="910"/>
      <c r="B259" s="908"/>
      <c r="C259" s="891" t="str">
        <f>if(isblank(F259),"",'FL5_POR_包裝對照表 (Mapping Table)'!$E$4)</f>
        <v/>
      </c>
      <c r="D259" s="878" t="str">
        <f t="array" ref="D259">if(isblank(F259),"",xlookup(F259,'FL5_POR_包裝對照表 (Mapping Table)'!E:E,'FL5_POR_包裝對照表 (Mapping Table)'!AZ:AZ,"",0,1))</f>
        <v/>
      </c>
      <c r="E259" s="677" t="str">
        <f t="shared" si="2"/>
        <v/>
      </c>
      <c r="F259" s="879"/>
      <c r="G259" s="892" t="str">
        <f t="array" ref="G259">if(isblank(F259),"",xlookup(F259,'FL5_POR_包裝對照表 (Mapping Table)'!E:E,'FL5_POR_包裝對照表 (Mapping Table)'!D:D,"",0,1))</f>
        <v/>
      </c>
      <c r="H259" s="893" t="str">
        <f t="array" ref="H259">if(isblank(F259),"",xlookup(F259,'FL5_POR_包裝對照表 (Mapping Table)'!E:E,'FL5_POR_包裝對照表 (Mapping Table)'!E:E,"",0,1))</f>
        <v/>
      </c>
      <c r="I259" s="677" t="str">
        <f t="array" ref="I259">if(isblank(F259),"",xlookup(F259,'FL5_POR_包裝對照表 (Mapping Table)'!E:E,'FL5_POR_包裝對照表 (Mapping Table)'!AN:AN,"",0,1))</f>
        <v/>
      </c>
      <c r="J259" s="894" t="str">
        <f t="array" ref="J259">if(isblank(F259),"",xlookup(G259,z_Others!$B$5:$B$17,z_Others!$C$5:$C$17,"",0,1))</f>
        <v/>
      </c>
      <c r="K259" s="894" t="str">
        <f t="array" ref="K259">if(isblank(F259),"",xlookup(G259,z_Others!$B$5:$B$17,z_Others!$E$5:$E$17,"",0,1))</f>
        <v/>
      </c>
      <c r="L259" s="894" t="str">
        <f t="array" ref="L259">if(isblank(F259),"",xlookup(G259,z_Others!$B$5:$B$17,z_Others!$F$5:$F$17,"",0,1))</f>
        <v/>
      </c>
      <c r="M259" s="894" t="str">
        <f t="shared" si="3"/>
        <v/>
      </c>
      <c r="N259" s="894" t="str">
        <f t="shared" si="4"/>
        <v/>
      </c>
      <c r="O259" s="882" t="str">
        <f t="array" ref="O259">if(isblank(F259),"",xlookup(F259,'FL5_POR_包裝對照表 (Mapping Table)'!E:E,'FL5_POR_包裝對照表 (Mapping Table)'!L:L,"",0,1))</f>
        <v/>
      </c>
      <c r="P259" s="909" t="str">
        <f t="array" ref="P259">if(isblank(F259),"",xlookup(G259,z_Others!$B$5:$B$17,z_Others!$J$5:$J$17,"",0,1))</f>
        <v/>
      </c>
      <c r="Q259" s="899" t="str">
        <f t="array" ref="Q259">if(isblank(F259),"",xlookup(F259,'FL5_POR_核價 (經管 &amp; BPM)'!E:E,'FL5_POR_核價 (經管 &amp; BPM)'!O:O,"",0,1))</f>
        <v/>
      </c>
      <c r="R259" s="894" t="str">
        <f t="shared" si="5"/>
        <v/>
      </c>
      <c r="S259" s="894" t="str">
        <f t="array" ref="S259">if(isblank(F259),"",xlookup(G259,z_Others!$B$5:$B$17,z_Others!$K$5:$K$17,"",0,1))</f>
        <v/>
      </c>
      <c r="T259" s="894" t="str">
        <f t="shared" si="19"/>
        <v/>
      </c>
      <c r="U259" s="898" t="str">
        <f t="array" ref="U259">if(isblank(F259),"",xlookup(G259,z_Others!$B$5:$B$17,z_Others!$G$5:$G$17,"",0,1))</f>
        <v/>
      </c>
      <c r="V259" s="231" t="str">
        <f t="array" ref="V259">if(isblank(F259),"",xlookup(F259,'FL5_POR_包裝對照表 (Mapping Table)'!E:E,'FL5_POR_包裝對照表 (Mapping Table)'!AB:AB,"",0,1))</f>
        <v/>
      </c>
      <c r="W259" s="899" t="str">
        <f t="array" ref="W259">if(isblank(F259),"",xlookup(G259,z_Others!$B$5:$B$17,z_Others!$I$5:$I$17,"",0,1))</f>
        <v/>
      </c>
      <c r="X259" s="894" t="str">
        <f t="shared" si="7"/>
        <v/>
      </c>
      <c r="Y259" s="894" t="str">
        <f t="shared" si="8"/>
        <v/>
      </c>
      <c r="Z259" s="900" t="str">
        <f t="shared" si="9"/>
        <v/>
      </c>
      <c r="AA259" s="900" t="str">
        <f t="shared" si="10"/>
        <v/>
      </c>
      <c r="AB259" s="878" t="str">
        <f t="array" ref="AB259">if(isblank(F259),"",xlookup(AJ259,z_Others!$M$5:$M$9,z_Others!$Q$5:$Q$9,"",0,1))</f>
        <v/>
      </c>
      <c r="AC259" s="900" t="str">
        <f t="shared" si="11"/>
        <v/>
      </c>
      <c r="AD259" s="894" t="str">
        <f t="array" ref="AD259">if(isblank(F259),"",xlookup(G259,z_Others!$B$5:$B$14,z_Others!$H$5:$H$14,"",0,1))</f>
        <v/>
      </c>
      <c r="AE259" s="901" t="str">
        <f t="shared" si="12"/>
        <v/>
      </c>
      <c r="AF259" s="791"/>
      <c r="AG259" s="791" t="str">
        <f t="shared" si="21"/>
        <v/>
      </c>
      <c r="AH259" s="787"/>
      <c r="AI259" s="787"/>
      <c r="AJ259" s="677" t="str">
        <f t="array" ref="AJ259">if(isblank(F259),"",xlookup(F259,'FL5_POR_包裝對照表 (Mapping Table)'!E:E,'FL5_POR_包裝對照表 (Mapping Table)'!AS:AS,"",0,1))</f>
        <v/>
      </c>
      <c r="AK259" s="677" t="str">
        <f t="array" ref="AK259">if(isblank(F259),"",xlookup(F259,'FL5_POR_包裝對照表 (Mapping Table)'!E:E,'FL5_POR_包裝對照表 (Mapping Table)'!K:K,"",0,1))</f>
        <v/>
      </c>
      <c r="AL259" s="677"/>
      <c r="AM259" s="813"/>
      <c r="AN259" s="908"/>
      <c r="AO259" s="813"/>
      <c r="AP259" s="813"/>
    </row>
    <row r="260" ht="18.0" customHeight="1">
      <c r="A260" s="910"/>
      <c r="B260" s="908"/>
      <c r="C260" s="891" t="str">
        <f>if(isblank(F260),"",'FL5_POR_包裝對照表 (Mapping Table)'!$E$4)</f>
        <v/>
      </c>
      <c r="D260" s="878" t="str">
        <f t="array" ref="D260">if(isblank(F260),"",xlookup(F260,'FL5_POR_包裝對照表 (Mapping Table)'!E:E,'FL5_POR_包裝對照表 (Mapping Table)'!AZ:AZ,"",0,1))</f>
        <v/>
      </c>
      <c r="E260" s="677" t="str">
        <f t="shared" si="2"/>
        <v/>
      </c>
      <c r="F260" s="879"/>
      <c r="G260" s="892" t="str">
        <f t="array" ref="G260">if(isblank(F260),"",xlookup(F260,'FL5_POR_包裝對照表 (Mapping Table)'!E:E,'FL5_POR_包裝對照表 (Mapping Table)'!D:D,"",0,1))</f>
        <v/>
      </c>
      <c r="H260" s="893" t="str">
        <f t="array" ref="H260">if(isblank(F260),"",xlookup(F260,'FL5_POR_包裝對照表 (Mapping Table)'!E:E,'FL5_POR_包裝對照表 (Mapping Table)'!E:E,"",0,1))</f>
        <v/>
      </c>
      <c r="I260" s="677" t="str">
        <f t="array" ref="I260">if(isblank(F260),"",xlookup(F260,'FL5_POR_包裝對照表 (Mapping Table)'!E:E,'FL5_POR_包裝對照表 (Mapping Table)'!AN:AN,"",0,1))</f>
        <v/>
      </c>
      <c r="J260" s="894" t="str">
        <f t="array" ref="J260">if(isblank(F260),"",xlookup(G260,z_Others!$B$5:$B$17,z_Others!$C$5:$C$17,"",0,1))</f>
        <v/>
      </c>
      <c r="K260" s="894" t="str">
        <f t="array" ref="K260">if(isblank(F260),"",xlookup(G260,z_Others!$B$5:$B$17,z_Others!$E$5:$E$17,"",0,1))</f>
        <v/>
      </c>
      <c r="L260" s="894" t="str">
        <f t="array" ref="L260">if(isblank(F260),"",xlookup(G260,z_Others!$B$5:$B$17,z_Others!$F$5:$F$17,"",0,1))</f>
        <v/>
      </c>
      <c r="M260" s="894" t="str">
        <f t="shared" si="3"/>
        <v/>
      </c>
      <c r="N260" s="894" t="str">
        <f t="shared" si="4"/>
        <v/>
      </c>
      <c r="O260" s="882" t="str">
        <f t="array" ref="O260">if(isblank(F260),"",xlookup(F260,'FL5_POR_包裝對照表 (Mapping Table)'!E:E,'FL5_POR_包裝對照表 (Mapping Table)'!L:L,"",0,1))</f>
        <v/>
      </c>
      <c r="P260" s="909" t="str">
        <f t="array" ref="P260">if(isblank(F260),"",xlookup(G260,z_Others!$B$5:$B$17,z_Others!$J$5:$J$17,"",0,1))</f>
        <v/>
      </c>
      <c r="Q260" s="899" t="str">
        <f t="array" ref="Q260">if(isblank(F260),"",xlookup(F260,'FL5_POR_核價 (經管 &amp; BPM)'!E:E,'FL5_POR_核價 (經管 &amp; BPM)'!O:O,"",0,1))</f>
        <v/>
      </c>
      <c r="R260" s="894" t="str">
        <f t="shared" si="5"/>
        <v/>
      </c>
      <c r="S260" s="894" t="str">
        <f t="array" ref="S260">if(isblank(F260),"",xlookup(G260,z_Others!$B$5:$B$17,z_Others!$K$5:$K$17,"",0,1))</f>
        <v/>
      </c>
      <c r="T260" s="894" t="str">
        <f t="shared" si="19"/>
        <v/>
      </c>
      <c r="U260" s="898" t="str">
        <f t="array" ref="U260">if(isblank(F260),"",xlookup(G260,z_Others!$B$5:$B$17,z_Others!$G$5:$G$17,"",0,1))</f>
        <v/>
      </c>
      <c r="V260" s="231" t="str">
        <f t="array" ref="V260">if(isblank(F260),"",xlookup(F260,'FL5_POR_包裝對照表 (Mapping Table)'!E:E,'FL5_POR_包裝對照表 (Mapping Table)'!AB:AB,"",0,1))</f>
        <v/>
      </c>
      <c r="W260" s="899" t="str">
        <f t="array" ref="W260">if(isblank(F260),"",xlookup(G260,z_Others!$B$5:$B$17,z_Others!$I$5:$I$17,"",0,1))</f>
        <v/>
      </c>
      <c r="X260" s="894" t="str">
        <f t="shared" si="7"/>
        <v/>
      </c>
      <c r="Y260" s="894" t="str">
        <f t="shared" si="8"/>
        <v/>
      </c>
      <c r="Z260" s="900" t="str">
        <f t="shared" si="9"/>
        <v/>
      </c>
      <c r="AA260" s="900" t="str">
        <f t="shared" si="10"/>
        <v/>
      </c>
      <c r="AB260" s="878" t="str">
        <f t="array" ref="AB260">if(isblank(F260),"",xlookup(AJ260,z_Others!$M$5:$M$9,z_Others!$Q$5:$Q$9,"",0,1))</f>
        <v/>
      </c>
      <c r="AC260" s="900" t="str">
        <f t="shared" si="11"/>
        <v/>
      </c>
      <c r="AD260" s="894" t="str">
        <f t="array" ref="AD260">if(isblank(F260),"",xlookup(G260,z_Others!$B$5:$B$14,z_Others!$H$5:$H$14,"",0,1))</f>
        <v/>
      </c>
      <c r="AE260" s="901" t="str">
        <f t="shared" si="12"/>
        <v/>
      </c>
      <c r="AF260" s="791"/>
      <c r="AG260" s="791" t="str">
        <f t="shared" si="21"/>
        <v/>
      </c>
      <c r="AH260" s="787"/>
      <c r="AI260" s="787"/>
      <c r="AJ260" s="677" t="str">
        <f t="array" ref="AJ260">if(isblank(F260),"",xlookup(F260,'FL5_POR_包裝對照表 (Mapping Table)'!E:E,'FL5_POR_包裝對照表 (Mapping Table)'!AS:AS,"",0,1))</f>
        <v/>
      </c>
      <c r="AK260" s="677" t="str">
        <f t="array" ref="AK260">if(isblank(F260),"",xlookup(F260,'FL5_POR_包裝對照表 (Mapping Table)'!E:E,'FL5_POR_包裝對照表 (Mapping Table)'!K:K,"",0,1))</f>
        <v/>
      </c>
      <c r="AL260" s="677"/>
      <c r="AM260" s="813"/>
      <c r="AN260" s="908"/>
      <c r="AO260" s="813"/>
      <c r="AP260" s="813"/>
    </row>
    <row r="261" ht="18.0" customHeight="1">
      <c r="A261" s="910"/>
      <c r="B261" s="908"/>
      <c r="C261" s="891" t="str">
        <f>if(isblank(F261),"",'FL5_POR_包裝對照表 (Mapping Table)'!$E$4)</f>
        <v/>
      </c>
      <c r="D261" s="878" t="str">
        <f t="array" ref="D261">if(isblank(F261),"",xlookup(F261,'FL5_POR_包裝對照表 (Mapping Table)'!E:E,'FL5_POR_包裝對照表 (Mapping Table)'!AZ:AZ,"",0,1))</f>
        <v/>
      </c>
      <c r="E261" s="677" t="str">
        <f t="shared" si="2"/>
        <v/>
      </c>
      <c r="F261" s="879"/>
      <c r="G261" s="892" t="str">
        <f t="array" ref="G261">if(isblank(F261),"",xlookup(F261,'FL5_POR_包裝對照表 (Mapping Table)'!E:E,'FL5_POR_包裝對照表 (Mapping Table)'!D:D,"",0,1))</f>
        <v/>
      </c>
      <c r="H261" s="893" t="str">
        <f t="array" ref="H261">if(isblank(F261),"",xlookup(F261,'FL5_POR_包裝對照表 (Mapping Table)'!E:E,'FL5_POR_包裝對照表 (Mapping Table)'!E:E,"",0,1))</f>
        <v/>
      </c>
      <c r="I261" s="677" t="str">
        <f t="array" ref="I261">if(isblank(F261),"",xlookup(F261,'FL5_POR_包裝對照表 (Mapping Table)'!E:E,'FL5_POR_包裝對照表 (Mapping Table)'!AN:AN,"",0,1))</f>
        <v/>
      </c>
      <c r="J261" s="894" t="str">
        <f t="array" ref="J261">if(isblank(F261),"",xlookup(G261,z_Others!$B$5:$B$17,z_Others!$C$5:$C$17,"",0,1))</f>
        <v/>
      </c>
      <c r="K261" s="894" t="str">
        <f t="array" ref="K261">if(isblank(F261),"",xlookup(G261,z_Others!$B$5:$B$17,z_Others!$E$5:$E$17,"",0,1))</f>
        <v/>
      </c>
      <c r="L261" s="894" t="str">
        <f t="array" ref="L261">if(isblank(F261),"",xlookup(G261,z_Others!$B$5:$B$17,z_Others!$F$5:$F$17,"",0,1))</f>
        <v/>
      </c>
      <c r="M261" s="894" t="str">
        <f t="shared" si="3"/>
        <v/>
      </c>
      <c r="N261" s="894" t="str">
        <f t="shared" si="4"/>
        <v/>
      </c>
      <c r="O261" s="882" t="str">
        <f t="array" ref="O261">if(isblank(F261),"",xlookup(F261,'FL5_POR_包裝對照表 (Mapping Table)'!E:E,'FL5_POR_包裝對照表 (Mapping Table)'!L:L,"",0,1))</f>
        <v/>
      </c>
      <c r="P261" s="909" t="str">
        <f t="array" ref="P261">if(isblank(F261),"",xlookup(G261,z_Others!$B$5:$B$17,z_Others!$J$5:$J$17,"",0,1))</f>
        <v/>
      </c>
      <c r="Q261" s="899" t="str">
        <f t="array" ref="Q261">if(isblank(F261),"",xlookup(F261,'FL5_POR_核價 (經管 &amp; BPM)'!E:E,'FL5_POR_核價 (經管 &amp; BPM)'!O:O,"",0,1))</f>
        <v/>
      </c>
      <c r="R261" s="894" t="str">
        <f t="shared" si="5"/>
        <v/>
      </c>
      <c r="S261" s="894" t="str">
        <f t="array" ref="S261">if(isblank(F261),"",xlookup(G261,z_Others!$B$5:$B$17,z_Others!$K$5:$K$17,"",0,1))</f>
        <v/>
      </c>
      <c r="T261" s="894" t="str">
        <f t="shared" si="19"/>
        <v/>
      </c>
      <c r="U261" s="898" t="str">
        <f t="array" ref="U261">if(isblank(F261),"",xlookup(G261,z_Others!$B$5:$B$17,z_Others!$G$5:$G$17,"",0,1))</f>
        <v/>
      </c>
      <c r="V261" s="231" t="str">
        <f t="array" ref="V261">if(isblank(F261),"",xlookup(F261,'FL5_POR_包裝對照表 (Mapping Table)'!E:E,'FL5_POR_包裝對照表 (Mapping Table)'!AB:AB,"",0,1))</f>
        <v/>
      </c>
      <c r="W261" s="899" t="str">
        <f t="array" ref="W261">if(isblank(F261),"",xlookup(G261,z_Others!$B$5:$B$17,z_Others!$I$5:$I$17,"",0,1))</f>
        <v/>
      </c>
      <c r="X261" s="894" t="str">
        <f t="shared" si="7"/>
        <v/>
      </c>
      <c r="Y261" s="894" t="str">
        <f t="shared" si="8"/>
        <v/>
      </c>
      <c r="Z261" s="900" t="str">
        <f t="shared" si="9"/>
        <v/>
      </c>
      <c r="AA261" s="900" t="str">
        <f t="shared" si="10"/>
        <v/>
      </c>
      <c r="AB261" s="878" t="str">
        <f t="array" ref="AB261">if(isblank(F261),"",xlookup(AJ261,z_Others!$M$5:$M$9,z_Others!$Q$5:$Q$9,"",0,1))</f>
        <v/>
      </c>
      <c r="AC261" s="900" t="str">
        <f t="shared" si="11"/>
        <v/>
      </c>
      <c r="AD261" s="894" t="str">
        <f t="array" ref="AD261">if(isblank(F261),"",xlookup(G261,z_Others!$B$5:$B$14,z_Others!$H$5:$H$14,"",0,1))</f>
        <v/>
      </c>
      <c r="AE261" s="901" t="str">
        <f t="shared" si="12"/>
        <v/>
      </c>
      <c r="AF261" s="791"/>
      <c r="AG261" s="791" t="str">
        <f t="shared" si="21"/>
        <v/>
      </c>
      <c r="AH261" s="787"/>
      <c r="AI261" s="787"/>
      <c r="AJ261" s="677" t="str">
        <f t="array" ref="AJ261">if(isblank(F261),"",xlookup(F261,'FL5_POR_包裝對照表 (Mapping Table)'!E:E,'FL5_POR_包裝對照表 (Mapping Table)'!AS:AS,"",0,1))</f>
        <v/>
      </c>
      <c r="AK261" s="677" t="str">
        <f t="array" ref="AK261">if(isblank(F261),"",xlookup(F261,'FL5_POR_包裝對照表 (Mapping Table)'!E:E,'FL5_POR_包裝對照表 (Mapping Table)'!K:K,"",0,1))</f>
        <v/>
      </c>
      <c r="AL261" s="677"/>
      <c r="AM261" s="813"/>
      <c r="AN261" s="908"/>
      <c r="AO261" s="813"/>
      <c r="AP261" s="813"/>
    </row>
    <row r="262" ht="18.0" customHeight="1">
      <c r="A262" s="910"/>
      <c r="B262" s="908"/>
      <c r="C262" s="891" t="str">
        <f>if(isblank(F262),"",'FL5_POR_包裝對照表 (Mapping Table)'!$E$4)</f>
        <v/>
      </c>
      <c r="D262" s="878" t="str">
        <f t="array" ref="D262">if(isblank(F262),"",xlookup(F262,'FL5_POR_包裝對照表 (Mapping Table)'!E:E,'FL5_POR_包裝對照表 (Mapping Table)'!AZ:AZ,"",0,1))</f>
        <v/>
      </c>
      <c r="E262" s="677" t="str">
        <f t="shared" si="2"/>
        <v/>
      </c>
      <c r="F262" s="879"/>
      <c r="G262" s="892" t="str">
        <f t="array" ref="G262">if(isblank(F262),"",xlookup(F262,'FL5_POR_包裝對照表 (Mapping Table)'!E:E,'FL5_POR_包裝對照表 (Mapping Table)'!D:D,"",0,1))</f>
        <v/>
      </c>
      <c r="H262" s="893" t="str">
        <f t="array" ref="H262">if(isblank(F262),"",xlookup(F262,'FL5_POR_包裝對照表 (Mapping Table)'!E:E,'FL5_POR_包裝對照表 (Mapping Table)'!E:E,"",0,1))</f>
        <v/>
      </c>
      <c r="I262" s="677" t="str">
        <f t="array" ref="I262">if(isblank(F262),"",xlookup(F262,'FL5_POR_包裝對照表 (Mapping Table)'!E:E,'FL5_POR_包裝對照表 (Mapping Table)'!AN:AN,"",0,1))</f>
        <v/>
      </c>
      <c r="J262" s="894" t="str">
        <f t="array" ref="J262">if(isblank(F262),"",xlookup(G262,z_Others!$B$5:$B$17,z_Others!$C$5:$C$17,"",0,1))</f>
        <v/>
      </c>
      <c r="K262" s="894" t="str">
        <f t="array" ref="K262">if(isblank(F262),"",xlookup(G262,z_Others!$B$5:$B$17,z_Others!$E$5:$E$17,"",0,1))</f>
        <v/>
      </c>
      <c r="L262" s="894" t="str">
        <f t="array" ref="L262">if(isblank(F262),"",xlookup(G262,z_Others!$B$5:$B$17,z_Others!$F$5:$F$17,"",0,1))</f>
        <v/>
      </c>
      <c r="M262" s="894" t="str">
        <f t="shared" si="3"/>
        <v/>
      </c>
      <c r="N262" s="894" t="str">
        <f t="shared" si="4"/>
        <v/>
      </c>
      <c r="O262" s="882" t="str">
        <f t="array" ref="O262">if(isblank(F262),"",xlookup(F262,'FL5_POR_包裝對照表 (Mapping Table)'!E:E,'FL5_POR_包裝對照表 (Mapping Table)'!L:L,"",0,1))</f>
        <v/>
      </c>
      <c r="P262" s="909" t="str">
        <f t="array" ref="P262">if(isblank(F262),"",xlookup(G262,z_Others!$B$5:$B$17,z_Others!$J$5:$J$17,"",0,1))</f>
        <v/>
      </c>
      <c r="Q262" s="899" t="str">
        <f t="array" ref="Q262">if(isblank(F262),"",xlookup(F262,'FL5_POR_核價 (經管 &amp; BPM)'!E:E,'FL5_POR_核價 (經管 &amp; BPM)'!O:O,"",0,1))</f>
        <v/>
      </c>
      <c r="R262" s="894" t="str">
        <f t="shared" si="5"/>
        <v/>
      </c>
      <c r="S262" s="894" t="str">
        <f t="array" ref="S262">if(isblank(F262),"",xlookup(G262,z_Others!$B$5:$B$17,z_Others!$K$5:$K$17,"",0,1))</f>
        <v/>
      </c>
      <c r="T262" s="894" t="str">
        <f t="shared" si="19"/>
        <v/>
      </c>
      <c r="U262" s="898" t="str">
        <f t="array" ref="U262">if(isblank(F262),"",xlookup(G262,z_Others!$B$5:$B$17,z_Others!$G$5:$G$17,"",0,1))</f>
        <v/>
      </c>
      <c r="V262" s="231" t="str">
        <f t="array" ref="V262">if(isblank(F262),"",xlookup(F262,'FL5_POR_包裝對照表 (Mapping Table)'!E:E,'FL5_POR_包裝對照表 (Mapping Table)'!AB:AB,"",0,1))</f>
        <v/>
      </c>
      <c r="W262" s="899" t="str">
        <f t="array" ref="W262">if(isblank(F262),"",xlookup(G262,z_Others!$B$5:$B$17,z_Others!$I$5:$I$17,"",0,1))</f>
        <v/>
      </c>
      <c r="X262" s="894" t="str">
        <f t="shared" si="7"/>
        <v/>
      </c>
      <c r="Y262" s="894" t="str">
        <f t="shared" si="8"/>
        <v/>
      </c>
      <c r="Z262" s="900" t="str">
        <f t="shared" si="9"/>
        <v/>
      </c>
      <c r="AA262" s="900" t="str">
        <f t="shared" si="10"/>
        <v/>
      </c>
      <c r="AB262" s="878" t="str">
        <f t="array" ref="AB262">if(isblank(F262),"",xlookup(AJ262,z_Others!$M$5:$M$9,z_Others!$Q$5:$Q$9,"",0,1))</f>
        <v/>
      </c>
      <c r="AC262" s="900" t="str">
        <f t="shared" si="11"/>
        <v/>
      </c>
      <c r="AD262" s="894" t="str">
        <f t="array" ref="AD262">if(isblank(F262),"",xlookup(G262,z_Others!$B$5:$B$14,z_Others!$H$5:$H$14,"",0,1))</f>
        <v/>
      </c>
      <c r="AE262" s="901" t="str">
        <f t="shared" si="12"/>
        <v/>
      </c>
      <c r="AF262" s="791"/>
      <c r="AG262" s="791" t="str">
        <f t="shared" si="21"/>
        <v/>
      </c>
      <c r="AH262" s="787"/>
      <c r="AI262" s="787"/>
      <c r="AJ262" s="677" t="str">
        <f t="array" ref="AJ262">if(isblank(F262),"",xlookup(F262,'FL5_POR_包裝對照表 (Mapping Table)'!E:E,'FL5_POR_包裝對照表 (Mapping Table)'!AS:AS,"",0,1))</f>
        <v/>
      </c>
      <c r="AK262" s="677" t="str">
        <f t="array" ref="AK262">if(isblank(F262),"",xlookup(F262,'FL5_POR_包裝對照表 (Mapping Table)'!E:E,'FL5_POR_包裝對照表 (Mapping Table)'!K:K,"",0,1))</f>
        <v/>
      </c>
      <c r="AL262" s="677"/>
      <c r="AM262" s="813"/>
      <c r="AN262" s="908"/>
      <c r="AO262" s="813"/>
      <c r="AP262" s="813"/>
    </row>
    <row r="263" ht="18.0" customHeight="1">
      <c r="A263" s="910"/>
      <c r="B263" s="908"/>
      <c r="C263" s="891" t="str">
        <f>if(isblank(F263),"",'FL5_POR_包裝對照表 (Mapping Table)'!$E$4)</f>
        <v/>
      </c>
      <c r="D263" s="878" t="str">
        <f t="array" ref="D263">if(isblank(F263),"",xlookup(F263,'FL5_POR_包裝對照表 (Mapping Table)'!E:E,'FL5_POR_包裝對照表 (Mapping Table)'!AZ:AZ,"",0,1))</f>
        <v/>
      </c>
      <c r="E263" s="677" t="str">
        <f t="shared" si="2"/>
        <v/>
      </c>
      <c r="F263" s="879"/>
      <c r="G263" s="892" t="str">
        <f t="array" ref="G263">if(isblank(F263),"",xlookup(F263,'FL5_POR_包裝對照表 (Mapping Table)'!E:E,'FL5_POR_包裝對照表 (Mapping Table)'!D:D,"",0,1))</f>
        <v/>
      </c>
      <c r="H263" s="893" t="str">
        <f t="array" ref="H263">if(isblank(F263),"",xlookup(F263,'FL5_POR_包裝對照表 (Mapping Table)'!E:E,'FL5_POR_包裝對照表 (Mapping Table)'!E:E,"",0,1))</f>
        <v/>
      </c>
      <c r="I263" s="677" t="str">
        <f t="array" ref="I263">if(isblank(F263),"",xlookup(F263,'FL5_POR_包裝對照表 (Mapping Table)'!E:E,'FL5_POR_包裝對照表 (Mapping Table)'!AN:AN,"",0,1))</f>
        <v/>
      </c>
      <c r="J263" s="894" t="str">
        <f t="array" ref="J263">if(isblank(F263),"",xlookup(G263,z_Others!$B$5:$B$17,z_Others!$C$5:$C$17,"",0,1))</f>
        <v/>
      </c>
      <c r="K263" s="894" t="str">
        <f t="array" ref="K263">if(isblank(F263),"",xlookup(G263,z_Others!$B$5:$B$17,z_Others!$E$5:$E$17,"",0,1))</f>
        <v/>
      </c>
      <c r="L263" s="894" t="str">
        <f t="array" ref="L263">if(isblank(F263),"",xlookup(G263,z_Others!$B$5:$B$17,z_Others!$F$5:$F$17,"",0,1))</f>
        <v/>
      </c>
      <c r="M263" s="894" t="str">
        <f t="shared" si="3"/>
        <v/>
      </c>
      <c r="N263" s="894" t="str">
        <f t="shared" si="4"/>
        <v/>
      </c>
      <c r="O263" s="882" t="str">
        <f t="array" ref="O263">if(isblank(F263),"",xlookup(F263,'FL5_POR_包裝對照表 (Mapping Table)'!E:E,'FL5_POR_包裝對照表 (Mapping Table)'!L:L,"",0,1))</f>
        <v/>
      </c>
      <c r="P263" s="909" t="str">
        <f t="array" ref="P263">if(isblank(F263),"",xlookup(G263,z_Others!$B$5:$B$17,z_Others!$J$5:$J$17,"",0,1))</f>
        <v/>
      </c>
      <c r="Q263" s="899" t="str">
        <f t="array" ref="Q263">if(isblank(F263),"",xlookup(F263,'FL5_POR_核價 (經管 &amp; BPM)'!E:E,'FL5_POR_核價 (經管 &amp; BPM)'!O:O,"",0,1))</f>
        <v/>
      </c>
      <c r="R263" s="894" t="str">
        <f t="shared" si="5"/>
        <v/>
      </c>
      <c r="S263" s="894" t="str">
        <f t="array" ref="S263">if(isblank(F263),"",xlookup(G263,z_Others!$B$5:$B$17,z_Others!$K$5:$K$17,"",0,1))</f>
        <v/>
      </c>
      <c r="T263" s="894" t="str">
        <f t="shared" si="19"/>
        <v/>
      </c>
      <c r="U263" s="898" t="str">
        <f t="array" ref="U263">if(isblank(F263),"",xlookup(G263,z_Others!$B$5:$B$17,z_Others!$G$5:$G$17,"",0,1))</f>
        <v/>
      </c>
      <c r="V263" s="231" t="str">
        <f t="array" ref="V263">if(isblank(F263),"",xlookup(F263,'FL5_POR_包裝對照表 (Mapping Table)'!E:E,'FL5_POR_包裝對照表 (Mapping Table)'!AB:AB,"",0,1))</f>
        <v/>
      </c>
      <c r="W263" s="899" t="str">
        <f t="array" ref="W263">if(isblank(F263),"",xlookup(G263,z_Others!$B$5:$B$17,z_Others!$I$5:$I$17,"",0,1))</f>
        <v/>
      </c>
      <c r="X263" s="894" t="str">
        <f t="shared" si="7"/>
        <v/>
      </c>
      <c r="Y263" s="894" t="str">
        <f t="shared" si="8"/>
        <v/>
      </c>
      <c r="Z263" s="900" t="str">
        <f t="shared" si="9"/>
        <v/>
      </c>
      <c r="AA263" s="900" t="str">
        <f t="shared" si="10"/>
        <v/>
      </c>
      <c r="AB263" s="878" t="str">
        <f t="array" ref="AB263">if(isblank(F263),"",xlookup(AJ263,z_Others!$M$5:$M$9,z_Others!$Q$5:$Q$9,"",0,1))</f>
        <v/>
      </c>
      <c r="AC263" s="900" t="str">
        <f t="shared" si="11"/>
        <v/>
      </c>
      <c r="AD263" s="894" t="str">
        <f t="array" ref="AD263">if(isblank(F263),"",xlookup(G263,z_Others!$B$5:$B$14,z_Others!$H$5:$H$14,"",0,1))</f>
        <v/>
      </c>
      <c r="AE263" s="901" t="str">
        <f t="shared" si="12"/>
        <v/>
      </c>
      <c r="AF263" s="791"/>
      <c r="AG263" s="791" t="str">
        <f t="shared" si="21"/>
        <v/>
      </c>
      <c r="AH263" s="787"/>
      <c r="AI263" s="787"/>
      <c r="AJ263" s="677" t="str">
        <f t="array" ref="AJ263">if(isblank(F263),"",xlookup(F263,'FL5_POR_包裝對照表 (Mapping Table)'!E:E,'FL5_POR_包裝對照表 (Mapping Table)'!AS:AS,"",0,1))</f>
        <v/>
      </c>
      <c r="AK263" s="677" t="str">
        <f t="array" ref="AK263">if(isblank(F263),"",xlookup(F263,'FL5_POR_包裝對照表 (Mapping Table)'!E:E,'FL5_POR_包裝對照表 (Mapping Table)'!K:K,"",0,1))</f>
        <v/>
      </c>
      <c r="AL263" s="677"/>
      <c r="AM263" s="813"/>
      <c r="AN263" s="908"/>
      <c r="AO263" s="813"/>
      <c r="AP263" s="813"/>
    </row>
    <row r="264" ht="18.0" customHeight="1">
      <c r="A264" s="910"/>
      <c r="B264" s="908"/>
      <c r="C264" s="891" t="str">
        <f>if(isblank(F264),"",'FL5_POR_包裝對照表 (Mapping Table)'!$E$4)</f>
        <v/>
      </c>
      <c r="D264" s="878" t="str">
        <f t="array" ref="D264">if(isblank(F264),"",xlookup(F264,'FL5_POR_包裝對照表 (Mapping Table)'!E:E,'FL5_POR_包裝對照表 (Mapping Table)'!AZ:AZ,"",0,1))</f>
        <v/>
      </c>
      <c r="E264" s="677" t="str">
        <f t="shared" si="2"/>
        <v/>
      </c>
      <c r="F264" s="879"/>
      <c r="G264" s="892" t="str">
        <f t="array" ref="G264">if(isblank(F264),"",xlookup(F264,'FL5_POR_包裝對照表 (Mapping Table)'!E:E,'FL5_POR_包裝對照表 (Mapping Table)'!D:D,"",0,1))</f>
        <v/>
      </c>
      <c r="H264" s="893" t="str">
        <f t="array" ref="H264">if(isblank(F264),"",xlookup(F264,'FL5_POR_包裝對照表 (Mapping Table)'!E:E,'FL5_POR_包裝對照表 (Mapping Table)'!E:E,"",0,1))</f>
        <v/>
      </c>
      <c r="I264" s="677" t="str">
        <f t="array" ref="I264">if(isblank(F264),"",xlookup(F264,'FL5_POR_包裝對照表 (Mapping Table)'!E:E,'FL5_POR_包裝對照表 (Mapping Table)'!AN:AN,"",0,1))</f>
        <v/>
      </c>
      <c r="J264" s="894" t="str">
        <f t="array" ref="J264">if(isblank(F264),"",xlookup(G264,z_Others!$B$5:$B$17,z_Others!$C$5:$C$17,"",0,1))</f>
        <v/>
      </c>
      <c r="K264" s="894" t="str">
        <f t="array" ref="K264">if(isblank(F264),"",xlookup(G264,z_Others!$B$5:$B$17,z_Others!$E$5:$E$17,"",0,1))</f>
        <v/>
      </c>
      <c r="L264" s="894" t="str">
        <f t="array" ref="L264">if(isblank(F264),"",xlookup(G264,z_Others!$B$5:$B$17,z_Others!$F$5:$F$17,"",0,1))</f>
        <v/>
      </c>
      <c r="M264" s="894" t="str">
        <f t="shared" si="3"/>
        <v/>
      </c>
      <c r="N264" s="894" t="str">
        <f t="shared" si="4"/>
        <v/>
      </c>
      <c r="O264" s="882" t="str">
        <f t="array" ref="O264">if(isblank(F264),"",xlookup(F264,'FL5_POR_包裝對照表 (Mapping Table)'!E:E,'FL5_POR_包裝對照表 (Mapping Table)'!L:L,"",0,1))</f>
        <v/>
      </c>
      <c r="P264" s="909" t="str">
        <f t="array" ref="P264">if(isblank(F264),"",xlookup(G264,z_Others!$B$5:$B$17,z_Others!$J$5:$J$17,"",0,1))</f>
        <v/>
      </c>
      <c r="Q264" s="899" t="str">
        <f t="array" ref="Q264">if(isblank(F264),"",xlookup(F264,'FL5_POR_核價 (經管 &amp; BPM)'!E:E,'FL5_POR_核價 (經管 &amp; BPM)'!O:O,"",0,1))</f>
        <v/>
      </c>
      <c r="R264" s="894" t="str">
        <f t="shared" si="5"/>
        <v/>
      </c>
      <c r="S264" s="894" t="str">
        <f t="array" ref="S264">if(isblank(F264),"",xlookup(G264,z_Others!$B$5:$B$17,z_Others!$K$5:$K$17,"",0,1))</f>
        <v/>
      </c>
      <c r="T264" s="894" t="str">
        <f t="shared" si="19"/>
        <v/>
      </c>
      <c r="U264" s="898" t="str">
        <f t="array" ref="U264">if(isblank(F264),"",xlookup(G264,z_Others!$B$5:$B$17,z_Others!$G$5:$G$17,"",0,1))</f>
        <v/>
      </c>
      <c r="V264" s="231" t="str">
        <f t="array" ref="V264">if(isblank(F264),"",xlookup(F264,'FL5_POR_包裝對照表 (Mapping Table)'!E:E,'FL5_POR_包裝對照表 (Mapping Table)'!AB:AB,"",0,1))</f>
        <v/>
      </c>
      <c r="W264" s="899" t="str">
        <f t="array" ref="W264">if(isblank(F264),"",xlookup(G264,z_Others!$B$5:$B$17,z_Others!$I$5:$I$17,"",0,1))</f>
        <v/>
      </c>
      <c r="X264" s="894" t="str">
        <f t="shared" si="7"/>
        <v/>
      </c>
      <c r="Y264" s="894" t="str">
        <f t="shared" si="8"/>
        <v/>
      </c>
      <c r="Z264" s="900" t="str">
        <f t="shared" si="9"/>
        <v/>
      </c>
      <c r="AA264" s="900" t="str">
        <f t="shared" si="10"/>
        <v/>
      </c>
      <c r="AB264" s="878" t="str">
        <f t="array" ref="AB264">if(isblank(F264),"",xlookup(AJ264,z_Others!$M$5:$M$9,z_Others!$Q$5:$Q$9,"",0,1))</f>
        <v/>
      </c>
      <c r="AC264" s="900" t="str">
        <f t="shared" si="11"/>
        <v/>
      </c>
      <c r="AD264" s="894" t="str">
        <f t="array" ref="AD264">if(isblank(F264),"",xlookup(G264,z_Others!$B$5:$B$14,z_Others!$H$5:$H$14,"",0,1))</f>
        <v/>
      </c>
      <c r="AE264" s="901" t="str">
        <f t="shared" si="12"/>
        <v/>
      </c>
      <c r="AF264" s="791"/>
      <c r="AG264" s="791" t="str">
        <f t="shared" si="21"/>
        <v/>
      </c>
      <c r="AH264" s="787"/>
      <c r="AI264" s="787"/>
      <c r="AJ264" s="677" t="str">
        <f t="array" ref="AJ264">if(isblank(F264),"",xlookup(F264,'FL5_POR_包裝對照表 (Mapping Table)'!E:E,'FL5_POR_包裝對照表 (Mapping Table)'!AS:AS,"",0,1))</f>
        <v/>
      </c>
      <c r="AK264" s="677" t="str">
        <f t="array" ref="AK264">if(isblank(F264),"",xlookup(F264,'FL5_POR_包裝對照表 (Mapping Table)'!E:E,'FL5_POR_包裝對照表 (Mapping Table)'!K:K,"",0,1))</f>
        <v/>
      </c>
      <c r="AL264" s="677"/>
      <c r="AM264" s="813"/>
      <c r="AN264" s="908"/>
      <c r="AO264" s="813"/>
      <c r="AP264" s="813"/>
    </row>
    <row r="265" ht="18.0" customHeight="1">
      <c r="A265" s="910"/>
      <c r="B265" s="908"/>
      <c r="C265" s="891" t="str">
        <f>if(isblank(F265),"",'FL5_POR_包裝對照表 (Mapping Table)'!$E$4)</f>
        <v/>
      </c>
      <c r="D265" s="878" t="str">
        <f t="array" ref="D265">if(isblank(F265),"",xlookup(F265,'FL5_POR_包裝對照表 (Mapping Table)'!E:E,'FL5_POR_包裝對照表 (Mapping Table)'!AZ:AZ,"",0,1))</f>
        <v/>
      </c>
      <c r="E265" s="677" t="str">
        <f t="shared" si="2"/>
        <v/>
      </c>
      <c r="F265" s="879"/>
      <c r="G265" s="892" t="str">
        <f t="array" ref="G265">if(isblank(F265),"",xlookup(F265,'FL5_POR_包裝對照表 (Mapping Table)'!E:E,'FL5_POR_包裝對照表 (Mapping Table)'!D:D,"",0,1))</f>
        <v/>
      </c>
      <c r="H265" s="893" t="str">
        <f t="array" ref="H265">if(isblank(F265),"",xlookup(F265,'FL5_POR_包裝對照表 (Mapping Table)'!E:E,'FL5_POR_包裝對照表 (Mapping Table)'!E:E,"",0,1))</f>
        <v/>
      </c>
      <c r="I265" s="677" t="str">
        <f t="array" ref="I265">if(isblank(F265),"",xlookup(F265,'FL5_POR_包裝對照表 (Mapping Table)'!E:E,'FL5_POR_包裝對照表 (Mapping Table)'!AN:AN,"",0,1))</f>
        <v/>
      </c>
      <c r="J265" s="894" t="str">
        <f t="array" ref="J265">if(isblank(F265),"",xlookup(G265,z_Others!$B$5:$B$17,z_Others!$C$5:$C$17,"",0,1))</f>
        <v/>
      </c>
      <c r="K265" s="894" t="str">
        <f t="array" ref="K265">if(isblank(F265),"",xlookup(G265,z_Others!$B$5:$B$17,z_Others!$E$5:$E$17,"",0,1))</f>
        <v/>
      </c>
      <c r="L265" s="894" t="str">
        <f t="array" ref="L265">if(isblank(F265),"",xlookup(G265,z_Others!$B$5:$B$17,z_Others!$F$5:$F$17,"",0,1))</f>
        <v/>
      </c>
      <c r="M265" s="894" t="str">
        <f t="shared" si="3"/>
        <v/>
      </c>
      <c r="N265" s="894" t="str">
        <f t="shared" si="4"/>
        <v/>
      </c>
      <c r="O265" s="882" t="str">
        <f t="array" ref="O265">if(isblank(F265),"",xlookup(F265,'FL5_POR_包裝對照表 (Mapping Table)'!E:E,'FL5_POR_包裝對照表 (Mapping Table)'!L:L,"",0,1))</f>
        <v/>
      </c>
      <c r="P265" s="909" t="str">
        <f t="array" ref="P265">if(isblank(F265),"",xlookup(G265,z_Others!$B$5:$B$17,z_Others!$J$5:$J$17,"",0,1))</f>
        <v/>
      </c>
      <c r="Q265" s="899" t="str">
        <f t="array" ref="Q265">if(isblank(F265),"",xlookup(F265,'FL5_POR_核價 (經管 &amp; BPM)'!E:E,'FL5_POR_核價 (經管 &amp; BPM)'!O:O,"",0,1))</f>
        <v/>
      </c>
      <c r="R265" s="894" t="str">
        <f t="shared" si="5"/>
        <v/>
      </c>
      <c r="S265" s="894" t="str">
        <f t="array" ref="S265">if(isblank(F265),"",xlookup(G265,z_Others!$B$5:$B$17,z_Others!$K$5:$K$17,"",0,1))</f>
        <v/>
      </c>
      <c r="T265" s="894" t="str">
        <f t="shared" si="19"/>
        <v/>
      </c>
      <c r="U265" s="898" t="str">
        <f t="array" ref="U265">if(isblank(F265),"",xlookup(G265,z_Others!$B$5:$B$17,z_Others!$G$5:$G$17,"",0,1))</f>
        <v/>
      </c>
      <c r="V265" s="231" t="str">
        <f t="array" ref="V265">if(isblank(F265),"",xlookup(F265,'FL5_POR_包裝對照表 (Mapping Table)'!E:E,'FL5_POR_包裝對照表 (Mapping Table)'!AB:AB,"",0,1))</f>
        <v/>
      </c>
      <c r="W265" s="899" t="str">
        <f t="array" ref="W265">if(isblank(F265),"",xlookup(G265,z_Others!$B$5:$B$17,z_Others!$I$5:$I$17,"",0,1))</f>
        <v/>
      </c>
      <c r="X265" s="894" t="str">
        <f t="shared" si="7"/>
        <v/>
      </c>
      <c r="Y265" s="894" t="str">
        <f t="shared" si="8"/>
        <v/>
      </c>
      <c r="Z265" s="900" t="str">
        <f t="shared" si="9"/>
        <v/>
      </c>
      <c r="AA265" s="900" t="str">
        <f t="shared" si="10"/>
        <v/>
      </c>
      <c r="AB265" s="878" t="str">
        <f t="array" ref="AB265">if(isblank(F265),"",xlookup(AJ265,z_Others!$M$5:$M$9,z_Others!$Q$5:$Q$9,"",0,1))</f>
        <v/>
      </c>
      <c r="AC265" s="900" t="str">
        <f t="shared" si="11"/>
        <v/>
      </c>
      <c r="AD265" s="894" t="str">
        <f t="array" ref="AD265">if(isblank(F265),"",xlookup(G265,z_Others!$B$5:$B$14,z_Others!$H$5:$H$14,"",0,1))</f>
        <v/>
      </c>
      <c r="AE265" s="901" t="str">
        <f t="shared" si="12"/>
        <v/>
      </c>
      <c r="AF265" s="791"/>
      <c r="AG265" s="791" t="str">
        <f t="shared" si="21"/>
        <v/>
      </c>
      <c r="AH265" s="787"/>
      <c r="AI265" s="787"/>
      <c r="AJ265" s="677" t="str">
        <f t="array" ref="AJ265">if(isblank(F265),"",xlookup(F265,'FL5_POR_包裝對照表 (Mapping Table)'!E:E,'FL5_POR_包裝對照表 (Mapping Table)'!AS:AS,"",0,1))</f>
        <v/>
      </c>
      <c r="AK265" s="677" t="str">
        <f t="array" ref="AK265">if(isblank(F265),"",xlookup(F265,'FL5_POR_包裝對照表 (Mapping Table)'!E:E,'FL5_POR_包裝對照表 (Mapping Table)'!K:K,"",0,1))</f>
        <v/>
      </c>
      <c r="AL265" s="677"/>
      <c r="AM265" s="813"/>
      <c r="AN265" s="908"/>
      <c r="AO265" s="813"/>
      <c r="AP265" s="813"/>
    </row>
    <row r="266" ht="18.0" customHeight="1">
      <c r="A266" s="910"/>
      <c r="B266" s="908"/>
      <c r="C266" s="891" t="str">
        <f>if(isblank(F266),"",'FL5_POR_包裝對照表 (Mapping Table)'!$E$4)</f>
        <v/>
      </c>
      <c r="D266" s="878" t="str">
        <f t="array" ref="D266">if(isblank(F266),"",xlookup(F266,'FL5_POR_包裝對照表 (Mapping Table)'!E:E,'FL5_POR_包裝對照表 (Mapping Table)'!AZ:AZ,"",0,1))</f>
        <v/>
      </c>
      <c r="E266" s="677" t="str">
        <f t="shared" si="2"/>
        <v/>
      </c>
      <c r="F266" s="879"/>
      <c r="G266" s="892" t="str">
        <f t="array" ref="G266">if(isblank(F266),"",xlookup(F266,'FL5_POR_包裝對照表 (Mapping Table)'!E:E,'FL5_POR_包裝對照表 (Mapping Table)'!D:D,"",0,1))</f>
        <v/>
      </c>
      <c r="H266" s="893" t="str">
        <f t="array" ref="H266">if(isblank(F266),"",xlookup(F266,'FL5_POR_包裝對照表 (Mapping Table)'!E:E,'FL5_POR_包裝對照表 (Mapping Table)'!E:E,"",0,1))</f>
        <v/>
      </c>
      <c r="I266" s="677" t="str">
        <f t="array" ref="I266">if(isblank(F266),"",xlookup(F266,'FL5_POR_包裝對照表 (Mapping Table)'!E:E,'FL5_POR_包裝對照表 (Mapping Table)'!AN:AN,"",0,1))</f>
        <v/>
      </c>
      <c r="J266" s="894" t="str">
        <f t="array" ref="J266">if(isblank(F266),"",xlookup(G266,z_Others!$B$5:$B$17,z_Others!$C$5:$C$17,"",0,1))</f>
        <v/>
      </c>
      <c r="K266" s="894" t="str">
        <f t="array" ref="K266">if(isblank(F266),"",xlookup(G266,z_Others!$B$5:$B$17,z_Others!$E$5:$E$17,"",0,1))</f>
        <v/>
      </c>
      <c r="L266" s="894" t="str">
        <f t="array" ref="L266">if(isblank(F266),"",xlookup(G266,z_Others!$B$5:$B$17,z_Others!$F$5:$F$17,"",0,1))</f>
        <v/>
      </c>
      <c r="M266" s="894" t="str">
        <f t="shared" si="3"/>
        <v/>
      </c>
      <c r="N266" s="894" t="str">
        <f t="shared" si="4"/>
        <v/>
      </c>
      <c r="O266" s="882" t="str">
        <f t="array" ref="O266">if(isblank(F266),"",xlookup(F266,'FL5_POR_包裝對照表 (Mapping Table)'!E:E,'FL5_POR_包裝對照表 (Mapping Table)'!L:L,"",0,1))</f>
        <v/>
      </c>
      <c r="P266" s="909" t="str">
        <f t="array" ref="P266">if(isblank(F266),"",xlookup(G266,z_Others!$B$5:$B$17,z_Others!$J$5:$J$17,"",0,1))</f>
        <v/>
      </c>
      <c r="Q266" s="899" t="str">
        <f t="array" ref="Q266">if(isblank(F266),"",xlookup(F266,'FL5_POR_核價 (經管 &amp; BPM)'!E:E,'FL5_POR_核價 (經管 &amp; BPM)'!O:O,"",0,1))</f>
        <v/>
      </c>
      <c r="R266" s="894" t="str">
        <f t="shared" si="5"/>
        <v/>
      </c>
      <c r="S266" s="894" t="str">
        <f t="array" ref="S266">if(isblank(F266),"",xlookup(G266,z_Others!$B$5:$B$17,z_Others!$K$5:$K$17,"",0,1))</f>
        <v/>
      </c>
      <c r="T266" s="894" t="str">
        <f t="shared" si="19"/>
        <v/>
      </c>
      <c r="U266" s="898" t="str">
        <f t="array" ref="U266">if(isblank(F266),"",xlookup(G266,z_Others!$B$5:$B$17,z_Others!$G$5:$G$17,"",0,1))</f>
        <v/>
      </c>
      <c r="V266" s="231" t="str">
        <f t="array" ref="V266">if(isblank(F266),"",xlookup(F266,'FL5_POR_包裝對照表 (Mapping Table)'!E:E,'FL5_POR_包裝對照表 (Mapping Table)'!AB:AB,"",0,1))</f>
        <v/>
      </c>
      <c r="W266" s="899" t="str">
        <f t="array" ref="W266">if(isblank(F266),"",xlookup(G266,z_Others!$B$5:$B$17,z_Others!$I$5:$I$17,"",0,1))</f>
        <v/>
      </c>
      <c r="X266" s="894" t="str">
        <f t="shared" si="7"/>
        <v/>
      </c>
      <c r="Y266" s="894" t="str">
        <f t="shared" si="8"/>
        <v/>
      </c>
      <c r="Z266" s="900" t="str">
        <f t="shared" si="9"/>
        <v/>
      </c>
      <c r="AA266" s="900" t="str">
        <f t="shared" si="10"/>
        <v/>
      </c>
      <c r="AB266" s="878" t="str">
        <f t="array" ref="AB266">if(isblank(F266),"",xlookup(AJ266,z_Others!$M$5:$M$9,z_Others!$Q$5:$Q$9,"",0,1))</f>
        <v/>
      </c>
      <c r="AC266" s="900" t="str">
        <f t="shared" si="11"/>
        <v/>
      </c>
      <c r="AD266" s="894" t="str">
        <f t="array" ref="AD266">if(isblank(F266),"",xlookup(G266,z_Others!$B$5:$B$14,z_Others!$H$5:$H$14,"",0,1))</f>
        <v/>
      </c>
      <c r="AE266" s="901" t="str">
        <f t="shared" si="12"/>
        <v/>
      </c>
      <c r="AF266" s="791"/>
      <c r="AG266" s="791" t="str">
        <f t="shared" si="21"/>
        <v/>
      </c>
      <c r="AH266" s="787"/>
      <c r="AI266" s="787"/>
      <c r="AJ266" s="677" t="str">
        <f t="array" ref="AJ266">if(isblank(F266),"",xlookup(F266,'FL5_POR_包裝對照表 (Mapping Table)'!E:E,'FL5_POR_包裝對照表 (Mapping Table)'!AS:AS,"",0,1))</f>
        <v/>
      </c>
      <c r="AK266" s="677" t="str">
        <f t="array" ref="AK266">if(isblank(F266),"",xlookup(F266,'FL5_POR_包裝對照表 (Mapping Table)'!E:E,'FL5_POR_包裝對照表 (Mapping Table)'!K:K,"",0,1))</f>
        <v/>
      </c>
      <c r="AL266" s="677"/>
      <c r="AM266" s="813"/>
      <c r="AN266" s="908"/>
      <c r="AO266" s="813"/>
      <c r="AP266" s="813"/>
    </row>
    <row r="267" ht="18.0" customHeight="1">
      <c r="A267" s="910"/>
      <c r="B267" s="908"/>
      <c r="C267" s="891" t="str">
        <f>if(isblank(F267),"",'FL5_POR_包裝對照表 (Mapping Table)'!$E$4)</f>
        <v/>
      </c>
      <c r="D267" s="878" t="str">
        <f t="array" ref="D267">if(isblank(F267),"",xlookup(F267,'FL5_POR_包裝對照表 (Mapping Table)'!E:E,'FL5_POR_包裝對照表 (Mapping Table)'!AZ:AZ,"",0,1))</f>
        <v/>
      </c>
      <c r="E267" s="677" t="str">
        <f t="shared" si="2"/>
        <v/>
      </c>
      <c r="F267" s="879"/>
      <c r="G267" s="892" t="str">
        <f t="array" ref="G267">if(isblank(F267),"",xlookup(F267,'FL5_POR_包裝對照表 (Mapping Table)'!E:E,'FL5_POR_包裝對照表 (Mapping Table)'!D:D,"",0,1))</f>
        <v/>
      </c>
      <c r="H267" s="893" t="str">
        <f t="array" ref="H267">if(isblank(F267),"",xlookup(F267,'FL5_POR_包裝對照表 (Mapping Table)'!E:E,'FL5_POR_包裝對照表 (Mapping Table)'!E:E,"",0,1))</f>
        <v/>
      </c>
      <c r="I267" s="677" t="str">
        <f t="array" ref="I267">if(isblank(F267),"",xlookup(F267,'FL5_POR_包裝對照表 (Mapping Table)'!E:E,'FL5_POR_包裝對照表 (Mapping Table)'!AN:AN,"",0,1))</f>
        <v/>
      </c>
      <c r="J267" s="894" t="str">
        <f t="array" ref="J267">if(isblank(F267),"",xlookup(G267,z_Others!$B$5:$B$17,z_Others!$C$5:$C$17,"",0,1))</f>
        <v/>
      </c>
      <c r="K267" s="894" t="str">
        <f t="array" ref="K267">if(isblank(F267),"",xlookup(G267,z_Others!$B$5:$B$17,z_Others!$E$5:$E$17,"",0,1))</f>
        <v/>
      </c>
      <c r="L267" s="894" t="str">
        <f t="array" ref="L267">if(isblank(F267),"",xlookup(G267,z_Others!$B$5:$B$17,z_Others!$F$5:$F$17,"",0,1))</f>
        <v/>
      </c>
      <c r="M267" s="894" t="str">
        <f t="shared" si="3"/>
        <v/>
      </c>
      <c r="N267" s="894" t="str">
        <f t="shared" si="4"/>
        <v/>
      </c>
      <c r="O267" s="882" t="str">
        <f t="array" ref="O267">if(isblank(F267),"",xlookup(F267,'FL5_POR_包裝對照表 (Mapping Table)'!E:E,'FL5_POR_包裝對照表 (Mapping Table)'!L:L,"",0,1))</f>
        <v/>
      </c>
      <c r="P267" s="909" t="str">
        <f t="array" ref="P267">if(isblank(F267),"",xlookup(G267,z_Others!$B$5:$B$17,z_Others!$J$5:$J$17,"",0,1))</f>
        <v/>
      </c>
      <c r="Q267" s="899" t="str">
        <f t="array" ref="Q267">if(isblank(F267),"",xlookup(F267,'FL5_POR_核價 (經管 &amp; BPM)'!E:E,'FL5_POR_核價 (經管 &amp; BPM)'!O:O,"",0,1))</f>
        <v/>
      </c>
      <c r="R267" s="894" t="str">
        <f t="shared" si="5"/>
        <v/>
      </c>
      <c r="S267" s="894" t="str">
        <f t="array" ref="S267">if(isblank(F267),"",xlookup(G267,z_Others!$B$5:$B$17,z_Others!$K$5:$K$17,"",0,1))</f>
        <v/>
      </c>
      <c r="T267" s="894" t="str">
        <f t="shared" si="19"/>
        <v/>
      </c>
      <c r="U267" s="898" t="str">
        <f t="array" ref="U267">if(isblank(F267),"",xlookup(G267,z_Others!$B$5:$B$17,z_Others!$G$5:$G$17,"",0,1))</f>
        <v/>
      </c>
      <c r="V267" s="231" t="str">
        <f t="array" ref="V267">if(isblank(F267),"",xlookup(F267,'FL5_POR_包裝對照表 (Mapping Table)'!E:E,'FL5_POR_包裝對照表 (Mapping Table)'!AB:AB,"",0,1))</f>
        <v/>
      </c>
      <c r="W267" s="899" t="str">
        <f t="array" ref="W267">if(isblank(F267),"",xlookup(G267,z_Others!$B$5:$B$17,z_Others!$I$5:$I$17,"",0,1))</f>
        <v/>
      </c>
      <c r="X267" s="894" t="str">
        <f t="shared" si="7"/>
        <v/>
      </c>
      <c r="Y267" s="894" t="str">
        <f t="shared" si="8"/>
        <v/>
      </c>
      <c r="Z267" s="900" t="str">
        <f t="shared" si="9"/>
        <v/>
      </c>
      <c r="AA267" s="900" t="str">
        <f t="shared" si="10"/>
        <v/>
      </c>
      <c r="AB267" s="878" t="str">
        <f t="array" ref="AB267">if(isblank(F267),"",xlookup(AJ267,z_Others!$M$5:$M$9,z_Others!$Q$5:$Q$9,"",0,1))</f>
        <v/>
      </c>
      <c r="AC267" s="900" t="str">
        <f t="shared" si="11"/>
        <v/>
      </c>
      <c r="AD267" s="894" t="str">
        <f t="array" ref="AD267">if(isblank(F267),"",xlookup(G267,z_Others!$B$5:$B$14,z_Others!$H$5:$H$14,"",0,1))</f>
        <v/>
      </c>
      <c r="AE267" s="901" t="str">
        <f t="shared" si="12"/>
        <v/>
      </c>
      <c r="AF267" s="791"/>
      <c r="AG267" s="791" t="str">
        <f t="shared" si="21"/>
        <v/>
      </c>
      <c r="AH267" s="787"/>
      <c r="AI267" s="787"/>
      <c r="AJ267" s="677" t="str">
        <f t="array" ref="AJ267">if(isblank(F267),"",xlookup(F267,'FL5_POR_包裝對照表 (Mapping Table)'!E:E,'FL5_POR_包裝對照表 (Mapping Table)'!AS:AS,"",0,1))</f>
        <v/>
      </c>
      <c r="AK267" s="677" t="str">
        <f t="array" ref="AK267">if(isblank(F267),"",xlookup(F267,'FL5_POR_包裝對照表 (Mapping Table)'!E:E,'FL5_POR_包裝對照表 (Mapping Table)'!K:K,"",0,1))</f>
        <v/>
      </c>
      <c r="AL267" s="677"/>
      <c r="AM267" s="813"/>
      <c r="AN267" s="908"/>
      <c r="AO267" s="813"/>
      <c r="AP267" s="813"/>
    </row>
    <row r="268" ht="18.0" customHeight="1">
      <c r="A268" s="910"/>
      <c r="B268" s="908"/>
      <c r="C268" s="891" t="str">
        <f>if(isblank(F268),"",'FL5_POR_包裝對照表 (Mapping Table)'!$E$4)</f>
        <v/>
      </c>
      <c r="D268" s="878" t="str">
        <f t="array" ref="D268">if(isblank(F268),"",xlookup(F268,'FL5_POR_包裝對照表 (Mapping Table)'!E:E,'FL5_POR_包裝對照表 (Mapping Table)'!AZ:AZ,"",0,1))</f>
        <v/>
      </c>
      <c r="E268" s="677" t="str">
        <f t="shared" si="2"/>
        <v/>
      </c>
      <c r="F268" s="879"/>
      <c r="G268" s="892" t="str">
        <f t="array" ref="G268">if(isblank(F268),"",xlookup(F268,'FL5_POR_包裝對照表 (Mapping Table)'!E:E,'FL5_POR_包裝對照表 (Mapping Table)'!D:D,"",0,1))</f>
        <v/>
      </c>
      <c r="H268" s="893" t="str">
        <f t="array" ref="H268">if(isblank(F268),"",xlookup(F268,'FL5_POR_包裝對照表 (Mapping Table)'!E:E,'FL5_POR_包裝對照表 (Mapping Table)'!E:E,"",0,1))</f>
        <v/>
      </c>
      <c r="I268" s="677" t="str">
        <f t="array" ref="I268">if(isblank(F268),"",xlookup(F268,'FL5_POR_包裝對照表 (Mapping Table)'!E:E,'FL5_POR_包裝對照表 (Mapping Table)'!AN:AN,"",0,1))</f>
        <v/>
      </c>
      <c r="J268" s="894" t="str">
        <f t="array" ref="J268">if(isblank(F268),"",xlookup(G268,z_Others!$B$5:$B$17,z_Others!$C$5:$C$17,"",0,1))</f>
        <v/>
      </c>
      <c r="K268" s="894" t="str">
        <f t="array" ref="K268">if(isblank(F268),"",xlookup(G268,z_Others!$B$5:$B$17,z_Others!$E$5:$E$17,"",0,1))</f>
        <v/>
      </c>
      <c r="L268" s="894" t="str">
        <f t="array" ref="L268">if(isblank(F268),"",xlookup(G268,z_Others!$B$5:$B$17,z_Others!$F$5:$F$17,"",0,1))</f>
        <v/>
      </c>
      <c r="M268" s="894" t="str">
        <f t="shared" si="3"/>
        <v/>
      </c>
      <c r="N268" s="894" t="str">
        <f t="shared" si="4"/>
        <v/>
      </c>
      <c r="O268" s="882" t="str">
        <f t="array" ref="O268">if(isblank(F268),"",xlookup(F268,'FL5_POR_包裝對照表 (Mapping Table)'!E:E,'FL5_POR_包裝對照表 (Mapping Table)'!L:L,"",0,1))</f>
        <v/>
      </c>
      <c r="P268" s="909" t="str">
        <f t="array" ref="P268">if(isblank(F268),"",xlookup(G268,z_Others!$B$5:$B$17,z_Others!$J$5:$J$17,"",0,1))</f>
        <v/>
      </c>
      <c r="Q268" s="899" t="str">
        <f t="array" ref="Q268">if(isblank(F268),"",xlookup(F268,'FL5_POR_核價 (經管 &amp; BPM)'!E:E,'FL5_POR_核價 (經管 &amp; BPM)'!O:O,"",0,1))</f>
        <v/>
      </c>
      <c r="R268" s="894" t="str">
        <f t="shared" si="5"/>
        <v/>
      </c>
      <c r="S268" s="894" t="str">
        <f t="array" ref="S268">if(isblank(F268),"",xlookup(G268,z_Others!$B$5:$B$17,z_Others!$K$5:$K$17,"",0,1))</f>
        <v/>
      </c>
      <c r="T268" s="894" t="str">
        <f t="shared" si="19"/>
        <v/>
      </c>
      <c r="U268" s="898" t="str">
        <f t="array" ref="U268">if(isblank(F268),"",xlookup(G268,z_Others!$B$5:$B$17,z_Others!$G$5:$G$17,"",0,1))</f>
        <v/>
      </c>
      <c r="V268" s="231" t="str">
        <f t="array" ref="V268">if(isblank(F268),"",xlookup(F268,'FL5_POR_包裝對照表 (Mapping Table)'!E:E,'FL5_POR_包裝對照表 (Mapping Table)'!AB:AB,"",0,1))</f>
        <v/>
      </c>
      <c r="W268" s="899" t="str">
        <f t="array" ref="W268">if(isblank(F268),"",xlookup(G268,z_Others!$B$5:$B$17,z_Others!$I$5:$I$17,"",0,1))</f>
        <v/>
      </c>
      <c r="X268" s="894" t="str">
        <f t="shared" si="7"/>
        <v/>
      </c>
      <c r="Y268" s="894" t="str">
        <f t="shared" si="8"/>
        <v/>
      </c>
      <c r="Z268" s="900" t="str">
        <f t="shared" si="9"/>
        <v/>
      </c>
      <c r="AA268" s="900" t="str">
        <f t="shared" si="10"/>
        <v/>
      </c>
      <c r="AB268" s="878" t="str">
        <f t="array" ref="AB268">if(isblank(F268),"",xlookup(AJ268,z_Others!$M$5:$M$9,z_Others!$Q$5:$Q$9,"",0,1))</f>
        <v/>
      </c>
      <c r="AC268" s="900" t="str">
        <f t="shared" si="11"/>
        <v/>
      </c>
      <c r="AD268" s="894" t="str">
        <f t="array" ref="AD268">if(isblank(F268),"",xlookup(G268,z_Others!$B$5:$B$14,z_Others!$H$5:$H$14,"",0,1))</f>
        <v/>
      </c>
      <c r="AE268" s="901" t="str">
        <f t="shared" si="12"/>
        <v/>
      </c>
      <c r="AF268" s="791"/>
      <c r="AG268" s="791" t="str">
        <f t="shared" si="21"/>
        <v/>
      </c>
      <c r="AH268" s="787"/>
      <c r="AI268" s="787"/>
      <c r="AJ268" s="677" t="str">
        <f t="array" ref="AJ268">if(isblank(F268),"",xlookup(F268,'FL5_POR_包裝對照表 (Mapping Table)'!E:E,'FL5_POR_包裝對照表 (Mapping Table)'!AS:AS,"",0,1))</f>
        <v/>
      </c>
      <c r="AK268" s="677" t="str">
        <f t="array" ref="AK268">if(isblank(F268),"",xlookup(F268,'FL5_POR_包裝對照表 (Mapping Table)'!E:E,'FL5_POR_包裝對照表 (Mapping Table)'!K:K,"",0,1))</f>
        <v/>
      </c>
      <c r="AL268" s="677"/>
      <c r="AM268" s="813"/>
      <c r="AN268" s="908"/>
      <c r="AO268" s="813"/>
      <c r="AP268" s="813"/>
    </row>
    <row r="269" ht="18.0" customHeight="1">
      <c r="A269" s="910"/>
      <c r="B269" s="908"/>
      <c r="C269" s="891" t="str">
        <f>if(isblank(F269),"",'FL5_POR_包裝對照表 (Mapping Table)'!$E$4)</f>
        <v/>
      </c>
      <c r="D269" s="878" t="str">
        <f t="array" ref="D269">if(isblank(F269),"",xlookup(F269,'FL5_POR_包裝對照表 (Mapping Table)'!E:E,'FL5_POR_包裝對照表 (Mapping Table)'!AZ:AZ,"",0,1))</f>
        <v/>
      </c>
      <c r="E269" s="677" t="str">
        <f t="shared" si="2"/>
        <v/>
      </c>
      <c r="F269" s="879"/>
      <c r="G269" s="892" t="str">
        <f t="array" ref="G269">if(isblank(F269),"",xlookup(F269,'FL5_POR_包裝對照表 (Mapping Table)'!E:E,'FL5_POR_包裝對照表 (Mapping Table)'!D:D,"",0,1))</f>
        <v/>
      </c>
      <c r="H269" s="893" t="str">
        <f t="array" ref="H269">if(isblank(F269),"",xlookup(F269,'FL5_POR_包裝對照表 (Mapping Table)'!E:E,'FL5_POR_包裝對照表 (Mapping Table)'!E:E,"",0,1))</f>
        <v/>
      </c>
      <c r="I269" s="677" t="str">
        <f t="array" ref="I269">if(isblank(F269),"",xlookup(F269,'FL5_POR_包裝對照表 (Mapping Table)'!E:E,'FL5_POR_包裝對照表 (Mapping Table)'!AN:AN,"",0,1))</f>
        <v/>
      </c>
      <c r="J269" s="894" t="str">
        <f t="array" ref="J269">if(isblank(F269),"",xlookup(G269,z_Others!$B$5:$B$17,z_Others!$C$5:$C$17,"",0,1))</f>
        <v/>
      </c>
      <c r="K269" s="894" t="str">
        <f t="array" ref="K269">if(isblank(F269),"",xlookup(G269,z_Others!$B$5:$B$17,z_Others!$E$5:$E$17,"",0,1))</f>
        <v/>
      </c>
      <c r="L269" s="894" t="str">
        <f t="array" ref="L269">if(isblank(F269),"",xlookup(G269,z_Others!$B$5:$B$17,z_Others!$F$5:$F$17,"",0,1))</f>
        <v/>
      </c>
      <c r="M269" s="894" t="str">
        <f t="shared" si="3"/>
        <v/>
      </c>
      <c r="N269" s="894" t="str">
        <f t="shared" si="4"/>
        <v/>
      </c>
      <c r="O269" s="882" t="str">
        <f t="array" ref="O269">if(isblank(F269),"",xlookup(F269,'FL5_POR_包裝對照表 (Mapping Table)'!E:E,'FL5_POR_包裝對照表 (Mapping Table)'!L:L,"",0,1))</f>
        <v/>
      </c>
      <c r="P269" s="909" t="str">
        <f t="array" ref="P269">if(isblank(F269),"",xlookup(G269,z_Others!$B$5:$B$17,z_Others!$J$5:$J$17,"",0,1))</f>
        <v/>
      </c>
      <c r="Q269" s="899" t="str">
        <f t="array" ref="Q269">if(isblank(F269),"",xlookup(F269,'FL5_POR_核價 (經管 &amp; BPM)'!E:E,'FL5_POR_核價 (經管 &amp; BPM)'!O:O,"",0,1))</f>
        <v/>
      </c>
      <c r="R269" s="894" t="str">
        <f t="shared" si="5"/>
        <v/>
      </c>
      <c r="S269" s="894" t="str">
        <f t="array" ref="S269">if(isblank(F269),"",xlookup(G269,z_Others!$B$5:$B$17,z_Others!$K$5:$K$17,"",0,1))</f>
        <v/>
      </c>
      <c r="T269" s="894" t="str">
        <f t="shared" si="19"/>
        <v/>
      </c>
      <c r="U269" s="898" t="str">
        <f t="array" ref="U269">if(isblank(F269),"",xlookup(G269,z_Others!$B$5:$B$17,z_Others!$G$5:$G$17,"",0,1))</f>
        <v/>
      </c>
      <c r="V269" s="231" t="str">
        <f t="array" ref="V269">if(isblank(F269),"",xlookup(F269,'FL5_POR_包裝對照表 (Mapping Table)'!E:E,'FL5_POR_包裝對照表 (Mapping Table)'!AB:AB,"",0,1))</f>
        <v/>
      </c>
      <c r="W269" s="899" t="str">
        <f t="array" ref="W269">if(isblank(F269),"",xlookup(G269,z_Others!$B$5:$B$17,z_Others!$I$5:$I$17,"",0,1))</f>
        <v/>
      </c>
      <c r="X269" s="894" t="str">
        <f t="shared" si="7"/>
        <v/>
      </c>
      <c r="Y269" s="894" t="str">
        <f t="shared" si="8"/>
        <v/>
      </c>
      <c r="Z269" s="900" t="str">
        <f t="shared" si="9"/>
        <v/>
      </c>
      <c r="AA269" s="900" t="str">
        <f t="shared" si="10"/>
        <v/>
      </c>
      <c r="AB269" s="878" t="str">
        <f t="array" ref="AB269">if(isblank(F269),"",xlookup(AJ269,z_Others!$M$5:$M$9,z_Others!$Q$5:$Q$9,"",0,1))</f>
        <v/>
      </c>
      <c r="AC269" s="900" t="str">
        <f t="shared" si="11"/>
        <v/>
      </c>
      <c r="AD269" s="894" t="str">
        <f t="array" ref="AD269">if(isblank(F269),"",xlookup(G269,z_Others!$B$5:$B$14,z_Others!$H$5:$H$14,"",0,1))</f>
        <v/>
      </c>
      <c r="AE269" s="901" t="str">
        <f t="shared" si="12"/>
        <v/>
      </c>
      <c r="AF269" s="791"/>
      <c r="AG269" s="791" t="str">
        <f t="shared" si="21"/>
        <v/>
      </c>
      <c r="AH269" s="787"/>
      <c r="AI269" s="787"/>
      <c r="AJ269" s="677" t="str">
        <f t="array" ref="AJ269">if(isblank(F269),"",xlookup(F269,'FL5_POR_包裝對照表 (Mapping Table)'!E:E,'FL5_POR_包裝對照表 (Mapping Table)'!AS:AS,"",0,1))</f>
        <v/>
      </c>
      <c r="AK269" s="677" t="str">
        <f t="array" ref="AK269">if(isblank(F269),"",xlookup(F269,'FL5_POR_包裝對照表 (Mapping Table)'!E:E,'FL5_POR_包裝對照表 (Mapping Table)'!K:K,"",0,1))</f>
        <v/>
      </c>
      <c r="AL269" s="677"/>
      <c r="AM269" s="813"/>
      <c r="AN269" s="908"/>
      <c r="AO269" s="813"/>
      <c r="AP269" s="813"/>
    </row>
    <row r="270" ht="18.0" customHeight="1">
      <c r="A270" s="910"/>
      <c r="B270" s="908"/>
      <c r="C270" s="891" t="str">
        <f>if(isblank(F270),"",'FL5_POR_包裝對照表 (Mapping Table)'!$E$4)</f>
        <v/>
      </c>
      <c r="D270" s="878" t="str">
        <f t="array" ref="D270">if(isblank(F270),"",xlookup(F270,'FL5_POR_包裝對照表 (Mapping Table)'!E:E,'FL5_POR_包裝對照表 (Mapping Table)'!AZ:AZ,"",0,1))</f>
        <v/>
      </c>
      <c r="E270" s="677" t="str">
        <f t="shared" si="2"/>
        <v/>
      </c>
      <c r="F270" s="879"/>
      <c r="G270" s="892" t="str">
        <f t="array" ref="G270">if(isblank(F270),"",xlookup(F270,'FL5_POR_包裝對照表 (Mapping Table)'!E:E,'FL5_POR_包裝對照表 (Mapping Table)'!D:D,"",0,1))</f>
        <v/>
      </c>
      <c r="H270" s="893" t="str">
        <f t="array" ref="H270">if(isblank(F270),"",xlookup(F270,'FL5_POR_包裝對照表 (Mapping Table)'!E:E,'FL5_POR_包裝對照表 (Mapping Table)'!E:E,"",0,1))</f>
        <v/>
      </c>
      <c r="I270" s="677" t="str">
        <f t="array" ref="I270">if(isblank(F270),"",xlookup(F270,'FL5_POR_包裝對照表 (Mapping Table)'!E:E,'FL5_POR_包裝對照表 (Mapping Table)'!AN:AN,"",0,1))</f>
        <v/>
      </c>
      <c r="J270" s="894" t="str">
        <f t="array" ref="J270">if(isblank(F270),"",xlookup(G270,z_Others!$B$5:$B$17,z_Others!$C$5:$C$17,"",0,1))</f>
        <v/>
      </c>
      <c r="K270" s="894" t="str">
        <f t="array" ref="K270">if(isblank(F270),"",xlookup(G270,z_Others!$B$5:$B$17,z_Others!$E$5:$E$17,"",0,1))</f>
        <v/>
      </c>
      <c r="L270" s="894" t="str">
        <f t="array" ref="L270">if(isblank(F270),"",xlookup(G270,z_Others!$B$5:$B$17,z_Others!$F$5:$F$17,"",0,1))</f>
        <v/>
      </c>
      <c r="M270" s="894" t="str">
        <f t="shared" si="3"/>
        <v/>
      </c>
      <c r="N270" s="894" t="str">
        <f t="shared" si="4"/>
        <v/>
      </c>
      <c r="O270" s="882" t="str">
        <f t="array" ref="O270">if(isblank(F270),"",xlookup(F270,'FL5_POR_包裝對照表 (Mapping Table)'!E:E,'FL5_POR_包裝對照表 (Mapping Table)'!L:L,"",0,1))</f>
        <v/>
      </c>
      <c r="P270" s="909" t="str">
        <f t="array" ref="P270">if(isblank(F270),"",xlookup(G270,z_Others!$B$5:$B$17,z_Others!$J$5:$J$17,"",0,1))</f>
        <v/>
      </c>
      <c r="Q270" s="899" t="str">
        <f t="array" ref="Q270">if(isblank(F270),"",xlookup(F270,'FL5_POR_核價 (經管 &amp; BPM)'!E:E,'FL5_POR_核價 (經管 &amp; BPM)'!O:O,"",0,1))</f>
        <v/>
      </c>
      <c r="R270" s="894" t="str">
        <f t="shared" si="5"/>
        <v/>
      </c>
      <c r="S270" s="894" t="str">
        <f t="array" ref="S270">if(isblank(F270),"",xlookup(G270,z_Others!$B$5:$B$17,z_Others!$K$5:$K$17,"",0,1))</f>
        <v/>
      </c>
      <c r="T270" s="894" t="str">
        <f t="shared" si="19"/>
        <v/>
      </c>
      <c r="U270" s="898" t="str">
        <f t="array" ref="U270">if(isblank(F270),"",xlookup(G270,z_Others!$B$5:$B$17,z_Others!$G$5:$G$17,"",0,1))</f>
        <v/>
      </c>
      <c r="V270" s="231" t="str">
        <f t="array" ref="V270">if(isblank(F270),"",xlookup(F270,'FL5_POR_包裝對照表 (Mapping Table)'!E:E,'FL5_POR_包裝對照表 (Mapping Table)'!AB:AB,"",0,1))</f>
        <v/>
      </c>
      <c r="W270" s="899" t="str">
        <f t="array" ref="W270">if(isblank(F270),"",xlookup(G270,z_Others!$B$5:$B$17,z_Others!$I$5:$I$17,"",0,1))</f>
        <v/>
      </c>
      <c r="X270" s="894" t="str">
        <f t="shared" si="7"/>
        <v/>
      </c>
      <c r="Y270" s="894" t="str">
        <f t="shared" si="8"/>
        <v/>
      </c>
      <c r="Z270" s="900" t="str">
        <f t="shared" si="9"/>
        <v/>
      </c>
      <c r="AA270" s="900" t="str">
        <f t="shared" si="10"/>
        <v/>
      </c>
      <c r="AB270" s="878" t="str">
        <f t="array" ref="AB270">if(isblank(F270),"",xlookup(AJ270,z_Others!$M$5:$M$9,z_Others!$Q$5:$Q$9,"",0,1))</f>
        <v/>
      </c>
      <c r="AC270" s="900" t="str">
        <f t="shared" si="11"/>
        <v/>
      </c>
      <c r="AD270" s="894" t="str">
        <f t="array" ref="AD270">if(isblank(F270),"",xlookup(G270,z_Others!$B$5:$B$14,z_Others!$H$5:$H$14,"",0,1))</f>
        <v/>
      </c>
      <c r="AE270" s="901" t="str">
        <f t="shared" si="12"/>
        <v/>
      </c>
      <c r="AF270" s="791"/>
      <c r="AG270" s="791" t="str">
        <f t="shared" si="21"/>
        <v/>
      </c>
      <c r="AH270" s="787"/>
      <c r="AI270" s="787"/>
      <c r="AJ270" s="677" t="str">
        <f t="array" ref="AJ270">if(isblank(F270),"",xlookup(F270,'FL5_POR_包裝對照表 (Mapping Table)'!E:E,'FL5_POR_包裝對照表 (Mapping Table)'!AS:AS,"",0,1))</f>
        <v/>
      </c>
      <c r="AK270" s="677" t="str">
        <f t="array" ref="AK270">if(isblank(F270),"",xlookup(F270,'FL5_POR_包裝對照表 (Mapping Table)'!E:E,'FL5_POR_包裝對照表 (Mapping Table)'!K:K,"",0,1))</f>
        <v/>
      </c>
      <c r="AL270" s="677"/>
      <c r="AM270" s="813"/>
      <c r="AN270" s="908"/>
      <c r="AO270" s="813"/>
      <c r="AP270" s="813"/>
    </row>
    <row r="271" ht="18.0" customHeight="1">
      <c r="A271" s="910"/>
      <c r="B271" s="908"/>
      <c r="C271" s="891" t="str">
        <f>if(isblank(F271),"",'FL5_POR_包裝對照表 (Mapping Table)'!$E$4)</f>
        <v/>
      </c>
      <c r="D271" s="878" t="str">
        <f t="array" ref="D271">if(isblank(F271),"",xlookup(F271,'FL5_POR_包裝對照表 (Mapping Table)'!E:E,'FL5_POR_包裝對照表 (Mapping Table)'!AZ:AZ,"",0,1))</f>
        <v/>
      </c>
      <c r="E271" s="677" t="str">
        <f t="shared" si="2"/>
        <v/>
      </c>
      <c r="F271" s="879"/>
      <c r="G271" s="892" t="str">
        <f t="array" ref="G271">if(isblank(F271),"",xlookup(F271,'FL5_POR_包裝對照表 (Mapping Table)'!E:E,'FL5_POR_包裝對照表 (Mapping Table)'!D:D,"",0,1))</f>
        <v/>
      </c>
      <c r="H271" s="893" t="str">
        <f t="array" ref="H271">if(isblank(F271),"",xlookup(F271,'FL5_POR_包裝對照表 (Mapping Table)'!E:E,'FL5_POR_包裝對照表 (Mapping Table)'!E:E,"",0,1))</f>
        <v/>
      </c>
      <c r="I271" s="677" t="str">
        <f t="array" ref="I271">if(isblank(F271),"",xlookup(F271,'FL5_POR_包裝對照表 (Mapping Table)'!E:E,'FL5_POR_包裝對照表 (Mapping Table)'!AN:AN,"",0,1))</f>
        <v/>
      </c>
      <c r="J271" s="894" t="str">
        <f t="array" ref="J271">if(isblank(F271),"",xlookup(G271,z_Others!$B$5:$B$17,z_Others!$C$5:$C$17,"",0,1))</f>
        <v/>
      </c>
      <c r="K271" s="894" t="str">
        <f t="array" ref="K271">if(isblank(F271),"",xlookup(G271,z_Others!$B$5:$B$17,z_Others!$E$5:$E$17,"",0,1))</f>
        <v/>
      </c>
      <c r="L271" s="894" t="str">
        <f t="array" ref="L271">if(isblank(F271),"",xlookup(G271,z_Others!$B$5:$B$17,z_Others!$F$5:$F$17,"",0,1))</f>
        <v/>
      </c>
      <c r="M271" s="894" t="str">
        <f t="shared" si="3"/>
        <v/>
      </c>
      <c r="N271" s="894" t="str">
        <f t="shared" si="4"/>
        <v/>
      </c>
      <c r="O271" s="882" t="str">
        <f t="array" ref="O271">if(isblank(F271),"",xlookup(F271,'FL5_POR_包裝對照表 (Mapping Table)'!E:E,'FL5_POR_包裝對照表 (Mapping Table)'!L:L,"",0,1))</f>
        <v/>
      </c>
      <c r="P271" s="909" t="str">
        <f t="array" ref="P271">if(isblank(F271),"",xlookup(G271,z_Others!$B$5:$B$17,z_Others!$J$5:$J$17,"",0,1))</f>
        <v/>
      </c>
      <c r="Q271" s="899" t="str">
        <f t="array" ref="Q271">if(isblank(F271),"",xlookup(F271,'FL5_POR_核價 (經管 &amp; BPM)'!E:E,'FL5_POR_核價 (經管 &amp; BPM)'!O:O,"",0,1))</f>
        <v/>
      </c>
      <c r="R271" s="894" t="str">
        <f t="shared" si="5"/>
        <v/>
      </c>
      <c r="S271" s="894" t="str">
        <f t="array" ref="S271">if(isblank(F271),"",xlookup(G271,z_Others!$B$5:$B$17,z_Others!$K$5:$K$17,"",0,1))</f>
        <v/>
      </c>
      <c r="T271" s="894" t="str">
        <f t="shared" si="19"/>
        <v/>
      </c>
      <c r="U271" s="898" t="str">
        <f t="array" ref="U271">if(isblank(F271),"",xlookup(G271,z_Others!$B$5:$B$17,z_Others!$G$5:$G$17,"",0,1))</f>
        <v/>
      </c>
      <c r="V271" s="231" t="str">
        <f t="array" ref="V271">if(isblank(F271),"",xlookup(F271,'FL5_POR_包裝對照表 (Mapping Table)'!E:E,'FL5_POR_包裝對照表 (Mapping Table)'!AB:AB,"",0,1))</f>
        <v/>
      </c>
      <c r="W271" s="899" t="str">
        <f t="array" ref="W271">if(isblank(F271),"",xlookup(G271,z_Others!$B$5:$B$17,z_Others!$I$5:$I$17,"",0,1))</f>
        <v/>
      </c>
      <c r="X271" s="894" t="str">
        <f t="shared" si="7"/>
        <v/>
      </c>
      <c r="Y271" s="894" t="str">
        <f t="shared" si="8"/>
        <v/>
      </c>
      <c r="Z271" s="900" t="str">
        <f t="shared" si="9"/>
        <v/>
      </c>
      <c r="AA271" s="900" t="str">
        <f t="shared" si="10"/>
        <v/>
      </c>
      <c r="AB271" s="878" t="str">
        <f t="array" ref="AB271">if(isblank(F271),"",xlookup(AJ271,z_Others!$M$5:$M$9,z_Others!$Q$5:$Q$9,"",0,1))</f>
        <v/>
      </c>
      <c r="AC271" s="900" t="str">
        <f t="shared" si="11"/>
        <v/>
      </c>
      <c r="AD271" s="894" t="str">
        <f t="array" ref="AD271">if(isblank(F271),"",xlookup(G271,z_Others!$B$5:$B$14,z_Others!$H$5:$H$14,"",0,1))</f>
        <v/>
      </c>
      <c r="AE271" s="901" t="str">
        <f t="shared" si="12"/>
        <v/>
      </c>
      <c r="AF271" s="791"/>
      <c r="AG271" s="791" t="str">
        <f t="shared" si="21"/>
        <v/>
      </c>
      <c r="AH271" s="787"/>
      <c r="AI271" s="787"/>
      <c r="AJ271" s="677" t="str">
        <f t="array" ref="AJ271">if(isblank(F271),"",xlookup(F271,'FL5_POR_包裝對照表 (Mapping Table)'!E:E,'FL5_POR_包裝對照表 (Mapping Table)'!AS:AS,"",0,1))</f>
        <v/>
      </c>
      <c r="AK271" s="677" t="str">
        <f t="array" ref="AK271">if(isblank(F271),"",xlookup(F271,'FL5_POR_包裝對照表 (Mapping Table)'!E:E,'FL5_POR_包裝對照表 (Mapping Table)'!K:K,"",0,1))</f>
        <v/>
      </c>
      <c r="AL271" s="677"/>
      <c r="AM271" s="813"/>
      <c r="AN271" s="908"/>
      <c r="AO271" s="813"/>
      <c r="AP271" s="813"/>
    </row>
    <row r="272" ht="18.0" customHeight="1">
      <c r="A272" s="910"/>
      <c r="B272" s="908"/>
      <c r="C272" s="891" t="str">
        <f>if(isblank(F272),"",'FL5_POR_包裝對照表 (Mapping Table)'!$E$4)</f>
        <v/>
      </c>
      <c r="D272" s="878" t="str">
        <f t="array" ref="D272">if(isblank(F272),"",xlookup(F272,'FL5_POR_包裝對照表 (Mapping Table)'!E:E,'FL5_POR_包裝對照表 (Mapping Table)'!AZ:AZ,"",0,1))</f>
        <v/>
      </c>
      <c r="E272" s="677" t="str">
        <f t="shared" si="2"/>
        <v/>
      </c>
      <c r="F272" s="879"/>
      <c r="G272" s="892" t="str">
        <f t="array" ref="G272">if(isblank(F272),"",xlookup(F272,'FL5_POR_包裝對照表 (Mapping Table)'!E:E,'FL5_POR_包裝對照表 (Mapping Table)'!D:D,"",0,1))</f>
        <v/>
      </c>
      <c r="H272" s="893" t="str">
        <f t="array" ref="H272">if(isblank(F272),"",xlookup(F272,'FL5_POR_包裝對照表 (Mapping Table)'!E:E,'FL5_POR_包裝對照表 (Mapping Table)'!E:E,"",0,1))</f>
        <v/>
      </c>
      <c r="I272" s="677" t="str">
        <f t="array" ref="I272">if(isblank(F272),"",xlookup(F272,'FL5_POR_包裝對照表 (Mapping Table)'!E:E,'FL5_POR_包裝對照表 (Mapping Table)'!AN:AN,"",0,1))</f>
        <v/>
      </c>
      <c r="J272" s="894" t="str">
        <f t="array" ref="J272">if(isblank(F272),"",xlookup(G272,z_Others!$B$5:$B$17,z_Others!$C$5:$C$17,"",0,1))</f>
        <v/>
      </c>
      <c r="K272" s="894" t="str">
        <f t="array" ref="K272">if(isblank(F272),"",xlookup(G272,z_Others!$B$5:$B$17,z_Others!$E$5:$E$17,"",0,1))</f>
        <v/>
      </c>
      <c r="L272" s="894" t="str">
        <f t="array" ref="L272">if(isblank(F272),"",xlookup(G272,z_Others!$B$5:$B$17,z_Others!$F$5:$F$17,"",0,1))</f>
        <v/>
      </c>
      <c r="M272" s="894" t="str">
        <f t="shared" si="3"/>
        <v/>
      </c>
      <c r="N272" s="894" t="str">
        <f t="shared" si="4"/>
        <v/>
      </c>
      <c r="O272" s="882" t="str">
        <f t="array" ref="O272">if(isblank(F272),"",xlookup(F272,'FL5_POR_包裝對照表 (Mapping Table)'!E:E,'FL5_POR_包裝對照表 (Mapping Table)'!L:L,"",0,1))</f>
        <v/>
      </c>
      <c r="P272" s="909" t="str">
        <f t="array" ref="P272">if(isblank(F272),"",xlookup(G272,z_Others!$B$5:$B$17,z_Others!$J$5:$J$17,"",0,1))</f>
        <v/>
      </c>
      <c r="Q272" s="899" t="str">
        <f t="array" ref="Q272">if(isblank(F272),"",xlookup(F272,'FL5_POR_核價 (經管 &amp; BPM)'!E:E,'FL5_POR_核價 (經管 &amp; BPM)'!O:O,"",0,1))</f>
        <v/>
      </c>
      <c r="R272" s="894" t="str">
        <f t="shared" si="5"/>
        <v/>
      </c>
      <c r="S272" s="894" t="str">
        <f t="array" ref="S272">if(isblank(F272),"",xlookup(G272,z_Others!$B$5:$B$17,z_Others!$K$5:$K$17,"",0,1))</f>
        <v/>
      </c>
      <c r="T272" s="894" t="str">
        <f t="shared" si="19"/>
        <v/>
      </c>
      <c r="U272" s="898" t="str">
        <f t="array" ref="U272">if(isblank(F272),"",xlookup(G272,z_Others!$B$5:$B$17,z_Others!$G$5:$G$17,"",0,1))</f>
        <v/>
      </c>
      <c r="V272" s="231" t="str">
        <f t="array" ref="V272">if(isblank(F272),"",xlookup(F272,'FL5_POR_包裝對照表 (Mapping Table)'!E:E,'FL5_POR_包裝對照表 (Mapping Table)'!AB:AB,"",0,1))</f>
        <v/>
      </c>
      <c r="W272" s="899" t="str">
        <f t="array" ref="W272">if(isblank(F272),"",xlookup(G272,z_Others!$B$5:$B$17,z_Others!$I$5:$I$17,"",0,1))</f>
        <v/>
      </c>
      <c r="X272" s="894" t="str">
        <f t="shared" si="7"/>
        <v/>
      </c>
      <c r="Y272" s="894" t="str">
        <f t="shared" si="8"/>
        <v/>
      </c>
      <c r="Z272" s="900" t="str">
        <f t="shared" si="9"/>
        <v/>
      </c>
      <c r="AA272" s="900" t="str">
        <f t="shared" si="10"/>
        <v/>
      </c>
      <c r="AB272" s="878" t="str">
        <f t="array" ref="AB272">if(isblank(F272),"",xlookup(AJ272,z_Others!$M$5:$M$9,z_Others!$Q$5:$Q$9,"",0,1))</f>
        <v/>
      </c>
      <c r="AC272" s="900" t="str">
        <f t="shared" si="11"/>
        <v/>
      </c>
      <c r="AD272" s="894" t="str">
        <f t="array" ref="AD272">if(isblank(F272),"",xlookup(G272,z_Others!$B$5:$B$14,z_Others!$H$5:$H$14,"",0,1))</f>
        <v/>
      </c>
      <c r="AE272" s="901" t="str">
        <f t="shared" si="12"/>
        <v/>
      </c>
      <c r="AF272" s="791"/>
      <c r="AG272" s="791" t="str">
        <f t="shared" si="21"/>
        <v/>
      </c>
      <c r="AH272" s="787"/>
      <c r="AI272" s="787"/>
      <c r="AJ272" s="677" t="str">
        <f t="array" ref="AJ272">if(isblank(F272),"",xlookup(F272,'FL5_POR_包裝對照表 (Mapping Table)'!E:E,'FL5_POR_包裝對照表 (Mapping Table)'!AS:AS,"",0,1))</f>
        <v/>
      </c>
      <c r="AK272" s="677" t="str">
        <f t="array" ref="AK272">if(isblank(F272),"",xlookup(F272,'FL5_POR_包裝對照表 (Mapping Table)'!E:E,'FL5_POR_包裝對照表 (Mapping Table)'!K:K,"",0,1))</f>
        <v/>
      </c>
      <c r="AL272" s="677"/>
      <c r="AM272" s="813"/>
      <c r="AN272" s="908"/>
      <c r="AO272" s="813"/>
      <c r="AP272" s="813"/>
    </row>
    <row r="273" ht="18.0" customHeight="1">
      <c r="A273" s="910"/>
      <c r="B273" s="908"/>
      <c r="C273" s="891" t="str">
        <f>if(isblank(F273),"",'FL5_POR_包裝對照表 (Mapping Table)'!$E$4)</f>
        <v/>
      </c>
      <c r="D273" s="878" t="str">
        <f t="array" ref="D273">if(isblank(F273),"",xlookup(F273,'FL5_POR_包裝對照表 (Mapping Table)'!E:E,'FL5_POR_包裝對照表 (Mapping Table)'!AZ:AZ,"",0,1))</f>
        <v/>
      </c>
      <c r="E273" s="677" t="str">
        <f t="shared" si="2"/>
        <v/>
      </c>
      <c r="F273" s="879"/>
      <c r="G273" s="892" t="str">
        <f t="array" ref="G273">if(isblank(F273),"",xlookup(F273,'FL5_POR_包裝對照表 (Mapping Table)'!E:E,'FL5_POR_包裝對照表 (Mapping Table)'!D:D,"",0,1))</f>
        <v/>
      </c>
      <c r="H273" s="893" t="str">
        <f t="array" ref="H273">if(isblank(F273),"",xlookup(F273,'FL5_POR_包裝對照表 (Mapping Table)'!E:E,'FL5_POR_包裝對照表 (Mapping Table)'!E:E,"",0,1))</f>
        <v/>
      </c>
      <c r="I273" s="677" t="str">
        <f t="array" ref="I273">if(isblank(F273),"",xlookup(F273,'FL5_POR_包裝對照表 (Mapping Table)'!E:E,'FL5_POR_包裝對照表 (Mapping Table)'!AN:AN,"",0,1))</f>
        <v/>
      </c>
      <c r="J273" s="894" t="str">
        <f t="array" ref="J273">if(isblank(F273),"",xlookup(G273,z_Others!$B$5:$B$17,z_Others!$C$5:$C$17,"",0,1))</f>
        <v/>
      </c>
      <c r="K273" s="894" t="str">
        <f t="array" ref="K273">if(isblank(F273),"",xlookup(G273,z_Others!$B$5:$B$17,z_Others!$E$5:$E$17,"",0,1))</f>
        <v/>
      </c>
      <c r="L273" s="894" t="str">
        <f t="array" ref="L273">if(isblank(F273),"",xlookup(G273,z_Others!$B$5:$B$17,z_Others!$F$5:$F$17,"",0,1))</f>
        <v/>
      </c>
      <c r="M273" s="894" t="str">
        <f t="shared" si="3"/>
        <v/>
      </c>
      <c r="N273" s="894" t="str">
        <f t="shared" si="4"/>
        <v/>
      </c>
      <c r="O273" s="882" t="str">
        <f t="array" ref="O273">if(isblank(F273),"",xlookup(F273,'FL5_POR_包裝對照表 (Mapping Table)'!E:E,'FL5_POR_包裝對照表 (Mapping Table)'!L:L,"",0,1))</f>
        <v/>
      </c>
      <c r="P273" s="909" t="str">
        <f t="array" ref="P273">if(isblank(F273),"",xlookup(G273,z_Others!$B$5:$B$17,z_Others!$J$5:$J$17,"",0,1))</f>
        <v/>
      </c>
      <c r="Q273" s="899" t="str">
        <f t="array" ref="Q273">if(isblank(F273),"",xlookup(F273,'FL5_POR_核價 (經管 &amp; BPM)'!E:E,'FL5_POR_核價 (經管 &amp; BPM)'!O:O,"",0,1))</f>
        <v/>
      </c>
      <c r="R273" s="894" t="str">
        <f t="shared" si="5"/>
        <v/>
      </c>
      <c r="S273" s="894" t="str">
        <f t="array" ref="S273">if(isblank(F273),"",xlookup(G273,z_Others!$B$5:$B$17,z_Others!$K$5:$K$17,"",0,1))</f>
        <v/>
      </c>
      <c r="T273" s="894" t="str">
        <f t="shared" si="19"/>
        <v/>
      </c>
      <c r="U273" s="898" t="str">
        <f t="array" ref="U273">if(isblank(F273),"",xlookup(G273,z_Others!$B$5:$B$17,z_Others!$G$5:$G$17,"",0,1))</f>
        <v/>
      </c>
      <c r="V273" s="231" t="str">
        <f t="array" ref="V273">if(isblank(F273),"",xlookup(F273,'FL5_POR_包裝對照表 (Mapping Table)'!E:E,'FL5_POR_包裝對照表 (Mapping Table)'!AB:AB,"",0,1))</f>
        <v/>
      </c>
      <c r="W273" s="899" t="str">
        <f t="array" ref="W273">if(isblank(F273),"",xlookup(G273,z_Others!$B$5:$B$17,z_Others!$I$5:$I$17,"",0,1))</f>
        <v/>
      </c>
      <c r="X273" s="894" t="str">
        <f t="shared" si="7"/>
        <v/>
      </c>
      <c r="Y273" s="894" t="str">
        <f t="shared" si="8"/>
        <v/>
      </c>
      <c r="Z273" s="900" t="str">
        <f t="shared" si="9"/>
        <v/>
      </c>
      <c r="AA273" s="900" t="str">
        <f t="shared" si="10"/>
        <v/>
      </c>
      <c r="AB273" s="878" t="str">
        <f t="array" ref="AB273">if(isblank(F273),"",xlookup(AJ273,z_Others!$M$5:$M$9,z_Others!$Q$5:$Q$9,"",0,1))</f>
        <v/>
      </c>
      <c r="AC273" s="900" t="str">
        <f t="shared" si="11"/>
        <v/>
      </c>
      <c r="AD273" s="894" t="str">
        <f t="array" ref="AD273">if(isblank(F273),"",xlookup(G273,z_Others!$B$5:$B$14,z_Others!$H$5:$H$14,"",0,1))</f>
        <v/>
      </c>
      <c r="AE273" s="901" t="str">
        <f t="shared" si="12"/>
        <v/>
      </c>
      <c r="AF273" s="791"/>
      <c r="AG273" s="791" t="str">
        <f t="shared" si="21"/>
        <v/>
      </c>
      <c r="AH273" s="787"/>
      <c r="AI273" s="787"/>
      <c r="AJ273" s="677" t="str">
        <f t="array" ref="AJ273">if(isblank(F273),"",xlookup(F273,'FL5_POR_包裝對照表 (Mapping Table)'!E:E,'FL5_POR_包裝對照表 (Mapping Table)'!AS:AS,"",0,1))</f>
        <v/>
      </c>
      <c r="AK273" s="677" t="str">
        <f t="array" ref="AK273">if(isblank(F273),"",xlookup(F273,'FL5_POR_包裝對照表 (Mapping Table)'!E:E,'FL5_POR_包裝對照表 (Mapping Table)'!K:K,"",0,1))</f>
        <v/>
      </c>
      <c r="AL273" s="677"/>
      <c r="AM273" s="813"/>
      <c r="AN273" s="908"/>
      <c r="AO273" s="813"/>
      <c r="AP273" s="813"/>
    </row>
    <row r="274" ht="18.0" customHeight="1">
      <c r="A274" s="910"/>
      <c r="B274" s="908"/>
      <c r="C274" s="891" t="str">
        <f>if(isblank(F274),"",'FL5_POR_包裝對照表 (Mapping Table)'!$E$4)</f>
        <v/>
      </c>
      <c r="D274" s="878" t="str">
        <f t="array" ref="D274">if(isblank(F274),"",xlookup(F274,'FL5_POR_包裝對照表 (Mapping Table)'!E:E,'FL5_POR_包裝對照表 (Mapping Table)'!AZ:AZ,"",0,1))</f>
        <v/>
      </c>
      <c r="E274" s="677" t="str">
        <f t="shared" si="2"/>
        <v/>
      </c>
      <c r="F274" s="879"/>
      <c r="G274" s="892" t="str">
        <f t="array" ref="G274">if(isblank(F274),"",xlookup(F274,'FL5_POR_包裝對照表 (Mapping Table)'!E:E,'FL5_POR_包裝對照表 (Mapping Table)'!D:D,"",0,1))</f>
        <v/>
      </c>
      <c r="H274" s="893" t="str">
        <f t="array" ref="H274">if(isblank(F274),"",xlookup(F274,'FL5_POR_包裝對照表 (Mapping Table)'!E:E,'FL5_POR_包裝對照表 (Mapping Table)'!E:E,"",0,1))</f>
        <v/>
      </c>
      <c r="I274" s="677" t="str">
        <f t="array" ref="I274">if(isblank(F274),"",xlookup(F274,'FL5_POR_包裝對照表 (Mapping Table)'!E:E,'FL5_POR_包裝對照表 (Mapping Table)'!AN:AN,"",0,1))</f>
        <v/>
      </c>
      <c r="J274" s="894" t="str">
        <f t="array" ref="J274">if(isblank(F274),"",xlookup(G274,z_Others!$B$5:$B$17,z_Others!$C$5:$C$17,"",0,1))</f>
        <v/>
      </c>
      <c r="K274" s="894" t="str">
        <f t="array" ref="K274">if(isblank(F274),"",xlookup(G274,z_Others!$B$5:$B$17,z_Others!$E$5:$E$17,"",0,1))</f>
        <v/>
      </c>
      <c r="L274" s="894" t="str">
        <f t="array" ref="L274">if(isblank(F274),"",xlookup(G274,z_Others!$B$5:$B$17,z_Others!$F$5:$F$17,"",0,1))</f>
        <v/>
      </c>
      <c r="M274" s="894" t="str">
        <f t="shared" si="3"/>
        <v/>
      </c>
      <c r="N274" s="894" t="str">
        <f t="shared" si="4"/>
        <v/>
      </c>
      <c r="O274" s="882" t="str">
        <f t="array" ref="O274">if(isblank(F274),"",xlookup(F274,'FL5_POR_包裝對照表 (Mapping Table)'!E:E,'FL5_POR_包裝對照表 (Mapping Table)'!L:L,"",0,1))</f>
        <v/>
      </c>
      <c r="P274" s="909" t="str">
        <f t="array" ref="P274">if(isblank(F274),"",xlookup(G274,z_Others!$B$5:$B$17,z_Others!$J$5:$J$17,"",0,1))</f>
        <v/>
      </c>
      <c r="Q274" s="899" t="str">
        <f t="array" ref="Q274">if(isblank(F274),"",xlookup(F274,'FL5_POR_核價 (經管 &amp; BPM)'!E:E,'FL5_POR_核價 (經管 &amp; BPM)'!O:O,"",0,1))</f>
        <v/>
      </c>
      <c r="R274" s="894" t="str">
        <f t="shared" si="5"/>
        <v/>
      </c>
      <c r="S274" s="894" t="str">
        <f t="array" ref="S274">if(isblank(F274),"",xlookup(G274,z_Others!$B$5:$B$17,z_Others!$K$5:$K$17,"",0,1))</f>
        <v/>
      </c>
      <c r="T274" s="894" t="str">
        <f t="shared" si="19"/>
        <v/>
      </c>
      <c r="U274" s="898" t="str">
        <f t="array" ref="U274">if(isblank(F274),"",xlookup(G274,z_Others!$B$5:$B$17,z_Others!$G$5:$G$17,"",0,1))</f>
        <v/>
      </c>
      <c r="V274" s="231" t="str">
        <f t="array" ref="V274">if(isblank(F274),"",xlookup(F274,'FL5_POR_包裝對照表 (Mapping Table)'!E:E,'FL5_POR_包裝對照表 (Mapping Table)'!AB:AB,"",0,1))</f>
        <v/>
      </c>
      <c r="W274" s="899" t="str">
        <f t="array" ref="W274">if(isblank(F274),"",xlookup(G274,z_Others!$B$5:$B$17,z_Others!$I$5:$I$17,"",0,1))</f>
        <v/>
      </c>
      <c r="X274" s="894" t="str">
        <f t="shared" si="7"/>
        <v/>
      </c>
      <c r="Y274" s="894" t="str">
        <f t="shared" si="8"/>
        <v/>
      </c>
      <c r="Z274" s="900" t="str">
        <f t="shared" si="9"/>
        <v/>
      </c>
      <c r="AA274" s="900" t="str">
        <f t="shared" si="10"/>
        <v/>
      </c>
      <c r="AB274" s="878" t="str">
        <f t="array" ref="AB274">if(isblank(F274),"",xlookup(AJ274,z_Others!$M$5:$M$9,z_Others!$Q$5:$Q$9,"",0,1))</f>
        <v/>
      </c>
      <c r="AC274" s="900" t="str">
        <f t="shared" si="11"/>
        <v/>
      </c>
      <c r="AD274" s="894" t="str">
        <f t="array" ref="AD274">if(isblank(F274),"",xlookup(G274,z_Others!$B$5:$B$14,z_Others!$H$5:$H$14,"",0,1))</f>
        <v/>
      </c>
      <c r="AE274" s="901" t="str">
        <f t="shared" si="12"/>
        <v/>
      </c>
      <c r="AF274" s="791"/>
      <c r="AG274" s="791" t="str">
        <f t="shared" si="21"/>
        <v/>
      </c>
      <c r="AH274" s="787"/>
      <c r="AI274" s="787"/>
      <c r="AJ274" s="677" t="str">
        <f t="array" ref="AJ274">if(isblank(F274),"",xlookup(F274,'FL5_POR_包裝對照表 (Mapping Table)'!E:E,'FL5_POR_包裝對照表 (Mapping Table)'!AS:AS,"",0,1))</f>
        <v/>
      </c>
      <c r="AK274" s="677" t="str">
        <f t="array" ref="AK274">if(isblank(F274),"",xlookup(F274,'FL5_POR_包裝對照表 (Mapping Table)'!E:E,'FL5_POR_包裝對照表 (Mapping Table)'!K:K,"",0,1))</f>
        <v/>
      </c>
      <c r="AL274" s="677"/>
      <c r="AM274" s="813"/>
      <c r="AN274" s="908"/>
      <c r="AO274" s="813"/>
      <c r="AP274" s="813"/>
    </row>
    <row r="275" ht="18.0" customHeight="1">
      <c r="A275" s="910"/>
      <c r="B275" s="908"/>
      <c r="C275" s="891" t="str">
        <f>if(isblank(F275),"",'FL5_POR_包裝對照表 (Mapping Table)'!$E$4)</f>
        <v/>
      </c>
      <c r="D275" s="878" t="str">
        <f t="array" ref="D275">if(isblank(F275),"",xlookup(F275,'FL5_POR_包裝對照表 (Mapping Table)'!E:E,'FL5_POR_包裝對照表 (Mapping Table)'!AZ:AZ,"",0,1))</f>
        <v/>
      </c>
      <c r="E275" s="677" t="str">
        <f t="shared" si="2"/>
        <v/>
      </c>
      <c r="F275" s="879"/>
      <c r="G275" s="892" t="str">
        <f t="array" ref="G275">if(isblank(F275),"",xlookup(F275,'FL5_POR_包裝對照表 (Mapping Table)'!E:E,'FL5_POR_包裝對照表 (Mapping Table)'!D:D,"",0,1))</f>
        <v/>
      </c>
      <c r="H275" s="893" t="str">
        <f t="array" ref="H275">if(isblank(F275),"",xlookup(F275,'FL5_POR_包裝對照表 (Mapping Table)'!E:E,'FL5_POR_包裝對照表 (Mapping Table)'!E:E,"",0,1))</f>
        <v/>
      </c>
      <c r="I275" s="677" t="str">
        <f t="array" ref="I275">if(isblank(F275),"",xlookup(F275,'FL5_POR_包裝對照表 (Mapping Table)'!E:E,'FL5_POR_包裝對照表 (Mapping Table)'!AN:AN,"",0,1))</f>
        <v/>
      </c>
      <c r="J275" s="894" t="str">
        <f t="array" ref="J275">if(isblank(F275),"",xlookup(G275,z_Others!$B$5:$B$17,z_Others!$C$5:$C$17,"",0,1))</f>
        <v/>
      </c>
      <c r="K275" s="894" t="str">
        <f t="array" ref="K275">if(isblank(F275),"",xlookup(G275,z_Others!$B$5:$B$17,z_Others!$E$5:$E$17,"",0,1))</f>
        <v/>
      </c>
      <c r="L275" s="894" t="str">
        <f t="array" ref="L275">if(isblank(F275),"",xlookup(G275,z_Others!$B$5:$B$17,z_Others!$F$5:$F$17,"",0,1))</f>
        <v/>
      </c>
      <c r="M275" s="894" t="str">
        <f t="shared" si="3"/>
        <v/>
      </c>
      <c r="N275" s="894" t="str">
        <f t="shared" si="4"/>
        <v/>
      </c>
      <c r="O275" s="882" t="str">
        <f t="array" ref="O275">if(isblank(F275),"",xlookup(F275,'FL5_POR_包裝對照表 (Mapping Table)'!E:E,'FL5_POR_包裝對照表 (Mapping Table)'!L:L,"",0,1))</f>
        <v/>
      </c>
      <c r="P275" s="909" t="str">
        <f t="array" ref="P275">if(isblank(F275),"",xlookup(G275,z_Others!$B$5:$B$17,z_Others!$J$5:$J$17,"",0,1))</f>
        <v/>
      </c>
      <c r="Q275" s="899" t="str">
        <f t="array" ref="Q275">if(isblank(F275),"",xlookup(F275,'FL5_POR_核價 (經管 &amp; BPM)'!E:E,'FL5_POR_核價 (經管 &amp; BPM)'!O:O,"",0,1))</f>
        <v/>
      </c>
      <c r="R275" s="894" t="str">
        <f t="shared" si="5"/>
        <v/>
      </c>
      <c r="S275" s="894" t="str">
        <f t="array" ref="S275">if(isblank(F275),"",xlookup(G275,z_Others!$B$5:$B$17,z_Others!$K$5:$K$17,"",0,1))</f>
        <v/>
      </c>
      <c r="T275" s="894" t="str">
        <f t="shared" si="19"/>
        <v/>
      </c>
      <c r="U275" s="898" t="str">
        <f t="array" ref="U275">if(isblank(F275),"",xlookup(G275,z_Others!$B$5:$B$17,z_Others!$G$5:$G$17,"",0,1))</f>
        <v/>
      </c>
      <c r="V275" s="231" t="str">
        <f t="array" ref="V275">if(isblank(F275),"",xlookup(F275,'FL5_POR_包裝對照表 (Mapping Table)'!E:E,'FL5_POR_包裝對照表 (Mapping Table)'!AB:AB,"",0,1))</f>
        <v/>
      </c>
      <c r="W275" s="899" t="str">
        <f t="array" ref="W275">if(isblank(F275),"",xlookup(G275,z_Others!$B$5:$B$17,z_Others!$I$5:$I$17,"",0,1))</f>
        <v/>
      </c>
      <c r="X275" s="894" t="str">
        <f t="shared" si="7"/>
        <v/>
      </c>
      <c r="Y275" s="894" t="str">
        <f t="shared" si="8"/>
        <v/>
      </c>
      <c r="Z275" s="900" t="str">
        <f t="shared" si="9"/>
        <v/>
      </c>
      <c r="AA275" s="900" t="str">
        <f t="shared" si="10"/>
        <v/>
      </c>
      <c r="AB275" s="878" t="str">
        <f t="array" ref="AB275">if(isblank(F275),"",xlookup(AJ275,z_Others!$M$5:$M$9,z_Others!$Q$5:$Q$9,"",0,1))</f>
        <v/>
      </c>
      <c r="AC275" s="900" t="str">
        <f t="shared" si="11"/>
        <v/>
      </c>
      <c r="AD275" s="894" t="str">
        <f t="array" ref="AD275">if(isblank(F275),"",xlookup(G275,z_Others!$B$5:$B$14,z_Others!$H$5:$H$14,"",0,1))</f>
        <v/>
      </c>
      <c r="AE275" s="901" t="str">
        <f t="shared" si="12"/>
        <v/>
      </c>
      <c r="AF275" s="791"/>
      <c r="AG275" s="791" t="str">
        <f t="shared" si="21"/>
        <v/>
      </c>
      <c r="AH275" s="787"/>
      <c r="AI275" s="787"/>
      <c r="AJ275" s="677" t="str">
        <f t="array" ref="AJ275">if(isblank(F275),"",xlookup(F275,'FL5_POR_包裝對照表 (Mapping Table)'!E:E,'FL5_POR_包裝對照表 (Mapping Table)'!AS:AS,"",0,1))</f>
        <v/>
      </c>
      <c r="AK275" s="677" t="str">
        <f t="array" ref="AK275">if(isblank(F275),"",xlookup(F275,'FL5_POR_包裝對照表 (Mapping Table)'!E:E,'FL5_POR_包裝對照表 (Mapping Table)'!K:K,"",0,1))</f>
        <v/>
      </c>
      <c r="AL275" s="677"/>
      <c r="AM275" s="813"/>
      <c r="AN275" s="908"/>
      <c r="AO275" s="813"/>
      <c r="AP275" s="813"/>
    </row>
    <row r="276" ht="18.0" customHeight="1">
      <c r="A276" s="910"/>
      <c r="B276" s="908"/>
      <c r="C276" s="891" t="str">
        <f>if(isblank(F276),"",'FL5_POR_包裝對照表 (Mapping Table)'!$E$4)</f>
        <v/>
      </c>
      <c r="D276" s="878" t="str">
        <f t="array" ref="D276">if(isblank(F276),"",xlookup(F276,'FL5_POR_包裝對照表 (Mapping Table)'!E:E,'FL5_POR_包裝對照表 (Mapping Table)'!AZ:AZ,"",0,1))</f>
        <v/>
      </c>
      <c r="E276" s="677" t="str">
        <f t="shared" si="2"/>
        <v/>
      </c>
      <c r="F276" s="879"/>
      <c r="G276" s="892" t="str">
        <f t="array" ref="G276">if(isblank(F276),"",xlookup(F276,'FL5_POR_包裝對照表 (Mapping Table)'!E:E,'FL5_POR_包裝對照表 (Mapping Table)'!D:D,"",0,1))</f>
        <v/>
      </c>
      <c r="H276" s="893" t="str">
        <f t="array" ref="H276">if(isblank(F276),"",xlookup(F276,'FL5_POR_包裝對照表 (Mapping Table)'!E:E,'FL5_POR_包裝對照表 (Mapping Table)'!E:E,"",0,1))</f>
        <v/>
      </c>
      <c r="I276" s="677" t="str">
        <f t="array" ref="I276">if(isblank(F276),"",xlookup(F276,'FL5_POR_包裝對照表 (Mapping Table)'!E:E,'FL5_POR_包裝對照表 (Mapping Table)'!AN:AN,"",0,1))</f>
        <v/>
      </c>
      <c r="J276" s="894" t="str">
        <f t="array" ref="J276">if(isblank(F276),"",xlookup(G276,z_Others!$B$5:$B$17,z_Others!$C$5:$C$17,"",0,1))</f>
        <v/>
      </c>
      <c r="K276" s="894" t="str">
        <f t="array" ref="K276">if(isblank(F276),"",xlookup(G276,z_Others!$B$5:$B$17,z_Others!$E$5:$E$17,"",0,1))</f>
        <v/>
      </c>
      <c r="L276" s="894" t="str">
        <f t="array" ref="L276">if(isblank(F276),"",xlookup(G276,z_Others!$B$5:$B$17,z_Others!$F$5:$F$17,"",0,1))</f>
        <v/>
      </c>
      <c r="M276" s="894" t="str">
        <f t="shared" si="3"/>
        <v/>
      </c>
      <c r="N276" s="894" t="str">
        <f t="shared" si="4"/>
        <v/>
      </c>
      <c r="O276" s="882" t="str">
        <f t="array" ref="O276">if(isblank(F276),"",xlookup(F276,'FL5_POR_包裝對照表 (Mapping Table)'!E:E,'FL5_POR_包裝對照表 (Mapping Table)'!L:L,"",0,1))</f>
        <v/>
      </c>
      <c r="P276" s="909" t="str">
        <f t="array" ref="P276">if(isblank(F276),"",xlookup(G276,z_Others!$B$5:$B$17,z_Others!$J$5:$J$17,"",0,1))</f>
        <v/>
      </c>
      <c r="Q276" s="899" t="str">
        <f t="array" ref="Q276">if(isblank(F276),"",xlookup(F276,'FL5_POR_核價 (經管 &amp; BPM)'!E:E,'FL5_POR_核價 (經管 &amp; BPM)'!O:O,"",0,1))</f>
        <v/>
      </c>
      <c r="R276" s="894" t="str">
        <f t="shared" si="5"/>
        <v/>
      </c>
      <c r="S276" s="894" t="str">
        <f t="array" ref="S276">if(isblank(F276),"",xlookup(G276,z_Others!$B$5:$B$17,z_Others!$K$5:$K$17,"",0,1))</f>
        <v/>
      </c>
      <c r="T276" s="894" t="str">
        <f t="shared" si="19"/>
        <v/>
      </c>
      <c r="U276" s="898" t="str">
        <f t="array" ref="U276">if(isblank(F276),"",xlookup(G276,z_Others!$B$5:$B$17,z_Others!$G$5:$G$17,"",0,1))</f>
        <v/>
      </c>
      <c r="V276" s="231" t="str">
        <f t="array" ref="V276">if(isblank(F276),"",xlookup(F276,'FL5_POR_包裝對照表 (Mapping Table)'!E:E,'FL5_POR_包裝對照表 (Mapping Table)'!AB:AB,"",0,1))</f>
        <v/>
      </c>
      <c r="W276" s="899" t="str">
        <f t="array" ref="W276">if(isblank(F276),"",xlookup(G276,z_Others!$B$5:$B$17,z_Others!$I$5:$I$17,"",0,1))</f>
        <v/>
      </c>
      <c r="X276" s="894" t="str">
        <f t="shared" si="7"/>
        <v/>
      </c>
      <c r="Y276" s="894" t="str">
        <f t="shared" si="8"/>
        <v/>
      </c>
      <c r="Z276" s="900" t="str">
        <f t="shared" si="9"/>
        <v/>
      </c>
      <c r="AA276" s="900" t="str">
        <f t="shared" si="10"/>
        <v/>
      </c>
      <c r="AB276" s="878" t="str">
        <f t="array" ref="AB276">if(isblank(F276),"",xlookup(AJ276,z_Others!$M$5:$M$9,z_Others!$Q$5:$Q$9,"",0,1))</f>
        <v/>
      </c>
      <c r="AC276" s="900" t="str">
        <f t="shared" si="11"/>
        <v/>
      </c>
      <c r="AD276" s="894" t="str">
        <f t="array" ref="AD276">if(isblank(F276),"",xlookup(G276,z_Others!$B$5:$B$14,z_Others!$H$5:$H$14,"",0,1))</f>
        <v/>
      </c>
      <c r="AE276" s="901" t="str">
        <f t="shared" si="12"/>
        <v/>
      </c>
      <c r="AF276" s="791"/>
      <c r="AG276" s="791" t="str">
        <f t="shared" si="21"/>
        <v/>
      </c>
      <c r="AH276" s="787"/>
      <c r="AI276" s="787"/>
      <c r="AJ276" s="677" t="str">
        <f t="array" ref="AJ276">if(isblank(F276),"",xlookup(F276,'FL5_POR_包裝對照表 (Mapping Table)'!E:E,'FL5_POR_包裝對照表 (Mapping Table)'!AS:AS,"",0,1))</f>
        <v/>
      </c>
      <c r="AK276" s="677" t="str">
        <f t="array" ref="AK276">if(isblank(F276),"",xlookup(F276,'FL5_POR_包裝對照表 (Mapping Table)'!E:E,'FL5_POR_包裝對照表 (Mapping Table)'!K:K,"",0,1))</f>
        <v/>
      </c>
      <c r="AL276" s="677"/>
      <c r="AM276" s="813"/>
      <c r="AN276" s="908"/>
      <c r="AO276" s="813"/>
      <c r="AP276" s="813"/>
    </row>
    <row r="277" ht="18.0" customHeight="1">
      <c r="A277" s="910"/>
      <c r="B277" s="908"/>
      <c r="C277" s="891" t="str">
        <f>if(isblank(F277),"",'FL5_POR_包裝對照表 (Mapping Table)'!$E$4)</f>
        <v/>
      </c>
      <c r="D277" s="878" t="str">
        <f t="array" ref="D277">if(isblank(F277),"",xlookup(F277,'FL5_POR_包裝對照表 (Mapping Table)'!E:E,'FL5_POR_包裝對照表 (Mapping Table)'!AZ:AZ,"",0,1))</f>
        <v/>
      </c>
      <c r="E277" s="677" t="str">
        <f t="shared" si="2"/>
        <v/>
      </c>
      <c r="F277" s="879"/>
      <c r="G277" s="892" t="str">
        <f t="array" ref="G277">if(isblank(F277),"",xlookup(F277,'FL5_POR_包裝對照表 (Mapping Table)'!E:E,'FL5_POR_包裝對照表 (Mapping Table)'!D:D,"",0,1))</f>
        <v/>
      </c>
      <c r="H277" s="893" t="str">
        <f t="array" ref="H277">if(isblank(F277),"",xlookup(F277,'FL5_POR_包裝對照表 (Mapping Table)'!E:E,'FL5_POR_包裝對照表 (Mapping Table)'!E:E,"",0,1))</f>
        <v/>
      </c>
      <c r="I277" s="677" t="str">
        <f t="array" ref="I277">if(isblank(F277),"",xlookup(F277,'FL5_POR_包裝對照表 (Mapping Table)'!E:E,'FL5_POR_包裝對照表 (Mapping Table)'!AN:AN,"",0,1))</f>
        <v/>
      </c>
      <c r="J277" s="894" t="str">
        <f t="array" ref="J277">if(isblank(F277),"",xlookup(G277,z_Others!$B$5:$B$17,z_Others!$C$5:$C$17,"",0,1))</f>
        <v/>
      </c>
      <c r="K277" s="894" t="str">
        <f t="array" ref="K277">if(isblank(F277),"",xlookup(G277,z_Others!$B$5:$B$17,z_Others!$E$5:$E$17,"",0,1))</f>
        <v/>
      </c>
      <c r="L277" s="894" t="str">
        <f t="array" ref="L277">if(isblank(F277),"",xlookup(G277,z_Others!$B$5:$B$17,z_Others!$F$5:$F$17,"",0,1))</f>
        <v/>
      </c>
      <c r="M277" s="894" t="str">
        <f t="shared" si="3"/>
        <v/>
      </c>
      <c r="N277" s="894" t="str">
        <f t="shared" si="4"/>
        <v/>
      </c>
      <c r="O277" s="882" t="str">
        <f t="array" ref="O277">if(isblank(F277),"",xlookup(F277,'FL5_POR_包裝對照表 (Mapping Table)'!E:E,'FL5_POR_包裝對照表 (Mapping Table)'!L:L,"",0,1))</f>
        <v/>
      </c>
      <c r="P277" s="909" t="str">
        <f t="array" ref="P277">if(isblank(F277),"",xlookup(G277,z_Others!$B$5:$B$17,z_Others!$J$5:$J$17,"",0,1))</f>
        <v/>
      </c>
      <c r="Q277" s="899" t="str">
        <f t="array" ref="Q277">if(isblank(F277),"",xlookup(F277,'FL5_POR_核價 (經管 &amp; BPM)'!E:E,'FL5_POR_核價 (經管 &amp; BPM)'!O:O,"",0,1))</f>
        <v/>
      </c>
      <c r="R277" s="894" t="str">
        <f t="shared" si="5"/>
        <v/>
      </c>
      <c r="S277" s="894" t="str">
        <f t="array" ref="S277">if(isblank(F277),"",xlookup(G277,z_Others!$B$5:$B$17,z_Others!$K$5:$K$17,"",0,1))</f>
        <v/>
      </c>
      <c r="T277" s="894" t="str">
        <f t="shared" si="19"/>
        <v/>
      </c>
      <c r="U277" s="898" t="str">
        <f t="array" ref="U277">if(isblank(F277),"",xlookup(G277,z_Others!$B$5:$B$17,z_Others!$G$5:$G$17,"",0,1))</f>
        <v/>
      </c>
      <c r="V277" s="231" t="str">
        <f t="array" ref="V277">if(isblank(F277),"",xlookup(F277,'FL5_POR_包裝對照表 (Mapping Table)'!E:E,'FL5_POR_包裝對照表 (Mapping Table)'!AB:AB,"",0,1))</f>
        <v/>
      </c>
      <c r="W277" s="899" t="str">
        <f t="array" ref="W277">if(isblank(F277),"",xlookup(G277,z_Others!$B$5:$B$17,z_Others!$I$5:$I$17,"",0,1))</f>
        <v/>
      </c>
      <c r="X277" s="894" t="str">
        <f t="shared" si="7"/>
        <v/>
      </c>
      <c r="Y277" s="894" t="str">
        <f t="shared" si="8"/>
        <v/>
      </c>
      <c r="Z277" s="900" t="str">
        <f t="shared" si="9"/>
        <v/>
      </c>
      <c r="AA277" s="900" t="str">
        <f t="shared" si="10"/>
        <v/>
      </c>
      <c r="AB277" s="878" t="str">
        <f t="array" ref="AB277">if(isblank(F277),"",xlookup(AJ277,z_Others!$M$5:$M$9,z_Others!$Q$5:$Q$9,"",0,1))</f>
        <v/>
      </c>
      <c r="AC277" s="900" t="str">
        <f t="shared" si="11"/>
        <v/>
      </c>
      <c r="AD277" s="894" t="str">
        <f t="array" ref="AD277">if(isblank(F277),"",xlookup(G277,z_Others!$B$5:$B$14,z_Others!$H$5:$H$14,"",0,1))</f>
        <v/>
      </c>
      <c r="AE277" s="901" t="str">
        <f t="shared" si="12"/>
        <v/>
      </c>
      <c r="AF277" s="791"/>
      <c r="AG277" s="791" t="str">
        <f t="shared" si="21"/>
        <v/>
      </c>
      <c r="AH277" s="787"/>
      <c r="AI277" s="787"/>
      <c r="AJ277" s="677" t="str">
        <f t="array" ref="AJ277">if(isblank(F277),"",xlookup(F277,'FL5_POR_包裝對照表 (Mapping Table)'!E:E,'FL5_POR_包裝對照表 (Mapping Table)'!AS:AS,"",0,1))</f>
        <v/>
      </c>
      <c r="AK277" s="677" t="str">
        <f t="array" ref="AK277">if(isblank(F277),"",xlookup(F277,'FL5_POR_包裝對照表 (Mapping Table)'!E:E,'FL5_POR_包裝對照表 (Mapping Table)'!K:K,"",0,1))</f>
        <v/>
      </c>
      <c r="AL277" s="677"/>
      <c r="AM277" s="813"/>
      <c r="AN277" s="908"/>
      <c r="AO277" s="813"/>
      <c r="AP277" s="813"/>
    </row>
    <row r="278">
      <c r="A278" s="911"/>
      <c r="B278" s="912"/>
      <c r="C278" s="913" t="str">
        <f>if(isblank(F278),"",'FL5_POR_包裝對照表 (Mapping Table)'!$E$4)</f>
        <v/>
      </c>
      <c r="D278" s="914" t="str">
        <f t="array" ref="D278">if(isblank(F278),"",xlookup(F278,'FL5_POR_包裝對照表 (Mapping Table)'!E:E,'FL5_POR_包裝對照表 (Mapping Table)'!AZ:AZ,"",0,1))</f>
        <v/>
      </c>
      <c r="E278" s="915" t="str">
        <f t="shared" si="2"/>
        <v/>
      </c>
      <c r="F278" s="916"/>
      <c r="G278" s="917" t="str">
        <f t="array" ref="G278">if(isblank(F278),"",xlookup(F278,'FL5_POR_包裝對照表 (Mapping Table)'!E:E,'FL5_POR_包裝對照表 (Mapping Table)'!D:D,"",0,1))</f>
        <v/>
      </c>
      <c r="H278" s="918" t="str">
        <f t="array" ref="H278">if(isblank(F278),"",xlookup(F278,'FL5_POR_包裝對照表 (Mapping Table)'!E:E,'FL5_POR_包裝對照表 (Mapping Table)'!E:E,"",0,1))</f>
        <v/>
      </c>
      <c r="I278" s="915" t="str">
        <f t="array" ref="I278">if(isblank(F278),"",xlookup(F278,'FL5_POR_包裝對照表 (Mapping Table)'!E:E,'FL5_POR_包裝對照表 (Mapping Table)'!AN:AN,"",0,1))</f>
        <v/>
      </c>
      <c r="J278" s="913" t="str">
        <f t="array" ref="J278">if(isblank(F278),"",xlookup(G278,z_Others!$B$5:$B$17,z_Others!$C$5:$C$17,"",0,1))</f>
        <v/>
      </c>
      <c r="K278" s="913" t="str">
        <f t="array" ref="K278">if(isblank(F278),"",xlookup(G278,z_Others!$B$5:$B$17,z_Others!$E$5:$E$17,"",0,1))</f>
        <v/>
      </c>
      <c r="L278" s="913" t="str">
        <f t="array" ref="L278">if(isblank(F278),"",xlookup(G278,z_Others!$B$5:$B$17,z_Others!$F$5:$F$17,"",0,1))</f>
        <v/>
      </c>
      <c r="M278" s="913" t="str">
        <f t="shared" si="3"/>
        <v/>
      </c>
      <c r="N278" s="913" t="str">
        <f t="shared" si="4"/>
        <v/>
      </c>
      <c r="O278" s="919" t="str">
        <f t="array" ref="O278">if(isblank(F278),"",xlookup(F278,'FL5_POR_包裝對照表 (Mapping Table)'!E:E,'FL5_POR_包裝對照表 (Mapping Table)'!L:L,"",0,1))</f>
        <v/>
      </c>
      <c r="P278" s="920" t="str">
        <f t="array" ref="P278">if(isblank(F278),"",xlookup(G278,z_Others!$B$5:$B$17,z_Others!$J$5:$J$17,"",0,1))</f>
        <v/>
      </c>
      <c r="Q278" s="921" t="str">
        <f t="array" ref="Q278">if(isblank(F278),"",xlookup(F278,'FL5_POR_核價 (經管 &amp; BPM)'!E:E,'FL5_POR_核價 (經管 &amp; BPM)'!O:O,"",0,1))</f>
        <v/>
      </c>
      <c r="R278" s="913" t="str">
        <f t="shared" si="5"/>
        <v/>
      </c>
      <c r="S278" s="913" t="str">
        <f t="array" ref="S278">if(isblank(F278),"",xlookup(G278,z_Others!$B$5:$B$17,z_Others!$K$5:$K$17,"",0,1))</f>
        <v/>
      </c>
      <c r="T278" s="913" t="str">
        <f t="shared" si="19"/>
        <v/>
      </c>
      <c r="U278" s="922" t="str">
        <f t="array" ref="U278">if(isblank(F278),"",xlookup(G278,z_Others!$B$5:$B$17,z_Others!$G$5:$G$17,"",0,1))</f>
        <v/>
      </c>
      <c r="V278" s="923" t="str">
        <f t="array" ref="V278">if(isblank(F278),"",xlookup(F278,'FL5_POR_包裝對照表 (Mapping Table)'!E:E,'FL5_POR_包裝對照表 (Mapping Table)'!AB:AB,"",0,1))</f>
        <v/>
      </c>
      <c r="W278" s="921" t="str">
        <f t="array" ref="W278">if(isblank(F278),"",xlookup(G278,z_Others!$B$5:$B$17,z_Others!$I$5:$I$17,"",0,1))</f>
        <v/>
      </c>
      <c r="X278" s="913" t="str">
        <f t="shared" si="7"/>
        <v/>
      </c>
      <c r="Y278" s="913" t="str">
        <f t="shared" si="8"/>
        <v/>
      </c>
      <c r="Z278" s="924" t="str">
        <f t="shared" si="9"/>
        <v/>
      </c>
      <c r="AA278" s="924" t="str">
        <f t="shared" si="10"/>
        <v/>
      </c>
      <c r="AB278" s="914" t="str">
        <f t="array" ref="AB278">if(isblank(F278),"",xlookup(AJ278,z_Others!$M$5:$M$9,z_Others!$Q$5:$Q$9,"",0,1))</f>
        <v/>
      </c>
      <c r="AC278" s="924" t="str">
        <f t="shared" si="11"/>
        <v/>
      </c>
      <c r="AD278" s="913" t="str">
        <f t="array" ref="AD278">if(isblank(F278),"",xlookup(G278,z_Others!$B$5:$B$14,z_Others!$H$5:$H$14,"",0,1))</f>
        <v/>
      </c>
      <c r="AE278" s="925" t="str">
        <f t="shared" si="12"/>
        <v/>
      </c>
      <c r="AF278" s="926"/>
      <c r="AG278" s="926" t="str">
        <f t="shared" si="21"/>
        <v/>
      </c>
      <c r="AH278" s="927"/>
      <c r="AI278" s="927"/>
      <c r="AJ278" s="915" t="str">
        <f t="array" ref="AJ278">if(isblank(F278),"",xlookup(F278,'FL5_POR_包裝對照表 (Mapping Table)'!E:E,'FL5_POR_包裝對照表 (Mapping Table)'!AS:AS,"",0,1))</f>
        <v/>
      </c>
      <c r="AK278" s="915" t="str">
        <f t="array" ref="AK278">if(isblank(F278),"",xlookup(F278,'FL5_POR_包裝對照表 (Mapping Table)'!E:E,'FL5_POR_包裝對照表 (Mapping Table)'!K:K,"",0,1))</f>
        <v/>
      </c>
      <c r="AL278" s="915"/>
      <c r="AM278" s="1"/>
      <c r="AN278" s="912"/>
      <c r="AO278" s="928"/>
      <c r="AP278" s="928"/>
    </row>
    <row r="279">
      <c r="A279" s="929"/>
      <c r="B279" s="691"/>
      <c r="C279" s="891"/>
      <c r="D279" s="878"/>
      <c r="E279" s="677"/>
      <c r="F279" s="879"/>
      <c r="G279" s="892"/>
      <c r="H279" s="893"/>
      <c r="I279" s="677"/>
      <c r="J279" s="894"/>
      <c r="K279" s="894"/>
      <c r="L279" s="894"/>
      <c r="M279" s="894"/>
      <c r="N279" s="894"/>
      <c r="O279" s="882"/>
      <c r="P279" s="909"/>
      <c r="Q279" s="899"/>
      <c r="R279" s="894"/>
      <c r="S279" s="894"/>
      <c r="T279" s="894"/>
      <c r="U279" s="898"/>
      <c r="V279" s="231"/>
      <c r="W279" s="899"/>
      <c r="X279" s="894"/>
      <c r="Y279" s="894"/>
      <c r="Z279" s="900"/>
      <c r="AA279" s="900"/>
      <c r="AB279" s="878"/>
      <c r="AC279" s="900"/>
      <c r="AD279" s="894"/>
      <c r="AE279" s="901"/>
      <c r="AF279" s="791"/>
      <c r="AG279" s="791"/>
      <c r="AH279" s="787"/>
      <c r="AI279" s="787"/>
      <c r="AJ279" s="677"/>
      <c r="AK279" s="677"/>
      <c r="AL279" s="677"/>
      <c r="AM279" s="1"/>
      <c r="AN279" s="691"/>
      <c r="AO279" s="1"/>
      <c r="AP279" s="1"/>
    </row>
    <row r="280">
      <c r="A280" s="929"/>
      <c r="B280" s="691"/>
      <c r="C280" s="891"/>
      <c r="D280" s="878"/>
      <c r="E280" s="677"/>
      <c r="F280" s="879"/>
      <c r="G280" s="892"/>
      <c r="H280" s="893"/>
      <c r="I280" s="677"/>
      <c r="J280" s="894"/>
      <c r="K280" s="894"/>
      <c r="L280" s="894"/>
      <c r="M280" s="894"/>
      <c r="N280" s="894"/>
      <c r="O280" s="882"/>
      <c r="P280" s="909"/>
      <c r="Q280" s="899"/>
      <c r="R280" s="894"/>
      <c r="S280" s="894"/>
      <c r="T280" s="894"/>
      <c r="U280" s="898"/>
      <c r="V280" s="231"/>
      <c r="W280" s="899"/>
      <c r="X280" s="894"/>
      <c r="Y280" s="894"/>
      <c r="Z280" s="900"/>
      <c r="AA280" s="900"/>
      <c r="AB280" s="878"/>
      <c r="AC280" s="900"/>
      <c r="AD280" s="894"/>
      <c r="AE280" s="901"/>
      <c r="AF280" s="791"/>
      <c r="AG280" s="791"/>
      <c r="AH280" s="787"/>
      <c r="AI280" s="787"/>
      <c r="AJ280" s="677"/>
      <c r="AK280" s="677"/>
      <c r="AL280" s="677"/>
      <c r="AM280" s="1"/>
      <c r="AN280" s="691"/>
      <c r="AO280" s="1"/>
      <c r="AP280" s="1"/>
    </row>
    <row r="281">
      <c r="A281" s="929"/>
      <c r="B281" s="691"/>
      <c r="C281" s="891"/>
      <c r="D281" s="878"/>
      <c r="E281" s="677"/>
      <c r="F281" s="879"/>
      <c r="G281" s="892"/>
      <c r="H281" s="893"/>
      <c r="I281" s="677"/>
      <c r="J281" s="894"/>
      <c r="K281" s="894"/>
      <c r="L281" s="894"/>
      <c r="M281" s="894"/>
      <c r="N281" s="894"/>
      <c r="O281" s="882"/>
      <c r="P281" s="909"/>
      <c r="Q281" s="899"/>
      <c r="R281" s="894"/>
      <c r="S281" s="894"/>
      <c r="T281" s="894"/>
      <c r="U281" s="898"/>
      <c r="V281" s="231"/>
      <c r="W281" s="899"/>
      <c r="X281" s="894"/>
      <c r="Y281" s="894"/>
      <c r="Z281" s="900"/>
      <c r="AA281" s="900"/>
      <c r="AB281" s="878"/>
      <c r="AC281" s="900"/>
      <c r="AD281" s="894"/>
      <c r="AE281" s="901"/>
      <c r="AF281" s="791"/>
      <c r="AG281" s="791"/>
      <c r="AH281" s="787"/>
      <c r="AI281" s="787"/>
      <c r="AJ281" s="677"/>
      <c r="AK281" s="677"/>
      <c r="AL281" s="677"/>
      <c r="AM281" s="1"/>
      <c r="AN281" s="691"/>
      <c r="AO281" s="1"/>
      <c r="AP281" s="1"/>
    </row>
    <row r="282">
      <c r="A282" s="929"/>
      <c r="B282" s="691"/>
      <c r="C282" s="891"/>
      <c r="D282" s="878"/>
      <c r="E282" s="677"/>
      <c r="F282" s="879"/>
      <c r="G282" s="892"/>
      <c r="H282" s="893"/>
      <c r="I282" s="677"/>
      <c r="J282" s="894"/>
      <c r="K282" s="894"/>
      <c r="L282" s="894"/>
      <c r="M282" s="894"/>
      <c r="N282" s="894"/>
      <c r="O282" s="882"/>
      <c r="P282" s="909"/>
      <c r="Q282" s="899"/>
      <c r="R282" s="894"/>
      <c r="S282" s="894"/>
      <c r="T282" s="894"/>
      <c r="U282" s="898"/>
      <c r="V282" s="231"/>
      <c r="W282" s="899"/>
      <c r="X282" s="894"/>
      <c r="Y282" s="894"/>
      <c r="Z282" s="900"/>
      <c r="AA282" s="900"/>
      <c r="AB282" s="878"/>
      <c r="AC282" s="900"/>
      <c r="AD282" s="894"/>
      <c r="AE282" s="901"/>
      <c r="AF282" s="791"/>
      <c r="AG282" s="791"/>
      <c r="AH282" s="787"/>
      <c r="AI282" s="787"/>
      <c r="AJ282" s="677"/>
      <c r="AK282" s="677"/>
      <c r="AL282" s="677"/>
      <c r="AM282" s="1"/>
      <c r="AN282" s="691"/>
      <c r="AO282" s="1"/>
      <c r="AP282" s="1"/>
    </row>
    <row r="283">
      <c r="A283" s="929"/>
      <c r="B283" s="691"/>
      <c r="C283" s="891"/>
      <c r="D283" s="878"/>
      <c r="E283" s="677"/>
      <c r="F283" s="879"/>
      <c r="G283" s="892"/>
      <c r="H283" s="893"/>
      <c r="I283" s="677"/>
      <c r="J283" s="894"/>
      <c r="K283" s="894"/>
      <c r="L283" s="894"/>
      <c r="M283" s="894"/>
      <c r="N283" s="894"/>
      <c r="O283" s="882"/>
      <c r="P283" s="909"/>
      <c r="Q283" s="899"/>
      <c r="R283" s="894"/>
      <c r="S283" s="894"/>
      <c r="T283" s="894"/>
      <c r="U283" s="898"/>
      <c r="V283" s="231"/>
      <c r="W283" s="899"/>
      <c r="X283" s="894"/>
      <c r="Y283" s="894"/>
      <c r="Z283" s="900"/>
      <c r="AA283" s="900"/>
      <c r="AB283" s="878"/>
      <c r="AC283" s="900"/>
      <c r="AD283" s="894"/>
      <c r="AE283" s="901"/>
      <c r="AF283" s="791"/>
      <c r="AG283" s="791"/>
      <c r="AH283" s="787"/>
      <c r="AI283" s="787"/>
      <c r="AJ283" s="677"/>
      <c r="AK283" s="677"/>
      <c r="AL283" s="677"/>
      <c r="AM283" s="1"/>
      <c r="AN283" s="691"/>
      <c r="AO283" s="1"/>
      <c r="AP283" s="1"/>
    </row>
    <row r="284">
      <c r="A284" s="929"/>
      <c r="B284" s="691"/>
      <c r="C284" s="891"/>
      <c r="D284" s="878"/>
      <c r="E284" s="677"/>
      <c r="F284" s="879"/>
      <c r="G284" s="892"/>
      <c r="H284" s="893"/>
      <c r="I284" s="677"/>
      <c r="J284" s="894"/>
      <c r="K284" s="894"/>
      <c r="L284" s="894"/>
      <c r="M284" s="894"/>
      <c r="N284" s="894"/>
      <c r="O284" s="882"/>
      <c r="P284" s="909"/>
      <c r="Q284" s="899"/>
      <c r="R284" s="894"/>
      <c r="S284" s="894"/>
      <c r="T284" s="894"/>
      <c r="U284" s="898"/>
      <c r="V284" s="231"/>
      <c r="W284" s="899"/>
      <c r="X284" s="894"/>
      <c r="Y284" s="894"/>
      <c r="Z284" s="900"/>
      <c r="AA284" s="900"/>
      <c r="AB284" s="878"/>
      <c r="AC284" s="900"/>
      <c r="AD284" s="894"/>
      <c r="AE284" s="901"/>
      <c r="AF284" s="791"/>
      <c r="AG284" s="791"/>
      <c r="AH284" s="787"/>
      <c r="AI284" s="787"/>
      <c r="AJ284" s="677"/>
      <c r="AK284" s="677"/>
      <c r="AL284" s="677"/>
      <c r="AM284" s="1"/>
      <c r="AN284" s="691"/>
      <c r="AO284" s="1"/>
      <c r="AP284" s="1"/>
    </row>
    <row r="285">
      <c r="A285" s="929"/>
      <c r="B285" s="691"/>
      <c r="C285" s="891"/>
      <c r="D285" s="878"/>
      <c r="E285" s="677"/>
      <c r="F285" s="879"/>
      <c r="G285" s="892"/>
      <c r="H285" s="893"/>
      <c r="I285" s="677"/>
      <c r="J285" s="894"/>
      <c r="K285" s="894"/>
      <c r="L285" s="894"/>
      <c r="M285" s="894"/>
      <c r="N285" s="894"/>
      <c r="O285" s="882"/>
      <c r="P285" s="909"/>
      <c r="Q285" s="899"/>
      <c r="R285" s="894"/>
      <c r="S285" s="894"/>
      <c r="T285" s="894"/>
      <c r="U285" s="898"/>
      <c r="V285" s="231"/>
      <c r="W285" s="899"/>
      <c r="X285" s="894"/>
      <c r="Y285" s="894"/>
      <c r="Z285" s="900"/>
      <c r="AA285" s="900"/>
      <c r="AB285" s="878"/>
      <c r="AC285" s="900"/>
      <c r="AD285" s="894"/>
      <c r="AE285" s="901"/>
      <c r="AF285" s="791"/>
      <c r="AG285" s="791"/>
      <c r="AH285" s="787"/>
      <c r="AI285" s="787"/>
      <c r="AJ285" s="677"/>
      <c r="AK285" s="677"/>
      <c r="AL285" s="677"/>
      <c r="AM285" s="1"/>
      <c r="AN285" s="691"/>
      <c r="AO285" s="1"/>
      <c r="AP285" s="1"/>
    </row>
    <row r="286">
      <c r="A286" s="929"/>
      <c r="B286" s="691"/>
      <c r="C286" s="891"/>
      <c r="D286" s="878"/>
      <c r="E286" s="677"/>
      <c r="F286" s="879"/>
      <c r="G286" s="892"/>
      <c r="H286" s="893"/>
      <c r="I286" s="677"/>
      <c r="J286" s="894"/>
      <c r="K286" s="894"/>
      <c r="L286" s="894"/>
      <c r="M286" s="894"/>
      <c r="N286" s="894"/>
      <c r="O286" s="882"/>
      <c r="P286" s="909"/>
      <c r="Q286" s="899"/>
      <c r="R286" s="894"/>
      <c r="S286" s="894"/>
      <c r="T286" s="894"/>
      <c r="U286" s="898"/>
      <c r="V286" s="231"/>
      <c r="W286" s="899"/>
      <c r="X286" s="894"/>
      <c r="Y286" s="894"/>
      <c r="Z286" s="900"/>
      <c r="AA286" s="900"/>
      <c r="AB286" s="878"/>
      <c r="AC286" s="900"/>
      <c r="AD286" s="894"/>
      <c r="AE286" s="901"/>
      <c r="AF286" s="791"/>
      <c r="AG286" s="791"/>
      <c r="AH286" s="787"/>
      <c r="AI286" s="787"/>
      <c r="AJ286" s="677"/>
      <c r="AK286" s="677"/>
      <c r="AL286" s="677"/>
      <c r="AM286" s="1"/>
      <c r="AN286" s="691"/>
      <c r="AO286" s="1"/>
      <c r="AP286" s="1"/>
    </row>
    <row r="287">
      <c r="A287" s="929"/>
      <c r="B287" s="691"/>
      <c r="C287" s="891"/>
      <c r="D287" s="878"/>
      <c r="E287" s="677"/>
      <c r="F287" s="879"/>
      <c r="G287" s="892"/>
      <c r="H287" s="893"/>
      <c r="I287" s="677"/>
      <c r="J287" s="894"/>
      <c r="K287" s="894"/>
      <c r="L287" s="894"/>
      <c r="M287" s="894"/>
      <c r="N287" s="894"/>
      <c r="O287" s="882"/>
      <c r="P287" s="909"/>
      <c r="Q287" s="899"/>
      <c r="R287" s="894"/>
      <c r="S287" s="894"/>
      <c r="T287" s="894"/>
      <c r="U287" s="898"/>
      <c r="V287" s="231"/>
      <c r="W287" s="899"/>
      <c r="X287" s="894"/>
      <c r="Y287" s="894"/>
      <c r="Z287" s="900"/>
      <c r="AA287" s="900"/>
      <c r="AB287" s="878"/>
      <c r="AC287" s="900"/>
      <c r="AD287" s="894"/>
      <c r="AE287" s="901"/>
      <c r="AF287" s="791"/>
      <c r="AG287" s="791"/>
      <c r="AH287" s="787"/>
      <c r="AI287" s="787"/>
      <c r="AJ287" s="677"/>
      <c r="AK287" s="677"/>
      <c r="AL287" s="677"/>
      <c r="AM287" s="1"/>
      <c r="AN287" s="691"/>
      <c r="AO287" s="1"/>
      <c r="AP287" s="1"/>
    </row>
    <row r="288">
      <c r="A288" s="929"/>
      <c r="B288" s="691"/>
      <c r="C288" s="891"/>
      <c r="D288" s="878"/>
      <c r="E288" s="677"/>
      <c r="F288" s="879"/>
      <c r="G288" s="892"/>
      <c r="H288" s="893"/>
      <c r="I288" s="677"/>
      <c r="J288" s="894"/>
      <c r="K288" s="894"/>
      <c r="L288" s="894"/>
      <c r="M288" s="894"/>
      <c r="N288" s="894"/>
      <c r="O288" s="882"/>
      <c r="P288" s="909"/>
      <c r="Q288" s="899"/>
      <c r="R288" s="894"/>
      <c r="S288" s="894"/>
      <c r="T288" s="894"/>
      <c r="U288" s="898"/>
      <c r="V288" s="231"/>
      <c r="W288" s="899"/>
      <c r="X288" s="894"/>
      <c r="Y288" s="894"/>
      <c r="Z288" s="900"/>
      <c r="AA288" s="900"/>
      <c r="AB288" s="878"/>
      <c r="AC288" s="900"/>
      <c r="AD288" s="894"/>
      <c r="AE288" s="901"/>
      <c r="AF288" s="791"/>
      <c r="AG288" s="791"/>
      <c r="AH288" s="787"/>
      <c r="AI288" s="787"/>
      <c r="AJ288" s="677"/>
      <c r="AK288" s="677"/>
      <c r="AL288" s="677"/>
      <c r="AM288" s="1"/>
      <c r="AN288" s="691"/>
      <c r="AO288" s="1"/>
      <c r="AP288" s="1"/>
    </row>
    <row r="289">
      <c r="A289" s="929"/>
      <c r="B289" s="691"/>
      <c r="C289" s="891"/>
      <c r="D289" s="878"/>
      <c r="E289" s="677"/>
      <c r="F289" s="879"/>
      <c r="G289" s="892"/>
      <c r="H289" s="893"/>
      <c r="I289" s="677"/>
      <c r="J289" s="894"/>
      <c r="K289" s="894"/>
      <c r="L289" s="894"/>
      <c r="M289" s="894"/>
      <c r="N289" s="894"/>
      <c r="O289" s="882"/>
      <c r="P289" s="909"/>
      <c r="Q289" s="899"/>
      <c r="R289" s="894"/>
      <c r="S289" s="894"/>
      <c r="T289" s="894"/>
      <c r="U289" s="898"/>
      <c r="V289" s="231"/>
      <c r="W289" s="899"/>
      <c r="X289" s="894"/>
      <c r="Y289" s="894"/>
      <c r="Z289" s="900"/>
      <c r="AA289" s="900"/>
      <c r="AB289" s="878"/>
      <c r="AC289" s="900"/>
      <c r="AD289" s="894"/>
      <c r="AE289" s="901"/>
      <c r="AF289" s="791"/>
      <c r="AG289" s="791"/>
      <c r="AH289" s="787"/>
      <c r="AI289" s="787"/>
      <c r="AJ289" s="677"/>
      <c r="AK289" s="677"/>
      <c r="AL289" s="677"/>
      <c r="AM289" s="1"/>
      <c r="AN289" s="691"/>
      <c r="AO289" s="1"/>
      <c r="AP289" s="1"/>
    </row>
    <row r="290">
      <c r="A290" s="929"/>
      <c r="B290" s="691"/>
      <c r="C290" s="891"/>
      <c r="D290" s="878"/>
      <c r="E290" s="677"/>
      <c r="F290" s="879"/>
      <c r="G290" s="892"/>
      <c r="H290" s="893"/>
      <c r="I290" s="677"/>
      <c r="J290" s="894"/>
      <c r="K290" s="894"/>
      <c r="L290" s="894"/>
      <c r="M290" s="894"/>
      <c r="N290" s="894"/>
      <c r="O290" s="882"/>
      <c r="P290" s="909"/>
      <c r="Q290" s="899"/>
      <c r="R290" s="894"/>
      <c r="S290" s="894"/>
      <c r="T290" s="894"/>
      <c r="U290" s="898"/>
      <c r="V290" s="231"/>
      <c r="W290" s="899"/>
      <c r="X290" s="894"/>
      <c r="Y290" s="894"/>
      <c r="Z290" s="900"/>
      <c r="AA290" s="900"/>
      <c r="AB290" s="878"/>
      <c r="AC290" s="900"/>
      <c r="AD290" s="894"/>
      <c r="AE290" s="901"/>
      <c r="AF290" s="791"/>
      <c r="AG290" s="791"/>
      <c r="AH290" s="787"/>
      <c r="AI290" s="787"/>
      <c r="AJ290" s="677"/>
      <c r="AK290" s="677"/>
      <c r="AL290" s="677"/>
      <c r="AM290" s="1"/>
      <c r="AN290" s="691"/>
      <c r="AO290" s="1"/>
      <c r="AP290" s="1"/>
    </row>
    <row r="291">
      <c r="A291" s="929"/>
      <c r="B291" s="691"/>
      <c r="C291" s="891"/>
      <c r="D291" s="878"/>
      <c r="E291" s="677"/>
      <c r="F291" s="879"/>
      <c r="G291" s="892"/>
      <c r="H291" s="893"/>
      <c r="I291" s="677"/>
      <c r="J291" s="894"/>
      <c r="K291" s="894"/>
      <c r="L291" s="894"/>
      <c r="M291" s="894"/>
      <c r="N291" s="894"/>
      <c r="O291" s="882"/>
      <c r="P291" s="909"/>
      <c r="Q291" s="899"/>
      <c r="R291" s="894"/>
      <c r="S291" s="894"/>
      <c r="T291" s="894"/>
      <c r="U291" s="898"/>
      <c r="V291" s="231"/>
      <c r="W291" s="899"/>
      <c r="X291" s="894"/>
      <c r="Y291" s="894"/>
      <c r="Z291" s="900"/>
      <c r="AA291" s="900"/>
      <c r="AB291" s="878"/>
      <c r="AC291" s="900"/>
      <c r="AD291" s="894"/>
      <c r="AE291" s="901"/>
      <c r="AF291" s="791"/>
      <c r="AG291" s="791"/>
      <c r="AH291" s="787"/>
      <c r="AI291" s="787"/>
      <c r="AJ291" s="677"/>
      <c r="AK291" s="677"/>
      <c r="AL291" s="677"/>
      <c r="AM291" s="1"/>
      <c r="AN291" s="691"/>
      <c r="AO291" s="1"/>
      <c r="AP291" s="1"/>
    </row>
    <row r="292">
      <c r="A292" s="929"/>
      <c r="B292" s="691"/>
      <c r="C292" s="891"/>
      <c r="D292" s="878"/>
      <c r="E292" s="677"/>
      <c r="F292" s="879"/>
      <c r="G292" s="892"/>
      <c r="H292" s="893"/>
      <c r="I292" s="677"/>
      <c r="J292" s="894"/>
      <c r="K292" s="894"/>
      <c r="L292" s="894"/>
      <c r="M292" s="894"/>
      <c r="N292" s="894"/>
      <c r="O292" s="882"/>
      <c r="P292" s="909"/>
      <c r="Q292" s="899"/>
      <c r="R292" s="894"/>
      <c r="S292" s="894"/>
      <c r="T292" s="894"/>
      <c r="U292" s="898"/>
      <c r="V292" s="231"/>
      <c r="W292" s="899"/>
      <c r="X292" s="894"/>
      <c r="Y292" s="894"/>
      <c r="Z292" s="900"/>
      <c r="AA292" s="900"/>
      <c r="AB292" s="878"/>
      <c r="AC292" s="900"/>
      <c r="AD292" s="894"/>
      <c r="AE292" s="901"/>
      <c r="AF292" s="791"/>
      <c r="AG292" s="791"/>
      <c r="AH292" s="787"/>
      <c r="AI292" s="787"/>
      <c r="AJ292" s="677"/>
      <c r="AK292" s="677"/>
      <c r="AL292" s="677"/>
      <c r="AM292" s="1"/>
      <c r="AN292" s="691"/>
      <c r="AO292" s="1"/>
      <c r="AP292" s="1"/>
    </row>
    <row r="293">
      <c r="A293" s="929"/>
      <c r="B293" s="691"/>
      <c r="C293" s="891"/>
      <c r="D293" s="878"/>
      <c r="E293" s="677"/>
      <c r="F293" s="879"/>
      <c r="G293" s="892"/>
      <c r="H293" s="893"/>
      <c r="I293" s="677"/>
      <c r="J293" s="894"/>
      <c r="K293" s="894"/>
      <c r="L293" s="894"/>
      <c r="M293" s="894"/>
      <c r="N293" s="894"/>
      <c r="O293" s="882"/>
      <c r="P293" s="909"/>
      <c r="Q293" s="899"/>
      <c r="R293" s="894"/>
      <c r="S293" s="894"/>
      <c r="T293" s="894"/>
      <c r="U293" s="898"/>
      <c r="V293" s="231"/>
      <c r="W293" s="899"/>
      <c r="X293" s="894"/>
      <c r="Y293" s="894"/>
      <c r="Z293" s="900"/>
      <c r="AA293" s="900"/>
      <c r="AB293" s="878"/>
      <c r="AC293" s="900"/>
      <c r="AD293" s="894"/>
      <c r="AE293" s="901"/>
      <c r="AF293" s="791"/>
      <c r="AG293" s="791"/>
      <c r="AH293" s="787"/>
      <c r="AI293" s="787"/>
      <c r="AJ293" s="677"/>
      <c r="AK293" s="677"/>
      <c r="AL293" s="677"/>
      <c r="AM293" s="1"/>
      <c r="AN293" s="691"/>
      <c r="AO293" s="1"/>
      <c r="AP293" s="1"/>
    </row>
    <row r="294">
      <c r="A294" s="929"/>
      <c r="B294" s="691"/>
      <c r="C294" s="891"/>
      <c r="D294" s="878"/>
      <c r="E294" s="677"/>
      <c r="F294" s="879"/>
      <c r="G294" s="892"/>
      <c r="H294" s="893"/>
      <c r="I294" s="677"/>
      <c r="J294" s="894"/>
      <c r="K294" s="894"/>
      <c r="L294" s="894"/>
      <c r="M294" s="894"/>
      <c r="N294" s="894"/>
      <c r="O294" s="882"/>
      <c r="P294" s="909"/>
      <c r="Q294" s="899"/>
      <c r="R294" s="894"/>
      <c r="S294" s="894"/>
      <c r="T294" s="894"/>
      <c r="U294" s="898"/>
      <c r="V294" s="231"/>
      <c r="W294" s="899"/>
      <c r="X294" s="894"/>
      <c r="Y294" s="894"/>
      <c r="Z294" s="900"/>
      <c r="AA294" s="900"/>
      <c r="AB294" s="878"/>
      <c r="AC294" s="900"/>
      <c r="AD294" s="894"/>
      <c r="AE294" s="901"/>
      <c r="AF294" s="791"/>
      <c r="AG294" s="791"/>
      <c r="AH294" s="787"/>
      <c r="AI294" s="787"/>
      <c r="AJ294" s="677"/>
      <c r="AK294" s="677"/>
      <c r="AL294" s="677"/>
      <c r="AM294" s="1"/>
      <c r="AN294" s="691"/>
      <c r="AO294" s="1"/>
      <c r="AP294" s="1"/>
    </row>
    <row r="295">
      <c r="A295" s="929"/>
      <c r="B295" s="691"/>
      <c r="C295" s="891"/>
      <c r="D295" s="878"/>
      <c r="E295" s="677"/>
      <c r="F295" s="879"/>
      <c r="G295" s="892"/>
      <c r="H295" s="893"/>
      <c r="I295" s="677"/>
      <c r="J295" s="894"/>
      <c r="K295" s="894"/>
      <c r="L295" s="894"/>
      <c r="M295" s="894"/>
      <c r="N295" s="894"/>
      <c r="O295" s="882"/>
      <c r="P295" s="909"/>
      <c r="Q295" s="899"/>
      <c r="R295" s="894"/>
      <c r="S295" s="894"/>
      <c r="T295" s="894"/>
      <c r="U295" s="898"/>
      <c r="V295" s="231"/>
      <c r="W295" s="899"/>
      <c r="X295" s="894"/>
      <c r="Y295" s="894"/>
      <c r="Z295" s="900"/>
      <c r="AA295" s="900"/>
      <c r="AB295" s="878"/>
      <c r="AC295" s="900"/>
      <c r="AD295" s="894"/>
      <c r="AE295" s="901"/>
      <c r="AF295" s="791"/>
      <c r="AG295" s="791"/>
      <c r="AH295" s="787"/>
      <c r="AI295" s="787"/>
      <c r="AJ295" s="677"/>
      <c r="AK295" s="677"/>
      <c r="AL295" s="677"/>
      <c r="AM295" s="1"/>
      <c r="AN295" s="691"/>
      <c r="AO295" s="1"/>
      <c r="AP295" s="1"/>
    </row>
    <row r="296">
      <c r="A296" s="929"/>
      <c r="B296" s="691"/>
      <c r="C296" s="891"/>
      <c r="D296" s="878"/>
      <c r="E296" s="677"/>
      <c r="F296" s="879"/>
      <c r="G296" s="892"/>
      <c r="H296" s="893"/>
      <c r="I296" s="677"/>
      <c r="J296" s="894"/>
      <c r="K296" s="894"/>
      <c r="L296" s="894"/>
      <c r="M296" s="894"/>
      <c r="N296" s="894"/>
      <c r="O296" s="882"/>
      <c r="P296" s="909"/>
      <c r="Q296" s="899"/>
      <c r="R296" s="894"/>
      <c r="S296" s="894"/>
      <c r="T296" s="894"/>
      <c r="U296" s="898"/>
      <c r="V296" s="231"/>
      <c r="W296" s="899"/>
      <c r="X296" s="894"/>
      <c r="Y296" s="894"/>
      <c r="Z296" s="900"/>
      <c r="AA296" s="900"/>
      <c r="AB296" s="878"/>
      <c r="AC296" s="900"/>
      <c r="AD296" s="894"/>
      <c r="AE296" s="901"/>
      <c r="AF296" s="791"/>
      <c r="AG296" s="791"/>
      <c r="AH296" s="787"/>
      <c r="AI296" s="787"/>
      <c r="AJ296" s="677"/>
      <c r="AK296" s="677"/>
      <c r="AL296" s="677"/>
      <c r="AM296" s="1"/>
      <c r="AN296" s="691"/>
      <c r="AO296" s="1"/>
      <c r="AP296" s="1"/>
    </row>
    <row r="297">
      <c r="A297" s="929"/>
      <c r="B297" s="691"/>
      <c r="C297" s="891"/>
      <c r="D297" s="878"/>
      <c r="E297" s="677"/>
      <c r="F297" s="879"/>
      <c r="G297" s="892"/>
      <c r="H297" s="893"/>
      <c r="I297" s="677"/>
      <c r="J297" s="894"/>
      <c r="K297" s="894"/>
      <c r="L297" s="894"/>
      <c r="M297" s="894"/>
      <c r="N297" s="894"/>
      <c r="O297" s="882"/>
      <c r="P297" s="909"/>
      <c r="Q297" s="899"/>
      <c r="R297" s="894"/>
      <c r="S297" s="894"/>
      <c r="T297" s="894"/>
      <c r="U297" s="898"/>
      <c r="V297" s="231"/>
      <c r="W297" s="899"/>
      <c r="X297" s="894"/>
      <c r="Y297" s="894"/>
      <c r="Z297" s="900"/>
      <c r="AA297" s="900"/>
      <c r="AB297" s="878"/>
      <c r="AC297" s="900"/>
      <c r="AD297" s="894"/>
      <c r="AE297" s="901"/>
      <c r="AF297" s="791"/>
      <c r="AG297" s="791"/>
      <c r="AH297" s="787"/>
      <c r="AI297" s="787"/>
      <c r="AJ297" s="677"/>
      <c r="AK297" s="677"/>
      <c r="AL297" s="677"/>
      <c r="AM297" s="1"/>
      <c r="AN297" s="691"/>
      <c r="AO297" s="1"/>
      <c r="AP297" s="1"/>
    </row>
    <row r="298">
      <c r="A298" s="929"/>
      <c r="B298" s="691"/>
      <c r="C298" s="891"/>
      <c r="D298" s="878"/>
      <c r="E298" s="677"/>
      <c r="F298" s="879"/>
      <c r="G298" s="892"/>
      <c r="H298" s="893"/>
      <c r="I298" s="677"/>
      <c r="J298" s="894"/>
      <c r="K298" s="894"/>
      <c r="L298" s="894"/>
      <c r="M298" s="894"/>
      <c r="N298" s="894"/>
      <c r="O298" s="882"/>
      <c r="P298" s="909"/>
      <c r="Q298" s="899"/>
      <c r="R298" s="894"/>
      <c r="S298" s="894"/>
      <c r="T298" s="894"/>
      <c r="U298" s="898"/>
      <c r="V298" s="231"/>
      <c r="W298" s="899"/>
      <c r="X298" s="894"/>
      <c r="Y298" s="894"/>
      <c r="Z298" s="900"/>
      <c r="AA298" s="900"/>
      <c r="AB298" s="878"/>
      <c r="AC298" s="900"/>
      <c r="AD298" s="894"/>
      <c r="AE298" s="901"/>
      <c r="AF298" s="791"/>
      <c r="AG298" s="791"/>
      <c r="AH298" s="787"/>
      <c r="AI298" s="787"/>
      <c r="AJ298" s="677"/>
      <c r="AK298" s="677"/>
      <c r="AL298" s="677"/>
      <c r="AM298" s="1"/>
      <c r="AN298" s="691"/>
      <c r="AO298" s="1"/>
      <c r="AP298" s="1"/>
    </row>
    <row r="299">
      <c r="A299" s="929"/>
      <c r="B299" s="691"/>
      <c r="C299" s="891"/>
      <c r="D299" s="878"/>
      <c r="E299" s="677"/>
      <c r="F299" s="879"/>
      <c r="G299" s="892"/>
      <c r="H299" s="893"/>
      <c r="I299" s="677"/>
      <c r="J299" s="894"/>
      <c r="K299" s="894"/>
      <c r="L299" s="894"/>
      <c r="M299" s="894"/>
      <c r="N299" s="894"/>
      <c r="O299" s="882"/>
      <c r="P299" s="909"/>
      <c r="Q299" s="899"/>
      <c r="R299" s="894"/>
      <c r="S299" s="894"/>
      <c r="T299" s="894"/>
      <c r="U299" s="898"/>
      <c r="V299" s="231"/>
      <c r="W299" s="899"/>
      <c r="X299" s="894"/>
      <c r="Y299" s="894"/>
      <c r="Z299" s="900"/>
      <c r="AA299" s="900"/>
      <c r="AB299" s="878"/>
      <c r="AC299" s="900"/>
      <c r="AD299" s="894"/>
      <c r="AE299" s="901"/>
      <c r="AF299" s="791"/>
      <c r="AG299" s="791"/>
      <c r="AH299" s="787"/>
      <c r="AI299" s="787"/>
      <c r="AJ299" s="677"/>
      <c r="AK299" s="677"/>
      <c r="AL299" s="677"/>
      <c r="AM299" s="1"/>
      <c r="AN299" s="691"/>
      <c r="AO299" s="1"/>
      <c r="AP299" s="1"/>
    </row>
    <row r="300">
      <c r="A300" s="929"/>
      <c r="B300" s="691"/>
      <c r="C300" s="891"/>
      <c r="D300" s="878"/>
      <c r="E300" s="677"/>
      <c r="F300" s="879"/>
      <c r="G300" s="892"/>
      <c r="H300" s="893"/>
      <c r="I300" s="677"/>
      <c r="J300" s="894"/>
      <c r="K300" s="894"/>
      <c r="L300" s="894"/>
      <c r="M300" s="894"/>
      <c r="N300" s="894"/>
      <c r="O300" s="882"/>
      <c r="P300" s="909"/>
      <c r="Q300" s="899"/>
      <c r="R300" s="894"/>
      <c r="S300" s="894"/>
      <c r="T300" s="894"/>
      <c r="U300" s="898"/>
      <c r="V300" s="231"/>
      <c r="W300" s="899"/>
      <c r="X300" s="894"/>
      <c r="Y300" s="894"/>
      <c r="Z300" s="900"/>
      <c r="AA300" s="900"/>
      <c r="AB300" s="878"/>
      <c r="AC300" s="900"/>
      <c r="AD300" s="894"/>
      <c r="AE300" s="901"/>
      <c r="AF300" s="791"/>
      <c r="AG300" s="791"/>
      <c r="AH300" s="787"/>
      <c r="AI300" s="787"/>
      <c r="AJ300" s="677"/>
      <c r="AK300" s="677"/>
      <c r="AL300" s="677"/>
      <c r="AM300" s="1"/>
      <c r="AN300" s="691"/>
      <c r="AO300" s="1"/>
      <c r="AP300" s="1"/>
    </row>
    <row r="301">
      <c r="A301" s="929"/>
      <c r="B301" s="691"/>
      <c r="C301" s="891"/>
      <c r="D301" s="878"/>
      <c r="E301" s="677"/>
      <c r="F301" s="879"/>
      <c r="G301" s="892"/>
      <c r="H301" s="893"/>
      <c r="I301" s="677"/>
      <c r="J301" s="894"/>
      <c r="K301" s="894"/>
      <c r="L301" s="894"/>
      <c r="M301" s="894"/>
      <c r="N301" s="894"/>
      <c r="O301" s="882"/>
      <c r="P301" s="909"/>
      <c r="Q301" s="899"/>
      <c r="R301" s="894"/>
      <c r="S301" s="894"/>
      <c r="T301" s="894"/>
      <c r="U301" s="898"/>
      <c r="V301" s="231"/>
      <c r="W301" s="899"/>
      <c r="X301" s="894"/>
      <c r="Y301" s="894"/>
      <c r="Z301" s="900"/>
      <c r="AA301" s="900"/>
      <c r="AB301" s="878"/>
      <c r="AC301" s="900"/>
      <c r="AD301" s="894"/>
      <c r="AE301" s="901"/>
      <c r="AF301" s="791"/>
      <c r="AG301" s="791"/>
      <c r="AH301" s="787"/>
      <c r="AI301" s="787"/>
      <c r="AJ301" s="677"/>
      <c r="AK301" s="677"/>
      <c r="AL301" s="677"/>
      <c r="AM301" s="1"/>
      <c r="AN301" s="691"/>
      <c r="AO301" s="1"/>
      <c r="AP301" s="1"/>
    </row>
    <row r="302">
      <c r="A302" s="929"/>
      <c r="B302" s="691"/>
      <c r="C302" s="891"/>
      <c r="D302" s="878"/>
      <c r="E302" s="677"/>
      <c r="F302" s="879"/>
      <c r="G302" s="892"/>
      <c r="H302" s="893"/>
      <c r="I302" s="677"/>
      <c r="J302" s="894"/>
      <c r="K302" s="894"/>
      <c r="L302" s="894"/>
      <c r="M302" s="894"/>
      <c r="N302" s="894"/>
      <c r="O302" s="882"/>
      <c r="P302" s="909"/>
      <c r="Q302" s="899"/>
      <c r="R302" s="894"/>
      <c r="S302" s="894"/>
      <c r="T302" s="894"/>
      <c r="U302" s="898"/>
      <c r="V302" s="231"/>
      <c r="W302" s="899"/>
      <c r="X302" s="894"/>
      <c r="Y302" s="894"/>
      <c r="Z302" s="900"/>
      <c r="AA302" s="900"/>
      <c r="AB302" s="878"/>
      <c r="AC302" s="900"/>
      <c r="AD302" s="894"/>
      <c r="AE302" s="901"/>
      <c r="AF302" s="791"/>
      <c r="AG302" s="791"/>
      <c r="AH302" s="787"/>
      <c r="AI302" s="787"/>
      <c r="AJ302" s="677"/>
      <c r="AK302" s="677"/>
      <c r="AL302" s="677"/>
      <c r="AM302" s="1"/>
      <c r="AN302" s="691"/>
      <c r="AO302" s="1"/>
      <c r="AP302" s="1"/>
    </row>
    <row r="303">
      <c r="A303" s="929"/>
      <c r="B303" s="691"/>
      <c r="C303" s="891"/>
      <c r="D303" s="878"/>
      <c r="E303" s="677"/>
      <c r="F303" s="879"/>
      <c r="G303" s="892"/>
      <c r="H303" s="893"/>
      <c r="I303" s="677"/>
      <c r="J303" s="894"/>
      <c r="K303" s="894"/>
      <c r="L303" s="894"/>
      <c r="M303" s="894"/>
      <c r="N303" s="894"/>
      <c r="O303" s="882"/>
      <c r="P303" s="909"/>
      <c r="Q303" s="899"/>
      <c r="R303" s="894"/>
      <c r="S303" s="894"/>
      <c r="T303" s="894"/>
      <c r="U303" s="898"/>
      <c r="V303" s="231"/>
      <c r="W303" s="899"/>
      <c r="X303" s="894"/>
      <c r="Y303" s="894"/>
      <c r="Z303" s="900"/>
      <c r="AA303" s="900"/>
      <c r="AB303" s="878"/>
      <c r="AC303" s="900"/>
      <c r="AD303" s="894"/>
      <c r="AE303" s="901"/>
      <c r="AF303" s="791"/>
      <c r="AG303" s="791"/>
      <c r="AH303" s="787"/>
      <c r="AI303" s="787"/>
      <c r="AJ303" s="677"/>
      <c r="AK303" s="677"/>
      <c r="AL303" s="677"/>
      <c r="AM303" s="1"/>
      <c r="AN303" s="691"/>
      <c r="AO303" s="1"/>
      <c r="AP303" s="1"/>
    </row>
    <row r="304">
      <c r="A304" s="929"/>
      <c r="B304" s="691"/>
      <c r="C304" s="891"/>
      <c r="D304" s="878"/>
      <c r="E304" s="677"/>
      <c r="F304" s="879"/>
      <c r="G304" s="892"/>
      <c r="H304" s="893"/>
      <c r="I304" s="677"/>
      <c r="J304" s="894"/>
      <c r="K304" s="894"/>
      <c r="L304" s="894"/>
      <c r="M304" s="894"/>
      <c r="N304" s="894"/>
      <c r="O304" s="882"/>
      <c r="P304" s="909"/>
      <c r="Q304" s="899"/>
      <c r="R304" s="894"/>
      <c r="S304" s="894"/>
      <c r="T304" s="894"/>
      <c r="U304" s="898"/>
      <c r="V304" s="231"/>
      <c r="W304" s="899"/>
      <c r="X304" s="894"/>
      <c r="Y304" s="894"/>
      <c r="Z304" s="900"/>
      <c r="AA304" s="900"/>
      <c r="AB304" s="878"/>
      <c r="AC304" s="900"/>
      <c r="AD304" s="894"/>
      <c r="AE304" s="901"/>
      <c r="AF304" s="791"/>
      <c r="AG304" s="791"/>
      <c r="AH304" s="787"/>
      <c r="AI304" s="787"/>
      <c r="AJ304" s="677"/>
      <c r="AK304" s="677"/>
      <c r="AL304" s="677"/>
      <c r="AM304" s="1"/>
      <c r="AN304" s="691"/>
      <c r="AO304" s="1"/>
      <c r="AP304" s="1"/>
    </row>
    <row r="305">
      <c r="A305" s="929"/>
      <c r="B305" s="691"/>
      <c r="C305" s="891"/>
      <c r="D305" s="878"/>
      <c r="E305" s="677"/>
      <c r="F305" s="879"/>
      <c r="G305" s="892"/>
      <c r="H305" s="893"/>
      <c r="I305" s="677"/>
      <c r="J305" s="894"/>
      <c r="K305" s="894"/>
      <c r="L305" s="894"/>
      <c r="M305" s="894"/>
      <c r="N305" s="894"/>
      <c r="O305" s="882"/>
      <c r="P305" s="909"/>
      <c r="Q305" s="899"/>
      <c r="R305" s="894"/>
      <c r="S305" s="894"/>
      <c r="T305" s="894"/>
      <c r="U305" s="898"/>
      <c r="V305" s="231"/>
      <c r="W305" s="899"/>
      <c r="X305" s="894"/>
      <c r="Y305" s="894"/>
      <c r="Z305" s="900"/>
      <c r="AA305" s="900"/>
      <c r="AB305" s="878"/>
      <c r="AC305" s="900"/>
      <c r="AD305" s="894"/>
      <c r="AE305" s="901"/>
      <c r="AF305" s="791"/>
      <c r="AG305" s="791"/>
      <c r="AH305" s="787"/>
      <c r="AI305" s="787"/>
      <c r="AJ305" s="677"/>
      <c r="AK305" s="677"/>
      <c r="AL305" s="677"/>
      <c r="AM305" s="1"/>
      <c r="AN305" s="691"/>
      <c r="AO305" s="1"/>
      <c r="AP305" s="1"/>
    </row>
    <row r="306">
      <c r="A306" s="929"/>
      <c r="B306" s="691"/>
      <c r="C306" s="891"/>
      <c r="D306" s="878"/>
      <c r="E306" s="677"/>
      <c r="F306" s="879"/>
      <c r="G306" s="892"/>
      <c r="H306" s="893"/>
      <c r="I306" s="677"/>
      <c r="J306" s="894"/>
      <c r="K306" s="894"/>
      <c r="L306" s="894"/>
      <c r="M306" s="894"/>
      <c r="N306" s="894"/>
      <c r="O306" s="882"/>
      <c r="P306" s="909"/>
      <c r="Q306" s="899"/>
      <c r="R306" s="894"/>
      <c r="S306" s="894"/>
      <c r="T306" s="894"/>
      <c r="U306" s="898"/>
      <c r="V306" s="231"/>
      <c r="W306" s="899"/>
      <c r="X306" s="894"/>
      <c r="Y306" s="894"/>
      <c r="Z306" s="900"/>
      <c r="AA306" s="900"/>
      <c r="AB306" s="878"/>
      <c r="AC306" s="900"/>
      <c r="AD306" s="894"/>
      <c r="AE306" s="901"/>
      <c r="AF306" s="791"/>
      <c r="AG306" s="791"/>
      <c r="AH306" s="787"/>
      <c r="AI306" s="787"/>
      <c r="AJ306" s="677"/>
      <c r="AK306" s="677"/>
      <c r="AL306" s="677"/>
      <c r="AM306" s="1"/>
      <c r="AN306" s="691"/>
      <c r="AO306" s="1"/>
      <c r="AP306" s="1"/>
    </row>
    <row r="307">
      <c r="A307" s="929"/>
      <c r="B307" s="691"/>
      <c r="C307" s="891"/>
      <c r="D307" s="878"/>
      <c r="E307" s="677"/>
      <c r="F307" s="879"/>
      <c r="G307" s="892"/>
      <c r="H307" s="893"/>
      <c r="I307" s="677"/>
      <c r="J307" s="894"/>
      <c r="K307" s="894"/>
      <c r="L307" s="894"/>
      <c r="M307" s="894"/>
      <c r="N307" s="894"/>
      <c r="O307" s="882"/>
      <c r="P307" s="909"/>
      <c r="Q307" s="899"/>
      <c r="R307" s="894"/>
      <c r="S307" s="894"/>
      <c r="T307" s="894"/>
      <c r="U307" s="898"/>
      <c r="V307" s="231"/>
      <c r="W307" s="899"/>
      <c r="X307" s="894"/>
      <c r="Y307" s="894"/>
      <c r="Z307" s="900"/>
      <c r="AA307" s="900"/>
      <c r="AB307" s="878"/>
      <c r="AC307" s="900"/>
      <c r="AD307" s="894"/>
      <c r="AE307" s="901"/>
      <c r="AF307" s="791"/>
      <c r="AG307" s="791"/>
      <c r="AH307" s="787"/>
      <c r="AI307" s="787"/>
      <c r="AJ307" s="677"/>
      <c r="AK307" s="677"/>
      <c r="AL307" s="677"/>
      <c r="AM307" s="1"/>
      <c r="AN307" s="691"/>
      <c r="AO307" s="1"/>
      <c r="AP307" s="1"/>
    </row>
    <row r="308">
      <c r="A308" s="929"/>
      <c r="B308" s="691"/>
      <c r="C308" s="891"/>
      <c r="D308" s="878"/>
      <c r="E308" s="677"/>
      <c r="F308" s="879"/>
      <c r="G308" s="892"/>
      <c r="H308" s="893"/>
      <c r="I308" s="677"/>
      <c r="J308" s="894"/>
      <c r="K308" s="894"/>
      <c r="L308" s="894"/>
      <c r="M308" s="894"/>
      <c r="N308" s="894"/>
      <c r="O308" s="882"/>
      <c r="P308" s="909"/>
      <c r="Q308" s="899"/>
      <c r="R308" s="894"/>
      <c r="S308" s="894"/>
      <c r="T308" s="894"/>
      <c r="U308" s="898"/>
      <c r="V308" s="231"/>
      <c r="W308" s="899"/>
      <c r="X308" s="894"/>
      <c r="Y308" s="894"/>
      <c r="Z308" s="900"/>
      <c r="AA308" s="900"/>
      <c r="AB308" s="878"/>
      <c r="AC308" s="900"/>
      <c r="AD308" s="894"/>
      <c r="AE308" s="901"/>
      <c r="AF308" s="791"/>
      <c r="AG308" s="791"/>
      <c r="AH308" s="787"/>
      <c r="AI308" s="787"/>
      <c r="AJ308" s="677"/>
      <c r="AK308" s="677"/>
      <c r="AL308" s="677"/>
      <c r="AM308" s="1"/>
      <c r="AN308" s="691"/>
      <c r="AO308" s="1"/>
      <c r="AP308" s="1"/>
    </row>
    <row r="309">
      <c r="A309" s="929"/>
      <c r="B309" s="691"/>
      <c r="C309" s="891"/>
      <c r="D309" s="878"/>
      <c r="E309" s="677"/>
      <c r="F309" s="879"/>
      <c r="G309" s="892"/>
      <c r="H309" s="893"/>
      <c r="I309" s="677"/>
      <c r="J309" s="894"/>
      <c r="K309" s="894"/>
      <c r="L309" s="894"/>
      <c r="M309" s="894"/>
      <c r="N309" s="894"/>
      <c r="O309" s="882"/>
      <c r="P309" s="909"/>
      <c r="Q309" s="899"/>
      <c r="R309" s="894"/>
      <c r="S309" s="894"/>
      <c r="T309" s="894"/>
      <c r="U309" s="898"/>
      <c r="V309" s="231"/>
      <c r="W309" s="899"/>
      <c r="X309" s="894"/>
      <c r="Y309" s="894"/>
      <c r="Z309" s="900"/>
      <c r="AA309" s="900"/>
      <c r="AB309" s="878"/>
      <c r="AC309" s="900"/>
      <c r="AD309" s="894"/>
      <c r="AE309" s="901"/>
      <c r="AF309" s="791"/>
      <c r="AG309" s="791"/>
      <c r="AH309" s="787"/>
      <c r="AI309" s="787"/>
      <c r="AJ309" s="677"/>
      <c r="AK309" s="677"/>
      <c r="AL309" s="677"/>
      <c r="AM309" s="1"/>
      <c r="AN309" s="691"/>
      <c r="AO309" s="1"/>
      <c r="AP309" s="1"/>
    </row>
    <row r="310">
      <c r="A310" s="929"/>
      <c r="B310" s="691"/>
      <c r="C310" s="891"/>
      <c r="D310" s="878"/>
      <c r="E310" s="677"/>
      <c r="F310" s="879"/>
      <c r="G310" s="892"/>
      <c r="H310" s="893"/>
      <c r="I310" s="677"/>
      <c r="J310" s="894"/>
      <c r="K310" s="894"/>
      <c r="L310" s="894"/>
      <c r="M310" s="894"/>
      <c r="N310" s="894"/>
      <c r="O310" s="882"/>
      <c r="P310" s="909"/>
      <c r="Q310" s="899"/>
      <c r="R310" s="894"/>
      <c r="S310" s="894"/>
      <c r="T310" s="894"/>
      <c r="U310" s="898"/>
      <c r="V310" s="231"/>
      <c r="W310" s="899"/>
      <c r="X310" s="894"/>
      <c r="Y310" s="894"/>
      <c r="Z310" s="900"/>
      <c r="AA310" s="900"/>
      <c r="AB310" s="878"/>
      <c r="AC310" s="900"/>
      <c r="AD310" s="894"/>
      <c r="AE310" s="901"/>
      <c r="AF310" s="791"/>
      <c r="AG310" s="791"/>
      <c r="AH310" s="787"/>
      <c r="AI310" s="787"/>
      <c r="AJ310" s="677"/>
      <c r="AK310" s="677"/>
      <c r="AL310" s="677"/>
      <c r="AM310" s="1"/>
      <c r="AN310" s="691"/>
      <c r="AO310" s="1"/>
      <c r="AP310" s="1"/>
    </row>
    <row r="311">
      <c r="A311" s="929"/>
      <c r="B311" s="691"/>
      <c r="C311" s="891"/>
      <c r="D311" s="878"/>
      <c r="E311" s="677"/>
      <c r="F311" s="879"/>
      <c r="G311" s="892"/>
      <c r="H311" s="893"/>
      <c r="I311" s="677"/>
      <c r="J311" s="894"/>
      <c r="K311" s="894"/>
      <c r="L311" s="894"/>
      <c r="M311" s="894"/>
      <c r="N311" s="894"/>
      <c r="O311" s="882"/>
      <c r="P311" s="909"/>
      <c r="Q311" s="899"/>
      <c r="R311" s="894"/>
      <c r="S311" s="894"/>
      <c r="T311" s="894"/>
      <c r="U311" s="898"/>
      <c r="V311" s="231"/>
      <c r="W311" s="899"/>
      <c r="X311" s="894"/>
      <c r="Y311" s="894"/>
      <c r="Z311" s="900"/>
      <c r="AA311" s="900"/>
      <c r="AB311" s="878"/>
      <c r="AC311" s="900"/>
      <c r="AD311" s="894"/>
      <c r="AE311" s="901"/>
      <c r="AF311" s="791"/>
      <c r="AG311" s="791"/>
      <c r="AH311" s="787"/>
      <c r="AI311" s="787"/>
      <c r="AJ311" s="677"/>
      <c r="AK311" s="677"/>
      <c r="AL311" s="677"/>
      <c r="AM311" s="1"/>
      <c r="AN311" s="691"/>
      <c r="AO311" s="1"/>
      <c r="AP311" s="1"/>
    </row>
    <row r="312">
      <c r="A312" s="929"/>
      <c r="B312" s="691"/>
      <c r="C312" s="891"/>
      <c r="D312" s="878"/>
      <c r="E312" s="677"/>
      <c r="F312" s="879"/>
      <c r="G312" s="892"/>
      <c r="H312" s="893"/>
      <c r="I312" s="677"/>
      <c r="J312" s="894"/>
      <c r="K312" s="894"/>
      <c r="L312" s="894"/>
      <c r="M312" s="894"/>
      <c r="N312" s="894"/>
      <c r="O312" s="882"/>
      <c r="P312" s="909"/>
      <c r="Q312" s="899"/>
      <c r="R312" s="894"/>
      <c r="S312" s="894"/>
      <c r="T312" s="894"/>
      <c r="U312" s="898"/>
      <c r="V312" s="231"/>
      <c r="W312" s="899"/>
      <c r="X312" s="894"/>
      <c r="Y312" s="894"/>
      <c r="Z312" s="900"/>
      <c r="AA312" s="900"/>
      <c r="AB312" s="878"/>
      <c r="AC312" s="900"/>
      <c r="AD312" s="894"/>
      <c r="AE312" s="901"/>
      <c r="AF312" s="791"/>
      <c r="AG312" s="791"/>
      <c r="AH312" s="787"/>
      <c r="AI312" s="787"/>
      <c r="AJ312" s="677"/>
      <c r="AK312" s="677"/>
      <c r="AL312" s="677"/>
      <c r="AM312" s="1"/>
      <c r="AN312" s="691"/>
      <c r="AO312" s="1"/>
      <c r="AP312" s="1"/>
    </row>
    <row r="313">
      <c r="A313" s="929"/>
      <c r="B313" s="691"/>
      <c r="C313" s="891"/>
      <c r="D313" s="878"/>
      <c r="E313" s="677"/>
      <c r="F313" s="879"/>
      <c r="G313" s="892"/>
      <c r="H313" s="893"/>
      <c r="I313" s="677"/>
      <c r="J313" s="894"/>
      <c r="K313" s="894"/>
      <c r="L313" s="894"/>
      <c r="M313" s="894"/>
      <c r="N313" s="894"/>
      <c r="O313" s="882"/>
      <c r="P313" s="909"/>
      <c r="Q313" s="899"/>
      <c r="R313" s="894"/>
      <c r="S313" s="894"/>
      <c r="T313" s="894"/>
      <c r="U313" s="898"/>
      <c r="V313" s="231"/>
      <c r="W313" s="899"/>
      <c r="X313" s="894"/>
      <c r="Y313" s="894"/>
      <c r="Z313" s="900"/>
      <c r="AA313" s="900"/>
      <c r="AB313" s="878"/>
      <c r="AC313" s="900"/>
      <c r="AD313" s="894"/>
      <c r="AE313" s="901"/>
      <c r="AF313" s="791"/>
      <c r="AG313" s="791"/>
      <c r="AH313" s="787"/>
      <c r="AI313" s="787"/>
      <c r="AJ313" s="677"/>
      <c r="AK313" s="677"/>
      <c r="AL313" s="677"/>
      <c r="AM313" s="1"/>
      <c r="AN313" s="691"/>
      <c r="AO313" s="1"/>
      <c r="AP313" s="1"/>
    </row>
    <row r="314">
      <c r="A314" s="929"/>
      <c r="B314" s="691"/>
      <c r="C314" s="891"/>
      <c r="D314" s="878"/>
      <c r="E314" s="677"/>
      <c r="F314" s="879"/>
      <c r="G314" s="892"/>
      <c r="H314" s="893"/>
      <c r="I314" s="677"/>
      <c r="J314" s="894"/>
      <c r="K314" s="894"/>
      <c r="L314" s="894"/>
      <c r="M314" s="894"/>
      <c r="N314" s="894"/>
      <c r="O314" s="882"/>
      <c r="P314" s="909"/>
      <c r="Q314" s="899"/>
      <c r="R314" s="894"/>
      <c r="S314" s="894"/>
      <c r="T314" s="894"/>
      <c r="U314" s="898"/>
      <c r="V314" s="231"/>
      <c r="W314" s="899"/>
      <c r="X314" s="894"/>
      <c r="Y314" s="894"/>
      <c r="Z314" s="900"/>
      <c r="AA314" s="900"/>
      <c r="AB314" s="878"/>
      <c r="AC314" s="900"/>
      <c r="AD314" s="894"/>
      <c r="AE314" s="901"/>
      <c r="AF314" s="791"/>
      <c r="AG314" s="791"/>
      <c r="AH314" s="787"/>
      <c r="AI314" s="787"/>
      <c r="AJ314" s="677"/>
      <c r="AK314" s="677"/>
      <c r="AL314" s="677"/>
      <c r="AM314" s="1"/>
      <c r="AN314" s="691"/>
      <c r="AO314" s="1"/>
      <c r="AP314" s="1"/>
    </row>
    <row r="315">
      <c r="A315" s="929"/>
      <c r="B315" s="691"/>
      <c r="C315" s="891"/>
      <c r="D315" s="878"/>
      <c r="E315" s="677"/>
      <c r="F315" s="879"/>
      <c r="G315" s="892"/>
      <c r="H315" s="893"/>
      <c r="I315" s="677"/>
      <c r="J315" s="894"/>
      <c r="K315" s="894"/>
      <c r="L315" s="894"/>
      <c r="M315" s="894"/>
      <c r="N315" s="894"/>
      <c r="O315" s="882"/>
      <c r="P315" s="909"/>
      <c r="Q315" s="899"/>
      <c r="R315" s="894"/>
      <c r="S315" s="894"/>
      <c r="T315" s="894"/>
      <c r="U315" s="898"/>
      <c r="V315" s="231"/>
      <c r="W315" s="899"/>
      <c r="X315" s="894"/>
      <c r="Y315" s="894"/>
      <c r="Z315" s="900"/>
      <c r="AA315" s="900"/>
      <c r="AB315" s="878"/>
      <c r="AC315" s="900"/>
      <c r="AD315" s="894"/>
      <c r="AE315" s="901"/>
      <c r="AF315" s="791"/>
      <c r="AG315" s="791"/>
      <c r="AH315" s="787"/>
      <c r="AI315" s="787"/>
      <c r="AJ315" s="677"/>
      <c r="AK315" s="677"/>
      <c r="AL315" s="677"/>
      <c r="AM315" s="1"/>
      <c r="AN315" s="691"/>
      <c r="AO315" s="1"/>
      <c r="AP315" s="1"/>
    </row>
    <row r="316">
      <c r="A316" s="929"/>
      <c r="B316" s="691"/>
      <c r="C316" s="891"/>
      <c r="D316" s="878"/>
      <c r="E316" s="677"/>
      <c r="F316" s="879"/>
      <c r="G316" s="892"/>
      <c r="H316" s="893"/>
      <c r="I316" s="677"/>
      <c r="J316" s="894"/>
      <c r="K316" s="894"/>
      <c r="L316" s="894"/>
      <c r="M316" s="894"/>
      <c r="N316" s="894"/>
      <c r="O316" s="882"/>
      <c r="P316" s="909"/>
      <c r="Q316" s="899"/>
      <c r="R316" s="894"/>
      <c r="S316" s="894"/>
      <c r="T316" s="894"/>
      <c r="U316" s="898"/>
      <c r="V316" s="231"/>
      <c r="W316" s="899"/>
      <c r="X316" s="894"/>
      <c r="Y316" s="894"/>
      <c r="Z316" s="900"/>
      <c r="AA316" s="900"/>
      <c r="AB316" s="878"/>
      <c r="AC316" s="900"/>
      <c r="AD316" s="894"/>
      <c r="AE316" s="901"/>
      <c r="AF316" s="791"/>
      <c r="AG316" s="791"/>
      <c r="AH316" s="787"/>
      <c r="AI316" s="787"/>
      <c r="AJ316" s="677"/>
      <c r="AK316" s="677"/>
      <c r="AL316" s="677"/>
      <c r="AM316" s="1"/>
      <c r="AN316" s="691"/>
      <c r="AO316" s="1"/>
      <c r="AP316" s="1"/>
    </row>
    <row r="317">
      <c r="A317" s="929"/>
      <c r="B317" s="691"/>
      <c r="C317" s="891"/>
      <c r="D317" s="878"/>
      <c r="E317" s="677"/>
      <c r="F317" s="879"/>
      <c r="G317" s="892"/>
      <c r="H317" s="893"/>
      <c r="I317" s="677"/>
      <c r="J317" s="894"/>
      <c r="K317" s="894"/>
      <c r="L317" s="894"/>
      <c r="M317" s="894"/>
      <c r="N317" s="894"/>
      <c r="O317" s="882"/>
      <c r="P317" s="909"/>
      <c r="Q317" s="899"/>
      <c r="R317" s="894"/>
      <c r="S317" s="894"/>
      <c r="T317" s="894"/>
      <c r="U317" s="898"/>
      <c r="V317" s="231"/>
      <c r="W317" s="899"/>
      <c r="X317" s="894"/>
      <c r="Y317" s="894"/>
      <c r="Z317" s="900"/>
      <c r="AA317" s="900"/>
      <c r="AB317" s="878"/>
      <c r="AC317" s="900"/>
      <c r="AD317" s="894"/>
      <c r="AE317" s="901"/>
      <c r="AF317" s="791"/>
      <c r="AG317" s="791"/>
      <c r="AH317" s="787"/>
      <c r="AI317" s="787"/>
      <c r="AJ317" s="677"/>
      <c r="AK317" s="677"/>
      <c r="AL317" s="677"/>
      <c r="AM317" s="1"/>
      <c r="AN317" s="691"/>
      <c r="AO317" s="1"/>
      <c r="AP317" s="1"/>
    </row>
    <row r="318">
      <c r="A318" s="929"/>
      <c r="B318" s="691"/>
      <c r="C318" s="891"/>
      <c r="D318" s="878"/>
      <c r="E318" s="677"/>
      <c r="F318" s="879"/>
      <c r="G318" s="892"/>
      <c r="H318" s="893"/>
      <c r="I318" s="677"/>
      <c r="J318" s="894"/>
      <c r="K318" s="894"/>
      <c r="L318" s="894"/>
      <c r="M318" s="894"/>
      <c r="N318" s="894"/>
      <c r="O318" s="882"/>
      <c r="P318" s="909"/>
      <c r="Q318" s="899"/>
      <c r="R318" s="894"/>
      <c r="S318" s="894"/>
      <c r="T318" s="894"/>
      <c r="U318" s="898"/>
      <c r="V318" s="231"/>
      <c r="W318" s="899"/>
      <c r="X318" s="894"/>
      <c r="Y318" s="894"/>
      <c r="Z318" s="900"/>
      <c r="AA318" s="900"/>
      <c r="AB318" s="878"/>
      <c r="AC318" s="900"/>
      <c r="AD318" s="894"/>
      <c r="AE318" s="901"/>
      <c r="AF318" s="791"/>
      <c r="AG318" s="791"/>
      <c r="AH318" s="787"/>
      <c r="AI318" s="787"/>
      <c r="AJ318" s="677"/>
      <c r="AK318" s="677"/>
      <c r="AL318" s="677"/>
      <c r="AM318" s="1"/>
      <c r="AN318" s="691"/>
      <c r="AO318" s="1"/>
      <c r="AP318" s="1"/>
    </row>
    <row r="319">
      <c r="A319" s="929"/>
      <c r="B319" s="691"/>
      <c r="C319" s="891"/>
      <c r="D319" s="878"/>
      <c r="E319" s="677"/>
      <c r="F319" s="879"/>
      <c r="G319" s="892"/>
      <c r="H319" s="893"/>
      <c r="I319" s="677"/>
      <c r="J319" s="894"/>
      <c r="K319" s="894"/>
      <c r="L319" s="894"/>
      <c r="M319" s="894"/>
      <c r="N319" s="894"/>
      <c r="O319" s="882"/>
      <c r="P319" s="909"/>
      <c r="Q319" s="899"/>
      <c r="R319" s="894"/>
      <c r="S319" s="894"/>
      <c r="T319" s="894"/>
      <c r="U319" s="898"/>
      <c r="V319" s="231"/>
      <c r="W319" s="899"/>
      <c r="X319" s="894"/>
      <c r="Y319" s="894"/>
      <c r="Z319" s="900"/>
      <c r="AA319" s="900"/>
      <c r="AB319" s="878"/>
      <c r="AC319" s="900"/>
      <c r="AD319" s="894"/>
      <c r="AE319" s="901"/>
      <c r="AF319" s="791"/>
      <c r="AG319" s="791"/>
      <c r="AH319" s="787"/>
      <c r="AI319" s="787"/>
      <c r="AJ319" s="677"/>
      <c r="AK319" s="677"/>
      <c r="AL319" s="677"/>
      <c r="AM319" s="1"/>
      <c r="AN319" s="691"/>
      <c r="AO319" s="1"/>
      <c r="AP319" s="1"/>
    </row>
    <row r="320">
      <c r="A320" s="929"/>
      <c r="B320" s="691"/>
      <c r="C320" s="891"/>
      <c r="D320" s="878"/>
      <c r="E320" s="677"/>
      <c r="F320" s="879"/>
      <c r="G320" s="892"/>
      <c r="H320" s="893"/>
      <c r="I320" s="677"/>
      <c r="J320" s="894"/>
      <c r="K320" s="894"/>
      <c r="L320" s="894"/>
      <c r="M320" s="894"/>
      <c r="N320" s="894"/>
      <c r="O320" s="882"/>
      <c r="P320" s="909"/>
      <c r="Q320" s="899"/>
      <c r="R320" s="894"/>
      <c r="S320" s="894"/>
      <c r="T320" s="894"/>
      <c r="U320" s="898"/>
      <c r="V320" s="231"/>
      <c r="W320" s="899"/>
      <c r="X320" s="894"/>
      <c r="Y320" s="894"/>
      <c r="Z320" s="900"/>
      <c r="AA320" s="900"/>
      <c r="AB320" s="878"/>
      <c r="AC320" s="900"/>
      <c r="AD320" s="894"/>
      <c r="AE320" s="901"/>
      <c r="AF320" s="791"/>
      <c r="AG320" s="791"/>
      <c r="AH320" s="787"/>
      <c r="AI320" s="787"/>
      <c r="AJ320" s="677"/>
      <c r="AK320" s="677"/>
      <c r="AL320" s="677"/>
      <c r="AM320" s="1"/>
      <c r="AN320" s="691"/>
      <c r="AO320" s="1"/>
      <c r="AP320" s="1"/>
    </row>
    <row r="321">
      <c r="A321" s="929"/>
      <c r="B321" s="691"/>
      <c r="C321" s="891"/>
      <c r="D321" s="878"/>
      <c r="E321" s="677"/>
      <c r="F321" s="879"/>
      <c r="G321" s="892"/>
      <c r="H321" s="893"/>
      <c r="I321" s="677"/>
      <c r="J321" s="894"/>
      <c r="K321" s="894"/>
      <c r="L321" s="894"/>
      <c r="M321" s="894"/>
      <c r="N321" s="894"/>
      <c r="O321" s="882"/>
      <c r="P321" s="909"/>
      <c r="Q321" s="899"/>
      <c r="R321" s="894"/>
      <c r="S321" s="894"/>
      <c r="T321" s="894"/>
      <c r="U321" s="898"/>
      <c r="V321" s="231"/>
      <c r="W321" s="899"/>
      <c r="X321" s="894"/>
      <c r="Y321" s="894"/>
      <c r="Z321" s="900"/>
      <c r="AA321" s="900"/>
      <c r="AB321" s="878"/>
      <c r="AC321" s="900"/>
      <c r="AD321" s="894"/>
      <c r="AE321" s="901"/>
      <c r="AF321" s="791"/>
      <c r="AG321" s="791"/>
      <c r="AH321" s="787"/>
      <c r="AI321" s="787"/>
      <c r="AJ321" s="677"/>
      <c r="AK321" s="677"/>
      <c r="AL321" s="677"/>
      <c r="AM321" s="1"/>
      <c r="AN321" s="691"/>
      <c r="AO321" s="1"/>
      <c r="AP321" s="1"/>
    </row>
    <row r="322">
      <c r="A322" s="929"/>
      <c r="B322" s="691"/>
      <c r="C322" s="891"/>
      <c r="D322" s="878"/>
      <c r="E322" s="677"/>
      <c r="F322" s="879"/>
      <c r="G322" s="892"/>
      <c r="H322" s="893"/>
      <c r="I322" s="677"/>
      <c r="J322" s="894"/>
      <c r="K322" s="894"/>
      <c r="L322" s="894"/>
      <c r="M322" s="894"/>
      <c r="N322" s="894"/>
      <c r="O322" s="882"/>
      <c r="P322" s="909"/>
      <c r="Q322" s="899"/>
      <c r="R322" s="894"/>
      <c r="S322" s="894"/>
      <c r="T322" s="894"/>
      <c r="U322" s="898"/>
      <c r="V322" s="231"/>
      <c r="W322" s="899"/>
      <c r="X322" s="894"/>
      <c r="Y322" s="894"/>
      <c r="Z322" s="900"/>
      <c r="AA322" s="900"/>
      <c r="AB322" s="878"/>
      <c r="AC322" s="900"/>
      <c r="AD322" s="894"/>
      <c r="AE322" s="901"/>
      <c r="AF322" s="791"/>
      <c r="AG322" s="791"/>
      <c r="AH322" s="787"/>
      <c r="AI322" s="787"/>
      <c r="AJ322" s="677"/>
      <c r="AK322" s="677"/>
      <c r="AL322" s="677"/>
      <c r="AM322" s="1"/>
      <c r="AN322" s="691"/>
      <c r="AO322" s="1"/>
      <c r="AP322" s="1"/>
    </row>
    <row r="323">
      <c r="A323" s="929"/>
      <c r="B323" s="691"/>
      <c r="C323" s="891"/>
      <c r="D323" s="878"/>
      <c r="E323" s="677"/>
      <c r="F323" s="879"/>
      <c r="G323" s="892"/>
      <c r="H323" s="893"/>
      <c r="I323" s="677"/>
      <c r="J323" s="894"/>
      <c r="K323" s="894"/>
      <c r="L323" s="894"/>
      <c r="M323" s="894"/>
      <c r="N323" s="894"/>
      <c r="O323" s="882"/>
      <c r="P323" s="909"/>
      <c r="Q323" s="899"/>
      <c r="R323" s="894"/>
      <c r="S323" s="894"/>
      <c r="T323" s="894"/>
      <c r="U323" s="898"/>
      <c r="V323" s="231"/>
      <c r="W323" s="899"/>
      <c r="X323" s="894"/>
      <c r="Y323" s="894"/>
      <c r="Z323" s="900"/>
      <c r="AA323" s="900"/>
      <c r="AB323" s="878"/>
      <c r="AC323" s="900"/>
      <c r="AD323" s="894"/>
      <c r="AE323" s="901"/>
      <c r="AF323" s="791"/>
      <c r="AG323" s="791"/>
      <c r="AH323" s="787"/>
      <c r="AI323" s="787"/>
      <c r="AJ323" s="677"/>
      <c r="AK323" s="677"/>
      <c r="AL323" s="677"/>
      <c r="AM323" s="1"/>
      <c r="AN323" s="691"/>
      <c r="AO323" s="1"/>
      <c r="AP323" s="1"/>
    </row>
    <row r="324">
      <c r="A324" s="929"/>
      <c r="B324" s="691"/>
      <c r="C324" s="891"/>
      <c r="D324" s="878"/>
      <c r="E324" s="677"/>
      <c r="F324" s="879"/>
      <c r="G324" s="892"/>
      <c r="H324" s="893"/>
      <c r="I324" s="677"/>
      <c r="J324" s="894"/>
      <c r="K324" s="894"/>
      <c r="L324" s="894"/>
      <c r="M324" s="894"/>
      <c r="N324" s="894"/>
      <c r="O324" s="882"/>
      <c r="P324" s="909"/>
      <c r="Q324" s="899"/>
      <c r="R324" s="894"/>
      <c r="S324" s="894"/>
      <c r="T324" s="894"/>
      <c r="U324" s="898"/>
      <c r="V324" s="231"/>
      <c r="W324" s="899"/>
      <c r="X324" s="894"/>
      <c r="Y324" s="894"/>
      <c r="Z324" s="900"/>
      <c r="AA324" s="900"/>
      <c r="AB324" s="878"/>
      <c r="AC324" s="900"/>
      <c r="AD324" s="894"/>
      <c r="AE324" s="901"/>
      <c r="AF324" s="791"/>
      <c r="AG324" s="791"/>
      <c r="AH324" s="787"/>
      <c r="AI324" s="787"/>
      <c r="AJ324" s="677"/>
      <c r="AK324" s="677"/>
      <c r="AL324" s="677"/>
      <c r="AM324" s="1"/>
      <c r="AN324" s="691"/>
      <c r="AO324" s="1"/>
      <c r="AP324" s="1"/>
    </row>
    <row r="325">
      <c r="A325" s="929"/>
      <c r="B325" s="691"/>
      <c r="C325" s="891"/>
      <c r="D325" s="878"/>
      <c r="E325" s="677"/>
      <c r="F325" s="879"/>
      <c r="G325" s="892"/>
      <c r="H325" s="893"/>
      <c r="I325" s="677"/>
      <c r="J325" s="894"/>
      <c r="K325" s="894"/>
      <c r="L325" s="894"/>
      <c r="M325" s="894"/>
      <c r="N325" s="894"/>
      <c r="O325" s="882"/>
      <c r="P325" s="909"/>
      <c r="Q325" s="899"/>
      <c r="R325" s="894"/>
      <c r="S325" s="894"/>
      <c r="T325" s="894"/>
      <c r="U325" s="898"/>
      <c r="V325" s="231"/>
      <c r="W325" s="899"/>
      <c r="X325" s="894"/>
      <c r="Y325" s="894"/>
      <c r="Z325" s="900"/>
      <c r="AA325" s="900"/>
      <c r="AB325" s="878"/>
      <c r="AC325" s="900"/>
      <c r="AD325" s="894"/>
      <c r="AE325" s="901"/>
      <c r="AF325" s="791"/>
      <c r="AG325" s="791"/>
      <c r="AH325" s="787"/>
      <c r="AI325" s="787"/>
      <c r="AJ325" s="677"/>
      <c r="AK325" s="677"/>
      <c r="AL325" s="677"/>
      <c r="AM325" s="1"/>
      <c r="AN325" s="691"/>
      <c r="AO325" s="1"/>
      <c r="AP325" s="1"/>
    </row>
    <row r="326">
      <c r="A326" s="929"/>
      <c r="B326" s="691"/>
      <c r="C326" s="891"/>
      <c r="D326" s="878"/>
      <c r="E326" s="677"/>
      <c r="F326" s="879"/>
      <c r="G326" s="892"/>
      <c r="H326" s="893"/>
      <c r="I326" s="677"/>
      <c r="J326" s="894"/>
      <c r="K326" s="894"/>
      <c r="L326" s="894"/>
      <c r="M326" s="894"/>
      <c r="N326" s="894"/>
      <c r="O326" s="882"/>
      <c r="P326" s="909"/>
      <c r="Q326" s="899"/>
      <c r="R326" s="894"/>
      <c r="S326" s="894"/>
      <c r="T326" s="894"/>
      <c r="U326" s="898"/>
      <c r="V326" s="231"/>
      <c r="W326" s="899"/>
      <c r="X326" s="894"/>
      <c r="Y326" s="894"/>
      <c r="Z326" s="900"/>
      <c r="AA326" s="900"/>
      <c r="AB326" s="878"/>
      <c r="AC326" s="900"/>
      <c r="AD326" s="894"/>
      <c r="AE326" s="901"/>
      <c r="AF326" s="791"/>
      <c r="AG326" s="791"/>
      <c r="AH326" s="787"/>
      <c r="AI326" s="787"/>
      <c r="AJ326" s="677"/>
      <c r="AK326" s="677"/>
      <c r="AL326" s="677"/>
      <c r="AM326" s="1"/>
      <c r="AN326" s="691"/>
      <c r="AO326" s="1"/>
      <c r="AP326" s="1"/>
    </row>
    <row r="327">
      <c r="A327" s="929"/>
      <c r="B327" s="691"/>
      <c r="C327" s="310"/>
      <c r="D327" s="691"/>
      <c r="E327" s="677"/>
      <c r="F327" s="350"/>
      <c r="G327" s="355"/>
      <c r="H327" s="780"/>
      <c r="I327" s="691"/>
      <c r="J327" s="691"/>
      <c r="K327" s="691"/>
      <c r="L327" s="691"/>
      <c r="M327" s="691"/>
      <c r="N327" s="691"/>
      <c r="O327" s="930"/>
      <c r="P327" s="909"/>
      <c r="Q327" s="931"/>
      <c r="R327" s="310"/>
      <c r="S327" s="310"/>
      <c r="T327" s="691"/>
      <c r="U327" s="691"/>
      <c r="V327" s="355"/>
      <c r="W327" s="932"/>
      <c r="X327" s="310"/>
      <c r="Y327" s="310"/>
      <c r="Z327" s="933"/>
      <c r="AA327" s="310"/>
      <c r="AB327" s="691"/>
      <c r="AC327" s="933"/>
      <c r="AD327" s="691"/>
      <c r="AE327" s="691"/>
      <c r="AF327" s="934"/>
      <c r="AG327" s="934"/>
      <c r="AH327" s="888"/>
      <c r="AI327" s="888"/>
      <c r="AJ327" s="310"/>
      <c r="AK327" s="310"/>
      <c r="AL327" s="310"/>
      <c r="AM327" s="1"/>
      <c r="AN327" s="691"/>
      <c r="AO327" s="1"/>
      <c r="AP327" s="1"/>
    </row>
    <row r="328">
      <c r="A328" s="929"/>
      <c r="B328" s="691"/>
      <c r="C328" s="310"/>
      <c r="D328" s="691"/>
      <c r="E328" s="677"/>
      <c r="F328" s="350"/>
      <c r="G328" s="355"/>
      <c r="H328" s="780"/>
      <c r="I328" s="691"/>
      <c r="J328" s="691"/>
      <c r="K328" s="691"/>
      <c r="L328" s="691"/>
      <c r="M328" s="691"/>
      <c r="N328" s="691"/>
      <c r="O328" s="930"/>
      <c r="P328" s="909"/>
      <c r="Q328" s="931"/>
      <c r="R328" s="310"/>
      <c r="S328" s="310"/>
      <c r="T328" s="691"/>
      <c r="U328" s="691"/>
      <c r="V328" s="355"/>
      <c r="W328" s="932"/>
      <c r="X328" s="310"/>
      <c r="Y328" s="310"/>
      <c r="Z328" s="933"/>
      <c r="AA328" s="310"/>
      <c r="AB328" s="691"/>
      <c r="AC328" s="933"/>
      <c r="AD328" s="691"/>
      <c r="AE328" s="691"/>
      <c r="AF328" s="934"/>
      <c r="AG328" s="934"/>
      <c r="AH328" s="888"/>
      <c r="AI328" s="888"/>
      <c r="AJ328" s="310"/>
      <c r="AK328" s="310"/>
      <c r="AL328" s="310"/>
      <c r="AM328" s="1"/>
      <c r="AN328" s="691"/>
      <c r="AO328" s="1"/>
      <c r="AP328" s="1"/>
    </row>
    <row r="329">
      <c r="A329" s="929"/>
      <c r="B329" s="691"/>
      <c r="C329" s="310"/>
      <c r="D329" s="691"/>
      <c r="E329" s="677"/>
      <c r="F329" s="350"/>
      <c r="G329" s="355"/>
      <c r="H329" s="780"/>
      <c r="I329" s="691"/>
      <c r="J329" s="691"/>
      <c r="K329" s="691"/>
      <c r="L329" s="691"/>
      <c r="M329" s="691"/>
      <c r="N329" s="691"/>
      <c r="O329" s="930"/>
      <c r="P329" s="909"/>
      <c r="Q329" s="931"/>
      <c r="R329" s="310"/>
      <c r="S329" s="310"/>
      <c r="T329" s="691"/>
      <c r="U329" s="691"/>
      <c r="V329" s="355"/>
      <c r="W329" s="932"/>
      <c r="X329" s="310"/>
      <c r="Y329" s="310"/>
      <c r="Z329" s="933"/>
      <c r="AA329" s="310"/>
      <c r="AB329" s="691"/>
      <c r="AC329" s="933"/>
      <c r="AD329" s="691"/>
      <c r="AE329" s="691"/>
      <c r="AF329" s="934"/>
      <c r="AG329" s="934"/>
      <c r="AH329" s="888"/>
      <c r="AI329" s="888"/>
      <c r="AJ329" s="310"/>
      <c r="AK329" s="310"/>
      <c r="AL329" s="310"/>
      <c r="AM329" s="1"/>
      <c r="AN329" s="691"/>
      <c r="AO329" s="1"/>
      <c r="AP329" s="1"/>
    </row>
    <row r="330">
      <c r="A330" s="929"/>
      <c r="B330" s="691"/>
      <c r="C330" s="310"/>
      <c r="D330" s="691"/>
      <c r="E330" s="677"/>
      <c r="F330" s="350"/>
      <c r="G330" s="355"/>
      <c r="H330" s="780"/>
      <c r="I330" s="691"/>
      <c r="J330" s="691"/>
      <c r="K330" s="691"/>
      <c r="L330" s="691"/>
      <c r="M330" s="691"/>
      <c r="N330" s="691"/>
      <c r="O330" s="930"/>
      <c r="P330" s="909"/>
      <c r="Q330" s="931"/>
      <c r="R330" s="310"/>
      <c r="S330" s="310"/>
      <c r="T330" s="691"/>
      <c r="U330" s="691"/>
      <c r="V330" s="355"/>
      <c r="W330" s="932"/>
      <c r="X330" s="310"/>
      <c r="Y330" s="310"/>
      <c r="Z330" s="933"/>
      <c r="AA330" s="310"/>
      <c r="AB330" s="691"/>
      <c r="AC330" s="933"/>
      <c r="AD330" s="691"/>
      <c r="AE330" s="691"/>
      <c r="AF330" s="934"/>
      <c r="AG330" s="934"/>
      <c r="AH330" s="888"/>
      <c r="AI330" s="888"/>
      <c r="AJ330" s="310"/>
      <c r="AK330" s="310"/>
      <c r="AL330" s="310"/>
      <c r="AM330" s="1"/>
      <c r="AN330" s="691"/>
      <c r="AO330" s="1"/>
      <c r="AP330" s="1"/>
    </row>
    <row r="331">
      <c r="A331" s="929"/>
      <c r="B331" s="691"/>
      <c r="C331" s="310"/>
      <c r="D331" s="691"/>
      <c r="E331" s="677"/>
      <c r="F331" s="350"/>
      <c r="G331" s="355"/>
      <c r="H331" s="780"/>
      <c r="I331" s="691"/>
      <c r="J331" s="691"/>
      <c r="K331" s="691"/>
      <c r="L331" s="691"/>
      <c r="M331" s="691"/>
      <c r="N331" s="691"/>
      <c r="O331" s="930"/>
      <c r="P331" s="909"/>
      <c r="Q331" s="931"/>
      <c r="R331" s="310"/>
      <c r="S331" s="310"/>
      <c r="T331" s="691"/>
      <c r="U331" s="691"/>
      <c r="V331" s="355"/>
      <c r="W331" s="932"/>
      <c r="X331" s="310"/>
      <c r="Y331" s="310"/>
      <c r="Z331" s="933"/>
      <c r="AA331" s="310"/>
      <c r="AB331" s="691"/>
      <c r="AC331" s="933"/>
      <c r="AD331" s="691"/>
      <c r="AE331" s="691"/>
      <c r="AF331" s="934"/>
      <c r="AG331" s="934"/>
      <c r="AH331" s="888"/>
      <c r="AI331" s="888"/>
      <c r="AJ331" s="310"/>
      <c r="AK331" s="310"/>
      <c r="AL331" s="310"/>
      <c r="AM331" s="1"/>
      <c r="AN331" s="691"/>
      <c r="AO331" s="1"/>
      <c r="AP331" s="1"/>
    </row>
    <row r="332">
      <c r="A332" s="929"/>
      <c r="B332" s="691"/>
      <c r="C332" s="310"/>
      <c r="D332" s="691"/>
      <c r="E332" s="677"/>
      <c r="F332" s="350"/>
      <c r="G332" s="355"/>
      <c r="H332" s="780"/>
      <c r="I332" s="691"/>
      <c r="J332" s="691"/>
      <c r="K332" s="691"/>
      <c r="L332" s="691"/>
      <c r="M332" s="691"/>
      <c r="N332" s="691"/>
      <c r="O332" s="930"/>
      <c r="P332" s="909"/>
      <c r="Q332" s="931"/>
      <c r="R332" s="310"/>
      <c r="S332" s="310"/>
      <c r="T332" s="691"/>
      <c r="U332" s="691"/>
      <c r="V332" s="355"/>
      <c r="W332" s="932"/>
      <c r="X332" s="310"/>
      <c r="Y332" s="310"/>
      <c r="Z332" s="933"/>
      <c r="AA332" s="310"/>
      <c r="AB332" s="691"/>
      <c r="AC332" s="933"/>
      <c r="AD332" s="691"/>
      <c r="AE332" s="691"/>
      <c r="AF332" s="934"/>
      <c r="AG332" s="934"/>
      <c r="AH332" s="888"/>
      <c r="AI332" s="888"/>
      <c r="AJ332" s="310"/>
      <c r="AK332" s="310"/>
      <c r="AL332" s="310"/>
      <c r="AM332" s="1"/>
      <c r="AN332" s="691"/>
      <c r="AO332" s="1"/>
      <c r="AP332" s="1"/>
    </row>
    <row r="333">
      <c r="A333" s="929"/>
      <c r="B333" s="691"/>
      <c r="C333" s="310"/>
      <c r="D333" s="691"/>
      <c r="E333" s="677"/>
      <c r="F333" s="350"/>
      <c r="G333" s="355"/>
      <c r="H333" s="780"/>
      <c r="I333" s="691"/>
      <c r="J333" s="691"/>
      <c r="K333" s="691"/>
      <c r="L333" s="691"/>
      <c r="M333" s="691"/>
      <c r="N333" s="691"/>
      <c r="O333" s="930"/>
      <c r="P333" s="909"/>
      <c r="Q333" s="931"/>
      <c r="R333" s="310"/>
      <c r="S333" s="310"/>
      <c r="T333" s="691"/>
      <c r="U333" s="691"/>
      <c r="V333" s="355"/>
      <c r="W333" s="932"/>
      <c r="X333" s="310"/>
      <c r="Y333" s="310"/>
      <c r="Z333" s="933"/>
      <c r="AA333" s="310"/>
      <c r="AB333" s="691"/>
      <c r="AC333" s="933"/>
      <c r="AD333" s="691"/>
      <c r="AE333" s="691"/>
      <c r="AF333" s="934"/>
      <c r="AG333" s="934"/>
      <c r="AH333" s="888"/>
      <c r="AI333" s="888"/>
      <c r="AJ333" s="310"/>
      <c r="AK333" s="310"/>
      <c r="AL333" s="310"/>
      <c r="AM333" s="1"/>
      <c r="AN333" s="691"/>
      <c r="AO333" s="1"/>
      <c r="AP333" s="1"/>
    </row>
    <row r="334">
      <c r="A334" s="929"/>
      <c r="B334" s="691"/>
      <c r="C334" s="310"/>
      <c r="D334" s="691"/>
      <c r="E334" s="677"/>
      <c r="F334" s="350"/>
      <c r="G334" s="355"/>
      <c r="H334" s="780"/>
      <c r="I334" s="691"/>
      <c r="J334" s="691"/>
      <c r="K334" s="691"/>
      <c r="L334" s="691"/>
      <c r="M334" s="691"/>
      <c r="N334" s="691"/>
      <c r="O334" s="930"/>
      <c r="P334" s="909"/>
      <c r="Q334" s="931"/>
      <c r="R334" s="310"/>
      <c r="S334" s="310"/>
      <c r="T334" s="691"/>
      <c r="U334" s="691"/>
      <c r="V334" s="355"/>
      <c r="W334" s="932"/>
      <c r="X334" s="310"/>
      <c r="Y334" s="310"/>
      <c r="Z334" s="933"/>
      <c r="AA334" s="310"/>
      <c r="AB334" s="691"/>
      <c r="AC334" s="933"/>
      <c r="AD334" s="691"/>
      <c r="AE334" s="691"/>
      <c r="AF334" s="934"/>
      <c r="AG334" s="934"/>
      <c r="AH334" s="888"/>
      <c r="AI334" s="888"/>
      <c r="AJ334" s="310"/>
      <c r="AK334" s="310"/>
      <c r="AL334" s="310"/>
      <c r="AM334" s="1"/>
      <c r="AN334" s="691"/>
      <c r="AO334" s="1"/>
      <c r="AP334" s="1"/>
    </row>
    <row r="335">
      <c r="A335" s="929"/>
      <c r="B335" s="691"/>
      <c r="C335" s="310"/>
      <c r="D335" s="691"/>
      <c r="E335" s="677"/>
      <c r="F335" s="350"/>
      <c r="G335" s="355"/>
      <c r="H335" s="780"/>
      <c r="I335" s="691"/>
      <c r="J335" s="691"/>
      <c r="K335" s="691"/>
      <c r="L335" s="691"/>
      <c r="M335" s="691"/>
      <c r="N335" s="691"/>
      <c r="O335" s="930"/>
      <c r="P335" s="909"/>
      <c r="Q335" s="931"/>
      <c r="R335" s="310"/>
      <c r="S335" s="310"/>
      <c r="T335" s="691"/>
      <c r="U335" s="691"/>
      <c r="V335" s="355"/>
      <c r="W335" s="932"/>
      <c r="X335" s="310"/>
      <c r="Y335" s="310"/>
      <c r="Z335" s="933"/>
      <c r="AA335" s="310"/>
      <c r="AB335" s="691"/>
      <c r="AC335" s="933"/>
      <c r="AD335" s="691"/>
      <c r="AE335" s="691"/>
      <c r="AF335" s="934"/>
      <c r="AG335" s="934"/>
      <c r="AH335" s="888"/>
      <c r="AI335" s="888"/>
      <c r="AJ335" s="310"/>
      <c r="AK335" s="310"/>
      <c r="AL335" s="310"/>
      <c r="AM335" s="1"/>
      <c r="AN335" s="691"/>
      <c r="AO335" s="1"/>
      <c r="AP335" s="1"/>
    </row>
    <row r="336">
      <c r="A336" s="929"/>
      <c r="B336" s="691"/>
      <c r="C336" s="310"/>
      <c r="D336" s="691"/>
      <c r="E336" s="677"/>
      <c r="F336" s="350"/>
      <c r="G336" s="355"/>
      <c r="H336" s="780"/>
      <c r="I336" s="691"/>
      <c r="J336" s="691"/>
      <c r="K336" s="691"/>
      <c r="L336" s="691"/>
      <c r="M336" s="691"/>
      <c r="N336" s="691"/>
      <c r="O336" s="930"/>
      <c r="P336" s="909"/>
      <c r="Q336" s="931"/>
      <c r="R336" s="310"/>
      <c r="S336" s="310"/>
      <c r="T336" s="691"/>
      <c r="U336" s="691"/>
      <c r="V336" s="355"/>
      <c r="W336" s="932"/>
      <c r="X336" s="310"/>
      <c r="Y336" s="310"/>
      <c r="Z336" s="933"/>
      <c r="AA336" s="310"/>
      <c r="AB336" s="691"/>
      <c r="AC336" s="933"/>
      <c r="AD336" s="691"/>
      <c r="AE336" s="691"/>
      <c r="AF336" s="934"/>
      <c r="AG336" s="934"/>
      <c r="AH336" s="888"/>
      <c r="AI336" s="888"/>
      <c r="AJ336" s="310"/>
      <c r="AK336" s="310"/>
      <c r="AL336" s="310"/>
      <c r="AM336" s="1"/>
      <c r="AN336" s="691"/>
      <c r="AO336" s="1"/>
      <c r="AP336" s="1"/>
    </row>
    <row r="337">
      <c r="A337" s="929"/>
      <c r="B337" s="691"/>
      <c r="C337" s="310"/>
      <c r="D337" s="691"/>
      <c r="E337" s="677"/>
      <c r="F337" s="350"/>
      <c r="G337" s="355"/>
      <c r="H337" s="780"/>
      <c r="I337" s="691"/>
      <c r="J337" s="691"/>
      <c r="K337" s="691"/>
      <c r="L337" s="691"/>
      <c r="M337" s="691"/>
      <c r="N337" s="691"/>
      <c r="O337" s="930"/>
      <c r="P337" s="909"/>
      <c r="Q337" s="931"/>
      <c r="R337" s="310"/>
      <c r="S337" s="310"/>
      <c r="T337" s="691"/>
      <c r="U337" s="691"/>
      <c r="V337" s="355"/>
      <c r="W337" s="932"/>
      <c r="X337" s="310"/>
      <c r="Y337" s="310"/>
      <c r="Z337" s="933"/>
      <c r="AA337" s="310"/>
      <c r="AB337" s="691"/>
      <c r="AC337" s="933"/>
      <c r="AD337" s="691"/>
      <c r="AE337" s="691"/>
      <c r="AF337" s="934"/>
      <c r="AG337" s="934"/>
      <c r="AH337" s="888"/>
      <c r="AI337" s="888"/>
      <c r="AJ337" s="310"/>
      <c r="AK337" s="310"/>
      <c r="AL337" s="310"/>
      <c r="AM337" s="1"/>
      <c r="AN337" s="691"/>
      <c r="AO337" s="1"/>
      <c r="AP337" s="1"/>
    </row>
    <row r="338">
      <c r="A338" s="929"/>
      <c r="B338" s="691"/>
      <c r="C338" s="310"/>
      <c r="D338" s="691"/>
      <c r="E338" s="677"/>
      <c r="F338" s="350"/>
      <c r="G338" s="355"/>
      <c r="H338" s="780"/>
      <c r="I338" s="691"/>
      <c r="J338" s="691"/>
      <c r="K338" s="691"/>
      <c r="L338" s="691"/>
      <c r="M338" s="691"/>
      <c r="N338" s="691"/>
      <c r="O338" s="930"/>
      <c r="P338" s="909"/>
      <c r="Q338" s="931"/>
      <c r="R338" s="310"/>
      <c r="S338" s="310"/>
      <c r="T338" s="691"/>
      <c r="U338" s="691"/>
      <c r="V338" s="355"/>
      <c r="W338" s="932"/>
      <c r="X338" s="310"/>
      <c r="Y338" s="310"/>
      <c r="Z338" s="933"/>
      <c r="AA338" s="310"/>
      <c r="AB338" s="691"/>
      <c r="AC338" s="933"/>
      <c r="AD338" s="691"/>
      <c r="AE338" s="691"/>
      <c r="AF338" s="934"/>
      <c r="AG338" s="934"/>
      <c r="AH338" s="888"/>
      <c r="AI338" s="888"/>
      <c r="AJ338" s="310"/>
      <c r="AK338" s="310"/>
      <c r="AL338" s="310"/>
      <c r="AM338" s="1"/>
      <c r="AN338" s="691"/>
      <c r="AO338" s="1"/>
      <c r="AP338" s="1"/>
    </row>
    <row r="339">
      <c r="A339" s="929"/>
      <c r="B339" s="691"/>
      <c r="C339" s="310"/>
      <c r="D339" s="691"/>
      <c r="E339" s="677"/>
      <c r="F339" s="350"/>
      <c r="G339" s="355"/>
      <c r="H339" s="780"/>
      <c r="I339" s="691"/>
      <c r="J339" s="691"/>
      <c r="K339" s="691"/>
      <c r="L339" s="691"/>
      <c r="M339" s="691"/>
      <c r="N339" s="691"/>
      <c r="O339" s="930"/>
      <c r="P339" s="909"/>
      <c r="Q339" s="931"/>
      <c r="R339" s="310"/>
      <c r="S339" s="310"/>
      <c r="T339" s="691"/>
      <c r="U339" s="691"/>
      <c r="V339" s="355"/>
      <c r="W339" s="932"/>
      <c r="X339" s="310"/>
      <c r="Y339" s="310"/>
      <c r="Z339" s="933"/>
      <c r="AA339" s="310"/>
      <c r="AB339" s="691"/>
      <c r="AC339" s="933"/>
      <c r="AD339" s="691"/>
      <c r="AE339" s="691"/>
      <c r="AF339" s="934"/>
      <c r="AG339" s="934"/>
      <c r="AH339" s="888"/>
      <c r="AI339" s="888"/>
      <c r="AJ339" s="310"/>
      <c r="AK339" s="310"/>
      <c r="AL339" s="310"/>
      <c r="AM339" s="1"/>
      <c r="AN339" s="691"/>
      <c r="AO339" s="1"/>
      <c r="AP339" s="1"/>
    </row>
    <row r="340">
      <c r="A340" s="929"/>
      <c r="B340" s="691"/>
      <c r="C340" s="310"/>
      <c r="D340" s="691"/>
      <c r="E340" s="677"/>
      <c r="F340" s="350"/>
      <c r="G340" s="355"/>
      <c r="H340" s="780"/>
      <c r="I340" s="691"/>
      <c r="J340" s="691"/>
      <c r="K340" s="691"/>
      <c r="L340" s="691"/>
      <c r="M340" s="691"/>
      <c r="N340" s="691"/>
      <c r="O340" s="930"/>
      <c r="P340" s="909"/>
      <c r="Q340" s="931"/>
      <c r="R340" s="310"/>
      <c r="S340" s="310"/>
      <c r="T340" s="691"/>
      <c r="U340" s="691"/>
      <c r="V340" s="355"/>
      <c r="W340" s="932"/>
      <c r="X340" s="310"/>
      <c r="Y340" s="310"/>
      <c r="Z340" s="933"/>
      <c r="AA340" s="310"/>
      <c r="AB340" s="691"/>
      <c r="AC340" s="933"/>
      <c r="AD340" s="691"/>
      <c r="AE340" s="691"/>
      <c r="AF340" s="934"/>
      <c r="AG340" s="934"/>
      <c r="AH340" s="888"/>
      <c r="AI340" s="888"/>
      <c r="AJ340" s="310"/>
      <c r="AK340" s="310"/>
      <c r="AL340" s="310"/>
      <c r="AM340" s="1"/>
      <c r="AN340" s="691"/>
      <c r="AO340" s="1"/>
      <c r="AP340" s="1"/>
    </row>
    <row r="341">
      <c r="A341" s="929"/>
      <c r="B341" s="691"/>
      <c r="C341" s="310"/>
      <c r="D341" s="691"/>
      <c r="E341" s="691"/>
      <c r="F341" s="350"/>
      <c r="G341" s="355"/>
      <c r="H341" s="780"/>
      <c r="I341" s="691"/>
      <c r="J341" s="691"/>
      <c r="K341" s="691"/>
      <c r="L341" s="691"/>
      <c r="M341" s="691"/>
      <c r="N341" s="691"/>
      <c r="O341" s="930"/>
      <c r="P341" s="909"/>
      <c r="Q341" s="931"/>
      <c r="R341" s="310"/>
      <c r="S341" s="310"/>
      <c r="T341" s="691"/>
      <c r="U341" s="691"/>
      <c r="V341" s="355"/>
      <c r="W341" s="932"/>
      <c r="X341" s="310"/>
      <c r="Y341" s="310"/>
      <c r="Z341" s="933"/>
      <c r="AA341" s="310"/>
      <c r="AB341" s="691"/>
      <c r="AC341" s="933"/>
      <c r="AD341" s="691"/>
      <c r="AE341" s="691"/>
      <c r="AF341" s="934"/>
      <c r="AG341" s="934"/>
      <c r="AH341" s="888"/>
      <c r="AI341" s="888"/>
      <c r="AJ341" s="310"/>
      <c r="AK341" s="310"/>
      <c r="AL341" s="310"/>
      <c r="AM341" s="1"/>
      <c r="AN341" s="691"/>
      <c r="AO341" s="1"/>
      <c r="AP341" s="1"/>
    </row>
    <row r="342">
      <c r="A342" s="929"/>
      <c r="B342" s="691"/>
      <c r="C342" s="310"/>
      <c r="D342" s="691"/>
      <c r="E342" s="691"/>
      <c r="F342" s="350"/>
      <c r="G342" s="355"/>
      <c r="H342" s="780"/>
      <c r="I342" s="691"/>
      <c r="J342" s="691"/>
      <c r="K342" s="691"/>
      <c r="L342" s="691"/>
      <c r="M342" s="691"/>
      <c r="N342" s="691"/>
      <c r="O342" s="930"/>
      <c r="P342" s="909"/>
      <c r="Q342" s="931"/>
      <c r="R342" s="310"/>
      <c r="S342" s="310"/>
      <c r="T342" s="691"/>
      <c r="U342" s="691"/>
      <c r="V342" s="355"/>
      <c r="W342" s="932"/>
      <c r="X342" s="310"/>
      <c r="Y342" s="310"/>
      <c r="Z342" s="933"/>
      <c r="AA342" s="310"/>
      <c r="AB342" s="691"/>
      <c r="AC342" s="933"/>
      <c r="AD342" s="691"/>
      <c r="AE342" s="691"/>
      <c r="AF342" s="934"/>
      <c r="AG342" s="934"/>
      <c r="AH342" s="888"/>
      <c r="AI342" s="888"/>
      <c r="AJ342" s="310"/>
      <c r="AK342" s="310"/>
      <c r="AL342" s="310"/>
      <c r="AM342" s="1"/>
      <c r="AN342" s="691"/>
      <c r="AO342" s="1"/>
      <c r="AP342" s="1"/>
    </row>
    <row r="343">
      <c r="A343" s="929"/>
      <c r="B343" s="691"/>
      <c r="C343" s="310"/>
      <c r="D343" s="691"/>
      <c r="E343" s="691"/>
      <c r="F343" s="350"/>
      <c r="G343" s="355"/>
      <c r="H343" s="780"/>
      <c r="I343" s="691"/>
      <c r="J343" s="691"/>
      <c r="K343" s="691"/>
      <c r="L343" s="691"/>
      <c r="M343" s="691"/>
      <c r="N343" s="691"/>
      <c r="O343" s="930"/>
      <c r="P343" s="909"/>
      <c r="Q343" s="931"/>
      <c r="R343" s="310"/>
      <c r="S343" s="310"/>
      <c r="T343" s="691"/>
      <c r="U343" s="691"/>
      <c r="V343" s="355"/>
      <c r="W343" s="932"/>
      <c r="X343" s="310"/>
      <c r="Y343" s="310"/>
      <c r="Z343" s="933"/>
      <c r="AA343" s="310"/>
      <c r="AB343" s="691"/>
      <c r="AC343" s="933"/>
      <c r="AD343" s="691"/>
      <c r="AE343" s="691"/>
      <c r="AF343" s="934"/>
      <c r="AG343" s="934"/>
      <c r="AH343" s="888"/>
      <c r="AI343" s="888"/>
      <c r="AJ343" s="310"/>
      <c r="AK343" s="310"/>
      <c r="AL343" s="310"/>
      <c r="AM343" s="1"/>
      <c r="AN343" s="691"/>
      <c r="AO343" s="1"/>
      <c r="AP343" s="1"/>
    </row>
    <row r="344">
      <c r="A344" s="929"/>
      <c r="B344" s="691"/>
      <c r="C344" s="310"/>
      <c r="D344" s="691"/>
      <c r="E344" s="691"/>
      <c r="F344" s="350"/>
      <c r="G344" s="355"/>
      <c r="H344" s="780"/>
      <c r="I344" s="691"/>
      <c r="J344" s="691"/>
      <c r="K344" s="691"/>
      <c r="L344" s="691"/>
      <c r="M344" s="691"/>
      <c r="N344" s="691"/>
      <c r="O344" s="930"/>
      <c r="P344" s="909"/>
      <c r="Q344" s="931"/>
      <c r="R344" s="310"/>
      <c r="S344" s="310"/>
      <c r="T344" s="691"/>
      <c r="U344" s="691"/>
      <c r="V344" s="355"/>
      <c r="W344" s="932"/>
      <c r="X344" s="310"/>
      <c r="Y344" s="310"/>
      <c r="Z344" s="933"/>
      <c r="AA344" s="310"/>
      <c r="AB344" s="691"/>
      <c r="AC344" s="933"/>
      <c r="AD344" s="691"/>
      <c r="AE344" s="691"/>
      <c r="AF344" s="934"/>
      <c r="AG344" s="934"/>
      <c r="AH344" s="888"/>
      <c r="AI344" s="888"/>
      <c r="AJ344" s="310"/>
      <c r="AK344" s="310"/>
      <c r="AL344" s="310"/>
      <c r="AM344" s="1"/>
      <c r="AN344" s="691"/>
      <c r="AO344" s="1"/>
      <c r="AP344" s="1"/>
    </row>
    <row r="345">
      <c r="A345" s="929"/>
      <c r="B345" s="691"/>
      <c r="C345" s="310"/>
      <c r="D345" s="691"/>
      <c r="E345" s="691"/>
      <c r="F345" s="350"/>
      <c r="G345" s="355"/>
      <c r="H345" s="780"/>
      <c r="I345" s="691"/>
      <c r="J345" s="691"/>
      <c r="K345" s="691"/>
      <c r="L345" s="691"/>
      <c r="M345" s="691"/>
      <c r="N345" s="691"/>
      <c r="O345" s="930"/>
      <c r="P345" s="909"/>
      <c r="Q345" s="931"/>
      <c r="R345" s="310"/>
      <c r="S345" s="310"/>
      <c r="T345" s="691"/>
      <c r="U345" s="691"/>
      <c r="V345" s="355"/>
      <c r="W345" s="932"/>
      <c r="X345" s="310"/>
      <c r="Y345" s="310"/>
      <c r="Z345" s="933"/>
      <c r="AA345" s="310"/>
      <c r="AB345" s="691"/>
      <c r="AC345" s="933"/>
      <c r="AD345" s="691"/>
      <c r="AE345" s="691"/>
      <c r="AF345" s="934"/>
      <c r="AG345" s="934"/>
      <c r="AH345" s="888"/>
      <c r="AI345" s="888"/>
      <c r="AJ345" s="310"/>
      <c r="AK345" s="310"/>
      <c r="AL345" s="310"/>
      <c r="AM345" s="1"/>
      <c r="AN345" s="691"/>
      <c r="AO345" s="1"/>
      <c r="AP345" s="1"/>
    </row>
    <row r="346">
      <c r="A346" s="929"/>
      <c r="B346" s="691"/>
      <c r="C346" s="310"/>
      <c r="D346" s="691"/>
      <c r="E346" s="691"/>
      <c r="F346" s="350"/>
      <c r="G346" s="355"/>
      <c r="H346" s="780"/>
      <c r="I346" s="691"/>
      <c r="J346" s="691"/>
      <c r="K346" s="691"/>
      <c r="L346" s="691"/>
      <c r="M346" s="691"/>
      <c r="N346" s="691"/>
      <c r="O346" s="930"/>
      <c r="P346" s="909"/>
      <c r="Q346" s="931"/>
      <c r="R346" s="310"/>
      <c r="S346" s="310"/>
      <c r="T346" s="691"/>
      <c r="U346" s="691"/>
      <c r="V346" s="355"/>
      <c r="W346" s="932"/>
      <c r="X346" s="310"/>
      <c r="Y346" s="310"/>
      <c r="Z346" s="933"/>
      <c r="AA346" s="310"/>
      <c r="AB346" s="691"/>
      <c r="AC346" s="933"/>
      <c r="AD346" s="691"/>
      <c r="AE346" s="691"/>
      <c r="AF346" s="934"/>
      <c r="AG346" s="934"/>
      <c r="AH346" s="888"/>
      <c r="AI346" s="888"/>
      <c r="AJ346" s="310"/>
      <c r="AK346" s="310"/>
      <c r="AL346" s="310"/>
      <c r="AM346" s="1"/>
      <c r="AN346" s="691"/>
      <c r="AO346" s="1"/>
      <c r="AP346" s="1"/>
    </row>
    <row r="347">
      <c r="A347" s="929"/>
      <c r="B347" s="691"/>
      <c r="C347" s="310"/>
      <c r="D347" s="691"/>
      <c r="E347" s="691"/>
      <c r="F347" s="350"/>
      <c r="G347" s="355"/>
      <c r="H347" s="780"/>
      <c r="I347" s="691"/>
      <c r="J347" s="691"/>
      <c r="K347" s="691"/>
      <c r="L347" s="691"/>
      <c r="M347" s="691"/>
      <c r="N347" s="691"/>
      <c r="O347" s="930"/>
      <c r="P347" s="909"/>
      <c r="Q347" s="931"/>
      <c r="R347" s="310"/>
      <c r="S347" s="310"/>
      <c r="T347" s="691"/>
      <c r="U347" s="691"/>
      <c r="V347" s="355"/>
      <c r="W347" s="932"/>
      <c r="X347" s="310"/>
      <c r="Y347" s="310"/>
      <c r="Z347" s="933"/>
      <c r="AA347" s="310"/>
      <c r="AB347" s="691"/>
      <c r="AC347" s="933"/>
      <c r="AD347" s="691"/>
      <c r="AE347" s="691"/>
      <c r="AF347" s="934"/>
      <c r="AG347" s="934"/>
      <c r="AH347" s="888"/>
      <c r="AI347" s="888"/>
      <c r="AJ347" s="310"/>
      <c r="AK347" s="310"/>
      <c r="AL347" s="310"/>
      <c r="AM347" s="1"/>
      <c r="AN347" s="691"/>
      <c r="AO347" s="1"/>
      <c r="AP347" s="1"/>
    </row>
    <row r="348">
      <c r="A348" s="929"/>
      <c r="B348" s="691"/>
      <c r="C348" s="310"/>
      <c r="D348" s="691"/>
      <c r="E348" s="691"/>
      <c r="F348" s="350"/>
      <c r="G348" s="355"/>
      <c r="H348" s="780"/>
      <c r="I348" s="691"/>
      <c r="J348" s="691"/>
      <c r="K348" s="691"/>
      <c r="L348" s="691"/>
      <c r="M348" s="691"/>
      <c r="N348" s="691"/>
      <c r="O348" s="930"/>
      <c r="P348" s="909"/>
      <c r="Q348" s="931"/>
      <c r="R348" s="310"/>
      <c r="S348" s="310"/>
      <c r="T348" s="691"/>
      <c r="U348" s="691"/>
      <c r="V348" s="355"/>
      <c r="W348" s="932"/>
      <c r="X348" s="310"/>
      <c r="Y348" s="310"/>
      <c r="Z348" s="933"/>
      <c r="AA348" s="310"/>
      <c r="AB348" s="691"/>
      <c r="AC348" s="933"/>
      <c r="AD348" s="691"/>
      <c r="AE348" s="691"/>
      <c r="AF348" s="934"/>
      <c r="AG348" s="934"/>
      <c r="AH348" s="888"/>
      <c r="AI348" s="888"/>
      <c r="AJ348" s="310"/>
      <c r="AK348" s="310"/>
      <c r="AL348" s="310"/>
      <c r="AM348" s="1"/>
      <c r="AN348" s="691"/>
      <c r="AO348" s="1"/>
      <c r="AP348" s="1"/>
    </row>
    <row r="349">
      <c r="A349" s="929"/>
      <c r="B349" s="691"/>
      <c r="C349" s="310"/>
      <c r="D349" s="691"/>
      <c r="E349" s="691"/>
      <c r="F349" s="350"/>
      <c r="G349" s="355"/>
      <c r="H349" s="780"/>
      <c r="I349" s="691"/>
      <c r="J349" s="691"/>
      <c r="K349" s="691"/>
      <c r="L349" s="691"/>
      <c r="M349" s="691"/>
      <c r="N349" s="691"/>
      <c r="O349" s="930"/>
      <c r="P349" s="909"/>
      <c r="Q349" s="931"/>
      <c r="R349" s="310"/>
      <c r="S349" s="310"/>
      <c r="T349" s="691"/>
      <c r="U349" s="691"/>
      <c r="V349" s="355"/>
      <c r="W349" s="932"/>
      <c r="X349" s="310"/>
      <c r="Y349" s="310"/>
      <c r="Z349" s="933"/>
      <c r="AA349" s="310"/>
      <c r="AB349" s="691"/>
      <c r="AC349" s="933"/>
      <c r="AD349" s="691"/>
      <c r="AE349" s="691"/>
      <c r="AF349" s="934"/>
      <c r="AG349" s="934"/>
      <c r="AH349" s="888"/>
      <c r="AI349" s="888"/>
      <c r="AJ349" s="310"/>
      <c r="AK349" s="310"/>
      <c r="AL349" s="310"/>
      <c r="AM349" s="1"/>
      <c r="AN349" s="691"/>
      <c r="AO349" s="1"/>
      <c r="AP349" s="1"/>
    </row>
    <row r="350">
      <c r="A350" s="929"/>
      <c r="B350" s="691"/>
      <c r="C350" s="310"/>
      <c r="D350" s="691"/>
      <c r="E350" s="691"/>
      <c r="F350" s="350"/>
      <c r="G350" s="355"/>
      <c r="H350" s="780"/>
      <c r="I350" s="691"/>
      <c r="J350" s="691"/>
      <c r="K350" s="691"/>
      <c r="L350" s="691"/>
      <c r="M350" s="691"/>
      <c r="N350" s="691"/>
      <c r="O350" s="930"/>
      <c r="P350" s="909"/>
      <c r="Q350" s="931"/>
      <c r="R350" s="310"/>
      <c r="S350" s="310"/>
      <c r="T350" s="691"/>
      <c r="U350" s="691"/>
      <c r="V350" s="355"/>
      <c r="W350" s="932"/>
      <c r="X350" s="310"/>
      <c r="Y350" s="310"/>
      <c r="Z350" s="933"/>
      <c r="AA350" s="310"/>
      <c r="AB350" s="691"/>
      <c r="AC350" s="933"/>
      <c r="AD350" s="691"/>
      <c r="AE350" s="691"/>
      <c r="AF350" s="934"/>
      <c r="AG350" s="934"/>
      <c r="AH350" s="888"/>
      <c r="AI350" s="888"/>
      <c r="AJ350" s="310"/>
      <c r="AK350" s="310"/>
      <c r="AL350" s="310"/>
      <c r="AM350" s="1"/>
      <c r="AN350" s="691"/>
      <c r="AO350" s="1"/>
      <c r="AP350" s="1"/>
    </row>
    <row r="351">
      <c r="A351" s="929"/>
      <c r="B351" s="691"/>
      <c r="C351" s="310"/>
      <c r="D351" s="691"/>
      <c r="E351" s="691"/>
      <c r="F351" s="350"/>
      <c r="G351" s="355"/>
      <c r="H351" s="780"/>
      <c r="I351" s="691"/>
      <c r="J351" s="691"/>
      <c r="K351" s="691"/>
      <c r="L351" s="691"/>
      <c r="M351" s="691"/>
      <c r="N351" s="691"/>
      <c r="O351" s="930"/>
      <c r="P351" s="909"/>
      <c r="Q351" s="931"/>
      <c r="R351" s="310"/>
      <c r="S351" s="310"/>
      <c r="T351" s="691"/>
      <c r="U351" s="691"/>
      <c r="V351" s="355"/>
      <c r="W351" s="932"/>
      <c r="X351" s="310"/>
      <c r="Y351" s="310"/>
      <c r="Z351" s="933"/>
      <c r="AA351" s="310"/>
      <c r="AB351" s="691"/>
      <c r="AC351" s="933"/>
      <c r="AD351" s="691"/>
      <c r="AE351" s="691"/>
      <c r="AF351" s="934"/>
      <c r="AG351" s="934"/>
      <c r="AH351" s="888"/>
      <c r="AI351" s="888"/>
      <c r="AJ351" s="310"/>
      <c r="AK351" s="310"/>
      <c r="AL351" s="310"/>
      <c r="AM351" s="1"/>
      <c r="AN351" s="691"/>
      <c r="AO351" s="1"/>
      <c r="AP351" s="1"/>
    </row>
    <row r="352">
      <c r="A352" s="929"/>
      <c r="B352" s="691"/>
      <c r="C352" s="310"/>
      <c r="D352" s="691"/>
      <c r="E352" s="691"/>
      <c r="F352" s="350"/>
      <c r="G352" s="355"/>
      <c r="H352" s="780"/>
      <c r="I352" s="691"/>
      <c r="J352" s="691"/>
      <c r="K352" s="691"/>
      <c r="L352" s="691"/>
      <c r="M352" s="691"/>
      <c r="N352" s="691"/>
      <c r="O352" s="930"/>
      <c r="P352" s="909"/>
      <c r="Q352" s="931"/>
      <c r="R352" s="310"/>
      <c r="S352" s="310"/>
      <c r="T352" s="691"/>
      <c r="U352" s="691"/>
      <c r="V352" s="355"/>
      <c r="W352" s="932"/>
      <c r="X352" s="310"/>
      <c r="Y352" s="310"/>
      <c r="Z352" s="933"/>
      <c r="AA352" s="310"/>
      <c r="AB352" s="691"/>
      <c r="AC352" s="933"/>
      <c r="AD352" s="691"/>
      <c r="AE352" s="691"/>
      <c r="AF352" s="934"/>
      <c r="AG352" s="934"/>
      <c r="AH352" s="888"/>
      <c r="AI352" s="888"/>
      <c r="AJ352" s="310"/>
      <c r="AK352" s="310"/>
      <c r="AL352" s="310"/>
      <c r="AM352" s="1"/>
      <c r="AN352" s="691"/>
      <c r="AO352" s="1"/>
      <c r="AP352" s="1"/>
    </row>
    <row r="353">
      <c r="A353" s="929"/>
      <c r="B353" s="691"/>
      <c r="C353" s="310"/>
      <c r="D353" s="691"/>
      <c r="E353" s="691"/>
      <c r="F353" s="350"/>
      <c r="G353" s="355"/>
      <c r="H353" s="780"/>
      <c r="I353" s="691"/>
      <c r="J353" s="691"/>
      <c r="K353" s="691"/>
      <c r="L353" s="691"/>
      <c r="M353" s="691"/>
      <c r="N353" s="691"/>
      <c r="O353" s="930"/>
      <c r="P353" s="909"/>
      <c r="Q353" s="931"/>
      <c r="R353" s="310"/>
      <c r="S353" s="310"/>
      <c r="T353" s="691"/>
      <c r="U353" s="691"/>
      <c r="V353" s="355"/>
      <c r="W353" s="932"/>
      <c r="X353" s="310"/>
      <c r="Y353" s="310"/>
      <c r="Z353" s="933"/>
      <c r="AA353" s="310"/>
      <c r="AB353" s="691"/>
      <c r="AC353" s="933"/>
      <c r="AD353" s="691"/>
      <c r="AE353" s="691"/>
      <c r="AF353" s="934"/>
      <c r="AG353" s="934"/>
      <c r="AH353" s="888"/>
      <c r="AI353" s="888"/>
      <c r="AJ353" s="310"/>
      <c r="AK353" s="310"/>
      <c r="AL353" s="310"/>
      <c r="AM353" s="1"/>
      <c r="AN353" s="691"/>
      <c r="AO353" s="1"/>
      <c r="AP353" s="1"/>
    </row>
    <row r="354">
      <c r="A354" s="929"/>
      <c r="B354" s="691"/>
      <c r="C354" s="310"/>
      <c r="D354" s="691"/>
      <c r="E354" s="691"/>
      <c r="F354" s="350"/>
      <c r="G354" s="355"/>
      <c r="H354" s="780"/>
      <c r="I354" s="691"/>
      <c r="J354" s="691"/>
      <c r="K354" s="691"/>
      <c r="L354" s="691"/>
      <c r="M354" s="691"/>
      <c r="N354" s="691"/>
      <c r="O354" s="930"/>
      <c r="P354" s="909"/>
      <c r="Q354" s="931"/>
      <c r="R354" s="310"/>
      <c r="S354" s="310"/>
      <c r="T354" s="691"/>
      <c r="U354" s="691"/>
      <c r="V354" s="355"/>
      <c r="W354" s="932"/>
      <c r="X354" s="310"/>
      <c r="Y354" s="310"/>
      <c r="Z354" s="933"/>
      <c r="AA354" s="310"/>
      <c r="AB354" s="691"/>
      <c r="AC354" s="933"/>
      <c r="AD354" s="691"/>
      <c r="AE354" s="691"/>
      <c r="AF354" s="934"/>
      <c r="AG354" s="934"/>
      <c r="AH354" s="888"/>
      <c r="AI354" s="888"/>
      <c r="AJ354" s="310"/>
      <c r="AK354" s="310"/>
      <c r="AL354" s="310"/>
      <c r="AM354" s="1"/>
      <c r="AN354" s="691"/>
      <c r="AO354" s="1"/>
      <c r="AP354" s="1"/>
    </row>
    <row r="355">
      <c r="A355" s="929"/>
      <c r="B355" s="691"/>
      <c r="C355" s="310"/>
      <c r="D355" s="691"/>
      <c r="E355" s="691"/>
      <c r="F355" s="350"/>
      <c r="G355" s="355"/>
      <c r="H355" s="780"/>
      <c r="I355" s="691"/>
      <c r="J355" s="691"/>
      <c r="K355" s="691"/>
      <c r="L355" s="691"/>
      <c r="M355" s="691"/>
      <c r="N355" s="691"/>
      <c r="O355" s="930"/>
      <c r="P355" s="909"/>
      <c r="Q355" s="931"/>
      <c r="R355" s="310"/>
      <c r="S355" s="310"/>
      <c r="T355" s="691"/>
      <c r="U355" s="691"/>
      <c r="V355" s="355"/>
      <c r="W355" s="932"/>
      <c r="X355" s="310"/>
      <c r="Y355" s="310"/>
      <c r="Z355" s="933"/>
      <c r="AA355" s="310"/>
      <c r="AB355" s="691"/>
      <c r="AC355" s="933"/>
      <c r="AD355" s="691"/>
      <c r="AE355" s="691"/>
      <c r="AF355" s="934"/>
      <c r="AG355" s="934"/>
      <c r="AH355" s="888"/>
      <c r="AI355" s="888"/>
      <c r="AJ355" s="310"/>
      <c r="AK355" s="310"/>
      <c r="AL355" s="310"/>
      <c r="AM355" s="1"/>
      <c r="AN355" s="691"/>
      <c r="AO355" s="1"/>
      <c r="AP355" s="1"/>
    </row>
    <row r="356">
      <c r="A356" s="929"/>
      <c r="B356" s="691"/>
      <c r="C356" s="310"/>
      <c r="D356" s="691"/>
      <c r="E356" s="691"/>
      <c r="F356" s="350"/>
      <c r="G356" s="355"/>
      <c r="H356" s="780"/>
      <c r="I356" s="691"/>
      <c r="J356" s="691"/>
      <c r="K356" s="691"/>
      <c r="L356" s="691"/>
      <c r="M356" s="691"/>
      <c r="N356" s="691"/>
      <c r="O356" s="930"/>
      <c r="P356" s="909"/>
      <c r="Q356" s="931"/>
      <c r="R356" s="310"/>
      <c r="S356" s="310"/>
      <c r="T356" s="691"/>
      <c r="U356" s="691"/>
      <c r="V356" s="355"/>
      <c r="W356" s="932"/>
      <c r="X356" s="310"/>
      <c r="Y356" s="310"/>
      <c r="Z356" s="933"/>
      <c r="AA356" s="310"/>
      <c r="AB356" s="691"/>
      <c r="AC356" s="933"/>
      <c r="AD356" s="691"/>
      <c r="AE356" s="691"/>
      <c r="AF356" s="934"/>
      <c r="AG356" s="934"/>
      <c r="AH356" s="888"/>
      <c r="AI356" s="888"/>
      <c r="AJ356" s="310"/>
      <c r="AK356" s="310"/>
      <c r="AL356" s="310"/>
      <c r="AM356" s="1"/>
      <c r="AN356" s="691"/>
      <c r="AO356" s="1"/>
      <c r="AP356" s="1"/>
    </row>
    <row r="357">
      <c r="A357" s="929"/>
      <c r="B357" s="691"/>
      <c r="C357" s="310"/>
      <c r="D357" s="691"/>
      <c r="E357" s="691"/>
      <c r="F357" s="350"/>
      <c r="G357" s="355"/>
      <c r="H357" s="780"/>
      <c r="I357" s="691"/>
      <c r="J357" s="691"/>
      <c r="K357" s="691"/>
      <c r="L357" s="691"/>
      <c r="M357" s="691"/>
      <c r="N357" s="691"/>
      <c r="O357" s="930"/>
      <c r="P357" s="909"/>
      <c r="Q357" s="931"/>
      <c r="R357" s="310"/>
      <c r="S357" s="310"/>
      <c r="T357" s="691"/>
      <c r="U357" s="691"/>
      <c r="V357" s="355"/>
      <c r="W357" s="932"/>
      <c r="X357" s="310"/>
      <c r="Y357" s="310"/>
      <c r="Z357" s="933"/>
      <c r="AA357" s="310"/>
      <c r="AB357" s="691"/>
      <c r="AC357" s="933"/>
      <c r="AD357" s="691"/>
      <c r="AE357" s="691"/>
      <c r="AF357" s="934"/>
      <c r="AG357" s="934"/>
      <c r="AH357" s="888"/>
      <c r="AI357" s="888"/>
      <c r="AJ357" s="310"/>
      <c r="AK357" s="310"/>
      <c r="AL357" s="310"/>
      <c r="AM357" s="1"/>
      <c r="AN357" s="691"/>
      <c r="AO357" s="1"/>
      <c r="AP357" s="1"/>
    </row>
    <row r="358">
      <c r="A358" s="929"/>
      <c r="B358" s="691"/>
      <c r="C358" s="310"/>
      <c r="D358" s="691"/>
      <c r="E358" s="691"/>
      <c r="F358" s="350"/>
      <c r="G358" s="355"/>
      <c r="H358" s="780"/>
      <c r="I358" s="691"/>
      <c r="J358" s="691"/>
      <c r="K358" s="691"/>
      <c r="L358" s="691"/>
      <c r="M358" s="691"/>
      <c r="N358" s="691"/>
      <c r="O358" s="930"/>
      <c r="P358" s="909"/>
      <c r="Q358" s="931"/>
      <c r="R358" s="310"/>
      <c r="S358" s="310"/>
      <c r="T358" s="691"/>
      <c r="U358" s="691"/>
      <c r="V358" s="355"/>
      <c r="W358" s="932"/>
      <c r="X358" s="310"/>
      <c r="Y358" s="310"/>
      <c r="Z358" s="933"/>
      <c r="AA358" s="310"/>
      <c r="AB358" s="691"/>
      <c r="AC358" s="933"/>
      <c r="AD358" s="691"/>
      <c r="AE358" s="691"/>
      <c r="AF358" s="934"/>
      <c r="AG358" s="934"/>
      <c r="AH358" s="888"/>
      <c r="AI358" s="888"/>
      <c r="AJ358" s="310"/>
      <c r="AK358" s="310"/>
      <c r="AL358" s="310"/>
      <c r="AM358" s="1"/>
      <c r="AN358" s="691"/>
      <c r="AO358" s="1"/>
      <c r="AP358" s="1"/>
    </row>
    <row r="359">
      <c r="A359" s="929"/>
      <c r="B359" s="691"/>
      <c r="C359" s="310"/>
      <c r="D359" s="691"/>
      <c r="E359" s="691"/>
      <c r="F359" s="350"/>
      <c r="G359" s="355"/>
      <c r="H359" s="780"/>
      <c r="I359" s="691"/>
      <c r="J359" s="691"/>
      <c r="K359" s="691"/>
      <c r="L359" s="691"/>
      <c r="M359" s="691"/>
      <c r="N359" s="691"/>
      <c r="O359" s="930"/>
      <c r="P359" s="909"/>
      <c r="Q359" s="931"/>
      <c r="R359" s="310"/>
      <c r="S359" s="310"/>
      <c r="T359" s="691"/>
      <c r="U359" s="691"/>
      <c r="V359" s="355"/>
      <c r="W359" s="932"/>
      <c r="X359" s="310"/>
      <c r="Y359" s="310"/>
      <c r="Z359" s="933"/>
      <c r="AA359" s="310"/>
      <c r="AB359" s="691"/>
      <c r="AC359" s="933"/>
      <c r="AD359" s="691"/>
      <c r="AE359" s="691"/>
      <c r="AF359" s="934"/>
      <c r="AG359" s="934"/>
      <c r="AH359" s="888"/>
      <c r="AI359" s="888"/>
      <c r="AJ359" s="310"/>
      <c r="AK359" s="310"/>
      <c r="AL359" s="310"/>
      <c r="AM359" s="1"/>
      <c r="AN359" s="691"/>
      <c r="AO359" s="1"/>
      <c r="AP359" s="1"/>
    </row>
    <row r="360">
      <c r="A360" s="929"/>
      <c r="B360" s="691"/>
      <c r="C360" s="310"/>
      <c r="D360" s="691"/>
      <c r="E360" s="691"/>
      <c r="F360" s="350"/>
      <c r="G360" s="355"/>
      <c r="H360" s="780"/>
      <c r="I360" s="691"/>
      <c r="J360" s="691"/>
      <c r="K360" s="691"/>
      <c r="L360" s="691"/>
      <c r="M360" s="691"/>
      <c r="N360" s="691"/>
      <c r="O360" s="930"/>
      <c r="P360" s="909"/>
      <c r="Q360" s="931"/>
      <c r="R360" s="310"/>
      <c r="S360" s="310"/>
      <c r="T360" s="691"/>
      <c r="U360" s="691"/>
      <c r="V360" s="355"/>
      <c r="W360" s="932"/>
      <c r="X360" s="310"/>
      <c r="Y360" s="310"/>
      <c r="Z360" s="933"/>
      <c r="AA360" s="310"/>
      <c r="AB360" s="691"/>
      <c r="AC360" s="933"/>
      <c r="AD360" s="691"/>
      <c r="AE360" s="691"/>
      <c r="AF360" s="934"/>
      <c r="AG360" s="934"/>
      <c r="AH360" s="888"/>
      <c r="AI360" s="888"/>
      <c r="AJ360" s="310"/>
      <c r="AK360" s="310"/>
      <c r="AL360" s="310"/>
      <c r="AM360" s="1"/>
      <c r="AN360" s="691"/>
      <c r="AO360" s="1"/>
      <c r="AP360" s="1"/>
    </row>
    <row r="361">
      <c r="A361" s="929"/>
      <c r="B361" s="691"/>
      <c r="C361" s="310"/>
      <c r="D361" s="691"/>
      <c r="E361" s="691"/>
      <c r="F361" s="350"/>
      <c r="G361" s="355"/>
      <c r="H361" s="780"/>
      <c r="I361" s="691"/>
      <c r="J361" s="691"/>
      <c r="K361" s="691"/>
      <c r="L361" s="691"/>
      <c r="M361" s="691"/>
      <c r="N361" s="691"/>
      <c r="O361" s="930"/>
      <c r="P361" s="909"/>
      <c r="Q361" s="931"/>
      <c r="R361" s="310"/>
      <c r="S361" s="310"/>
      <c r="T361" s="691"/>
      <c r="U361" s="691"/>
      <c r="V361" s="355"/>
      <c r="W361" s="932"/>
      <c r="X361" s="310"/>
      <c r="Y361" s="310"/>
      <c r="Z361" s="933"/>
      <c r="AA361" s="310"/>
      <c r="AB361" s="691"/>
      <c r="AC361" s="933"/>
      <c r="AD361" s="691"/>
      <c r="AE361" s="691"/>
      <c r="AF361" s="934"/>
      <c r="AG361" s="934"/>
      <c r="AH361" s="888"/>
      <c r="AI361" s="888"/>
      <c r="AJ361" s="310"/>
      <c r="AK361" s="310"/>
      <c r="AL361" s="310"/>
      <c r="AM361" s="1"/>
      <c r="AN361" s="691"/>
      <c r="AO361" s="1"/>
      <c r="AP361" s="1"/>
    </row>
    <row r="362">
      <c r="A362" s="929"/>
      <c r="B362" s="691"/>
      <c r="C362" s="310"/>
      <c r="D362" s="691"/>
      <c r="E362" s="691"/>
      <c r="F362" s="350"/>
      <c r="G362" s="355"/>
      <c r="H362" s="780"/>
      <c r="I362" s="691"/>
      <c r="J362" s="691"/>
      <c r="K362" s="691"/>
      <c r="L362" s="691"/>
      <c r="M362" s="691"/>
      <c r="N362" s="691"/>
      <c r="O362" s="930"/>
      <c r="P362" s="909"/>
      <c r="Q362" s="931"/>
      <c r="R362" s="310"/>
      <c r="S362" s="310"/>
      <c r="T362" s="691"/>
      <c r="U362" s="691"/>
      <c r="V362" s="355"/>
      <c r="W362" s="932"/>
      <c r="X362" s="310"/>
      <c r="Y362" s="310"/>
      <c r="Z362" s="933"/>
      <c r="AA362" s="310"/>
      <c r="AB362" s="691"/>
      <c r="AC362" s="933"/>
      <c r="AD362" s="691"/>
      <c r="AE362" s="691"/>
      <c r="AF362" s="934"/>
      <c r="AG362" s="934"/>
      <c r="AH362" s="888"/>
      <c r="AI362" s="888"/>
      <c r="AJ362" s="310"/>
      <c r="AK362" s="310"/>
      <c r="AL362" s="310"/>
      <c r="AM362" s="1"/>
      <c r="AN362" s="691"/>
      <c r="AO362" s="1"/>
      <c r="AP362" s="1"/>
    </row>
    <row r="363">
      <c r="A363" s="929"/>
      <c r="B363" s="691"/>
      <c r="C363" s="310"/>
      <c r="D363" s="691"/>
      <c r="E363" s="691"/>
      <c r="F363" s="350"/>
      <c r="G363" s="355"/>
      <c r="H363" s="780"/>
      <c r="I363" s="691"/>
      <c r="J363" s="691"/>
      <c r="K363" s="691"/>
      <c r="L363" s="691"/>
      <c r="M363" s="691"/>
      <c r="N363" s="691"/>
      <c r="O363" s="930"/>
      <c r="P363" s="909"/>
      <c r="Q363" s="931"/>
      <c r="R363" s="310"/>
      <c r="S363" s="310"/>
      <c r="T363" s="691"/>
      <c r="U363" s="691"/>
      <c r="V363" s="355"/>
      <c r="W363" s="932"/>
      <c r="X363" s="310"/>
      <c r="Y363" s="310"/>
      <c r="Z363" s="933"/>
      <c r="AA363" s="310"/>
      <c r="AB363" s="691"/>
      <c r="AC363" s="933"/>
      <c r="AD363" s="691"/>
      <c r="AE363" s="691"/>
      <c r="AF363" s="934"/>
      <c r="AG363" s="934"/>
      <c r="AH363" s="888"/>
      <c r="AI363" s="888"/>
      <c r="AJ363" s="310"/>
      <c r="AK363" s="310"/>
      <c r="AL363" s="310"/>
      <c r="AM363" s="1"/>
      <c r="AN363" s="691"/>
      <c r="AO363" s="1"/>
      <c r="AP363" s="1"/>
    </row>
    <row r="364">
      <c r="A364" s="929"/>
      <c r="B364" s="691"/>
      <c r="C364" s="310"/>
      <c r="D364" s="691"/>
      <c r="E364" s="691"/>
      <c r="F364" s="350"/>
      <c r="G364" s="355"/>
      <c r="H364" s="780"/>
      <c r="I364" s="691"/>
      <c r="J364" s="691"/>
      <c r="K364" s="691"/>
      <c r="L364" s="691"/>
      <c r="M364" s="691"/>
      <c r="N364" s="691"/>
      <c r="O364" s="930"/>
      <c r="P364" s="909"/>
      <c r="Q364" s="931"/>
      <c r="R364" s="310"/>
      <c r="S364" s="310"/>
      <c r="T364" s="691"/>
      <c r="U364" s="691"/>
      <c r="V364" s="355"/>
      <c r="W364" s="932"/>
      <c r="X364" s="310"/>
      <c r="Y364" s="310"/>
      <c r="Z364" s="933"/>
      <c r="AA364" s="310"/>
      <c r="AB364" s="691"/>
      <c r="AC364" s="933"/>
      <c r="AD364" s="691"/>
      <c r="AE364" s="691"/>
      <c r="AF364" s="934"/>
      <c r="AG364" s="934"/>
      <c r="AH364" s="888"/>
      <c r="AI364" s="888"/>
      <c r="AJ364" s="310"/>
      <c r="AK364" s="310"/>
      <c r="AL364" s="310"/>
      <c r="AM364" s="1"/>
      <c r="AN364" s="691"/>
      <c r="AO364" s="1"/>
      <c r="AP364" s="1"/>
    </row>
    <row r="365">
      <c r="A365" s="929"/>
      <c r="B365" s="691"/>
      <c r="C365" s="310"/>
      <c r="D365" s="691"/>
      <c r="E365" s="691"/>
      <c r="F365" s="350"/>
      <c r="G365" s="355"/>
      <c r="H365" s="780"/>
      <c r="I365" s="691"/>
      <c r="J365" s="691"/>
      <c r="K365" s="691"/>
      <c r="L365" s="691"/>
      <c r="M365" s="691"/>
      <c r="N365" s="691"/>
      <c r="O365" s="930"/>
      <c r="P365" s="909"/>
      <c r="Q365" s="931"/>
      <c r="R365" s="310"/>
      <c r="S365" s="310"/>
      <c r="T365" s="691"/>
      <c r="U365" s="691"/>
      <c r="V365" s="355"/>
      <c r="W365" s="932"/>
      <c r="X365" s="310"/>
      <c r="Y365" s="310"/>
      <c r="Z365" s="933"/>
      <c r="AA365" s="310"/>
      <c r="AB365" s="691"/>
      <c r="AC365" s="933"/>
      <c r="AD365" s="691"/>
      <c r="AE365" s="691"/>
      <c r="AF365" s="934"/>
      <c r="AG365" s="934"/>
      <c r="AH365" s="888"/>
      <c r="AI365" s="888"/>
      <c r="AJ365" s="310"/>
      <c r="AK365" s="310"/>
      <c r="AL365" s="310"/>
      <c r="AM365" s="1"/>
      <c r="AN365" s="691"/>
      <c r="AO365" s="1"/>
      <c r="AP365" s="1"/>
    </row>
    <row r="366">
      <c r="A366" s="929"/>
      <c r="B366" s="691"/>
      <c r="C366" s="310"/>
      <c r="D366" s="691"/>
      <c r="E366" s="691"/>
      <c r="F366" s="350"/>
      <c r="G366" s="355"/>
      <c r="H366" s="780"/>
      <c r="I366" s="691"/>
      <c r="J366" s="691"/>
      <c r="K366" s="691"/>
      <c r="L366" s="691"/>
      <c r="M366" s="691"/>
      <c r="N366" s="691"/>
      <c r="O366" s="930"/>
      <c r="P366" s="909"/>
      <c r="Q366" s="931"/>
      <c r="R366" s="310"/>
      <c r="S366" s="310"/>
      <c r="T366" s="691"/>
      <c r="U366" s="691"/>
      <c r="V366" s="355"/>
      <c r="W366" s="932"/>
      <c r="X366" s="310"/>
      <c r="Y366" s="310"/>
      <c r="Z366" s="933"/>
      <c r="AA366" s="310"/>
      <c r="AB366" s="691"/>
      <c r="AC366" s="933"/>
      <c r="AD366" s="691"/>
      <c r="AE366" s="691"/>
      <c r="AF366" s="934"/>
      <c r="AG366" s="934"/>
      <c r="AH366" s="888"/>
      <c r="AI366" s="888"/>
      <c r="AJ366" s="310"/>
      <c r="AK366" s="310"/>
      <c r="AL366" s="310"/>
      <c r="AM366" s="1"/>
      <c r="AN366" s="691"/>
      <c r="AO366" s="1"/>
      <c r="AP366" s="1"/>
    </row>
    <row r="367">
      <c r="A367" s="929"/>
      <c r="B367" s="691"/>
      <c r="C367" s="310"/>
      <c r="D367" s="691"/>
      <c r="E367" s="691"/>
      <c r="F367" s="350"/>
      <c r="G367" s="355"/>
      <c r="H367" s="780"/>
      <c r="I367" s="691"/>
      <c r="J367" s="691"/>
      <c r="K367" s="691"/>
      <c r="L367" s="691"/>
      <c r="M367" s="691"/>
      <c r="N367" s="691"/>
      <c r="O367" s="930"/>
      <c r="P367" s="909"/>
      <c r="Q367" s="931"/>
      <c r="R367" s="310"/>
      <c r="S367" s="310"/>
      <c r="T367" s="691"/>
      <c r="U367" s="691"/>
      <c r="V367" s="355"/>
      <c r="W367" s="932"/>
      <c r="X367" s="310"/>
      <c r="Y367" s="310"/>
      <c r="Z367" s="933"/>
      <c r="AA367" s="310"/>
      <c r="AB367" s="691"/>
      <c r="AC367" s="933"/>
      <c r="AD367" s="691"/>
      <c r="AE367" s="691"/>
      <c r="AF367" s="934"/>
      <c r="AG367" s="934"/>
      <c r="AH367" s="888"/>
      <c r="AI367" s="888"/>
      <c r="AJ367" s="310"/>
      <c r="AK367" s="310"/>
      <c r="AL367" s="310"/>
      <c r="AM367" s="1"/>
      <c r="AN367" s="691"/>
      <c r="AO367" s="1"/>
      <c r="AP367" s="1"/>
    </row>
    <row r="368">
      <c r="A368" s="929"/>
      <c r="B368" s="691"/>
      <c r="C368" s="310"/>
      <c r="D368" s="691"/>
      <c r="E368" s="691"/>
      <c r="F368" s="350"/>
      <c r="G368" s="355"/>
      <c r="H368" s="780"/>
      <c r="I368" s="691"/>
      <c r="J368" s="691"/>
      <c r="K368" s="691"/>
      <c r="L368" s="691"/>
      <c r="M368" s="691"/>
      <c r="N368" s="691"/>
      <c r="O368" s="930"/>
      <c r="P368" s="909"/>
      <c r="Q368" s="931"/>
      <c r="R368" s="310"/>
      <c r="S368" s="310"/>
      <c r="T368" s="691"/>
      <c r="U368" s="691"/>
      <c r="V368" s="355"/>
      <c r="W368" s="932"/>
      <c r="X368" s="310"/>
      <c r="Y368" s="310"/>
      <c r="Z368" s="933"/>
      <c r="AA368" s="310"/>
      <c r="AB368" s="691"/>
      <c r="AC368" s="933"/>
      <c r="AD368" s="691"/>
      <c r="AE368" s="691"/>
      <c r="AF368" s="934"/>
      <c r="AG368" s="934"/>
      <c r="AH368" s="888"/>
      <c r="AI368" s="888"/>
      <c r="AJ368" s="310"/>
      <c r="AK368" s="310"/>
      <c r="AL368" s="310"/>
      <c r="AM368" s="1"/>
      <c r="AN368" s="691"/>
      <c r="AO368" s="1"/>
      <c r="AP368" s="1"/>
    </row>
    <row r="369">
      <c r="A369" s="929"/>
      <c r="B369" s="691"/>
      <c r="C369" s="310"/>
      <c r="D369" s="691"/>
      <c r="E369" s="691"/>
      <c r="F369" s="350"/>
      <c r="G369" s="355"/>
      <c r="H369" s="780"/>
      <c r="I369" s="691"/>
      <c r="J369" s="691"/>
      <c r="K369" s="691"/>
      <c r="L369" s="691"/>
      <c r="M369" s="691"/>
      <c r="N369" s="691"/>
      <c r="O369" s="930"/>
      <c r="P369" s="909"/>
      <c r="Q369" s="931"/>
      <c r="R369" s="310"/>
      <c r="S369" s="310"/>
      <c r="T369" s="691"/>
      <c r="U369" s="691"/>
      <c r="V369" s="355"/>
      <c r="W369" s="932"/>
      <c r="X369" s="310"/>
      <c r="Y369" s="310"/>
      <c r="Z369" s="933"/>
      <c r="AA369" s="310"/>
      <c r="AB369" s="691"/>
      <c r="AC369" s="933"/>
      <c r="AD369" s="691"/>
      <c r="AE369" s="691"/>
      <c r="AF369" s="934"/>
      <c r="AG369" s="934"/>
      <c r="AH369" s="888"/>
      <c r="AI369" s="888"/>
      <c r="AJ369" s="310"/>
      <c r="AK369" s="310"/>
      <c r="AL369" s="310"/>
      <c r="AM369" s="1"/>
      <c r="AN369" s="691"/>
      <c r="AO369" s="1"/>
      <c r="AP369" s="1"/>
    </row>
    <row r="370">
      <c r="A370" s="929"/>
      <c r="B370" s="691"/>
      <c r="C370" s="310"/>
      <c r="D370" s="691"/>
      <c r="E370" s="691"/>
      <c r="F370" s="350"/>
      <c r="G370" s="355"/>
      <c r="H370" s="780"/>
      <c r="I370" s="691"/>
      <c r="J370" s="691"/>
      <c r="K370" s="691"/>
      <c r="L370" s="691"/>
      <c r="M370" s="691"/>
      <c r="N370" s="691"/>
      <c r="O370" s="930"/>
      <c r="P370" s="909"/>
      <c r="Q370" s="931"/>
      <c r="R370" s="310"/>
      <c r="S370" s="310"/>
      <c r="T370" s="691"/>
      <c r="U370" s="691"/>
      <c r="V370" s="355"/>
      <c r="W370" s="932"/>
      <c r="X370" s="310"/>
      <c r="Y370" s="310"/>
      <c r="Z370" s="933"/>
      <c r="AA370" s="310"/>
      <c r="AB370" s="691"/>
      <c r="AC370" s="933"/>
      <c r="AD370" s="691"/>
      <c r="AE370" s="691"/>
      <c r="AF370" s="934"/>
      <c r="AG370" s="934"/>
      <c r="AH370" s="888"/>
      <c r="AI370" s="888"/>
      <c r="AJ370" s="310"/>
      <c r="AK370" s="310"/>
      <c r="AL370" s="310"/>
      <c r="AM370" s="1"/>
      <c r="AN370" s="691"/>
      <c r="AO370" s="1"/>
      <c r="AP370" s="1"/>
    </row>
    <row r="371">
      <c r="A371" s="929"/>
      <c r="B371" s="691"/>
      <c r="C371" s="310"/>
      <c r="D371" s="691"/>
      <c r="E371" s="691"/>
      <c r="F371" s="350"/>
      <c r="G371" s="355"/>
      <c r="H371" s="780"/>
      <c r="I371" s="691"/>
      <c r="J371" s="691"/>
      <c r="K371" s="691"/>
      <c r="L371" s="691"/>
      <c r="M371" s="691"/>
      <c r="N371" s="691"/>
      <c r="O371" s="930"/>
      <c r="P371" s="909"/>
      <c r="Q371" s="931"/>
      <c r="R371" s="310"/>
      <c r="S371" s="310"/>
      <c r="T371" s="691"/>
      <c r="U371" s="691"/>
      <c r="V371" s="355"/>
      <c r="W371" s="932"/>
      <c r="X371" s="310"/>
      <c r="Y371" s="310"/>
      <c r="Z371" s="933"/>
      <c r="AA371" s="310"/>
      <c r="AB371" s="691"/>
      <c r="AC371" s="933"/>
      <c r="AD371" s="691"/>
      <c r="AE371" s="691"/>
      <c r="AF371" s="934"/>
      <c r="AG371" s="934"/>
      <c r="AH371" s="888"/>
      <c r="AI371" s="888"/>
      <c r="AJ371" s="310"/>
      <c r="AK371" s="310"/>
      <c r="AL371" s="310"/>
      <c r="AM371" s="1"/>
      <c r="AN371" s="691"/>
      <c r="AO371" s="1"/>
      <c r="AP371" s="1"/>
    </row>
    <row r="372">
      <c r="A372" s="929"/>
      <c r="B372" s="691"/>
      <c r="C372" s="310"/>
      <c r="D372" s="691"/>
      <c r="E372" s="691"/>
      <c r="F372" s="350"/>
      <c r="G372" s="355"/>
      <c r="H372" s="780"/>
      <c r="I372" s="691"/>
      <c r="J372" s="691"/>
      <c r="K372" s="691"/>
      <c r="L372" s="691"/>
      <c r="M372" s="691"/>
      <c r="N372" s="691"/>
      <c r="O372" s="930"/>
      <c r="P372" s="909"/>
      <c r="Q372" s="931"/>
      <c r="R372" s="310"/>
      <c r="S372" s="310"/>
      <c r="T372" s="691"/>
      <c r="U372" s="691"/>
      <c r="V372" s="355"/>
      <c r="W372" s="932"/>
      <c r="X372" s="310"/>
      <c r="Y372" s="310"/>
      <c r="Z372" s="933"/>
      <c r="AA372" s="310"/>
      <c r="AB372" s="691"/>
      <c r="AC372" s="933"/>
      <c r="AD372" s="691"/>
      <c r="AE372" s="691"/>
      <c r="AF372" s="934"/>
      <c r="AG372" s="934"/>
      <c r="AH372" s="888"/>
      <c r="AI372" s="888"/>
      <c r="AJ372" s="310"/>
      <c r="AK372" s="310"/>
      <c r="AL372" s="310"/>
      <c r="AM372" s="1"/>
      <c r="AN372" s="691"/>
      <c r="AO372" s="1"/>
      <c r="AP372" s="1"/>
    </row>
    <row r="373">
      <c r="A373" s="929"/>
      <c r="B373" s="691"/>
      <c r="C373" s="310"/>
      <c r="D373" s="691"/>
      <c r="E373" s="691"/>
      <c r="F373" s="350"/>
      <c r="G373" s="355"/>
      <c r="H373" s="780"/>
      <c r="I373" s="691"/>
      <c r="J373" s="691"/>
      <c r="K373" s="691"/>
      <c r="L373" s="691"/>
      <c r="M373" s="691"/>
      <c r="N373" s="691"/>
      <c r="O373" s="930"/>
      <c r="P373" s="909"/>
      <c r="Q373" s="931"/>
      <c r="R373" s="310"/>
      <c r="S373" s="310"/>
      <c r="T373" s="691"/>
      <c r="U373" s="691"/>
      <c r="V373" s="355"/>
      <c r="W373" s="932"/>
      <c r="X373" s="310"/>
      <c r="Y373" s="310"/>
      <c r="Z373" s="933"/>
      <c r="AA373" s="310"/>
      <c r="AB373" s="691"/>
      <c r="AC373" s="933"/>
      <c r="AD373" s="691"/>
      <c r="AE373" s="691"/>
      <c r="AF373" s="934"/>
      <c r="AG373" s="934"/>
      <c r="AH373" s="888"/>
      <c r="AI373" s="888"/>
      <c r="AJ373" s="310"/>
      <c r="AK373" s="310"/>
      <c r="AL373" s="310"/>
      <c r="AM373" s="1"/>
      <c r="AN373" s="691"/>
      <c r="AO373" s="1"/>
      <c r="AP373" s="1"/>
    </row>
    <row r="374">
      <c r="A374" s="929"/>
      <c r="B374" s="691"/>
      <c r="C374" s="310"/>
      <c r="D374" s="691"/>
      <c r="E374" s="691"/>
      <c r="F374" s="350"/>
      <c r="G374" s="355"/>
      <c r="H374" s="780"/>
      <c r="I374" s="691"/>
      <c r="J374" s="691"/>
      <c r="K374" s="691"/>
      <c r="L374" s="691"/>
      <c r="M374" s="691"/>
      <c r="N374" s="691"/>
      <c r="O374" s="930"/>
      <c r="P374" s="909"/>
      <c r="Q374" s="931"/>
      <c r="R374" s="310"/>
      <c r="S374" s="310"/>
      <c r="T374" s="691"/>
      <c r="U374" s="691"/>
      <c r="V374" s="355"/>
      <c r="W374" s="932"/>
      <c r="X374" s="310"/>
      <c r="Y374" s="310"/>
      <c r="Z374" s="933"/>
      <c r="AA374" s="310"/>
      <c r="AB374" s="691"/>
      <c r="AC374" s="933"/>
      <c r="AD374" s="691"/>
      <c r="AE374" s="691"/>
      <c r="AF374" s="934"/>
      <c r="AG374" s="934"/>
      <c r="AH374" s="888"/>
      <c r="AI374" s="888"/>
      <c r="AJ374" s="310"/>
      <c r="AK374" s="310"/>
      <c r="AL374" s="310"/>
      <c r="AM374" s="1"/>
      <c r="AN374" s="691"/>
      <c r="AO374" s="1"/>
      <c r="AP374" s="1"/>
    </row>
    <row r="375">
      <c r="A375" s="929"/>
      <c r="B375" s="691"/>
      <c r="C375" s="310"/>
      <c r="D375" s="691"/>
      <c r="E375" s="691"/>
      <c r="F375" s="350"/>
      <c r="G375" s="355"/>
      <c r="H375" s="780"/>
      <c r="I375" s="691"/>
      <c r="J375" s="691"/>
      <c r="K375" s="691"/>
      <c r="L375" s="691"/>
      <c r="M375" s="691"/>
      <c r="N375" s="691"/>
      <c r="O375" s="930"/>
      <c r="P375" s="909"/>
      <c r="Q375" s="931"/>
      <c r="R375" s="310"/>
      <c r="S375" s="310"/>
      <c r="T375" s="691"/>
      <c r="U375" s="691"/>
      <c r="V375" s="355"/>
      <c r="W375" s="932"/>
      <c r="X375" s="310"/>
      <c r="Y375" s="310"/>
      <c r="Z375" s="933"/>
      <c r="AA375" s="310"/>
      <c r="AB375" s="691"/>
      <c r="AC375" s="933"/>
      <c r="AD375" s="691"/>
      <c r="AE375" s="691"/>
      <c r="AF375" s="934"/>
      <c r="AG375" s="934"/>
      <c r="AH375" s="888"/>
      <c r="AI375" s="888"/>
      <c r="AJ375" s="310"/>
      <c r="AK375" s="310"/>
      <c r="AL375" s="310"/>
      <c r="AM375" s="1"/>
      <c r="AN375" s="691"/>
      <c r="AO375" s="1"/>
      <c r="AP375" s="1"/>
    </row>
    <row r="376">
      <c r="A376" s="929"/>
      <c r="B376" s="691"/>
      <c r="C376" s="310"/>
      <c r="D376" s="691"/>
      <c r="E376" s="691"/>
      <c r="F376" s="350"/>
      <c r="G376" s="355"/>
      <c r="H376" s="780"/>
      <c r="I376" s="691"/>
      <c r="J376" s="691"/>
      <c r="K376" s="691"/>
      <c r="L376" s="691"/>
      <c r="M376" s="691"/>
      <c r="N376" s="691"/>
      <c r="O376" s="930"/>
      <c r="P376" s="909"/>
      <c r="Q376" s="931"/>
      <c r="R376" s="310"/>
      <c r="S376" s="310"/>
      <c r="T376" s="691"/>
      <c r="U376" s="691"/>
      <c r="V376" s="355"/>
      <c r="W376" s="932"/>
      <c r="X376" s="310"/>
      <c r="Y376" s="310"/>
      <c r="Z376" s="933"/>
      <c r="AA376" s="310"/>
      <c r="AB376" s="691"/>
      <c r="AC376" s="933"/>
      <c r="AD376" s="691"/>
      <c r="AE376" s="691"/>
      <c r="AF376" s="934"/>
      <c r="AG376" s="934"/>
      <c r="AH376" s="888"/>
      <c r="AI376" s="888"/>
      <c r="AJ376" s="310"/>
      <c r="AK376" s="310"/>
      <c r="AL376" s="310"/>
      <c r="AM376" s="1"/>
      <c r="AN376" s="691"/>
      <c r="AO376" s="1"/>
      <c r="AP376" s="1"/>
    </row>
    <row r="377">
      <c r="A377" s="929"/>
      <c r="B377" s="691"/>
      <c r="C377" s="310"/>
      <c r="D377" s="691"/>
      <c r="E377" s="691"/>
      <c r="F377" s="350"/>
      <c r="G377" s="355"/>
      <c r="H377" s="780"/>
      <c r="I377" s="691"/>
      <c r="J377" s="691"/>
      <c r="K377" s="691"/>
      <c r="L377" s="691"/>
      <c r="M377" s="691"/>
      <c r="N377" s="691"/>
      <c r="O377" s="930"/>
      <c r="P377" s="909"/>
      <c r="Q377" s="931"/>
      <c r="R377" s="310"/>
      <c r="S377" s="310"/>
      <c r="T377" s="691"/>
      <c r="U377" s="691"/>
      <c r="V377" s="355"/>
      <c r="W377" s="932"/>
      <c r="X377" s="310"/>
      <c r="Y377" s="310"/>
      <c r="Z377" s="933"/>
      <c r="AA377" s="310"/>
      <c r="AB377" s="691"/>
      <c r="AC377" s="933"/>
      <c r="AD377" s="691"/>
      <c r="AE377" s="691"/>
      <c r="AF377" s="934"/>
      <c r="AG377" s="934"/>
      <c r="AH377" s="888"/>
      <c r="AI377" s="888"/>
      <c r="AJ377" s="310"/>
      <c r="AK377" s="310"/>
      <c r="AL377" s="310"/>
      <c r="AM377" s="1"/>
      <c r="AN377" s="691"/>
      <c r="AO377" s="1"/>
      <c r="AP377" s="1"/>
    </row>
    <row r="378">
      <c r="A378" s="929"/>
      <c r="B378" s="691"/>
      <c r="C378" s="310"/>
      <c r="D378" s="691"/>
      <c r="E378" s="691"/>
      <c r="F378" s="350"/>
      <c r="G378" s="355"/>
      <c r="H378" s="780"/>
      <c r="I378" s="691"/>
      <c r="J378" s="691"/>
      <c r="K378" s="691"/>
      <c r="L378" s="691"/>
      <c r="M378" s="691"/>
      <c r="N378" s="691"/>
      <c r="O378" s="930"/>
      <c r="P378" s="909"/>
      <c r="Q378" s="931"/>
      <c r="R378" s="310"/>
      <c r="S378" s="310"/>
      <c r="T378" s="691"/>
      <c r="U378" s="691"/>
      <c r="V378" s="355"/>
      <c r="W378" s="932"/>
      <c r="X378" s="310"/>
      <c r="Y378" s="310"/>
      <c r="Z378" s="933"/>
      <c r="AA378" s="310"/>
      <c r="AB378" s="691"/>
      <c r="AC378" s="933"/>
      <c r="AD378" s="691"/>
      <c r="AE378" s="691"/>
      <c r="AF378" s="934"/>
      <c r="AG378" s="934"/>
      <c r="AH378" s="888"/>
      <c r="AI378" s="888"/>
      <c r="AJ378" s="310"/>
      <c r="AK378" s="310"/>
      <c r="AL378" s="310"/>
      <c r="AM378" s="1"/>
      <c r="AN378" s="691"/>
      <c r="AO378" s="1"/>
      <c r="AP378" s="1"/>
    </row>
    <row r="379">
      <c r="A379" s="929"/>
      <c r="B379" s="691"/>
      <c r="C379" s="310"/>
      <c r="D379" s="691"/>
      <c r="E379" s="691"/>
      <c r="F379" s="350"/>
      <c r="G379" s="355"/>
      <c r="H379" s="780"/>
      <c r="I379" s="691"/>
      <c r="J379" s="691"/>
      <c r="K379" s="691"/>
      <c r="L379" s="691"/>
      <c r="M379" s="691"/>
      <c r="N379" s="691"/>
      <c r="O379" s="930"/>
      <c r="P379" s="909"/>
      <c r="Q379" s="931"/>
      <c r="R379" s="310"/>
      <c r="S379" s="310"/>
      <c r="T379" s="691"/>
      <c r="U379" s="691"/>
      <c r="V379" s="355"/>
      <c r="W379" s="932"/>
      <c r="X379" s="310"/>
      <c r="Y379" s="310"/>
      <c r="Z379" s="933"/>
      <c r="AA379" s="310"/>
      <c r="AB379" s="691"/>
      <c r="AC379" s="933"/>
      <c r="AD379" s="691"/>
      <c r="AE379" s="691"/>
      <c r="AF379" s="934"/>
      <c r="AG379" s="934"/>
      <c r="AH379" s="888"/>
      <c r="AI379" s="888"/>
      <c r="AJ379" s="310"/>
      <c r="AK379" s="310"/>
      <c r="AL379" s="310"/>
      <c r="AM379" s="1"/>
      <c r="AN379" s="691"/>
      <c r="AO379" s="1"/>
      <c r="AP379" s="1"/>
    </row>
    <row r="380">
      <c r="A380" s="929"/>
      <c r="B380" s="691"/>
      <c r="C380" s="310"/>
      <c r="D380" s="691"/>
      <c r="E380" s="691"/>
      <c r="F380" s="350"/>
      <c r="G380" s="355"/>
      <c r="H380" s="780"/>
      <c r="I380" s="691"/>
      <c r="J380" s="691"/>
      <c r="K380" s="691"/>
      <c r="L380" s="691"/>
      <c r="M380" s="691"/>
      <c r="N380" s="691"/>
      <c r="O380" s="930"/>
      <c r="P380" s="909"/>
      <c r="Q380" s="931"/>
      <c r="R380" s="310"/>
      <c r="S380" s="310"/>
      <c r="T380" s="691"/>
      <c r="U380" s="691"/>
      <c r="V380" s="355"/>
      <c r="W380" s="932"/>
      <c r="X380" s="310"/>
      <c r="Y380" s="310"/>
      <c r="Z380" s="933"/>
      <c r="AA380" s="310"/>
      <c r="AB380" s="691"/>
      <c r="AC380" s="933"/>
      <c r="AD380" s="691"/>
      <c r="AE380" s="691"/>
      <c r="AF380" s="934"/>
      <c r="AG380" s="934"/>
      <c r="AH380" s="888"/>
      <c r="AI380" s="888"/>
      <c r="AJ380" s="310"/>
      <c r="AK380" s="310"/>
      <c r="AL380" s="310"/>
      <c r="AM380" s="1"/>
      <c r="AN380" s="691"/>
      <c r="AO380" s="1"/>
      <c r="AP380" s="1"/>
    </row>
    <row r="381">
      <c r="A381" s="929"/>
      <c r="B381" s="691"/>
      <c r="C381" s="310"/>
      <c r="D381" s="691"/>
      <c r="E381" s="691"/>
      <c r="F381" s="350"/>
      <c r="G381" s="355"/>
      <c r="H381" s="780"/>
      <c r="I381" s="691"/>
      <c r="J381" s="691"/>
      <c r="K381" s="691"/>
      <c r="L381" s="691"/>
      <c r="M381" s="691"/>
      <c r="N381" s="691"/>
      <c r="O381" s="930"/>
      <c r="P381" s="909"/>
      <c r="Q381" s="931"/>
      <c r="R381" s="310"/>
      <c r="S381" s="310"/>
      <c r="T381" s="691"/>
      <c r="U381" s="691"/>
      <c r="V381" s="355"/>
      <c r="W381" s="932"/>
      <c r="X381" s="310"/>
      <c r="Y381" s="310"/>
      <c r="Z381" s="933"/>
      <c r="AA381" s="310"/>
      <c r="AB381" s="691"/>
      <c r="AC381" s="933"/>
      <c r="AD381" s="691"/>
      <c r="AE381" s="691"/>
      <c r="AF381" s="934"/>
      <c r="AG381" s="934"/>
      <c r="AH381" s="888"/>
      <c r="AI381" s="888"/>
      <c r="AJ381" s="310"/>
      <c r="AK381" s="310"/>
      <c r="AL381" s="310"/>
      <c r="AM381" s="1"/>
      <c r="AN381" s="691"/>
      <c r="AO381" s="1"/>
      <c r="AP381" s="1"/>
    </row>
    <row r="382">
      <c r="A382" s="929"/>
      <c r="B382" s="691"/>
      <c r="C382" s="310"/>
      <c r="D382" s="691"/>
      <c r="E382" s="691"/>
      <c r="F382" s="350"/>
      <c r="G382" s="355"/>
      <c r="H382" s="780"/>
      <c r="I382" s="691"/>
      <c r="J382" s="691"/>
      <c r="K382" s="691"/>
      <c r="L382" s="691"/>
      <c r="M382" s="691"/>
      <c r="N382" s="691"/>
      <c r="O382" s="930"/>
      <c r="P382" s="909"/>
      <c r="Q382" s="931"/>
      <c r="R382" s="310"/>
      <c r="S382" s="310"/>
      <c r="T382" s="691"/>
      <c r="U382" s="691"/>
      <c r="V382" s="355"/>
      <c r="W382" s="932"/>
      <c r="X382" s="310"/>
      <c r="Y382" s="310"/>
      <c r="Z382" s="933"/>
      <c r="AA382" s="310"/>
      <c r="AB382" s="691"/>
      <c r="AC382" s="933"/>
      <c r="AD382" s="691"/>
      <c r="AE382" s="691"/>
      <c r="AF382" s="934"/>
      <c r="AG382" s="934"/>
      <c r="AH382" s="888"/>
      <c r="AI382" s="888"/>
      <c r="AJ382" s="310"/>
      <c r="AK382" s="310"/>
      <c r="AL382" s="310"/>
      <c r="AM382" s="1"/>
      <c r="AN382" s="691"/>
      <c r="AO382" s="1"/>
      <c r="AP382" s="1"/>
    </row>
    <row r="383">
      <c r="A383" s="929"/>
      <c r="B383" s="691"/>
      <c r="C383" s="310"/>
      <c r="D383" s="691"/>
      <c r="E383" s="691"/>
      <c r="F383" s="350"/>
      <c r="G383" s="355"/>
      <c r="H383" s="780"/>
      <c r="I383" s="691"/>
      <c r="J383" s="691"/>
      <c r="K383" s="691"/>
      <c r="L383" s="691"/>
      <c r="M383" s="691"/>
      <c r="N383" s="691"/>
      <c r="O383" s="930"/>
      <c r="P383" s="909"/>
      <c r="Q383" s="931"/>
      <c r="R383" s="310"/>
      <c r="S383" s="310"/>
      <c r="T383" s="691"/>
      <c r="U383" s="691"/>
      <c r="V383" s="355"/>
      <c r="W383" s="932"/>
      <c r="X383" s="310"/>
      <c r="Y383" s="310"/>
      <c r="Z383" s="933"/>
      <c r="AA383" s="310"/>
      <c r="AB383" s="691"/>
      <c r="AC383" s="933"/>
      <c r="AD383" s="691"/>
      <c r="AE383" s="691"/>
      <c r="AF383" s="934"/>
      <c r="AG383" s="934"/>
      <c r="AH383" s="888"/>
      <c r="AI383" s="888"/>
      <c r="AJ383" s="310"/>
      <c r="AK383" s="310"/>
      <c r="AL383" s="310"/>
      <c r="AM383" s="1"/>
      <c r="AN383" s="691"/>
      <c r="AO383" s="1"/>
      <c r="AP383" s="1"/>
    </row>
    <row r="384">
      <c r="A384" s="929"/>
      <c r="B384" s="691"/>
      <c r="C384" s="310"/>
      <c r="D384" s="691"/>
      <c r="E384" s="691"/>
      <c r="F384" s="350"/>
      <c r="G384" s="355"/>
      <c r="H384" s="780"/>
      <c r="I384" s="691"/>
      <c r="J384" s="691"/>
      <c r="K384" s="691"/>
      <c r="L384" s="691"/>
      <c r="M384" s="691"/>
      <c r="N384" s="691"/>
      <c r="O384" s="930"/>
      <c r="P384" s="909"/>
      <c r="Q384" s="931"/>
      <c r="R384" s="310"/>
      <c r="S384" s="310"/>
      <c r="T384" s="691"/>
      <c r="U384" s="691"/>
      <c r="V384" s="355"/>
      <c r="W384" s="932"/>
      <c r="X384" s="310"/>
      <c r="Y384" s="310"/>
      <c r="Z384" s="933"/>
      <c r="AA384" s="310"/>
      <c r="AB384" s="691"/>
      <c r="AC384" s="933"/>
      <c r="AD384" s="691"/>
      <c r="AE384" s="691"/>
      <c r="AF384" s="934"/>
      <c r="AG384" s="934"/>
      <c r="AH384" s="888"/>
      <c r="AI384" s="888"/>
      <c r="AJ384" s="310"/>
      <c r="AK384" s="310"/>
      <c r="AL384" s="310"/>
      <c r="AM384" s="1"/>
      <c r="AN384" s="691"/>
      <c r="AO384" s="1"/>
      <c r="AP384" s="1"/>
    </row>
    <row r="385">
      <c r="A385" s="929"/>
      <c r="B385" s="691"/>
      <c r="C385" s="310"/>
      <c r="D385" s="691"/>
      <c r="E385" s="691"/>
      <c r="F385" s="350"/>
      <c r="G385" s="355"/>
      <c r="H385" s="780"/>
      <c r="I385" s="691"/>
      <c r="J385" s="691"/>
      <c r="K385" s="691"/>
      <c r="L385" s="691"/>
      <c r="M385" s="691"/>
      <c r="N385" s="691"/>
      <c r="O385" s="930"/>
      <c r="P385" s="909"/>
      <c r="Q385" s="931"/>
      <c r="R385" s="310"/>
      <c r="S385" s="310"/>
      <c r="T385" s="691"/>
      <c r="U385" s="691"/>
      <c r="V385" s="355"/>
      <c r="W385" s="932"/>
      <c r="X385" s="310"/>
      <c r="Y385" s="310"/>
      <c r="Z385" s="933"/>
      <c r="AA385" s="310"/>
      <c r="AB385" s="691"/>
      <c r="AC385" s="933"/>
      <c r="AD385" s="691"/>
      <c r="AE385" s="691"/>
      <c r="AF385" s="934"/>
      <c r="AG385" s="934"/>
      <c r="AH385" s="888"/>
      <c r="AI385" s="888"/>
      <c r="AJ385" s="310"/>
      <c r="AK385" s="310"/>
      <c r="AL385" s="310"/>
      <c r="AM385" s="1"/>
      <c r="AN385" s="691"/>
      <c r="AO385" s="1"/>
      <c r="AP385" s="1"/>
    </row>
    <row r="386">
      <c r="A386" s="929"/>
      <c r="B386" s="691"/>
      <c r="C386" s="310"/>
      <c r="D386" s="691"/>
      <c r="E386" s="691"/>
      <c r="F386" s="350"/>
      <c r="G386" s="355"/>
      <c r="H386" s="780"/>
      <c r="I386" s="691"/>
      <c r="J386" s="691"/>
      <c r="K386" s="691"/>
      <c r="L386" s="691"/>
      <c r="M386" s="691"/>
      <c r="N386" s="691"/>
      <c r="O386" s="930"/>
      <c r="P386" s="909"/>
      <c r="Q386" s="931"/>
      <c r="R386" s="310"/>
      <c r="S386" s="310"/>
      <c r="T386" s="691"/>
      <c r="U386" s="691"/>
      <c r="V386" s="355"/>
      <c r="W386" s="932"/>
      <c r="X386" s="310"/>
      <c r="Y386" s="310"/>
      <c r="Z386" s="933"/>
      <c r="AA386" s="310"/>
      <c r="AB386" s="691"/>
      <c r="AC386" s="933"/>
      <c r="AD386" s="691"/>
      <c r="AE386" s="691"/>
      <c r="AF386" s="934"/>
      <c r="AG386" s="934"/>
      <c r="AH386" s="888"/>
      <c r="AI386" s="888"/>
      <c r="AJ386" s="310"/>
      <c r="AK386" s="310"/>
      <c r="AL386" s="310"/>
      <c r="AM386" s="1"/>
      <c r="AN386" s="691"/>
      <c r="AO386" s="1"/>
      <c r="AP386" s="1"/>
    </row>
    <row r="387">
      <c r="A387" s="929"/>
      <c r="B387" s="691"/>
      <c r="C387" s="310"/>
      <c r="D387" s="691"/>
      <c r="E387" s="691"/>
      <c r="F387" s="350"/>
      <c r="G387" s="355"/>
      <c r="H387" s="780"/>
      <c r="I387" s="691"/>
      <c r="J387" s="691"/>
      <c r="K387" s="691"/>
      <c r="L387" s="691"/>
      <c r="M387" s="691"/>
      <c r="N387" s="691"/>
      <c r="O387" s="930"/>
      <c r="P387" s="909"/>
      <c r="Q387" s="931"/>
      <c r="R387" s="310"/>
      <c r="S387" s="310"/>
      <c r="T387" s="691"/>
      <c r="U387" s="691"/>
      <c r="V387" s="355"/>
      <c r="W387" s="932"/>
      <c r="X387" s="310"/>
      <c r="Y387" s="310"/>
      <c r="Z387" s="933"/>
      <c r="AA387" s="310"/>
      <c r="AB387" s="691"/>
      <c r="AC387" s="933"/>
      <c r="AD387" s="691"/>
      <c r="AE387" s="691"/>
      <c r="AF387" s="934"/>
      <c r="AG387" s="934"/>
      <c r="AH387" s="888"/>
      <c r="AI387" s="888"/>
      <c r="AJ387" s="310"/>
      <c r="AK387" s="310"/>
      <c r="AL387" s="310"/>
      <c r="AM387" s="1"/>
      <c r="AN387" s="691"/>
      <c r="AO387" s="1"/>
      <c r="AP387" s="1"/>
    </row>
    <row r="388">
      <c r="A388" s="929"/>
      <c r="B388" s="691"/>
      <c r="C388" s="310"/>
      <c r="D388" s="691"/>
      <c r="E388" s="691"/>
      <c r="F388" s="350"/>
      <c r="G388" s="355"/>
      <c r="H388" s="780"/>
      <c r="I388" s="691"/>
      <c r="J388" s="691"/>
      <c r="K388" s="691"/>
      <c r="L388" s="691"/>
      <c r="M388" s="691"/>
      <c r="N388" s="691"/>
      <c r="O388" s="930"/>
      <c r="P388" s="909"/>
      <c r="Q388" s="931"/>
      <c r="R388" s="310"/>
      <c r="S388" s="310"/>
      <c r="T388" s="691"/>
      <c r="U388" s="691"/>
      <c r="V388" s="355"/>
      <c r="W388" s="932"/>
      <c r="X388" s="310"/>
      <c r="Y388" s="310"/>
      <c r="Z388" s="933"/>
      <c r="AA388" s="310"/>
      <c r="AB388" s="691"/>
      <c r="AC388" s="933"/>
      <c r="AD388" s="691"/>
      <c r="AE388" s="691"/>
      <c r="AF388" s="934"/>
      <c r="AG388" s="934"/>
      <c r="AH388" s="888"/>
      <c r="AI388" s="888"/>
      <c r="AJ388" s="310"/>
      <c r="AK388" s="310"/>
      <c r="AL388" s="310"/>
      <c r="AM388" s="1"/>
      <c r="AN388" s="691"/>
      <c r="AO388" s="1"/>
      <c r="AP388" s="1"/>
    </row>
    <row r="389">
      <c r="A389" s="929"/>
      <c r="B389" s="691"/>
      <c r="C389" s="310"/>
      <c r="D389" s="691"/>
      <c r="E389" s="691"/>
      <c r="F389" s="350"/>
      <c r="G389" s="355"/>
      <c r="H389" s="780"/>
      <c r="I389" s="691"/>
      <c r="J389" s="691"/>
      <c r="K389" s="691"/>
      <c r="L389" s="691"/>
      <c r="M389" s="691"/>
      <c r="N389" s="691"/>
      <c r="O389" s="930"/>
      <c r="P389" s="909"/>
      <c r="Q389" s="931"/>
      <c r="R389" s="310"/>
      <c r="S389" s="310"/>
      <c r="T389" s="691"/>
      <c r="U389" s="691"/>
      <c r="V389" s="355"/>
      <c r="W389" s="932"/>
      <c r="X389" s="310"/>
      <c r="Y389" s="310"/>
      <c r="Z389" s="933"/>
      <c r="AA389" s="310"/>
      <c r="AB389" s="691"/>
      <c r="AC389" s="933"/>
      <c r="AD389" s="691"/>
      <c r="AE389" s="691"/>
      <c r="AF389" s="934"/>
      <c r="AG389" s="934"/>
      <c r="AH389" s="888"/>
      <c r="AI389" s="888"/>
      <c r="AJ389" s="310"/>
      <c r="AK389" s="310"/>
      <c r="AL389" s="310"/>
      <c r="AM389" s="1"/>
      <c r="AN389" s="691"/>
      <c r="AO389" s="1"/>
      <c r="AP389" s="1"/>
    </row>
    <row r="390">
      <c r="A390" s="929"/>
      <c r="B390" s="691"/>
      <c r="C390" s="310"/>
      <c r="D390" s="691"/>
      <c r="E390" s="691"/>
      <c r="F390" s="350"/>
      <c r="G390" s="355"/>
      <c r="H390" s="780"/>
      <c r="I390" s="691"/>
      <c r="J390" s="691"/>
      <c r="K390" s="691"/>
      <c r="L390" s="691"/>
      <c r="M390" s="691"/>
      <c r="N390" s="691"/>
      <c r="O390" s="930"/>
      <c r="P390" s="909"/>
      <c r="Q390" s="931"/>
      <c r="R390" s="310"/>
      <c r="S390" s="310"/>
      <c r="T390" s="691"/>
      <c r="U390" s="691"/>
      <c r="V390" s="355"/>
      <c r="W390" s="932"/>
      <c r="X390" s="310"/>
      <c r="Y390" s="310"/>
      <c r="Z390" s="933"/>
      <c r="AA390" s="310"/>
      <c r="AB390" s="691"/>
      <c r="AC390" s="933"/>
      <c r="AD390" s="691"/>
      <c r="AE390" s="691"/>
      <c r="AF390" s="934"/>
      <c r="AG390" s="934"/>
      <c r="AH390" s="888"/>
      <c r="AI390" s="888"/>
      <c r="AJ390" s="310"/>
      <c r="AK390" s="310"/>
      <c r="AL390" s="310"/>
      <c r="AM390" s="1"/>
      <c r="AN390" s="691"/>
      <c r="AO390" s="1"/>
      <c r="AP390" s="1"/>
    </row>
    <row r="391">
      <c r="A391" s="929"/>
      <c r="B391" s="691"/>
      <c r="C391" s="310"/>
      <c r="D391" s="691"/>
      <c r="E391" s="691"/>
      <c r="F391" s="350"/>
      <c r="G391" s="355"/>
      <c r="H391" s="780"/>
      <c r="I391" s="691"/>
      <c r="J391" s="691"/>
      <c r="K391" s="691"/>
      <c r="L391" s="691"/>
      <c r="M391" s="691"/>
      <c r="N391" s="691"/>
      <c r="O391" s="930"/>
      <c r="P391" s="909"/>
      <c r="Q391" s="931"/>
      <c r="R391" s="310"/>
      <c r="S391" s="310"/>
      <c r="T391" s="691"/>
      <c r="U391" s="691"/>
      <c r="V391" s="355"/>
      <c r="W391" s="932"/>
      <c r="X391" s="310"/>
      <c r="Y391" s="310"/>
      <c r="Z391" s="933"/>
      <c r="AA391" s="310"/>
      <c r="AB391" s="691"/>
      <c r="AC391" s="933"/>
      <c r="AD391" s="691"/>
      <c r="AE391" s="691"/>
      <c r="AF391" s="934"/>
      <c r="AG391" s="934"/>
      <c r="AH391" s="888"/>
      <c r="AI391" s="888"/>
      <c r="AJ391" s="310"/>
      <c r="AK391" s="310"/>
      <c r="AL391" s="310"/>
      <c r="AM391" s="1"/>
      <c r="AN391" s="691"/>
      <c r="AO391" s="1"/>
      <c r="AP391" s="1"/>
    </row>
    <row r="392">
      <c r="A392" s="929"/>
      <c r="B392" s="691"/>
      <c r="C392" s="310"/>
      <c r="D392" s="691"/>
      <c r="E392" s="691"/>
      <c r="F392" s="350"/>
      <c r="G392" s="355"/>
      <c r="H392" s="780"/>
      <c r="I392" s="691"/>
      <c r="J392" s="691"/>
      <c r="K392" s="691"/>
      <c r="L392" s="691"/>
      <c r="M392" s="691"/>
      <c r="N392" s="691"/>
      <c r="O392" s="930"/>
      <c r="P392" s="909"/>
      <c r="Q392" s="931"/>
      <c r="R392" s="310"/>
      <c r="S392" s="310"/>
      <c r="T392" s="691"/>
      <c r="U392" s="691"/>
      <c r="V392" s="355"/>
      <c r="W392" s="932"/>
      <c r="X392" s="310"/>
      <c r="Y392" s="310"/>
      <c r="Z392" s="933"/>
      <c r="AA392" s="310"/>
      <c r="AB392" s="691"/>
      <c r="AC392" s="933"/>
      <c r="AD392" s="691"/>
      <c r="AE392" s="691"/>
      <c r="AF392" s="934"/>
      <c r="AG392" s="934"/>
      <c r="AH392" s="888"/>
      <c r="AI392" s="888"/>
      <c r="AJ392" s="310"/>
      <c r="AK392" s="310"/>
      <c r="AL392" s="310"/>
      <c r="AM392" s="1"/>
      <c r="AN392" s="691"/>
      <c r="AO392" s="1"/>
      <c r="AP392" s="1"/>
    </row>
    <row r="393">
      <c r="A393" s="929"/>
      <c r="B393" s="691"/>
      <c r="C393" s="310"/>
      <c r="D393" s="691"/>
      <c r="E393" s="691"/>
      <c r="F393" s="350"/>
      <c r="G393" s="355"/>
      <c r="H393" s="780"/>
      <c r="I393" s="691"/>
      <c r="J393" s="691"/>
      <c r="K393" s="691"/>
      <c r="L393" s="691"/>
      <c r="M393" s="691"/>
      <c r="N393" s="691"/>
      <c r="O393" s="930"/>
      <c r="P393" s="909"/>
      <c r="Q393" s="931"/>
      <c r="R393" s="310"/>
      <c r="S393" s="310"/>
      <c r="T393" s="691"/>
      <c r="U393" s="691"/>
      <c r="V393" s="355"/>
      <c r="W393" s="932"/>
      <c r="X393" s="310"/>
      <c r="Y393" s="310"/>
      <c r="Z393" s="933"/>
      <c r="AA393" s="310"/>
      <c r="AB393" s="691"/>
      <c r="AC393" s="933"/>
      <c r="AD393" s="691"/>
      <c r="AE393" s="691"/>
      <c r="AF393" s="934"/>
      <c r="AG393" s="934"/>
      <c r="AH393" s="888"/>
      <c r="AI393" s="888"/>
      <c r="AJ393" s="310"/>
      <c r="AK393" s="310"/>
      <c r="AL393" s="310"/>
      <c r="AM393" s="1"/>
      <c r="AN393" s="691"/>
      <c r="AO393" s="1"/>
      <c r="AP393" s="1"/>
    </row>
    <row r="394">
      <c r="A394" s="929"/>
      <c r="B394" s="691"/>
      <c r="C394" s="310"/>
      <c r="D394" s="691"/>
      <c r="E394" s="691"/>
      <c r="F394" s="350"/>
      <c r="G394" s="355"/>
      <c r="H394" s="780"/>
      <c r="I394" s="691"/>
      <c r="J394" s="691"/>
      <c r="K394" s="691"/>
      <c r="L394" s="691"/>
      <c r="M394" s="691"/>
      <c r="N394" s="691"/>
      <c r="O394" s="930"/>
      <c r="P394" s="909"/>
      <c r="Q394" s="931"/>
      <c r="R394" s="310"/>
      <c r="S394" s="310"/>
      <c r="T394" s="691"/>
      <c r="U394" s="691"/>
      <c r="V394" s="355"/>
      <c r="W394" s="932"/>
      <c r="X394" s="310"/>
      <c r="Y394" s="310"/>
      <c r="Z394" s="933"/>
      <c r="AA394" s="310"/>
      <c r="AB394" s="691"/>
      <c r="AC394" s="933"/>
      <c r="AD394" s="691"/>
      <c r="AE394" s="691"/>
      <c r="AF394" s="934"/>
      <c r="AG394" s="934"/>
      <c r="AH394" s="888"/>
      <c r="AI394" s="888"/>
      <c r="AJ394" s="310"/>
      <c r="AK394" s="310"/>
      <c r="AL394" s="310"/>
      <c r="AM394" s="1"/>
      <c r="AN394" s="691"/>
      <c r="AO394" s="1"/>
      <c r="AP394" s="1"/>
    </row>
    <row r="395">
      <c r="A395" s="929"/>
      <c r="B395" s="691"/>
      <c r="C395" s="310"/>
      <c r="D395" s="691"/>
      <c r="E395" s="691"/>
      <c r="F395" s="350"/>
      <c r="G395" s="355"/>
      <c r="H395" s="780"/>
      <c r="I395" s="691"/>
      <c r="J395" s="691"/>
      <c r="K395" s="691"/>
      <c r="L395" s="691"/>
      <c r="M395" s="691"/>
      <c r="N395" s="691"/>
      <c r="O395" s="930"/>
      <c r="P395" s="909"/>
      <c r="Q395" s="931"/>
      <c r="R395" s="310"/>
      <c r="S395" s="310"/>
      <c r="T395" s="691"/>
      <c r="U395" s="691"/>
      <c r="V395" s="355"/>
      <c r="W395" s="932"/>
      <c r="X395" s="310"/>
      <c r="Y395" s="310"/>
      <c r="Z395" s="933"/>
      <c r="AA395" s="310"/>
      <c r="AB395" s="691"/>
      <c r="AC395" s="933"/>
      <c r="AD395" s="691"/>
      <c r="AE395" s="691"/>
      <c r="AF395" s="934"/>
      <c r="AG395" s="934"/>
      <c r="AH395" s="888"/>
      <c r="AI395" s="888"/>
      <c r="AJ395" s="310"/>
      <c r="AK395" s="310"/>
      <c r="AL395" s="310"/>
      <c r="AM395" s="1"/>
      <c r="AN395" s="691"/>
      <c r="AO395" s="1"/>
      <c r="AP395" s="1"/>
    </row>
    <row r="396">
      <c r="A396" s="929"/>
      <c r="B396" s="691"/>
      <c r="C396" s="310"/>
      <c r="D396" s="691"/>
      <c r="E396" s="691"/>
      <c r="F396" s="350"/>
      <c r="G396" s="355"/>
      <c r="H396" s="780"/>
      <c r="I396" s="691"/>
      <c r="J396" s="691"/>
      <c r="K396" s="691"/>
      <c r="L396" s="691"/>
      <c r="M396" s="691"/>
      <c r="N396" s="691"/>
      <c r="O396" s="930"/>
      <c r="P396" s="909"/>
      <c r="Q396" s="931"/>
      <c r="R396" s="310"/>
      <c r="S396" s="310"/>
      <c r="T396" s="691"/>
      <c r="U396" s="691"/>
      <c r="V396" s="355"/>
      <c r="W396" s="932"/>
      <c r="X396" s="310"/>
      <c r="Y396" s="310"/>
      <c r="Z396" s="933"/>
      <c r="AA396" s="310"/>
      <c r="AB396" s="691"/>
      <c r="AC396" s="933"/>
      <c r="AD396" s="691"/>
      <c r="AE396" s="691"/>
      <c r="AF396" s="934"/>
      <c r="AG396" s="934"/>
      <c r="AH396" s="888"/>
      <c r="AI396" s="888"/>
      <c r="AJ396" s="310"/>
      <c r="AK396" s="310"/>
      <c r="AL396" s="310"/>
      <c r="AM396" s="1"/>
      <c r="AN396" s="691"/>
      <c r="AO396" s="1"/>
      <c r="AP396" s="1"/>
    </row>
    <row r="397">
      <c r="A397" s="929"/>
      <c r="B397" s="691"/>
      <c r="C397" s="310"/>
      <c r="D397" s="691"/>
      <c r="E397" s="691"/>
      <c r="F397" s="350"/>
      <c r="G397" s="355"/>
      <c r="H397" s="780"/>
      <c r="I397" s="691"/>
      <c r="J397" s="691"/>
      <c r="K397" s="691"/>
      <c r="L397" s="691"/>
      <c r="M397" s="691"/>
      <c r="N397" s="691"/>
      <c r="O397" s="930"/>
      <c r="P397" s="909"/>
      <c r="Q397" s="931"/>
      <c r="R397" s="310"/>
      <c r="S397" s="310"/>
      <c r="T397" s="691"/>
      <c r="U397" s="691"/>
      <c r="V397" s="355"/>
      <c r="W397" s="932"/>
      <c r="X397" s="310"/>
      <c r="Y397" s="310"/>
      <c r="Z397" s="933"/>
      <c r="AA397" s="310"/>
      <c r="AB397" s="691"/>
      <c r="AC397" s="933"/>
      <c r="AD397" s="691"/>
      <c r="AE397" s="691"/>
      <c r="AF397" s="934"/>
      <c r="AG397" s="934"/>
      <c r="AH397" s="888"/>
      <c r="AI397" s="888"/>
      <c r="AJ397" s="310"/>
      <c r="AK397" s="310"/>
      <c r="AL397" s="310"/>
      <c r="AM397" s="1"/>
      <c r="AN397" s="691"/>
      <c r="AO397" s="1"/>
      <c r="AP397" s="1"/>
    </row>
    <row r="398">
      <c r="A398" s="929"/>
      <c r="B398" s="691"/>
      <c r="C398" s="310"/>
      <c r="D398" s="691"/>
      <c r="E398" s="691"/>
      <c r="F398" s="350"/>
      <c r="G398" s="355"/>
      <c r="H398" s="780"/>
      <c r="I398" s="691"/>
      <c r="J398" s="691"/>
      <c r="K398" s="691"/>
      <c r="L398" s="691"/>
      <c r="M398" s="691"/>
      <c r="N398" s="691"/>
      <c r="O398" s="930"/>
      <c r="P398" s="909"/>
      <c r="Q398" s="931"/>
      <c r="R398" s="310"/>
      <c r="S398" s="310"/>
      <c r="T398" s="691"/>
      <c r="U398" s="691"/>
      <c r="V398" s="355"/>
      <c r="W398" s="932"/>
      <c r="X398" s="310"/>
      <c r="Y398" s="310"/>
      <c r="Z398" s="933"/>
      <c r="AA398" s="310"/>
      <c r="AB398" s="691"/>
      <c r="AC398" s="933"/>
      <c r="AD398" s="691"/>
      <c r="AE398" s="691"/>
      <c r="AF398" s="934"/>
      <c r="AG398" s="934"/>
      <c r="AH398" s="888"/>
      <c r="AI398" s="888"/>
      <c r="AJ398" s="310"/>
      <c r="AK398" s="310"/>
      <c r="AL398" s="310"/>
      <c r="AM398" s="1"/>
      <c r="AN398" s="691"/>
      <c r="AO398" s="1"/>
      <c r="AP398" s="1"/>
    </row>
    <row r="399">
      <c r="A399" s="929"/>
      <c r="B399" s="691"/>
      <c r="C399" s="310"/>
      <c r="D399" s="691"/>
      <c r="E399" s="691"/>
      <c r="F399" s="350"/>
      <c r="G399" s="355"/>
      <c r="H399" s="780"/>
      <c r="I399" s="691"/>
      <c r="J399" s="691"/>
      <c r="K399" s="691"/>
      <c r="L399" s="691"/>
      <c r="M399" s="691"/>
      <c r="N399" s="691"/>
      <c r="O399" s="930"/>
      <c r="P399" s="909"/>
      <c r="Q399" s="931"/>
      <c r="R399" s="310"/>
      <c r="S399" s="310"/>
      <c r="T399" s="691"/>
      <c r="U399" s="691"/>
      <c r="V399" s="355"/>
      <c r="W399" s="932"/>
      <c r="X399" s="310"/>
      <c r="Y399" s="310"/>
      <c r="Z399" s="933"/>
      <c r="AA399" s="310"/>
      <c r="AB399" s="691"/>
      <c r="AC399" s="933"/>
      <c r="AD399" s="691"/>
      <c r="AE399" s="691"/>
      <c r="AF399" s="934"/>
      <c r="AG399" s="934"/>
      <c r="AH399" s="888"/>
      <c r="AI399" s="888"/>
      <c r="AJ399" s="310"/>
      <c r="AK399" s="310"/>
      <c r="AL399" s="310"/>
      <c r="AM399" s="1"/>
      <c r="AN399" s="691"/>
      <c r="AO399" s="1"/>
      <c r="AP399" s="1"/>
    </row>
    <row r="400">
      <c r="A400" s="929"/>
      <c r="B400" s="691"/>
      <c r="C400" s="310"/>
      <c r="D400" s="691"/>
      <c r="E400" s="691"/>
      <c r="F400" s="350"/>
      <c r="G400" s="355"/>
      <c r="H400" s="780"/>
      <c r="I400" s="691"/>
      <c r="J400" s="691"/>
      <c r="K400" s="691"/>
      <c r="L400" s="691"/>
      <c r="M400" s="691"/>
      <c r="N400" s="691"/>
      <c r="O400" s="930"/>
      <c r="P400" s="909"/>
      <c r="Q400" s="931"/>
      <c r="R400" s="310"/>
      <c r="S400" s="310"/>
      <c r="T400" s="691"/>
      <c r="U400" s="691"/>
      <c r="V400" s="355"/>
      <c r="W400" s="932"/>
      <c r="X400" s="310"/>
      <c r="Y400" s="310"/>
      <c r="Z400" s="933"/>
      <c r="AA400" s="310"/>
      <c r="AB400" s="691"/>
      <c r="AC400" s="933"/>
      <c r="AD400" s="691"/>
      <c r="AE400" s="691"/>
      <c r="AF400" s="934"/>
      <c r="AG400" s="934"/>
      <c r="AH400" s="888"/>
      <c r="AI400" s="888"/>
      <c r="AJ400" s="310"/>
      <c r="AK400" s="310"/>
      <c r="AL400" s="310"/>
      <c r="AM400" s="1"/>
      <c r="AN400" s="691"/>
      <c r="AO400" s="1"/>
      <c r="AP400" s="1"/>
    </row>
    <row r="401">
      <c r="A401" s="929"/>
      <c r="B401" s="691"/>
      <c r="C401" s="310"/>
      <c r="D401" s="691"/>
      <c r="E401" s="691"/>
      <c r="F401" s="350"/>
      <c r="G401" s="355"/>
      <c r="H401" s="780"/>
      <c r="I401" s="691"/>
      <c r="J401" s="691"/>
      <c r="K401" s="691"/>
      <c r="L401" s="691"/>
      <c r="M401" s="691"/>
      <c r="N401" s="691"/>
      <c r="O401" s="930"/>
      <c r="P401" s="909"/>
      <c r="Q401" s="931"/>
      <c r="R401" s="310"/>
      <c r="S401" s="310"/>
      <c r="T401" s="691"/>
      <c r="U401" s="691"/>
      <c r="V401" s="355"/>
      <c r="W401" s="932"/>
      <c r="X401" s="310"/>
      <c r="Y401" s="310"/>
      <c r="Z401" s="933"/>
      <c r="AA401" s="310"/>
      <c r="AB401" s="691"/>
      <c r="AC401" s="933"/>
      <c r="AD401" s="691"/>
      <c r="AE401" s="691"/>
      <c r="AF401" s="934"/>
      <c r="AG401" s="934"/>
      <c r="AH401" s="888"/>
      <c r="AI401" s="888"/>
      <c r="AJ401" s="310"/>
      <c r="AK401" s="310"/>
      <c r="AL401" s="310"/>
      <c r="AM401" s="1"/>
      <c r="AN401" s="691"/>
      <c r="AO401" s="1"/>
      <c r="AP401" s="1"/>
    </row>
    <row r="402">
      <c r="A402" s="929"/>
      <c r="B402" s="691"/>
      <c r="C402" s="310"/>
      <c r="D402" s="691"/>
      <c r="E402" s="691"/>
      <c r="F402" s="350"/>
      <c r="G402" s="355"/>
      <c r="H402" s="780"/>
      <c r="I402" s="691"/>
      <c r="J402" s="691"/>
      <c r="K402" s="691"/>
      <c r="L402" s="691"/>
      <c r="M402" s="691"/>
      <c r="N402" s="691"/>
      <c r="O402" s="930"/>
      <c r="P402" s="909"/>
      <c r="Q402" s="931"/>
      <c r="R402" s="310"/>
      <c r="S402" s="310"/>
      <c r="T402" s="691"/>
      <c r="U402" s="691"/>
      <c r="V402" s="355"/>
      <c r="W402" s="932"/>
      <c r="X402" s="310"/>
      <c r="Y402" s="310"/>
      <c r="Z402" s="933"/>
      <c r="AA402" s="310"/>
      <c r="AB402" s="691"/>
      <c r="AC402" s="933"/>
      <c r="AD402" s="691"/>
      <c r="AE402" s="691"/>
      <c r="AF402" s="934"/>
      <c r="AG402" s="934"/>
      <c r="AH402" s="888"/>
      <c r="AI402" s="888"/>
      <c r="AJ402" s="310"/>
      <c r="AK402" s="310"/>
      <c r="AL402" s="310"/>
      <c r="AM402" s="1"/>
      <c r="AN402" s="691"/>
      <c r="AO402" s="1"/>
      <c r="AP402" s="1"/>
    </row>
    <row r="403">
      <c r="A403" s="929"/>
      <c r="B403" s="691"/>
      <c r="C403" s="310"/>
      <c r="D403" s="691"/>
      <c r="E403" s="691"/>
      <c r="F403" s="350"/>
      <c r="G403" s="355"/>
      <c r="H403" s="780"/>
      <c r="I403" s="691"/>
      <c r="J403" s="691"/>
      <c r="K403" s="691"/>
      <c r="L403" s="691"/>
      <c r="M403" s="691"/>
      <c r="N403" s="691"/>
      <c r="O403" s="930"/>
      <c r="P403" s="909"/>
      <c r="Q403" s="931"/>
      <c r="R403" s="310"/>
      <c r="S403" s="310"/>
      <c r="T403" s="691"/>
      <c r="U403" s="691"/>
      <c r="V403" s="355"/>
      <c r="W403" s="932"/>
      <c r="X403" s="310"/>
      <c r="Y403" s="310"/>
      <c r="Z403" s="933"/>
      <c r="AA403" s="310"/>
      <c r="AB403" s="691"/>
      <c r="AC403" s="933"/>
      <c r="AD403" s="691"/>
      <c r="AE403" s="691"/>
      <c r="AF403" s="934"/>
      <c r="AG403" s="934"/>
      <c r="AH403" s="888"/>
      <c r="AI403" s="888"/>
      <c r="AJ403" s="310"/>
      <c r="AK403" s="310"/>
      <c r="AL403" s="310"/>
      <c r="AM403" s="1"/>
      <c r="AN403" s="691"/>
      <c r="AO403" s="1"/>
      <c r="AP403" s="1"/>
    </row>
    <row r="404">
      <c r="A404" s="929"/>
      <c r="B404" s="691"/>
      <c r="C404" s="310"/>
      <c r="D404" s="691"/>
      <c r="E404" s="691"/>
      <c r="F404" s="350"/>
      <c r="G404" s="355"/>
      <c r="H404" s="780"/>
      <c r="I404" s="691"/>
      <c r="J404" s="691"/>
      <c r="K404" s="691"/>
      <c r="L404" s="691"/>
      <c r="M404" s="691"/>
      <c r="N404" s="691"/>
      <c r="O404" s="930"/>
      <c r="P404" s="909"/>
      <c r="Q404" s="931"/>
      <c r="R404" s="310"/>
      <c r="S404" s="310"/>
      <c r="T404" s="691"/>
      <c r="U404" s="691"/>
      <c r="V404" s="355"/>
      <c r="W404" s="932"/>
      <c r="X404" s="310"/>
      <c r="Y404" s="310"/>
      <c r="Z404" s="933"/>
      <c r="AA404" s="310"/>
      <c r="AB404" s="691"/>
      <c r="AC404" s="933"/>
      <c r="AD404" s="691"/>
      <c r="AE404" s="691"/>
      <c r="AF404" s="934"/>
      <c r="AG404" s="934"/>
      <c r="AH404" s="888"/>
      <c r="AI404" s="888"/>
      <c r="AJ404" s="310"/>
      <c r="AK404" s="310"/>
      <c r="AL404" s="310"/>
      <c r="AM404" s="1"/>
      <c r="AN404" s="691"/>
      <c r="AO404" s="1"/>
      <c r="AP404" s="1"/>
    </row>
    <row r="405">
      <c r="A405" s="929"/>
      <c r="B405" s="691"/>
      <c r="C405" s="310"/>
      <c r="D405" s="691"/>
      <c r="E405" s="691"/>
      <c r="F405" s="350"/>
      <c r="G405" s="355"/>
      <c r="H405" s="780"/>
      <c r="I405" s="691"/>
      <c r="J405" s="691"/>
      <c r="K405" s="691"/>
      <c r="L405" s="691"/>
      <c r="M405" s="691"/>
      <c r="N405" s="691"/>
      <c r="O405" s="930"/>
      <c r="P405" s="909"/>
      <c r="Q405" s="931"/>
      <c r="R405" s="310"/>
      <c r="S405" s="310"/>
      <c r="T405" s="691"/>
      <c r="U405" s="691"/>
      <c r="V405" s="355"/>
      <c r="W405" s="932"/>
      <c r="X405" s="310"/>
      <c r="Y405" s="310"/>
      <c r="Z405" s="933"/>
      <c r="AA405" s="310"/>
      <c r="AB405" s="691"/>
      <c r="AC405" s="933"/>
      <c r="AD405" s="691"/>
      <c r="AE405" s="691"/>
      <c r="AF405" s="934"/>
      <c r="AG405" s="934"/>
      <c r="AH405" s="888"/>
      <c r="AI405" s="888"/>
      <c r="AJ405" s="310"/>
      <c r="AK405" s="310"/>
      <c r="AL405" s="310"/>
      <c r="AM405" s="1"/>
      <c r="AN405" s="691"/>
      <c r="AO405" s="1"/>
      <c r="AP405" s="1"/>
    </row>
    <row r="406">
      <c r="A406" s="929"/>
      <c r="B406" s="691"/>
      <c r="C406" s="310"/>
      <c r="D406" s="691"/>
      <c r="E406" s="691"/>
      <c r="F406" s="350"/>
      <c r="G406" s="355"/>
      <c r="H406" s="780"/>
      <c r="I406" s="691"/>
      <c r="J406" s="691"/>
      <c r="K406" s="691"/>
      <c r="L406" s="691"/>
      <c r="M406" s="691"/>
      <c r="N406" s="691"/>
      <c r="O406" s="930"/>
      <c r="P406" s="909"/>
      <c r="Q406" s="931"/>
      <c r="R406" s="310"/>
      <c r="S406" s="310"/>
      <c r="T406" s="691"/>
      <c r="U406" s="691"/>
      <c r="V406" s="355"/>
      <c r="W406" s="932"/>
      <c r="X406" s="310"/>
      <c r="Y406" s="310"/>
      <c r="Z406" s="933"/>
      <c r="AA406" s="310"/>
      <c r="AB406" s="691"/>
      <c r="AC406" s="933"/>
      <c r="AD406" s="691"/>
      <c r="AE406" s="691"/>
      <c r="AF406" s="934"/>
      <c r="AG406" s="934"/>
      <c r="AH406" s="888"/>
      <c r="AI406" s="888"/>
      <c r="AJ406" s="310"/>
      <c r="AK406" s="310"/>
      <c r="AL406" s="310"/>
      <c r="AM406" s="1"/>
      <c r="AN406" s="691"/>
      <c r="AO406" s="1"/>
      <c r="AP406" s="1"/>
    </row>
    <row r="407">
      <c r="A407" s="929"/>
      <c r="B407" s="691"/>
      <c r="C407" s="310"/>
      <c r="D407" s="691"/>
      <c r="E407" s="691"/>
      <c r="F407" s="350"/>
      <c r="G407" s="355"/>
      <c r="H407" s="780"/>
      <c r="I407" s="691"/>
      <c r="J407" s="691"/>
      <c r="K407" s="691"/>
      <c r="L407" s="691"/>
      <c r="M407" s="691"/>
      <c r="N407" s="691"/>
      <c r="O407" s="930"/>
      <c r="P407" s="909"/>
      <c r="Q407" s="931"/>
      <c r="R407" s="310"/>
      <c r="S407" s="310"/>
      <c r="T407" s="691"/>
      <c r="U407" s="691"/>
      <c r="V407" s="355"/>
      <c r="W407" s="932"/>
      <c r="X407" s="310"/>
      <c r="Y407" s="310"/>
      <c r="Z407" s="933"/>
      <c r="AA407" s="310"/>
      <c r="AB407" s="691"/>
      <c r="AC407" s="933"/>
      <c r="AD407" s="691"/>
      <c r="AE407" s="691"/>
      <c r="AF407" s="934"/>
      <c r="AG407" s="934"/>
      <c r="AH407" s="888"/>
      <c r="AI407" s="888"/>
      <c r="AJ407" s="310"/>
      <c r="AK407" s="310"/>
      <c r="AL407" s="310"/>
      <c r="AM407" s="1"/>
      <c r="AN407" s="691"/>
      <c r="AO407" s="1"/>
      <c r="AP407" s="1"/>
    </row>
    <row r="408">
      <c r="A408" s="929"/>
      <c r="B408" s="691"/>
      <c r="C408" s="310"/>
      <c r="D408" s="691"/>
      <c r="E408" s="691"/>
      <c r="F408" s="350"/>
      <c r="G408" s="355"/>
      <c r="H408" s="780"/>
      <c r="I408" s="691"/>
      <c r="J408" s="691"/>
      <c r="K408" s="691"/>
      <c r="L408" s="691"/>
      <c r="M408" s="691"/>
      <c r="N408" s="691"/>
      <c r="O408" s="930"/>
      <c r="P408" s="909"/>
      <c r="Q408" s="931"/>
      <c r="R408" s="310"/>
      <c r="S408" s="310"/>
      <c r="T408" s="691"/>
      <c r="U408" s="691"/>
      <c r="V408" s="355"/>
      <c r="W408" s="932"/>
      <c r="X408" s="310"/>
      <c r="Y408" s="310"/>
      <c r="Z408" s="933"/>
      <c r="AA408" s="310"/>
      <c r="AB408" s="691"/>
      <c r="AC408" s="933"/>
      <c r="AD408" s="691"/>
      <c r="AE408" s="691"/>
      <c r="AF408" s="934"/>
      <c r="AG408" s="934"/>
      <c r="AH408" s="888"/>
      <c r="AI408" s="888"/>
      <c r="AJ408" s="310"/>
      <c r="AK408" s="310"/>
      <c r="AL408" s="310"/>
      <c r="AM408" s="1"/>
      <c r="AN408" s="691"/>
      <c r="AO408" s="1"/>
      <c r="AP408" s="1"/>
    </row>
    <row r="409">
      <c r="A409" s="929"/>
      <c r="B409" s="691"/>
      <c r="C409" s="310"/>
      <c r="D409" s="691"/>
      <c r="E409" s="691"/>
      <c r="F409" s="350"/>
      <c r="G409" s="355"/>
      <c r="H409" s="780"/>
      <c r="I409" s="691"/>
      <c r="J409" s="691"/>
      <c r="K409" s="691"/>
      <c r="L409" s="691"/>
      <c r="M409" s="691"/>
      <c r="N409" s="691"/>
      <c r="O409" s="930"/>
      <c r="P409" s="909"/>
      <c r="Q409" s="931"/>
      <c r="R409" s="310"/>
      <c r="S409" s="310"/>
      <c r="T409" s="691"/>
      <c r="U409" s="691"/>
      <c r="V409" s="355"/>
      <c r="W409" s="932"/>
      <c r="X409" s="310"/>
      <c r="Y409" s="310"/>
      <c r="Z409" s="933"/>
      <c r="AA409" s="310"/>
      <c r="AB409" s="691"/>
      <c r="AC409" s="933"/>
      <c r="AD409" s="691"/>
      <c r="AE409" s="691"/>
      <c r="AF409" s="934"/>
      <c r="AG409" s="934"/>
      <c r="AH409" s="888"/>
      <c r="AI409" s="888"/>
      <c r="AJ409" s="310"/>
      <c r="AK409" s="310"/>
      <c r="AL409" s="310"/>
      <c r="AM409" s="1"/>
      <c r="AN409" s="691"/>
      <c r="AO409" s="1"/>
      <c r="AP409" s="1"/>
    </row>
    <row r="410">
      <c r="A410" s="929"/>
      <c r="B410" s="691"/>
      <c r="C410" s="310"/>
      <c r="D410" s="691"/>
      <c r="E410" s="691"/>
      <c r="F410" s="350"/>
      <c r="G410" s="355"/>
      <c r="H410" s="780"/>
      <c r="I410" s="691"/>
      <c r="J410" s="691"/>
      <c r="K410" s="691"/>
      <c r="L410" s="691"/>
      <c r="M410" s="691"/>
      <c r="N410" s="691"/>
      <c r="O410" s="930"/>
      <c r="P410" s="909"/>
      <c r="Q410" s="931"/>
      <c r="R410" s="310"/>
      <c r="S410" s="310"/>
      <c r="T410" s="691"/>
      <c r="U410" s="691"/>
      <c r="V410" s="355"/>
      <c r="W410" s="932"/>
      <c r="X410" s="310"/>
      <c r="Y410" s="310"/>
      <c r="Z410" s="933"/>
      <c r="AA410" s="310"/>
      <c r="AB410" s="691"/>
      <c r="AC410" s="933"/>
      <c r="AD410" s="691"/>
      <c r="AE410" s="691"/>
      <c r="AF410" s="934"/>
      <c r="AG410" s="934"/>
      <c r="AH410" s="888"/>
      <c r="AI410" s="888"/>
      <c r="AJ410" s="310"/>
      <c r="AK410" s="310"/>
      <c r="AL410" s="310"/>
      <c r="AM410" s="1"/>
      <c r="AN410" s="691"/>
      <c r="AO410" s="1"/>
      <c r="AP410" s="1"/>
    </row>
    <row r="411">
      <c r="A411" s="929"/>
      <c r="B411" s="691"/>
      <c r="C411" s="310"/>
      <c r="D411" s="691"/>
      <c r="E411" s="691"/>
      <c r="F411" s="350"/>
      <c r="G411" s="355"/>
      <c r="H411" s="780"/>
      <c r="I411" s="691"/>
      <c r="J411" s="691"/>
      <c r="K411" s="691"/>
      <c r="L411" s="691"/>
      <c r="M411" s="691"/>
      <c r="N411" s="691"/>
      <c r="O411" s="930"/>
      <c r="P411" s="909"/>
      <c r="Q411" s="931"/>
      <c r="R411" s="310"/>
      <c r="S411" s="310"/>
      <c r="T411" s="691"/>
      <c r="U411" s="691"/>
      <c r="V411" s="355"/>
      <c r="W411" s="932"/>
      <c r="X411" s="310"/>
      <c r="Y411" s="310"/>
      <c r="Z411" s="933"/>
      <c r="AA411" s="310"/>
      <c r="AB411" s="691"/>
      <c r="AC411" s="933"/>
      <c r="AD411" s="691"/>
      <c r="AE411" s="691"/>
      <c r="AF411" s="934"/>
      <c r="AG411" s="934"/>
      <c r="AH411" s="888"/>
      <c r="AI411" s="888"/>
      <c r="AJ411" s="310"/>
      <c r="AK411" s="310"/>
      <c r="AL411" s="310"/>
      <c r="AM411" s="1"/>
      <c r="AN411" s="691"/>
      <c r="AO411" s="1"/>
      <c r="AP411" s="1"/>
    </row>
    <row r="412">
      <c r="A412" s="929"/>
      <c r="B412" s="691"/>
      <c r="C412" s="310"/>
      <c r="D412" s="691"/>
      <c r="E412" s="691"/>
      <c r="F412" s="350"/>
      <c r="G412" s="355"/>
      <c r="H412" s="780"/>
      <c r="I412" s="691"/>
      <c r="J412" s="691"/>
      <c r="K412" s="691"/>
      <c r="L412" s="691"/>
      <c r="M412" s="691"/>
      <c r="N412" s="691"/>
      <c r="O412" s="930"/>
      <c r="P412" s="909"/>
      <c r="Q412" s="931"/>
      <c r="R412" s="310"/>
      <c r="S412" s="310"/>
      <c r="T412" s="691"/>
      <c r="U412" s="691"/>
      <c r="V412" s="355"/>
      <c r="W412" s="932"/>
      <c r="X412" s="310"/>
      <c r="Y412" s="310"/>
      <c r="Z412" s="933"/>
      <c r="AA412" s="310"/>
      <c r="AB412" s="691"/>
      <c r="AC412" s="933"/>
      <c r="AD412" s="691"/>
      <c r="AE412" s="691"/>
      <c r="AF412" s="934"/>
      <c r="AG412" s="934"/>
      <c r="AH412" s="888"/>
      <c r="AI412" s="888"/>
      <c r="AJ412" s="310"/>
      <c r="AK412" s="310"/>
      <c r="AL412" s="310"/>
      <c r="AM412" s="1"/>
      <c r="AN412" s="691"/>
      <c r="AO412" s="1"/>
      <c r="AP412" s="1"/>
    </row>
    <row r="413">
      <c r="A413" s="929"/>
      <c r="B413" s="691"/>
      <c r="C413" s="310"/>
      <c r="D413" s="691"/>
      <c r="E413" s="691"/>
      <c r="F413" s="350"/>
      <c r="G413" s="355"/>
      <c r="H413" s="780"/>
      <c r="I413" s="691"/>
      <c r="J413" s="691"/>
      <c r="K413" s="691"/>
      <c r="L413" s="691"/>
      <c r="M413" s="691"/>
      <c r="N413" s="691"/>
      <c r="O413" s="930"/>
      <c r="P413" s="909"/>
      <c r="Q413" s="931"/>
      <c r="R413" s="310"/>
      <c r="S413" s="310"/>
      <c r="T413" s="691"/>
      <c r="U413" s="691"/>
      <c r="V413" s="355"/>
      <c r="W413" s="932"/>
      <c r="X413" s="310"/>
      <c r="Y413" s="310"/>
      <c r="Z413" s="933"/>
      <c r="AA413" s="310"/>
      <c r="AB413" s="691"/>
      <c r="AC413" s="933"/>
      <c r="AD413" s="691"/>
      <c r="AE413" s="691"/>
      <c r="AF413" s="934"/>
      <c r="AG413" s="934"/>
      <c r="AH413" s="888"/>
      <c r="AI413" s="888"/>
      <c r="AJ413" s="310"/>
      <c r="AK413" s="310"/>
      <c r="AL413" s="310"/>
      <c r="AM413" s="1"/>
      <c r="AN413" s="691"/>
      <c r="AO413" s="1"/>
      <c r="AP413" s="1"/>
    </row>
    <row r="414">
      <c r="A414" s="929"/>
      <c r="B414" s="691"/>
      <c r="C414" s="310"/>
      <c r="D414" s="691"/>
      <c r="E414" s="691"/>
      <c r="F414" s="350"/>
      <c r="G414" s="355"/>
      <c r="H414" s="780"/>
      <c r="I414" s="691"/>
      <c r="J414" s="691"/>
      <c r="K414" s="691"/>
      <c r="L414" s="691"/>
      <c r="M414" s="691"/>
      <c r="N414" s="691"/>
      <c r="O414" s="930"/>
      <c r="P414" s="909"/>
      <c r="Q414" s="931"/>
      <c r="R414" s="310"/>
      <c r="S414" s="310"/>
      <c r="T414" s="691"/>
      <c r="U414" s="691"/>
      <c r="V414" s="355"/>
      <c r="W414" s="932"/>
      <c r="X414" s="310"/>
      <c r="Y414" s="310"/>
      <c r="Z414" s="933"/>
      <c r="AA414" s="310"/>
      <c r="AB414" s="691"/>
      <c r="AC414" s="933"/>
      <c r="AD414" s="691"/>
      <c r="AE414" s="691"/>
      <c r="AF414" s="934"/>
      <c r="AG414" s="934"/>
      <c r="AH414" s="888"/>
      <c r="AI414" s="888"/>
      <c r="AJ414" s="310"/>
      <c r="AK414" s="310"/>
      <c r="AL414" s="310"/>
      <c r="AM414" s="1"/>
      <c r="AN414" s="691"/>
      <c r="AO414" s="1"/>
      <c r="AP414" s="1"/>
    </row>
    <row r="415">
      <c r="A415" s="929"/>
      <c r="B415" s="691"/>
      <c r="C415" s="310"/>
      <c r="D415" s="691"/>
      <c r="E415" s="691"/>
      <c r="F415" s="350"/>
      <c r="G415" s="355"/>
      <c r="H415" s="780"/>
      <c r="I415" s="691"/>
      <c r="J415" s="691"/>
      <c r="K415" s="691"/>
      <c r="L415" s="691"/>
      <c r="M415" s="691"/>
      <c r="N415" s="691"/>
      <c r="O415" s="930"/>
      <c r="P415" s="909"/>
      <c r="Q415" s="931"/>
      <c r="R415" s="310"/>
      <c r="S415" s="310"/>
      <c r="T415" s="691"/>
      <c r="U415" s="691"/>
      <c r="V415" s="355"/>
      <c r="W415" s="932"/>
      <c r="X415" s="310"/>
      <c r="Y415" s="310"/>
      <c r="Z415" s="933"/>
      <c r="AA415" s="310"/>
      <c r="AB415" s="691"/>
      <c r="AC415" s="933"/>
      <c r="AD415" s="691"/>
      <c r="AE415" s="691"/>
      <c r="AF415" s="934"/>
      <c r="AG415" s="934"/>
      <c r="AH415" s="888"/>
      <c r="AI415" s="888"/>
      <c r="AJ415" s="310"/>
      <c r="AK415" s="310"/>
      <c r="AL415" s="310"/>
      <c r="AM415" s="1"/>
      <c r="AN415" s="691"/>
      <c r="AO415" s="1"/>
      <c r="AP415" s="1"/>
    </row>
    <row r="416">
      <c r="A416" s="929"/>
      <c r="B416" s="691"/>
      <c r="C416" s="310"/>
      <c r="D416" s="691"/>
      <c r="E416" s="691"/>
      <c r="F416" s="350"/>
      <c r="G416" s="355"/>
      <c r="H416" s="780"/>
      <c r="I416" s="691"/>
      <c r="J416" s="691"/>
      <c r="K416" s="691"/>
      <c r="L416" s="691"/>
      <c r="M416" s="691"/>
      <c r="N416" s="691"/>
      <c r="O416" s="930"/>
      <c r="P416" s="909"/>
      <c r="Q416" s="931"/>
      <c r="R416" s="310"/>
      <c r="S416" s="310"/>
      <c r="T416" s="691"/>
      <c r="U416" s="691"/>
      <c r="V416" s="355"/>
      <c r="W416" s="932"/>
      <c r="X416" s="310"/>
      <c r="Y416" s="310"/>
      <c r="Z416" s="933"/>
      <c r="AA416" s="310"/>
      <c r="AB416" s="691"/>
      <c r="AC416" s="933"/>
      <c r="AD416" s="691"/>
      <c r="AE416" s="691"/>
      <c r="AF416" s="934"/>
      <c r="AG416" s="934"/>
      <c r="AH416" s="888"/>
      <c r="AI416" s="888"/>
      <c r="AJ416" s="310"/>
      <c r="AK416" s="310"/>
      <c r="AL416" s="310"/>
      <c r="AM416" s="1"/>
      <c r="AN416" s="691"/>
      <c r="AO416" s="1"/>
      <c r="AP416" s="1"/>
    </row>
    <row r="417">
      <c r="A417" s="929"/>
      <c r="B417" s="691"/>
      <c r="C417" s="310"/>
      <c r="D417" s="691"/>
      <c r="E417" s="691"/>
      <c r="F417" s="350"/>
      <c r="G417" s="355"/>
      <c r="H417" s="780"/>
      <c r="I417" s="691"/>
      <c r="J417" s="691"/>
      <c r="K417" s="691"/>
      <c r="L417" s="691"/>
      <c r="M417" s="691"/>
      <c r="N417" s="691"/>
      <c r="O417" s="930"/>
      <c r="P417" s="909"/>
      <c r="Q417" s="931"/>
      <c r="R417" s="310"/>
      <c r="S417" s="310"/>
      <c r="T417" s="691"/>
      <c r="U417" s="691"/>
      <c r="V417" s="355"/>
      <c r="W417" s="932"/>
      <c r="X417" s="310"/>
      <c r="Y417" s="310"/>
      <c r="Z417" s="933"/>
      <c r="AA417" s="310"/>
      <c r="AB417" s="691"/>
      <c r="AC417" s="933"/>
      <c r="AD417" s="691"/>
      <c r="AE417" s="691"/>
      <c r="AF417" s="934"/>
      <c r="AG417" s="934"/>
      <c r="AH417" s="888"/>
      <c r="AI417" s="888"/>
      <c r="AJ417" s="310"/>
      <c r="AK417" s="310"/>
      <c r="AL417" s="310"/>
      <c r="AM417" s="1"/>
      <c r="AN417" s="691"/>
      <c r="AO417" s="1"/>
      <c r="AP417" s="1"/>
    </row>
    <row r="418">
      <c r="A418" s="929"/>
      <c r="B418" s="691"/>
      <c r="C418" s="310"/>
      <c r="D418" s="691"/>
      <c r="E418" s="691"/>
      <c r="F418" s="350"/>
      <c r="G418" s="355"/>
      <c r="H418" s="780"/>
      <c r="I418" s="691"/>
      <c r="J418" s="691"/>
      <c r="K418" s="691"/>
      <c r="L418" s="691"/>
      <c r="M418" s="691"/>
      <c r="N418" s="691"/>
      <c r="O418" s="930"/>
      <c r="P418" s="909"/>
      <c r="Q418" s="931"/>
      <c r="R418" s="310"/>
      <c r="S418" s="310"/>
      <c r="T418" s="691"/>
      <c r="U418" s="691"/>
      <c r="V418" s="355"/>
      <c r="W418" s="932"/>
      <c r="X418" s="310"/>
      <c r="Y418" s="310"/>
      <c r="Z418" s="933"/>
      <c r="AA418" s="310"/>
      <c r="AB418" s="691"/>
      <c r="AC418" s="933"/>
      <c r="AD418" s="691"/>
      <c r="AE418" s="691"/>
      <c r="AF418" s="934"/>
      <c r="AG418" s="934"/>
      <c r="AH418" s="888"/>
      <c r="AI418" s="888"/>
      <c r="AJ418" s="310"/>
      <c r="AK418" s="310"/>
      <c r="AL418" s="310"/>
      <c r="AM418" s="1"/>
      <c r="AN418" s="691"/>
      <c r="AO418" s="1"/>
      <c r="AP418" s="1"/>
    </row>
    <row r="419">
      <c r="A419" s="929"/>
      <c r="B419" s="691"/>
      <c r="C419" s="310"/>
      <c r="D419" s="691"/>
      <c r="E419" s="691"/>
      <c r="F419" s="350"/>
      <c r="G419" s="355"/>
      <c r="H419" s="780"/>
      <c r="I419" s="691"/>
      <c r="J419" s="691"/>
      <c r="K419" s="691"/>
      <c r="L419" s="691"/>
      <c r="M419" s="691"/>
      <c r="N419" s="691"/>
      <c r="O419" s="930"/>
      <c r="P419" s="909"/>
      <c r="Q419" s="931"/>
      <c r="R419" s="310"/>
      <c r="S419" s="310"/>
      <c r="T419" s="691"/>
      <c r="U419" s="691"/>
      <c r="V419" s="355"/>
      <c r="W419" s="932"/>
      <c r="X419" s="310"/>
      <c r="Y419" s="310"/>
      <c r="Z419" s="933"/>
      <c r="AA419" s="310"/>
      <c r="AB419" s="691"/>
      <c r="AC419" s="933"/>
      <c r="AD419" s="691"/>
      <c r="AE419" s="691"/>
      <c r="AF419" s="934"/>
      <c r="AG419" s="934"/>
      <c r="AH419" s="888"/>
      <c r="AI419" s="888"/>
      <c r="AJ419" s="310"/>
      <c r="AK419" s="310"/>
      <c r="AL419" s="310"/>
      <c r="AM419" s="1"/>
      <c r="AN419" s="691"/>
      <c r="AO419" s="1"/>
      <c r="AP419" s="1"/>
    </row>
    <row r="420">
      <c r="A420" s="929"/>
      <c r="B420" s="691"/>
      <c r="C420" s="310"/>
      <c r="D420" s="691"/>
      <c r="E420" s="691"/>
      <c r="F420" s="350"/>
      <c r="G420" s="355"/>
      <c r="H420" s="780"/>
      <c r="I420" s="691"/>
      <c r="J420" s="691"/>
      <c r="K420" s="691"/>
      <c r="L420" s="691"/>
      <c r="M420" s="691"/>
      <c r="N420" s="691"/>
      <c r="O420" s="930"/>
      <c r="P420" s="909"/>
      <c r="Q420" s="931"/>
      <c r="R420" s="310"/>
      <c r="S420" s="310"/>
      <c r="T420" s="691"/>
      <c r="U420" s="691"/>
      <c r="V420" s="355"/>
      <c r="W420" s="932"/>
      <c r="X420" s="310"/>
      <c r="Y420" s="310"/>
      <c r="Z420" s="933"/>
      <c r="AA420" s="310"/>
      <c r="AB420" s="691"/>
      <c r="AC420" s="933"/>
      <c r="AD420" s="691"/>
      <c r="AE420" s="691"/>
      <c r="AF420" s="934"/>
      <c r="AG420" s="934"/>
      <c r="AH420" s="888"/>
      <c r="AI420" s="888"/>
      <c r="AJ420" s="310"/>
      <c r="AK420" s="310"/>
      <c r="AL420" s="310"/>
      <c r="AM420" s="1"/>
      <c r="AN420" s="691"/>
      <c r="AO420" s="1"/>
      <c r="AP420" s="1"/>
    </row>
    <row r="421">
      <c r="A421" s="929"/>
      <c r="B421" s="691"/>
      <c r="C421" s="310"/>
      <c r="D421" s="691"/>
      <c r="E421" s="691"/>
      <c r="F421" s="350"/>
      <c r="G421" s="355"/>
      <c r="H421" s="780"/>
      <c r="I421" s="691"/>
      <c r="J421" s="691"/>
      <c r="K421" s="691"/>
      <c r="L421" s="691"/>
      <c r="M421" s="691"/>
      <c r="N421" s="691"/>
      <c r="O421" s="930"/>
      <c r="P421" s="909"/>
      <c r="Q421" s="931"/>
      <c r="R421" s="310"/>
      <c r="S421" s="310"/>
      <c r="T421" s="691"/>
      <c r="U421" s="691"/>
      <c r="V421" s="355"/>
      <c r="W421" s="932"/>
      <c r="X421" s="310"/>
      <c r="Y421" s="310"/>
      <c r="Z421" s="933"/>
      <c r="AA421" s="310"/>
      <c r="AB421" s="691"/>
      <c r="AC421" s="933"/>
      <c r="AD421" s="691"/>
      <c r="AE421" s="691"/>
      <c r="AF421" s="934"/>
      <c r="AG421" s="934"/>
      <c r="AH421" s="888"/>
      <c r="AI421" s="888"/>
      <c r="AJ421" s="310"/>
      <c r="AK421" s="310"/>
      <c r="AL421" s="310"/>
      <c r="AM421" s="1"/>
      <c r="AN421" s="691"/>
      <c r="AO421" s="1"/>
      <c r="AP421" s="1"/>
    </row>
    <row r="422">
      <c r="A422" s="929"/>
      <c r="B422" s="691"/>
      <c r="C422" s="310"/>
      <c r="D422" s="691"/>
      <c r="E422" s="691"/>
      <c r="F422" s="350"/>
      <c r="G422" s="355"/>
      <c r="H422" s="780"/>
      <c r="I422" s="691"/>
      <c r="J422" s="691"/>
      <c r="K422" s="691"/>
      <c r="L422" s="691"/>
      <c r="M422" s="691"/>
      <c r="N422" s="691"/>
      <c r="O422" s="930"/>
      <c r="P422" s="909"/>
      <c r="Q422" s="931"/>
      <c r="R422" s="310"/>
      <c r="S422" s="310"/>
      <c r="T422" s="691"/>
      <c r="U422" s="691"/>
      <c r="V422" s="355"/>
      <c r="W422" s="932"/>
      <c r="X422" s="310"/>
      <c r="Y422" s="310"/>
      <c r="Z422" s="933"/>
      <c r="AA422" s="310"/>
      <c r="AB422" s="691"/>
      <c r="AC422" s="933"/>
      <c r="AD422" s="691"/>
      <c r="AE422" s="691"/>
      <c r="AF422" s="934"/>
      <c r="AG422" s="934"/>
      <c r="AH422" s="888"/>
      <c r="AI422" s="888"/>
      <c r="AJ422" s="310"/>
      <c r="AK422" s="310"/>
      <c r="AL422" s="310"/>
      <c r="AM422" s="1"/>
      <c r="AN422" s="691"/>
      <c r="AO422" s="1"/>
      <c r="AP422" s="1"/>
    </row>
    <row r="423">
      <c r="A423" s="929"/>
      <c r="B423" s="691"/>
      <c r="C423" s="310"/>
      <c r="D423" s="691"/>
      <c r="E423" s="691"/>
      <c r="F423" s="350"/>
      <c r="G423" s="355"/>
      <c r="H423" s="780"/>
      <c r="I423" s="691"/>
      <c r="J423" s="691"/>
      <c r="K423" s="691"/>
      <c r="L423" s="691"/>
      <c r="M423" s="691"/>
      <c r="N423" s="691"/>
      <c r="O423" s="930"/>
      <c r="P423" s="909"/>
      <c r="Q423" s="931"/>
      <c r="R423" s="310"/>
      <c r="S423" s="310"/>
      <c r="T423" s="691"/>
      <c r="U423" s="691"/>
      <c r="V423" s="355"/>
      <c r="W423" s="932"/>
      <c r="X423" s="310"/>
      <c r="Y423" s="310"/>
      <c r="Z423" s="933"/>
      <c r="AA423" s="310"/>
      <c r="AB423" s="691"/>
      <c r="AC423" s="933"/>
      <c r="AD423" s="691"/>
      <c r="AE423" s="691"/>
      <c r="AF423" s="934"/>
      <c r="AG423" s="934"/>
      <c r="AH423" s="888"/>
      <c r="AI423" s="888"/>
      <c r="AJ423" s="310"/>
      <c r="AK423" s="310"/>
      <c r="AL423" s="310"/>
      <c r="AM423" s="1"/>
      <c r="AN423" s="691"/>
      <c r="AO423" s="1"/>
      <c r="AP423" s="1"/>
    </row>
    <row r="424">
      <c r="A424" s="929"/>
      <c r="B424" s="691"/>
      <c r="C424" s="310"/>
      <c r="D424" s="691"/>
      <c r="E424" s="691"/>
      <c r="F424" s="350"/>
      <c r="G424" s="355"/>
      <c r="H424" s="780"/>
      <c r="I424" s="691"/>
      <c r="J424" s="691"/>
      <c r="K424" s="691"/>
      <c r="L424" s="691"/>
      <c r="M424" s="691"/>
      <c r="N424" s="691"/>
      <c r="O424" s="930"/>
      <c r="P424" s="909"/>
      <c r="Q424" s="931"/>
      <c r="R424" s="310"/>
      <c r="S424" s="310"/>
      <c r="T424" s="691"/>
      <c r="U424" s="691"/>
      <c r="V424" s="355"/>
      <c r="W424" s="932"/>
      <c r="X424" s="310"/>
      <c r="Y424" s="310"/>
      <c r="Z424" s="933"/>
      <c r="AA424" s="310"/>
      <c r="AB424" s="691"/>
      <c r="AC424" s="933"/>
      <c r="AD424" s="691"/>
      <c r="AE424" s="691"/>
      <c r="AF424" s="934"/>
      <c r="AG424" s="934"/>
      <c r="AH424" s="888"/>
      <c r="AI424" s="888"/>
      <c r="AJ424" s="310"/>
      <c r="AK424" s="310"/>
      <c r="AL424" s="310"/>
      <c r="AM424" s="1"/>
      <c r="AN424" s="691"/>
      <c r="AO424" s="1"/>
      <c r="AP424" s="1"/>
    </row>
    <row r="425">
      <c r="A425" s="929"/>
      <c r="B425" s="691"/>
      <c r="C425" s="310"/>
      <c r="D425" s="691"/>
      <c r="E425" s="691"/>
      <c r="F425" s="350"/>
      <c r="G425" s="355"/>
      <c r="H425" s="780"/>
      <c r="I425" s="691"/>
      <c r="J425" s="691"/>
      <c r="K425" s="691"/>
      <c r="L425" s="691"/>
      <c r="M425" s="691"/>
      <c r="N425" s="691"/>
      <c r="O425" s="930"/>
      <c r="P425" s="909"/>
      <c r="Q425" s="931"/>
      <c r="R425" s="310"/>
      <c r="S425" s="310"/>
      <c r="T425" s="691"/>
      <c r="U425" s="691"/>
      <c r="V425" s="355"/>
      <c r="W425" s="932"/>
      <c r="X425" s="310"/>
      <c r="Y425" s="310"/>
      <c r="Z425" s="933"/>
      <c r="AA425" s="310"/>
      <c r="AB425" s="691"/>
      <c r="AC425" s="933"/>
      <c r="AD425" s="691"/>
      <c r="AE425" s="691"/>
      <c r="AF425" s="934"/>
      <c r="AG425" s="934"/>
      <c r="AH425" s="888"/>
      <c r="AI425" s="888"/>
      <c r="AJ425" s="310"/>
      <c r="AK425" s="310"/>
      <c r="AL425" s="310"/>
      <c r="AM425" s="1"/>
      <c r="AN425" s="691"/>
      <c r="AO425" s="1"/>
      <c r="AP425" s="1"/>
    </row>
    <row r="426">
      <c r="A426" s="929"/>
      <c r="B426" s="691"/>
      <c r="C426" s="310"/>
      <c r="D426" s="691"/>
      <c r="E426" s="691"/>
      <c r="F426" s="350"/>
      <c r="G426" s="355"/>
      <c r="H426" s="780"/>
      <c r="I426" s="691"/>
      <c r="J426" s="691"/>
      <c r="K426" s="691"/>
      <c r="L426" s="691"/>
      <c r="M426" s="691"/>
      <c r="N426" s="691"/>
      <c r="O426" s="930"/>
      <c r="P426" s="909"/>
      <c r="Q426" s="931"/>
      <c r="R426" s="310"/>
      <c r="S426" s="310"/>
      <c r="T426" s="691"/>
      <c r="U426" s="691"/>
      <c r="V426" s="355"/>
      <c r="W426" s="932"/>
      <c r="X426" s="310"/>
      <c r="Y426" s="310"/>
      <c r="Z426" s="933"/>
      <c r="AA426" s="310"/>
      <c r="AB426" s="691"/>
      <c r="AC426" s="933"/>
      <c r="AD426" s="691"/>
      <c r="AE426" s="691"/>
      <c r="AF426" s="934"/>
      <c r="AG426" s="934"/>
      <c r="AH426" s="888"/>
      <c r="AI426" s="888"/>
      <c r="AJ426" s="310"/>
      <c r="AK426" s="310"/>
      <c r="AL426" s="310"/>
      <c r="AM426" s="1"/>
      <c r="AN426" s="691"/>
      <c r="AO426" s="1"/>
      <c r="AP426" s="1"/>
    </row>
    <row r="427">
      <c r="A427" s="929"/>
      <c r="B427" s="691"/>
      <c r="C427" s="310"/>
      <c r="D427" s="691"/>
      <c r="E427" s="691"/>
      <c r="F427" s="350"/>
      <c r="G427" s="355"/>
      <c r="H427" s="780"/>
      <c r="I427" s="691"/>
      <c r="J427" s="691"/>
      <c r="K427" s="691"/>
      <c r="L427" s="691"/>
      <c r="M427" s="691"/>
      <c r="N427" s="691"/>
      <c r="O427" s="930"/>
      <c r="P427" s="909"/>
      <c r="Q427" s="931"/>
      <c r="R427" s="310"/>
      <c r="S427" s="310"/>
      <c r="T427" s="691"/>
      <c r="U427" s="691"/>
      <c r="V427" s="355"/>
      <c r="W427" s="932"/>
      <c r="X427" s="310"/>
      <c r="Y427" s="310"/>
      <c r="Z427" s="933"/>
      <c r="AA427" s="310"/>
      <c r="AB427" s="691"/>
      <c r="AC427" s="933"/>
      <c r="AD427" s="691"/>
      <c r="AE427" s="691"/>
      <c r="AF427" s="934"/>
      <c r="AG427" s="934"/>
      <c r="AH427" s="888"/>
      <c r="AI427" s="888"/>
      <c r="AJ427" s="310"/>
      <c r="AK427" s="310"/>
      <c r="AL427" s="310"/>
      <c r="AM427" s="1"/>
      <c r="AN427" s="691"/>
      <c r="AO427" s="1"/>
      <c r="AP427" s="1"/>
    </row>
    <row r="428">
      <c r="A428" s="929"/>
      <c r="B428" s="691"/>
      <c r="C428" s="310"/>
      <c r="D428" s="691"/>
      <c r="E428" s="691"/>
      <c r="F428" s="350"/>
      <c r="G428" s="355"/>
      <c r="H428" s="780"/>
      <c r="I428" s="691"/>
      <c r="J428" s="691"/>
      <c r="K428" s="691"/>
      <c r="L428" s="691"/>
      <c r="M428" s="691"/>
      <c r="N428" s="691"/>
      <c r="O428" s="930"/>
      <c r="P428" s="909"/>
      <c r="Q428" s="931"/>
      <c r="R428" s="310"/>
      <c r="S428" s="310"/>
      <c r="T428" s="691"/>
      <c r="U428" s="691"/>
      <c r="V428" s="355"/>
      <c r="W428" s="932"/>
      <c r="X428" s="310"/>
      <c r="Y428" s="310"/>
      <c r="Z428" s="933"/>
      <c r="AA428" s="310"/>
      <c r="AB428" s="691"/>
      <c r="AC428" s="933"/>
      <c r="AD428" s="691"/>
      <c r="AE428" s="691"/>
      <c r="AF428" s="934"/>
      <c r="AG428" s="934"/>
      <c r="AH428" s="888"/>
      <c r="AI428" s="888"/>
      <c r="AJ428" s="310"/>
      <c r="AK428" s="310"/>
      <c r="AL428" s="310"/>
      <c r="AM428" s="1"/>
      <c r="AN428" s="691"/>
      <c r="AO428" s="1"/>
      <c r="AP428" s="1"/>
    </row>
    <row r="429">
      <c r="A429" s="929"/>
      <c r="B429" s="691"/>
      <c r="C429" s="310"/>
      <c r="D429" s="691"/>
      <c r="E429" s="691"/>
      <c r="F429" s="350"/>
      <c r="G429" s="355"/>
      <c r="H429" s="780"/>
      <c r="I429" s="691"/>
      <c r="J429" s="691"/>
      <c r="K429" s="691"/>
      <c r="L429" s="691"/>
      <c r="M429" s="691"/>
      <c r="N429" s="691"/>
      <c r="O429" s="930"/>
      <c r="P429" s="909"/>
      <c r="Q429" s="931"/>
      <c r="R429" s="310"/>
      <c r="S429" s="310"/>
      <c r="T429" s="691"/>
      <c r="U429" s="691"/>
      <c r="V429" s="355"/>
      <c r="W429" s="932"/>
      <c r="X429" s="310"/>
      <c r="Y429" s="310"/>
      <c r="Z429" s="933"/>
      <c r="AA429" s="310"/>
      <c r="AB429" s="691"/>
      <c r="AC429" s="933"/>
      <c r="AD429" s="691"/>
      <c r="AE429" s="691"/>
      <c r="AF429" s="934"/>
      <c r="AG429" s="934"/>
      <c r="AH429" s="888"/>
      <c r="AI429" s="888"/>
      <c r="AJ429" s="310"/>
      <c r="AK429" s="310"/>
      <c r="AL429" s="310"/>
      <c r="AM429" s="1"/>
      <c r="AN429" s="691"/>
      <c r="AO429" s="1"/>
      <c r="AP429" s="1"/>
    </row>
    <row r="430">
      <c r="A430" s="929"/>
      <c r="B430" s="691"/>
      <c r="C430" s="310"/>
      <c r="D430" s="691"/>
      <c r="E430" s="691"/>
      <c r="F430" s="350"/>
      <c r="G430" s="355"/>
      <c r="H430" s="780"/>
      <c r="I430" s="691"/>
      <c r="J430" s="691"/>
      <c r="K430" s="691"/>
      <c r="L430" s="691"/>
      <c r="M430" s="691"/>
      <c r="N430" s="691"/>
      <c r="O430" s="930"/>
      <c r="P430" s="909"/>
      <c r="Q430" s="931"/>
      <c r="R430" s="310"/>
      <c r="S430" s="310"/>
      <c r="T430" s="691"/>
      <c r="U430" s="691"/>
      <c r="V430" s="355"/>
      <c r="W430" s="932"/>
      <c r="X430" s="310"/>
      <c r="Y430" s="310"/>
      <c r="Z430" s="933"/>
      <c r="AA430" s="310"/>
      <c r="AB430" s="691"/>
      <c r="AC430" s="933"/>
      <c r="AD430" s="691"/>
      <c r="AE430" s="691"/>
      <c r="AF430" s="934"/>
      <c r="AG430" s="934"/>
      <c r="AH430" s="888"/>
      <c r="AI430" s="888"/>
      <c r="AJ430" s="310"/>
      <c r="AK430" s="310"/>
      <c r="AL430" s="310"/>
      <c r="AM430" s="1"/>
      <c r="AN430" s="691"/>
      <c r="AO430" s="1"/>
      <c r="AP430" s="1"/>
    </row>
    <row r="431">
      <c r="A431" s="929"/>
      <c r="B431" s="691"/>
      <c r="C431" s="310"/>
      <c r="D431" s="691"/>
      <c r="E431" s="691"/>
      <c r="F431" s="350"/>
      <c r="G431" s="355"/>
      <c r="H431" s="780"/>
      <c r="I431" s="691"/>
      <c r="J431" s="691"/>
      <c r="K431" s="691"/>
      <c r="L431" s="691"/>
      <c r="M431" s="691"/>
      <c r="N431" s="691"/>
      <c r="O431" s="930"/>
      <c r="P431" s="909"/>
      <c r="Q431" s="931"/>
      <c r="R431" s="310"/>
      <c r="S431" s="310"/>
      <c r="T431" s="691"/>
      <c r="U431" s="691"/>
      <c r="V431" s="355"/>
      <c r="W431" s="932"/>
      <c r="X431" s="310"/>
      <c r="Y431" s="310"/>
      <c r="Z431" s="933"/>
      <c r="AA431" s="310"/>
      <c r="AB431" s="691"/>
      <c r="AC431" s="933"/>
      <c r="AD431" s="691"/>
      <c r="AE431" s="691"/>
      <c r="AF431" s="934"/>
      <c r="AG431" s="934"/>
      <c r="AH431" s="888"/>
      <c r="AI431" s="888"/>
      <c r="AJ431" s="310"/>
      <c r="AK431" s="310"/>
      <c r="AL431" s="310"/>
      <c r="AM431" s="1"/>
      <c r="AN431" s="691"/>
      <c r="AO431" s="1"/>
      <c r="AP431" s="1"/>
    </row>
    <row r="432">
      <c r="A432" s="929"/>
      <c r="B432" s="691"/>
      <c r="C432" s="310"/>
      <c r="D432" s="691"/>
      <c r="E432" s="691"/>
      <c r="F432" s="350"/>
      <c r="G432" s="355"/>
      <c r="H432" s="780"/>
      <c r="I432" s="691"/>
      <c r="J432" s="691"/>
      <c r="K432" s="691"/>
      <c r="L432" s="691"/>
      <c r="M432" s="691"/>
      <c r="N432" s="691"/>
      <c r="O432" s="930"/>
      <c r="P432" s="909"/>
      <c r="Q432" s="931"/>
      <c r="R432" s="310"/>
      <c r="S432" s="310"/>
      <c r="T432" s="691"/>
      <c r="U432" s="691"/>
      <c r="V432" s="355"/>
      <c r="W432" s="932"/>
      <c r="X432" s="310"/>
      <c r="Y432" s="310"/>
      <c r="Z432" s="933"/>
      <c r="AA432" s="310"/>
      <c r="AB432" s="691"/>
      <c r="AC432" s="933"/>
      <c r="AD432" s="691"/>
      <c r="AE432" s="691"/>
      <c r="AF432" s="934"/>
      <c r="AG432" s="934"/>
      <c r="AH432" s="888"/>
      <c r="AI432" s="888"/>
      <c r="AJ432" s="310"/>
      <c r="AK432" s="310"/>
      <c r="AL432" s="310"/>
      <c r="AM432" s="1"/>
      <c r="AN432" s="691"/>
      <c r="AO432" s="1"/>
      <c r="AP432" s="1"/>
    </row>
    <row r="433">
      <c r="A433" s="929"/>
      <c r="B433" s="691"/>
      <c r="C433" s="310"/>
      <c r="D433" s="691"/>
      <c r="E433" s="691"/>
      <c r="F433" s="350"/>
      <c r="G433" s="355"/>
      <c r="H433" s="780"/>
      <c r="I433" s="691"/>
      <c r="J433" s="691"/>
      <c r="K433" s="691"/>
      <c r="L433" s="691"/>
      <c r="M433" s="691"/>
      <c r="N433" s="691"/>
      <c r="O433" s="930"/>
      <c r="P433" s="909"/>
      <c r="Q433" s="931"/>
      <c r="R433" s="310"/>
      <c r="S433" s="310"/>
      <c r="T433" s="691"/>
      <c r="U433" s="691"/>
      <c r="V433" s="355"/>
      <c r="W433" s="932"/>
      <c r="X433" s="310"/>
      <c r="Y433" s="310"/>
      <c r="Z433" s="933"/>
      <c r="AA433" s="310"/>
      <c r="AB433" s="691"/>
      <c r="AC433" s="933"/>
      <c r="AD433" s="691"/>
      <c r="AE433" s="691"/>
      <c r="AF433" s="934"/>
      <c r="AG433" s="934"/>
      <c r="AH433" s="888"/>
      <c r="AI433" s="888"/>
      <c r="AJ433" s="310"/>
      <c r="AK433" s="310"/>
      <c r="AL433" s="310"/>
      <c r="AM433" s="1"/>
      <c r="AN433" s="691"/>
      <c r="AO433" s="1"/>
      <c r="AP433" s="1"/>
    </row>
    <row r="434">
      <c r="A434" s="929"/>
      <c r="B434" s="691"/>
      <c r="C434" s="310"/>
      <c r="D434" s="691"/>
      <c r="E434" s="691"/>
      <c r="F434" s="350"/>
      <c r="G434" s="355"/>
      <c r="H434" s="780"/>
      <c r="I434" s="691"/>
      <c r="J434" s="691"/>
      <c r="K434" s="691"/>
      <c r="L434" s="691"/>
      <c r="M434" s="691"/>
      <c r="N434" s="691"/>
      <c r="O434" s="930"/>
      <c r="P434" s="909"/>
      <c r="Q434" s="931"/>
      <c r="R434" s="310"/>
      <c r="S434" s="310"/>
      <c r="T434" s="691"/>
      <c r="U434" s="691"/>
      <c r="V434" s="355"/>
      <c r="W434" s="932"/>
      <c r="X434" s="310"/>
      <c r="Y434" s="310"/>
      <c r="Z434" s="933"/>
      <c r="AA434" s="310"/>
      <c r="AB434" s="691"/>
      <c r="AC434" s="933"/>
      <c r="AD434" s="691"/>
      <c r="AE434" s="691"/>
      <c r="AF434" s="934"/>
      <c r="AG434" s="934"/>
      <c r="AH434" s="888"/>
      <c r="AI434" s="888"/>
      <c r="AJ434" s="310"/>
      <c r="AK434" s="310"/>
      <c r="AL434" s="310"/>
      <c r="AM434" s="1"/>
      <c r="AN434" s="691"/>
      <c r="AO434" s="1"/>
      <c r="AP434" s="1"/>
    </row>
    <row r="435">
      <c r="A435" s="929"/>
      <c r="B435" s="691"/>
      <c r="C435" s="310"/>
      <c r="D435" s="691"/>
      <c r="E435" s="691"/>
      <c r="F435" s="350"/>
      <c r="G435" s="355"/>
      <c r="H435" s="780"/>
      <c r="I435" s="691"/>
      <c r="J435" s="691"/>
      <c r="K435" s="691"/>
      <c r="L435" s="691"/>
      <c r="M435" s="691"/>
      <c r="N435" s="691"/>
      <c r="O435" s="930"/>
      <c r="P435" s="909"/>
      <c r="Q435" s="931"/>
      <c r="R435" s="310"/>
      <c r="S435" s="310"/>
      <c r="T435" s="691"/>
      <c r="U435" s="691"/>
      <c r="V435" s="355"/>
      <c r="W435" s="932"/>
      <c r="X435" s="310"/>
      <c r="Y435" s="310"/>
      <c r="Z435" s="933"/>
      <c r="AA435" s="310"/>
      <c r="AB435" s="691"/>
      <c r="AC435" s="933"/>
      <c r="AD435" s="691"/>
      <c r="AE435" s="691"/>
      <c r="AF435" s="934"/>
      <c r="AG435" s="934"/>
      <c r="AH435" s="888"/>
      <c r="AI435" s="888"/>
      <c r="AJ435" s="310"/>
      <c r="AK435" s="310"/>
      <c r="AL435" s="310"/>
      <c r="AM435" s="1"/>
      <c r="AN435" s="691"/>
      <c r="AO435" s="1"/>
      <c r="AP435" s="1"/>
    </row>
    <row r="436">
      <c r="A436" s="929"/>
      <c r="B436" s="691"/>
      <c r="C436" s="310"/>
      <c r="D436" s="691"/>
      <c r="E436" s="691"/>
      <c r="F436" s="350"/>
      <c r="G436" s="355"/>
      <c r="H436" s="780"/>
      <c r="I436" s="691"/>
      <c r="J436" s="691"/>
      <c r="K436" s="691"/>
      <c r="L436" s="691"/>
      <c r="M436" s="691"/>
      <c r="N436" s="691"/>
      <c r="O436" s="930"/>
      <c r="P436" s="909"/>
      <c r="Q436" s="931"/>
      <c r="R436" s="310"/>
      <c r="S436" s="310"/>
      <c r="T436" s="691"/>
      <c r="U436" s="691"/>
      <c r="V436" s="355"/>
      <c r="W436" s="932"/>
      <c r="X436" s="310"/>
      <c r="Y436" s="310"/>
      <c r="Z436" s="933"/>
      <c r="AA436" s="310"/>
      <c r="AB436" s="691"/>
      <c r="AC436" s="933"/>
      <c r="AD436" s="691"/>
      <c r="AE436" s="691"/>
      <c r="AF436" s="934"/>
      <c r="AG436" s="934"/>
      <c r="AH436" s="888"/>
      <c r="AI436" s="888"/>
      <c r="AJ436" s="310"/>
      <c r="AK436" s="310"/>
      <c r="AL436" s="310"/>
      <c r="AM436" s="1"/>
      <c r="AN436" s="691"/>
      <c r="AO436" s="1"/>
      <c r="AP436" s="1"/>
    </row>
    <row r="437">
      <c r="A437" s="929"/>
      <c r="B437" s="691"/>
      <c r="C437" s="310"/>
      <c r="D437" s="691"/>
      <c r="E437" s="691"/>
      <c r="F437" s="350"/>
      <c r="G437" s="355"/>
      <c r="H437" s="780"/>
      <c r="I437" s="691"/>
      <c r="J437" s="691"/>
      <c r="K437" s="691"/>
      <c r="L437" s="691"/>
      <c r="M437" s="691"/>
      <c r="N437" s="691"/>
      <c r="O437" s="930"/>
      <c r="P437" s="909"/>
      <c r="Q437" s="931"/>
      <c r="R437" s="310"/>
      <c r="S437" s="310"/>
      <c r="T437" s="691"/>
      <c r="U437" s="691"/>
      <c r="V437" s="355"/>
      <c r="W437" s="932"/>
      <c r="X437" s="310"/>
      <c r="Y437" s="310"/>
      <c r="Z437" s="933"/>
      <c r="AA437" s="310"/>
      <c r="AB437" s="691"/>
      <c r="AC437" s="933"/>
      <c r="AD437" s="691"/>
      <c r="AE437" s="691"/>
      <c r="AF437" s="934"/>
      <c r="AG437" s="934"/>
      <c r="AH437" s="888"/>
      <c r="AI437" s="888"/>
      <c r="AJ437" s="310"/>
      <c r="AK437" s="310"/>
      <c r="AL437" s="310"/>
      <c r="AM437" s="1"/>
      <c r="AN437" s="691"/>
      <c r="AO437" s="1"/>
      <c r="AP437" s="1"/>
    </row>
    <row r="438">
      <c r="A438" s="929"/>
      <c r="B438" s="691"/>
      <c r="C438" s="310"/>
      <c r="D438" s="691"/>
      <c r="E438" s="691"/>
      <c r="F438" s="350"/>
      <c r="G438" s="355"/>
      <c r="H438" s="780"/>
      <c r="I438" s="691"/>
      <c r="J438" s="691"/>
      <c r="K438" s="691"/>
      <c r="L438" s="691"/>
      <c r="M438" s="691"/>
      <c r="N438" s="691"/>
      <c r="O438" s="930"/>
      <c r="P438" s="909"/>
      <c r="Q438" s="931"/>
      <c r="R438" s="310"/>
      <c r="S438" s="310"/>
      <c r="T438" s="691"/>
      <c r="U438" s="691"/>
      <c r="V438" s="355"/>
      <c r="W438" s="932"/>
      <c r="X438" s="310"/>
      <c r="Y438" s="310"/>
      <c r="Z438" s="933"/>
      <c r="AA438" s="310"/>
      <c r="AB438" s="691"/>
      <c r="AC438" s="933"/>
      <c r="AD438" s="691"/>
      <c r="AE438" s="691"/>
      <c r="AF438" s="934"/>
      <c r="AG438" s="934"/>
      <c r="AH438" s="888"/>
      <c r="AI438" s="888"/>
      <c r="AJ438" s="310"/>
      <c r="AK438" s="310"/>
      <c r="AL438" s="310"/>
      <c r="AM438" s="1"/>
      <c r="AN438" s="691"/>
      <c r="AO438" s="1"/>
      <c r="AP438" s="1"/>
    </row>
    <row r="439">
      <c r="A439" s="929"/>
      <c r="B439" s="691"/>
      <c r="C439" s="310"/>
      <c r="D439" s="691"/>
      <c r="E439" s="691"/>
      <c r="F439" s="350"/>
      <c r="G439" s="355"/>
      <c r="H439" s="780"/>
      <c r="I439" s="691"/>
      <c r="J439" s="691"/>
      <c r="K439" s="691"/>
      <c r="L439" s="691"/>
      <c r="M439" s="691"/>
      <c r="N439" s="691"/>
      <c r="O439" s="930"/>
      <c r="P439" s="909"/>
      <c r="Q439" s="931"/>
      <c r="R439" s="310"/>
      <c r="S439" s="310"/>
      <c r="T439" s="691"/>
      <c r="U439" s="691"/>
      <c r="V439" s="355"/>
      <c r="W439" s="932"/>
      <c r="X439" s="310"/>
      <c r="Y439" s="310"/>
      <c r="Z439" s="933"/>
      <c r="AA439" s="310"/>
      <c r="AB439" s="691"/>
      <c r="AC439" s="933"/>
      <c r="AD439" s="691"/>
      <c r="AE439" s="691"/>
      <c r="AF439" s="934"/>
      <c r="AG439" s="934"/>
      <c r="AH439" s="888"/>
      <c r="AI439" s="888"/>
      <c r="AJ439" s="310"/>
      <c r="AK439" s="310"/>
      <c r="AL439" s="310"/>
      <c r="AM439" s="1"/>
      <c r="AN439" s="691"/>
      <c r="AO439" s="1"/>
      <c r="AP439" s="1"/>
    </row>
    <row r="440">
      <c r="A440" s="929"/>
      <c r="B440" s="691"/>
      <c r="C440" s="310"/>
      <c r="D440" s="691"/>
      <c r="E440" s="691"/>
      <c r="F440" s="350"/>
      <c r="G440" s="355"/>
      <c r="H440" s="780"/>
      <c r="I440" s="691"/>
      <c r="J440" s="691"/>
      <c r="K440" s="691"/>
      <c r="L440" s="691"/>
      <c r="M440" s="691"/>
      <c r="N440" s="691"/>
      <c r="O440" s="930"/>
      <c r="P440" s="909"/>
      <c r="Q440" s="931"/>
      <c r="R440" s="310"/>
      <c r="S440" s="310"/>
      <c r="T440" s="691"/>
      <c r="U440" s="691"/>
      <c r="V440" s="355"/>
      <c r="W440" s="932"/>
      <c r="X440" s="310"/>
      <c r="Y440" s="310"/>
      <c r="Z440" s="933"/>
      <c r="AA440" s="310"/>
      <c r="AB440" s="691"/>
      <c r="AC440" s="933"/>
      <c r="AD440" s="691"/>
      <c r="AE440" s="691"/>
      <c r="AF440" s="934"/>
      <c r="AG440" s="934"/>
      <c r="AH440" s="888"/>
      <c r="AI440" s="888"/>
      <c r="AJ440" s="310"/>
      <c r="AK440" s="310"/>
      <c r="AL440" s="310"/>
      <c r="AM440" s="1"/>
      <c r="AN440" s="691"/>
      <c r="AO440" s="1"/>
      <c r="AP440" s="1"/>
    </row>
    <row r="441">
      <c r="A441" s="929"/>
      <c r="B441" s="691"/>
      <c r="C441" s="310"/>
      <c r="D441" s="691"/>
      <c r="E441" s="691"/>
      <c r="F441" s="350"/>
      <c r="G441" s="355"/>
      <c r="H441" s="780"/>
      <c r="I441" s="691"/>
      <c r="J441" s="691"/>
      <c r="K441" s="691"/>
      <c r="L441" s="691"/>
      <c r="M441" s="691"/>
      <c r="N441" s="691"/>
      <c r="O441" s="930"/>
      <c r="P441" s="909"/>
      <c r="Q441" s="931"/>
      <c r="R441" s="310"/>
      <c r="S441" s="310"/>
      <c r="T441" s="691"/>
      <c r="U441" s="691"/>
      <c r="V441" s="355"/>
      <c r="W441" s="932"/>
      <c r="X441" s="310"/>
      <c r="Y441" s="310"/>
      <c r="Z441" s="933"/>
      <c r="AA441" s="310"/>
      <c r="AB441" s="691"/>
      <c r="AC441" s="933"/>
      <c r="AD441" s="691"/>
      <c r="AE441" s="691"/>
      <c r="AF441" s="934"/>
      <c r="AG441" s="934"/>
      <c r="AH441" s="888"/>
      <c r="AI441" s="888"/>
      <c r="AJ441" s="310"/>
      <c r="AK441" s="310"/>
      <c r="AL441" s="310"/>
      <c r="AM441" s="1"/>
      <c r="AN441" s="691"/>
      <c r="AO441" s="1"/>
      <c r="AP441" s="1"/>
    </row>
    <row r="442">
      <c r="A442" s="929"/>
      <c r="B442" s="691"/>
      <c r="C442" s="310"/>
      <c r="D442" s="691"/>
      <c r="E442" s="691"/>
      <c r="F442" s="350"/>
      <c r="G442" s="355"/>
      <c r="H442" s="780"/>
      <c r="I442" s="691"/>
      <c r="J442" s="691"/>
      <c r="K442" s="691"/>
      <c r="L442" s="691"/>
      <c r="M442" s="691"/>
      <c r="N442" s="691"/>
      <c r="O442" s="930"/>
      <c r="P442" s="909"/>
      <c r="Q442" s="931"/>
      <c r="R442" s="310"/>
      <c r="S442" s="310"/>
      <c r="T442" s="691"/>
      <c r="U442" s="691"/>
      <c r="V442" s="355"/>
      <c r="W442" s="932"/>
      <c r="X442" s="310"/>
      <c r="Y442" s="310"/>
      <c r="Z442" s="933"/>
      <c r="AA442" s="310"/>
      <c r="AB442" s="691"/>
      <c r="AC442" s="933"/>
      <c r="AD442" s="691"/>
      <c r="AE442" s="691"/>
      <c r="AF442" s="934"/>
      <c r="AG442" s="934"/>
      <c r="AH442" s="888"/>
      <c r="AI442" s="888"/>
      <c r="AJ442" s="310"/>
      <c r="AK442" s="310"/>
      <c r="AL442" s="310"/>
      <c r="AM442" s="1"/>
      <c r="AN442" s="691"/>
      <c r="AO442" s="1"/>
      <c r="AP442" s="1"/>
    </row>
    <row r="443">
      <c r="A443" s="929"/>
      <c r="B443" s="691"/>
      <c r="C443" s="310"/>
      <c r="D443" s="691"/>
      <c r="E443" s="691"/>
      <c r="F443" s="350"/>
      <c r="G443" s="355"/>
      <c r="H443" s="780"/>
      <c r="I443" s="691"/>
      <c r="J443" s="691"/>
      <c r="K443" s="691"/>
      <c r="L443" s="691"/>
      <c r="M443" s="691"/>
      <c r="N443" s="691"/>
      <c r="O443" s="930"/>
      <c r="P443" s="909"/>
      <c r="Q443" s="931"/>
      <c r="R443" s="310"/>
      <c r="S443" s="310"/>
      <c r="T443" s="691"/>
      <c r="U443" s="691"/>
      <c r="V443" s="355"/>
      <c r="W443" s="932"/>
      <c r="X443" s="310"/>
      <c r="Y443" s="310"/>
      <c r="Z443" s="933"/>
      <c r="AA443" s="310"/>
      <c r="AB443" s="691"/>
      <c r="AC443" s="933"/>
      <c r="AD443" s="691"/>
      <c r="AE443" s="691"/>
      <c r="AF443" s="934"/>
      <c r="AG443" s="934"/>
      <c r="AH443" s="888"/>
      <c r="AI443" s="888"/>
      <c r="AJ443" s="310"/>
      <c r="AK443" s="310"/>
      <c r="AL443" s="310"/>
      <c r="AM443" s="1"/>
      <c r="AN443" s="691"/>
      <c r="AO443" s="1"/>
      <c r="AP443" s="1"/>
    </row>
    <row r="444">
      <c r="A444" s="929"/>
      <c r="B444" s="691"/>
      <c r="C444" s="310"/>
      <c r="D444" s="691"/>
      <c r="E444" s="691"/>
      <c r="F444" s="350"/>
      <c r="G444" s="355"/>
      <c r="H444" s="780"/>
      <c r="I444" s="691"/>
      <c r="J444" s="691"/>
      <c r="K444" s="691"/>
      <c r="L444" s="691"/>
      <c r="M444" s="691"/>
      <c r="N444" s="691"/>
      <c r="O444" s="930"/>
      <c r="P444" s="909"/>
      <c r="Q444" s="931"/>
      <c r="R444" s="310"/>
      <c r="S444" s="310"/>
      <c r="T444" s="691"/>
      <c r="U444" s="691"/>
      <c r="V444" s="355"/>
      <c r="W444" s="932"/>
      <c r="X444" s="310"/>
      <c r="Y444" s="310"/>
      <c r="Z444" s="933"/>
      <c r="AA444" s="310"/>
      <c r="AB444" s="691"/>
      <c r="AC444" s="933"/>
      <c r="AD444" s="691"/>
      <c r="AE444" s="691"/>
      <c r="AF444" s="934"/>
      <c r="AG444" s="934"/>
      <c r="AH444" s="888"/>
      <c r="AI444" s="888"/>
      <c r="AJ444" s="310"/>
      <c r="AK444" s="310"/>
      <c r="AL444" s="310"/>
      <c r="AM444" s="1"/>
      <c r="AN444" s="691"/>
      <c r="AO444" s="1"/>
      <c r="AP444" s="1"/>
    </row>
    <row r="445">
      <c r="A445" s="929"/>
      <c r="B445" s="691"/>
      <c r="C445" s="310"/>
      <c r="D445" s="691"/>
      <c r="E445" s="691"/>
      <c r="F445" s="350"/>
      <c r="G445" s="355"/>
      <c r="H445" s="780"/>
      <c r="I445" s="691"/>
      <c r="J445" s="691"/>
      <c r="K445" s="691"/>
      <c r="L445" s="691"/>
      <c r="M445" s="691"/>
      <c r="N445" s="691"/>
      <c r="O445" s="930"/>
      <c r="P445" s="909"/>
      <c r="Q445" s="931"/>
      <c r="R445" s="310"/>
      <c r="S445" s="310"/>
      <c r="T445" s="691"/>
      <c r="U445" s="691"/>
      <c r="V445" s="355"/>
      <c r="W445" s="932"/>
      <c r="X445" s="310"/>
      <c r="Y445" s="310"/>
      <c r="Z445" s="933"/>
      <c r="AA445" s="310"/>
      <c r="AB445" s="691"/>
      <c r="AC445" s="933"/>
      <c r="AD445" s="691"/>
      <c r="AE445" s="691"/>
      <c r="AF445" s="934"/>
      <c r="AG445" s="934"/>
      <c r="AH445" s="888"/>
      <c r="AI445" s="888"/>
      <c r="AJ445" s="310"/>
      <c r="AK445" s="310"/>
      <c r="AL445" s="310"/>
      <c r="AM445" s="1"/>
      <c r="AN445" s="691"/>
      <c r="AO445" s="1"/>
      <c r="AP445" s="1"/>
    </row>
    <row r="446">
      <c r="A446" s="929"/>
      <c r="B446" s="691"/>
      <c r="C446" s="310"/>
      <c r="D446" s="691"/>
      <c r="E446" s="691"/>
      <c r="F446" s="350"/>
      <c r="G446" s="355"/>
      <c r="H446" s="780"/>
      <c r="I446" s="691"/>
      <c r="J446" s="691"/>
      <c r="K446" s="691"/>
      <c r="L446" s="691"/>
      <c r="M446" s="691"/>
      <c r="N446" s="691"/>
      <c r="O446" s="930"/>
      <c r="P446" s="909"/>
      <c r="Q446" s="931"/>
      <c r="R446" s="310"/>
      <c r="S446" s="310"/>
      <c r="T446" s="691"/>
      <c r="U446" s="691"/>
      <c r="V446" s="355"/>
      <c r="W446" s="932"/>
      <c r="X446" s="310"/>
      <c r="Y446" s="310"/>
      <c r="Z446" s="933"/>
      <c r="AA446" s="310"/>
      <c r="AB446" s="691"/>
      <c r="AC446" s="933"/>
      <c r="AD446" s="691"/>
      <c r="AE446" s="691"/>
      <c r="AF446" s="934"/>
      <c r="AG446" s="934"/>
      <c r="AH446" s="888"/>
      <c r="AI446" s="888"/>
      <c r="AJ446" s="310"/>
      <c r="AK446" s="310"/>
      <c r="AL446" s="310"/>
      <c r="AM446" s="1"/>
      <c r="AN446" s="691"/>
      <c r="AO446" s="1"/>
      <c r="AP446" s="1"/>
    </row>
    <row r="447">
      <c r="A447" s="929"/>
      <c r="B447" s="691"/>
      <c r="C447" s="310"/>
      <c r="D447" s="691"/>
      <c r="E447" s="691"/>
      <c r="F447" s="350"/>
      <c r="G447" s="355"/>
      <c r="H447" s="780"/>
      <c r="I447" s="691"/>
      <c r="J447" s="691"/>
      <c r="K447" s="691"/>
      <c r="L447" s="691"/>
      <c r="M447" s="691"/>
      <c r="N447" s="691"/>
      <c r="O447" s="930"/>
      <c r="P447" s="909"/>
      <c r="Q447" s="931"/>
      <c r="R447" s="310"/>
      <c r="S447" s="310"/>
      <c r="T447" s="691"/>
      <c r="U447" s="691"/>
      <c r="V447" s="355"/>
      <c r="W447" s="932"/>
      <c r="X447" s="310"/>
      <c r="Y447" s="310"/>
      <c r="Z447" s="933"/>
      <c r="AA447" s="310"/>
      <c r="AB447" s="691"/>
      <c r="AC447" s="933"/>
      <c r="AD447" s="691"/>
      <c r="AE447" s="691"/>
      <c r="AF447" s="934"/>
      <c r="AG447" s="934"/>
      <c r="AH447" s="888"/>
      <c r="AI447" s="888"/>
      <c r="AJ447" s="310"/>
      <c r="AK447" s="310"/>
      <c r="AL447" s="310"/>
      <c r="AM447" s="1"/>
      <c r="AN447" s="691"/>
      <c r="AO447" s="1"/>
      <c r="AP447" s="1"/>
    </row>
    <row r="448">
      <c r="A448" s="929"/>
      <c r="B448" s="691"/>
      <c r="C448" s="310"/>
      <c r="D448" s="691"/>
      <c r="E448" s="691"/>
      <c r="F448" s="350"/>
      <c r="G448" s="355"/>
      <c r="H448" s="780"/>
      <c r="I448" s="691"/>
      <c r="J448" s="691"/>
      <c r="K448" s="691"/>
      <c r="L448" s="691"/>
      <c r="M448" s="691"/>
      <c r="N448" s="691"/>
      <c r="O448" s="930"/>
      <c r="P448" s="909"/>
      <c r="Q448" s="931"/>
      <c r="R448" s="310"/>
      <c r="S448" s="310"/>
      <c r="T448" s="691"/>
      <c r="U448" s="691"/>
      <c r="V448" s="355"/>
      <c r="W448" s="932"/>
      <c r="X448" s="310"/>
      <c r="Y448" s="310"/>
      <c r="Z448" s="933"/>
      <c r="AA448" s="310"/>
      <c r="AB448" s="691"/>
      <c r="AC448" s="933"/>
      <c r="AD448" s="691"/>
      <c r="AE448" s="691"/>
      <c r="AF448" s="934"/>
      <c r="AG448" s="934"/>
      <c r="AH448" s="888"/>
      <c r="AI448" s="888"/>
      <c r="AJ448" s="310"/>
      <c r="AK448" s="310"/>
      <c r="AL448" s="310"/>
      <c r="AM448" s="1"/>
      <c r="AN448" s="691"/>
      <c r="AO448" s="1"/>
      <c r="AP448" s="1"/>
    </row>
    <row r="449">
      <c r="A449" s="929"/>
      <c r="B449" s="691"/>
      <c r="C449" s="310"/>
      <c r="D449" s="691"/>
      <c r="E449" s="691"/>
      <c r="F449" s="350"/>
      <c r="G449" s="355"/>
      <c r="H449" s="780"/>
      <c r="I449" s="691"/>
      <c r="J449" s="691"/>
      <c r="K449" s="691"/>
      <c r="L449" s="691"/>
      <c r="M449" s="691"/>
      <c r="N449" s="691"/>
      <c r="O449" s="930"/>
      <c r="P449" s="909"/>
      <c r="Q449" s="931"/>
      <c r="R449" s="310"/>
      <c r="S449" s="310"/>
      <c r="T449" s="691"/>
      <c r="U449" s="691"/>
      <c r="V449" s="355"/>
      <c r="W449" s="932"/>
      <c r="X449" s="310"/>
      <c r="Y449" s="310"/>
      <c r="Z449" s="933"/>
      <c r="AA449" s="310"/>
      <c r="AB449" s="691"/>
      <c r="AC449" s="933"/>
      <c r="AD449" s="691"/>
      <c r="AE449" s="691"/>
      <c r="AF449" s="934"/>
      <c r="AG449" s="934"/>
      <c r="AH449" s="888"/>
      <c r="AI449" s="888"/>
      <c r="AJ449" s="310"/>
      <c r="AK449" s="310"/>
      <c r="AL449" s="310"/>
      <c r="AM449" s="1"/>
      <c r="AN449" s="691"/>
      <c r="AO449" s="1"/>
      <c r="AP449" s="1"/>
    </row>
    <row r="450">
      <c r="A450" s="929"/>
      <c r="B450" s="691"/>
      <c r="C450" s="310"/>
      <c r="D450" s="691"/>
      <c r="E450" s="691"/>
      <c r="F450" s="350"/>
      <c r="G450" s="355"/>
      <c r="H450" s="780"/>
      <c r="I450" s="691"/>
      <c r="J450" s="691"/>
      <c r="K450" s="691"/>
      <c r="L450" s="691"/>
      <c r="M450" s="691"/>
      <c r="N450" s="691"/>
      <c r="O450" s="930"/>
      <c r="P450" s="909"/>
      <c r="Q450" s="931"/>
      <c r="R450" s="310"/>
      <c r="S450" s="310"/>
      <c r="T450" s="691"/>
      <c r="U450" s="691"/>
      <c r="V450" s="355"/>
      <c r="W450" s="932"/>
      <c r="X450" s="310"/>
      <c r="Y450" s="310"/>
      <c r="Z450" s="933"/>
      <c r="AA450" s="310"/>
      <c r="AB450" s="691"/>
      <c r="AC450" s="933"/>
      <c r="AD450" s="691"/>
      <c r="AE450" s="691"/>
      <c r="AF450" s="934"/>
      <c r="AG450" s="934"/>
      <c r="AH450" s="888"/>
      <c r="AI450" s="888"/>
      <c r="AJ450" s="310"/>
      <c r="AK450" s="310"/>
      <c r="AL450" s="310"/>
      <c r="AM450" s="1"/>
      <c r="AN450" s="691"/>
      <c r="AO450" s="1"/>
      <c r="AP450" s="1"/>
    </row>
    <row r="451">
      <c r="A451" s="929"/>
      <c r="B451" s="691"/>
      <c r="C451" s="310"/>
      <c r="D451" s="691"/>
      <c r="E451" s="691"/>
      <c r="F451" s="350"/>
      <c r="G451" s="355"/>
      <c r="H451" s="780"/>
      <c r="I451" s="691"/>
      <c r="J451" s="691"/>
      <c r="K451" s="691"/>
      <c r="L451" s="691"/>
      <c r="M451" s="691"/>
      <c r="N451" s="691"/>
      <c r="O451" s="930"/>
      <c r="P451" s="909"/>
      <c r="Q451" s="931"/>
      <c r="R451" s="310"/>
      <c r="S451" s="310"/>
      <c r="T451" s="691"/>
      <c r="U451" s="691"/>
      <c r="V451" s="355"/>
      <c r="W451" s="932"/>
      <c r="X451" s="310"/>
      <c r="Y451" s="310"/>
      <c r="Z451" s="933"/>
      <c r="AA451" s="310"/>
      <c r="AB451" s="691"/>
      <c r="AC451" s="933"/>
      <c r="AD451" s="691"/>
      <c r="AE451" s="691"/>
      <c r="AF451" s="934"/>
      <c r="AG451" s="934"/>
      <c r="AH451" s="888"/>
      <c r="AI451" s="888"/>
      <c r="AJ451" s="310"/>
      <c r="AK451" s="310"/>
      <c r="AL451" s="310"/>
      <c r="AM451" s="1"/>
      <c r="AN451" s="691"/>
      <c r="AO451" s="1"/>
      <c r="AP451" s="1"/>
    </row>
    <row r="452">
      <c r="A452" s="929"/>
      <c r="B452" s="691"/>
      <c r="C452" s="310"/>
      <c r="D452" s="691"/>
      <c r="E452" s="691"/>
      <c r="F452" s="350"/>
      <c r="G452" s="355"/>
      <c r="H452" s="780"/>
      <c r="I452" s="691"/>
      <c r="J452" s="691"/>
      <c r="K452" s="691"/>
      <c r="L452" s="691"/>
      <c r="M452" s="691"/>
      <c r="N452" s="691"/>
      <c r="O452" s="930"/>
      <c r="P452" s="909"/>
      <c r="Q452" s="931"/>
      <c r="R452" s="310"/>
      <c r="S452" s="310"/>
      <c r="T452" s="691"/>
      <c r="U452" s="691"/>
      <c r="V452" s="355"/>
      <c r="W452" s="932"/>
      <c r="X452" s="310"/>
      <c r="Y452" s="310"/>
      <c r="Z452" s="933"/>
      <c r="AA452" s="310"/>
      <c r="AB452" s="691"/>
      <c r="AC452" s="933"/>
      <c r="AD452" s="691"/>
      <c r="AE452" s="691"/>
      <c r="AF452" s="934"/>
      <c r="AG452" s="934"/>
      <c r="AH452" s="888"/>
      <c r="AI452" s="888"/>
      <c r="AJ452" s="310"/>
      <c r="AK452" s="310"/>
      <c r="AL452" s="310"/>
      <c r="AM452" s="1"/>
      <c r="AN452" s="691"/>
      <c r="AO452" s="1"/>
      <c r="AP452" s="1"/>
    </row>
    <row r="453">
      <c r="A453" s="929"/>
      <c r="B453" s="691"/>
      <c r="C453" s="310"/>
      <c r="D453" s="691"/>
      <c r="E453" s="691"/>
      <c r="F453" s="350"/>
      <c r="G453" s="355"/>
      <c r="H453" s="780"/>
      <c r="I453" s="691"/>
      <c r="J453" s="691"/>
      <c r="K453" s="691"/>
      <c r="L453" s="691"/>
      <c r="M453" s="691"/>
      <c r="N453" s="691"/>
      <c r="O453" s="930"/>
      <c r="P453" s="909"/>
      <c r="Q453" s="931"/>
      <c r="R453" s="310"/>
      <c r="S453" s="310"/>
      <c r="T453" s="691"/>
      <c r="U453" s="691"/>
      <c r="V453" s="355"/>
      <c r="W453" s="932"/>
      <c r="X453" s="310"/>
      <c r="Y453" s="310"/>
      <c r="Z453" s="933"/>
      <c r="AA453" s="310"/>
      <c r="AB453" s="691"/>
      <c r="AC453" s="933"/>
      <c r="AD453" s="691"/>
      <c r="AE453" s="691"/>
      <c r="AF453" s="934"/>
      <c r="AG453" s="934"/>
      <c r="AH453" s="888"/>
      <c r="AI453" s="888"/>
      <c r="AJ453" s="310"/>
      <c r="AK453" s="310"/>
      <c r="AL453" s="310"/>
      <c r="AM453" s="1"/>
      <c r="AN453" s="691"/>
      <c r="AO453" s="1"/>
      <c r="AP453" s="1"/>
    </row>
    <row r="454">
      <c r="A454" s="929"/>
      <c r="B454" s="691"/>
      <c r="C454" s="310"/>
      <c r="D454" s="691"/>
      <c r="E454" s="691"/>
      <c r="F454" s="350"/>
      <c r="G454" s="355"/>
      <c r="H454" s="780"/>
      <c r="I454" s="691"/>
      <c r="J454" s="691"/>
      <c r="K454" s="691"/>
      <c r="L454" s="691"/>
      <c r="M454" s="691"/>
      <c r="N454" s="691"/>
      <c r="O454" s="930"/>
      <c r="P454" s="909"/>
      <c r="Q454" s="931"/>
      <c r="R454" s="310"/>
      <c r="S454" s="310"/>
      <c r="T454" s="691"/>
      <c r="U454" s="691"/>
      <c r="V454" s="355"/>
      <c r="W454" s="932"/>
      <c r="X454" s="310"/>
      <c r="Y454" s="310"/>
      <c r="Z454" s="933"/>
      <c r="AA454" s="310"/>
      <c r="AB454" s="691"/>
      <c r="AC454" s="933"/>
      <c r="AD454" s="691"/>
      <c r="AE454" s="691"/>
      <c r="AF454" s="934"/>
      <c r="AG454" s="934"/>
      <c r="AH454" s="888"/>
      <c r="AI454" s="888"/>
      <c r="AJ454" s="310"/>
      <c r="AK454" s="310"/>
      <c r="AL454" s="310"/>
      <c r="AM454" s="1"/>
      <c r="AN454" s="691"/>
      <c r="AO454" s="1"/>
      <c r="AP454" s="1"/>
    </row>
    <row r="455">
      <c r="A455" s="929"/>
      <c r="B455" s="691"/>
      <c r="C455" s="310"/>
      <c r="D455" s="691"/>
      <c r="E455" s="691"/>
      <c r="F455" s="350"/>
      <c r="G455" s="355"/>
      <c r="H455" s="780"/>
      <c r="I455" s="691"/>
      <c r="J455" s="691"/>
      <c r="K455" s="691"/>
      <c r="L455" s="691"/>
      <c r="M455" s="691"/>
      <c r="N455" s="691"/>
      <c r="O455" s="930"/>
      <c r="P455" s="909"/>
      <c r="Q455" s="931"/>
      <c r="R455" s="310"/>
      <c r="S455" s="310"/>
      <c r="T455" s="691"/>
      <c r="U455" s="691"/>
      <c r="V455" s="355"/>
      <c r="W455" s="932"/>
      <c r="X455" s="310"/>
      <c r="Y455" s="310"/>
      <c r="Z455" s="933"/>
      <c r="AA455" s="310"/>
      <c r="AB455" s="691"/>
      <c r="AC455" s="933"/>
      <c r="AD455" s="691"/>
      <c r="AE455" s="691"/>
      <c r="AF455" s="934"/>
      <c r="AG455" s="934"/>
      <c r="AH455" s="888"/>
      <c r="AI455" s="888"/>
      <c r="AJ455" s="310"/>
      <c r="AK455" s="310"/>
      <c r="AL455" s="310"/>
      <c r="AM455" s="1"/>
      <c r="AN455" s="691"/>
      <c r="AO455" s="1"/>
      <c r="AP455" s="1"/>
    </row>
    <row r="456">
      <c r="A456" s="929"/>
      <c r="B456" s="691"/>
      <c r="C456" s="310"/>
      <c r="D456" s="691"/>
      <c r="E456" s="691"/>
      <c r="F456" s="350"/>
      <c r="G456" s="355"/>
      <c r="H456" s="780"/>
      <c r="I456" s="691"/>
      <c r="J456" s="691"/>
      <c r="K456" s="691"/>
      <c r="L456" s="691"/>
      <c r="M456" s="691"/>
      <c r="N456" s="691"/>
      <c r="O456" s="930"/>
      <c r="P456" s="909"/>
      <c r="Q456" s="931"/>
      <c r="R456" s="310"/>
      <c r="S456" s="310"/>
      <c r="T456" s="691"/>
      <c r="U456" s="691"/>
      <c r="V456" s="355"/>
      <c r="W456" s="932"/>
      <c r="X456" s="310"/>
      <c r="Y456" s="310"/>
      <c r="Z456" s="933"/>
      <c r="AA456" s="310"/>
      <c r="AB456" s="691"/>
      <c r="AC456" s="933"/>
      <c r="AD456" s="691"/>
      <c r="AE456" s="691"/>
      <c r="AF456" s="934"/>
      <c r="AG456" s="934"/>
      <c r="AH456" s="888"/>
      <c r="AI456" s="888"/>
      <c r="AJ456" s="310"/>
      <c r="AK456" s="310"/>
      <c r="AL456" s="310"/>
      <c r="AM456" s="1"/>
      <c r="AN456" s="691"/>
      <c r="AO456" s="1"/>
      <c r="AP456" s="1"/>
    </row>
    <row r="457">
      <c r="A457" s="929"/>
      <c r="B457" s="691"/>
      <c r="C457" s="310"/>
      <c r="D457" s="691"/>
      <c r="E457" s="691"/>
      <c r="F457" s="350"/>
      <c r="G457" s="355"/>
      <c r="H457" s="780"/>
      <c r="I457" s="691"/>
      <c r="J457" s="691"/>
      <c r="K457" s="691"/>
      <c r="L457" s="691"/>
      <c r="M457" s="691"/>
      <c r="N457" s="691"/>
      <c r="O457" s="930"/>
      <c r="P457" s="909"/>
      <c r="Q457" s="931"/>
      <c r="R457" s="310"/>
      <c r="S457" s="310"/>
      <c r="T457" s="691"/>
      <c r="U457" s="691"/>
      <c r="V457" s="355"/>
      <c r="W457" s="932"/>
      <c r="X457" s="310"/>
      <c r="Y457" s="310"/>
      <c r="Z457" s="933"/>
      <c r="AA457" s="310"/>
      <c r="AB457" s="691"/>
      <c r="AC457" s="933"/>
      <c r="AD457" s="691"/>
      <c r="AE457" s="691"/>
      <c r="AF457" s="934"/>
      <c r="AG457" s="934"/>
      <c r="AH457" s="888"/>
      <c r="AI457" s="888"/>
      <c r="AJ457" s="310"/>
      <c r="AK457" s="310"/>
      <c r="AL457" s="310"/>
      <c r="AM457" s="1"/>
      <c r="AN457" s="691"/>
      <c r="AO457" s="1"/>
      <c r="AP457" s="1"/>
    </row>
    <row r="458">
      <c r="A458" s="929"/>
      <c r="B458" s="691"/>
      <c r="C458" s="310"/>
      <c r="D458" s="691"/>
      <c r="E458" s="691"/>
      <c r="F458" s="350"/>
      <c r="G458" s="355"/>
      <c r="H458" s="780"/>
      <c r="I458" s="691"/>
      <c r="J458" s="691"/>
      <c r="K458" s="691"/>
      <c r="L458" s="691"/>
      <c r="M458" s="691"/>
      <c r="N458" s="691"/>
      <c r="O458" s="930"/>
      <c r="P458" s="909"/>
      <c r="Q458" s="931"/>
      <c r="R458" s="310"/>
      <c r="S458" s="310"/>
      <c r="T458" s="691"/>
      <c r="U458" s="691"/>
      <c r="V458" s="355"/>
      <c r="W458" s="932"/>
      <c r="X458" s="310"/>
      <c r="Y458" s="310"/>
      <c r="Z458" s="933"/>
      <c r="AA458" s="310"/>
      <c r="AB458" s="691"/>
      <c r="AC458" s="933"/>
      <c r="AD458" s="691"/>
      <c r="AE458" s="691"/>
      <c r="AF458" s="934"/>
      <c r="AG458" s="934"/>
      <c r="AH458" s="888"/>
      <c r="AI458" s="888"/>
      <c r="AJ458" s="310"/>
      <c r="AK458" s="310"/>
      <c r="AL458" s="310"/>
      <c r="AM458" s="1"/>
      <c r="AN458" s="691"/>
      <c r="AO458" s="1"/>
      <c r="AP458" s="1"/>
    </row>
    <row r="459">
      <c r="A459" s="929"/>
      <c r="B459" s="691"/>
      <c r="C459" s="310"/>
      <c r="D459" s="691"/>
      <c r="E459" s="691"/>
      <c r="F459" s="350"/>
      <c r="G459" s="355"/>
      <c r="H459" s="780"/>
      <c r="I459" s="691"/>
      <c r="J459" s="691"/>
      <c r="K459" s="691"/>
      <c r="L459" s="691"/>
      <c r="M459" s="691"/>
      <c r="N459" s="691"/>
      <c r="O459" s="930"/>
      <c r="P459" s="909"/>
      <c r="Q459" s="931"/>
      <c r="R459" s="310"/>
      <c r="S459" s="310"/>
      <c r="T459" s="691"/>
      <c r="U459" s="691"/>
      <c r="V459" s="355"/>
      <c r="W459" s="932"/>
      <c r="X459" s="310"/>
      <c r="Y459" s="310"/>
      <c r="Z459" s="933"/>
      <c r="AA459" s="310"/>
      <c r="AB459" s="691"/>
      <c r="AC459" s="933"/>
      <c r="AD459" s="691"/>
      <c r="AE459" s="691"/>
      <c r="AF459" s="934"/>
      <c r="AG459" s="934"/>
      <c r="AH459" s="888"/>
      <c r="AI459" s="888"/>
      <c r="AJ459" s="310"/>
      <c r="AK459" s="310"/>
      <c r="AL459" s="310"/>
      <c r="AM459" s="1"/>
      <c r="AN459" s="691"/>
      <c r="AO459" s="1"/>
      <c r="AP459" s="1"/>
    </row>
    <row r="460">
      <c r="A460" s="929"/>
      <c r="B460" s="691"/>
      <c r="C460" s="310"/>
      <c r="D460" s="691"/>
      <c r="E460" s="691"/>
      <c r="F460" s="350"/>
      <c r="G460" s="355"/>
      <c r="H460" s="780"/>
      <c r="I460" s="691"/>
      <c r="J460" s="691"/>
      <c r="K460" s="691"/>
      <c r="L460" s="691"/>
      <c r="M460" s="691"/>
      <c r="N460" s="691"/>
      <c r="O460" s="930"/>
      <c r="P460" s="909"/>
      <c r="Q460" s="931"/>
      <c r="R460" s="310"/>
      <c r="S460" s="310"/>
      <c r="T460" s="691"/>
      <c r="U460" s="691"/>
      <c r="V460" s="355"/>
      <c r="W460" s="932"/>
      <c r="X460" s="310"/>
      <c r="Y460" s="310"/>
      <c r="Z460" s="933"/>
      <c r="AA460" s="310"/>
      <c r="AB460" s="691"/>
      <c r="AC460" s="933"/>
      <c r="AD460" s="691"/>
      <c r="AE460" s="691"/>
      <c r="AF460" s="934"/>
      <c r="AG460" s="934"/>
      <c r="AH460" s="888"/>
      <c r="AI460" s="888"/>
      <c r="AJ460" s="310"/>
      <c r="AK460" s="310"/>
      <c r="AL460" s="310"/>
      <c r="AM460" s="1"/>
      <c r="AN460" s="691"/>
      <c r="AO460" s="1"/>
      <c r="AP460" s="1"/>
    </row>
    <row r="461">
      <c r="A461" s="929"/>
      <c r="B461" s="691"/>
      <c r="C461" s="310"/>
      <c r="D461" s="691"/>
      <c r="E461" s="691"/>
      <c r="F461" s="350"/>
      <c r="G461" s="355"/>
      <c r="H461" s="780"/>
      <c r="I461" s="691"/>
      <c r="J461" s="691"/>
      <c r="K461" s="691"/>
      <c r="L461" s="691"/>
      <c r="M461" s="691"/>
      <c r="N461" s="691"/>
      <c r="O461" s="930"/>
      <c r="P461" s="909"/>
      <c r="Q461" s="931"/>
      <c r="R461" s="310"/>
      <c r="S461" s="310"/>
      <c r="T461" s="691"/>
      <c r="U461" s="691"/>
      <c r="V461" s="355"/>
      <c r="W461" s="932"/>
      <c r="X461" s="310"/>
      <c r="Y461" s="310"/>
      <c r="Z461" s="933"/>
      <c r="AA461" s="310"/>
      <c r="AB461" s="691"/>
      <c r="AC461" s="933"/>
      <c r="AD461" s="691"/>
      <c r="AE461" s="691"/>
      <c r="AF461" s="934"/>
      <c r="AG461" s="934"/>
      <c r="AH461" s="888"/>
      <c r="AI461" s="888"/>
      <c r="AJ461" s="310"/>
      <c r="AK461" s="310"/>
      <c r="AL461" s="310"/>
      <c r="AM461" s="1"/>
      <c r="AN461" s="691"/>
      <c r="AO461" s="1"/>
      <c r="AP461" s="1"/>
    </row>
    <row r="462">
      <c r="A462" s="929"/>
      <c r="B462" s="691"/>
      <c r="C462" s="310"/>
      <c r="D462" s="691"/>
      <c r="E462" s="691"/>
      <c r="F462" s="350"/>
      <c r="G462" s="355"/>
      <c r="H462" s="780"/>
      <c r="I462" s="691"/>
      <c r="J462" s="691"/>
      <c r="K462" s="691"/>
      <c r="L462" s="691"/>
      <c r="M462" s="691"/>
      <c r="N462" s="691"/>
      <c r="O462" s="930"/>
      <c r="P462" s="909"/>
      <c r="Q462" s="931"/>
      <c r="R462" s="310"/>
      <c r="S462" s="310"/>
      <c r="T462" s="691"/>
      <c r="U462" s="691"/>
      <c r="V462" s="355"/>
      <c r="W462" s="932"/>
      <c r="X462" s="310"/>
      <c r="Y462" s="310"/>
      <c r="Z462" s="933"/>
      <c r="AA462" s="310"/>
      <c r="AB462" s="691"/>
      <c r="AC462" s="933"/>
      <c r="AD462" s="691"/>
      <c r="AE462" s="691"/>
      <c r="AF462" s="934"/>
      <c r="AG462" s="934"/>
      <c r="AH462" s="888"/>
      <c r="AI462" s="888"/>
      <c r="AJ462" s="310"/>
      <c r="AK462" s="310"/>
      <c r="AL462" s="310"/>
      <c r="AM462" s="1"/>
      <c r="AN462" s="691"/>
      <c r="AO462" s="1"/>
      <c r="AP462" s="1"/>
    </row>
    <row r="463">
      <c r="A463" s="929"/>
      <c r="B463" s="691"/>
      <c r="C463" s="310"/>
      <c r="D463" s="691"/>
      <c r="E463" s="691"/>
      <c r="F463" s="350"/>
      <c r="G463" s="355"/>
      <c r="H463" s="780"/>
      <c r="I463" s="691"/>
      <c r="J463" s="691"/>
      <c r="K463" s="691"/>
      <c r="L463" s="691"/>
      <c r="M463" s="691"/>
      <c r="N463" s="691"/>
      <c r="O463" s="930"/>
      <c r="P463" s="909"/>
      <c r="Q463" s="931"/>
      <c r="R463" s="310"/>
      <c r="S463" s="310"/>
      <c r="T463" s="691"/>
      <c r="U463" s="691"/>
      <c r="V463" s="355"/>
      <c r="W463" s="932"/>
      <c r="X463" s="310"/>
      <c r="Y463" s="310"/>
      <c r="Z463" s="933"/>
      <c r="AA463" s="310"/>
      <c r="AB463" s="691"/>
      <c r="AC463" s="933"/>
      <c r="AD463" s="691"/>
      <c r="AE463" s="691"/>
      <c r="AF463" s="934"/>
      <c r="AG463" s="934"/>
      <c r="AH463" s="888"/>
      <c r="AI463" s="888"/>
      <c r="AJ463" s="310"/>
      <c r="AK463" s="310"/>
      <c r="AL463" s="310"/>
      <c r="AM463" s="1"/>
      <c r="AN463" s="691"/>
      <c r="AO463" s="1"/>
      <c r="AP463" s="1"/>
    </row>
    <row r="464">
      <c r="A464" s="929"/>
      <c r="B464" s="691"/>
      <c r="C464" s="310"/>
      <c r="D464" s="691"/>
      <c r="E464" s="691"/>
      <c r="F464" s="350"/>
      <c r="G464" s="355"/>
      <c r="H464" s="780"/>
      <c r="I464" s="691"/>
      <c r="J464" s="691"/>
      <c r="K464" s="691"/>
      <c r="L464" s="691"/>
      <c r="M464" s="691"/>
      <c r="N464" s="691"/>
      <c r="O464" s="930"/>
      <c r="P464" s="909"/>
      <c r="Q464" s="931"/>
      <c r="R464" s="310"/>
      <c r="S464" s="310"/>
      <c r="T464" s="691"/>
      <c r="U464" s="691"/>
      <c r="V464" s="355"/>
      <c r="W464" s="932"/>
      <c r="X464" s="310"/>
      <c r="Y464" s="310"/>
      <c r="Z464" s="933"/>
      <c r="AA464" s="310"/>
      <c r="AB464" s="691"/>
      <c r="AC464" s="933"/>
      <c r="AD464" s="691"/>
      <c r="AE464" s="691"/>
      <c r="AF464" s="934"/>
      <c r="AG464" s="934"/>
      <c r="AH464" s="888"/>
      <c r="AI464" s="888"/>
      <c r="AJ464" s="310"/>
      <c r="AK464" s="310"/>
      <c r="AL464" s="310"/>
      <c r="AM464" s="1"/>
      <c r="AN464" s="691"/>
      <c r="AO464" s="1"/>
      <c r="AP464" s="1"/>
    </row>
    <row r="465">
      <c r="A465" s="929"/>
      <c r="B465" s="691"/>
      <c r="C465" s="310"/>
      <c r="D465" s="691"/>
      <c r="E465" s="691"/>
      <c r="F465" s="350"/>
      <c r="G465" s="355"/>
      <c r="H465" s="780"/>
      <c r="I465" s="691"/>
      <c r="J465" s="691"/>
      <c r="K465" s="691"/>
      <c r="L465" s="691"/>
      <c r="M465" s="691"/>
      <c r="N465" s="691"/>
      <c r="O465" s="930"/>
      <c r="P465" s="909"/>
      <c r="Q465" s="931"/>
      <c r="R465" s="310"/>
      <c r="S465" s="310"/>
      <c r="T465" s="691"/>
      <c r="U465" s="691"/>
      <c r="V465" s="355"/>
      <c r="W465" s="932"/>
      <c r="X465" s="310"/>
      <c r="Y465" s="310"/>
      <c r="Z465" s="933"/>
      <c r="AA465" s="310"/>
      <c r="AB465" s="691"/>
      <c r="AC465" s="933"/>
      <c r="AD465" s="691"/>
      <c r="AE465" s="691"/>
      <c r="AF465" s="934"/>
      <c r="AG465" s="934"/>
      <c r="AH465" s="888"/>
      <c r="AI465" s="888"/>
      <c r="AJ465" s="310"/>
      <c r="AK465" s="310"/>
      <c r="AL465" s="310"/>
      <c r="AM465" s="1"/>
      <c r="AN465" s="691"/>
      <c r="AO465" s="1"/>
      <c r="AP465" s="1"/>
    </row>
    <row r="466">
      <c r="A466" s="929"/>
      <c r="B466" s="691"/>
      <c r="C466" s="310"/>
      <c r="D466" s="691"/>
      <c r="E466" s="691"/>
      <c r="F466" s="350"/>
      <c r="G466" s="355"/>
      <c r="H466" s="780"/>
      <c r="I466" s="691"/>
      <c r="J466" s="691"/>
      <c r="K466" s="691"/>
      <c r="L466" s="691"/>
      <c r="M466" s="691"/>
      <c r="N466" s="691"/>
      <c r="O466" s="930"/>
      <c r="P466" s="909"/>
      <c r="Q466" s="931"/>
      <c r="R466" s="310"/>
      <c r="S466" s="310"/>
      <c r="T466" s="691"/>
      <c r="U466" s="691"/>
      <c r="V466" s="355"/>
      <c r="W466" s="932"/>
      <c r="X466" s="310"/>
      <c r="Y466" s="310"/>
      <c r="Z466" s="933"/>
      <c r="AA466" s="310"/>
      <c r="AB466" s="691"/>
      <c r="AC466" s="933"/>
      <c r="AD466" s="691"/>
      <c r="AE466" s="691"/>
      <c r="AF466" s="934"/>
      <c r="AG466" s="934"/>
      <c r="AH466" s="888"/>
      <c r="AI466" s="888"/>
      <c r="AJ466" s="310"/>
      <c r="AK466" s="310"/>
      <c r="AL466" s="310"/>
      <c r="AM466" s="1"/>
      <c r="AN466" s="691"/>
      <c r="AO466" s="1"/>
      <c r="AP466" s="1"/>
    </row>
    <row r="467">
      <c r="A467" s="929"/>
      <c r="B467" s="691"/>
      <c r="C467" s="310"/>
      <c r="D467" s="691"/>
      <c r="E467" s="691"/>
      <c r="F467" s="350"/>
      <c r="G467" s="355"/>
      <c r="H467" s="780"/>
      <c r="I467" s="691"/>
      <c r="J467" s="691"/>
      <c r="K467" s="691"/>
      <c r="L467" s="691"/>
      <c r="M467" s="691"/>
      <c r="N467" s="691"/>
      <c r="O467" s="930"/>
      <c r="P467" s="909"/>
      <c r="Q467" s="931"/>
      <c r="R467" s="310"/>
      <c r="S467" s="310"/>
      <c r="T467" s="691"/>
      <c r="U467" s="691"/>
      <c r="V467" s="355"/>
      <c r="W467" s="932"/>
      <c r="X467" s="310"/>
      <c r="Y467" s="310"/>
      <c r="Z467" s="933"/>
      <c r="AA467" s="310"/>
      <c r="AB467" s="691"/>
      <c r="AC467" s="933"/>
      <c r="AD467" s="691"/>
      <c r="AE467" s="691"/>
      <c r="AF467" s="934"/>
      <c r="AG467" s="934"/>
      <c r="AH467" s="888"/>
      <c r="AI467" s="888"/>
      <c r="AJ467" s="310"/>
      <c r="AK467" s="310"/>
      <c r="AL467" s="310"/>
      <c r="AM467" s="1"/>
      <c r="AN467" s="691"/>
      <c r="AO467" s="1"/>
      <c r="AP467" s="1"/>
    </row>
    <row r="468">
      <c r="A468" s="929"/>
      <c r="B468" s="691"/>
      <c r="C468" s="310"/>
      <c r="D468" s="691"/>
      <c r="E468" s="691"/>
      <c r="F468" s="350"/>
      <c r="G468" s="355"/>
      <c r="H468" s="780"/>
      <c r="I468" s="691"/>
      <c r="J468" s="691"/>
      <c r="K468" s="691"/>
      <c r="L468" s="691"/>
      <c r="M468" s="691"/>
      <c r="N468" s="691"/>
      <c r="O468" s="930"/>
      <c r="P468" s="909"/>
      <c r="Q468" s="931"/>
      <c r="R468" s="310"/>
      <c r="S468" s="310"/>
      <c r="T468" s="691"/>
      <c r="U468" s="691"/>
      <c r="V468" s="355"/>
      <c r="W468" s="932"/>
      <c r="X468" s="310"/>
      <c r="Y468" s="310"/>
      <c r="Z468" s="933"/>
      <c r="AA468" s="310"/>
      <c r="AB468" s="691"/>
      <c r="AC468" s="933"/>
      <c r="AD468" s="691"/>
      <c r="AE468" s="691"/>
      <c r="AF468" s="934"/>
      <c r="AG468" s="934"/>
      <c r="AH468" s="888"/>
      <c r="AI468" s="888"/>
      <c r="AJ468" s="310"/>
      <c r="AK468" s="310"/>
      <c r="AL468" s="310"/>
      <c r="AM468" s="1"/>
      <c r="AN468" s="691"/>
      <c r="AO468" s="1"/>
      <c r="AP468" s="1"/>
    </row>
    <row r="469">
      <c r="A469" s="929"/>
      <c r="B469" s="691"/>
      <c r="C469" s="310"/>
      <c r="D469" s="691"/>
      <c r="E469" s="691"/>
      <c r="F469" s="350"/>
      <c r="G469" s="355"/>
      <c r="H469" s="780"/>
      <c r="I469" s="691"/>
      <c r="J469" s="691"/>
      <c r="K469" s="691"/>
      <c r="L469" s="691"/>
      <c r="M469" s="691"/>
      <c r="N469" s="691"/>
      <c r="O469" s="930"/>
      <c r="P469" s="909"/>
      <c r="Q469" s="931"/>
      <c r="R469" s="310"/>
      <c r="S469" s="310"/>
      <c r="T469" s="691"/>
      <c r="U469" s="691"/>
      <c r="V469" s="355"/>
      <c r="W469" s="932"/>
      <c r="X469" s="310"/>
      <c r="Y469" s="310"/>
      <c r="Z469" s="933"/>
      <c r="AA469" s="310"/>
      <c r="AB469" s="691"/>
      <c r="AC469" s="933"/>
      <c r="AD469" s="691"/>
      <c r="AE469" s="691"/>
      <c r="AF469" s="934"/>
      <c r="AG469" s="934"/>
      <c r="AH469" s="888"/>
      <c r="AI469" s="888"/>
      <c r="AJ469" s="310"/>
      <c r="AK469" s="310"/>
      <c r="AL469" s="310"/>
      <c r="AM469" s="1"/>
      <c r="AN469" s="691"/>
      <c r="AO469" s="1"/>
      <c r="AP469" s="1"/>
    </row>
    <row r="470">
      <c r="A470" s="929"/>
      <c r="B470" s="691"/>
      <c r="C470" s="310"/>
      <c r="D470" s="691"/>
      <c r="E470" s="691"/>
      <c r="F470" s="350"/>
      <c r="G470" s="355"/>
      <c r="H470" s="780"/>
      <c r="I470" s="691"/>
      <c r="J470" s="691"/>
      <c r="K470" s="691"/>
      <c r="L470" s="691"/>
      <c r="M470" s="691"/>
      <c r="N470" s="691"/>
      <c r="O470" s="930"/>
      <c r="P470" s="909"/>
      <c r="Q470" s="931"/>
      <c r="R470" s="310"/>
      <c r="S470" s="310"/>
      <c r="T470" s="691"/>
      <c r="U470" s="691"/>
      <c r="V470" s="355"/>
      <c r="W470" s="932"/>
      <c r="X470" s="310"/>
      <c r="Y470" s="310"/>
      <c r="Z470" s="933"/>
      <c r="AA470" s="310"/>
      <c r="AB470" s="691"/>
      <c r="AC470" s="933"/>
      <c r="AD470" s="691"/>
      <c r="AE470" s="691"/>
      <c r="AF470" s="934"/>
      <c r="AG470" s="934"/>
      <c r="AH470" s="888"/>
      <c r="AI470" s="888"/>
      <c r="AJ470" s="310"/>
      <c r="AK470" s="310"/>
      <c r="AL470" s="310"/>
      <c r="AM470" s="1"/>
      <c r="AN470" s="691"/>
      <c r="AO470" s="1"/>
      <c r="AP470" s="1"/>
    </row>
    <row r="471">
      <c r="A471" s="929"/>
      <c r="B471" s="691"/>
      <c r="C471" s="310"/>
      <c r="D471" s="691"/>
      <c r="E471" s="691"/>
      <c r="F471" s="350"/>
      <c r="G471" s="355"/>
      <c r="H471" s="780"/>
      <c r="I471" s="691"/>
      <c r="J471" s="691"/>
      <c r="K471" s="691"/>
      <c r="L471" s="691"/>
      <c r="M471" s="691"/>
      <c r="N471" s="691"/>
      <c r="O471" s="930"/>
      <c r="P471" s="909"/>
      <c r="Q471" s="931"/>
      <c r="R471" s="310"/>
      <c r="S471" s="310"/>
      <c r="T471" s="691"/>
      <c r="U471" s="691"/>
      <c r="V471" s="355"/>
      <c r="W471" s="932"/>
      <c r="X471" s="310"/>
      <c r="Y471" s="310"/>
      <c r="Z471" s="933"/>
      <c r="AA471" s="310"/>
      <c r="AB471" s="691"/>
      <c r="AC471" s="933"/>
      <c r="AD471" s="691"/>
      <c r="AE471" s="691"/>
      <c r="AF471" s="934"/>
      <c r="AG471" s="934"/>
      <c r="AH471" s="888"/>
      <c r="AI471" s="888"/>
      <c r="AJ471" s="310"/>
      <c r="AK471" s="310"/>
      <c r="AL471" s="310"/>
      <c r="AM471" s="1"/>
      <c r="AN471" s="691"/>
      <c r="AO471" s="1"/>
      <c r="AP471" s="1"/>
    </row>
    <row r="472">
      <c r="A472" s="929"/>
      <c r="B472" s="691"/>
      <c r="C472" s="310"/>
      <c r="D472" s="691"/>
      <c r="E472" s="691"/>
      <c r="F472" s="350"/>
      <c r="G472" s="355"/>
      <c r="H472" s="780"/>
      <c r="I472" s="691"/>
      <c r="J472" s="691"/>
      <c r="K472" s="691"/>
      <c r="L472" s="691"/>
      <c r="M472" s="691"/>
      <c r="N472" s="691"/>
      <c r="O472" s="930"/>
      <c r="P472" s="909"/>
      <c r="Q472" s="931"/>
      <c r="R472" s="310"/>
      <c r="S472" s="310"/>
      <c r="T472" s="691"/>
      <c r="U472" s="691"/>
      <c r="V472" s="355"/>
      <c r="W472" s="932"/>
      <c r="X472" s="310"/>
      <c r="Y472" s="310"/>
      <c r="Z472" s="933"/>
      <c r="AA472" s="310"/>
      <c r="AB472" s="691"/>
      <c r="AC472" s="933"/>
      <c r="AD472" s="691"/>
      <c r="AE472" s="691"/>
      <c r="AF472" s="934"/>
      <c r="AG472" s="934"/>
      <c r="AH472" s="888"/>
      <c r="AI472" s="888"/>
      <c r="AJ472" s="310"/>
      <c r="AK472" s="310"/>
      <c r="AL472" s="310"/>
      <c r="AM472" s="1"/>
      <c r="AN472" s="691"/>
      <c r="AO472" s="1"/>
      <c r="AP472" s="1"/>
    </row>
    <row r="473">
      <c r="A473" s="929"/>
      <c r="B473" s="691"/>
      <c r="C473" s="310"/>
      <c r="D473" s="691"/>
      <c r="E473" s="691"/>
      <c r="F473" s="350"/>
      <c r="G473" s="355"/>
      <c r="H473" s="780"/>
      <c r="I473" s="691"/>
      <c r="J473" s="691"/>
      <c r="K473" s="691"/>
      <c r="L473" s="691"/>
      <c r="M473" s="691"/>
      <c r="N473" s="691"/>
      <c r="O473" s="930"/>
      <c r="P473" s="909"/>
      <c r="Q473" s="931"/>
      <c r="R473" s="310"/>
      <c r="S473" s="310"/>
      <c r="T473" s="691"/>
      <c r="U473" s="691"/>
      <c r="V473" s="355"/>
      <c r="W473" s="932"/>
      <c r="X473" s="310"/>
      <c r="Y473" s="310"/>
      <c r="Z473" s="933"/>
      <c r="AA473" s="310"/>
      <c r="AB473" s="691"/>
      <c r="AC473" s="933"/>
      <c r="AD473" s="691"/>
      <c r="AE473" s="691"/>
      <c r="AF473" s="934"/>
      <c r="AG473" s="934"/>
      <c r="AH473" s="888"/>
      <c r="AI473" s="888"/>
      <c r="AJ473" s="310"/>
      <c r="AK473" s="310"/>
      <c r="AL473" s="310"/>
      <c r="AM473" s="1"/>
      <c r="AN473" s="691"/>
      <c r="AO473" s="1"/>
      <c r="AP473" s="1"/>
    </row>
    <row r="474">
      <c r="A474" s="929"/>
      <c r="B474" s="691"/>
      <c r="C474" s="310"/>
      <c r="D474" s="691"/>
      <c r="E474" s="691"/>
      <c r="F474" s="350"/>
      <c r="G474" s="355"/>
      <c r="H474" s="780"/>
      <c r="I474" s="691"/>
      <c r="J474" s="691"/>
      <c r="K474" s="691"/>
      <c r="L474" s="691"/>
      <c r="M474" s="691"/>
      <c r="N474" s="691"/>
      <c r="O474" s="930"/>
      <c r="P474" s="909"/>
      <c r="Q474" s="931"/>
      <c r="R474" s="310"/>
      <c r="S474" s="310"/>
      <c r="T474" s="691"/>
      <c r="U474" s="691"/>
      <c r="V474" s="355"/>
      <c r="W474" s="932"/>
      <c r="X474" s="310"/>
      <c r="Y474" s="310"/>
      <c r="Z474" s="933"/>
      <c r="AA474" s="310"/>
      <c r="AB474" s="691"/>
      <c r="AC474" s="933"/>
      <c r="AD474" s="691"/>
      <c r="AE474" s="691"/>
      <c r="AF474" s="934"/>
      <c r="AG474" s="934"/>
      <c r="AH474" s="888"/>
      <c r="AI474" s="888"/>
      <c r="AJ474" s="310"/>
      <c r="AK474" s="310"/>
      <c r="AL474" s="310"/>
      <c r="AM474" s="1"/>
      <c r="AN474" s="691"/>
      <c r="AO474" s="1"/>
      <c r="AP474" s="1"/>
    </row>
    <row r="475">
      <c r="A475" s="929"/>
      <c r="B475" s="691"/>
      <c r="C475" s="310"/>
      <c r="D475" s="691"/>
      <c r="E475" s="691"/>
      <c r="F475" s="350"/>
      <c r="G475" s="355"/>
      <c r="H475" s="780"/>
      <c r="I475" s="691"/>
      <c r="J475" s="691"/>
      <c r="K475" s="691"/>
      <c r="L475" s="691"/>
      <c r="M475" s="691"/>
      <c r="N475" s="691"/>
      <c r="O475" s="930"/>
      <c r="P475" s="909"/>
      <c r="Q475" s="931"/>
      <c r="R475" s="310"/>
      <c r="S475" s="310"/>
      <c r="T475" s="691"/>
      <c r="U475" s="691"/>
      <c r="V475" s="355"/>
      <c r="W475" s="932"/>
      <c r="X475" s="310"/>
      <c r="Y475" s="310"/>
      <c r="Z475" s="933"/>
      <c r="AA475" s="310"/>
      <c r="AB475" s="691"/>
      <c r="AC475" s="933"/>
      <c r="AD475" s="691"/>
      <c r="AE475" s="691"/>
      <c r="AF475" s="934"/>
      <c r="AG475" s="934"/>
      <c r="AH475" s="888"/>
      <c r="AI475" s="888"/>
      <c r="AJ475" s="310"/>
      <c r="AK475" s="310"/>
      <c r="AL475" s="310"/>
      <c r="AM475" s="1"/>
      <c r="AN475" s="691"/>
      <c r="AO475" s="1"/>
      <c r="AP475" s="1"/>
    </row>
    <row r="476">
      <c r="A476" s="929"/>
      <c r="B476" s="691"/>
      <c r="C476" s="310"/>
      <c r="D476" s="691"/>
      <c r="E476" s="691"/>
      <c r="F476" s="350"/>
      <c r="G476" s="355"/>
      <c r="H476" s="780"/>
      <c r="I476" s="691"/>
      <c r="J476" s="691"/>
      <c r="K476" s="691"/>
      <c r="L476" s="691"/>
      <c r="M476" s="691"/>
      <c r="N476" s="691"/>
      <c r="O476" s="930"/>
      <c r="P476" s="909"/>
      <c r="Q476" s="931"/>
      <c r="R476" s="310"/>
      <c r="S476" s="310"/>
      <c r="T476" s="691"/>
      <c r="U476" s="691"/>
      <c r="V476" s="355"/>
      <c r="W476" s="932"/>
      <c r="X476" s="310"/>
      <c r="Y476" s="310"/>
      <c r="Z476" s="933"/>
      <c r="AA476" s="310"/>
      <c r="AB476" s="691"/>
      <c r="AC476" s="933"/>
      <c r="AD476" s="691"/>
      <c r="AE476" s="691"/>
      <c r="AF476" s="934"/>
      <c r="AG476" s="934"/>
      <c r="AH476" s="888"/>
      <c r="AI476" s="888"/>
      <c r="AJ476" s="310"/>
      <c r="AK476" s="310"/>
      <c r="AL476" s="310"/>
      <c r="AM476" s="1"/>
      <c r="AN476" s="691"/>
      <c r="AO476" s="1"/>
      <c r="AP476" s="1"/>
    </row>
    <row r="477">
      <c r="A477" s="929"/>
      <c r="B477" s="691"/>
      <c r="C477" s="310"/>
      <c r="D477" s="691"/>
      <c r="E477" s="691"/>
      <c r="F477" s="350"/>
      <c r="G477" s="355"/>
      <c r="H477" s="780"/>
      <c r="I477" s="691"/>
      <c r="J477" s="691"/>
      <c r="K477" s="691"/>
      <c r="L477" s="691"/>
      <c r="M477" s="691"/>
      <c r="N477" s="691"/>
      <c r="O477" s="930"/>
      <c r="P477" s="909"/>
      <c r="Q477" s="931"/>
      <c r="R477" s="310"/>
      <c r="S477" s="310"/>
      <c r="T477" s="691"/>
      <c r="U477" s="691"/>
      <c r="V477" s="355"/>
      <c r="W477" s="932"/>
      <c r="X477" s="310"/>
      <c r="Y477" s="310"/>
      <c r="Z477" s="933"/>
      <c r="AA477" s="310"/>
      <c r="AB477" s="691"/>
      <c r="AC477" s="933"/>
      <c r="AD477" s="691"/>
      <c r="AE477" s="691"/>
      <c r="AF477" s="934"/>
      <c r="AG477" s="934"/>
      <c r="AH477" s="888"/>
      <c r="AI477" s="888"/>
      <c r="AJ477" s="310"/>
      <c r="AK477" s="310"/>
      <c r="AL477" s="310"/>
      <c r="AM477" s="1"/>
      <c r="AN477" s="691"/>
      <c r="AO477" s="1"/>
      <c r="AP477" s="1"/>
    </row>
    <row r="478">
      <c r="A478" s="929"/>
      <c r="B478" s="691"/>
      <c r="C478" s="310"/>
      <c r="D478" s="691"/>
      <c r="E478" s="691"/>
      <c r="F478" s="350"/>
      <c r="G478" s="355"/>
      <c r="H478" s="780"/>
      <c r="I478" s="691"/>
      <c r="J478" s="691"/>
      <c r="K478" s="691"/>
      <c r="L478" s="691"/>
      <c r="M478" s="691"/>
      <c r="N478" s="691"/>
      <c r="O478" s="930"/>
      <c r="P478" s="909"/>
      <c r="Q478" s="931"/>
      <c r="R478" s="310"/>
      <c r="S478" s="310"/>
      <c r="T478" s="691"/>
      <c r="U478" s="691"/>
      <c r="V478" s="355"/>
      <c r="W478" s="932"/>
      <c r="X478" s="310"/>
      <c r="Y478" s="310"/>
      <c r="Z478" s="933"/>
      <c r="AA478" s="310"/>
      <c r="AB478" s="691"/>
      <c r="AC478" s="933"/>
      <c r="AD478" s="691"/>
      <c r="AE478" s="691"/>
      <c r="AF478" s="934"/>
      <c r="AG478" s="934"/>
      <c r="AH478" s="888"/>
      <c r="AI478" s="888"/>
      <c r="AJ478" s="310"/>
      <c r="AK478" s="310"/>
      <c r="AL478" s="310"/>
      <c r="AM478" s="1"/>
      <c r="AN478" s="691"/>
      <c r="AO478" s="1"/>
      <c r="AP478" s="1"/>
    </row>
    <row r="479">
      <c r="A479" s="929"/>
      <c r="B479" s="691"/>
      <c r="C479" s="310"/>
      <c r="D479" s="691"/>
      <c r="E479" s="691"/>
      <c r="F479" s="350"/>
      <c r="G479" s="355"/>
      <c r="H479" s="780"/>
      <c r="I479" s="691"/>
      <c r="J479" s="691"/>
      <c r="K479" s="691"/>
      <c r="L479" s="691"/>
      <c r="M479" s="691"/>
      <c r="N479" s="691"/>
      <c r="O479" s="930"/>
      <c r="P479" s="909"/>
      <c r="Q479" s="931"/>
      <c r="R479" s="310"/>
      <c r="S479" s="310"/>
      <c r="T479" s="691"/>
      <c r="U479" s="691"/>
      <c r="V479" s="355"/>
      <c r="W479" s="932"/>
      <c r="X479" s="310"/>
      <c r="Y479" s="310"/>
      <c r="Z479" s="933"/>
      <c r="AA479" s="310"/>
      <c r="AB479" s="691"/>
      <c r="AC479" s="933"/>
      <c r="AD479" s="691"/>
      <c r="AE479" s="691"/>
      <c r="AF479" s="934"/>
      <c r="AG479" s="934"/>
      <c r="AH479" s="888"/>
      <c r="AI479" s="888"/>
      <c r="AJ479" s="310"/>
      <c r="AK479" s="310"/>
      <c r="AL479" s="310"/>
      <c r="AM479" s="1"/>
      <c r="AN479" s="691"/>
      <c r="AO479" s="1"/>
      <c r="AP479" s="1"/>
    </row>
    <row r="480">
      <c r="A480" s="929"/>
      <c r="B480" s="691"/>
      <c r="C480" s="310"/>
      <c r="D480" s="691"/>
      <c r="E480" s="691"/>
      <c r="F480" s="350"/>
      <c r="G480" s="355"/>
      <c r="H480" s="780"/>
      <c r="I480" s="691"/>
      <c r="J480" s="691"/>
      <c r="K480" s="691"/>
      <c r="L480" s="691"/>
      <c r="M480" s="691"/>
      <c r="N480" s="691"/>
      <c r="O480" s="930"/>
      <c r="P480" s="909"/>
      <c r="Q480" s="931"/>
      <c r="R480" s="310"/>
      <c r="S480" s="310"/>
      <c r="T480" s="691"/>
      <c r="U480" s="691"/>
      <c r="V480" s="355"/>
      <c r="W480" s="932"/>
      <c r="X480" s="310"/>
      <c r="Y480" s="310"/>
      <c r="Z480" s="933"/>
      <c r="AA480" s="310"/>
      <c r="AB480" s="691"/>
      <c r="AC480" s="933"/>
      <c r="AD480" s="691"/>
      <c r="AE480" s="691"/>
      <c r="AF480" s="934"/>
      <c r="AG480" s="934"/>
      <c r="AH480" s="888"/>
      <c r="AI480" s="888"/>
      <c r="AJ480" s="310"/>
      <c r="AK480" s="310"/>
      <c r="AL480" s="310"/>
      <c r="AM480" s="1"/>
      <c r="AN480" s="691"/>
      <c r="AO480" s="1"/>
      <c r="AP480" s="1"/>
    </row>
    <row r="481">
      <c r="A481" s="929"/>
      <c r="B481" s="691"/>
      <c r="C481" s="310"/>
      <c r="D481" s="691"/>
      <c r="E481" s="691"/>
      <c r="F481" s="350"/>
      <c r="G481" s="355"/>
      <c r="H481" s="780"/>
      <c r="I481" s="691"/>
      <c r="J481" s="691"/>
      <c r="K481" s="691"/>
      <c r="L481" s="691"/>
      <c r="M481" s="691"/>
      <c r="N481" s="691"/>
      <c r="O481" s="930"/>
      <c r="P481" s="909"/>
      <c r="Q481" s="931"/>
      <c r="R481" s="310"/>
      <c r="S481" s="310"/>
      <c r="T481" s="691"/>
      <c r="U481" s="691"/>
      <c r="V481" s="355"/>
      <c r="W481" s="932"/>
      <c r="X481" s="310"/>
      <c r="Y481" s="310"/>
      <c r="Z481" s="933"/>
      <c r="AA481" s="310"/>
      <c r="AB481" s="691"/>
      <c r="AC481" s="933"/>
      <c r="AD481" s="691"/>
      <c r="AE481" s="691"/>
      <c r="AF481" s="934"/>
      <c r="AG481" s="934"/>
      <c r="AH481" s="888"/>
      <c r="AI481" s="888"/>
      <c r="AJ481" s="310"/>
      <c r="AK481" s="310"/>
      <c r="AL481" s="310"/>
      <c r="AM481" s="1"/>
      <c r="AN481" s="691"/>
      <c r="AO481" s="1"/>
      <c r="AP481" s="1"/>
    </row>
    <row r="482">
      <c r="A482" s="929"/>
      <c r="B482" s="691"/>
      <c r="C482" s="310"/>
      <c r="D482" s="691"/>
      <c r="E482" s="691"/>
      <c r="F482" s="350"/>
      <c r="G482" s="355"/>
      <c r="H482" s="780"/>
      <c r="I482" s="691"/>
      <c r="J482" s="691"/>
      <c r="K482" s="691"/>
      <c r="L482" s="691"/>
      <c r="M482" s="691"/>
      <c r="N482" s="691"/>
      <c r="O482" s="930"/>
      <c r="P482" s="909"/>
      <c r="Q482" s="931"/>
      <c r="R482" s="310"/>
      <c r="S482" s="310"/>
      <c r="T482" s="691"/>
      <c r="U482" s="691"/>
      <c r="V482" s="355"/>
      <c r="W482" s="932"/>
      <c r="X482" s="310"/>
      <c r="Y482" s="310"/>
      <c r="Z482" s="933"/>
      <c r="AA482" s="310"/>
      <c r="AB482" s="691"/>
      <c r="AC482" s="933"/>
      <c r="AD482" s="691"/>
      <c r="AE482" s="691"/>
      <c r="AF482" s="934"/>
      <c r="AG482" s="934"/>
      <c r="AH482" s="888"/>
      <c r="AI482" s="888"/>
      <c r="AJ482" s="310"/>
      <c r="AK482" s="310"/>
      <c r="AL482" s="310"/>
      <c r="AM482" s="1"/>
      <c r="AN482" s="691"/>
      <c r="AO482" s="1"/>
      <c r="AP482" s="1"/>
    </row>
    <row r="483">
      <c r="A483" s="929"/>
      <c r="B483" s="691"/>
      <c r="C483" s="310"/>
      <c r="D483" s="691"/>
      <c r="E483" s="691"/>
      <c r="F483" s="350"/>
      <c r="G483" s="355"/>
      <c r="H483" s="780"/>
      <c r="I483" s="691"/>
      <c r="J483" s="691"/>
      <c r="K483" s="691"/>
      <c r="L483" s="691"/>
      <c r="M483" s="691"/>
      <c r="N483" s="691"/>
      <c r="O483" s="930"/>
      <c r="P483" s="909"/>
      <c r="Q483" s="931"/>
      <c r="R483" s="310"/>
      <c r="S483" s="310"/>
      <c r="T483" s="691"/>
      <c r="U483" s="691"/>
      <c r="V483" s="355"/>
      <c r="W483" s="932"/>
      <c r="X483" s="310"/>
      <c r="Y483" s="310"/>
      <c r="Z483" s="933"/>
      <c r="AA483" s="310"/>
      <c r="AB483" s="691"/>
      <c r="AC483" s="933"/>
      <c r="AD483" s="691"/>
      <c r="AE483" s="691"/>
      <c r="AF483" s="934"/>
      <c r="AG483" s="934"/>
      <c r="AH483" s="888"/>
      <c r="AI483" s="888"/>
      <c r="AJ483" s="310"/>
      <c r="AK483" s="310"/>
      <c r="AL483" s="310"/>
      <c r="AM483" s="1"/>
      <c r="AN483" s="691"/>
      <c r="AO483" s="1"/>
      <c r="AP483" s="1"/>
    </row>
    <row r="484">
      <c r="A484" s="929"/>
      <c r="B484" s="691"/>
      <c r="C484" s="310"/>
      <c r="D484" s="691"/>
      <c r="E484" s="691"/>
      <c r="F484" s="350"/>
      <c r="G484" s="355"/>
      <c r="H484" s="780"/>
      <c r="I484" s="691"/>
      <c r="J484" s="691"/>
      <c r="K484" s="691"/>
      <c r="L484" s="691"/>
      <c r="M484" s="691"/>
      <c r="N484" s="691"/>
      <c r="O484" s="930"/>
      <c r="P484" s="909"/>
      <c r="Q484" s="931"/>
      <c r="R484" s="310"/>
      <c r="S484" s="310"/>
      <c r="T484" s="691"/>
      <c r="U484" s="691"/>
      <c r="V484" s="355"/>
      <c r="W484" s="932"/>
      <c r="X484" s="310"/>
      <c r="Y484" s="310"/>
      <c r="Z484" s="933"/>
      <c r="AA484" s="310"/>
      <c r="AB484" s="691"/>
      <c r="AC484" s="933"/>
      <c r="AD484" s="691"/>
      <c r="AE484" s="691"/>
      <c r="AF484" s="934"/>
      <c r="AG484" s="934"/>
      <c r="AH484" s="888"/>
      <c r="AI484" s="888"/>
      <c r="AJ484" s="310"/>
      <c r="AK484" s="310"/>
      <c r="AL484" s="310"/>
      <c r="AM484" s="1"/>
      <c r="AN484" s="691"/>
      <c r="AO484" s="1"/>
      <c r="AP484" s="1"/>
    </row>
    <row r="485">
      <c r="A485" s="929"/>
      <c r="B485" s="691"/>
      <c r="C485" s="310"/>
      <c r="D485" s="691"/>
      <c r="E485" s="691"/>
      <c r="F485" s="350"/>
      <c r="G485" s="355"/>
      <c r="H485" s="780"/>
      <c r="I485" s="691"/>
      <c r="J485" s="691"/>
      <c r="K485" s="691"/>
      <c r="L485" s="691"/>
      <c r="M485" s="691"/>
      <c r="N485" s="691"/>
      <c r="O485" s="930"/>
      <c r="P485" s="909"/>
      <c r="Q485" s="931"/>
      <c r="R485" s="310"/>
      <c r="S485" s="310"/>
      <c r="T485" s="691"/>
      <c r="U485" s="691"/>
      <c r="V485" s="355"/>
      <c r="W485" s="932"/>
      <c r="X485" s="310"/>
      <c r="Y485" s="310"/>
      <c r="Z485" s="933"/>
      <c r="AA485" s="310"/>
      <c r="AB485" s="691"/>
      <c r="AC485" s="933"/>
      <c r="AD485" s="691"/>
      <c r="AE485" s="691"/>
      <c r="AF485" s="934"/>
      <c r="AG485" s="934"/>
      <c r="AH485" s="888"/>
      <c r="AI485" s="888"/>
      <c r="AJ485" s="310"/>
      <c r="AK485" s="310"/>
      <c r="AL485" s="310"/>
      <c r="AM485" s="1"/>
      <c r="AN485" s="691"/>
      <c r="AO485" s="1"/>
      <c r="AP485" s="1"/>
    </row>
    <row r="486">
      <c r="A486" s="929"/>
      <c r="B486" s="691"/>
      <c r="C486" s="310"/>
      <c r="D486" s="691"/>
      <c r="E486" s="691"/>
      <c r="F486" s="350"/>
      <c r="G486" s="355"/>
      <c r="H486" s="780"/>
      <c r="I486" s="691"/>
      <c r="J486" s="691"/>
      <c r="K486" s="691"/>
      <c r="L486" s="691"/>
      <c r="M486" s="691"/>
      <c r="N486" s="691"/>
      <c r="O486" s="930"/>
      <c r="P486" s="909"/>
      <c r="Q486" s="931"/>
      <c r="R486" s="310"/>
      <c r="S486" s="310"/>
      <c r="T486" s="691"/>
      <c r="U486" s="691"/>
      <c r="V486" s="355"/>
      <c r="W486" s="932"/>
      <c r="X486" s="310"/>
      <c r="Y486" s="310"/>
      <c r="Z486" s="933"/>
      <c r="AA486" s="310"/>
      <c r="AB486" s="691"/>
      <c r="AC486" s="933"/>
      <c r="AD486" s="691"/>
      <c r="AE486" s="691"/>
      <c r="AF486" s="934"/>
      <c r="AG486" s="934"/>
      <c r="AH486" s="888"/>
      <c r="AI486" s="888"/>
      <c r="AJ486" s="310"/>
      <c r="AK486" s="310"/>
      <c r="AL486" s="310"/>
      <c r="AM486" s="1"/>
      <c r="AN486" s="691"/>
      <c r="AO486" s="1"/>
      <c r="AP486" s="1"/>
    </row>
    <row r="487">
      <c r="A487" s="929"/>
      <c r="B487" s="691"/>
      <c r="C487" s="310"/>
      <c r="D487" s="691"/>
      <c r="E487" s="691"/>
      <c r="F487" s="350"/>
      <c r="G487" s="355"/>
      <c r="H487" s="780"/>
      <c r="I487" s="691"/>
      <c r="J487" s="691"/>
      <c r="K487" s="691"/>
      <c r="L487" s="691"/>
      <c r="M487" s="691"/>
      <c r="N487" s="691"/>
      <c r="O487" s="930"/>
      <c r="P487" s="909"/>
      <c r="Q487" s="931"/>
      <c r="R487" s="310"/>
      <c r="S487" s="310"/>
      <c r="T487" s="691"/>
      <c r="U487" s="691"/>
      <c r="V487" s="355"/>
      <c r="W487" s="932"/>
      <c r="X487" s="310"/>
      <c r="Y487" s="310"/>
      <c r="Z487" s="933"/>
      <c r="AA487" s="310"/>
      <c r="AB487" s="691"/>
      <c r="AC487" s="933"/>
      <c r="AD487" s="691"/>
      <c r="AE487" s="691"/>
      <c r="AF487" s="934"/>
      <c r="AG487" s="934"/>
      <c r="AH487" s="888"/>
      <c r="AI487" s="888"/>
      <c r="AJ487" s="310"/>
      <c r="AK487" s="310"/>
      <c r="AL487" s="310"/>
      <c r="AM487" s="1"/>
      <c r="AN487" s="691"/>
      <c r="AO487" s="1"/>
      <c r="AP487" s="1"/>
    </row>
    <row r="488">
      <c r="A488" s="929"/>
      <c r="B488" s="691"/>
      <c r="C488" s="310"/>
      <c r="D488" s="691"/>
      <c r="E488" s="691"/>
      <c r="F488" s="350"/>
      <c r="G488" s="355"/>
      <c r="H488" s="780"/>
      <c r="I488" s="691"/>
      <c r="J488" s="691"/>
      <c r="K488" s="691"/>
      <c r="L488" s="691"/>
      <c r="M488" s="691"/>
      <c r="N488" s="691"/>
      <c r="O488" s="930"/>
      <c r="P488" s="909"/>
      <c r="Q488" s="931"/>
      <c r="R488" s="310"/>
      <c r="S488" s="310"/>
      <c r="T488" s="691"/>
      <c r="U488" s="691"/>
      <c r="V488" s="355"/>
      <c r="W488" s="932"/>
      <c r="X488" s="310"/>
      <c r="Y488" s="310"/>
      <c r="Z488" s="933"/>
      <c r="AA488" s="310"/>
      <c r="AB488" s="691"/>
      <c r="AC488" s="933"/>
      <c r="AD488" s="691"/>
      <c r="AE488" s="691"/>
      <c r="AF488" s="934"/>
      <c r="AG488" s="934"/>
      <c r="AH488" s="888"/>
      <c r="AI488" s="888"/>
      <c r="AJ488" s="310"/>
      <c r="AK488" s="310"/>
      <c r="AL488" s="310"/>
      <c r="AM488" s="1"/>
      <c r="AN488" s="691"/>
      <c r="AO488" s="1"/>
      <c r="AP488" s="1"/>
    </row>
    <row r="489">
      <c r="A489" s="929"/>
      <c r="B489" s="691"/>
      <c r="C489" s="310"/>
      <c r="D489" s="691"/>
      <c r="E489" s="691"/>
      <c r="F489" s="350"/>
      <c r="G489" s="355"/>
      <c r="H489" s="780"/>
      <c r="I489" s="691"/>
      <c r="J489" s="691"/>
      <c r="K489" s="691"/>
      <c r="L489" s="691"/>
      <c r="M489" s="691"/>
      <c r="N489" s="691"/>
      <c r="O489" s="930"/>
      <c r="P489" s="909"/>
      <c r="Q489" s="931"/>
      <c r="R489" s="310"/>
      <c r="S489" s="310"/>
      <c r="T489" s="691"/>
      <c r="U489" s="691"/>
      <c r="V489" s="355"/>
      <c r="W489" s="932"/>
      <c r="X489" s="310"/>
      <c r="Y489" s="310"/>
      <c r="Z489" s="933"/>
      <c r="AA489" s="310"/>
      <c r="AB489" s="691"/>
      <c r="AC489" s="933"/>
      <c r="AD489" s="691"/>
      <c r="AE489" s="691"/>
      <c r="AF489" s="934"/>
      <c r="AG489" s="934"/>
      <c r="AH489" s="888"/>
      <c r="AI489" s="888"/>
      <c r="AJ489" s="310"/>
      <c r="AK489" s="310"/>
      <c r="AL489" s="310"/>
      <c r="AM489" s="1"/>
      <c r="AN489" s="691"/>
      <c r="AO489" s="1"/>
      <c r="AP489" s="1"/>
    </row>
    <row r="490">
      <c r="A490" s="929"/>
      <c r="B490" s="691"/>
      <c r="C490" s="310"/>
      <c r="D490" s="691"/>
      <c r="E490" s="691"/>
      <c r="F490" s="350"/>
      <c r="G490" s="355"/>
      <c r="H490" s="780"/>
      <c r="I490" s="691"/>
      <c r="J490" s="691"/>
      <c r="K490" s="691"/>
      <c r="L490" s="691"/>
      <c r="M490" s="691"/>
      <c r="N490" s="691"/>
      <c r="O490" s="930"/>
      <c r="P490" s="909"/>
      <c r="Q490" s="931"/>
      <c r="R490" s="310"/>
      <c r="S490" s="310"/>
      <c r="T490" s="691"/>
      <c r="U490" s="691"/>
      <c r="V490" s="355"/>
      <c r="W490" s="932"/>
      <c r="X490" s="310"/>
      <c r="Y490" s="310"/>
      <c r="Z490" s="933"/>
      <c r="AA490" s="310"/>
      <c r="AB490" s="691"/>
      <c r="AC490" s="933"/>
      <c r="AD490" s="691"/>
      <c r="AE490" s="691"/>
      <c r="AF490" s="934"/>
      <c r="AG490" s="934"/>
      <c r="AH490" s="888"/>
      <c r="AI490" s="888"/>
      <c r="AJ490" s="310"/>
      <c r="AK490" s="310"/>
      <c r="AL490" s="310"/>
      <c r="AM490" s="1"/>
      <c r="AN490" s="691"/>
      <c r="AO490" s="1"/>
      <c r="AP490" s="1"/>
    </row>
    <row r="491">
      <c r="A491" s="929"/>
      <c r="B491" s="691"/>
      <c r="C491" s="310"/>
      <c r="D491" s="691"/>
      <c r="E491" s="691"/>
      <c r="F491" s="350"/>
      <c r="G491" s="355"/>
      <c r="H491" s="780"/>
      <c r="I491" s="691"/>
      <c r="J491" s="691"/>
      <c r="K491" s="691"/>
      <c r="L491" s="691"/>
      <c r="M491" s="691"/>
      <c r="N491" s="691"/>
      <c r="O491" s="930"/>
      <c r="P491" s="909"/>
      <c r="Q491" s="931"/>
      <c r="R491" s="310"/>
      <c r="S491" s="310"/>
      <c r="T491" s="691"/>
      <c r="U491" s="691"/>
      <c r="V491" s="355"/>
      <c r="W491" s="932"/>
      <c r="X491" s="310"/>
      <c r="Y491" s="310"/>
      <c r="Z491" s="933"/>
      <c r="AA491" s="310"/>
      <c r="AB491" s="691"/>
      <c r="AC491" s="933"/>
      <c r="AD491" s="691"/>
      <c r="AE491" s="691"/>
      <c r="AF491" s="934"/>
      <c r="AG491" s="934"/>
      <c r="AH491" s="888"/>
      <c r="AI491" s="888"/>
      <c r="AJ491" s="310"/>
      <c r="AK491" s="310"/>
      <c r="AL491" s="310"/>
      <c r="AM491" s="1"/>
      <c r="AN491" s="691"/>
      <c r="AO491" s="1"/>
      <c r="AP491" s="1"/>
    </row>
    <row r="492">
      <c r="A492" s="929"/>
      <c r="B492" s="691"/>
      <c r="C492" s="310"/>
      <c r="D492" s="691"/>
      <c r="E492" s="691"/>
      <c r="F492" s="350"/>
      <c r="G492" s="355"/>
      <c r="H492" s="780"/>
      <c r="I492" s="691"/>
      <c r="J492" s="691"/>
      <c r="K492" s="691"/>
      <c r="L492" s="691"/>
      <c r="M492" s="691"/>
      <c r="N492" s="691"/>
      <c r="O492" s="930"/>
      <c r="P492" s="909"/>
      <c r="Q492" s="931"/>
      <c r="R492" s="310"/>
      <c r="S492" s="310"/>
      <c r="T492" s="691"/>
      <c r="U492" s="691"/>
      <c r="V492" s="355"/>
      <c r="W492" s="932"/>
      <c r="X492" s="310"/>
      <c r="Y492" s="310"/>
      <c r="Z492" s="933"/>
      <c r="AA492" s="310"/>
      <c r="AB492" s="691"/>
      <c r="AC492" s="933"/>
      <c r="AD492" s="691"/>
      <c r="AE492" s="691"/>
      <c r="AF492" s="934"/>
      <c r="AG492" s="934"/>
      <c r="AH492" s="888"/>
      <c r="AI492" s="888"/>
      <c r="AJ492" s="310"/>
      <c r="AK492" s="310"/>
      <c r="AL492" s="310"/>
      <c r="AM492" s="1"/>
      <c r="AN492" s="691"/>
      <c r="AO492" s="1"/>
      <c r="AP492" s="1"/>
    </row>
    <row r="493">
      <c r="A493" s="929"/>
      <c r="B493" s="691"/>
      <c r="C493" s="310"/>
      <c r="D493" s="691"/>
      <c r="E493" s="691"/>
      <c r="F493" s="350"/>
      <c r="G493" s="355"/>
      <c r="H493" s="780"/>
      <c r="I493" s="691"/>
      <c r="J493" s="691"/>
      <c r="K493" s="691"/>
      <c r="L493" s="691"/>
      <c r="M493" s="691"/>
      <c r="N493" s="691"/>
      <c r="O493" s="930"/>
      <c r="P493" s="909"/>
      <c r="Q493" s="931"/>
      <c r="R493" s="310"/>
      <c r="S493" s="310"/>
      <c r="T493" s="691"/>
      <c r="U493" s="691"/>
      <c r="V493" s="355"/>
      <c r="W493" s="932"/>
      <c r="X493" s="310"/>
      <c r="Y493" s="310"/>
      <c r="Z493" s="933"/>
      <c r="AA493" s="310"/>
      <c r="AB493" s="691"/>
      <c r="AC493" s="933"/>
      <c r="AD493" s="691"/>
      <c r="AE493" s="691"/>
      <c r="AF493" s="934"/>
      <c r="AG493" s="934"/>
      <c r="AH493" s="888"/>
      <c r="AI493" s="888"/>
      <c r="AJ493" s="310"/>
      <c r="AK493" s="310"/>
      <c r="AL493" s="310"/>
      <c r="AM493" s="1"/>
      <c r="AN493" s="691"/>
      <c r="AO493" s="1"/>
      <c r="AP493" s="1"/>
    </row>
    <row r="494">
      <c r="A494" s="929"/>
      <c r="B494" s="691"/>
      <c r="C494" s="310"/>
      <c r="D494" s="691"/>
      <c r="E494" s="691"/>
      <c r="F494" s="350"/>
      <c r="G494" s="355"/>
      <c r="H494" s="780"/>
      <c r="I494" s="691"/>
      <c r="J494" s="691"/>
      <c r="K494" s="691"/>
      <c r="L494" s="691"/>
      <c r="M494" s="691"/>
      <c r="N494" s="691"/>
      <c r="O494" s="930"/>
      <c r="P494" s="909"/>
      <c r="Q494" s="931"/>
      <c r="R494" s="310"/>
      <c r="S494" s="310"/>
      <c r="T494" s="691"/>
      <c r="U494" s="691"/>
      <c r="V494" s="355"/>
      <c r="W494" s="932"/>
      <c r="X494" s="310"/>
      <c r="Y494" s="310"/>
      <c r="Z494" s="933"/>
      <c r="AA494" s="310"/>
      <c r="AB494" s="691"/>
      <c r="AC494" s="933"/>
      <c r="AD494" s="691"/>
      <c r="AE494" s="691"/>
      <c r="AF494" s="934"/>
      <c r="AG494" s="934"/>
      <c r="AH494" s="888"/>
      <c r="AI494" s="888"/>
      <c r="AJ494" s="310"/>
      <c r="AK494" s="310"/>
      <c r="AL494" s="310"/>
      <c r="AM494" s="1"/>
      <c r="AN494" s="691"/>
      <c r="AO494" s="1"/>
      <c r="AP494" s="1"/>
    </row>
    <row r="495">
      <c r="A495" s="929"/>
      <c r="B495" s="691"/>
      <c r="C495" s="310"/>
      <c r="D495" s="691"/>
      <c r="E495" s="691"/>
      <c r="F495" s="350"/>
      <c r="G495" s="355"/>
      <c r="H495" s="780"/>
      <c r="I495" s="691"/>
      <c r="J495" s="691"/>
      <c r="K495" s="691"/>
      <c r="L495" s="691"/>
      <c r="M495" s="691"/>
      <c r="N495" s="691"/>
      <c r="O495" s="930"/>
      <c r="P495" s="909"/>
      <c r="Q495" s="931"/>
      <c r="R495" s="310"/>
      <c r="S495" s="310"/>
      <c r="T495" s="691"/>
      <c r="U495" s="691"/>
      <c r="V495" s="355"/>
      <c r="W495" s="932"/>
      <c r="X495" s="310"/>
      <c r="Y495" s="310"/>
      <c r="Z495" s="933"/>
      <c r="AA495" s="310"/>
      <c r="AB495" s="691"/>
      <c r="AC495" s="933"/>
      <c r="AD495" s="691"/>
      <c r="AE495" s="691"/>
      <c r="AF495" s="934"/>
      <c r="AG495" s="934"/>
      <c r="AH495" s="888"/>
      <c r="AI495" s="888"/>
      <c r="AJ495" s="310"/>
      <c r="AK495" s="310"/>
      <c r="AL495" s="310"/>
      <c r="AM495" s="1"/>
      <c r="AN495" s="691"/>
      <c r="AO495" s="1"/>
      <c r="AP495" s="1"/>
    </row>
    <row r="496">
      <c r="A496" s="929"/>
      <c r="B496" s="691"/>
      <c r="C496" s="310"/>
      <c r="D496" s="691"/>
      <c r="E496" s="691"/>
      <c r="F496" s="350"/>
      <c r="G496" s="355"/>
      <c r="H496" s="780"/>
      <c r="I496" s="691"/>
      <c r="J496" s="691"/>
      <c r="K496" s="691"/>
      <c r="L496" s="691"/>
      <c r="M496" s="691"/>
      <c r="N496" s="691"/>
      <c r="O496" s="930"/>
      <c r="P496" s="909"/>
      <c r="Q496" s="931"/>
      <c r="R496" s="310"/>
      <c r="S496" s="310"/>
      <c r="T496" s="691"/>
      <c r="U496" s="691"/>
      <c r="V496" s="355"/>
      <c r="W496" s="932"/>
      <c r="X496" s="310"/>
      <c r="Y496" s="310"/>
      <c r="Z496" s="933"/>
      <c r="AA496" s="310"/>
      <c r="AB496" s="691"/>
      <c r="AC496" s="933"/>
      <c r="AD496" s="691"/>
      <c r="AE496" s="691"/>
      <c r="AF496" s="934"/>
      <c r="AG496" s="934"/>
      <c r="AH496" s="888"/>
      <c r="AI496" s="888"/>
      <c r="AJ496" s="310"/>
      <c r="AK496" s="310"/>
      <c r="AL496" s="310"/>
      <c r="AM496" s="1"/>
      <c r="AN496" s="691"/>
      <c r="AO496" s="1"/>
      <c r="AP496" s="1"/>
    </row>
    <row r="497">
      <c r="A497" s="929"/>
      <c r="B497" s="691"/>
      <c r="C497" s="310"/>
      <c r="D497" s="691"/>
      <c r="E497" s="691"/>
      <c r="F497" s="350"/>
      <c r="G497" s="355"/>
      <c r="H497" s="780"/>
      <c r="I497" s="691"/>
      <c r="J497" s="691"/>
      <c r="K497" s="691"/>
      <c r="L497" s="691"/>
      <c r="M497" s="691"/>
      <c r="N497" s="691"/>
      <c r="O497" s="930"/>
      <c r="P497" s="909"/>
      <c r="Q497" s="931"/>
      <c r="R497" s="310"/>
      <c r="S497" s="310"/>
      <c r="T497" s="691"/>
      <c r="U497" s="691"/>
      <c r="V497" s="355"/>
      <c r="W497" s="932"/>
      <c r="X497" s="310"/>
      <c r="Y497" s="310"/>
      <c r="Z497" s="933"/>
      <c r="AA497" s="310"/>
      <c r="AB497" s="691"/>
      <c r="AC497" s="933"/>
      <c r="AD497" s="691"/>
      <c r="AE497" s="691"/>
      <c r="AF497" s="934"/>
      <c r="AG497" s="934"/>
      <c r="AH497" s="888"/>
      <c r="AI497" s="888"/>
      <c r="AJ497" s="310"/>
      <c r="AK497" s="310"/>
      <c r="AL497" s="310"/>
      <c r="AM497" s="1"/>
      <c r="AN497" s="691"/>
      <c r="AO497" s="1"/>
      <c r="AP497" s="1"/>
    </row>
    <row r="498">
      <c r="A498" s="929"/>
      <c r="B498" s="691"/>
      <c r="C498" s="310"/>
      <c r="D498" s="691"/>
      <c r="E498" s="691"/>
      <c r="F498" s="350"/>
      <c r="G498" s="355"/>
      <c r="H498" s="780"/>
      <c r="I498" s="691"/>
      <c r="J498" s="691"/>
      <c r="K498" s="691"/>
      <c r="L498" s="691"/>
      <c r="M498" s="691"/>
      <c r="N498" s="691"/>
      <c r="O498" s="930"/>
      <c r="P498" s="909"/>
      <c r="Q498" s="931"/>
      <c r="R498" s="310"/>
      <c r="S498" s="310"/>
      <c r="T498" s="691"/>
      <c r="U498" s="691"/>
      <c r="V498" s="355"/>
      <c r="W498" s="932"/>
      <c r="X498" s="310"/>
      <c r="Y498" s="310"/>
      <c r="Z498" s="933"/>
      <c r="AA498" s="310"/>
      <c r="AB498" s="691"/>
      <c r="AC498" s="933"/>
      <c r="AD498" s="691"/>
      <c r="AE498" s="691"/>
      <c r="AF498" s="934"/>
      <c r="AG498" s="934"/>
      <c r="AH498" s="888"/>
      <c r="AI498" s="888"/>
      <c r="AJ498" s="310"/>
      <c r="AK498" s="310"/>
      <c r="AL498" s="310"/>
      <c r="AM498" s="1"/>
      <c r="AN498" s="691"/>
      <c r="AO498" s="1"/>
      <c r="AP498" s="1"/>
    </row>
    <row r="499">
      <c r="A499" s="929"/>
      <c r="B499" s="691"/>
      <c r="C499" s="310"/>
      <c r="D499" s="691"/>
      <c r="E499" s="691"/>
      <c r="F499" s="350"/>
      <c r="G499" s="355"/>
      <c r="H499" s="780"/>
      <c r="I499" s="691"/>
      <c r="J499" s="691"/>
      <c r="K499" s="691"/>
      <c r="L499" s="691"/>
      <c r="M499" s="691"/>
      <c r="N499" s="691"/>
      <c r="O499" s="930"/>
      <c r="P499" s="909"/>
      <c r="Q499" s="931"/>
      <c r="R499" s="310"/>
      <c r="S499" s="310"/>
      <c r="T499" s="691"/>
      <c r="U499" s="691"/>
      <c r="V499" s="355"/>
      <c r="W499" s="932"/>
      <c r="X499" s="310"/>
      <c r="Y499" s="310"/>
      <c r="Z499" s="933"/>
      <c r="AA499" s="310"/>
      <c r="AB499" s="691"/>
      <c r="AC499" s="933"/>
      <c r="AD499" s="691"/>
      <c r="AE499" s="691"/>
      <c r="AF499" s="934"/>
      <c r="AG499" s="934"/>
      <c r="AH499" s="888"/>
      <c r="AI499" s="888"/>
      <c r="AJ499" s="310"/>
      <c r="AK499" s="310"/>
      <c r="AL499" s="310"/>
      <c r="AM499" s="1"/>
      <c r="AN499" s="691"/>
      <c r="AO499" s="1"/>
      <c r="AP499" s="1"/>
    </row>
    <row r="500">
      <c r="A500" s="929"/>
      <c r="B500" s="691"/>
      <c r="C500" s="310"/>
      <c r="D500" s="691"/>
      <c r="E500" s="691"/>
      <c r="F500" s="350"/>
      <c r="G500" s="355"/>
      <c r="H500" s="780"/>
      <c r="I500" s="691"/>
      <c r="J500" s="691"/>
      <c r="K500" s="691"/>
      <c r="L500" s="691"/>
      <c r="M500" s="691"/>
      <c r="N500" s="691"/>
      <c r="O500" s="930"/>
      <c r="P500" s="909"/>
      <c r="Q500" s="931"/>
      <c r="R500" s="310"/>
      <c r="S500" s="310"/>
      <c r="T500" s="691"/>
      <c r="U500" s="691"/>
      <c r="V500" s="355"/>
      <c r="W500" s="932"/>
      <c r="X500" s="310"/>
      <c r="Y500" s="310"/>
      <c r="Z500" s="933"/>
      <c r="AA500" s="310"/>
      <c r="AB500" s="691"/>
      <c r="AC500" s="933"/>
      <c r="AD500" s="691"/>
      <c r="AE500" s="691"/>
      <c r="AF500" s="934"/>
      <c r="AG500" s="934"/>
      <c r="AH500" s="888"/>
      <c r="AI500" s="888"/>
      <c r="AJ500" s="310"/>
      <c r="AK500" s="310"/>
      <c r="AL500" s="310"/>
      <c r="AM500" s="1"/>
      <c r="AN500" s="691"/>
      <c r="AO500" s="1"/>
      <c r="AP500" s="1"/>
    </row>
    <row r="501">
      <c r="A501" s="929"/>
      <c r="B501" s="691"/>
      <c r="C501" s="310"/>
      <c r="D501" s="691"/>
      <c r="E501" s="691"/>
      <c r="F501" s="350"/>
      <c r="G501" s="355"/>
      <c r="H501" s="780"/>
      <c r="I501" s="691"/>
      <c r="J501" s="691"/>
      <c r="K501" s="691"/>
      <c r="L501" s="691"/>
      <c r="M501" s="691"/>
      <c r="N501" s="691"/>
      <c r="O501" s="930"/>
      <c r="P501" s="909"/>
      <c r="Q501" s="931"/>
      <c r="R501" s="310"/>
      <c r="S501" s="310"/>
      <c r="T501" s="691"/>
      <c r="U501" s="691"/>
      <c r="V501" s="355"/>
      <c r="W501" s="932"/>
      <c r="X501" s="310"/>
      <c r="Y501" s="310"/>
      <c r="Z501" s="933"/>
      <c r="AA501" s="310"/>
      <c r="AB501" s="691"/>
      <c r="AC501" s="933"/>
      <c r="AD501" s="691"/>
      <c r="AE501" s="691"/>
      <c r="AF501" s="934"/>
      <c r="AG501" s="934"/>
      <c r="AH501" s="888"/>
      <c r="AI501" s="888"/>
      <c r="AJ501" s="310"/>
      <c r="AK501" s="310"/>
      <c r="AL501" s="310"/>
      <c r="AM501" s="1"/>
      <c r="AN501" s="691"/>
      <c r="AO501" s="1"/>
      <c r="AP501" s="1"/>
    </row>
    <row r="502">
      <c r="A502" s="929"/>
      <c r="B502" s="691"/>
      <c r="C502" s="310"/>
      <c r="D502" s="691"/>
      <c r="E502" s="691"/>
      <c r="F502" s="350"/>
      <c r="G502" s="355"/>
      <c r="H502" s="780"/>
      <c r="I502" s="691"/>
      <c r="J502" s="691"/>
      <c r="K502" s="691"/>
      <c r="L502" s="691"/>
      <c r="M502" s="691"/>
      <c r="N502" s="691"/>
      <c r="O502" s="930"/>
      <c r="P502" s="909"/>
      <c r="Q502" s="931"/>
      <c r="R502" s="310"/>
      <c r="S502" s="310"/>
      <c r="T502" s="691"/>
      <c r="U502" s="691"/>
      <c r="V502" s="355"/>
      <c r="W502" s="932"/>
      <c r="X502" s="310"/>
      <c r="Y502" s="310"/>
      <c r="Z502" s="933"/>
      <c r="AA502" s="310"/>
      <c r="AB502" s="691"/>
      <c r="AC502" s="933"/>
      <c r="AD502" s="691"/>
      <c r="AE502" s="691"/>
      <c r="AF502" s="934"/>
      <c r="AG502" s="934"/>
      <c r="AH502" s="888"/>
      <c r="AI502" s="888"/>
      <c r="AJ502" s="310"/>
      <c r="AK502" s="310"/>
      <c r="AL502" s="310"/>
      <c r="AM502" s="1"/>
      <c r="AN502" s="691"/>
      <c r="AO502" s="1"/>
      <c r="AP502" s="1"/>
    </row>
    <row r="503">
      <c r="A503" s="929"/>
      <c r="B503" s="691"/>
      <c r="C503" s="310"/>
      <c r="D503" s="691"/>
      <c r="E503" s="691"/>
      <c r="F503" s="350"/>
      <c r="G503" s="355"/>
      <c r="H503" s="780"/>
      <c r="I503" s="691"/>
      <c r="J503" s="691"/>
      <c r="K503" s="691"/>
      <c r="L503" s="691"/>
      <c r="M503" s="691"/>
      <c r="N503" s="691"/>
      <c r="O503" s="930"/>
      <c r="P503" s="909"/>
      <c r="Q503" s="931"/>
      <c r="R503" s="310"/>
      <c r="S503" s="310"/>
      <c r="T503" s="691"/>
      <c r="U503" s="691"/>
      <c r="V503" s="355"/>
      <c r="W503" s="932"/>
      <c r="X503" s="310"/>
      <c r="Y503" s="310"/>
      <c r="Z503" s="933"/>
      <c r="AA503" s="310"/>
      <c r="AB503" s="691"/>
      <c r="AC503" s="933"/>
      <c r="AD503" s="691"/>
      <c r="AE503" s="691"/>
      <c r="AF503" s="934"/>
      <c r="AG503" s="934"/>
      <c r="AH503" s="888"/>
      <c r="AI503" s="888"/>
      <c r="AJ503" s="310"/>
      <c r="AK503" s="310"/>
      <c r="AL503" s="310"/>
      <c r="AM503" s="1"/>
      <c r="AN503" s="691"/>
      <c r="AO503" s="1"/>
      <c r="AP503" s="1"/>
    </row>
    <row r="504">
      <c r="A504" s="929"/>
      <c r="B504" s="691"/>
      <c r="C504" s="310"/>
      <c r="D504" s="691"/>
      <c r="E504" s="691"/>
      <c r="F504" s="350"/>
      <c r="G504" s="355"/>
      <c r="H504" s="780"/>
      <c r="I504" s="691"/>
      <c r="J504" s="691"/>
      <c r="K504" s="691"/>
      <c r="L504" s="691"/>
      <c r="M504" s="691"/>
      <c r="N504" s="691"/>
      <c r="O504" s="930"/>
      <c r="P504" s="909"/>
      <c r="Q504" s="931"/>
      <c r="R504" s="310"/>
      <c r="S504" s="310"/>
      <c r="T504" s="691"/>
      <c r="U504" s="691"/>
      <c r="V504" s="355"/>
      <c r="W504" s="932"/>
      <c r="X504" s="310"/>
      <c r="Y504" s="310"/>
      <c r="Z504" s="933"/>
      <c r="AA504" s="310"/>
      <c r="AB504" s="691"/>
      <c r="AC504" s="933"/>
      <c r="AD504" s="691"/>
      <c r="AE504" s="691"/>
      <c r="AF504" s="934"/>
      <c r="AG504" s="934"/>
      <c r="AH504" s="888"/>
      <c r="AI504" s="888"/>
      <c r="AJ504" s="310"/>
      <c r="AK504" s="310"/>
      <c r="AL504" s="310"/>
      <c r="AM504" s="1"/>
      <c r="AN504" s="691"/>
      <c r="AO504" s="1"/>
      <c r="AP504" s="1"/>
    </row>
    <row r="505">
      <c r="A505" s="929"/>
      <c r="B505" s="691"/>
      <c r="C505" s="310"/>
      <c r="D505" s="691"/>
      <c r="E505" s="691"/>
      <c r="F505" s="350"/>
      <c r="G505" s="355"/>
      <c r="H505" s="780"/>
      <c r="I505" s="691"/>
      <c r="J505" s="691"/>
      <c r="K505" s="691"/>
      <c r="L505" s="691"/>
      <c r="M505" s="691"/>
      <c r="N505" s="691"/>
      <c r="O505" s="930"/>
      <c r="P505" s="909"/>
      <c r="Q505" s="931"/>
      <c r="R505" s="310"/>
      <c r="S505" s="310"/>
      <c r="T505" s="691"/>
      <c r="U505" s="691"/>
      <c r="V505" s="355"/>
      <c r="W505" s="932"/>
      <c r="X505" s="310"/>
      <c r="Y505" s="310"/>
      <c r="Z505" s="933"/>
      <c r="AA505" s="310"/>
      <c r="AB505" s="691"/>
      <c r="AC505" s="933"/>
      <c r="AD505" s="691"/>
      <c r="AE505" s="691"/>
      <c r="AF505" s="934"/>
      <c r="AG505" s="934"/>
      <c r="AH505" s="888"/>
      <c r="AI505" s="888"/>
      <c r="AJ505" s="310"/>
      <c r="AK505" s="310"/>
      <c r="AL505" s="310"/>
      <c r="AM505" s="1"/>
      <c r="AN505" s="691"/>
      <c r="AO505" s="1"/>
      <c r="AP505" s="1"/>
    </row>
    <row r="506">
      <c r="A506" s="929"/>
      <c r="B506" s="691"/>
      <c r="C506" s="310"/>
      <c r="D506" s="691"/>
      <c r="E506" s="691"/>
      <c r="F506" s="350"/>
      <c r="G506" s="355"/>
      <c r="H506" s="780"/>
      <c r="I506" s="691"/>
      <c r="J506" s="691"/>
      <c r="K506" s="691"/>
      <c r="L506" s="691"/>
      <c r="M506" s="691"/>
      <c r="N506" s="691"/>
      <c r="O506" s="930"/>
      <c r="P506" s="909"/>
      <c r="Q506" s="931"/>
      <c r="R506" s="310"/>
      <c r="S506" s="310"/>
      <c r="T506" s="691"/>
      <c r="U506" s="691"/>
      <c r="V506" s="355"/>
      <c r="W506" s="932"/>
      <c r="X506" s="310"/>
      <c r="Y506" s="310"/>
      <c r="Z506" s="933"/>
      <c r="AA506" s="310"/>
      <c r="AB506" s="691"/>
      <c r="AC506" s="933"/>
      <c r="AD506" s="691"/>
      <c r="AE506" s="691"/>
      <c r="AF506" s="934"/>
      <c r="AG506" s="934"/>
      <c r="AH506" s="888"/>
      <c r="AI506" s="888"/>
      <c r="AJ506" s="310"/>
      <c r="AK506" s="310"/>
      <c r="AL506" s="310"/>
      <c r="AM506" s="1"/>
      <c r="AN506" s="691"/>
      <c r="AO506" s="1"/>
      <c r="AP506" s="1"/>
    </row>
    <row r="507">
      <c r="A507" s="929"/>
      <c r="B507" s="691"/>
      <c r="C507" s="310"/>
      <c r="D507" s="691"/>
      <c r="E507" s="691"/>
      <c r="F507" s="350"/>
      <c r="G507" s="355"/>
      <c r="H507" s="780"/>
      <c r="I507" s="691"/>
      <c r="J507" s="691"/>
      <c r="K507" s="691"/>
      <c r="L507" s="691"/>
      <c r="M507" s="691"/>
      <c r="N507" s="691"/>
      <c r="O507" s="930"/>
      <c r="P507" s="909"/>
      <c r="Q507" s="931"/>
      <c r="R507" s="310"/>
      <c r="S507" s="310"/>
      <c r="T507" s="691"/>
      <c r="U507" s="691"/>
      <c r="V507" s="355"/>
      <c r="W507" s="932"/>
      <c r="X507" s="310"/>
      <c r="Y507" s="310"/>
      <c r="Z507" s="933"/>
      <c r="AA507" s="310"/>
      <c r="AB507" s="691"/>
      <c r="AC507" s="933"/>
      <c r="AD507" s="691"/>
      <c r="AE507" s="691"/>
      <c r="AF507" s="934"/>
      <c r="AG507" s="934"/>
      <c r="AH507" s="888"/>
      <c r="AI507" s="888"/>
      <c r="AJ507" s="310"/>
      <c r="AK507" s="310"/>
      <c r="AL507" s="310"/>
      <c r="AM507" s="1"/>
      <c r="AN507" s="691"/>
      <c r="AO507" s="1"/>
      <c r="AP507" s="1"/>
    </row>
    <row r="508">
      <c r="A508" s="929"/>
      <c r="B508" s="691"/>
      <c r="C508" s="310"/>
      <c r="D508" s="691"/>
      <c r="E508" s="691"/>
      <c r="F508" s="350"/>
      <c r="G508" s="355"/>
      <c r="H508" s="780"/>
      <c r="I508" s="691"/>
      <c r="J508" s="691"/>
      <c r="K508" s="691"/>
      <c r="L508" s="691"/>
      <c r="M508" s="691"/>
      <c r="N508" s="691"/>
      <c r="O508" s="930"/>
      <c r="P508" s="909"/>
      <c r="Q508" s="931"/>
      <c r="R508" s="310"/>
      <c r="S508" s="310"/>
      <c r="T508" s="691"/>
      <c r="U508" s="691"/>
      <c r="V508" s="355"/>
      <c r="W508" s="932"/>
      <c r="X508" s="310"/>
      <c r="Y508" s="310"/>
      <c r="Z508" s="933"/>
      <c r="AA508" s="310"/>
      <c r="AB508" s="691"/>
      <c r="AC508" s="933"/>
      <c r="AD508" s="691"/>
      <c r="AE508" s="691"/>
      <c r="AF508" s="934"/>
      <c r="AG508" s="934"/>
      <c r="AH508" s="888"/>
      <c r="AI508" s="888"/>
      <c r="AJ508" s="310"/>
      <c r="AK508" s="310"/>
      <c r="AL508" s="310"/>
      <c r="AM508" s="1"/>
      <c r="AN508" s="691"/>
      <c r="AO508" s="1"/>
      <c r="AP508" s="1"/>
    </row>
    <row r="509">
      <c r="A509" s="929"/>
      <c r="B509" s="691"/>
      <c r="C509" s="310"/>
      <c r="D509" s="691"/>
      <c r="E509" s="691"/>
      <c r="F509" s="350"/>
      <c r="G509" s="355"/>
      <c r="H509" s="780"/>
      <c r="I509" s="691"/>
      <c r="J509" s="691"/>
      <c r="K509" s="691"/>
      <c r="L509" s="691"/>
      <c r="M509" s="691"/>
      <c r="N509" s="691"/>
      <c r="O509" s="930"/>
      <c r="P509" s="909"/>
      <c r="Q509" s="931"/>
      <c r="R509" s="310"/>
      <c r="S509" s="310"/>
      <c r="T509" s="691"/>
      <c r="U509" s="691"/>
      <c r="V509" s="355"/>
      <c r="W509" s="932"/>
      <c r="X509" s="310"/>
      <c r="Y509" s="310"/>
      <c r="Z509" s="933"/>
      <c r="AA509" s="310"/>
      <c r="AB509" s="691"/>
      <c r="AC509" s="933"/>
      <c r="AD509" s="691"/>
      <c r="AE509" s="691"/>
      <c r="AF509" s="934"/>
      <c r="AG509" s="934"/>
      <c r="AH509" s="888"/>
      <c r="AI509" s="888"/>
      <c r="AJ509" s="310"/>
      <c r="AK509" s="310"/>
      <c r="AL509" s="310"/>
      <c r="AM509" s="1"/>
      <c r="AN509" s="691"/>
      <c r="AO509" s="1"/>
      <c r="AP509" s="1"/>
    </row>
    <row r="510">
      <c r="A510" s="929"/>
      <c r="B510" s="691"/>
      <c r="C510" s="310"/>
      <c r="D510" s="691"/>
      <c r="E510" s="691"/>
      <c r="F510" s="350"/>
      <c r="G510" s="355"/>
      <c r="H510" s="780"/>
      <c r="I510" s="691"/>
      <c r="J510" s="691"/>
      <c r="K510" s="691"/>
      <c r="L510" s="691"/>
      <c r="M510" s="691"/>
      <c r="N510" s="691"/>
      <c r="O510" s="930"/>
      <c r="P510" s="909"/>
      <c r="Q510" s="931"/>
      <c r="R510" s="310"/>
      <c r="S510" s="310"/>
      <c r="T510" s="691"/>
      <c r="U510" s="691"/>
      <c r="V510" s="355"/>
      <c r="W510" s="932"/>
      <c r="X510" s="310"/>
      <c r="Y510" s="310"/>
      <c r="Z510" s="933"/>
      <c r="AA510" s="310"/>
      <c r="AB510" s="691"/>
      <c r="AC510" s="933"/>
      <c r="AD510" s="691"/>
      <c r="AE510" s="691"/>
      <c r="AF510" s="934"/>
      <c r="AG510" s="934"/>
      <c r="AH510" s="888"/>
      <c r="AI510" s="888"/>
      <c r="AJ510" s="310"/>
      <c r="AK510" s="310"/>
      <c r="AL510" s="310"/>
      <c r="AM510" s="1"/>
      <c r="AN510" s="691"/>
      <c r="AO510" s="1"/>
      <c r="AP510" s="1"/>
    </row>
    <row r="511">
      <c r="A511" s="929"/>
      <c r="B511" s="691"/>
      <c r="C511" s="310"/>
      <c r="D511" s="691"/>
      <c r="E511" s="691"/>
      <c r="F511" s="350"/>
      <c r="G511" s="355"/>
      <c r="H511" s="780"/>
      <c r="I511" s="691"/>
      <c r="J511" s="691"/>
      <c r="K511" s="691"/>
      <c r="L511" s="691"/>
      <c r="M511" s="691"/>
      <c r="N511" s="691"/>
      <c r="O511" s="930"/>
      <c r="P511" s="909"/>
      <c r="Q511" s="931"/>
      <c r="R511" s="310"/>
      <c r="S511" s="310"/>
      <c r="T511" s="691"/>
      <c r="U511" s="691"/>
      <c r="V511" s="355"/>
      <c r="W511" s="932"/>
      <c r="X511" s="310"/>
      <c r="Y511" s="310"/>
      <c r="Z511" s="933"/>
      <c r="AA511" s="310"/>
      <c r="AB511" s="691"/>
      <c r="AC511" s="933"/>
      <c r="AD511" s="691"/>
      <c r="AE511" s="691"/>
      <c r="AF511" s="934"/>
      <c r="AG511" s="934"/>
      <c r="AH511" s="888"/>
      <c r="AI511" s="888"/>
      <c r="AJ511" s="310"/>
      <c r="AK511" s="310"/>
      <c r="AL511" s="310"/>
      <c r="AM511" s="1"/>
      <c r="AN511" s="691"/>
      <c r="AO511" s="1"/>
      <c r="AP511" s="1"/>
    </row>
    <row r="512">
      <c r="A512" s="929"/>
      <c r="B512" s="691"/>
      <c r="C512" s="310"/>
      <c r="D512" s="691"/>
      <c r="E512" s="691"/>
      <c r="F512" s="350"/>
      <c r="G512" s="355"/>
      <c r="H512" s="780"/>
      <c r="I512" s="691"/>
      <c r="J512" s="691"/>
      <c r="K512" s="691"/>
      <c r="L512" s="691"/>
      <c r="M512" s="691"/>
      <c r="N512" s="691"/>
      <c r="O512" s="930"/>
      <c r="P512" s="909"/>
      <c r="Q512" s="931"/>
      <c r="R512" s="310"/>
      <c r="S512" s="310"/>
      <c r="T512" s="691"/>
      <c r="U512" s="691"/>
      <c r="V512" s="355"/>
      <c r="W512" s="932"/>
      <c r="X512" s="310"/>
      <c r="Y512" s="310"/>
      <c r="Z512" s="933"/>
      <c r="AA512" s="310"/>
      <c r="AB512" s="691"/>
      <c r="AC512" s="933"/>
      <c r="AD512" s="691"/>
      <c r="AE512" s="691"/>
      <c r="AF512" s="934"/>
      <c r="AG512" s="934"/>
      <c r="AH512" s="888"/>
      <c r="AI512" s="888"/>
      <c r="AJ512" s="310"/>
      <c r="AK512" s="310"/>
      <c r="AL512" s="310"/>
      <c r="AM512" s="1"/>
      <c r="AN512" s="691"/>
      <c r="AO512" s="1"/>
      <c r="AP512" s="1"/>
    </row>
    <row r="513">
      <c r="A513" s="929"/>
      <c r="B513" s="691"/>
      <c r="C513" s="310"/>
      <c r="D513" s="691"/>
      <c r="E513" s="691"/>
      <c r="F513" s="350"/>
      <c r="G513" s="355"/>
      <c r="H513" s="780"/>
      <c r="I513" s="691"/>
      <c r="J513" s="691"/>
      <c r="K513" s="691"/>
      <c r="L513" s="691"/>
      <c r="M513" s="691"/>
      <c r="N513" s="691"/>
      <c r="O513" s="930"/>
      <c r="P513" s="909"/>
      <c r="Q513" s="931"/>
      <c r="R513" s="310"/>
      <c r="S513" s="310"/>
      <c r="T513" s="691"/>
      <c r="U513" s="691"/>
      <c r="V513" s="355"/>
      <c r="W513" s="932"/>
      <c r="X513" s="310"/>
      <c r="Y513" s="310"/>
      <c r="Z513" s="933"/>
      <c r="AA513" s="310"/>
      <c r="AB513" s="691"/>
      <c r="AC513" s="933"/>
      <c r="AD513" s="691"/>
      <c r="AE513" s="691"/>
      <c r="AF513" s="934"/>
      <c r="AG513" s="934"/>
      <c r="AH513" s="888"/>
      <c r="AI513" s="888"/>
      <c r="AJ513" s="310"/>
      <c r="AK513" s="310"/>
      <c r="AL513" s="310"/>
      <c r="AM513" s="1"/>
      <c r="AN513" s="691"/>
      <c r="AO513" s="1"/>
      <c r="AP513" s="1"/>
    </row>
    <row r="514">
      <c r="A514" s="929"/>
      <c r="B514" s="691"/>
      <c r="C514" s="310"/>
      <c r="D514" s="691"/>
      <c r="E514" s="691"/>
      <c r="F514" s="350"/>
      <c r="G514" s="355"/>
      <c r="H514" s="780"/>
      <c r="I514" s="691"/>
      <c r="J514" s="691"/>
      <c r="K514" s="691"/>
      <c r="L514" s="691"/>
      <c r="M514" s="691"/>
      <c r="N514" s="691"/>
      <c r="O514" s="930"/>
      <c r="P514" s="909"/>
      <c r="Q514" s="931"/>
      <c r="R514" s="310"/>
      <c r="S514" s="310"/>
      <c r="T514" s="691"/>
      <c r="U514" s="691"/>
      <c r="V514" s="355"/>
      <c r="W514" s="932"/>
      <c r="X514" s="310"/>
      <c r="Y514" s="310"/>
      <c r="Z514" s="933"/>
      <c r="AA514" s="310"/>
      <c r="AB514" s="691"/>
      <c r="AC514" s="933"/>
      <c r="AD514" s="691"/>
      <c r="AE514" s="691"/>
      <c r="AF514" s="934"/>
      <c r="AG514" s="934"/>
      <c r="AH514" s="888"/>
      <c r="AI514" s="888"/>
      <c r="AJ514" s="310"/>
      <c r="AK514" s="310"/>
      <c r="AL514" s="310"/>
      <c r="AM514" s="1"/>
      <c r="AN514" s="691"/>
      <c r="AO514" s="1"/>
      <c r="AP514" s="1"/>
    </row>
    <row r="515">
      <c r="A515" s="929"/>
      <c r="B515" s="691"/>
      <c r="C515" s="310"/>
      <c r="D515" s="691"/>
      <c r="E515" s="691"/>
      <c r="F515" s="350"/>
      <c r="G515" s="355"/>
      <c r="H515" s="780"/>
      <c r="I515" s="691"/>
      <c r="J515" s="691"/>
      <c r="K515" s="691"/>
      <c r="L515" s="691"/>
      <c r="M515" s="691"/>
      <c r="N515" s="691"/>
      <c r="O515" s="930"/>
      <c r="P515" s="909"/>
      <c r="Q515" s="931"/>
      <c r="R515" s="310"/>
      <c r="S515" s="310"/>
      <c r="T515" s="691"/>
      <c r="U515" s="691"/>
      <c r="V515" s="355"/>
      <c r="W515" s="932"/>
      <c r="X515" s="310"/>
      <c r="Y515" s="310"/>
      <c r="Z515" s="933"/>
      <c r="AA515" s="310"/>
      <c r="AB515" s="691"/>
      <c r="AC515" s="933"/>
      <c r="AD515" s="691"/>
      <c r="AE515" s="691"/>
      <c r="AF515" s="934"/>
      <c r="AG515" s="934"/>
      <c r="AH515" s="888"/>
      <c r="AI515" s="888"/>
      <c r="AJ515" s="310"/>
      <c r="AK515" s="310"/>
      <c r="AL515" s="310"/>
      <c r="AM515" s="1"/>
      <c r="AN515" s="691"/>
      <c r="AO515" s="1"/>
      <c r="AP515" s="1"/>
    </row>
    <row r="516">
      <c r="A516" s="929"/>
      <c r="B516" s="691"/>
      <c r="C516" s="310"/>
      <c r="D516" s="691"/>
      <c r="E516" s="691"/>
      <c r="F516" s="350"/>
      <c r="G516" s="355"/>
      <c r="H516" s="780"/>
      <c r="I516" s="691"/>
      <c r="J516" s="691"/>
      <c r="K516" s="691"/>
      <c r="L516" s="691"/>
      <c r="M516" s="691"/>
      <c r="N516" s="691"/>
      <c r="O516" s="930"/>
      <c r="P516" s="909"/>
      <c r="Q516" s="931"/>
      <c r="R516" s="310"/>
      <c r="S516" s="310"/>
      <c r="T516" s="691"/>
      <c r="U516" s="691"/>
      <c r="V516" s="355"/>
      <c r="W516" s="932"/>
      <c r="X516" s="310"/>
      <c r="Y516" s="310"/>
      <c r="Z516" s="933"/>
      <c r="AA516" s="310"/>
      <c r="AB516" s="691"/>
      <c r="AC516" s="933"/>
      <c r="AD516" s="691"/>
      <c r="AE516" s="691"/>
      <c r="AF516" s="934"/>
      <c r="AG516" s="934"/>
      <c r="AH516" s="888"/>
      <c r="AI516" s="888"/>
      <c r="AJ516" s="310"/>
      <c r="AK516" s="310"/>
      <c r="AL516" s="310"/>
      <c r="AM516" s="1"/>
      <c r="AN516" s="691"/>
      <c r="AO516" s="1"/>
      <c r="AP516" s="1"/>
    </row>
    <row r="517">
      <c r="A517" s="929"/>
      <c r="B517" s="691"/>
      <c r="C517" s="310"/>
      <c r="D517" s="691"/>
      <c r="E517" s="691"/>
      <c r="F517" s="350"/>
      <c r="G517" s="355"/>
      <c r="H517" s="780"/>
      <c r="I517" s="691"/>
      <c r="J517" s="691"/>
      <c r="K517" s="691"/>
      <c r="L517" s="691"/>
      <c r="M517" s="691"/>
      <c r="N517" s="691"/>
      <c r="O517" s="930"/>
      <c r="P517" s="909"/>
      <c r="Q517" s="931"/>
      <c r="R517" s="310"/>
      <c r="S517" s="310"/>
      <c r="T517" s="691"/>
      <c r="U517" s="691"/>
      <c r="V517" s="355"/>
      <c r="W517" s="932"/>
      <c r="X517" s="310"/>
      <c r="Y517" s="310"/>
      <c r="Z517" s="933"/>
      <c r="AA517" s="310"/>
      <c r="AB517" s="691"/>
      <c r="AC517" s="933"/>
      <c r="AD517" s="691"/>
      <c r="AE517" s="691"/>
      <c r="AF517" s="934"/>
      <c r="AG517" s="934"/>
      <c r="AH517" s="888"/>
      <c r="AI517" s="888"/>
      <c r="AJ517" s="310"/>
      <c r="AK517" s="310"/>
      <c r="AL517" s="310"/>
      <c r="AM517" s="1"/>
      <c r="AN517" s="691"/>
      <c r="AO517" s="1"/>
      <c r="AP517" s="1"/>
    </row>
    <row r="518">
      <c r="A518" s="929"/>
      <c r="B518" s="691"/>
      <c r="C518" s="310"/>
      <c r="D518" s="691"/>
      <c r="E518" s="691"/>
      <c r="F518" s="350"/>
      <c r="G518" s="355"/>
      <c r="H518" s="780"/>
      <c r="I518" s="691"/>
      <c r="J518" s="691"/>
      <c r="K518" s="691"/>
      <c r="L518" s="691"/>
      <c r="M518" s="691"/>
      <c r="N518" s="691"/>
      <c r="O518" s="930"/>
      <c r="P518" s="909"/>
      <c r="Q518" s="931"/>
      <c r="R518" s="310"/>
      <c r="S518" s="310"/>
      <c r="T518" s="691"/>
      <c r="U518" s="691"/>
      <c r="V518" s="355"/>
      <c r="W518" s="932"/>
      <c r="X518" s="310"/>
      <c r="Y518" s="310"/>
      <c r="Z518" s="933"/>
      <c r="AA518" s="310"/>
      <c r="AB518" s="691"/>
      <c r="AC518" s="933"/>
      <c r="AD518" s="691"/>
      <c r="AE518" s="691"/>
      <c r="AF518" s="934"/>
      <c r="AG518" s="934"/>
      <c r="AH518" s="888"/>
      <c r="AI518" s="888"/>
      <c r="AJ518" s="310"/>
      <c r="AK518" s="310"/>
      <c r="AL518" s="310"/>
      <c r="AM518" s="1"/>
      <c r="AN518" s="691"/>
      <c r="AO518" s="1"/>
      <c r="AP518" s="1"/>
    </row>
    <row r="519">
      <c r="A519" s="929"/>
      <c r="B519" s="691"/>
      <c r="C519" s="310"/>
      <c r="D519" s="691"/>
      <c r="E519" s="691"/>
      <c r="F519" s="350"/>
      <c r="G519" s="355"/>
      <c r="H519" s="780"/>
      <c r="I519" s="691"/>
      <c r="J519" s="691"/>
      <c r="K519" s="691"/>
      <c r="L519" s="691"/>
      <c r="M519" s="691"/>
      <c r="N519" s="691"/>
      <c r="O519" s="930"/>
      <c r="P519" s="909"/>
      <c r="Q519" s="931"/>
      <c r="R519" s="310"/>
      <c r="S519" s="310"/>
      <c r="T519" s="691"/>
      <c r="U519" s="691"/>
      <c r="V519" s="355"/>
      <c r="W519" s="932"/>
      <c r="X519" s="310"/>
      <c r="Y519" s="310"/>
      <c r="Z519" s="933"/>
      <c r="AA519" s="310"/>
      <c r="AB519" s="691"/>
      <c r="AC519" s="933"/>
      <c r="AD519" s="691"/>
      <c r="AE519" s="691"/>
      <c r="AF519" s="934"/>
      <c r="AG519" s="934"/>
      <c r="AH519" s="888"/>
      <c r="AI519" s="888"/>
      <c r="AJ519" s="310"/>
      <c r="AK519" s="310"/>
      <c r="AL519" s="310"/>
      <c r="AM519" s="1"/>
      <c r="AN519" s="691"/>
      <c r="AO519" s="1"/>
      <c r="AP519" s="1"/>
    </row>
    <row r="520">
      <c r="A520" s="929"/>
      <c r="B520" s="691"/>
      <c r="C520" s="310"/>
      <c r="D520" s="691"/>
      <c r="E520" s="691"/>
      <c r="F520" s="350"/>
      <c r="G520" s="355"/>
      <c r="H520" s="780"/>
      <c r="I520" s="691"/>
      <c r="J520" s="691"/>
      <c r="K520" s="691"/>
      <c r="L520" s="691"/>
      <c r="M520" s="691"/>
      <c r="N520" s="691"/>
      <c r="O520" s="930"/>
      <c r="P520" s="909"/>
      <c r="Q520" s="931"/>
      <c r="R520" s="310"/>
      <c r="S520" s="310"/>
      <c r="T520" s="691"/>
      <c r="U520" s="691"/>
      <c r="V520" s="355"/>
      <c r="W520" s="932"/>
      <c r="X520" s="310"/>
      <c r="Y520" s="310"/>
      <c r="Z520" s="933"/>
      <c r="AA520" s="310"/>
      <c r="AB520" s="691"/>
      <c r="AC520" s="933"/>
      <c r="AD520" s="691"/>
      <c r="AE520" s="691"/>
      <c r="AF520" s="934"/>
      <c r="AG520" s="934"/>
      <c r="AH520" s="888"/>
      <c r="AI520" s="888"/>
      <c r="AJ520" s="310"/>
      <c r="AK520" s="310"/>
      <c r="AL520" s="310"/>
      <c r="AM520" s="1"/>
      <c r="AN520" s="691"/>
      <c r="AO520" s="1"/>
      <c r="AP520" s="1"/>
    </row>
    <row r="521">
      <c r="A521" s="929"/>
      <c r="B521" s="691"/>
      <c r="C521" s="310"/>
      <c r="D521" s="691"/>
      <c r="E521" s="691"/>
      <c r="F521" s="350"/>
      <c r="G521" s="355"/>
      <c r="H521" s="780"/>
      <c r="I521" s="691"/>
      <c r="J521" s="691"/>
      <c r="K521" s="691"/>
      <c r="L521" s="691"/>
      <c r="M521" s="691"/>
      <c r="N521" s="691"/>
      <c r="O521" s="930"/>
      <c r="P521" s="909"/>
      <c r="Q521" s="931"/>
      <c r="R521" s="310"/>
      <c r="S521" s="310"/>
      <c r="T521" s="691"/>
      <c r="U521" s="691"/>
      <c r="V521" s="355"/>
      <c r="W521" s="932"/>
      <c r="X521" s="310"/>
      <c r="Y521" s="310"/>
      <c r="Z521" s="933"/>
      <c r="AA521" s="310"/>
      <c r="AB521" s="691"/>
      <c r="AC521" s="933"/>
      <c r="AD521" s="691"/>
      <c r="AE521" s="691"/>
      <c r="AF521" s="934"/>
      <c r="AG521" s="934"/>
      <c r="AH521" s="888"/>
      <c r="AI521" s="888"/>
      <c r="AJ521" s="310"/>
      <c r="AK521" s="310"/>
      <c r="AL521" s="310"/>
      <c r="AM521" s="1"/>
      <c r="AN521" s="691"/>
      <c r="AO521" s="1"/>
      <c r="AP521" s="1"/>
    </row>
    <row r="522">
      <c r="A522" s="929"/>
      <c r="B522" s="691"/>
      <c r="C522" s="310"/>
      <c r="D522" s="691"/>
      <c r="E522" s="691"/>
      <c r="F522" s="350"/>
      <c r="G522" s="355"/>
      <c r="H522" s="780"/>
      <c r="I522" s="691"/>
      <c r="J522" s="691"/>
      <c r="K522" s="691"/>
      <c r="L522" s="691"/>
      <c r="M522" s="691"/>
      <c r="N522" s="691"/>
      <c r="O522" s="930"/>
      <c r="P522" s="909"/>
      <c r="Q522" s="931"/>
      <c r="R522" s="310"/>
      <c r="S522" s="310"/>
      <c r="T522" s="691"/>
      <c r="U522" s="691"/>
      <c r="V522" s="355"/>
      <c r="W522" s="932"/>
      <c r="X522" s="310"/>
      <c r="Y522" s="310"/>
      <c r="Z522" s="933"/>
      <c r="AA522" s="310"/>
      <c r="AB522" s="691"/>
      <c r="AC522" s="933"/>
      <c r="AD522" s="691"/>
      <c r="AE522" s="691"/>
      <c r="AF522" s="934"/>
      <c r="AG522" s="934"/>
      <c r="AH522" s="888"/>
      <c r="AI522" s="888"/>
      <c r="AJ522" s="310"/>
      <c r="AK522" s="310"/>
      <c r="AL522" s="310"/>
      <c r="AM522" s="1"/>
      <c r="AN522" s="691"/>
      <c r="AO522" s="1"/>
      <c r="AP522" s="1"/>
    </row>
    <row r="523">
      <c r="A523" s="929"/>
      <c r="B523" s="691"/>
      <c r="C523" s="310"/>
      <c r="D523" s="691"/>
      <c r="E523" s="691"/>
      <c r="F523" s="350"/>
      <c r="G523" s="355"/>
      <c r="H523" s="780"/>
      <c r="I523" s="691"/>
      <c r="J523" s="691"/>
      <c r="K523" s="691"/>
      <c r="L523" s="691"/>
      <c r="M523" s="691"/>
      <c r="N523" s="691"/>
      <c r="O523" s="930"/>
      <c r="P523" s="909"/>
      <c r="Q523" s="931"/>
      <c r="R523" s="310"/>
      <c r="S523" s="310"/>
      <c r="T523" s="691"/>
      <c r="U523" s="691"/>
      <c r="V523" s="355"/>
      <c r="W523" s="932"/>
      <c r="X523" s="310"/>
      <c r="Y523" s="310"/>
      <c r="Z523" s="933"/>
      <c r="AA523" s="310"/>
      <c r="AB523" s="691"/>
      <c r="AC523" s="933"/>
      <c r="AD523" s="691"/>
      <c r="AE523" s="691"/>
      <c r="AF523" s="934"/>
      <c r="AG523" s="934"/>
      <c r="AH523" s="888"/>
      <c r="AI523" s="888"/>
      <c r="AJ523" s="310"/>
      <c r="AK523" s="310"/>
      <c r="AL523" s="310"/>
      <c r="AM523" s="1"/>
      <c r="AN523" s="691"/>
      <c r="AO523" s="1"/>
      <c r="AP523" s="1"/>
    </row>
    <row r="524">
      <c r="A524" s="929"/>
      <c r="B524" s="691"/>
      <c r="C524" s="310"/>
      <c r="D524" s="691"/>
      <c r="E524" s="691"/>
      <c r="F524" s="350"/>
      <c r="G524" s="355"/>
      <c r="H524" s="780"/>
      <c r="I524" s="691"/>
      <c r="J524" s="691"/>
      <c r="K524" s="691"/>
      <c r="L524" s="691"/>
      <c r="M524" s="691"/>
      <c r="N524" s="691"/>
      <c r="O524" s="930"/>
      <c r="P524" s="909"/>
      <c r="Q524" s="931"/>
      <c r="R524" s="310"/>
      <c r="S524" s="310"/>
      <c r="T524" s="691"/>
      <c r="U524" s="691"/>
      <c r="V524" s="355"/>
      <c r="W524" s="932"/>
      <c r="X524" s="310"/>
      <c r="Y524" s="310"/>
      <c r="Z524" s="933"/>
      <c r="AA524" s="310"/>
      <c r="AB524" s="691"/>
      <c r="AC524" s="933"/>
      <c r="AD524" s="691"/>
      <c r="AE524" s="691"/>
      <c r="AF524" s="934"/>
      <c r="AG524" s="934"/>
      <c r="AH524" s="888"/>
      <c r="AI524" s="888"/>
      <c r="AJ524" s="310"/>
      <c r="AK524" s="310"/>
      <c r="AL524" s="310"/>
      <c r="AM524" s="1"/>
      <c r="AN524" s="691"/>
      <c r="AO524" s="1"/>
      <c r="AP524" s="1"/>
    </row>
    <row r="525">
      <c r="A525" s="929"/>
      <c r="B525" s="691"/>
      <c r="C525" s="310"/>
      <c r="D525" s="691"/>
      <c r="E525" s="691"/>
      <c r="F525" s="350"/>
      <c r="G525" s="355"/>
      <c r="H525" s="780"/>
      <c r="I525" s="691"/>
      <c r="J525" s="691"/>
      <c r="K525" s="691"/>
      <c r="L525" s="691"/>
      <c r="M525" s="691"/>
      <c r="N525" s="691"/>
      <c r="O525" s="930"/>
      <c r="P525" s="909"/>
      <c r="Q525" s="931"/>
      <c r="R525" s="310"/>
      <c r="S525" s="310"/>
      <c r="T525" s="691"/>
      <c r="U525" s="691"/>
      <c r="V525" s="355"/>
      <c r="W525" s="932"/>
      <c r="X525" s="310"/>
      <c r="Y525" s="310"/>
      <c r="Z525" s="933"/>
      <c r="AA525" s="310"/>
      <c r="AB525" s="691"/>
      <c r="AC525" s="933"/>
      <c r="AD525" s="691"/>
      <c r="AE525" s="691"/>
      <c r="AF525" s="934"/>
      <c r="AG525" s="934"/>
      <c r="AH525" s="888"/>
      <c r="AI525" s="888"/>
      <c r="AJ525" s="310"/>
      <c r="AK525" s="310"/>
      <c r="AL525" s="310"/>
      <c r="AM525" s="1"/>
      <c r="AN525" s="691"/>
      <c r="AO525" s="1"/>
      <c r="AP525" s="1"/>
    </row>
    <row r="526">
      <c r="A526" s="929"/>
      <c r="B526" s="691"/>
      <c r="C526" s="310"/>
      <c r="D526" s="691"/>
      <c r="E526" s="691"/>
      <c r="F526" s="350"/>
      <c r="G526" s="355"/>
      <c r="H526" s="780"/>
      <c r="I526" s="691"/>
      <c r="J526" s="691"/>
      <c r="K526" s="691"/>
      <c r="L526" s="691"/>
      <c r="M526" s="691"/>
      <c r="N526" s="691"/>
      <c r="O526" s="930"/>
      <c r="P526" s="909"/>
      <c r="Q526" s="931"/>
      <c r="R526" s="310"/>
      <c r="S526" s="310"/>
      <c r="T526" s="691"/>
      <c r="U526" s="691"/>
      <c r="V526" s="355"/>
      <c r="W526" s="932"/>
      <c r="X526" s="310"/>
      <c r="Y526" s="310"/>
      <c r="Z526" s="933"/>
      <c r="AA526" s="310"/>
      <c r="AB526" s="691"/>
      <c r="AC526" s="933"/>
      <c r="AD526" s="691"/>
      <c r="AE526" s="691"/>
      <c r="AF526" s="934"/>
      <c r="AG526" s="934"/>
      <c r="AH526" s="888"/>
      <c r="AI526" s="888"/>
      <c r="AJ526" s="310"/>
      <c r="AK526" s="310"/>
      <c r="AL526" s="310"/>
      <c r="AM526" s="1"/>
      <c r="AN526" s="691"/>
      <c r="AO526" s="1"/>
      <c r="AP526" s="1"/>
    </row>
    <row r="527">
      <c r="A527" s="929"/>
      <c r="B527" s="691"/>
      <c r="C527" s="310"/>
      <c r="D527" s="691"/>
      <c r="E527" s="691"/>
      <c r="F527" s="350"/>
      <c r="G527" s="355"/>
      <c r="H527" s="780"/>
      <c r="I527" s="691"/>
      <c r="J527" s="691"/>
      <c r="K527" s="691"/>
      <c r="L527" s="691"/>
      <c r="M527" s="691"/>
      <c r="N527" s="691"/>
      <c r="O527" s="930"/>
      <c r="P527" s="909"/>
      <c r="Q527" s="931"/>
      <c r="R527" s="310"/>
      <c r="S527" s="310"/>
      <c r="T527" s="691"/>
      <c r="U527" s="691"/>
      <c r="V527" s="355"/>
      <c r="W527" s="932"/>
      <c r="X527" s="310"/>
      <c r="Y527" s="310"/>
      <c r="Z527" s="933"/>
      <c r="AA527" s="310"/>
      <c r="AB527" s="691"/>
      <c r="AC527" s="933"/>
      <c r="AD527" s="691"/>
      <c r="AE527" s="691"/>
      <c r="AF527" s="934"/>
      <c r="AG527" s="934"/>
      <c r="AH527" s="888"/>
      <c r="AI527" s="888"/>
      <c r="AJ527" s="310"/>
      <c r="AK527" s="310"/>
      <c r="AL527" s="310"/>
      <c r="AM527" s="1"/>
      <c r="AN527" s="691"/>
      <c r="AO527" s="1"/>
      <c r="AP527" s="1"/>
    </row>
    <row r="528">
      <c r="A528" s="929"/>
      <c r="B528" s="691"/>
      <c r="C528" s="310"/>
      <c r="D528" s="691"/>
      <c r="E528" s="691"/>
      <c r="F528" s="350"/>
      <c r="G528" s="355"/>
      <c r="H528" s="780"/>
      <c r="I528" s="691"/>
      <c r="J528" s="691"/>
      <c r="K528" s="691"/>
      <c r="L528" s="691"/>
      <c r="M528" s="691"/>
      <c r="N528" s="691"/>
      <c r="O528" s="930"/>
      <c r="P528" s="909"/>
      <c r="Q528" s="931"/>
      <c r="R528" s="310"/>
      <c r="S528" s="310"/>
      <c r="T528" s="691"/>
      <c r="U528" s="691"/>
      <c r="V528" s="355"/>
      <c r="W528" s="932"/>
      <c r="X528" s="310"/>
      <c r="Y528" s="310"/>
      <c r="Z528" s="933"/>
      <c r="AA528" s="310"/>
      <c r="AB528" s="691"/>
      <c r="AC528" s="933"/>
      <c r="AD528" s="691"/>
      <c r="AE528" s="691"/>
      <c r="AF528" s="934"/>
      <c r="AG528" s="934"/>
      <c r="AH528" s="888"/>
      <c r="AI528" s="888"/>
      <c r="AJ528" s="310"/>
      <c r="AK528" s="310"/>
      <c r="AL528" s="310"/>
      <c r="AM528" s="1"/>
      <c r="AN528" s="691"/>
      <c r="AO528" s="1"/>
      <c r="AP528" s="1"/>
    </row>
    <row r="529">
      <c r="A529" s="929"/>
      <c r="B529" s="691"/>
      <c r="C529" s="310"/>
      <c r="D529" s="691"/>
      <c r="E529" s="691"/>
      <c r="F529" s="350"/>
      <c r="G529" s="355"/>
      <c r="H529" s="780"/>
      <c r="I529" s="691"/>
      <c r="J529" s="691"/>
      <c r="K529" s="691"/>
      <c r="L529" s="691"/>
      <c r="M529" s="691"/>
      <c r="N529" s="691"/>
      <c r="O529" s="930"/>
      <c r="P529" s="909"/>
      <c r="Q529" s="931"/>
      <c r="R529" s="310"/>
      <c r="S529" s="310"/>
      <c r="T529" s="691"/>
      <c r="U529" s="691"/>
      <c r="V529" s="355"/>
      <c r="W529" s="932"/>
      <c r="X529" s="310"/>
      <c r="Y529" s="310"/>
      <c r="Z529" s="933"/>
      <c r="AA529" s="310"/>
      <c r="AB529" s="691"/>
      <c r="AC529" s="933"/>
      <c r="AD529" s="691"/>
      <c r="AE529" s="691"/>
      <c r="AF529" s="934"/>
      <c r="AG529" s="934"/>
      <c r="AH529" s="888"/>
      <c r="AI529" s="888"/>
      <c r="AJ529" s="310"/>
      <c r="AK529" s="310"/>
      <c r="AL529" s="310"/>
      <c r="AM529" s="1"/>
      <c r="AN529" s="691"/>
      <c r="AO529" s="1"/>
      <c r="AP529" s="1"/>
    </row>
    <row r="530">
      <c r="A530" s="929"/>
      <c r="B530" s="691"/>
      <c r="C530" s="310"/>
      <c r="D530" s="691"/>
      <c r="E530" s="691"/>
      <c r="F530" s="350"/>
      <c r="G530" s="355"/>
      <c r="H530" s="780"/>
      <c r="I530" s="691"/>
      <c r="J530" s="691"/>
      <c r="K530" s="691"/>
      <c r="L530" s="691"/>
      <c r="M530" s="691"/>
      <c r="N530" s="691"/>
      <c r="O530" s="930"/>
      <c r="P530" s="909"/>
      <c r="Q530" s="931"/>
      <c r="R530" s="310"/>
      <c r="S530" s="310"/>
      <c r="T530" s="691"/>
      <c r="U530" s="691"/>
      <c r="V530" s="355"/>
      <c r="W530" s="932"/>
      <c r="X530" s="310"/>
      <c r="Y530" s="310"/>
      <c r="Z530" s="933"/>
      <c r="AA530" s="310"/>
      <c r="AB530" s="691"/>
      <c r="AC530" s="933"/>
      <c r="AD530" s="691"/>
      <c r="AE530" s="691"/>
      <c r="AF530" s="934"/>
      <c r="AG530" s="934"/>
      <c r="AH530" s="888"/>
      <c r="AI530" s="888"/>
      <c r="AJ530" s="310"/>
      <c r="AK530" s="310"/>
      <c r="AL530" s="310"/>
      <c r="AM530" s="1"/>
      <c r="AN530" s="691"/>
      <c r="AO530" s="1"/>
      <c r="AP530" s="1"/>
    </row>
    <row r="531">
      <c r="A531" s="929"/>
      <c r="B531" s="691"/>
      <c r="C531" s="310"/>
      <c r="D531" s="691"/>
      <c r="E531" s="691"/>
      <c r="F531" s="350"/>
      <c r="G531" s="355"/>
      <c r="H531" s="780"/>
      <c r="I531" s="691"/>
      <c r="J531" s="691"/>
      <c r="K531" s="691"/>
      <c r="L531" s="691"/>
      <c r="M531" s="691"/>
      <c r="N531" s="691"/>
      <c r="O531" s="930"/>
      <c r="P531" s="909"/>
      <c r="Q531" s="931"/>
      <c r="R531" s="310"/>
      <c r="S531" s="310"/>
      <c r="T531" s="691"/>
      <c r="U531" s="691"/>
      <c r="V531" s="355"/>
      <c r="W531" s="932"/>
      <c r="X531" s="310"/>
      <c r="Y531" s="310"/>
      <c r="Z531" s="933"/>
      <c r="AA531" s="310"/>
      <c r="AB531" s="691"/>
      <c r="AC531" s="933"/>
      <c r="AD531" s="691"/>
      <c r="AE531" s="691"/>
      <c r="AF531" s="934"/>
      <c r="AG531" s="934"/>
      <c r="AH531" s="888"/>
      <c r="AI531" s="888"/>
      <c r="AJ531" s="310"/>
      <c r="AK531" s="310"/>
      <c r="AL531" s="310"/>
      <c r="AM531" s="1"/>
      <c r="AN531" s="691"/>
      <c r="AO531" s="1"/>
      <c r="AP531" s="1"/>
    </row>
    <row r="532">
      <c r="A532" s="929"/>
      <c r="B532" s="691"/>
      <c r="C532" s="310"/>
      <c r="D532" s="691"/>
      <c r="E532" s="691"/>
      <c r="F532" s="350"/>
      <c r="G532" s="355"/>
      <c r="H532" s="780"/>
      <c r="I532" s="691"/>
      <c r="J532" s="691"/>
      <c r="K532" s="691"/>
      <c r="L532" s="691"/>
      <c r="M532" s="691"/>
      <c r="N532" s="691"/>
      <c r="O532" s="930"/>
      <c r="P532" s="909"/>
      <c r="Q532" s="931"/>
      <c r="R532" s="310"/>
      <c r="S532" s="310"/>
      <c r="T532" s="691"/>
      <c r="U532" s="691"/>
      <c r="V532" s="355"/>
      <c r="W532" s="932"/>
      <c r="X532" s="310"/>
      <c r="Y532" s="310"/>
      <c r="Z532" s="933"/>
      <c r="AA532" s="310"/>
      <c r="AB532" s="691"/>
      <c r="AC532" s="933"/>
      <c r="AD532" s="691"/>
      <c r="AE532" s="691"/>
      <c r="AF532" s="934"/>
      <c r="AG532" s="934"/>
      <c r="AH532" s="888"/>
      <c r="AI532" s="888"/>
      <c r="AJ532" s="310"/>
      <c r="AK532" s="310"/>
      <c r="AL532" s="310"/>
      <c r="AM532" s="1"/>
      <c r="AN532" s="691"/>
      <c r="AO532" s="1"/>
      <c r="AP532" s="1"/>
    </row>
    <row r="533">
      <c r="A533" s="929"/>
      <c r="B533" s="691"/>
      <c r="C533" s="310"/>
      <c r="D533" s="691"/>
      <c r="E533" s="691"/>
      <c r="F533" s="350"/>
      <c r="G533" s="355"/>
      <c r="H533" s="780"/>
      <c r="I533" s="691"/>
      <c r="J533" s="691"/>
      <c r="K533" s="691"/>
      <c r="L533" s="691"/>
      <c r="M533" s="691"/>
      <c r="N533" s="691"/>
      <c r="O533" s="930"/>
      <c r="P533" s="909"/>
      <c r="Q533" s="931"/>
      <c r="R533" s="310"/>
      <c r="S533" s="310"/>
      <c r="T533" s="691"/>
      <c r="U533" s="691"/>
      <c r="V533" s="355"/>
      <c r="W533" s="932"/>
      <c r="X533" s="310"/>
      <c r="Y533" s="310"/>
      <c r="Z533" s="933"/>
      <c r="AA533" s="310"/>
      <c r="AB533" s="691"/>
      <c r="AC533" s="933"/>
      <c r="AD533" s="691"/>
      <c r="AE533" s="691"/>
      <c r="AF533" s="934"/>
      <c r="AG533" s="934"/>
      <c r="AH533" s="888"/>
      <c r="AI533" s="888"/>
      <c r="AJ533" s="310"/>
      <c r="AK533" s="310"/>
      <c r="AL533" s="310"/>
      <c r="AM533" s="1"/>
      <c r="AN533" s="691"/>
      <c r="AO533" s="1"/>
      <c r="AP533" s="1"/>
    </row>
    <row r="534">
      <c r="A534" s="929"/>
      <c r="B534" s="691"/>
      <c r="C534" s="310"/>
      <c r="D534" s="691"/>
      <c r="E534" s="691"/>
      <c r="F534" s="350"/>
      <c r="G534" s="355"/>
      <c r="H534" s="780"/>
      <c r="I534" s="691"/>
      <c r="J534" s="691"/>
      <c r="K534" s="691"/>
      <c r="L534" s="691"/>
      <c r="M534" s="691"/>
      <c r="N534" s="691"/>
      <c r="O534" s="930"/>
      <c r="P534" s="909"/>
      <c r="Q534" s="931"/>
      <c r="R534" s="310"/>
      <c r="S534" s="310"/>
      <c r="T534" s="691"/>
      <c r="U534" s="691"/>
      <c r="V534" s="355"/>
      <c r="W534" s="932"/>
      <c r="X534" s="310"/>
      <c r="Y534" s="310"/>
      <c r="Z534" s="933"/>
      <c r="AA534" s="310"/>
      <c r="AB534" s="691"/>
      <c r="AC534" s="933"/>
      <c r="AD534" s="691"/>
      <c r="AE534" s="691"/>
      <c r="AF534" s="934"/>
      <c r="AG534" s="934"/>
      <c r="AH534" s="888"/>
      <c r="AI534" s="888"/>
      <c r="AJ534" s="310"/>
      <c r="AK534" s="310"/>
      <c r="AL534" s="310"/>
      <c r="AM534" s="1"/>
      <c r="AN534" s="691"/>
      <c r="AO534" s="1"/>
      <c r="AP534" s="1"/>
    </row>
    <row r="535">
      <c r="A535" s="929"/>
      <c r="B535" s="691"/>
      <c r="C535" s="310"/>
      <c r="D535" s="691"/>
      <c r="E535" s="691"/>
      <c r="F535" s="350"/>
      <c r="G535" s="355"/>
      <c r="H535" s="780"/>
      <c r="I535" s="691"/>
      <c r="J535" s="691"/>
      <c r="K535" s="691"/>
      <c r="L535" s="691"/>
      <c r="M535" s="691"/>
      <c r="N535" s="691"/>
      <c r="O535" s="930"/>
      <c r="P535" s="909"/>
      <c r="Q535" s="931"/>
      <c r="R535" s="310"/>
      <c r="S535" s="310"/>
      <c r="T535" s="691"/>
      <c r="U535" s="691"/>
      <c r="V535" s="355"/>
      <c r="W535" s="932"/>
      <c r="X535" s="310"/>
      <c r="Y535" s="310"/>
      <c r="Z535" s="933"/>
      <c r="AA535" s="310"/>
      <c r="AB535" s="691"/>
      <c r="AC535" s="933"/>
      <c r="AD535" s="691"/>
      <c r="AE535" s="691"/>
      <c r="AF535" s="934"/>
      <c r="AG535" s="934"/>
      <c r="AH535" s="888"/>
      <c r="AI535" s="888"/>
      <c r="AJ535" s="310"/>
      <c r="AK535" s="310"/>
      <c r="AL535" s="310"/>
      <c r="AM535" s="1"/>
      <c r="AN535" s="691"/>
      <c r="AO535" s="1"/>
      <c r="AP535" s="1"/>
    </row>
    <row r="536">
      <c r="A536" s="929"/>
      <c r="B536" s="691"/>
      <c r="C536" s="310"/>
      <c r="D536" s="691"/>
      <c r="E536" s="691"/>
      <c r="F536" s="350"/>
      <c r="G536" s="355"/>
      <c r="H536" s="780"/>
      <c r="I536" s="691"/>
      <c r="J536" s="691"/>
      <c r="K536" s="691"/>
      <c r="L536" s="691"/>
      <c r="M536" s="691"/>
      <c r="N536" s="691"/>
      <c r="O536" s="930"/>
      <c r="P536" s="909"/>
      <c r="Q536" s="931"/>
      <c r="R536" s="310"/>
      <c r="S536" s="310"/>
      <c r="T536" s="691"/>
      <c r="U536" s="691"/>
      <c r="V536" s="355"/>
      <c r="W536" s="932"/>
      <c r="X536" s="310"/>
      <c r="Y536" s="310"/>
      <c r="Z536" s="933"/>
      <c r="AA536" s="310"/>
      <c r="AB536" s="691"/>
      <c r="AC536" s="933"/>
      <c r="AD536" s="691"/>
      <c r="AE536" s="691"/>
      <c r="AF536" s="934"/>
      <c r="AG536" s="934"/>
      <c r="AH536" s="888"/>
      <c r="AI536" s="888"/>
      <c r="AJ536" s="310"/>
      <c r="AK536" s="310"/>
      <c r="AL536" s="310"/>
      <c r="AM536" s="1"/>
      <c r="AN536" s="691"/>
      <c r="AO536" s="1"/>
      <c r="AP536" s="1"/>
    </row>
    <row r="537">
      <c r="A537" s="929"/>
      <c r="B537" s="691"/>
      <c r="C537" s="310"/>
      <c r="D537" s="691"/>
      <c r="E537" s="691"/>
      <c r="F537" s="350"/>
      <c r="G537" s="355"/>
      <c r="H537" s="780"/>
      <c r="I537" s="691"/>
      <c r="J537" s="691"/>
      <c r="K537" s="691"/>
      <c r="L537" s="691"/>
      <c r="M537" s="691"/>
      <c r="N537" s="691"/>
      <c r="O537" s="930"/>
      <c r="P537" s="909"/>
      <c r="Q537" s="931"/>
      <c r="R537" s="310"/>
      <c r="S537" s="310"/>
      <c r="T537" s="691"/>
      <c r="U537" s="691"/>
      <c r="V537" s="355"/>
      <c r="W537" s="932"/>
      <c r="X537" s="310"/>
      <c r="Y537" s="310"/>
      <c r="Z537" s="933"/>
      <c r="AA537" s="310"/>
      <c r="AB537" s="691"/>
      <c r="AC537" s="933"/>
      <c r="AD537" s="691"/>
      <c r="AE537" s="691"/>
      <c r="AF537" s="934"/>
      <c r="AG537" s="934"/>
      <c r="AH537" s="888"/>
      <c r="AI537" s="888"/>
      <c r="AJ537" s="310"/>
      <c r="AK537" s="310"/>
      <c r="AL537" s="310"/>
      <c r="AM537" s="1"/>
      <c r="AN537" s="691"/>
      <c r="AO537" s="1"/>
      <c r="AP537" s="1"/>
    </row>
    <row r="538">
      <c r="A538" s="929"/>
      <c r="B538" s="691"/>
      <c r="C538" s="310"/>
      <c r="D538" s="691"/>
      <c r="E538" s="691"/>
      <c r="F538" s="350"/>
      <c r="G538" s="355"/>
      <c r="H538" s="780"/>
      <c r="I538" s="691"/>
      <c r="J538" s="691"/>
      <c r="K538" s="691"/>
      <c r="L538" s="691"/>
      <c r="M538" s="691"/>
      <c r="N538" s="691"/>
      <c r="O538" s="930"/>
      <c r="P538" s="909"/>
      <c r="Q538" s="931"/>
      <c r="R538" s="310"/>
      <c r="S538" s="310"/>
      <c r="T538" s="691"/>
      <c r="U538" s="691"/>
      <c r="V538" s="355"/>
      <c r="W538" s="932"/>
      <c r="X538" s="310"/>
      <c r="Y538" s="310"/>
      <c r="Z538" s="933"/>
      <c r="AA538" s="310"/>
      <c r="AB538" s="691"/>
      <c r="AC538" s="933"/>
      <c r="AD538" s="691"/>
      <c r="AE538" s="691"/>
      <c r="AF538" s="934"/>
      <c r="AG538" s="934"/>
      <c r="AH538" s="888"/>
      <c r="AI538" s="888"/>
      <c r="AJ538" s="310"/>
      <c r="AK538" s="310"/>
      <c r="AL538" s="310"/>
      <c r="AM538" s="1"/>
      <c r="AN538" s="691"/>
      <c r="AO538" s="1"/>
      <c r="AP538" s="1"/>
    </row>
    <row r="539">
      <c r="A539" s="929"/>
      <c r="B539" s="691"/>
      <c r="C539" s="310"/>
      <c r="D539" s="691"/>
      <c r="E539" s="691"/>
      <c r="F539" s="350"/>
      <c r="G539" s="355"/>
      <c r="H539" s="780"/>
      <c r="I539" s="691"/>
      <c r="J539" s="691"/>
      <c r="K539" s="691"/>
      <c r="L539" s="691"/>
      <c r="M539" s="691"/>
      <c r="N539" s="691"/>
      <c r="O539" s="930"/>
      <c r="P539" s="909"/>
      <c r="Q539" s="931"/>
      <c r="R539" s="310"/>
      <c r="S539" s="310"/>
      <c r="T539" s="691"/>
      <c r="U539" s="691"/>
      <c r="V539" s="355"/>
      <c r="W539" s="932"/>
      <c r="X539" s="310"/>
      <c r="Y539" s="310"/>
      <c r="Z539" s="933"/>
      <c r="AA539" s="310"/>
      <c r="AB539" s="691"/>
      <c r="AC539" s="933"/>
      <c r="AD539" s="691"/>
      <c r="AE539" s="691"/>
      <c r="AF539" s="934"/>
      <c r="AG539" s="934"/>
      <c r="AH539" s="888"/>
      <c r="AI539" s="888"/>
      <c r="AJ539" s="310"/>
      <c r="AK539" s="310"/>
      <c r="AL539" s="310"/>
      <c r="AM539" s="1"/>
      <c r="AN539" s="691"/>
      <c r="AO539" s="1"/>
      <c r="AP539" s="1"/>
    </row>
    <row r="540">
      <c r="A540" s="929"/>
      <c r="B540" s="691"/>
      <c r="C540" s="310"/>
      <c r="D540" s="691"/>
      <c r="E540" s="691"/>
      <c r="F540" s="350"/>
      <c r="G540" s="355"/>
      <c r="H540" s="780"/>
      <c r="I540" s="691"/>
      <c r="J540" s="691"/>
      <c r="K540" s="691"/>
      <c r="L540" s="691"/>
      <c r="M540" s="691"/>
      <c r="N540" s="691"/>
      <c r="O540" s="930"/>
      <c r="P540" s="909"/>
      <c r="Q540" s="931"/>
      <c r="R540" s="310"/>
      <c r="S540" s="310"/>
      <c r="T540" s="691"/>
      <c r="U540" s="691"/>
      <c r="V540" s="355"/>
      <c r="W540" s="932"/>
      <c r="X540" s="310"/>
      <c r="Y540" s="310"/>
      <c r="Z540" s="933"/>
      <c r="AA540" s="310"/>
      <c r="AB540" s="691"/>
      <c r="AC540" s="933"/>
      <c r="AD540" s="691"/>
      <c r="AE540" s="691"/>
      <c r="AF540" s="934"/>
      <c r="AG540" s="934"/>
      <c r="AH540" s="888"/>
      <c r="AI540" s="888"/>
      <c r="AJ540" s="310"/>
      <c r="AK540" s="310"/>
      <c r="AL540" s="310"/>
      <c r="AM540" s="1"/>
      <c r="AN540" s="691"/>
      <c r="AO540" s="1"/>
      <c r="AP540" s="1"/>
    </row>
    <row r="541">
      <c r="A541" s="929"/>
      <c r="B541" s="691"/>
      <c r="C541" s="310"/>
      <c r="D541" s="691"/>
      <c r="E541" s="691"/>
      <c r="F541" s="350"/>
      <c r="G541" s="355"/>
      <c r="H541" s="780"/>
      <c r="I541" s="691"/>
      <c r="J541" s="691"/>
      <c r="K541" s="691"/>
      <c r="L541" s="691"/>
      <c r="M541" s="691"/>
      <c r="N541" s="691"/>
      <c r="O541" s="930"/>
      <c r="P541" s="909"/>
      <c r="Q541" s="931"/>
      <c r="R541" s="310"/>
      <c r="S541" s="310"/>
      <c r="T541" s="691"/>
      <c r="U541" s="691"/>
      <c r="V541" s="355"/>
      <c r="W541" s="932"/>
      <c r="X541" s="310"/>
      <c r="Y541" s="310"/>
      <c r="Z541" s="933"/>
      <c r="AA541" s="310"/>
      <c r="AB541" s="691"/>
      <c r="AC541" s="933"/>
      <c r="AD541" s="691"/>
      <c r="AE541" s="691"/>
      <c r="AF541" s="934"/>
      <c r="AG541" s="934"/>
      <c r="AH541" s="888"/>
      <c r="AI541" s="888"/>
      <c r="AJ541" s="310"/>
      <c r="AK541" s="310"/>
      <c r="AL541" s="310"/>
      <c r="AM541" s="1"/>
      <c r="AN541" s="691"/>
      <c r="AO541" s="1"/>
      <c r="AP541" s="1"/>
    </row>
    <row r="542">
      <c r="A542" s="929"/>
      <c r="B542" s="691"/>
      <c r="C542" s="310"/>
      <c r="D542" s="691"/>
      <c r="E542" s="691"/>
      <c r="F542" s="350"/>
      <c r="G542" s="355"/>
      <c r="H542" s="780"/>
      <c r="I542" s="691"/>
      <c r="J542" s="691"/>
      <c r="K542" s="691"/>
      <c r="L542" s="691"/>
      <c r="M542" s="691"/>
      <c r="N542" s="691"/>
      <c r="O542" s="930"/>
      <c r="P542" s="909"/>
      <c r="Q542" s="931"/>
      <c r="R542" s="310"/>
      <c r="S542" s="310"/>
      <c r="T542" s="691"/>
      <c r="U542" s="691"/>
      <c r="V542" s="355"/>
      <c r="W542" s="932"/>
      <c r="X542" s="310"/>
      <c r="Y542" s="310"/>
      <c r="Z542" s="933"/>
      <c r="AA542" s="310"/>
      <c r="AB542" s="691"/>
      <c r="AC542" s="933"/>
      <c r="AD542" s="691"/>
      <c r="AE542" s="691"/>
      <c r="AF542" s="934"/>
      <c r="AG542" s="934"/>
      <c r="AH542" s="888"/>
      <c r="AI542" s="888"/>
      <c r="AJ542" s="310"/>
      <c r="AK542" s="310"/>
      <c r="AL542" s="310"/>
      <c r="AM542" s="1"/>
      <c r="AN542" s="691"/>
      <c r="AO542" s="1"/>
      <c r="AP542" s="1"/>
    </row>
    <row r="543">
      <c r="A543" s="929"/>
      <c r="B543" s="691"/>
      <c r="C543" s="310"/>
      <c r="D543" s="691"/>
      <c r="E543" s="691"/>
      <c r="F543" s="350"/>
      <c r="G543" s="355"/>
      <c r="H543" s="780"/>
      <c r="I543" s="691"/>
      <c r="J543" s="691"/>
      <c r="K543" s="691"/>
      <c r="L543" s="691"/>
      <c r="M543" s="691"/>
      <c r="N543" s="691"/>
      <c r="O543" s="930"/>
      <c r="P543" s="909"/>
      <c r="Q543" s="931"/>
      <c r="R543" s="310"/>
      <c r="S543" s="310"/>
      <c r="T543" s="691"/>
      <c r="U543" s="691"/>
      <c r="V543" s="355"/>
      <c r="W543" s="932"/>
      <c r="X543" s="310"/>
      <c r="Y543" s="310"/>
      <c r="Z543" s="933"/>
      <c r="AA543" s="310"/>
      <c r="AB543" s="691"/>
      <c r="AC543" s="933"/>
      <c r="AD543" s="691"/>
      <c r="AE543" s="691"/>
      <c r="AF543" s="934"/>
      <c r="AG543" s="934"/>
      <c r="AH543" s="888"/>
      <c r="AI543" s="888"/>
      <c r="AJ543" s="310"/>
      <c r="AK543" s="310"/>
      <c r="AL543" s="310"/>
      <c r="AM543" s="1"/>
      <c r="AN543" s="691"/>
      <c r="AO543" s="1"/>
      <c r="AP543" s="1"/>
    </row>
    <row r="544">
      <c r="A544" s="929"/>
      <c r="B544" s="691"/>
      <c r="C544" s="310"/>
      <c r="D544" s="691"/>
      <c r="E544" s="691"/>
      <c r="F544" s="350"/>
      <c r="G544" s="355"/>
      <c r="H544" s="780"/>
      <c r="I544" s="691"/>
      <c r="J544" s="691"/>
      <c r="K544" s="691"/>
      <c r="L544" s="691"/>
      <c r="M544" s="691"/>
      <c r="N544" s="691"/>
      <c r="O544" s="930"/>
      <c r="P544" s="909"/>
      <c r="Q544" s="931"/>
      <c r="R544" s="310"/>
      <c r="S544" s="310"/>
      <c r="T544" s="691"/>
      <c r="U544" s="691"/>
      <c r="V544" s="355"/>
      <c r="W544" s="932"/>
      <c r="X544" s="310"/>
      <c r="Y544" s="310"/>
      <c r="Z544" s="933"/>
      <c r="AA544" s="310"/>
      <c r="AB544" s="691"/>
      <c r="AC544" s="933"/>
      <c r="AD544" s="691"/>
      <c r="AE544" s="691"/>
      <c r="AF544" s="934"/>
      <c r="AG544" s="934"/>
      <c r="AH544" s="888"/>
      <c r="AI544" s="888"/>
      <c r="AJ544" s="310"/>
      <c r="AK544" s="310"/>
      <c r="AL544" s="310"/>
      <c r="AM544" s="1"/>
      <c r="AN544" s="691"/>
      <c r="AO544" s="1"/>
      <c r="AP544" s="1"/>
    </row>
    <row r="545">
      <c r="A545" s="929"/>
      <c r="B545" s="691"/>
      <c r="C545" s="310"/>
      <c r="D545" s="691"/>
      <c r="E545" s="691"/>
      <c r="F545" s="350"/>
      <c r="G545" s="355"/>
      <c r="H545" s="780"/>
      <c r="I545" s="691"/>
      <c r="J545" s="691"/>
      <c r="K545" s="691"/>
      <c r="L545" s="691"/>
      <c r="M545" s="691"/>
      <c r="N545" s="691"/>
      <c r="O545" s="930"/>
      <c r="P545" s="909"/>
      <c r="Q545" s="931"/>
      <c r="R545" s="310"/>
      <c r="S545" s="310"/>
      <c r="T545" s="691"/>
      <c r="U545" s="691"/>
      <c r="V545" s="355"/>
      <c r="W545" s="932"/>
      <c r="X545" s="310"/>
      <c r="Y545" s="310"/>
      <c r="Z545" s="933"/>
      <c r="AA545" s="310"/>
      <c r="AB545" s="691"/>
      <c r="AC545" s="933"/>
      <c r="AD545" s="691"/>
      <c r="AE545" s="691"/>
      <c r="AF545" s="934"/>
      <c r="AG545" s="934"/>
      <c r="AH545" s="888"/>
      <c r="AI545" s="888"/>
      <c r="AJ545" s="310"/>
      <c r="AK545" s="310"/>
      <c r="AL545" s="310"/>
      <c r="AM545" s="1"/>
      <c r="AN545" s="691"/>
      <c r="AO545" s="1"/>
      <c r="AP545" s="1"/>
    </row>
    <row r="546">
      <c r="A546" s="929"/>
      <c r="B546" s="691"/>
      <c r="C546" s="310"/>
      <c r="D546" s="691"/>
      <c r="E546" s="691"/>
      <c r="F546" s="350"/>
      <c r="G546" s="355"/>
      <c r="H546" s="780"/>
      <c r="I546" s="691"/>
      <c r="J546" s="691"/>
      <c r="K546" s="691"/>
      <c r="L546" s="691"/>
      <c r="M546" s="691"/>
      <c r="N546" s="691"/>
      <c r="O546" s="930"/>
      <c r="P546" s="909"/>
      <c r="Q546" s="931"/>
      <c r="R546" s="310"/>
      <c r="S546" s="310"/>
      <c r="T546" s="691"/>
      <c r="U546" s="691"/>
      <c r="V546" s="355"/>
      <c r="W546" s="932"/>
      <c r="X546" s="310"/>
      <c r="Y546" s="310"/>
      <c r="Z546" s="933"/>
      <c r="AA546" s="310"/>
      <c r="AB546" s="691"/>
      <c r="AC546" s="933"/>
      <c r="AD546" s="691"/>
      <c r="AE546" s="691"/>
      <c r="AF546" s="934"/>
      <c r="AG546" s="934"/>
      <c r="AH546" s="888"/>
      <c r="AI546" s="888"/>
      <c r="AJ546" s="310"/>
      <c r="AK546" s="310"/>
      <c r="AL546" s="310"/>
      <c r="AM546" s="1"/>
      <c r="AN546" s="691"/>
      <c r="AO546" s="1"/>
      <c r="AP546" s="1"/>
    </row>
    <row r="547">
      <c r="A547" s="929"/>
      <c r="B547" s="691"/>
      <c r="C547" s="310"/>
      <c r="D547" s="691"/>
      <c r="E547" s="691"/>
      <c r="F547" s="350"/>
      <c r="G547" s="355"/>
      <c r="H547" s="780"/>
      <c r="I547" s="691"/>
      <c r="J547" s="691"/>
      <c r="K547" s="691"/>
      <c r="L547" s="691"/>
      <c r="M547" s="691"/>
      <c r="N547" s="691"/>
      <c r="O547" s="930"/>
      <c r="P547" s="909"/>
      <c r="Q547" s="931"/>
      <c r="R547" s="310"/>
      <c r="S547" s="310"/>
      <c r="T547" s="691"/>
      <c r="U547" s="691"/>
      <c r="V547" s="355"/>
      <c r="W547" s="932"/>
      <c r="X547" s="310"/>
      <c r="Y547" s="310"/>
      <c r="Z547" s="933"/>
      <c r="AA547" s="310"/>
      <c r="AB547" s="691"/>
      <c r="AC547" s="933"/>
      <c r="AD547" s="691"/>
      <c r="AE547" s="691"/>
      <c r="AF547" s="934"/>
      <c r="AG547" s="934"/>
      <c r="AH547" s="888"/>
      <c r="AI547" s="888"/>
      <c r="AJ547" s="310"/>
      <c r="AK547" s="310"/>
      <c r="AL547" s="310"/>
      <c r="AM547" s="1"/>
      <c r="AN547" s="691"/>
      <c r="AO547" s="1"/>
      <c r="AP547" s="1"/>
    </row>
    <row r="548">
      <c r="A548" s="929"/>
      <c r="B548" s="691"/>
      <c r="C548" s="310"/>
      <c r="D548" s="691"/>
      <c r="E548" s="691"/>
      <c r="F548" s="350"/>
      <c r="G548" s="355"/>
      <c r="H548" s="780"/>
      <c r="I548" s="691"/>
      <c r="J548" s="691"/>
      <c r="K548" s="691"/>
      <c r="L548" s="691"/>
      <c r="M548" s="691"/>
      <c r="N548" s="691"/>
      <c r="O548" s="930"/>
      <c r="P548" s="909"/>
      <c r="Q548" s="931"/>
      <c r="R548" s="310"/>
      <c r="S548" s="310"/>
      <c r="T548" s="691"/>
      <c r="U548" s="691"/>
      <c r="V548" s="355"/>
      <c r="W548" s="932"/>
      <c r="X548" s="310"/>
      <c r="Y548" s="310"/>
      <c r="Z548" s="933"/>
      <c r="AA548" s="310"/>
      <c r="AB548" s="691"/>
      <c r="AC548" s="933"/>
      <c r="AD548" s="691"/>
      <c r="AE548" s="691"/>
      <c r="AF548" s="934"/>
      <c r="AG548" s="934"/>
      <c r="AH548" s="888"/>
      <c r="AI548" s="888"/>
      <c r="AJ548" s="310"/>
      <c r="AK548" s="310"/>
      <c r="AL548" s="310"/>
      <c r="AM548" s="1"/>
      <c r="AN548" s="691"/>
      <c r="AO548" s="1"/>
      <c r="AP548" s="1"/>
    </row>
    <row r="549">
      <c r="A549" s="929"/>
      <c r="B549" s="691"/>
      <c r="C549" s="310"/>
      <c r="D549" s="691"/>
      <c r="E549" s="691"/>
      <c r="F549" s="350"/>
      <c r="G549" s="355"/>
      <c r="H549" s="780"/>
      <c r="I549" s="691"/>
      <c r="J549" s="691"/>
      <c r="K549" s="691"/>
      <c r="L549" s="691"/>
      <c r="M549" s="691"/>
      <c r="N549" s="691"/>
      <c r="O549" s="930"/>
      <c r="P549" s="909"/>
      <c r="Q549" s="931"/>
      <c r="R549" s="310"/>
      <c r="S549" s="310"/>
      <c r="T549" s="691"/>
      <c r="U549" s="691"/>
      <c r="V549" s="355"/>
      <c r="W549" s="932"/>
      <c r="X549" s="310"/>
      <c r="Y549" s="310"/>
      <c r="Z549" s="933"/>
      <c r="AA549" s="310"/>
      <c r="AB549" s="691"/>
      <c r="AC549" s="933"/>
      <c r="AD549" s="691"/>
      <c r="AE549" s="691"/>
      <c r="AF549" s="934"/>
      <c r="AG549" s="934"/>
      <c r="AH549" s="888"/>
      <c r="AI549" s="888"/>
      <c r="AJ549" s="310"/>
      <c r="AK549" s="310"/>
      <c r="AL549" s="310"/>
      <c r="AM549" s="1"/>
      <c r="AN549" s="691"/>
      <c r="AO549" s="1"/>
      <c r="AP549" s="1"/>
    </row>
    <row r="550">
      <c r="A550" s="929"/>
      <c r="B550" s="691"/>
      <c r="C550" s="310"/>
      <c r="D550" s="691"/>
      <c r="E550" s="691"/>
      <c r="F550" s="350"/>
      <c r="G550" s="355"/>
      <c r="H550" s="780"/>
      <c r="I550" s="691"/>
      <c r="J550" s="691"/>
      <c r="K550" s="691"/>
      <c r="L550" s="691"/>
      <c r="M550" s="691"/>
      <c r="N550" s="691"/>
      <c r="O550" s="930"/>
      <c r="P550" s="909"/>
      <c r="Q550" s="931"/>
      <c r="R550" s="310"/>
      <c r="S550" s="310"/>
      <c r="T550" s="691"/>
      <c r="U550" s="691"/>
      <c r="V550" s="355"/>
      <c r="W550" s="932"/>
      <c r="X550" s="310"/>
      <c r="Y550" s="310"/>
      <c r="Z550" s="933"/>
      <c r="AA550" s="310"/>
      <c r="AB550" s="691"/>
      <c r="AC550" s="933"/>
      <c r="AD550" s="691"/>
      <c r="AE550" s="691"/>
      <c r="AF550" s="934"/>
      <c r="AG550" s="934"/>
      <c r="AH550" s="888"/>
      <c r="AI550" s="888"/>
      <c r="AJ550" s="310"/>
      <c r="AK550" s="310"/>
      <c r="AL550" s="310"/>
      <c r="AM550" s="1"/>
      <c r="AN550" s="691"/>
      <c r="AO550" s="1"/>
      <c r="AP550" s="1"/>
    </row>
    <row r="551">
      <c r="A551" s="929"/>
      <c r="B551" s="691"/>
      <c r="C551" s="310"/>
      <c r="D551" s="691"/>
      <c r="E551" s="691"/>
      <c r="F551" s="350"/>
      <c r="G551" s="355"/>
      <c r="H551" s="780"/>
      <c r="I551" s="691"/>
      <c r="J551" s="691"/>
      <c r="K551" s="691"/>
      <c r="L551" s="691"/>
      <c r="M551" s="691"/>
      <c r="N551" s="691"/>
      <c r="O551" s="930"/>
      <c r="P551" s="909"/>
      <c r="Q551" s="931"/>
      <c r="R551" s="310"/>
      <c r="S551" s="310"/>
      <c r="T551" s="691"/>
      <c r="U551" s="691"/>
      <c r="V551" s="355"/>
      <c r="W551" s="932"/>
      <c r="X551" s="310"/>
      <c r="Y551" s="310"/>
      <c r="Z551" s="933"/>
      <c r="AA551" s="310"/>
      <c r="AB551" s="691"/>
      <c r="AC551" s="933"/>
      <c r="AD551" s="691"/>
      <c r="AE551" s="691"/>
      <c r="AF551" s="934"/>
      <c r="AG551" s="934"/>
      <c r="AH551" s="888"/>
      <c r="AI551" s="888"/>
      <c r="AJ551" s="310"/>
      <c r="AK551" s="310"/>
      <c r="AL551" s="310"/>
      <c r="AM551" s="1"/>
      <c r="AN551" s="691"/>
      <c r="AO551" s="1"/>
      <c r="AP551" s="1"/>
    </row>
    <row r="552">
      <c r="A552" s="929"/>
      <c r="B552" s="691"/>
      <c r="C552" s="310"/>
      <c r="D552" s="691"/>
      <c r="E552" s="691"/>
      <c r="F552" s="350"/>
      <c r="G552" s="355"/>
      <c r="H552" s="780"/>
      <c r="I552" s="691"/>
      <c r="J552" s="691"/>
      <c r="K552" s="691"/>
      <c r="L552" s="691"/>
      <c r="M552" s="691"/>
      <c r="N552" s="691"/>
      <c r="O552" s="930"/>
      <c r="P552" s="909"/>
      <c r="Q552" s="931"/>
      <c r="R552" s="310"/>
      <c r="S552" s="310"/>
      <c r="T552" s="691"/>
      <c r="U552" s="691"/>
      <c r="V552" s="355"/>
      <c r="W552" s="932"/>
      <c r="X552" s="310"/>
      <c r="Y552" s="310"/>
      <c r="Z552" s="933"/>
      <c r="AA552" s="310"/>
      <c r="AB552" s="691"/>
      <c r="AC552" s="933"/>
      <c r="AD552" s="691"/>
      <c r="AE552" s="691"/>
      <c r="AF552" s="934"/>
      <c r="AG552" s="934"/>
      <c r="AH552" s="888"/>
      <c r="AI552" s="888"/>
      <c r="AJ552" s="310"/>
      <c r="AK552" s="310"/>
      <c r="AL552" s="310"/>
      <c r="AM552" s="1"/>
      <c r="AN552" s="691"/>
      <c r="AO552" s="1"/>
      <c r="AP552" s="1"/>
    </row>
    <row r="553">
      <c r="A553" s="929"/>
      <c r="B553" s="691"/>
      <c r="C553" s="310"/>
      <c r="D553" s="691"/>
      <c r="E553" s="691"/>
      <c r="F553" s="350"/>
      <c r="G553" s="355"/>
      <c r="H553" s="780"/>
      <c r="I553" s="691"/>
      <c r="J553" s="691"/>
      <c r="K553" s="691"/>
      <c r="L553" s="691"/>
      <c r="M553" s="691"/>
      <c r="N553" s="691"/>
      <c r="O553" s="930"/>
      <c r="P553" s="909"/>
      <c r="Q553" s="931"/>
      <c r="R553" s="310"/>
      <c r="S553" s="310"/>
      <c r="T553" s="691"/>
      <c r="U553" s="691"/>
      <c r="V553" s="355"/>
      <c r="W553" s="932"/>
      <c r="X553" s="310"/>
      <c r="Y553" s="310"/>
      <c r="Z553" s="933"/>
      <c r="AA553" s="310"/>
      <c r="AB553" s="691"/>
      <c r="AC553" s="933"/>
      <c r="AD553" s="691"/>
      <c r="AE553" s="691"/>
      <c r="AF553" s="934"/>
      <c r="AG553" s="934"/>
      <c r="AH553" s="888"/>
      <c r="AI553" s="888"/>
      <c r="AJ553" s="310"/>
      <c r="AK553" s="310"/>
      <c r="AL553" s="310"/>
      <c r="AM553" s="1"/>
      <c r="AN553" s="691"/>
      <c r="AO553" s="1"/>
      <c r="AP553" s="1"/>
    </row>
    <row r="554">
      <c r="A554" s="929"/>
      <c r="B554" s="691"/>
      <c r="C554" s="310"/>
      <c r="D554" s="691"/>
      <c r="E554" s="691"/>
      <c r="F554" s="350"/>
      <c r="G554" s="355"/>
      <c r="H554" s="780"/>
      <c r="I554" s="691"/>
      <c r="J554" s="691"/>
      <c r="K554" s="691"/>
      <c r="L554" s="691"/>
      <c r="M554" s="691"/>
      <c r="N554" s="691"/>
      <c r="O554" s="930"/>
      <c r="P554" s="909"/>
      <c r="Q554" s="931"/>
      <c r="R554" s="310"/>
      <c r="S554" s="310"/>
      <c r="T554" s="691"/>
      <c r="U554" s="691"/>
      <c r="V554" s="355"/>
      <c r="W554" s="932"/>
      <c r="X554" s="310"/>
      <c r="Y554" s="310"/>
      <c r="Z554" s="933"/>
      <c r="AA554" s="310"/>
      <c r="AB554" s="691"/>
      <c r="AC554" s="933"/>
      <c r="AD554" s="691"/>
      <c r="AE554" s="691"/>
      <c r="AF554" s="934"/>
      <c r="AG554" s="934"/>
      <c r="AH554" s="888"/>
      <c r="AI554" s="888"/>
      <c r="AJ554" s="310"/>
      <c r="AK554" s="310"/>
      <c r="AL554" s="310"/>
      <c r="AM554" s="1"/>
      <c r="AN554" s="691"/>
      <c r="AO554" s="1"/>
      <c r="AP554" s="1"/>
    </row>
    <row r="555">
      <c r="A555" s="929"/>
      <c r="B555" s="691"/>
      <c r="C555" s="310"/>
      <c r="D555" s="691"/>
      <c r="E555" s="691"/>
      <c r="F555" s="350"/>
      <c r="G555" s="355"/>
      <c r="H555" s="780"/>
      <c r="I555" s="691"/>
      <c r="J555" s="691"/>
      <c r="K555" s="691"/>
      <c r="L555" s="691"/>
      <c r="M555" s="691"/>
      <c r="N555" s="691"/>
      <c r="O555" s="930"/>
      <c r="P555" s="909"/>
      <c r="Q555" s="931"/>
      <c r="R555" s="310"/>
      <c r="S555" s="310"/>
      <c r="T555" s="691"/>
      <c r="U555" s="691"/>
      <c r="V555" s="355"/>
      <c r="W555" s="932"/>
      <c r="X555" s="310"/>
      <c r="Y555" s="310"/>
      <c r="Z555" s="933"/>
      <c r="AA555" s="310"/>
      <c r="AB555" s="691"/>
      <c r="AC555" s="933"/>
      <c r="AD555" s="691"/>
      <c r="AE555" s="691"/>
      <c r="AF555" s="934"/>
      <c r="AG555" s="934"/>
      <c r="AH555" s="888"/>
      <c r="AI555" s="888"/>
      <c r="AJ555" s="310"/>
      <c r="AK555" s="310"/>
      <c r="AL555" s="310"/>
      <c r="AM555" s="1"/>
      <c r="AN555" s="691"/>
      <c r="AO555" s="1"/>
      <c r="AP555" s="1"/>
    </row>
    <row r="556">
      <c r="A556" s="929"/>
      <c r="B556" s="691"/>
      <c r="C556" s="310"/>
      <c r="D556" s="691"/>
      <c r="E556" s="691"/>
      <c r="F556" s="350"/>
      <c r="G556" s="355"/>
      <c r="H556" s="780"/>
      <c r="I556" s="691"/>
      <c r="J556" s="691"/>
      <c r="K556" s="691"/>
      <c r="L556" s="691"/>
      <c r="M556" s="691"/>
      <c r="N556" s="691"/>
      <c r="O556" s="930"/>
      <c r="P556" s="909"/>
      <c r="Q556" s="931"/>
      <c r="R556" s="310"/>
      <c r="S556" s="310"/>
      <c r="T556" s="691"/>
      <c r="U556" s="691"/>
      <c r="V556" s="355"/>
      <c r="W556" s="932"/>
      <c r="X556" s="310"/>
      <c r="Y556" s="310"/>
      <c r="Z556" s="933"/>
      <c r="AA556" s="310"/>
      <c r="AB556" s="691"/>
      <c r="AC556" s="933"/>
      <c r="AD556" s="691"/>
      <c r="AE556" s="691"/>
      <c r="AF556" s="934"/>
      <c r="AG556" s="934"/>
      <c r="AH556" s="888"/>
      <c r="AI556" s="888"/>
      <c r="AJ556" s="310"/>
      <c r="AK556" s="310"/>
      <c r="AL556" s="310"/>
      <c r="AM556" s="1"/>
      <c r="AN556" s="691"/>
      <c r="AO556" s="1"/>
      <c r="AP556" s="1"/>
    </row>
    <row r="557">
      <c r="A557" s="929"/>
      <c r="B557" s="691"/>
      <c r="C557" s="310"/>
      <c r="D557" s="691"/>
      <c r="E557" s="691"/>
      <c r="F557" s="350"/>
      <c r="G557" s="355"/>
      <c r="H557" s="780"/>
      <c r="I557" s="691"/>
      <c r="J557" s="691"/>
      <c r="K557" s="691"/>
      <c r="L557" s="691"/>
      <c r="M557" s="691"/>
      <c r="N557" s="691"/>
      <c r="O557" s="930"/>
      <c r="P557" s="909"/>
      <c r="Q557" s="931"/>
      <c r="R557" s="310"/>
      <c r="S557" s="310"/>
      <c r="T557" s="691"/>
      <c r="U557" s="691"/>
      <c r="V557" s="355"/>
      <c r="W557" s="932"/>
      <c r="X557" s="310"/>
      <c r="Y557" s="310"/>
      <c r="Z557" s="933"/>
      <c r="AA557" s="310"/>
      <c r="AB557" s="691"/>
      <c r="AC557" s="933"/>
      <c r="AD557" s="691"/>
      <c r="AE557" s="691"/>
      <c r="AF557" s="934"/>
      <c r="AG557" s="934"/>
      <c r="AH557" s="888"/>
      <c r="AI557" s="888"/>
      <c r="AJ557" s="310"/>
      <c r="AK557" s="310"/>
      <c r="AL557" s="310"/>
      <c r="AM557" s="1"/>
      <c r="AN557" s="691"/>
      <c r="AO557" s="1"/>
      <c r="AP557" s="1"/>
    </row>
    <row r="558">
      <c r="A558" s="929"/>
      <c r="B558" s="691"/>
      <c r="C558" s="310"/>
      <c r="D558" s="691"/>
      <c r="E558" s="691"/>
      <c r="F558" s="350"/>
      <c r="G558" s="355"/>
      <c r="H558" s="780"/>
      <c r="I558" s="691"/>
      <c r="J558" s="691"/>
      <c r="K558" s="691"/>
      <c r="L558" s="691"/>
      <c r="M558" s="691"/>
      <c r="N558" s="691"/>
      <c r="O558" s="930"/>
      <c r="P558" s="909"/>
      <c r="Q558" s="931"/>
      <c r="R558" s="310"/>
      <c r="S558" s="310"/>
      <c r="T558" s="691"/>
      <c r="U558" s="691"/>
      <c r="V558" s="355"/>
      <c r="W558" s="932"/>
      <c r="X558" s="310"/>
      <c r="Y558" s="310"/>
      <c r="Z558" s="933"/>
      <c r="AA558" s="310"/>
      <c r="AB558" s="691"/>
      <c r="AC558" s="933"/>
      <c r="AD558" s="691"/>
      <c r="AE558" s="691"/>
      <c r="AF558" s="934"/>
      <c r="AG558" s="934"/>
      <c r="AH558" s="888"/>
      <c r="AI558" s="888"/>
      <c r="AJ558" s="310"/>
      <c r="AK558" s="310"/>
      <c r="AL558" s="310"/>
      <c r="AM558" s="1"/>
      <c r="AN558" s="691"/>
      <c r="AO558" s="1"/>
      <c r="AP558" s="1"/>
    </row>
    <row r="559">
      <c r="A559" s="929"/>
      <c r="B559" s="691"/>
      <c r="C559" s="310"/>
      <c r="D559" s="691"/>
      <c r="E559" s="691"/>
      <c r="F559" s="350"/>
      <c r="G559" s="355"/>
      <c r="H559" s="780"/>
      <c r="I559" s="691"/>
      <c r="J559" s="691"/>
      <c r="K559" s="691"/>
      <c r="L559" s="691"/>
      <c r="M559" s="691"/>
      <c r="N559" s="691"/>
      <c r="O559" s="930"/>
      <c r="P559" s="909"/>
      <c r="Q559" s="931"/>
      <c r="R559" s="310"/>
      <c r="S559" s="310"/>
      <c r="T559" s="691"/>
      <c r="U559" s="691"/>
      <c r="V559" s="355"/>
      <c r="W559" s="932"/>
      <c r="X559" s="310"/>
      <c r="Y559" s="310"/>
      <c r="Z559" s="933"/>
      <c r="AA559" s="310"/>
      <c r="AB559" s="691"/>
      <c r="AC559" s="933"/>
      <c r="AD559" s="691"/>
      <c r="AE559" s="691"/>
      <c r="AF559" s="934"/>
      <c r="AG559" s="934"/>
      <c r="AH559" s="888"/>
      <c r="AI559" s="888"/>
      <c r="AJ559" s="310"/>
      <c r="AK559" s="310"/>
      <c r="AL559" s="310"/>
      <c r="AM559" s="1"/>
      <c r="AN559" s="691"/>
      <c r="AO559" s="1"/>
      <c r="AP559" s="1"/>
    </row>
    <row r="560">
      <c r="A560" s="929"/>
      <c r="B560" s="691"/>
      <c r="C560" s="310"/>
      <c r="D560" s="691"/>
      <c r="E560" s="691"/>
      <c r="F560" s="350"/>
      <c r="G560" s="355"/>
      <c r="H560" s="780"/>
      <c r="I560" s="691"/>
      <c r="J560" s="691"/>
      <c r="K560" s="691"/>
      <c r="L560" s="691"/>
      <c r="M560" s="691"/>
      <c r="N560" s="691"/>
      <c r="O560" s="930"/>
      <c r="P560" s="909"/>
      <c r="Q560" s="931"/>
      <c r="R560" s="310"/>
      <c r="S560" s="310"/>
      <c r="T560" s="691"/>
      <c r="U560" s="691"/>
      <c r="V560" s="355"/>
      <c r="W560" s="932"/>
      <c r="X560" s="310"/>
      <c r="Y560" s="310"/>
      <c r="Z560" s="933"/>
      <c r="AA560" s="310"/>
      <c r="AB560" s="691"/>
      <c r="AC560" s="933"/>
      <c r="AD560" s="691"/>
      <c r="AE560" s="691"/>
      <c r="AF560" s="934"/>
      <c r="AG560" s="934"/>
      <c r="AH560" s="888"/>
      <c r="AI560" s="888"/>
      <c r="AJ560" s="310"/>
      <c r="AK560" s="310"/>
      <c r="AL560" s="310"/>
      <c r="AM560" s="1"/>
      <c r="AN560" s="691"/>
      <c r="AO560" s="1"/>
      <c r="AP560" s="1"/>
    </row>
    <row r="561">
      <c r="A561" s="929"/>
      <c r="B561" s="691"/>
      <c r="C561" s="310"/>
      <c r="D561" s="691"/>
      <c r="E561" s="691"/>
      <c r="F561" s="350"/>
      <c r="G561" s="355"/>
      <c r="H561" s="780"/>
      <c r="I561" s="691"/>
      <c r="J561" s="691"/>
      <c r="K561" s="691"/>
      <c r="L561" s="691"/>
      <c r="M561" s="691"/>
      <c r="N561" s="691"/>
      <c r="O561" s="930"/>
      <c r="P561" s="909"/>
      <c r="Q561" s="931"/>
      <c r="R561" s="310"/>
      <c r="S561" s="310"/>
      <c r="T561" s="691"/>
      <c r="U561" s="691"/>
      <c r="V561" s="355"/>
      <c r="W561" s="932"/>
      <c r="X561" s="310"/>
      <c r="Y561" s="310"/>
      <c r="Z561" s="933"/>
      <c r="AA561" s="310"/>
      <c r="AB561" s="691"/>
      <c r="AC561" s="933"/>
      <c r="AD561" s="691"/>
      <c r="AE561" s="691"/>
      <c r="AF561" s="934"/>
      <c r="AG561" s="934"/>
      <c r="AH561" s="888"/>
      <c r="AI561" s="888"/>
      <c r="AJ561" s="310"/>
      <c r="AK561" s="310"/>
      <c r="AL561" s="310"/>
      <c r="AM561" s="1"/>
      <c r="AN561" s="691"/>
      <c r="AO561" s="1"/>
      <c r="AP561" s="1"/>
    </row>
    <row r="562">
      <c r="A562" s="929"/>
      <c r="B562" s="691"/>
      <c r="C562" s="310"/>
      <c r="D562" s="691"/>
      <c r="E562" s="691"/>
      <c r="F562" s="350"/>
      <c r="G562" s="355"/>
      <c r="H562" s="780"/>
      <c r="I562" s="691"/>
      <c r="J562" s="691"/>
      <c r="K562" s="691"/>
      <c r="L562" s="691"/>
      <c r="M562" s="691"/>
      <c r="N562" s="691"/>
      <c r="O562" s="930"/>
      <c r="P562" s="909"/>
      <c r="Q562" s="931"/>
      <c r="R562" s="310"/>
      <c r="S562" s="310"/>
      <c r="T562" s="691"/>
      <c r="U562" s="691"/>
      <c r="V562" s="355"/>
      <c r="W562" s="932"/>
      <c r="X562" s="310"/>
      <c r="Y562" s="310"/>
      <c r="Z562" s="933"/>
      <c r="AA562" s="310"/>
      <c r="AB562" s="691"/>
      <c r="AC562" s="933"/>
      <c r="AD562" s="691"/>
      <c r="AE562" s="691"/>
      <c r="AF562" s="934"/>
      <c r="AG562" s="934"/>
      <c r="AH562" s="888"/>
      <c r="AI562" s="888"/>
      <c r="AJ562" s="310"/>
      <c r="AK562" s="310"/>
      <c r="AL562" s="310"/>
      <c r="AM562" s="1"/>
      <c r="AN562" s="691"/>
      <c r="AO562" s="1"/>
      <c r="AP562" s="1"/>
    </row>
    <row r="563">
      <c r="A563" s="929"/>
      <c r="B563" s="691"/>
      <c r="C563" s="310"/>
      <c r="D563" s="691"/>
      <c r="E563" s="691"/>
      <c r="F563" s="350"/>
      <c r="G563" s="355"/>
      <c r="H563" s="780"/>
      <c r="I563" s="691"/>
      <c r="J563" s="691"/>
      <c r="K563" s="691"/>
      <c r="L563" s="691"/>
      <c r="M563" s="691"/>
      <c r="N563" s="691"/>
      <c r="O563" s="930"/>
      <c r="P563" s="909"/>
      <c r="Q563" s="931"/>
      <c r="R563" s="310"/>
      <c r="S563" s="310"/>
      <c r="T563" s="691"/>
      <c r="U563" s="691"/>
      <c r="V563" s="355"/>
      <c r="W563" s="932"/>
      <c r="X563" s="310"/>
      <c r="Y563" s="310"/>
      <c r="Z563" s="933"/>
      <c r="AA563" s="310"/>
      <c r="AB563" s="691"/>
      <c r="AC563" s="933"/>
      <c r="AD563" s="691"/>
      <c r="AE563" s="691"/>
      <c r="AF563" s="934"/>
      <c r="AG563" s="934"/>
      <c r="AH563" s="888"/>
      <c r="AI563" s="888"/>
      <c r="AJ563" s="310"/>
      <c r="AK563" s="310"/>
      <c r="AL563" s="310"/>
      <c r="AM563" s="1"/>
      <c r="AN563" s="691"/>
      <c r="AO563" s="1"/>
      <c r="AP563" s="1"/>
    </row>
    <row r="564">
      <c r="A564" s="929"/>
      <c r="B564" s="691"/>
      <c r="C564" s="310"/>
      <c r="D564" s="691"/>
      <c r="E564" s="691"/>
      <c r="F564" s="350"/>
      <c r="G564" s="355"/>
      <c r="H564" s="780"/>
      <c r="I564" s="691"/>
      <c r="J564" s="691"/>
      <c r="K564" s="691"/>
      <c r="L564" s="691"/>
      <c r="M564" s="691"/>
      <c r="N564" s="691"/>
      <c r="O564" s="930"/>
      <c r="P564" s="909"/>
      <c r="Q564" s="931"/>
      <c r="R564" s="310"/>
      <c r="S564" s="310"/>
      <c r="T564" s="691"/>
      <c r="U564" s="691"/>
      <c r="V564" s="355"/>
      <c r="W564" s="932"/>
      <c r="X564" s="310"/>
      <c r="Y564" s="310"/>
      <c r="Z564" s="933"/>
      <c r="AA564" s="310"/>
      <c r="AB564" s="691"/>
      <c r="AC564" s="933"/>
      <c r="AD564" s="691"/>
      <c r="AE564" s="691"/>
      <c r="AF564" s="934"/>
      <c r="AG564" s="934"/>
      <c r="AH564" s="888"/>
      <c r="AI564" s="888"/>
      <c r="AJ564" s="310"/>
      <c r="AK564" s="310"/>
      <c r="AL564" s="310"/>
      <c r="AM564" s="1"/>
      <c r="AN564" s="691"/>
      <c r="AO564" s="1"/>
      <c r="AP564" s="1"/>
    </row>
    <row r="565">
      <c r="A565" s="929"/>
      <c r="B565" s="691"/>
      <c r="C565" s="310"/>
      <c r="D565" s="691"/>
      <c r="E565" s="691"/>
      <c r="F565" s="350"/>
      <c r="G565" s="355"/>
      <c r="H565" s="780"/>
      <c r="I565" s="691"/>
      <c r="J565" s="691"/>
      <c r="K565" s="691"/>
      <c r="L565" s="691"/>
      <c r="M565" s="691"/>
      <c r="N565" s="691"/>
      <c r="O565" s="930"/>
      <c r="P565" s="909"/>
      <c r="Q565" s="931"/>
      <c r="R565" s="310"/>
      <c r="S565" s="310"/>
      <c r="T565" s="691"/>
      <c r="U565" s="691"/>
      <c r="V565" s="355"/>
      <c r="W565" s="932"/>
      <c r="X565" s="310"/>
      <c r="Y565" s="310"/>
      <c r="Z565" s="933"/>
      <c r="AA565" s="310"/>
      <c r="AB565" s="691"/>
      <c r="AC565" s="933"/>
      <c r="AD565" s="691"/>
      <c r="AE565" s="691"/>
      <c r="AF565" s="934"/>
      <c r="AG565" s="934"/>
      <c r="AH565" s="888"/>
      <c r="AI565" s="888"/>
      <c r="AJ565" s="310"/>
      <c r="AK565" s="310"/>
      <c r="AL565" s="310"/>
      <c r="AM565" s="1"/>
      <c r="AN565" s="691"/>
      <c r="AO565" s="1"/>
      <c r="AP565" s="1"/>
    </row>
    <row r="566">
      <c r="A566" s="929"/>
      <c r="B566" s="691"/>
      <c r="C566" s="310"/>
      <c r="D566" s="691"/>
      <c r="E566" s="691"/>
      <c r="F566" s="350"/>
      <c r="G566" s="355"/>
      <c r="H566" s="780"/>
      <c r="I566" s="691"/>
      <c r="J566" s="691"/>
      <c r="K566" s="691"/>
      <c r="L566" s="691"/>
      <c r="M566" s="691"/>
      <c r="N566" s="691"/>
      <c r="O566" s="930"/>
      <c r="P566" s="909"/>
      <c r="Q566" s="931"/>
      <c r="R566" s="310"/>
      <c r="S566" s="310"/>
      <c r="T566" s="691"/>
      <c r="U566" s="691"/>
      <c r="V566" s="355"/>
      <c r="W566" s="932"/>
      <c r="X566" s="310"/>
      <c r="Y566" s="310"/>
      <c r="Z566" s="933"/>
      <c r="AA566" s="310"/>
      <c r="AB566" s="691"/>
      <c r="AC566" s="933"/>
      <c r="AD566" s="691"/>
      <c r="AE566" s="691"/>
      <c r="AF566" s="934"/>
      <c r="AG566" s="934"/>
      <c r="AH566" s="888"/>
      <c r="AI566" s="888"/>
      <c r="AJ566" s="310"/>
      <c r="AK566" s="310"/>
      <c r="AL566" s="310"/>
      <c r="AM566" s="1"/>
      <c r="AN566" s="691"/>
      <c r="AO566" s="1"/>
      <c r="AP566" s="1"/>
    </row>
    <row r="567">
      <c r="A567" s="929"/>
      <c r="B567" s="691"/>
      <c r="C567" s="310"/>
      <c r="D567" s="691"/>
      <c r="E567" s="691"/>
      <c r="F567" s="350"/>
      <c r="G567" s="355"/>
      <c r="H567" s="780"/>
      <c r="I567" s="691"/>
      <c r="J567" s="691"/>
      <c r="K567" s="691"/>
      <c r="L567" s="691"/>
      <c r="M567" s="691"/>
      <c r="N567" s="691"/>
      <c r="O567" s="930"/>
      <c r="P567" s="909"/>
      <c r="Q567" s="931"/>
      <c r="R567" s="310"/>
      <c r="S567" s="310"/>
      <c r="T567" s="691"/>
      <c r="U567" s="691"/>
      <c r="V567" s="355"/>
      <c r="W567" s="932"/>
      <c r="X567" s="310"/>
      <c r="Y567" s="310"/>
      <c r="Z567" s="933"/>
      <c r="AA567" s="310"/>
      <c r="AB567" s="691"/>
      <c r="AC567" s="933"/>
      <c r="AD567" s="691"/>
      <c r="AE567" s="691"/>
      <c r="AF567" s="934"/>
      <c r="AG567" s="934"/>
      <c r="AH567" s="888"/>
      <c r="AI567" s="888"/>
      <c r="AJ567" s="310"/>
      <c r="AK567" s="310"/>
      <c r="AL567" s="310"/>
      <c r="AM567" s="1"/>
      <c r="AN567" s="691"/>
      <c r="AO567" s="1"/>
      <c r="AP567" s="1"/>
    </row>
    <row r="568">
      <c r="A568" s="929"/>
      <c r="B568" s="691"/>
      <c r="C568" s="310"/>
      <c r="D568" s="691"/>
      <c r="E568" s="691"/>
      <c r="F568" s="350"/>
      <c r="G568" s="355"/>
      <c r="H568" s="780"/>
      <c r="I568" s="691"/>
      <c r="J568" s="691"/>
      <c r="K568" s="691"/>
      <c r="L568" s="691"/>
      <c r="M568" s="691"/>
      <c r="N568" s="691"/>
      <c r="O568" s="930"/>
      <c r="P568" s="909"/>
      <c r="Q568" s="931"/>
      <c r="R568" s="310"/>
      <c r="S568" s="310"/>
      <c r="T568" s="691"/>
      <c r="U568" s="691"/>
      <c r="V568" s="355"/>
      <c r="W568" s="932"/>
      <c r="X568" s="310"/>
      <c r="Y568" s="310"/>
      <c r="Z568" s="933"/>
      <c r="AA568" s="310"/>
      <c r="AB568" s="691"/>
      <c r="AC568" s="933"/>
      <c r="AD568" s="691"/>
      <c r="AE568" s="691"/>
      <c r="AF568" s="934"/>
      <c r="AG568" s="934"/>
      <c r="AH568" s="888"/>
      <c r="AI568" s="888"/>
      <c r="AJ568" s="310"/>
      <c r="AK568" s="310"/>
      <c r="AL568" s="310"/>
      <c r="AM568" s="1"/>
      <c r="AN568" s="691"/>
      <c r="AO568" s="1"/>
      <c r="AP568" s="1"/>
    </row>
    <row r="569">
      <c r="A569" s="929"/>
      <c r="B569" s="691"/>
      <c r="C569" s="310"/>
      <c r="D569" s="691"/>
      <c r="E569" s="691"/>
      <c r="F569" s="350"/>
      <c r="G569" s="355"/>
      <c r="H569" s="780"/>
      <c r="I569" s="691"/>
      <c r="J569" s="691"/>
      <c r="K569" s="691"/>
      <c r="L569" s="691"/>
      <c r="M569" s="691"/>
      <c r="N569" s="691"/>
      <c r="O569" s="930"/>
      <c r="P569" s="909"/>
      <c r="Q569" s="931"/>
      <c r="R569" s="310"/>
      <c r="S569" s="310"/>
      <c r="T569" s="691"/>
      <c r="U569" s="691"/>
      <c r="V569" s="355"/>
      <c r="W569" s="932"/>
      <c r="X569" s="310"/>
      <c r="Y569" s="310"/>
      <c r="Z569" s="933"/>
      <c r="AA569" s="310"/>
      <c r="AB569" s="691"/>
      <c r="AC569" s="933"/>
      <c r="AD569" s="691"/>
      <c r="AE569" s="691"/>
      <c r="AF569" s="934"/>
      <c r="AG569" s="934"/>
      <c r="AH569" s="888"/>
      <c r="AI569" s="888"/>
      <c r="AJ569" s="310"/>
      <c r="AK569" s="310"/>
      <c r="AL569" s="310"/>
      <c r="AM569" s="1"/>
      <c r="AN569" s="691"/>
      <c r="AO569" s="1"/>
      <c r="AP569" s="1"/>
    </row>
    <row r="570">
      <c r="A570" s="929"/>
      <c r="B570" s="691"/>
      <c r="C570" s="310"/>
      <c r="D570" s="691"/>
      <c r="E570" s="691"/>
      <c r="F570" s="350"/>
      <c r="G570" s="355"/>
      <c r="H570" s="780"/>
      <c r="I570" s="691"/>
      <c r="J570" s="691"/>
      <c r="K570" s="691"/>
      <c r="L570" s="691"/>
      <c r="M570" s="691"/>
      <c r="N570" s="691"/>
      <c r="O570" s="930"/>
      <c r="P570" s="909"/>
      <c r="Q570" s="931"/>
      <c r="R570" s="310"/>
      <c r="S570" s="310"/>
      <c r="T570" s="691"/>
      <c r="U570" s="691"/>
      <c r="V570" s="355"/>
      <c r="W570" s="932"/>
      <c r="X570" s="310"/>
      <c r="Y570" s="310"/>
      <c r="Z570" s="933"/>
      <c r="AA570" s="310"/>
      <c r="AB570" s="691"/>
      <c r="AC570" s="933"/>
      <c r="AD570" s="691"/>
      <c r="AE570" s="691"/>
      <c r="AF570" s="934"/>
      <c r="AG570" s="934"/>
      <c r="AH570" s="888"/>
      <c r="AI570" s="888"/>
      <c r="AJ570" s="310"/>
      <c r="AK570" s="310"/>
      <c r="AL570" s="310"/>
      <c r="AM570" s="1"/>
      <c r="AN570" s="691"/>
      <c r="AO570" s="1"/>
      <c r="AP570" s="1"/>
    </row>
    <row r="571">
      <c r="A571" s="929"/>
      <c r="B571" s="691"/>
      <c r="C571" s="310"/>
      <c r="D571" s="691"/>
      <c r="E571" s="691"/>
      <c r="F571" s="350"/>
      <c r="G571" s="355"/>
      <c r="H571" s="780"/>
      <c r="I571" s="691"/>
      <c r="J571" s="691"/>
      <c r="K571" s="691"/>
      <c r="L571" s="691"/>
      <c r="M571" s="691"/>
      <c r="N571" s="691"/>
      <c r="O571" s="930"/>
      <c r="P571" s="909"/>
      <c r="Q571" s="931"/>
      <c r="R571" s="310"/>
      <c r="S571" s="310"/>
      <c r="T571" s="691"/>
      <c r="U571" s="691"/>
      <c r="V571" s="355"/>
      <c r="W571" s="932"/>
      <c r="X571" s="310"/>
      <c r="Y571" s="310"/>
      <c r="Z571" s="933"/>
      <c r="AA571" s="310"/>
      <c r="AB571" s="691"/>
      <c r="AC571" s="933"/>
      <c r="AD571" s="691"/>
      <c r="AE571" s="691"/>
      <c r="AF571" s="934"/>
      <c r="AG571" s="934"/>
      <c r="AH571" s="888"/>
      <c r="AI571" s="888"/>
      <c r="AJ571" s="310"/>
      <c r="AK571" s="310"/>
      <c r="AL571" s="310"/>
      <c r="AM571" s="1"/>
      <c r="AN571" s="691"/>
      <c r="AO571" s="1"/>
      <c r="AP571" s="1"/>
    </row>
    <row r="572">
      <c r="A572" s="929"/>
      <c r="B572" s="691"/>
      <c r="C572" s="310"/>
      <c r="D572" s="691"/>
      <c r="E572" s="691"/>
      <c r="F572" s="350"/>
      <c r="G572" s="355"/>
      <c r="H572" s="780"/>
      <c r="I572" s="691"/>
      <c r="J572" s="691"/>
      <c r="K572" s="691"/>
      <c r="L572" s="691"/>
      <c r="M572" s="691"/>
      <c r="N572" s="691"/>
      <c r="O572" s="930"/>
      <c r="P572" s="909"/>
      <c r="Q572" s="931"/>
      <c r="R572" s="310"/>
      <c r="S572" s="310"/>
      <c r="T572" s="691"/>
      <c r="U572" s="691"/>
      <c r="V572" s="355"/>
      <c r="W572" s="932"/>
      <c r="X572" s="310"/>
      <c r="Y572" s="310"/>
      <c r="Z572" s="933"/>
      <c r="AA572" s="310"/>
      <c r="AB572" s="691"/>
      <c r="AC572" s="933"/>
      <c r="AD572" s="691"/>
      <c r="AE572" s="691"/>
      <c r="AF572" s="934"/>
      <c r="AG572" s="934"/>
      <c r="AH572" s="888"/>
      <c r="AI572" s="888"/>
      <c r="AJ572" s="310"/>
      <c r="AK572" s="310"/>
      <c r="AL572" s="310"/>
      <c r="AM572" s="1"/>
      <c r="AN572" s="691"/>
      <c r="AO572" s="1"/>
      <c r="AP572" s="1"/>
    </row>
    <row r="573">
      <c r="A573" s="929"/>
      <c r="B573" s="691"/>
      <c r="C573" s="310"/>
      <c r="D573" s="691"/>
      <c r="E573" s="691"/>
      <c r="F573" s="350"/>
      <c r="G573" s="355"/>
      <c r="H573" s="780"/>
      <c r="I573" s="691"/>
      <c r="J573" s="691"/>
      <c r="K573" s="691"/>
      <c r="L573" s="691"/>
      <c r="M573" s="691"/>
      <c r="N573" s="691"/>
      <c r="O573" s="930"/>
      <c r="P573" s="909"/>
      <c r="Q573" s="931"/>
      <c r="R573" s="310"/>
      <c r="S573" s="310"/>
      <c r="T573" s="691"/>
      <c r="U573" s="691"/>
      <c r="V573" s="355"/>
      <c r="W573" s="932"/>
      <c r="X573" s="310"/>
      <c r="Y573" s="310"/>
      <c r="Z573" s="933"/>
      <c r="AA573" s="310"/>
      <c r="AB573" s="691"/>
      <c r="AC573" s="933"/>
      <c r="AD573" s="691"/>
      <c r="AE573" s="691"/>
      <c r="AF573" s="934"/>
      <c r="AG573" s="934"/>
      <c r="AH573" s="888"/>
      <c r="AI573" s="888"/>
      <c r="AJ573" s="310"/>
      <c r="AK573" s="310"/>
      <c r="AL573" s="310"/>
      <c r="AM573" s="1"/>
      <c r="AN573" s="691"/>
      <c r="AO573" s="1"/>
      <c r="AP573" s="1"/>
    </row>
    <row r="574">
      <c r="A574" s="929"/>
      <c r="B574" s="691"/>
      <c r="C574" s="310"/>
      <c r="D574" s="691"/>
      <c r="E574" s="691"/>
      <c r="F574" s="350"/>
      <c r="G574" s="355"/>
      <c r="H574" s="780"/>
      <c r="I574" s="691"/>
      <c r="J574" s="691"/>
      <c r="K574" s="691"/>
      <c r="L574" s="691"/>
      <c r="M574" s="691"/>
      <c r="N574" s="691"/>
      <c r="O574" s="930"/>
      <c r="P574" s="909"/>
      <c r="Q574" s="931"/>
      <c r="R574" s="310"/>
      <c r="S574" s="310"/>
      <c r="T574" s="691"/>
      <c r="U574" s="691"/>
      <c r="V574" s="355"/>
      <c r="W574" s="932"/>
      <c r="X574" s="310"/>
      <c r="Y574" s="310"/>
      <c r="Z574" s="933"/>
      <c r="AA574" s="310"/>
      <c r="AB574" s="691"/>
      <c r="AC574" s="933"/>
      <c r="AD574" s="691"/>
      <c r="AE574" s="691"/>
      <c r="AF574" s="934"/>
      <c r="AG574" s="934"/>
      <c r="AH574" s="888"/>
      <c r="AI574" s="888"/>
      <c r="AJ574" s="310"/>
      <c r="AK574" s="310"/>
      <c r="AL574" s="310"/>
      <c r="AM574" s="1"/>
      <c r="AN574" s="691"/>
      <c r="AO574" s="1"/>
      <c r="AP574" s="1"/>
    </row>
    <row r="575">
      <c r="A575" s="929"/>
      <c r="B575" s="691"/>
      <c r="C575" s="310"/>
      <c r="D575" s="691"/>
      <c r="E575" s="691"/>
      <c r="F575" s="350"/>
      <c r="G575" s="355"/>
      <c r="H575" s="780"/>
      <c r="I575" s="691"/>
      <c r="J575" s="691"/>
      <c r="K575" s="691"/>
      <c r="L575" s="691"/>
      <c r="M575" s="691"/>
      <c r="N575" s="691"/>
      <c r="O575" s="930"/>
      <c r="P575" s="909"/>
      <c r="Q575" s="931"/>
      <c r="R575" s="310"/>
      <c r="S575" s="310"/>
      <c r="T575" s="691"/>
      <c r="U575" s="691"/>
      <c r="V575" s="355"/>
      <c r="W575" s="932"/>
      <c r="X575" s="310"/>
      <c r="Y575" s="310"/>
      <c r="Z575" s="933"/>
      <c r="AA575" s="310"/>
      <c r="AB575" s="691"/>
      <c r="AC575" s="933"/>
      <c r="AD575" s="691"/>
      <c r="AE575" s="691"/>
      <c r="AF575" s="934"/>
      <c r="AG575" s="934"/>
      <c r="AH575" s="888"/>
      <c r="AI575" s="888"/>
      <c r="AJ575" s="310"/>
      <c r="AK575" s="310"/>
      <c r="AL575" s="310"/>
      <c r="AM575" s="1"/>
      <c r="AN575" s="691"/>
      <c r="AO575" s="1"/>
      <c r="AP575" s="1"/>
    </row>
    <row r="576">
      <c r="A576" s="929"/>
      <c r="B576" s="691"/>
      <c r="C576" s="310"/>
      <c r="D576" s="691"/>
      <c r="E576" s="691"/>
      <c r="F576" s="350"/>
      <c r="G576" s="355"/>
      <c r="H576" s="780"/>
      <c r="I576" s="691"/>
      <c r="J576" s="691"/>
      <c r="K576" s="691"/>
      <c r="L576" s="691"/>
      <c r="M576" s="691"/>
      <c r="N576" s="691"/>
      <c r="O576" s="930"/>
      <c r="P576" s="909"/>
      <c r="Q576" s="931"/>
      <c r="R576" s="310"/>
      <c r="S576" s="310"/>
      <c r="T576" s="691"/>
      <c r="U576" s="691"/>
      <c r="V576" s="355"/>
      <c r="W576" s="932"/>
      <c r="X576" s="310"/>
      <c r="Y576" s="310"/>
      <c r="Z576" s="933"/>
      <c r="AA576" s="310"/>
      <c r="AB576" s="691"/>
      <c r="AC576" s="933"/>
      <c r="AD576" s="691"/>
      <c r="AE576" s="691"/>
      <c r="AF576" s="934"/>
      <c r="AG576" s="934"/>
      <c r="AH576" s="888"/>
      <c r="AI576" s="888"/>
      <c r="AJ576" s="310"/>
      <c r="AK576" s="310"/>
      <c r="AL576" s="310"/>
      <c r="AM576" s="1"/>
      <c r="AN576" s="691"/>
      <c r="AO576" s="1"/>
      <c r="AP576" s="1"/>
    </row>
    <row r="577">
      <c r="A577" s="929"/>
      <c r="B577" s="691"/>
      <c r="C577" s="310"/>
      <c r="D577" s="691"/>
      <c r="E577" s="691"/>
      <c r="F577" s="350"/>
      <c r="G577" s="355"/>
      <c r="H577" s="780"/>
      <c r="I577" s="691"/>
      <c r="J577" s="691"/>
      <c r="K577" s="691"/>
      <c r="L577" s="691"/>
      <c r="M577" s="691"/>
      <c r="N577" s="691"/>
      <c r="O577" s="930"/>
      <c r="P577" s="909"/>
      <c r="Q577" s="931"/>
      <c r="R577" s="310"/>
      <c r="S577" s="310"/>
      <c r="T577" s="691"/>
      <c r="U577" s="691"/>
      <c r="V577" s="355"/>
      <c r="W577" s="932"/>
      <c r="X577" s="310"/>
      <c r="Y577" s="310"/>
      <c r="Z577" s="933"/>
      <c r="AA577" s="310"/>
      <c r="AB577" s="691"/>
      <c r="AC577" s="933"/>
      <c r="AD577" s="691"/>
      <c r="AE577" s="691"/>
      <c r="AF577" s="934"/>
      <c r="AG577" s="934"/>
      <c r="AH577" s="888"/>
      <c r="AI577" s="888"/>
      <c r="AJ577" s="310"/>
      <c r="AK577" s="310"/>
      <c r="AL577" s="310"/>
      <c r="AM577" s="1"/>
      <c r="AN577" s="691"/>
      <c r="AO577" s="1"/>
      <c r="AP577" s="1"/>
    </row>
    <row r="578">
      <c r="A578" s="929"/>
      <c r="B578" s="691"/>
      <c r="C578" s="310"/>
      <c r="D578" s="691"/>
      <c r="E578" s="691"/>
      <c r="F578" s="350"/>
      <c r="G578" s="355"/>
      <c r="H578" s="780"/>
      <c r="I578" s="691"/>
      <c r="J578" s="691"/>
      <c r="K578" s="691"/>
      <c r="L578" s="691"/>
      <c r="M578" s="691"/>
      <c r="N578" s="691"/>
      <c r="O578" s="930"/>
      <c r="P578" s="909"/>
      <c r="Q578" s="931"/>
      <c r="R578" s="310"/>
      <c r="S578" s="310"/>
      <c r="T578" s="691"/>
      <c r="U578" s="691"/>
      <c r="V578" s="355"/>
      <c r="W578" s="932"/>
      <c r="X578" s="310"/>
      <c r="Y578" s="310"/>
      <c r="Z578" s="933"/>
      <c r="AA578" s="310"/>
      <c r="AB578" s="691"/>
      <c r="AC578" s="933"/>
      <c r="AD578" s="691"/>
      <c r="AE578" s="691"/>
      <c r="AF578" s="934"/>
      <c r="AG578" s="934"/>
      <c r="AH578" s="888"/>
      <c r="AI578" s="888"/>
      <c r="AJ578" s="310"/>
      <c r="AK578" s="310"/>
      <c r="AL578" s="310"/>
      <c r="AM578" s="1"/>
      <c r="AN578" s="691"/>
      <c r="AO578" s="1"/>
      <c r="AP578" s="1"/>
    </row>
    <row r="579">
      <c r="A579" s="929"/>
      <c r="B579" s="691"/>
      <c r="C579" s="310"/>
      <c r="D579" s="691"/>
      <c r="E579" s="691"/>
      <c r="F579" s="350"/>
      <c r="G579" s="355"/>
      <c r="H579" s="780"/>
      <c r="I579" s="691"/>
      <c r="J579" s="691"/>
      <c r="K579" s="691"/>
      <c r="L579" s="691"/>
      <c r="M579" s="691"/>
      <c r="N579" s="691"/>
      <c r="O579" s="930"/>
      <c r="P579" s="909"/>
      <c r="Q579" s="931"/>
      <c r="R579" s="310"/>
      <c r="S579" s="310"/>
      <c r="T579" s="691"/>
      <c r="U579" s="691"/>
      <c r="V579" s="355"/>
      <c r="W579" s="932"/>
      <c r="X579" s="310"/>
      <c r="Y579" s="310"/>
      <c r="Z579" s="933"/>
      <c r="AA579" s="310"/>
      <c r="AB579" s="691"/>
      <c r="AC579" s="933"/>
      <c r="AD579" s="691"/>
      <c r="AE579" s="691"/>
      <c r="AF579" s="934"/>
      <c r="AG579" s="934"/>
      <c r="AH579" s="888"/>
      <c r="AI579" s="888"/>
      <c r="AJ579" s="310"/>
      <c r="AK579" s="310"/>
      <c r="AL579" s="310"/>
      <c r="AM579" s="1"/>
      <c r="AN579" s="691"/>
      <c r="AO579" s="1"/>
      <c r="AP579" s="1"/>
    </row>
    <row r="580">
      <c r="A580" s="929"/>
      <c r="B580" s="691"/>
      <c r="C580" s="310"/>
      <c r="D580" s="691"/>
      <c r="E580" s="691"/>
      <c r="F580" s="350"/>
      <c r="G580" s="355"/>
      <c r="H580" s="780"/>
      <c r="I580" s="691"/>
      <c r="J580" s="691"/>
      <c r="K580" s="691"/>
      <c r="L580" s="691"/>
      <c r="M580" s="691"/>
      <c r="N580" s="691"/>
      <c r="O580" s="930"/>
      <c r="P580" s="909"/>
      <c r="Q580" s="931"/>
      <c r="R580" s="310"/>
      <c r="S580" s="310"/>
      <c r="T580" s="691"/>
      <c r="U580" s="691"/>
      <c r="V580" s="355"/>
      <c r="W580" s="932"/>
      <c r="X580" s="310"/>
      <c r="Y580" s="310"/>
      <c r="Z580" s="933"/>
      <c r="AA580" s="310"/>
      <c r="AB580" s="691"/>
      <c r="AC580" s="933"/>
      <c r="AD580" s="691"/>
      <c r="AE580" s="691"/>
      <c r="AF580" s="934"/>
      <c r="AG580" s="934"/>
      <c r="AH580" s="888"/>
      <c r="AI580" s="888"/>
      <c r="AJ580" s="310"/>
      <c r="AK580" s="310"/>
      <c r="AL580" s="310"/>
      <c r="AM580" s="1"/>
      <c r="AN580" s="691"/>
      <c r="AO580" s="1"/>
      <c r="AP580" s="1"/>
    </row>
    <row r="581">
      <c r="A581" s="929"/>
      <c r="B581" s="691"/>
      <c r="C581" s="310"/>
      <c r="D581" s="691"/>
      <c r="E581" s="691"/>
      <c r="F581" s="350"/>
      <c r="G581" s="355"/>
      <c r="H581" s="780"/>
      <c r="I581" s="691"/>
      <c r="J581" s="691"/>
      <c r="K581" s="691"/>
      <c r="L581" s="691"/>
      <c r="M581" s="691"/>
      <c r="N581" s="691"/>
      <c r="O581" s="930"/>
      <c r="P581" s="909"/>
      <c r="Q581" s="931"/>
      <c r="R581" s="310"/>
      <c r="S581" s="310"/>
      <c r="T581" s="691"/>
      <c r="U581" s="691"/>
      <c r="V581" s="355"/>
      <c r="W581" s="932"/>
      <c r="X581" s="310"/>
      <c r="Y581" s="310"/>
      <c r="Z581" s="933"/>
      <c r="AA581" s="310"/>
      <c r="AB581" s="691"/>
      <c r="AC581" s="933"/>
      <c r="AD581" s="691"/>
      <c r="AE581" s="691"/>
      <c r="AF581" s="934"/>
      <c r="AG581" s="934"/>
      <c r="AH581" s="888"/>
      <c r="AI581" s="888"/>
      <c r="AJ581" s="310"/>
      <c r="AK581" s="310"/>
      <c r="AL581" s="310"/>
      <c r="AM581" s="1"/>
      <c r="AN581" s="691"/>
      <c r="AO581" s="1"/>
      <c r="AP581" s="1"/>
    </row>
    <row r="582">
      <c r="A582" s="929"/>
      <c r="B582" s="691"/>
      <c r="C582" s="310"/>
      <c r="D582" s="691"/>
      <c r="E582" s="691"/>
      <c r="F582" s="350"/>
      <c r="G582" s="355"/>
      <c r="H582" s="780"/>
      <c r="I582" s="691"/>
      <c r="J582" s="691"/>
      <c r="K582" s="691"/>
      <c r="L582" s="691"/>
      <c r="M582" s="691"/>
      <c r="N582" s="691"/>
      <c r="O582" s="930"/>
      <c r="P582" s="909"/>
      <c r="Q582" s="931"/>
      <c r="R582" s="310"/>
      <c r="S582" s="310"/>
      <c r="T582" s="691"/>
      <c r="U582" s="691"/>
      <c r="V582" s="355"/>
      <c r="W582" s="932"/>
      <c r="X582" s="310"/>
      <c r="Y582" s="310"/>
      <c r="Z582" s="933"/>
      <c r="AA582" s="310"/>
      <c r="AB582" s="691"/>
      <c r="AC582" s="933"/>
      <c r="AD582" s="691"/>
      <c r="AE582" s="691"/>
      <c r="AF582" s="934"/>
      <c r="AG582" s="934"/>
      <c r="AH582" s="888"/>
      <c r="AI582" s="888"/>
      <c r="AJ582" s="310"/>
      <c r="AK582" s="310"/>
      <c r="AL582" s="310"/>
      <c r="AM582" s="1"/>
      <c r="AN582" s="691"/>
      <c r="AO582" s="1"/>
      <c r="AP582" s="1"/>
    </row>
    <row r="583">
      <c r="A583" s="929"/>
      <c r="B583" s="691"/>
      <c r="C583" s="310"/>
      <c r="D583" s="691"/>
      <c r="E583" s="691"/>
      <c r="F583" s="350"/>
      <c r="G583" s="355"/>
      <c r="H583" s="780"/>
      <c r="I583" s="691"/>
      <c r="J583" s="691"/>
      <c r="K583" s="691"/>
      <c r="L583" s="691"/>
      <c r="M583" s="691"/>
      <c r="N583" s="691"/>
      <c r="O583" s="930"/>
      <c r="P583" s="909"/>
      <c r="Q583" s="931"/>
      <c r="R583" s="310"/>
      <c r="S583" s="310"/>
      <c r="T583" s="691"/>
      <c r="U583" s="691"/>
      <c r="V583" s="355"/>
      <c r="W583" s="932"/>
      <c r="X583" s="310"/>
      <c r="Y583" s="310"/>
      <c r="Z583" s="933"/>
      <c r="AA583" s="310"/>
      <c r="AB583" s="691"/>
      <c r="AC583" s="933"/>
      <c r="AD583" s="691"/>
      <c r="AE583" s="691"/>
      <c r="AF583" s="934"/>
      <c r="AG583" s="934"/>
      <c r="AH583" s="888"/>
      <c r="AI583" s="888"/>
      <c r="AJ583" s="310"/>
      <c r="AK583" s="310"/>
      <c r="AL583" s="310"/>
      <c r="AM583" s="1"/>
      <c r="AN583" s="691"/>
      <c r="AO583" s="1"/>
      <c r="AP583" s="1"/>
    </row>
    <row r="584">
      <c r="A584" s="929"/>
      <c r="B584" s="691"/>
      <c r="C584" s="310"/>
      <c r="D584" s="691"/>
      <c r="E584" s="691"/>
      <c r="F584" s="350"/>
      <c r="G584" s="355"/>
      <c r="H584" s="780"/>
      <c r="I584" s="691"/>
      <c r="J584" s="691"/>
      <c r="K584" s="691"/>
      <c r="L584" s="691"/>
      <c r="M584" s="691"/>
      <c r="N584" s="691"/>
      <c r="O584" s="930"/>
      <c r="P584" s="909"/>
      <c r="Q584" s="931"/>
      <c r="R584" s="310"/>
      <c r="S584" s="310"/>
      <c r="T584" s="691"/>
      <c r="U584" s="691"/>
      <c r="V584" s="355"/>
      <c r="W584" s="932"/>
      <c r="X584" s="310"/>
      <c r="Y584" s="310"/>
      <c r="Z584" s="933"/>
      <c r="AA584" s="310"/>
      <c r="AB584" s="691"/>
      <c r="AC584" s="933"/>
      <c r="AD584" s="691"/>
      <c r="AE584" s="691"/>
      <c r="AF584" s="934"/>
      <c r="AG584" s="934"/>
      <c r="AH584" s="888"/>
      <c r="AI584" s="888"/>
      <c r="AJ584" s="310"/>
      <c r="AK584" s="310"/>
      <c r="AL584" s="310"/>
      <c r="AM584" s="1"/>
      <c r="AN584" s="691"/>
      <c r="AO584" s="1"/>
      <c r="AP584" s="1"/>
    </row>
    <row r="585">
      <c r="A585" s="929"/>
      <c r="B585" s="691"/>
      <c r="C585" s="310"/>
      <c r="D585" s="691"/>
      <c r="E585" s="691"/>
      <c r="F585" s="350"/>
      <c r="G585" s="355"/>
      <c r="H585" s="780"/>
      <c r="I585" s="691"/>
      <c r="J585" s="691"/>
      <c r="K585" s="691"/>
      <c r="L585" s="691"/>
      <c r="M585" s="691"/>
      <c r="N585" s="691"/>
      <c r="O585" s="930"/>
      <c r="P585" s="909"/>
      <c r="Q585" s="931"/>
      <c r="R585" s="310"/>
      <c r="S585" s="310"/>
      <c r="T585" s="691"/>
      <c r="U585" s="691"/>
      <c r="V585" s="355"/>
      <c r="W585" s="932"/>
      <c r="X585" s="310"/>
      <c r="Y585" s="310"/>
      <c r="Z585" s="933"/>
      <c r="AA585" s="310"/>
      <c r="AB585" s="691"/>
      <c r="AC585" s="933"/>
      <c r="AD585" s="691"/>
      <c r="AE585" s="691"/>
      <c r="AF585" s="934"/>
      <c r="AG585" s="934"/>
      <c r="AH585" s="888"/>
      <c r="AI585" s="888"/>
      <c r="AJ585" s="310"/>
      <c r="AK585" s="310"/>
      <c r="AL585" s="310"/>
      <c r="AM585" s="1"/>
      <c r="AN585" s="691"/>
      <c r="AO585" s="1"/>
      <c r="AP585" s="1"/>
    </row>
    <row r="586">
      <c r="A586" s="929"/>
      <c r="B586" s="691"/>
      <c r="C586" s="310"/>
      <c r="D586" s="691"/>
      <c r="E586" s="691"/>
      <c r="F586" s="350"/>
      <c r="G586" s="355"/>
      <c r="H586" s="780"/>
      <c r="I586" s="691"/>
      <c r="J586" s="691"/>
      <c r="K586" s="691"/>
      <c r="L586" s="691"/>
      <c r="M586" s="691"/>
      <c r="N586" s="691"/>
      <c r="O586" s="930"/>
      <c r="P586" s="909"/>
      <c r="Q586" s="931"/>
      <c r="R586" s="310"/>
      <c r="S586" s="310"/>
      <c r="T586" s="691"/>
      <c r="U586" s="691"/>
      <c r="V586" s="355"/>
      <c r="W586" s="932"/>
      <c r="X586" s="310"/>
      <c r="Y586" s="310"/>
      <c r="Z586" s="933"/>
      <c r="AA586" s="310"/>
      <c r="AB586" s="691"/>
      <c r="AC586" s="933"/>
      <c r="AD586" s="691"/>
      <c r="AE586" s="691"/>
      <c r="AF586" s="934"/>
      <c r="AG586" s="934"/>
      <c r="AH586" s="888"/>
      <c r="AI586" s="888"/>
      <c r="AJ586" s="310"/>
      <c r="AK586" s="310"/>
      <c r="AL586" s="310"/>
      <c r="AM586" s="1"/>
      <c r="AN586" s="691"/>
      <c r="AO586" s="1"/>
      <c r="AP586" s="1"/>
    </row>
    <row r="587">
      <c r="A587" s="929"/>
      <c r="B587" s="691"/>
      <c r="C587" s="310"/>
      <c r="D587" s="691"/>
      <c r="E587" s="691"/>
      <c r="F587" s="350"/>
      <c r="G587" s="355"/>
      <c r="H587" s="780"/>
      <c r="I587" s="691"/>
      <c r="J587" s="691"/>
      <c r="K587" s="691"/>
      <c r="L587" s="691"/>
      <c r="M587" s="691"/>
      <c r="N587" s="691"/>
      <c r="O587" s="930"/>
      <c r="P587" s="909"/>
      <c r="Q587" s="931"/>
      <c r="R587" s="310"/>
      <c r="S587" s="310"/>
      <c r="T587" s="691"/>
      <c r="U587" s="691"/>
      <c r="V587" s="355"/>
      <c r="W587" s="932"/>
      <c r="X587" s="310"/>
      <c r="Y587" s="310"/>
      <c r="Z587" s="933"/>
      <c r="AA587" s="310"/>
      <c r="AB587" s="691"/>
      <c r="AC587" s="933"/>
      <c r="AD587" s="691"/>
      <c r="AE587" s="691"/>
      <c r="AF587" s="934"/>
      <c r="AG587" s="934"/>
      <c r="AH587" s="888"/>
      <c r="AI587" s="888"/>
      <c r="AJ587" s="310"/>
      <c r="AK587" s="310"/>
      <c r="AL587" s="310"/>
      <c r="AM587" s="1"/>
      <c r="AN587" s="691"/>
      <c r="AO587" s="1"/>
      <c r="AP587" s="1"/>
    </row>
    <row r="588">
      <c r="A588" s="929"/>
      <c r="B588" s="691"/>
      <c r="C588" s="310"/>
      <c r="D588" s="691"/>
      <c r="E588" s="691"/>
      <c r="F588" s="350"/>
      <c r="G588" s="355"/>
      <c r="H588" s="780"/>
      <c r="I588" s="691"/>
      <c r="J588" s="691"/>
      <c r="K588" s="691"/>
      <c r="L588" s="691"/>
      <c r="M588" s="691"/>
      <c r="N588" s="691"/>
      <c r="O588" s="930"/>
      <c r="P588" s="909"/>
      <c r="Q588" s="931"/>
      <c r="R588" s="310"/>
      <c r="S588" s="310"/>
      <c r="T588" s="691"/>
      <c r="U588" s="691"/>
      <c r="V588" s="355"/>
      <c r="W588" s="932"/>
      <c r="X588" s="310"/>
      <c r="Y588" s="310"/>
      <c r="Z588" s="933"/>
      <c r="AA588" s="310"/>
      <c r="AB588" s="691"/>
      <c r="AC588" s="933"/>
      <c r="AD588" s="691"/>
      <c r="AE588" s="691"/>
      <c r="AF588" s="934"/>
      <c r="AG588" s="934"/>
      <c r="AH588" s="888"/>
      <c r="AI588" s="888"/>
      <c r="AJ588" s="310"/>
      <c r="AK588" s="310"/>
      <c r="AL588" s="310"/>
      <c r="AM588" s="1"/>
      <c r="AN588" s="691"/>
      <c r="AO588" s="1"/>
      <c r="AP588" s="1"/>
    </row>
    <row r="589">
      <c r="A589" s="929"/>
      <c r="B589" s="691"/>
      <c r="C589" s="310"/>
      <c r="D589" s="691"/>
      <c r="E589" s="691"/>
      <c r="F589" s="350"/>
      <c r="G589" s="355"/>
      <c r="H589" s="780"/>
      <c r="I589" s="691"/>
      <c r="J589" s="691"/>
      <c r="K589" s="691"/>
      <c r="L589" s="691"/>
      <c r="M589" s="691"/>
      <c r="N589" s="691"/>
      <c r="O589" s="930"/>
      <c r="P589" s="909"/>
      <c r="Q589" s="931"/>
      <c r="R589" s="310"/>
      <c r="S589" s="310"/>
      <c r="T589" s="691"/>
      <c r="U589" s="691"/>
      <c r="V589" s="355"/>
      <c r="W589" s="932"/>
      <c r="X589" s="310"/>
      <c r="Y589" s="310"/>
      <c r="Z589" s="933"/>
      <c r="AA589" s="310"/>
      <c r="AB589" s="691"/>
      <c r="AC589" s="933"/>
      <c r="AD589" s="691"/>
      <c r="AE589" s="691"/>
      <c r="AF589" s="934"/>
      <c r="AG589" s="934"/>
      <c r="AH589" s="888"/>
      <c r="AI589" s="888"/>
      <c r="AJ589" s="310"/>
      <c r="AK589" s="310"/>
      <c r="AL589" s="310"/>
      <c r="AM589" s="1"/>
      <c r="AN589" s="691"/>
      <c r="AO589" s="1"/>
      <c r="AP589" s="1"/>
    </row>
    <row r="590">
      <c r="A590" s="929"/>
      <c r="B590" s="691"/>
      <c r="C590" s="310"/>
      <c r="D590" s="691"/>
      <c r="E590" s="691"/>
      <c r="F590" s="350"/>
      <c r="G590" s="355"/>
      <c r="H590" s="780"/>
      <c r="I590" s="691"/>
      <c r="J590" s="691"/>
      <c r="K590" s="691"/>
      <c r="L590" s="691"/>
      <c r="M590" s="691"/>
      <c r="N590" s="691"/>
      <c r="O590" s="930"/>
      <c r="P590" s="909"/>
      <c r="Q590" s="931"/>
      <c r="R590" s="310"/>
      <c r="S590" s="310"/>
      <c r="T590" s="691"/>
      <c r="U590" s="691"/>
      <c r="V590" s="355"/>
      <c r="W590" s="932"/>
      <c r="X590" s="310"/>
      <c r="Y590" s="310"/>
      <c r="Z590" s="933"/>
      <c r="AA590" s="310"/>
      <c r="AB590" s="691"/>
      <c r="AC590" s="933"/>
      <c r="AD590" s="691"/>
      <c r="AE590" s="691"/>
      <c r="AF590" s="934"/>
      <c r="AG590" s="934"/>
      <c r="AH590" s="888"/>
      <c r="AI590" s="888"/>
      <c r="AJ590" s="310"/>
      <c r="AK590" s="310"/>
      <c r="AL590" s="310"/>
      <c r="AM590" s="1"/>
      <c r="AN590" s="691"/>
      <c r="AO590" s="1"/>
      <c r="AP590" s="1"/>
    </row>
    <row r="591">
      <c r="A591" s="929"/>
      <c r="B591" s="691"/>
      <c r="C591" s="310"/>
      <c r="D591" s="691"/>
      <c r="E591" s="691"/>
      <c r="F591" s="350"/>
      <c r="G591" s="355"/>
      <c r="H591" s="780"/>
      <c r="I591" s="691"/>
      <c r="J591" s="691"/>
      <c r="K591" s="691"/>
      <c r="L591" s="691"/>
      <c r="M591" s="691"/>
      <c r="N591" s="691"/>
      <c r="O591" s="930"/>
      <c r="P591" s="909"/>
      <c r="Q591" s="931"/>
      <c r="R591" s="310"/>
      <c r="S591" s="310"/>
      <c r="T591" s="691"/>
      <c r="U591" s="691"/>
      <c r="V591" s="355"/>
      <c r="W591" s="932"/>
      <c r="X591" s="310"/>
      <c r="Y591" s="310"/>
      <c r="Z591" s="933"/>
      <c r="AA591" s="310"/>
      <c r="AB591" s="691"/>
      <c r="AC591" s="933"/>
      <c r="AD591" s="691"/>
      <c r="AE591" s="691"/>
      <c r="AF591" s="934"/>
      <c r="AG591" s="934"/>
      <c r="AH591" s="888"/>
      <c r="AI591" s="888"/>
      <c r="AJ591" s="310"/>
      <c r="AK591" s="310"/>
      <c r="AL591" s="310"/>
      <c r="AM591" s="1"/>
      <c r="AN591" s="691"/>
      <c r="AO591" s="1"/>
      <c r="AP591" s="1"/>
    </row>
    <row r="592">
      <c r="A592" s="929"/>
      <c r="B592" s="691"/>
      <c r="C592" s="310"/>
      <c r="D592" s="691"/>
      <c r="E592" s="691"/>
      <c r="F592" s="350"/>
      <c r="G592" s="355"/>
      <c r="H592" s="780"/>
      <c r="I592" s="691"/>
      <c r="J592" s="691"/>
      <c r="K592" s="691"/>
      <c r="L592" s="691"/>
      <c r="M592" s="691"/>
      <c r="N592" s="691"/>
      <c r="O592" s="930"/>
      <c r="P592" s="909"/>
      <c r="Q592" s="931"/>
      <c r="R592" s="310"/>
      <c r="S592" s="310"/>
      <c r="T592" s="691"/>
      <c r="U592" s="691"/>
      <c r="V592" s="355"/>
      <c r="W592" s="932"/>
      <c r="X592" s="310"/>
      <c r="Y592" s="310"/>
      <c r="Z592" s="933"/>
      <c r="AA592" s="310"/>
      <c r="AB592" s="691"/>
      <c r="AC592" s="933"/>
      <c r="AD592" s="691"/>
      <c r="AE592" s="691"/>
      <c r="AF592" s="934"/>
      <c r="AG592" s="934"/>
      <c r="AH592" s="888"/>
      <c r="AI592" s="888"/>
      <c r="AJ592" s="310"/>
      <c r="AK592" s="310"/>
      <c r="AL592" s="310"/>
      <c r="AM592" s="1"/>
      <c r="AN592" s="691"/>
      <c r="AO592" s="1"/>
      <c r="AP592" s="1"/>
    </row>
    <row r="593">
      <c r="A593" s="929"/>
      <c r="B593" s="691"/>
      <c r="C593" s="310"/>
      <c r="D593" s="691"/>
      <c r="E593" s="691"/>
      <c r="F593" s="350"/>
      <c r="G593" s="355"/>
      <c r="H593" s="780"/>
      <c r="I593" s="691"/>
      <c r="J593" s="691"/>
      <c r="K593" s="691"/>
      <c r="L593" s="691"/>
      <c r="M593" s="691"/>
      <c r="N593" s="691"/>
      <c r="O593" s="930"/>
      <c r="P593" s="909"/>
      <c r="Q593" s="931"/>
      <c r="R593" s="310"/>
      <c r="S593" s="310"/>
      <c r="T593" s="691"/>
      <c r="U593" s="691"/>
      <c r="V593" s="355"/>
      <c r="W593" s="932"/>
      <c r="X593" s="310"/>
      <c r="Y593" s="310"/>
      <c r="Z593" s="933"/>
      <c r="AA593" s="310"/>
      <c r="AB593" s="691"/>
      <c r="AC593" s="933"/>
      <c r="AD593" s="691"/>
      <c r="AE593" s="691"/>
      <c r="AF593" s="934"/>
      <c r="AG593" s="934"/>
      <c r="AH593" s="888"/>
      <c r="AI593" s="888"/>
      <c r="AJ593" s="310"/>
      <c r="AK593" s="310"/>
      <c r="AL593" s="310"/>
      <c r="AM593" s="1"/>
      <c r="AN593" s="691"/>
      <c r="AO593" s="1"/>
      <c r="AP593" s="1"/>
    </row>
    <row r="594">
      <c r="A594" s="929"/>
      <c r="B594" s="691"/>
      <c r="C594" s="310"/>
      <c r="D594" s="691"/>
      <c r="E594" s="691"/>
      <c r="F594" s="350"/>
      <c r="G594" s="355"/>
      <c r="H594" s="780"/>
      <c r="I594" s="691"/>
      <c r="J594" s="691"/>
      <c r="K594" s="691"/>
      <c r="L594" s="691"/>
      <c r="M594" s="691"/>
      <c r="N594" s="691"/>
      <c r="O594" s="930"/>
      <c r="P594" s="909"/>
      <c r="Q594" s="931"/>
      <c r="R594" s="310"/>
      <c r="S594" s="310"/>
      <c r="T594" s="691"/>
      <c r="U594" s="691"/>
      <c r="V594" s="355"/>
      <c r="W594" s="932"/>
      <c r="X594" s="310"/>
      <c r="Y594" s="310"/>
      <c r="Z594" s="933"/>
      <c r="AA594" s="310"/>
      <c r="AB594" s="691"/>
      <c r="AC594" s="933"/>
      <c r="AD594" s="691"/>
      <c r="AE594" s="691"/>
      <c r="AF594" s="934"/>
      <c r="AG594" s="934"/>
      <c r="AH594" s="888"/>
      <c r="AI594" s="888"/>
      <c r="AJ594" s="310"/>
      <c r="AK594" s="310"/>
      <c r="AL594" s="310"/>
      <c r="AM594" s="1"/>
      <c r="AN594" s="691"/>
      <c r="AO594" s="1"/>
      <c r="AP594" s="1"/>
    </row>
    <row r="595">
      <c r="A595" s="929"/>
      <c r="B595" s="691"/>
      <c r="C595" s="310"/>
      <c r="D595" s="691"/>
      <c r="E595" s="691"/>
      <c r="F595" s="350"/>
      <c r="G595" s="355"/>
      <c r="H595" s="780"/>
      <c r="I595" s="691"/>
      <c r="J595" s="691"/>
      <c r="K595" s="691"/>
      <c r="L595" s="691"/>
      <c r="M595" s="691"/>
      <c r="N595" s="691"/>
      <c r="O595" s="930"/>
      <c r="P595" s="909"/>
      <c r="Q595" s="931"/>
      <c r="R595" s="310"/>
      <c r="S595" s="310"/>
      <c r="T595" s="691"/>
      <c r="U595" s="691"/>
      <c r="V595" s="355"/>
      <c r="W595" s="932"/>
      <c r="X595" s="310"/>
      <c r="Y595" s="310"/>
      <c r="Z595" s="933"/>
      <c r="AA595" s="310"/>
      <c r="AB595" s="691"/>
      <c r="AC595" s="933"/>
      <c r="AD595" s="691"/>
      <c r="AE595" s="691"/>
      <c r="AF595" s="934"/>
      <c r="AG595" s="934"/>
      <c r="AH595" s="888"/>
      <c r="AI595" s="888"/>
      <c r="AJ595" s="310"/>
      <c r="AK595" s="310"/>
      <c r="AL595" s="310"/>
      <c r="AM595" s="1"/>
      <c r="AN595" s="691"/>
      <c r="AO595" s="1"/>
      <c r="AP595" s="1"/>
    </row>
    <row r="596">
      <c r="A596" s="929"/>
      <c r="B596" s="691"/>
      <c r="C596" s="310"/>
      <c r="D596" s="691"/>
      <c r="E596" s="691"/>
      <c r="F596" s="350"/>
      <c r="G596" s="355"/>
      <c r="H596" s="780"/>
      <c r="I596" s="691"/>
      <c r="J596" s="691"/>
      <c r="K596" s="691"/>
      <c r="L596" s="691"/>
      <c r="M596" s="691"/>
      <c r="N596" s="691"/>
      <c r="O596" s="930"/>
      <c r="P596" s="909"/>
      <c r="Q596" s="931"/>
      <c r="R596" s="310"/>
      <c r="S596" s="310"/>
      <c r="T596" s="691"/>
      <c r="U596" s="691"/>
      <c r="V596" s="355"/>
      <c r="W596" s="932"/>
      <c r="X596" s="310"/>
      <c r="Y596" s="310"/>
      <c r="Z596" s="933"/>
      <c r="AA596" s="310"/>
      <c r="AB596" s="691"/>
      <c r="AC596" s="933"/>
      <c r="AD596" s="691"/>
      <c r="AE596" s="691"/>
      <c r="AF596" s="934"/>
      <c r="AG596" s="934"/>
      <c r="AH596" s="888"/>
      <c r="AI596" s="888"/>
      <c r="AJ596" s="310"/>
      <c r="AK596" s="310"/>
      <c r="AL596" s="310"/>
      <c r="AM596" s="1"/>
      <c r="AN596" s="691"/>
      <c r="AO596" s="1"/>
      <c r="AP596" s="1"/>
    </row>
    <row r="597">
      <c r="A597" s="929"/>
      <c r="B597" s="691"/>
      <c r="C597" s="310"/>
      <c r="D597" s="691"/>
      <c r="E597" s="691"/>
      <c r="F597" s="350"/>
      <c r="G597" s="355"/>
      <c r="H597" s="780"/>
      <c r="I597" s="691"/>
      <c r="J597" s="691"/>
      <c r="K597" s="691"/>
      <c r="L597" s="691"/>
      <c r="M597" s="691"/>
      <c r="N597" s="691"/>
      <c r="O597" s="930"/>
      <c r="P597" s="909"/>
      <c r="Q597" s="931"/>
      <c r="R597" s="310"/>
      <c r="S597" s="310"/>
      <c r="T597" s="691"/>
      <c r="U597" s="691"/>
      <c r="V597" s="355"/>
      <c r="W597" s="932"/>
      <c r="X597" s="310"/>
      <c r="Y597" s="310"/>
      <c r="Z597" s="933"/>
      <c r="AA597" s="310"/>
      <c r="AB597" s="691"/>
      <c r="AC597" s="933"/>
      <c r="AD597" s="691"/>
      <c r="AE597" s="691"/>
      <c r="AF597" s="934"/>
      <c r="AG597" s="934"/>
      <c r="AH597" s="888"/>
      <c r="AI597" s="888"/>
      <c r="AJ597" s="310"/>
      <c r="AK597" s="310"/>
      <c r="AL597" s="310"/>
      <c r="AM597" s="1"/>
      <c r="AN597" s="691"/>
      <c r="AO597" s="1"/>
      <c r="AP597" s="1"/>
    </row>
    <row r="598">
      <c r="A598" s="929"/>
      <c r="B598" s="691"/>
      <c r="C598" s="310"/>
      <c r="D598" s="691"/>
      <c r="E598" s="691"/>
      <c r="F598" s="350"/>
      <c r="G598" s="355"/>
      <c r="H598" s="780"/>
      <c r="I598" s="691"/>
      <c r="J598" s="691"/>
      <c r="K598" s="691"/>
      <c r="L598" s="691"/>
      <c r="M598" s="691"/>
      <c r="N598" s="691"/>
      <c r="O598" s="930"/>
      <c r="P598" s="909"/>
      <c r="Q598" s="931"/>
      <c r="R598" s="310"/>
      <c r="S598" s="310"/>
      <c r="T598" s="691"/>
      <c r="U598" s="691"/>
      <c r="V598" s="355"/>
      <c r="W598" s="932"/>
      <c r="X598" s="310"/>
      <c r="Y598" s="310"/>
      <c r="Z598" s="933"/>
      <c r="AA598" s="310"/>
      <c r="AB598" s="691"/>
      <c r="AC598" s="933"/>
      <c r="AD598" s="691"/>
      <c r="AE598" s="691"/>
      <c r="AF598" s="934"/>
      <c r="AG598" s="934"/>
      <c r="AH598" s="888"/>
      <c r="AI598" s="888"/>
      <c r="AJ598" s="310"/>
      <c r="AK598" s="310"/>
      <c r="AL598" s="310"/>
      <c r="AM598" s="1"/>
      <c r="AN598" s="691"/>
      <c r="AO598" s="1"/>
      <c r="AP598" s="1"/>
    </row>
    <row r="599">
      <c r="A599" s="929"/>
      <c r="B599" s="691"/>
      <c r="C599" s="310"/>
      <c r="D599" s="691"/>
      <c r="E599" s="691"/>
      <c r="F599" s="350"/>
      <c r="G599" s="355"/>
      <c r="H599" s="780"/>
      <c r="I599" s="691"/>
      <c r="J599" s="691"/>
      <c r="K599" s="691"/>
      <c r="L599" s="691"/>
      <c r="M599" s="691"/>
      <c r="N599" s="691"/>
      <c r="O599" s="930"/>
      <c r="P599" s="909"/>
      <c r="Q599" s="931"/>
      <c r="R599" s="310"/>
      <c r="S599" s="310"/>
      <c r="T599" s="691"/>
      <c r="U599" s="691"/>
      <c r="V599" s="355"/>
      <c r="W599" s="932"/>
      <c r="X599" s="310"/>
      <c r="Y599" s="310"/>
      <c r="Z599" s="933"/>
      <c r="AA599" s="310"/>
      <c r="AB599" s="691"/>
      <c r="AC599" s="933"/>
      <c r="AD599" s="691"/>
      <c r="AE599" s="691"/>
      <c r="AF599" s="934"/>
      <c r="AG599" s="934"/>
      <c r="AH599" s="888"/>
      <c r="AI599" s="888"/>
      <c r="AJ599" s="310"/>
      <c r="AK599" s="310"/>
      <c r="AL599" s="310"/>
      <c r="AM599" s="1"/>
      <c r="AN599" s="691"/>
      <c r="AO599" s="1"/>
      <c r="AP599" s="1"/>
    </row>
    <row r="600">
      <c r="A600" s="929"/>
      <c r="B600" s="691"/>
      <c r="C600" s="310"/>
      <c r="D600" s="691"/>
      <c r="E600" s="691"/>
      <c r="F600" s="350"/>
      <c r="G600" s="355"/>
      <c r="H600" s="780"/>
      <c r="I600" s="691"/>
      <c r="J600" s="691"/>
      <c r="K600" s="691"/>
      <c r="L600" s="691"/>
      <c r="M600" s="691"/>
      <c r="N600" s="691"/>
      <c r="O600" s="930"/>
      <c r="P600" s="909"/>
      <c r="Q600" s="931"/>
      <c r="R600" s="310"/>
      <c r="S600" s="310"/>
      <c r="T600" s="691"/>
      <c r="U600" s="691"/>
      <c r="V600" s="355"/>
      <c r="W600" s="932"/>
      <c r="X600" s="310"/>
      <c r="Y600" s="310"/>
      <c r="Z600" s="933"/>
      <c r="AA600" s="310"/>
      <c r="AB600" s="691"/>
      <c r="AC600" s="933"/>
      <c r="AD600" s="691"/>
      <c r="AE600" s="691"/>
      <c r="AF600" s="934"/>
      <c r="AG600" s="934"/>
      <c r="AH600" s="888"/>
      <c r="AI600" s="888"/>
      <c r="AJ600" s="310"/>
      <c r="AK600" s="310"/>
      <c r="AL600" s="310"/>
      <c r="AM600" s="1"/>
      <c r="AN600" s="691"/>
      <c r="AO600" s="1"/>
      <c r="AP600" s="1"/>
    </row>
    <row r="601">
      <c r="A601" s="929"/>
      <c r="B601" s="691"/>
      <c r="C601" s="310"/>
      <c r="D601" s="691"/>
      <c r="E601" s="691"/>
      <c r="F601" s="350"/>
      <c r="G601" s="355"/>
      <c r="H601" s="780"/>
      <c r="I601" s="691"/>
      <c r="J601" s="691"/>
      <c r="K601" s="691"/>
      <c r="L601" s="691"/>
      <c r="M601" s="691"/>
      <c r="N601" s="691"/>
      <c r="O601" s="930"/>
      <c r="P601" s="909"/>
      <c r="Q601" s="931"/>
      <c r="R601" s="310"/>
      <c r="S601" s="310"/>
      <c r="T601" s="691"/>
      <c r="U601" s="691"/>
      <c r="V601" s="355"/>
      <c r="W601" s="932"/>
      <c r="X601" s="310"/>
      <c r="Y601" s="310"/>
      <c r="Z601" s="933"/>
      <c r="AA601" s="310"/>
      <c r="AB601" s="691"/>
      <c r="AC601" s="933"/>
      <c r="AD601" s="691"/>
      <c r="AE601" s="691"/>
      <c r="AF601" s="934"/>
      <c r="AG601" s="934"/>
      <c r="AH601" s="888"/>
      <c r="AI601" s="888"/>
      <c r="AJ601" s="310"/>
      <c r="AK601" s="310"/>
      <c r="AL601" s="310"/>
      <c r="AM601" s="1"/>
      <c r="AN601" s="691"/>
      <c r="AO601" s="1"/>
      <c r="AP601" s="1"/>
    </row>
    <row r="602">
      <c r="A602" s="929"/>
      <c r="B602" s="691"/>
      <c r="C602" s="310"/>
      <c r="D602" s="691"/>
      <c r="E602" s="691"/>
      <c r="F602" s="350"/>
      <c r="G602" s="355"/>
      <c r="H602" s="780"/>
      <c r="I602" s="691"/>
      <c r="J602" s="691"/>
      <c r="K602" s="691"/>
      <c r="L602" s="691"/>
      <c r="M602" s="691"/>
      <c r="N602" s="691"/>
      <c r="O602" s="930"/>
      <c r="P602" s="909"/>
      <c r="Q602" s="931"/>
      <c r="R602" s="310"/>
      <c r="S602" s="310"/>
      <c r="T602" s="691"/>
      <c r="U602" s="691"/>
      <c r="V602" s="355"/>
      <c r="W602" s="932"/>
      <c r="X602" s="310"/>
      <c r="Y602" s="310"/>
      <c r="Z602" s="933"/>
      <c r="AA602" s="310"/>
      <c r="AB602" s="691"/>
      <c r="AC602" s="933"/>
      <c r="AD602" s="691"/>
      <c r="AE602" s="691"/>
      <c r="AF602" s="934"/>
      <c r="AG602" s="934"/>
      <c r="AH602" s="888"/>
      <c r="AI602" s="888"/>
      <c r="AJ602" s="310"/>
      <c r="AK602" s="310"/>
      <c r="AL602" s="310"/>
      <c r="AM602" s="1"/>
      <c r="AN602" s="691"/>
      <c r="AO602" s="1"/>
      <c r="AP602" s="1"/>
    </row>
    <row r="603">
      <c r="A603" s="929"/>
      <c r="B603" s="691"/>
      <c r="C603" s="310"/>
      <c r="D603" s="691"/>
      <c r="E603" s="691"/>
      <c r="F603" s="350"/>
      <c r="G603" s="355"/>
      <c r="H603" s="780"/>
      <c r="I603" s="691"/>
      <c r="J603" s="691"/>
      <c r="K603" s="691"/>
      <c r="L603" s="691"/>
      <c r="M603" s="691"/>
      <c r="N603" s="691"/>
      <c r="O603" s="930"/>
      <c r="P603" s="909"/>
      <c r="Q603" s="931"/>
      <c r="R603" s="310"/>
      <c r="S603" s="310"/>
      <c r="T603" s="691"/>
      <c r="U603" s="691"/>
      <c r="V603" s="355"/>
      <c r="W603" s="932"/>
      <c r="X603" s="310"/>
      <c r="Y603" s="310"/>
      <c r="Z603" s="933"/>
      <c r="AA603" s="310"/>
      <c r="AB603" s="691"/>
      <c r="AC603" s="933"/>
      <c r="AD603" s="691"/>
      <c r="AE603" s="691"/>
      <c r="AF603" s="934"/>
      <c r="AG603" s="934"/>
      <c r="AH603" s="888"/>
      <c r="AI603" s="888"/>
      <c r="AJ603" s="310"/>
      <c r="AK603" s="310"/>
      <c r="AL603" s="310"/>
      <c r="AM603" s="1"/>
      <c r="AN603" s="691"/>
      <c r="AO603" s="1"/>
      <c r="AP603" s="1"/>
    </row>
    <row r="604">
      <c r="A604" s="929"/>
      <c r="B604" s="691"/>
      <c r="C604" s="310"/>
      <c r="D604" s="691"/>
      <c r="E604" s="691"/>
      <c r="F604" s="350"/>
      <c r="G604" s="355"/>
      <c r="H604" s="780"/>
      <c r="I604" s="691"/>
      <c r="J604" s="691"/>
      <c r="K604" s="691"/>
      <c r="L604" s="691"/>
      <c r="M604" s="691"/>
      <c r="N604" s="691"/>
      <c r="O604" s="930"/>
      <c r="P604" s="909"/>
      <c r="Q604" s="931"/>
      <c r="R604" s="310"/>
      <c r="S604" s="310"/>
      <c r="T604" s="691"/>
      <c r="U604" s="691"/>
      <c r="V604" s="355"/>
      <c r="W604" s="932"/>
      <c r="X604" s="310"/>
      <c r="Y604" s="310"/>
      <c r="Z604" s="933"/>
      <c r="AA604" s="310"/>
      <c r="AB604" s="691"/>
      <c r="AC604" s="933"/>
      <c r="AD604" s="691"/>
      <c r="AE604" s="691"/>
      <c r="AF604" s="934"/>
      <c r="AG604" s="934"/>
      <c r="AH604" s="888"/>
      <c r="AI604" s="888"/>
      <c r="AJ604" s="310"/>
      <c r="AK604" s="310"/>
      <c r="AL604" s="310"/>
      <c r="AM604" s="1"/>
      <c r="AN604" s="691"/>
      <c r="AO604" s="1"/>
      <c r="AP604" s="1"/>
    </row>
    <row r="605">
      <c r="A605" s="929"/>
      <c r="B605" s="691"/>
      <c r="C605" s="310"/>
      <c r="D605" s="691"/>
      <c r="E605" s="691"/>
      <c r="F605" s="350"/>
      <c r="G605" s="355"/>
      <c r="H605" s="780"/>
      <c r="I605" s="691"/>
      <c r="J605" s="691"/>
      <c r="K605" s="691"/>
      <c r="L605" s="691"/>
      <c r="M605" s="691"/>
      <c r="N605" s="691"/>
      <c r="O605" s="930"/>
      <c r="P605" s="909"/>
      <c r="Q605" s="931"/>
      <c r="R605" s="310"/>
      <c r="S605" s="310"/>
      <c r="T605" s="691"/>
      <c r="U605" s="691"/>
      <c r="V605" s="355"/>
      <c r="W605" s="932"/>
      <c r="X605" s="310"/>
      <c r="Y605" s="310"/>
      <c r="Z605" s="933"/>
      <c r="AA605" s="310"/>
      <c r="AB605" s="691"/>
      <c r="AC605" s="933"/>
      <c r="AD605" s="691"/>
      <c r="AE605" s="691"/>
      <c r="AF605" s="934"/>
      <c r="AG605" s="934"/>
      <c r="AH605" s="888"/>
      <c r="AI605" s="888"/>
      <c r="AJ605" s="310"/>
      <c r="AK605" s="310"/>
      <c r="AL605" s="310"/>
      <c r="AM605" s="1"/>
      <c r="AN605" s="691"/>
      <c r="AO605" s="1"/>
      <c r="AP605" s="1"/>
    </row>
    <row r="606">
      <c r="A606" s="929"/>
      <c r="B606" s="691"/>
      <c r="C606" s="310"/>
      <c r="D606" s="691"/>
      <c r="E606" s="691"/>
      <c r="F606" s="350"/>
      <c r="G606" s="355"/>
      <c r="H606" s="780"/>
      <c r="I606" s="691"/>
      <c r="J606" s="691"/>
      <c r="K606" s="691"/>
      <c r="L606" s="691"/>
      <c r="M606" s="691"/>
      <c r="N606" s="691"/>
      <c r="O606" s="930"/>
      <c r="P606" s="909"/>
      <c r="Q606" s="931"/>
      <c r="R606" s="310"/>
      <c r="S606" s="310"/>
      <c r="T606" s="691"/>
      <c r="U606" s="691"/>
      <c r="V606" s="355"/>
      <c r="W606" s="932"/>
      <c r="X606" s="310"/>
      <c r="Y606" s="310"/>
      <c r="Z606" s="933"/>
      <c r="AA606" s="310"/>
      <c r="AB606" s="691"/>
      <c r="AC606" s="933"/>
      <c r="AD606" s="691"/>
      <c r="AE606" s="691"/>
      <c r="AF606" s="934"/>
      <c r="AG606" s="934"/>
      <c r="AH606" s="888"/>
      <c r="AI606" s="888"/>
      <c r="AJ606" s="310"/>
      <c r="AK606" s="310"/>
      <c r="AL606" s="310"/>
      <c r="AM606" s="1"/>
      <c r="AN606" s="691"/>
      <c r="AO606" s="1"/>
      <c r="AP606" s="1"/>
    </row>
    <row r="607">
      <c r="A607" s="929"/>
      <c r="B607" s="691"/>
      <c r="C607" s="310"/>
      <c r="D607" s="691"/>
      <c r="E607" s="691"/>
      <c r="F607" s="350"/>
      <c r="G607" s="355"/>
      <c r="H607" s="780"/>
      <c r="I607" s="691"/>
      <c r="J607" s="691"/>
      <c r="K607" s="691"/>
      <c r="L607" s="691"/>
      <c r="M607" s="691"/>
      <c r="N607" s="691"/>
      <c r="O607" s="930"/>
      <c r="P607" s="909"/>
      <c r="Q607" s="931"/>
      <c r="R607" s="310"/>
      <c r="S607" s="310"/>
      <c r="T607" s="691"/>
      <c r="U607" s="691"/>
      <c r="V607" s="355"/>
      <c r="W607" s="932"/>
      <c r="X607" s="310"/>
      <c r="Y607" s="310"/>
      <c r="Z607" s="933"/>
      <c r="AA607" s="310"/>
      <c r="AB607" s="691"/>
      <c r="AC607" s="933"/>
      <c r="AD607" s="691"/>
      <c r="AE607" s="691"/>
      <c r="AF607" s="934"/>
      <c r="AG607" s="934"/>
      <c r="AH607" s="888"/>
      <c r="AI607" s="888"/>
      <c r="AJ607" s="310"/>
      <c r="AK607" s="310"/>
      <c r="AL607" s="310"/>
      <c r="AM607" s="1"/>
      <c r="AN607" s="691"/>
      <c r="AO607" s="1"/>
      <c r="AP607" s="1"/>
    </row>
    <row r="608">
      <c r="A608" s="929"/>
      <c r="B608" s="691"/>
      <c r="C608" s="310"/>
      <c r="D608" s="691"/>
      <c r="E608" s="691"/>
      <c r="F608" s="350"/>
      <c r="G608" s="355"/>
      <c r="H608" s="780"/>
      <c r="I608" s="691"/>
      <c r="J608" s="691"/>
      <c r="K608" s="691"/>
      <c r="L608" s="691"/>
      <c r="M608" s="691"/>
      <c r="N608" s="691"/>
      <c r="O608" s="930"/>
      <c r="P608" s="909"/>
      <c r="Q608" s="931"/>
      <c r="R608" s="310"/>
      <c r="S608" s="310"/>
      <c r="T608" s="691"/>
      <c r="U608" s="691"/>
      <c r="V608" s="355"/>
      <c r="W608" s="932"/>
      <c r="X608" s="310"/>
      <c r="Y608" s="310"/>
      <c r="Z608" s="933"/>
      <c r="AA608" s="310"/>
      <c r="AB608" s="691"/>
      <c r="AC608" s="933"/>
      <c r="AD608" s="691"/>
      <c r="AE608" s="691"/>
      <c r="AF608" s="934"/>
      <c r="AG608" s="934"/>
      <c r="AH608" s="888"/>
      <c r="AI608" s="888"/>
      <c r="AJ608" s="310"/>
      <c r="AK608" s="310"/>
      <c r="AL608" s="310"/>
      <c r="AM608" s="1"/>
      <c r="AN608" s="691"/>
      <c r="AO608" s="1"/>
      <c r="AP608" s="1"/>
    </row>
    <row r="609">
      <c r="A609" s="929"/>
      <c r="B609" s="691"/>
      <c r="C609" s="310"/>
      <c r="D609" s="691"/>
      <c r="E609" s="691"/>
      <c r="F609" s="350"/>
      <c r="G609" s="355"/>
      <c r="H609" s="780"/>
      <c r="I609" s="691"/>
      <c r="J609" s="691"/>
      <c r="K609" s="691"/>
      <c r="L609" s="691"/>
      <c r="M609" s="691"/>
      <c r="N609" s="691"/>
      <c r="O609" s="930"/>
      <c r="P609" s="909"/>
      <c r="Q609" s="931"/>
      <c r="R609" s="310"/>
      <c r="S609" s="310"/>
      <c r="T609" s="691"/>
      <c r="U609" s="691"/>
      <c r="V609" s="355"/>
      <c r="W609" s="932"/>
      <c r="X609" s="310"/>
      <c r="Y609" s="310"/>
      <c r="Z609" s="933"/>
      <c r="AA609" s="310"/>
      <c r="AB609" s="691"/>
      <c r="AC609" s="933"/>
      <c r="AD609" s="691"/>
      <c r="AE609" s="691"/>
      <c r="AF609" s="934"/>
      <c r="AG609" s="934"/>
      <c r="AH609" s="888"/>
      <c r="AI609" s="888"/>
      <c r="AJ609" s="310"/>
      <c r="AK609" s="310"/>
      <c r="AL609" s="310"/>
      <c r="AM609" s="1"/>
      <c r="AN609" s="691"/>
      <c r="AO609" s="1"/>
      <c r="AP609" s="1"/>
    </row>
    <row r="610">
      <c r="A610" s="929"/>
      <c r="B610" s="691"/>
      <c r="C610" s="310"/>
      <c r="D610" s="691"/>
      <c r="E610" s="691"/>
      <c r="F610" s="350"/>
      <c r="G610" s="355"/>
      <c r="H610" s="780"/>
      <c r="I610" s="691"/>
      <c r="J610" s="691"/>
      <c r="K610" s="691"/>
      <c r="L610" s="691"/>
      <c r="M610" s="691"/>
      <c r="N610" s="691"/>
      <c r="O610" s="930"/>
      <c r="P610" s="909"/>
      <c r="Q610" s="931"/>
      <c r="R610" s="310"/>
      <c r="S610" s="310"/>
      <c r="T610" s="691"/>
      <c r="U610" s="691"/>
      <c r="V610" s="355"/>
      <c r="W610" s="932"/>
      <c r="X610" s="310"/>
      <c r="Y610" s="310"/>
      <c r="Z610" s="933"/>
      <c r="AA610" s="310"/>
      <c r="AB610" s="691"/>
      <c r="AC610" s="933"/>
      <c r="AD610" s="691"/>
      <c r="AE610" s="691"/>
      <c r="AF610" s="934"/>
      <c r="AG610" s="934"/>
      <c r="AH610" s="888"/>
      <c r="AI610" s="888"/>
      <c r="AJ610" s="310"/>
      <c r="AK610" s="310"/>
      <c r="AL610" s="310"/>
      <c r="AM610" s="1"/>
      <c r="AN610" s="691"/>
      <c r="AO610" s="1"/>
      <c r="AP610" s="1"/>
    </row>
    <row r="611">
      <c r="A611" s="929"/>
      <c r="B611" s="691"/>
      <c r="C611" s="310"/>
      <c r="D611" s="691"/>
      <c r="E611" s="691"/>
      <c r="F611" s="350"/>
      <c r="G611" s="355"/>
      <c r="H611" s="780"/>
      <c r="I611" s="691"/>
      <c r="J611" s="691"/>
      <c r="K611" s="691"/>
      <c r="L611" s="691"/>
      <c r="M611" s="691"/>
      <c r="N611" s="691"/>
      <c r="O611" s="930"/>
      <c r="P611" s="909"/>
      <c r="Q611" s="931"/>
      <c r="R611" s="310"/>
      <c r="S611" s="310"/>
      <c r="T611" s="691"/>
      <c r="U611" s="691"/>
      <c r="V611" s="355"/>
      <c r="W611" s="932"/>
      <c r="X611" s="310"/>
      <c r="Y611" s="310"/>
      <c r="Z611" s="933"/>
      <c r="AA611" s="310"/>
      <c r="AB611" s="691"/>
      <c r="AC611" s="933"/>
      <c r="AD611" s="691"/>
      <c r="AE611" s="691"/>
      <c r="AF611" s="934"/>
      <c r="AG611" s="934"/>
      <c r="AH611" s="888"/>
      <c r="AI611" s="888"/>
      <c r="AJ611" s="310"/>
      <c r="AK611" s="310"/>
      <c r="AL611" s="310"/>
      <c r="AM611" s="1"/>
      <c r="AN611" s="691"/>
      <c r="AO611" s="1"/>
      <c r="AP611" s="1"/>
    </row>
    <row r="612">
      <c r="A612" s="929"/>
      <c r="B612" s="691"/>
      <c r="C612" s="310"/>
      <c r="D612" s="691"/>
      <c r="E612" s="691"/>
      <c r="F612" s="350"/>
      <c r="G612" s="355"/>
      <c r="H612" s="780"/>
      <c r="I612" s="691"/>
      <c r="J612" s="691"/>
      <c r="K612" s="691"/>
      <c r="L612" s="691"/>
      <c r="M612" s="691"/>
      <c r="N612" s="691"/>
      <c r="O612" s="930"/>
      <c r="P612" s="909"/>
      <c r="Q612" s="931"/>
      <c r="R612" s="310"/>
      <c r="S612" s="310"/>
      <c r="T612" s="691"/>
      <c r="U612" s="691"/>
      <c r="V612" s="355"/>
      <c r="W612" s="932"/>
      <c r="X612" s="310"/>
      <c r="Y612" s="310"/>
      <c r="Z612" s="933"/>
      <c r="AA612" s="310"/>
      <c r="AB612" s="691"/>
      <c r="AC612" s="933"/>
      <c r="AD612" s="691"/>
      <c r="AE612" s="691"/>
      <c r="AF612" s="934"/>
      <c r="AG612" s="934"/>
      <c r="AH612" s="888"/>
      <c r="AI612" s="888"/>
      <c r="AJ612" s="310"/>
      <c r="AK612" s="310"/>
      <c r="AL612" s="310"/>
      <c r="AM612" s="1"/>
      <c r="AN612" s="691"/>
      <c r="AO612" s="1"/>
      <c r="AP612" s="1"/>
    </row>
    <row r="613">
      <c r="A613" s="929"/>
      <c r="B613" s="691"/>
      <c r="C613" s="310"/>
      <c r="D613" s="691"/>
      <c r="E613" s="691"/>
      <c r="F613" s="350"/>
      <c r="G613" s="355"/>
      <c r="H613" s="780"/>
      <c r="I613" s="691"/>
      <c r="J613" s="691"/>
      <c r="K613" s="691"/>
      <c r="L613" s="691"/>
      <c r="M613" s="691"/>
      <c r="N613" s="691"/>
      <c r="O613" s="930"/>
      <c r="P613" s="909"/>
      <c r="Q613" s="931"/>
      <c r="R613" s="310"/>
      <c r="S613" s="310"/>
      <c r="T613" s="691"/>
      <c r="U613" s="691"/>
      <c r="V613" s="355"/>
      <c r="W613" s="932"/>
      <c r="X613" s="310"/>
      <c r="Y613" s="310"/>
      <c r="Z613" s="933"/>
      <c r="AA613" s="310"/>
      <c r="AB613" s="691"/>
      <c r="AC613" s="933"/>
      <c r="AD613" s="691"/>
      <c r="AE613" s="691"/>
      <c r="AF613" s="934"/>
      <c r="AG613" s="934"/>
      <c r="AH613" s="888"/>
      <c r="AI613" s="888"/>
      <c r="AJ613" s="310"/>
      <c r="AK613" s="310"/>
      <c r="AL613" s="310"/>
      <c r="AM613" s="1"/>
      <c r="AN613" s="691"/>
      <c r="AO613" s="1"/>
      <c r="AP613" s="1"/>
    </row>
    <row r="614">
      <c r="A614" s="929"/>
      <c r="B614" s="691"/>
      <c r="C614" s="310"/>
      <c r="D614" s="691"/>
      <c r="E614" s="691"/>
      <c r="F614" s="350"/>
      <c r="G614" s="355"/>
      <c r="H614" s="780"/>
      <c r="I614" s="691"/>
      <c r="J614" s="691"/>
      <c r="K614" s="691"/>
      <c r="L614" s="691"/>
      <c r="M614" s="691"/>
      <c r="N614" s="691"/>
      <c r="O614" s="930"/>
      <c r="P614" s="909"/>
      <c r="Q614" s="931"/>
      <c r="R614" s="310"/>
      <c r="S614" s="310"/>
      <c r="T614" s="691"/>
      <c r="U614" s="691"/>
      <c r="V614" s="355"/>
      <c r="W614" s="932"/>
      <c r="X614" s="310"/>
      <c r="Y614" s="310"/>
      <c r="Z614" s="933"/>
      <c r="AA614" s="310"/>
      <c r="AB614" s="691"/>
      <c r="AC614" s="933"/>
      <c r="AD614" s="691"/>
      <c r="AE614" s="691"/>
      <c r="AF614" s="934"/>
      <c r="AG614" s="934"/>
      <c r="AH614" s="888"/>
      <c r="AI614" s="888"/>
      <c r="AJ614" s="310"/>
      <c r="AK614" s="310"/>
      <c r="AL614" s="310"/>
      <c r="AM614" s="1"/>
      <c r="AN614" s="691"/>
      <c r="AO614" s="1"/>
      <c r="AP614" s="1"/>
    </row>
    <row r="615">
      <c r="A615" s="929"/>
      <c r="B615" s="691"/>
      <c r="C615" s="310"/>
      <c r="D615" s="691"/>
      <c r="E615" s="691"/>
      <c r="F615" s="350"/>
      <c r="G615" s="355"/>
      <c r="H615" s="780"/>
      <c r="I615" s="691"/>
      <c r="J615" s="691"/>
      <c r="K615" s="691"/>
      <c r="L615" s="691"/>
      <c r="M615" s="691"/>
      <c r="N615" s="691"/>
      <c r="O615" s="930"/>
      <c r="P615" s="909"/>
      <c r="Q615" s="931"/>
      <c r="R615" s="310"/>
      <c r="S615" s="310"/>
      <c r="T615" s="691"/>
      <c r="U615" s="691"/>
      <c r="V615" s="355"/>
      <c r="W615" s="932"/>
      <c r="X615" s="310"/>
      <c r="Y615" s="310"/>
      <c r="Z615" s="933"/>
      <c r="AA615" s="310"/>
      <c r="AB615" s="691"/>
      <c r="AC615" s="933"/>
      <c r="AD615" s="691"/>
      <c r="AE615" s="691"/>
      <c r="AF615" s="934"/>
      <c r="AG615" s="934"/>
      <c r="AH615" s="888"/>
      <c r="AI615" s="888"/>
      <c r="AJ615" s="310"/>
      <c r="AK615" s="310"/>
      <c r="AL615" s="310"/>
      <c r="AM615" s="1"/>
      <c r="AN615" s="691"/>
      <c r="AO615" s="1"/>
      <c r="AP615" s="1"/>
    </row>
    <row r="616">
      <c r="A616" s="929"/>
      <c r="B616" s="691"/>
      <c r="C616" s="310"/>
      <c r="D616" s="691"/>
      <c r="E616" s="691"/>
      <c r="F616" s="350"/>
      <c r="G616" s="355"/>
      <c r="H616" s="780"/>
      <c r="I616" s="691"/>
      <c r="J616" s="691"/>
      <c r="K616" s="691"/>
      <c r="L616" s="691"/>
      <c r="M616" s="691"/>
      <c r="N616" s="691"/>
      <c r="O616" s="930"/>
      <c r="P616" s="909"/>
      <c r="Q616" s="931"/>
      <c r="R616" s="310"/>
      <c r="S616" s="310"/>
      <c r="T616" s="691"/>
      <c r="U616" s="691"/>
      <c r="V616" s="355"/>
      <c r="W616" s="932"/>
      <c r="X616" s="310"/>
      <c r="Y616" s="310"/>
      <c r="Z616" s="933"/>
      <c r="AA616" s="310"/>
      <c r="AB616" s="691"/>
      <c r="AC616" s="933"/>
      <c r="AD616" s="691"/>
      <c r="AE616" s="691"/>
      <c r="AF616" s="934"/>
      <c r="AG616" s="934"/>
      <c r="AH616" s="888"/>
      <c r="AI616" s="888"/>
      <c r="AJ616" s="310"/>
      <c r="AK616" s="310"/>
      <c r="AL616" s="310"/>
      <c r="AM616" s="1"/>
      <c r="AN616" s="691"/>
      <c r="AO616" s="1"/>
      <c r="AP616" s="1"/>
    </row>
    <row r="617">
      <c r="A617" s="929"/>
      <c r="B617" s="691"/>
      <c r="C617" s="310"/>
      <c r="D617" s="691"/>
      <c r="E617" s="691"/>
      <c r="F617" s="350"/>
      <c r="G617" s="355"/>
      <c r="H617" s="780"/>
      <c r="I617" s="691"/>
      <c r="J617" s="691"/>
      <c r="K617" s="691"/>
      <c r="L617" s="691"/>
      <c r="M617" s="691"/>
      <c r="N617" s="691"/>
      <c r="O617" s="930"/>
      <c r="P617" s="909"/>
      <c r="Q617" s="931"/>
      <c r="R617" s="310"/>
      <c r="S617" s="310"/>
      <c r="T617" s="691"/>
      <c r="U617" s="691"/>
      <c r="V617" s="355"/>
      <c r="W617" s="932"/>
      <c r="X617" s="310"/>
      <c r="Y617" s="310"/>
      <c r="Z617" s="933"/>
      <c r="AA617" s="310"/>
      <c r="AB617" s="691"/>
      <c r="AC617" s="933"/>
      <c r="AD617" s="691"/>
      <c r="AE617" s="691"/>
      <c r="AF617" s="934"/>
      <c r="AG617" s="934"/>
      <c r="AH617" s="888"/>
      <c r="AI617" s="888"/>
      <c r="AJ617" s="310"/>
      <c r="AK617" s="310"/>
      <c r="AL617" s="310"/>
      <c r="AM617" s="1"/>
      <c r="AN617" s="691"/>
      <c r="AO617" s="1"/>
      <c r="AP617" s="1"/>
    </row>
    <row r="618">
      <c r="A618" s="929"/>
      <c r="B618" s="691"/>
      <c r="C618" s="310"/>
      <c r="D618" s="691"/>
      <c r="E618" s="691"/>
      <c r="F618" s="350"/>
      <c r="G618" s="355"/>
      <c r="H618" s="780"/>
      <c r="I618" s="691"/>
      <c r="J618" s="691"/>
      <c r="K618" s="691"/>
      <c r="L618" s="691"/>
      <c r="M618" s="691"/>
      <c r="N618" s="691"/>
      <c r="O618" s="930"/>
      <c r="P618" s="909"/>
      <c r="Q618" s="931"/>
      <c r="R618" s="310"/>
      <c r="S618" s="310"/>
      <c r="T618" s="691"/>
      <c r="U618" s="691"/>
      <c r="V618" s="355"/>
      <c r="W618" s="932"/>
      <c r="X618" s="310"/>
      <c r="Y618" s="310"/>
      <c r="Z618" s="933"/>
      <c r="AA618" s="310"/>
      <c r="AB618" s="691"/>
      <c r="AC618" s="933"/>
      <c r="AD618" s="691"/>
      <c r="AE618" s="691"/>
      <c r="AF618" s="934"/>
      <c r="AG618" s="934"/>
      <c r="AH618" s="888"/>
      <c r="AI618" s="888"/>
      <c r="AJ618" s="310"/>
      <c r="AK618" s="310"/>
      <c r="AL618" s="310"/>
      <c r="AM618" s="1"/>
      <c r="AN618" s="691"/>
      <c r="AO618" s="1"/>
      <c r="AP618" s="1"/>
    </row>
    <row r="619">
      <c r="A619" s="929"/>
      <c r="B619" s="691"/>
      <c r="C619" s="310"/>
      <c r="D619" s="691"/>
      <c r="E619" s="691"/>
      <c r="F619" s="350"/>
      <c r="G619" s="355"/>
      <c r="H619" s="780"/>
      <c r="I619" s="691"/>
      <c r="J619" s="691"/>
      <c r="K619" s="691"/>
      <c r="L619" s="691"/>
      <c r="M619" s="691"/>
      <c r="N619" s="691"/>
      <c r="O619" s="930"/>
      <c r="P619" s="909"/>
      <c r="Q619" s="931"/>
      <c r="R619" s="310"/>
      <c r="S619" s="310"/>
      <c r="T619" s="691"/>
      <c r="U619" s="691"/>
      <c r="V619" s="355"/>
      <c r="W619" s="932"/>
      <c r="X619" s="310"/>
      <c r="Y619" s="310"/>
      <c r="Z619" s="933"/>
      <c r="AA619" s="310"/>
      <c r="AB619" s="691"/>
      <c r="AC619" s="933"/>
      <c r="AD619" s="691"/>
      <c r="AE619" s="691"/>
      <c r="AF619" s="934"/>
      <c r="AG619" s="934"/>
      <c r="AH619" s="888"/>
      <c r="AI619" s="888"/>
      <c r="AJ619" s="310"/>
      <c r="AK619" s="310"/>
      <c r="AL619" s="310"/>
      <c r="AM619" s="1"/>
      <c r="AN619" s="691"/>
      <c r="AO619" s="1"/>
      <c r="AP619" s="1"/>
    </row>
    <row r="620">
      <c r="A620" s="929"/>
      <c r="B620" s="691"/>
      <c r="C620" s="310"/>
      <c r="D620" s="691"/>
      <c r="E620" s="691"/>
      <c r="F620" s="350"/>
      <c r="G620" s="355"/>
      <c r="H620" s="780"/>
      <c r="I620" s="691"/>
      <c r="J620" s="691"/>
      <c r="K620" s="691"/>
      <c r="L620" s="691"/>
      <c r="M620" s="691"/>
      <c r="N620" s="691"/>
      <c r="O620" s="930"/>
      <c r="P620" s="909"/>
      <c r="Q620" s="931"/>
      <c r="R620" s="310"/>
      <c r="S620" s="310"/>
      <c r="T620" s="691"/>
      <c r="U620" s="691"/>
      <c r="V620" s="355"/>
      <c r="W620" s="932"/>
      <c r="X620" s="310"/>
      <c r="Y620" s="310"/>
      <c r="Z620" s="933"/>
      <c r="AA620" s="310"/>
      <c r="AB620" s="691"/>
      <c r="AC620" s="933"/>
      <c r="AD620" s="691"/>
      <c r="AE620" s="691"/>
      <c r="AF620" s="934"/>
      <c r="AG620" s="934"/>
      <c r="AH620" s="888"/>
      <c r="AI620" s="888"/>
      <c r="AJ620" s="310"/>
      <c r="AK620" s="310"/>
      <c r="AL620" s="310"/>
      <c r="AM620" s="1"/>
      <c r="AN620" s="691"/>
      <c r="AO620" s="1"/>
      <c r="AP620" s="1"/>
    </row>
    <row r="621">
      <c r="A621" s="929"/>
      <c r="B621" s="691"/>
      <c r="C621" s="310"/>
      <c r="D621" s="691"/>
      <c r="E621" s="691"/>
      <c r="F621" s="350"/>
      <c r="G621" s="355"/>
      <c r="H621" s="780"/>
      <c r="I621" s="691"/>
      <c r="J621" s="691"/>
      <c r="K621" s="691"/>
      <c r="L621" s="691"/>
      <c r="M621" s="691"/>
      <c r="N621" s="691"/>
      <c r="O621" s="930"/>
      <c r="P621" s="909"/>
      <c r="Q621" s="931"/>
      <c r="R621" s="310"/>
      <c r="S621" s="310"/>
      <c r="T621" s="691"/>
      <c r="U621" s="691"/>
      <c r="V621" s="355"/>
      <c r="W621" s="932"/>
      <c r="X621" s="310"/>
      <c r="Y621" s="310"/>
      <c r="Z621" s="933"/>
      <c r="AA621" s="310"/>
      <c r="AB621" s="691"/>
      <c r="AC621" s="933"/>
      <c r="AD621" s="691"/>
      <c r="AE621" s="691"/>
      <c r="AF621" s="934"/>
      <c r="AG621" s="934"/>
      <c r="AH621" s="888"/>
      <c r="AI621" s="888"/>
      <c r="AJ621" s="310"/>
      <c r="AK621" s="310"/>
      <c r="AL621" s="310"/>
      <c r="AM621" s="1"/>
      <c r="AN621" s="691"/>
      <c r="AO621" s="1"/>
      <c r="AP621" s="1"/>
    </row>
    <row r="622">
      <c r="A622" s="929"/>
      <c r="B622" s="691"/>
      <c r="C622" s="310"/>
      <c r="D622" s="691"/>
      <c r="E622" s="691"/>
      <c r="F622" s="350"/>
      <c r="G622" s="355"/>
      <c r="H622" s="780"/>
      <c r="I622" s="691"/>
      <c r="J622" s="691"/>
      <c r="K622" s="691"/>
      <c r="L622" s="691"/>
      <c r="M622" s="691"/>
      <c r="N622" s="691"/>
      <c r="O622" s="930"/>
      <c r="P622" s="909"/>
      <c r="Q622" s="931"/>
      <c r="R622" s="310"/>
      <c r="S622" s="310"/>
      <c r="T622" s="691"/>
      <c r="U622" s="691"/>
      <c r="V622" s="355"/>
      <c r="W622" s="932"/>
      <c r="X622" s="310"/>
      <c r="Y622" s="310"/>
      <c r="Z622" s="933"/>
      <c r="AA622" s="310"/>
      <c r="AB622" s="691"/>
      <c r="AC622" s="933"/>
      <c r="AD622" s="691"/>
      <c r="AE622" s="691"/>
      <c r="AF622" s="934"/>
      <c r="AG622" s="934"/>
      <c r="AH622" s="888"/>
      <c r="AI622" s="888"/>
      <c r="AJ622" s="310"/>
      <c r="AK622" s="310"/>
      <c r="AL622" s="310"/>
      <c r="AM622" s="1"/>
      <c r="AN622" s="691"/>
      <c r="AO622" s="1"/>
      <c r="AP622" s="1"/>
    </row>
    <row r="623">
      <c r="A623" s="929"/>
      <c r="B623" s="691"/>
      <c r="C623" s="310"/>
      <c r="D623" s="691"/>
      <c r="E623" s="691"/>
      <c r="F623" s="350"/>
      <c r="G623" s="355"/>
      <c r="H623" s="780"/>
      <c r="I623" s="691"/>
      <c r="J623" s="691"/>
      <c r="K623" s="691"/>
      <c r="L623" s="691"/>
      <c r="M623" s="691"/>
      <c r="N623" s="691"/>
      <c r="O623" s="930"/>
      <c r="P623" s="909"/>
      <c r="Q623" s="931"/>
      <c r="R623" s="310"/>
      <c r="S623" s="310"/>
      <c r="T623" s="691"/>
      <c r="U623" s="691"/>
      <c r="V623" s="355"/>
      <c r="W623" s="932"/>
      <c r="X623" s="310"/>
      <c r="Y623" s="310"/>
      <c r="Z623" s="933"/>
      <c r="AA623" s="310"/>
      <c r="AB623" s="691"/>
      <c r="AC623" s="933"/>
      <c r="AD623" s="691"/>
      <c r="AE623" s="691"/>
      <c r="AF623" s="934"/>
      <c r="AG623" s="934"/>
      <c r="AH623" s="888"/>
      <c r="AI623" s="888"/>
      <c r="AJ623" s="310"/>
      <c r="AK623" s="310"/>
      <c r="AL623" s="310"/>
      <c r="AM623" s="1"/>
      <c r="AN623" s="691"/>
      <c r="AO623" s="1"/>
      <c r="AP623" s="1"/>
    </row>
    <row r="624">
      <c r="A624" s="929"/>
      <c r="B624" s="691"/>
      <c r="C624" s="310"/>
      <c r="D624" s="691"/>
      <c r="E624" s="691"/>
      <c r="F624" s="350"/>
      <c r="G624" s="355"/>
      <c r="H624" s="780"/>
      <c r="I624" s="691"/>
      <c r="J624" s="691"/>
      <c r="K624" s="691"/>
      <c r="L624" s="691"/>
      <c r="M624" s="691"/>
      <c r="N624" s="691"/>
      <c r="O624" s="930"/>
      <c r="P624" s="909"/>
      <c r="Q624" s="931"/>
      <c r="R624" s="310"/>
      <c r="S624" s="310"/>
      <c r="T624" s="691"/>
      <c r="U624" s="691"/>
      <c r="V624" s="355"/>
      <c r="W624" s="932"/>
      <c r="X624" s="310"/>
      <c r="Y624" s="310"/>
      <c r="Z624" s="933"/>
      <c r="AA624" s="310"/>
      <c r="AB624" s="691"/>
      <c r="AC624" s="933"/>
      <c r="AD624" s="691"/>
      <c r="AE624" s="691"/>
      <c r="AF624" s="934"/>
      <c r="AG624" s="934"/>
      <c r="AH624" s="888"/>
      <c r="AI624" s="888"/>
      <c r="AJ624" s="310"/>
      <c r="AK624" s="310"/>
      <c r="AL624" s="310"/>
      <c r="AM624" s="1"/>
      <c r="AN624" s="691"/>
      <c r="AO624" s="1"/>
      <c r="AP624" s="1"/>
    </row>
    <row r="625">
      <c r="A625" s="929"/>
      <c r="B625" s="691"/>
      <c r="C625" s="310"/>
      <c r="D625" s="691"/>
      <c r="E625" s="691"/>
      <c r="F625" s="350"/>
      <c r="G625" s="355"/>
      <c r="H625" s="780"/>
      <c r="I625" s="691"/>
      <c r="J625" s="691"/>
      <c r="K625" s="691"/>
      <c r="L625" s="691"/>
      <c r="M625" s="691"/>
      <c r="N625" s="691"/>
      <c r="O625" s="930"/>
      <c r="P625" s="909"/>
      <c r="Q625" s="931"/>
      <c r="R625" s="310"/>
      <c r="S625" s="310"/>
      <c r="T625" s="691"/>
      <c r="U625" s="691"/>
      <c r="V625" s="355"/>
      <c r="W625" s="932"/>
      <c r="X625" s="310"/>
      <c r="Y625" s="310"/>
      <c r="Z625" s="933"/>
      <c r="AA625" s="310"/>
      <c r="AB625" s="691"/>
      <c r="AC625" s="933"/>
      <c r="AD625" s="691"/>
      <c r="AE625" s="691"/>
      <c r="AF625" s="934"/>
      <c r="AG625" s="934"/>
      <c r="AH625" s="888"/>
      <c r="AI625" s="888"/>
      <c r="AJ625" s="310"/>
      <c r="AK625" s="310"/>
      <c r="AL625" s="310"/>
      <c r="AM625" s="1"/>
      <c r="AN625" s="691"/>
      <c r="AO625" s="1"/>
      <c r="AP625" s="1"/>
    </row>
    <row r="626">
      <c r="A626" s="929"/>
      <c r="B626" s="691"/>
      <c r="C626" s="310"/>
      <c r="D626" s="691"/>
      <c r="E626" s="691"/>
      <c r="F626" s="350"/>
      <c r="G626" s="355"/>
      <c r="H626" s="780"/>
      <c r="I626" s="691"/>
      <c r="J626" s="691"/>
      <c r="K626" s="691"/>
      <c r="L626" s="691"/>
      <c r="M626" s="691"/>
      <c r="N626" s="691"/>
      <c r="O626" s="930"/>
      <c r="P626" s="909"/>
      <c r="Q626" s="931"/>
      <c r="R626" s="310"/>
      <c r="S626" s="310"/>
      <c r="T626" s="691"/>
      <c r="U626" s="691"/>
      <c r="V626" s="355"/>
      <c r="W626" s="932"/>
      <c r="X626" s="310"/>
      <c r="Y626" s="310"/>
      <c r="Z626" s="933"/>
      <c r="AA626" s="310"/>
      <c r="AB626" s="691"/>
      <c r="AC626" s="933"/>
      <c r="AD626" s="691"/>
      <c r="AE626" s="691"/>
      <c r="AF626" s="934"/>
      <c r="AG626" s="934"/>
      <c r="AH626" s="888"/>
      <c r="AI626" s="888"/>
      <c r="AJ626" s="310"/>
      <c r="AK626" s="310"/>
      <c r="AL626" s="310"/>
      <c r="AM626" s="1"/>
      <c r="AN626" s="691"/>
      <c r="AO626" s="1"/>
      <c r="AP626" s="1"/>
    </row>
    <row r="627">
      <c r="A627" s="929"/>
      <c r="B627" s="691"/>
      <c r="C627" s="310"/>
      <c r="D627" s="691"/>
      <c r="E627" s="691"/>
      <c r="F627" s="350"/>
      <c r="G627" s="355"/>
      <c r="H627" s="780"/>
      <c r="I627" s="691"/>
      <c r="J627" s="691"/>
      <c r="K627" s="691"/>
      <c r="L627" s="691"/>
      <c r="M627" s="691"/>
      <c r="N627" s="691"/>
      <c r="O627" s="930"/>
      <c r="P627" s="909"/>
      <c r="Q627" s="931"/>
      <c r="R627" s="310"/>
      <c r="S627" s="310"/>
      <c r="T627" s="691"/>
      <c r="U627" s="691"/>
      <c r="V627" s="355"/>
      <c r="W627" s="932"/>
      <c r="X627" s="310"/>
      <c r="Y627" s="310"/>
      <c r="Z627" s="933"/>
      <c r="AA627" s="310"/>
      <c r="AB627" s="691"/>
      <c r="AC627" s="933"/>
      <c r="AD627" s="691"/>
      <c r="AE627" s="691"/>
      <c r="AF627" s="934"/>
      <c r="AG627" s="934"/>
      <c r="AH627" s="888"/>
      <c r="AI627" s="888"/>
      <c r="AJ627" s="310"/>
      <c r="AK627" s="310"/>
      <c r="AL627" s="310"/>
      <c r="AM627" s="1"/>
      <c r="AN627" s="691"/>
      <c r="AO627" s="1"/>
      <c r="AP627" s="1"/>
    </row>
    <row r="628">
      <c r="A628" s="929"/>
      <c r="B628" s="691"/>
      <c r="C628" s="310"/>
      <c r="D628" s="691"/>
      <c r="E628" s="691"/>
      <c r="F628" s="350"/>
      <c r="G628" s="355"/>
      <c r="H628" s="780"/>
      <c r="I628" s="691"/>
      <c r="J628" s="691"/>
      <c r="K628" s="691"/>
      <c r="L628" s="691"/>
      <c r="M628" s="691"/>
      <c r="N628" s="691"/>
      <c r="O628" s="930"/>
      <c r="P628" s="909"/>
      <c r="Q628" s="931"/>
      <c r="R628" s="310"/>
      <c r="S628" s="310"/>
      <c r="T628" s="691"/>
      <c r="U628" s="691"/>
      <c r="V628" s="355"/>
      <c r="W628" s="932"/>
      <c r="X628" s="310"/>
      <c r="Y628" s="310"/>
      <c r="Z628" s="933"/>
      <c r="AA628" s="310"/>
      <c r="AB628" s="691"/>
      <c r="AC628" s="933"/>
      <c r="AD628" s="691"/>
      <c r="AE628" s="691"/>
      <c r="AF628" s="934"/>
      <c r="AG628" s="934"/>
      <c r="AH628" s="888"/>
      <c r="AI628" s="888"/>
      <c r="AJ628" s="310"/>
      <c r="AK628" s="310"/>
      <c r="AL628" s="310"/>
      <c r="AM628" s="1"/>
      <c r="AN628" s="691"/>
      <c r="AO628" s="1"/>
      <c r="AP628" s="1"/>
    </row>
    <row r="629">
      <c r="A629" s="929"/>
      <c r="B629" s="691"/>
      <c r="C629" s="310"/>
      <c r="D629" s="691"/>
      <c r="E629" s="691"/>
      <c r="F629" s="350"/>
      <c r="G629" s="355"/>
      <c r="H629" s="780"/>
      <c r="I629" s="691"/>
      <c r="J629" s="691"/>
      <c r="K629" s="691"/>
      <c r="L629" s="691"/>
      <c r="M629" s="691"/>
      <c r="N629" s="691"/>
      <c r="O629" s="930"/>
      <c r="P629" s="909"/>
      <c r="Q629" s="931"/>
      <c r="R629" s="310"/>
      <c r="S629" s="310"/>
      <c r="T629" s="691"/>
      <c r="U629" s="691"/>
      <c r="V629" s="355"/>
      <c r="W629" s="932"/>
      <c r="X629" s="310"/>
      <c r="Y629" s="310"/>
      <c r="Z629" s="933"/>
      <c r="AA629" s="310"/>
      <c r="AB629" s="691"/>
      <c r="AC629" s="933"/>
      <c r="AD629" s="691"/>
      <c r="AE629" s="691"/>
      <c r="AF629" s="934"/>
      <c r="AG629" s="934"/>
      <c r="AH629" s="888"/>
      <c r="AI629" s="888"/>
      <c r="AJ629" s="310"/>
      <c r="AK629" s="310"/>
      <c r="AL629" s="310"/>
      <c r="AM629" s="1"/>
      <c r="AN629" s="691"/>
      <c r="AO629" s="1"/>
      <c r="AP629" s="1"/>
    </row>
    <row r="630">
      <c r="A630" s="929"/>
      <c r="B630" s="691"/>
      <c r="C630" s="310"/>
      <c r="D630" s="691"/>
      <c r="E630" s="691"/>
      <c r="F630" s="350"/>
      <c r="G630" s="355"/>
      <c r="H630" s="780"/>
      <c r="I630" s="691"/>
      <c r="J630" s="691"/>
      <c r="K630" s="691"/>
      <c r="L630" s="691"/>
      <c r="M630" s="691"/>
      <c r="N630" s="691"/>
      <c r="O630" s="930"/>
      <c r="P630" s="909"/>
      <c r="Q630" s="931"/>
      <c r="R630" s="310"/>
      <c r="S630" s="310"/>
      <c r="T630" s="691"/>
      <c r="U630" s="691"/>
      <c r="V630" s="355"/>
      <c r="W630" s="932"/>
      <c r="X630" s="310"/>
      <c r="Y630" s="310"/>
      <c r="Z630" s="933"/>
      <c r="AA630" s="310"/>
      <c r="AB630" s="691"/>
      <c r="AC630" s="933"/>
      <c r="AD630" s="691"/>
      <c r="AE630" s="691"/>
      <c r="AF630" s="934"/>
      <c r="AG630" s="934"/>
      <c r="AH630" s="888"/>
      <c r="AI630" s="888"/>
      <c r="AJ630" s="310"/>
      <c r="AK630" s="310"/>
      <c r="AL630" s="310"/>
      <c r="AM630" s="1"/>
      <c r="AN630" s="691"/>
      <c r="AO630" s="1"/>
      <c r="AP630" s="1"/>
    </row>
    <row r="631">
      <c r="A631" s="929"/>
      <c r="B631" s="691"/>
      <c r="C631" s="310"/>
      <c r="D631" s="691"/>
      <c r="E631" s="691"/>
      <c r="F631" s="350"/>
      <c r="G631" s="355"/>
      <c r="H631" s="780"/>
      <c r="I631" s="691"/>
      <c r="J631" s="691"/>
      <c r="K631" s="691"/>
      <c r="L631" s="691"/>
      <c r="M631" s="691"/>
      <c r="N631" s="691"/>
      <c r="O631" s="930"/>
      <c r="P631" s="909"/>
      <c r="Q631" s="931"/>
      <c r="R631" s="310"/>
      <c r="S631" s="310"/>
      <c r="T631" s="691"/>
      <c r="U631" s="691"/>
      <c r="V631" s="355"/>
      <c r="W631" s="932"/>
      <c r="X631" s="310"/>
      <c r="Y631" s="310"/>
      <c r="Z631" s="933"/>
      <c r="AA631" s="310"/>
      <c r="AB631" s="691"/>
      <c r="AC631" s="933"/>
      <c r="AD631" s="691"/>
      <c r="AE631" s="691"/>
      <c r="AF631" s="934"/>
      <c r="AG631" s="934"/>
      <c r="AH631" s="888"/>
      <c r="AI631" s="888"/>
      <c r="AJ631" s="310"/>
      <c r="AK631" s="310"/>
      <c r="AL631" s="310"/>
      <c r="AM631" s="1"/>
      <c r="AN631" s="691"/>
      <c r="AO631" s="1"/>
      <c r="AP631" s="1"/>
    </row>
    <row r="632">
      <c r="A632" s="929"/>
      <c r="B632" s="691"/>
      <c r="C632" s="310"/>
      <c r="D632" s="691"/>
      <c r="E632" s="691"/>
      <c r="F632" s="350"/>
      <c r="G632" s="355"/>
      <c r="H632" s="780"/>
      <c r="I632" s="691"/>
      <c r="J632" s="691"/>
      <c r="K632" s="691"/>
      <c r="L632" s="691"/>
      <c r="M632" s="691"/>
      <c r="N632" s="691"/>
      <c r="O632" s="930"/>
      <c r="P632" s="909"/>
      <c r="Q632" s="931"/>
      <c r="R632" s="310"/>
      <c r="S632" s="310"/>
      <c r="T632" s="691"/>
      <c r="U632" s="691"/>
      <c r="V632" s="355"/>
      <c r="W632" s="932"/>
      <c r="X632" s="310"/>
      <c r="Y632" s="310"/>
      <c r="Z632" s="933"/>
      <c r="AA632" s="310"/>
      <c r="AB632" s="691"/>
      <c r="AC632" s="933"/>
      <c r="AD632" s="691"/>
      <c r="AE632" s="691"/>
      <c r="AF632" s="934"/>
      <c r="AG632" s="934"/>
      <c r="AH632" s="888"/>
      <c r="AI632" s="888"/>
      <c r="AJ632" s="310"/>
      <c r="AK632" s="310"/>
      <c r="AL632" s="310"/>
      <c r="AM632" s="1"/>
      <c r="AN632" s="691"/>
      <c r="AO632" s="1"/>
      <c r="AP632" s="1"/>
    </row>
    <row r="633">
      <c r="A633" s="929"/>
      <c r="B633" s="691"/>
      <c r="C633" s="310"/>
      <c r="D633" s="691"/>
      <c r="E633" s="691"/>
      <c r="F633" s="350"/>
      <c r="G633" s="355"/>
      <c r="H633" s="780"/>
      <c r="I633" s="691"/>
      <c r="J633" s="691"/>
      <c r="K633" s="691"/>
      <c r="L633" s="691"/>
      <c r="M633" s="691"/>
      <c r="N633" s="691"/>
      <c r="O633" s="930"/>
      <c r="P633" s="909"/>
      <c r="Q633" s="931"/>
      <c r="R633" s="310"/>
      <c r="S633" s="310"/>
      <c r="T633" s="691"/>
      <c r="U633" s="691"/>
      <c r="V633" s="355"/>
      <c r="W633" s="932"/>
      <c r="X633" s="310"/>
      <c r="Y633" s="310"/>
      <c r="Z633" s="933"/>
      <c r="AA633" s="310"/>
      <c r="AB633" s="691"/>
      <c r="AC633" s="933"/>
      <c r="AD633" s="691"/>
      <c r="AE633" s="691"/>
      <c r="AF633" s="934"/>
      <c r="AG633" s="934"/>
      <c r="AH633" s="888"/>
      <c r="AI633" s="888"/>
      <c r="AJ633" s="310"/>
      <c r="AK633" s="310"/>
      <c r="AL633" s="310"/>
      <c r="AM633" s="1"/>
      <c r="AN633" s="691"/>
      <c r="AO633" s="1"/>
      <c r="AP633" s="1"/>
    </row>
    <row r="634">
      <c r="A634" s="929"/>
      <c r="B634" s="691"/>
      <c r="C634" s="310"/>
      <c r="D634" s="691"/>
      <c r="E634" s="691"/>
      <c r="F634" s="350"/>
      <c r="G634" s="355"/>
      <c r="H634" s="780"/>
      <c r="I634" s="691"/>
      <c r="J634" s="691"/>
      <c r="K634" s="691"/>
      <c r="L634" s="691"/>
      <c r="M634" s="691"/>
      <c r="N634" s="691"/>
      <c r="O634" s="930"/>
      <c r="P634" s="909"/>
      <c r="Q634" s="931"/>
      <c r="R634" s="310"/>
      <c r="S634" s="310"/>
      <c r="T634" s="691"/>
      <c r="U634" s="691"/>
      <c r="V634" s="355"/>
      <c r="W634" s="932"/>
      <c r="X634" s="310"/>
      <c r="Y634" s="310"/>
      <c r="Z634" s="933"/>
      <c r="AA634" s="310"/>
      <c r="AB634" s="691"/>
      <c r="AC634" s="933"/>
      <c r="AD634" s="691"/>
      <c r="AE634" s="691"/>
      <c r="AF634" s="934"/>
      <c r="AG634" s="934"/>
      <c r="AH634" s="888"/>
      <c r="AI634" s="888"/>
      <c r="AJ634" s="310"/>
      <c r="AK634" s="310"/>
      <c r="AL634" s="310"/>
      <c r="AM634" s="1"/>
      <c r="AN634" s="691"/>
      <c r="AO634" s="1"/>
      <c r="AP634" s="1"/>
    </row>
    <row r="635">
      <c r="A635" s="929"/>
      <c r="B635" s="691"/>
      <c r="C635" s="310"/>
      <c r="D635" s="691"/>
      <c r="E635" s="691"/>
      <c r="F635" s="350"/>
      <c r="G635" s="355"/>
      <c r="H635" s="780"/>
      <c r="I635" s="691"/>
      <c r="J635" s="691"/>
      <c r="K635" s="691"/>
      <c r="L635" s="691"/>
      <c r="M635" s="691"/>
      <c r="N635" s="691"/>
      <c r="O635" s="930"/>
      <c r="P635" s="909"/>
      <c r="Q635" s="931"/>
      <c r="R635" s="310"/>
      <c r="S635" s="310"/>
      <c r="T635" s="691"/>
      <c r="U635" s="691"/>
      <c r="V635" s="355"/>
      <c r="W635" s="932"/>
      <c r="X635" s="310"/>
      <c r="Y635" s="310"/>
      <c r="Z635" s="933"/>
      <c r="AA635" s="310"/>
      <c r="AB635" s="691"/>
      <c r="AC635" s="933"/>
      <c r="AD635" s="691"/>
      <c r="AE635" s="691"/>
      <c r="AF635" s="934"/>
      <c r="AG635" s="934"/>
      <c r="AH635" s="888"/>
      <c r="AI635" s="888"/>
      <c r="AJ635" s="310"/>
      <c r="AK635" s="310"/>
      <c r="AL635" s="310"/>
      <c r="AM635" s="1"/>
      <c r="AN635" s="691"/>
      <c r="AO635" s="1"/>
      <c r="AP635" s="1"/>
    </row>
    <row r="636">
      <c r="A636" s="929"/>
      <c r="B636" s="691"/>
      <c r="C636" s="310"/>
      <c r="D636" s="691"/>
      <c r="E636" s="691"/>
      <c r="F636" s="350"/>
      <c r="G636" s="355"/>
      <c r="H636" s="780"/>
      <c r="I636" s="691"/>
      <c r="J636" s="691"/>
      <c r="K636" s="691"/>
      <c r="L636" s="691"/>
      <c r="M636" s="691"/>
      <c r="N636" s="691"/>
      <c r="O636" s="930"/>
      <c r="P636" s="909"/>
      <c r="Q636" s="931"/>
      <c r="R636" s="310"/>
      <c r="S636" s="310"/>
      <c r="T636" s="691"/>
      <c r="U636" s="691"/>
      <c r="V636" s="355"/>
      <c r="W636" s="932"/>
      <c r="X636" s="310"/>
      <c r="Y636" s="310"/>
      <c r="Z636" s="933"/>
      <c r="AA636" s="310"/>
      <c r="AB636" s="691"/>
      <c r="AC636" s="933"/>
      <c r="AD636" s="691"/>
      <c r="AE636" s="691"/>
      <c r="AF636" s="934"/>
      <c r="AG636" s="934"/>
      <c r="AH636" s="888"/>
      <c r="AI636" s="888"/>
      <c r="AJ636" s="310"/>
      <c r="AK636" s="310"/>
      <c r="AL636" s="310"/>
      <c r="AM636" s="1"/>
      <c r="AN636" s="691"/>
      <c r="AO636" s="1"/>
      <c r="AP636" s="1"/>
    </row>
    <row r="637">
      <c r="A637" s="929"/>
      <c r="B637" s="691"/>
      <c r="C637" s="310"/>
      <c r="D637" s="691"/>
      <c r="E637" s="691"/>
      <c r="F637" s="350"/>
      <c r="G637" s="355"/>
      <c r="H637" s="780"/>
      <c r="I637" s="691"/>
      <c r="J637" s="691"/>
      <c r="K637" s="691"/>
      <c r="L637" s="691"/>
      <c r="M637" s="691"/>
      <c r="N637" s="691"/>
      <c r="O637" s="930"/>
      <c r="P637" s="909"/>
      <c r="Q637" s="931"/>
      <c r="R637" s="310"/>
      <c r="S637" s="310"/>
      <c r="T637" s="691"/>
      <c r="U637" s="691"/>
      <c r="V637" s="355"/>
      <c r="W637" s="932"/>
      <c r="X637" s="310"/>
      <c r="Y637" s="310"/>
      <c r="Z637" s="933"/>
      <c r="AA637" s="310"/>
      <c r="AB637" s="691"/>
      <c r="AC637" s="933"/>
      <c r="AD637" s="691"/>
      <c r="AE637" s="691"/>
      <c r="AF637" s="934"/>
      <c r="AG637" s="934"/>
      <c r="AH637" s="888"/>
      <c r="AI637" s="888"/>
      <c r="AJ637" s="310"/>
      <c r="AK637" s="310"/>
      <c r="AL637" s="310"/>
      <c r="AM637" s="1"/>
      <c r="AN637" s="691"/>
      <c r="AO637" s="1"/>
      <c r="AP637" s="1"/>
    </row>
    <row r="638">
      <c r="A638" s="929"/>
      <c r="B638" s="691"/>
      <c r="C638" s="310"/>
      <c r="D638" s="691"/>
      <c r="E638" s="691"/>
      <c r="F638" s="350"/>
      <c r="G638" s="355"/>
      <c r="H638" s="780"/>
      <c r="I638" s="691"/>
      <c r="J638" s="691"/>
      <c r="K638" s="691"/>
      <c r="L638" s="691"/>
      <c r="M638" s="691"/>
      <c r="N638" s="691"/>
      <c r="O638" s="930"/>
      <c r="P638" s="909"/>
      <c r="Q638" s="931"/>
      <c r="R638" s="310"/>
      <c r="S638" s="310"/>
      <c r="T638" s="691"/>
      <c r="U638" s="691"/>
      <c r="V638" s="355"/>
      <c r="W638" s="932"/>
      <c r="X638" s="310"/>
      <c r="Y638" s="310"/>
      <c r="Z638" s="933"/>
      <c r="AA638" s="310"/>
      <c r="AB638" s="691"/>
      <c r="AC638" s="933"/>
      <c r="AD638" s="691"/>
      <c r="AE638" s="691"/>
      <c r="AF638" s="934"/>
      <c r="AG638" s="934"/>
      <c r="AH638" s="888"/>
      <c r="AI638" s="888"/>
      <c r="AJ638" s="310"/>
      <c r="AK638" s="310"/>
      <c r="AL638" s="310"/>
      <c r="AM638" s="1"/>
      <c r="AN638" s="691"/>
      <c r="AO638" s="1"/>
      <c r="AP638" s="1"/>
    </row>
    <row r="639">
      <c r="A639" s="929"/>
      <c r="B639" s="691"/>
      <c r="C639" s="310"/>
      <c r="D639" s="691"/>
      <c r="E639" s="691"/>
      <c r="F639" s="350"/>
      <c r="G639" s="355"/>
      <c r="H639" s="780"/>
      <c r="I639" s="691"/>
      <c r="J639" s="691"/>
      <c r="K639" s="691"/>
      <c r="L639" s="691"/>
      <c r="M639" s="691"/>
      <c r="N639" s="691"/>
      <c r="O639" s="930"/>
      <c r="P639" s="909"/>
      <c r="Q639" s="931"/>
      <c r="R639" s="310"/>
      <c r="S639" s="310"/>
      <c r="T639" s="691"/>
      <c r="U639" s="691"/>
      <c r="V639" s="355"/>
      <c r="W639" s="932"/>
      <c r="X639" s="310"/>
      <c r="Y639" s="310"/>
      <c r="Z639" s="933"/>
      <c r="AA639" s="310"/>
      <c r="AB639" s="691"/>
      <c r="AC639" s="933"/>
      <c r="AD639" s="691"/>
      <c r="AE639" s="691"/>
      <c r="AF639" s="934"/>
      <c r="AG639" s="934"/>
      <c r="AH639" s="888"/>
      <c r="AI639" s="888"/>
      <c r="AJ639" s="310"/>
      <c r="AK639" s="310"/>
      <c r="AL639" s="310"/>
      <c r="AM639" s="1"/>
      <c r="AN639" s="691"/>
      <c r="AO639" s="1"/>
      <c r="AP639" s="1"/>
    </row>
    <row r="640">
      <c r="A640" s="929"/>
      <c r="B640" s="691"/>
      <c r="C640" s="310"/>
      <c r="D640" s="691"/>
      <c r="E640" s="691"/>
      <c r="F640" s="350"/>
      <c r="G640" s="355"/>
      <c r="H640" s="780"/>
      <c r="I640" s="691"/>
      <c r="J640" s="691"/>
      <c r="K640" s="691"/>
      <c r="L640" s="691"/>
      <c r="M640" s="691"/>
      <c r="N640" s="691"/>
      <c r="O640" s="930"/>
      <c r="P640" s="909"/>
      <c r="Q640" s="931"/>
      <c r="R640" s="310"/>
      <c r="S640" s="310"/>
      <c r="T640" s="691"/>
      <c r="U640" s="691"/>
      <c r="V640" s="355"/>
      <c r="W640" s="932"/>
      <c r="X640" s="310"/>
      <c r="Y640" s="310"/>
      <c r="Z640" s="933"/>
      <c r="AA640" s="310"/>
      <c r="AB640" s="691"/>
      <c r="AC640" s="933"/>
      <c r="AD640" s="691"/>
      <c r="AE640" s="691"/>
      <c r="AF640" s="934"/>
      <c r="AG640" s="934"/>
      <c r="AH640" s="888"/>
      <c r="AI640" s="888"/>
      <c r="AJ640" s="310"/>
      <c r="AK640" s="310"/>
      <c r="AL640" s="310"/>
      <c r="AM640" s="1"/>
      <c r="AN640" s="691"/>
      <c r="AO640" s="1"/>
      <c r="AP640" s="1"/>
    </row>
    <row r="641">
      <c r="A641" s="929"/>
      <c r="B641" s="691"/>
      <c r="C641" s="310"/>
      <c r="D641" s="691"/>
      <c r="E641" s="691"/>
      <c r="F641" s="350"/>
      <c r="G641" s="355"/>
      <c r="H641" s="780"/>
      <c r="I641" s="691"/>
      <c r="J641" s="691"/>
      <c r="K641" s="691"/>
      <c r="L641" s="691"/>
      <c r="M641" s="691"/>
      <c r="N641" s="691"/>
      <c r="O641" s="930"/>
      <c r="P641" s="909"/>
      <c r="Q641" s="931"/>
      <c r="R641" s="310"/>
      <c r="S641" s="310"/>
      <c r="T641" s="691"/>
      <c r="U641" s="691"/>
      <c r="V641" s="355"/>
      <c r="W641" s="932"/>
      <c r="X641" s="310"/>
      <c r="Y641" s="310"/>
      <c r="Z641" s="933"/>
      <c r="AA641" s="310"/>
      <c r="AB641" s="691"/>
      <c r="AC641" s="933"/>
      <c r="AD641" s="691"/>
      <c r="AE641" s="691"/>
      <c r="AF641" s="934"/>
      <c r="AG641" s="934"/>
      <c r="AH641" s="888"/>
      <c r="AI641" s="888"/>
      <c r="AJ641" s="310"/>
      <c r="AK641" s="310"/>
      <c r="AL641" s="310"/>
      <c r="AM641" s="1"/>
      <c r="AN641" s="691"/>
      <c r="AO641" s="1"/>
      <c r="AP641" s="1"/>
    </row>
    <row r="642">
      <c r="A642" s="929"/>
      <c r="B642" s="691"/>
      <c r="C642" s="310"/>
      <c r="D642" s="691"/>
      <c r="E642" s="691"/>
      <c r="F642" s="350"/>
      <c r="G642" s="355"/>
      <c r="H642" s="780"/>
      <c r="I642" s="691"/>
      <c r="J642" s="691"/>
      <c r="K642" s="691"/>
      <c r="L642" s="691"/>
      <c r="M642" s="691"/>
      <c r="N642" s="691"/>
      <c r="O642" s="930"/>
      <c r="P642" s="909"/>
      <c r="Q642" s="931"/>
      <c r="R642" s="310"/>
      <c r="S642" s="310"/>
      <c r="T642" s="691"/>
      <c r="U642" s="691"/>
      <c r="V642" s="355"/>
      <c r="W642" s="932"/>
      <c r="X642" s="310"/>
      <c r="Y642" s="310"/>
      <c r="Z642" s="933"/>
      <c r="AA642" s="310"/>
      <c r="AB642" s="691"/>
      <c r="AC642" s="933"/>
      <c r="AD642" s="691"/>
      <c r="AE642" s="691"/>
      <c r="AF642" s="934"/>
      <c r="AG642" s="934"/>
      <c r="AH642" s="888"/>
      <c r="AI642" s="888"/>
      <c r="AJ642" s="310"/>
      <c r="AK642" s="310"/>
      <c r="AL642" s="310"/>
      <c r="AM642" s="1"/>
      <c r="AN642" s="691"/>
      <c r="AO642" s="1"/>
      <c r="AP642" s="1"/>
    </row>
    <row r="643">
      <c r="A643" s="929"/>
      <c r="B643" s="691"/>
      <c r="C643" s="310"/>
      <c r="D643" s="691"/>
      <c r="E643" s="691"/>
      <c r="F643" s="350"/>
      <c r="G643" s="355"/>
      <c r="H643" s="780"/>
      <c r="I643" s="691"/>
      <c r="J643" s="691"/>
      <c r="K643" s="691"/>
      <c r="L643" s="691"/>
      <c r="M643" s="691"/>
      <c r="N643" s="691"/>
      <c r="O643" s="930"/>
      <c r="P643" s="909"/>
      <c r="Q643" s="931"/>
      <c r="R643" s="310"/>
      <c r="S643" s="310"/>
      <c r="T643" s="691"/>
      <c r="U643" s="691"/>
      <c r="V643" s="355"/>
      <c r="W643" s="932"/>
      <c r="X643" s="310"/>
      <c r="Y643" s="310"/>
      <c r="Z643" s="933"/>
      <c r="AA643" s="310"/>
      <c r="AB643" s="691"/>
      <c r="AC643" s="933"/>
      <c r="AD643" s="691"/>
      <c r="AE643" s="691"/>
      <c r="AF643" s="934"/>
      <c r="AG643" s="934"/>
      <c r="AH643" s="888"/>
      <c r="AI643" s="888"/>
      <c r="AJ643" s="310"/>
      <c r="AK643" s="310"/>
      <c r="AL643" s="310"/>
      <c r="AM643" s="1"/>
      <c r="AN643" s="691"/>
      <c r="AO643" s="1"/>
      <c r="AP643" s="1"/>
    </row>
    <row r="644">
      <c r="A644" s="929"/>
      <c r="B644" s="691"/>
      <c r="C644" s="310"/>
      <c r="D644" s="691"/>
      <c r="E644" s="691"/>
      <c r="F644" s="350"/>
      <c r="G644" s="355"/>
      <c r="H644" s="780"/>
      <c r="I644" s="691"/>
      <c r="J644" s="691"/>
      <c r="K644" s="691"/>
      <c r="L644" s="691"/>
      <c r="M644" s="691"/>
      <c r="N644" s="691"/>
      <c r="O644" s="930"/>
      <c r="P644" s="909"/>
      <c r="Q644" s="931"/>
      <c r="R644" s="310"/>
      <c r="S644" s="310"/>
      <c r="T644" s="691"/>
      <c r="U644" s="691"/>
      <c r="V644" s="355"/>
      <c r="W644" s="932"/>
      <c r="X644" s="310"/>
      <c r="Y644" s="310"/>
      <c r="Z644" s="933"/>
      <c r="AA644" s="310"/>
      <c r="AB644" s="691"/>
      <c r="AC644" s="933"/>
      <c r="AD644" s="691"/>
      <c r="AE644" s="691"/>
      <c r="AF644" s="934"/>
      <c r="AG644" s="934"/>
      <c r="AH644" s="888"/>
      <c r="AI644" s="888"/>
      <c r="AJ644" s="310"/>
      <c r="AK644" s="310"/>
      <c r="AL644" s="310"/>
      <c r="AM644" s="1"/>
      <c r="AN644" s="691"/>
      <c r="AO644" s="1"/>
      <c r="AP644" s="1"/>
    </row>
    <row r="645">
      <c r="A645" s="929"/>
      <c r="B645" s="691"/>
      <c r="C645" s="310"/>
      <c r="D645" s="691"/>
      <c r="E645" s="691"/>
      <c r="F645" s="350"/>
      <c r="G645" s="355"/>
      <c r="H645" s="780"/>
      <c r="I645" s="691"/>
      <c r="J645" s="691"/>
      <c r="K645" s="691"/>
      <c r="L645" s="691"/>
      <c r="M645" s="691"/>
      <c r="N645" s="691"/>
      <c r="O645" s="930"/>
      <c r="P645" s="909"/>
      <c r="Q645" s="931"/>
      <c r="R645" s="310"/>
      <c r="S645" s="310"/>
      <c r="T645" s="691"/>
      <c r="U645" s="691"/>
      <c r="V645" s="355"/>
      <c r="W645" s="932"/>
      <c r="X645" s="310"/>
      <c r="Y645" s="310"/>
      <c r="Z645" s="933"/>
      <c r="AA645" s="310"/>
      <c r="AB645" s="691"/>
      <c r="AC645" s="933"/>
      <c r="AD645" s="691"/>
      <c r="AE645" s="691"/>
      <c r="AF645" s="934"/>
      <c r="AG645" s="934"/>
      <c r="AH645" s="888"/>
      <c r="AI645" s="888"/>
      <c r="AJ645" s="310"/>
      <c r="AK645" s="310"/>
      <c r="AL645" s="310"/>
      <c r="AM645" s="1"/>
      <c r="AN645" s="691"/>
      <c r="AO645" s="1"/>
      <c r="AP645" s="1"/>
    </row>
    <row r="646">
      <c r="A646" s="929"/>
      <c r="B646" s="691"/>
      <c r="C646" s="310"/>
      <c r="D646" s="691"/>
      <c r="E646" s="691"/>
      <c r="F646" s="350"/>
      <c r="G646" s="355"/>
      <c r="H646" s="780"/>
      <c r="I646" s="691"/>
      <c r="J646" s="691"/>
      <c r="K646" s="691"/>
      <c r="L646" s="691"/>
      <c r="M646" s="691"/>
      <c r="N646" s="691"/>
      <c r="O646" s="930"/>
      <c r="P646" s="909"/>
      <c r="Q646" s="931"/>
      <c r="R646" s="310"/>
      <c r="S646" s="310"/>
      <c r="T646" s="691"/>
      <c r="U646" s="691"/>
      <c r="V646" s="355"/>
      <c r="W646" s="932"/>
      <c r="X646" s="310"/>
      <c r="Y646" s="310"/>
      <c r="Z646" s="933"/>
      <c r="AA646" s="310"/>
      <c r="AB646" s="691"/>
      <c r="AC646" s="933"/>
      <c r="AD646" s="691"/>
      <c r="AE646" s="691"/>
      <c r="AF646" s="934"/>
      <c r="AG646" s="934"/>
      <c r="AH646" s="888"/>
      <c r="AI646" s="888"/>
      <c r="AJ646" s="310"/>
      <c r="AK646" s="310"/>
      <c r="AL646" s="310"/>
      <c r="AM646" s="1"/>
      <c r="AN646" s="691"/>
      <c r="AO646" s="1"/>
      <c r="AP646" s="1"/>
    </row>
    <row r="647">
      <c r="A647" s="929"/>
      <c r="B647" s="691"/>
      <c r="C647" s="310"/>
      <c r="D647" s="691"/>
      <c r="E647" s="691"/>
      <c r="F647" s="350"/>
      <c r="G647" s="355"/>
      <c r="H647" s="780"/>
      <c r="I647" s="691"/>
      <c r="J647" s="691"/>
      <c r="K647" s="691"/>
      <c r="L647" s="691"/>
      <c r="M647" s="691"/>
      <c r="N647" s="691"/>
      <c r="O647" s="930"/>
      <c r="P647" s="909"/>
      <c r="Q647" s="931"/>
      <c r="R647" s="310"/>
      <c r="S647" s="310"/>
      <c r="T647" s="691"/>
      <c r="U647" s="691"/>
      <c r="V647" s="355"/>
      <c r="W647" s="932"/>
      <c r="X647" s="310"/>
      <c r="Y647" s="310"/>
      <c r="Z647" s="933"/>
      <c r="AA647" s="310"/>
      <c r="AB647" s="691"/>
      <c r="AC647" s="933"/>
      <c r="AD647" s="691"/>
      <c r="AE647" s="691"/>
      <c r="AF647" s="934"/>
      <c r="AG647" s="934"/>
      <c r="AH647" s="888"/>
      <c r="AI647" s="888"/>
      <c r="AJ647" s="310"/>
      <c r="AK647" s="310"/>
      <c r="AL647" s="310"/>
      <c r="AM647" s="1"/>
      <c r="AN647" s="691"/>
      <c r="AO647" s="1"/>
      <c r="AP647" s="1"/>
    </row>
    <row r="648">
      <c r="A648" s="929"/>
      <c r="B648" s="691"/>
      <c r="C648" s="310"/>
      <c r="D648" s="691"/>
      <c r="E648" s="691"/>
      <c r="F648" s="350"/>
      <c r="G648" s="355"/>
      <c r="H648" s="780"/>
      <c r="I648" s="691"/>
      <c r="J648" s="691"/>
      <c r="K648" s="691"/>
      <c r="L648" s="691"/>
      <c r="M648" s="691"/>
      <c r="N648" s="691"/>
      <c r="O648" s="930"/>
      <c r="P648" s="909"/>
      <c r="Q648" s="931"/>
      <c r="R648" s="310"/>
      <c r="S648" s="310"/>
      <c r="T648" s="691"/>
      <c r="U648" s="691"/>
      <c r="V648" s="355"/>
      <c r="W648" s="932"/>
      <c r="X648" s="310"/>
      <c r="Y648" s="310"/>
      <c r="Z648" s="933"/>
      <c r="AA648" s="310"/>
      <c r="AB648" s="691"/>
      <c r="AC648" s="933"/>
      <c r="AD648" s="691"/>
      <c r="AE648" s="691"/>
      <c r="AF648" s="934"/>
      <c r="AG648" s="934"/>
      <c r="AH648" s="888"/>
      <c r="AI648" s="888"/>
      <c r="AJ648" s="310"/>
      <c r="AK648" s="310"/>
      <c r="AL648" s="310"/>
      <c r="AM648" s="1"/>
      <c r="AN648" s="691"/>
      <c r="AO648" s="1"/>
      <c r="AP648" s="1"/>
    </row>
    <row r="649">
      <c r="A649" s="929"/>
      <c r="B649" s="691"/>
      <c r="C649" s="310"/>
      <c r="D649" s="691"/>
      <c r="E649" s="691"/>
      <c r="F649" s="350"/>
      <c r="G649" s="355"/>
      <c r="H649" s="780"/>
      <c r="I649" s="691"/>
      <c r="J649" s="691"/>
      <c r="K649" s="691"/>
      <c r="L649" s="691"/>
      <c r="M649" s="691"/>
      <c r="N649" s="691"/>
      <c r="O649" s="930"/>
      <c r="P649" s="909"/>
      <c r="Q649" s="931"/>
      <c r="R649" s="310"/>
      <c r="S649" s="310"/>
      <c r="T649" s="691"/>
      <c r="U649" s="691"/>
      <c r="V649" s="355"/>
      <c r="W649" s="932"/>
      <c r="X649" s="310"/>
      <c r="Y649" s="310"/>
      <c r="Z649" s="933"/>
      <c r="AA649" s="310"/>
      <c r="AB649" s="691"/>
      <c r="AC649" s="933"/>
      <c r="AD649" s="691"/>
      <c r="AE649" s="691"/>
      <c r="AF649" s="934"/>
      <c r="AG649" s="934"/>
      <c r="AH649" s="888"/>
      <c r="AI649" s="888"/>
      <c r="AJ649" s="310"/>
      <c r="AK649" s="310"/>
      <c r="AL649" s="310"/>
      <c r="AM649" s="1"/>
      <c r="AN649" s="691"/>
      <c r="AO649" s="1"/>
      <c r="AP649" s="1"/>
    </row>
    <row r="650">
      <c r="A650" s="929"/>
      <c r="B650" s="691"/>
      <c r="C650" s="310"/>
      <c r="D650" s="691"/>
      <c r="E650" s="691"/>
      <c r="F650" s="350"/>
      <c r="G650" s="355"/>
      <c r="H650" s="780"/>
      <c r="I650" s="691"/>
      <c r="J650" s="691"/>
      <c r="K650" s="691"/>
      <c r="L650" s="691"/>
      <c r="M650" s="691"/>
      <c r="N650" s="691"/>
      <c r="O650" s="930"/>
      <c r="P650" s="909"/>
      <c r="Q650" s="931"/>
      <c r="R650" s="310"/>
      <c r="S650" s="310"/>
      <c r="T650" s="691"/>
      <c r="U650" s="691"/>
      <c r="V650" s="355"/>
      <c r="W650" s="932"/>
      <c r="X650" s="310"/>
      <c r="Y650" s="310"/>
      <c r="Z650" s="933"/>
      <c r="AA650" s="310"/>
      <c r="AB650" s="691"/>
      <c r="AC650" s="933"/>
      <c r="AD650" s="691"/>
      <c r="AE650" s="691"/>
      <c r="AF650" s="934"/>
      <c r="AG650" s="934"/>
      <c r="AH650" s="888"/>
      <c r="AI650" s="888"/>
      <c r="AJ650" s="310"/>
      <c r="AK650" s="310"/>
      <c r="AL650" s="310"/>
      <c r="AM650" s="1"/>
      <c r="AN650" s="691"/>
      <c r="AO650" s="1"/>
      <c r="AP650" s="1"/>
    </row>
    <row r="651">
      <c r="A651" s="929"/>
      <c r="B651" s="691"/>
      <c r="C651" s="310"/>
      <c r="D651" s="691"/>
      <c r="E651" s="691"/>
      <c r="F651" s="350"/>
      <c r="G651" s="355"/>
      <c r="H651" s="780"/>
      <c r="I651" s="691"/>
      <c r="J651" s="691"/>
      <c r="K651" s="691"/>
      <c r="L651" s="691"/>
      <c r="M651" s="691"/>
      <c r="N651" s="691"/>
      <c r="O651" s="930"/>
      <c r="P651" s="909"/>
      <c r="Q651" s="931"/>
      <c r="R651" s="310"/>
      <c r="S651" s="310"/>
      <c r="T651" s="691"/>
      <c r="U651" s="691"/>
      <c r="V651" s="355"/>
      <c r="W651" s="932"/>
      <c r="X651" s="310"/>
      <c r="Y651" s="310"/>
      <c r="Z651" s="933"/>
      <c r="AA651" s="310"/>
      <c r="AB651" s="691"/>
      <c r="AC651" s="933"/>
      <c r="AD651" s="691"/>
      <c r="AE651" s="691"/>
      <c r="AF651" s="934"/>
      <c r="AG651" s="934"/>
      <c r="AH651" s="888"/>
      <c r="AI651" s="888"/>
      <c r="AJ651" s="310"/>
      <c r="AK651" s="310"/>
      <c r="AL651" s="310"/>
      <c r="AM651" s="1"/>
      <c r="AN651" s="691"/>
      <c r="AO651" s="1"/>
      <c r="AP651" s="1"/>
    </row>
    <row r="652">
      <c r="A652" s="929"/>
      <c r="B652" s="691"/>
      <c r="C652" s="310"/>
      <c r="D652" s="691"/>
      <c r="E652" s="691"/>
      <c r="F652" s="350"/>
      <c r="G652" s="355"/>
      <c r="H652" s="780"/>
      <c r="I652" s="691"/>
      <c r="J652" s="691"/>
      <c r="K652" s="691"/>
      <c r="L652" s="691"/>
      <c r="M652" s="691"/>
      <c r="N652" s="691"/>
      <c r="O652" s="930"/>
      <c r="P652" s="909"/>
      <c r="Q652" s="931"/>
      <c r="R652" s="310"/>
      <c r="S652" s="310"/>
      <c r="T652" s="691"/>
      <c r="U652" s="691"/>
      <c r="V652" s="355"/>
      <c r="W652" s="932"/>
      <c r="X652" s="310"/>
      <c r="Y652" s="310"/>
      <c r="Z652" s="933"/>
      <c r="AA652" s="310"/>
      <c r="AB652" s="691"/>
      <c r="AC652" s="933"/>
      <c r="AD652" s="691"/>
      <c r="AE652" s="691"/>
      <c r="AF652" s="934"/>
      <c r="AG652" s="934"/>
      <c r="AH652" s="888"/>
      <c r="AI652" s="888"/>
      <c r="AJ652" s="310"/>
      <c r="AK652" s="310"/>
      <c r="AL652" s="310"/>
      <c r="AM652" s="1"/>
      <c r="AN652" s="691"/>
      <c r="AO652" s="1"/>
      <c r="AP652" s="1"/>
    </row>
    <row r="653">
      <c r="A653" s="929"/>
      <c r="B653" s="691"/>
      <c r="C653" s="310"/>
      <c r="D653" s="691"/>
      <c r="E653" s="691"/>
      <c r="F653" s="350"/>
      <c r="G653" s="355"/>
      <c r="H653" s="780"/>
      <c r="I653" s="691"/>
      <c r="J653" s="691"/>
      <c r="K653" s="691"/>
      <c r="L653" s="691"/>
      <c r="M653" s="691"/>
      <c r="N653" s="691"/>
      <c r="O653" s="930"/>
      <c r="P653" s="909"/>
      <c r="Q653" s="931"/>
      <c r="R653" s="310"/>
      <c r="S653" s="310"/>
      <c r="T653" s="691"/>
      <c r="U653" s="691"/>
      <c r="V653" s="355"/>
      <c r="W653" s="932"/>
      <c r="X653" s="310"/>
      <c r="Y653" s="310"/>
      <c r="Z653" s="933"/>
      <c r="AA653" s="310"/>
      <c r="AB653" s="691"/>
      <c r="AC653" s="933"/>
      <c r="AD653" s="691"/>
      <c r="AE653" s="691"/>
      <c r="AF653" s="934"/>
      <c r="AG653" s="934"/>
      <c r="AH653" s="888"/>
      <c r="AI653" s="888"/>
      <c r="AJ653" s="310"/>
      <c r="AK653" s="310"/>
      <c r="AL653" s="310"/>
      <c r="AM653" s="1"/>
      <c r="AN653" s="691"/>
      <c r="AO653" s="1"/>
      <c r="AP653" s="1"/>
    </row>
    <row r="654">
      <c r="A654" s="929"/>
      <c r="B654" s="691"/>
      <c r="C654" s="310"/>
      <c r="D654" s="691"/>
      <c r="E654" s="691"/>
      <c r="F654" s="350"/>
      <c r="G654" s="355"/>
      <c r="H654" s="780"/>
      <c r="I654" s="691"/>
      <c r="J654" s="691"/>
      <c r="K654" s="691"/>
      <c r="L654" s="691"/>
      <c r="M654" s="691"/>
      <c r="N654" s="691"/>
      <c r="O654" s="930"/>
      <c r="P654" s="909"/>
      <c r="Q654" s="931"/>
      <c r="R654" s="310"/>
      <c r="S654" s="310"/>
      <c r="T654" s="691"/>
      <c r="U654" s="691"/>
      <c r="V654" s="355"/>
      <c r="W654" s="932"/>
      <c r="X654" s="310"/>
      <c r="Y654" s="310"/>
      <c r="Z654" s="933"/>
      <c r="AA654" s="310"/>
      <c r="AB654" s="691"/>
      <c r="AC654" s="933"/>
      <c r="AD654" s="691"/>
      <c r="AE654" s="691"/>
      <c r="AF654" s="934"/>
      <c r="AG654" s="934"/>
      <c r="AH654" s="888"/>
      <c r="AI654" s="888"/>
      <c r="AJ654" s="310"/>
      <c r="AK654" s="310"/>
      <c r="AL654" s="310"/>
      <c r="AM654" s="1"/>
      <c r="AN654" s="691"/>
      <c r="AO654" s="1"/>
      <c r="AP654" s="1"/>
    </row>
    <row r="655">
      <c r="A655" s="929"/>
      <c r="B655" s="691"/>
      <c r="C655" s="310"/>
      <c r="D655" s="691"/>
      <c r="E655" s="691"/>
      <c r="F655" s="350"/>
      <c r="G655" s="355"/>
      <c r="H655" s="780"/>
      <c r="I655" s="691"/>
      <c r="J655" s="691"/>
      <c r="K655" s="691"/>
      <c r="L655" s="691"/>
      <c r="M655" s="691"/>
      <c r="N655" s="691"/>
      <c r="O655" s="930"/>
      <c r="P655" s="909"/>
      <c r="Q655" s="931"/>
      <c r="R655" s="310"/>
      <c r="S655" s="310"/>
      <c r="T655" s="691"/>
      <c r="U655" s="691"/>
      <c r="V655" s="355"/>
      <c r="W655" s="932"/>
      <c r="X655" s="310"/>
      <c r="Y655" s="310"/>
      <c r="Z655" s="933"/>
      <c r="AA655" s="310"/>
      <c r="AB655" s="691"/>
      <c r="AC655" s="933"/>
      <c r="AD655" s="691"/>
      <c r="AE655" s="691"/>
      <c r="AF655" s="934"/>
      <c r="AG655" s="934"/>
      <c r="AH655" s="888"/>
      <c r="AI655" s="888"/>
      <c r="AJ655" s="310"/>
      <c r="AK655" s="310"/>
      <c r="AL655" s="310"/>
      <c r="AM655" s="1"/>
      <c r="AN655" s="691"/>
      <c r="AO655" s="1"/>
      <c r="AP655" s="1"/>
    </row>
    <row r="656">
      <c r="A656" s="929"/>
      <c r="B656" s="691"/>
      <c r="C656" s="310"/>
      <c r="D656" s="691"/>
      <c r="E656" s="691"/>
      <c r="F656" s="350"/>
      <c r="G656" s="355"/>
      <c r="H656" s="780"/>
      <c r="I656" s="691"/>
      <c r="J656" s="691"/>
      <c r="K656" s="691"/>
      <c r="L656" s="691"/>
      <c r="M656" s="691"/>
      <c r="N656" s="691"/>
      <c r="O656" s="930"/>
      <c r="P656" s="909"/>
      <c r="Q656" s="931"/>
      <c r="R656" s="310"/>
      <c r="S656" s="310"/>
      <c r="T656" s="691"/>
      <c r="U656" s="691"/>
      <c r="V656" s="355"/>
      <c r="W656" s="932"/>
      <c r="X656" s="310"/>
      <c r="Y656" s="310"/>
      <c r="Z656" s="933"/>
      <c r="AA656" s="310"/>
      <c r="AB656" s="691"/>
      <c r="AC656" s="933"/>
      <c r="AD656" s="691"/>
      <c r="AE656" s="691"/>
      <c r="AF656" s="934"/>
      <c r="AG656" s="934"/>
      <c r="AH656" s="888"/>
      <c r="AI656" s="888"/>
      <c r="AJ656" s="310"/>
      <c r="AK656" s="310"/>
      <c r="AL656" s="310"/>
      <c r="AM656" s="1"/>
      <c r="AN656" s="691"/>
      <c r="AO656" s="1"/>
      <c r="AP656" s="1"/>
    </row>
    <row r="657">
      <c r="A657" s="929"/>
      <c r="B657" s="691"/>
      <c r="C657" s="310"/>
      <c r="D657" s="691"/>
      <c r="E657" s="691"/>
      <c r="F657" s="350"/>
      <c r="G657" s="355"/>
      <c r="H657" s="780"/>
      <c r="I657" s="691"/>
      <c r="J657" s="691"/>
      <c r="K657" s="691"/>
      <c r="L657" s="691"/>
      <c r="M657" s="691"/>
      <c r="N657" s="691"/>
      <c r="O657" s="930"/>
      <c r="P657" s="909"/>
      <c r="Q657" s="931"/>
      <c r="R657" s="310"/>
      <c r="S657" s="310"/>
      <c r="T657" s="691"/>
      <c r="U657" s="691"/>
      <c r="V657" s="355"/>
      <c r="W657" s="932"/>
      <c r="X657" s="310"/>
      <c r="Y657" s="310"/>
      <c r="Z657" s="933"/>
      <c r="AA657" s="310"/>
      <c r="AB657" s="691"/>
      <c r="AC657" s="933"/>
      <c r="AD657" s="691"/>
      <c r="AE657" s="691"/>
      <c r="AF657" s="934"/>
      <c r="AG657" s="934"/>
      <c r="AH657" s="888"/>
      <c r="AI657" s="888"/>
      <c r="AJ657" s="310"/>
      <c r="AK657" s="310"/>
      <c r="AL657" s="310"/>
      <c r="AM657" s="1"/>
      <c r="AN657" s="691"/>
      <c r="AO657" s="1"/>
      <c r="AP657" s="1"/>
    </row>
    <row r="658">
      <c r="A658" s="929"/>
      <c r="B658" s="691"/>
      <c r="C658" s="310"/>
      <c r="D658" s="691"/>
      <c r="E658" s="691"/>
      <c r="F658" s="350"/>
      <c r="G658" s="355"/>
      <c r="H658" s="780"/>
      <c r="I658" s="691"/>
      <c r="J658" s="691"/>
      <c r="K658" s="691"/>
      <c r="L658" s="691"/>
      <c r="M658" s="691"/>
      <c r="N658" s="691"/>
      <c r="O658" s="930"/>
      <c r="P658" s="909"/>
      <c r="Q658" s="931"/>
      <c r="R658" s="310"/>
      <c r="S658" s="310"/>
      <c r="T658" s="691"/>
      <c r="U658" s="691"/>
      <c r="V658" s="355"/>
      <c r="W658" s="932"/>
      <c r="X658" s="310"/>
      <c r="Y658" s="310"/>
      <c r="Z658" s="933"/>
      <c r="AA658" s="310"/>
      <c r="AB658" s="691"/>
      <c r="AC658" s="933"/>
      <c r="AD658" s="691"/>
      <c r="AE658" s="691"/>
      <c r="AF658" s="934"/>
      <c r="AG658" s="934"/>
      <c r="AH658" s="888"/>
      <c r="AI658" s="888"/>
      <c r="AJ658" s="310"/>
      <c r="AK658" s="310"/>
      <c r="AL658" s="310"/>
      <c r="AM658" s="1"/>
      <c r="AN658" s="691"/>
      <c r="AO658" s="1"/>
      <c r="AP658" s="1"/>
    </row>
    <row r="659">
      <c r="A659" s="929"/>
      <c r="B659" s="691"/>
      <c r="C659" s="310"/>
      <c r="D659" s="691"/>
      <c r="E659" s="691"/>
      <c r="F659" s="350"/>
      <c r="G659" s="355"/>
      <c r="H659" s="780"/>
      <c r="I659" s="691"/>
      <c r="J659" s="691"/>
      <c r="K659" s="691"/>
      <c r="L659" s="691"/>
      <c r="M659" s="691"/>
      <c r="N659" s="691"/>
      <c r="O659" s="930"/>
      <c r="P659" s="909"/>
      <c r="Q659" s="931"/>
      <c r="R659" s="310"/>
      <c r="S659" s="310"/>
      <c r="T659" s="691"/>
      <c r="U659" s="691"/>
      <c r="V659" s="355"/>
      <c r="W659" s="932"/>
      <c r="X659" s="310"/>
      <c r="Y659" s="310"/>
      <c r="Z659" s="933"/>
      <c r="AA659" s="310"/>
      <c r="AB659" s="691"/>
      <c r="AC659" s="933"/>
      <c r="AD659" s="691"/>
      <c r="AE659" s="691"/>
      <c r="AF659" s="934"/>
      <c r="AG659" s="934"/>
      <c r="AH659" s="888"/>
      <c r="AI659" s="888"/>
      <c r="AJ659" s="310"/>
      <c r="AK659" s="310"/>
      <c r="AL659" s="310"/>
      <c r="AM659" s="1"/>
      <c r="AN659" s="691"/>
      <c r="AO659" s="1"/>
      <c r="AP659" s="1"/>
    </row>
    <row r="660">
      <c r="A660" s="929"/>
      <c r="B660" s="691"/>
      <c r="C660" s="310"/>
      <c r="D660" s="691"/>
      <c r="E660" s="691"/>
      <c r="F660" s="350"/>
      <c r="G660" s="355"/>
      <c r="H660" s="780"/>
      <c r="I660" s="691"/>
      <c r="J660" s="691"/>
      <c r="K660" s="691"/>
      <c r="L660" s="691"/>
      <c r="M660" s="691"/>
      <c r="N660" s="691"/>
      <c r="O660" s="930"/>
      <c r="P660" s="909"/>
      <c r="Q660" s="931"/>
      <c r="R660" s="310"/>
      <c r="S660" s="310"/>
      <c r="T660" s="691"/>
      <c r="U660" s="691"/>
      <c r="V660" s="355"/>
      <c r="W660" s="932"/>
      <c r="X660" s="310"/>
      <c r="Y660" s="310"/>
      <c r="Z660" s="933"/>
      <c r="AA660" s="310"/>
      <c r="AB660" s="691"/>
      <c r="AC660" s="933"/>
      <c r="AD660" s="691"/>
      <c r="AE660" s="691"/>
      <c r="AF660" s="934"/>
      <c r="AG660" s="934"/>
      <c r="AH660" s="888"/>
      <c r="AI660" s="888"/>
      <c r="AJ660" s="310"/>
      <c r="AK660" s="310"/>
      <c r="AL660" s="310"/>
      <c r="AM660" s="1"/>
      <c r="AN660" s="691"/>
      <c r="AO660" s="1"/>
      <c r="AP660" s="1"/>
    </row>
    <row r="661">
      <c r="A661" s="929"/>
      <c r="B661" s="691"/>
      <c r="C661" s="310"/>
      <c r="D661" s="691"/>
      <c r="E661" s="691"/>
      <c r="F661" s="350"/>
      <c r="G661" s="355"/>
      <c r="H661" s="780"/>
      <c r="I661" s="691"/>
      <c r="J661" s="691"/>
      <c r="K661" s="691"/>
      <c r="L661" s="691"/>
      <c r="M661" s="691"/>
      <c r="N661" s="691"/>
      <c r="O661" s="930"/>
      <c r="P661" s="909"/>
      <c r="Q661" s="931"/>
      <c r="R661" s="310"/>
      <c r="S661" s="310"/>
      <c r="T661" s="691"/>
      <c r="U661" s="691"/>
      <c r="V661" s="355"/>
      <c r="W661" s="932"/>
      <c r="X661" s="310"/>
      <c r="Y661" s="310"/>
      <c r="Z661" s="933"/>
      <c r="AA661" s="310"/>
      <c r="AB661" s="691"/>
      <c r="AC661" s="933"/>
      <c r="AD661" s="691"/>
      <c r="AE661" s="691"/>
      <c r="AF661" s="934"/>
      <c r="AG661" s="934"/>
      <c r="AH661" s="888"/>
      <c r="AI661" s="888"/>
      <c r="AJ661" s="310"/>
      <c r="AK661" s="310"/>
      <c r="AL661" s="310"/>
      <c r="AM661" s="1"/>
      <c r="AN661" s="691"/>
      <c r="AO661" s="1"/>
      <c r="AP661" s="1"/>
    </row>
    <row r="662">
      <c r="A662" s="929"/>
      <c r="B662" s="691"/>
      <c r="C662" s="310"/>
      <c r="D662" s="691"/>
      <c r="E662" s="691"/>
      <c r="F662" s="350"/>
      <c r="G662" s="355"/>
      <c r="H662" s="780"/>
      <c r="I662" s="691"/>
      <c r="J662" s="691"/>
      <c r="K662" s="691"/>
      <c r="L662" s="691"/>
      <c r="M662" s="691"/>
      <c r="N662" s="691"/>
      <c r="O662" s="930"/>
      <c r="P662" s="909"/>
      <c r="Q662" s="931"/>
      <c r="R662" s="310"/>
      <c r="S662" s="310"/>
      <c r="T662" s="691"/>
      <c r="U662" s="691"/>
      <c r="V662" s="355"/>
      <c r="W662" s="932"/>
      <c r="X662" s="310"/>
      <c r="Y662" s="310"/>
      <c r="Z662" s="933"/>
      <c r="AA662" s="310"/>
      <c r="AB662" s="691"/>
      <c r="AC662" s="933"/>
      <c r="AD662" s="691"/>
      <c r="AE662" s="691"/>
      <c r="AF662" s="934"/>
      <c r="AG662" s="934"/>
      <c r="AH662" s="888"/>
      <c r="AI662" s="888"/>
      <c r="AJ662" s="310"/>
      <c r="AK662" s="310"/>
      <c r="AL662" s="310"/>
      <c r="AM662" s="1"/>
      <c r="AN662" s="691"/>
      <c r="AO662" s="1"/>
      <c r="AP662" s="1"/>
    </row>
    <row r="663">
      <c r="A663" s="929"/>
      <c r="B663" s="691"/>
      <c r="C663" s="310"/>
      <c r="D663" s="691"/>
      <c r="E663" s="691"/>
      <c r="F663" s="350"/>
      <c r="G663" s="355"/>
      <c r="H663" s="780"/>
      <c r="I663" s="691"/>
      <c r="J663" s="691"/>
      <c r="K663" s="691"/>
      <c r="L663" s="691"/>
      <c r="M663" s="691"/>
      <c r="N663" s="691"/>
      <c r="O663" s="930"/>
      <c r="P663" s="909"/>
      <c r="Q663" s="931"/>
      <c r="R663" s="310"/>
      <c r="S663" s="310"/>
      <c r="T663" s="691"/>
      <c r="U663" s="691"/>
      <c r="V663" s="355"/>
      <c r="W663" s="932"/>
      <c r="X663" s="310"/>
      <c r="Y663" s="310"/>
      <c r="Z663" s="933"/>
      <c r="AA663" s="310"/>
      <c r="AB663" s="691"/>
      <c r="AC663" s="933"/>
      <c r="AD663" s="691"/>
      <c r="AE663" s="691"/>
      <c r="AF663" s="934"/>
      <c r="AG663" s="934"/>
      <c r="AH663" s="888"/>
      <c r="AI663" s="888"/>
      <c r="AJ663" s="310"/>
      <c r="AK663" s="310"/>
      <c r="AL663" s="310"/>
      <c r="AM663" s="1"/>
      <c r="AN663" s="691"/>
      <c r="AO663" s="1"/>
      <c r="AP663" s="1"/>
    </row>
    <row r="664">
      <c r="A664" s="929"/>
      <c r="B664" s="691"/>
      <c r="C664" s="310"/>
      <c r="D664" s="691"/>
      <c r="E664" s="691"/>
      <c r="F664" s="350"/>
      <c r="G664" s="355"/>
      <c r="H664" s="780"/>
      <c r="I664" s="691"/>
      <c r="J664" s="691"/>
      <c r="K664" s="691"/>
      <c r="L664" s="691"/>
      <c r="M664" s="691"/>
      <c r="N664" s="691"/>
      <c r="O664" s="930"/>
      <c r="P664" s="909"/>
      <c r="Q664" s="931"/>
      <c r="R664" s="310"/>
      <c r="S664" s="310"/>
      <c r="T664" s="691"/>
      <c r="U664" s="691"/>
      <c r="V664" s="355"/>
      <c r="W664" s="932"/>
      <c r="X664" s="310"/>
      <c r="Y664" s="310"/>
      <c r="Z664" s="933"/>
      <c r="AA664" s="310"/>
      <c r="AB664" s="691"/>
      <c r="AC664" s="933"/>
      <c r="AD664" s="691"/>
      <c r="AE664" s="691"/>
      <c r="AF664" s="934"/>
      <c r="AG664" s="934"/>
      <c r="AH664" s="888"/>
      <c r="AI664" s="888"/>
      <c r="AJ664" s="310"/>
      <c r="AK664" s="310"/>
      <c r="AL664" s="310"/>
      <c r="AM664" s="1"/>
      <c r="AN664" s="691"/>
      <c r="AO664" s="1"/>
      <c r="AP664" s="1"/>
    </row>
    <row r="665">
      <c r="A665" s="929"/>
      <c r="B665" s="691"/>
      <c r="C665" s="310"/>
      <c r="D665" s="691"/>
      <c r="E665" s="691"/>
      <c r="F665" s="350"/>
      <c r="G665" s="355"/>
      <c r="H665" s="780"/>
      <c r="I665" s="691"/>
      <c r="J665" s="691"/>
      <c r="K665" s="691"/>
      <c r="L665" s="691"/>
      <c r="M665" s="691"/>
      <c r="N665" s="691"/>
      <c r="O665" s="930"/>
      <c r="P665" s="909"/>
      <c r="Q665" s="931"/>
      <c r="R665" s="310"/>
      <c r="S665" s="310"/>
      <c r="T665" s="691"/>
      <c r="U665" s="691"/>
      <c r="V665" s="355"/>
      <c r="W665" s="932"/>
      <c r="X665" s="310"/>
      <c r="Y665" s="310"/>
      <c r="Z665" s="933"/>
      <c r="AA665" s="310"/>
      <c r="AB665" s="691"/>
      <c r="AC665" s="933"/>
      <c r="AD665" s="691"/>
      <c r="AE665" s="691"/>
      <c r="AF665" s="934"/>
      <c r="AG665" s="934"/>
      <c r="AH665" s="888"/>
      <c r="AI665" s="888"/>
      <c r="AJ665" s="310"/>
      <c r="AK665" s="310"/>
      <c r="AL665" s="310"/>
      <c r="AM665" s="1"/>
      <c r="AN665" s="691"/>
      <c r="AO665" s="1"/>
      <c r="AP665" s="1"/>
    </row>
    <row r="666">
      <c r="A666" s="929"/>
      <c r="B666" s="691"/>
      <c r="C666" s="310"/>
      <c r="D666" s="691"/>
      <c r="E666" s="691"/>
      <c r="F666" s="350"/>
      <c r="G666" s="355"/>
      <c r="H666" s="780"/>
      <c r="I666" s="691"/>
      <c r="J666" s="691"/>
      <c r="K666" s="691"/>
      <c r="L666" s="691"/>
      <c r="M666" s="691"/>
      <c r="N666" s="691"/>
      <c r="O666" s="930"/>
      <c r="P666" s="909"/>
      <c r="Q666" s="931"/>
      <c r="R666" s="310"/>
      <c r="S666" s="310"/>
      <c r="T666" s="691"/>
      <c r="U666" s="691"/>
      <c r="V666" s="355"/>
      <c r="W666" s="932"/>
      <c r="X666" s="310"/>
      <c r="Y666" s="310"/>
      <c r="Z666" s="933"/>
      <c r="AA666" s="310"/>
      <c r="AB666" s="691"/>
      <c r="AC666" s="933"/>
      <c r="AD666" s="691"/>
      <c r="AE666" s="691"/>
      <c r="AF666" s="934"/>
      <c r="AG666" s="934"/>
      <c r="AH666" s="888"/>
      <c r="AI666" s="888"/>
      <c r="AJ666" s="310"/>
      <c r="AK666" s="310"/>
      <c r="AL666" s="310"/>
      <c r="AM666" s="1"/>
      <c r="AN666" s="691"/>
      <c r="AO666" s="1"/>
      <c r="AP666" s="1"/>
    </row>
    <row r="667">
      <c r="A667" s="929"/>
      <c r="B667" s="691"/>
      <c r="C667" s="310"/>
      <c r="D667" s="691"/>
      <c r="E667" s="691"/>
      <c r="F667" s="350"/>
      <c r="G667" s="355"/>
      <c r="H667" s="780"/>
      <c r="I667" s="691"/>
      <c r="J667" s="691"/>
      <c r="K667" s="691"/>
      <c r="L667" s="691"/>
      <c r="M667" s="691"/>
      <c r="N667" s="691"/>
      <c r="O667" s="930"/>
      <c r="P667" s="909"/>
      <c r="Q667" s="931"/>
      <c r="R667" s="310"/>
      <c r="S667" s="310"/>
      <c r="T667" s="691"/>
      <c r="U667" s="691"/>
      <c r="V667" s="355"/>
      <c r="W667" s="932"/>
      <c r="X667" s="310"/>
      <c r="Y667" s="310"/>
      <c r="Z667" s="933"/>
      <c r="AA667" s="310"/>
      <c r="AB667" s="691"/>
      <c r="AC667" s="933"/>
      <c r="AD667" s="691"/>
      <c r="AE667" s="691"/>
      <c r="AF667" s="934"/>
      <c r="AG667" s="934"/>
      <c r="AH667" s="888"/>
      <c r="AI667" s="888"/>
      <c r="AJ667" s="310"/>
      <c r="AK667" s="310"/>
      <c r="AL667" s="310"/>
      <c r="AM667" s="1"/>
      <c r="AN667" s="691"/>
      <c r="AO667" s="1"/>
      <c r="AP667" s="1"/>
    </row>
    <row r="668">
      <c r="A668" s="929"/>
      <c r="B668" s="691"/>
      <c r="C668" s="310"/>
      <c r="D668" s="691"/>
      <c r="E668" s="691"/>
      <c r="F668" s="350"/>
      <c r="G668" s="355"/>
      <c r="H668" s="780"/>
      <c r="I668" s="691"/>
      <c r="J668" s="691"/>
      <c r="K668" s="691"/>
      <c r="L668" s="691"/>
      <c r="M668" s="691"/>
      <c r="N668" s="691"/>
      <c r="O668" s="930"/>
      <c r="P668" s="909"/>
      <c r="Q668" s="931"/>
      <c r="R668" s="310"/>
      <c r="S668" s="310"/>
      <c r="T668" s="691"/>
      <c r="U668" s="691"/>
      <c r="V668" s="355"/>
      <c r="W668" s="932"/>
      <c r="X668" s="310"/>
      <c r="Y668" s="310"/>
      <c r="Z668" s="933"/>
      <c r="AA668" s="310"/>
      <c r="AB668" s="691"/>
      <c r="AC668" s="933"/>
      <c r="AD668" s="691"/>
      <c r="AE668" s="691"/>
      <c r="AF668" s="934"/>
      <c r="AG668" s="934"/>
      <c r="AH668" s="888"/>
      <c r="AI668" s="888"/>
      <c r="AJ668" s="310"/>
      <c r="AK668" s="310"/>
      <c r="AL668" s="310"/>
      <c r="AM668" s="1"/>
      <c r="AN668" s="691"/>
      <c r="AO668" s="1"/>
      <c r="AP668" s="1"/>
    </row>
    <row r="669">
      <c r="A669" s="929"/>
      <c r="B669" s="691"/>
      <c r="C669" s="310"/>
      <c r="D669" s="691"/>
      <c r="E669" s="691"/>
      <c r="F669" s="350"/>
      <c r="G669" s="355"/>
      <c r="H669" s="780"/>
      <c r="I669" s="691"/>
      <c r="J669" s="691"/>
      <c r="K669" s="691"/>
      <c r="L669" s="691"/>
      <c r="M669" s="691"/>
      <c r="N669" s="691"/>
      <c r="O669" s="930"/>
      <c r="P669" s="909"/>
      <c r="Q669" s="931"/>
      <c r="R669" s="310"/>
      <c r="S669" s="310"/>
      <c r="T669" s="691"/>
      <c r="U669" s="691"/>
      <c r="V669" s="355"/>
      <c r="W669" s="932"/>
      <c r="X669" s="310"/>
      <c r="Y669" s="310"/>
      <c r="Z669" s="933"/>
      <c r="AA669" s="310"/>
      <c r="AB669" s="691"/>
      <c r="AC669" s="933"/>
      <c r="AD669" s="691"/>
      <c r="AE669" s="691"/>
      <c r="AF669" s="934"/>
      <c r="AG669" s="934"/>
      <c r="AH669" s="888"/>
      <c r="AI669" s="888"/>
      <c r="AJ669" s="310"/>
      <c r="AK669" s="310"/>
      <c r="AL669" s="310"/>
      <c r="AM669" s="1"/>
      <c r="AN669" s="691"/>
      <c r="AO669" s="1"/>
      <c r="AP669" s="1"/>
    </row>
    <row r="670">
      <c r="A670" s="929"/>
      <c r="B670" s="691"/>
      <c r="C670" s="310"/>
      <c r="D670" s="691"/>
      <c r="E670" s="691"/>
      <c r="F670" s="350"/>
      <c r="G670" s="355"/>
      <c r="H670" s="780"/>
      <c r="I670" s="691"/>
      <c r="J670" s="691"/>
      <c r="K670" s="691"/>
      <c r="L670" s="691"/>
      <c r="M670" s="691"/>
      <c r="N670" s="691"/>
      <c r="O670" s="930"/>
      <c r="P670" s="909"/>
      <c r="Q670" s="931"/>
      <c r="R670" s="310"/>
      <c r="S670" s="310"/>
      <c r="T670" s="691"/>
      <c r="U670" s="691"/>
      <c r="V670" s="355"/>
      <c r="W670" s="932"/>
      <c r="X670" s="310"/>
      <c r="Y670" s="310"/>
      <c r="Z670" s="933"/>
      <c r="AA670" s="310"/>
      <c r="AB670" s="691"/>
      <c r="AC670" s="933"/>
      <c r="AD670" s="691"/>
      <c r="AE670" s="691"/>
      <c r="AF670" s="934"/>
      <c r="AG670" s="934"/>
      <c r="AH670" s="888"/>
      <c r="AI670" s="888"/>
      <c r="AJ670" s="310"/>
      <c r="AK670" s="310"/>
      <c r="AL670" s="310"/>
      <c r="AM670" s="1"/>
      <c r="AN670" s="691"/>
      <c r="AO670" s="1"/>
      <c r="AP670" s="1"/>
    </row>
    <row r="671">
      <c r="A671" s="929"/>
      <c r="B671" s="691"/>
      <c r="C671" s="310"/>
      <c r="D671" s="691"/>
      <c r="E671" s="691"/>
      <c r="F671" s="350"/>
      <c r="G671" s="355"/>
      <c r="H671" s="780"/>
      <c r="I671" s="691"/>
      <c r="J671" s="691"/>
      <c r="K671" s="691"/>
      <c r="L671" s="691"/>
      <c r="M671" s="691"/>
      <c r="N671" s="691"/>
      <c r="O671" s="930"/>
      <c r="P671" s="909"/>
      <c r="Q671" s="931"/>
      <c r="R671" s="310"/>
      <c r="S671" s="310"/>
      <c r="T671" s="691"/>
      <c r="U671" s="691"/>
      <c r="V671" s="355"/>
      <c r="W671" s="932"/>
      <c r="X671" s="310"/>
      <c r="Y671" s="310"/>
      <c r="Z671" s="933"/>
      <c r="AA671" s="310"/>
      <c r="AB671" s="691"/>
      <c r="AC671" s="933"/>
      <c r="AD671" s="691"/>
      <c r="AE671" s="691"/>
      <c r="AF671" s="934"/>
      <c r="AG671" s="934"/>
      <c r="AH671" s="888"/>
      <c r="AI671" s="888"/>
      <c r="AJ671" s="310"/>
      <c r="AK671" s="310"/>
      <c r="AL671" s="310"/>
      <c r="AM671" s="1"/>
      <c r="AN671" s="691"/>
      <c r="AO671" s="1"/>
      <c r="AP671" s="1"/>
    </row>
    <row r="672">
      <c r="A672" s="929"/>
      <c r="B672" s="691"/>
      <c r="C672" s="310"/>
      <c r="D672" s="691"/>
      <c r="E672" s="691"/>
      <c r="F672" s="350"/>
      <c r="G672" s="355"/>
      <c r="H672" s="780"/>
      <c r="I672" s="691"/>
      <c r="J672" s="691"/>
      <c r="K672" s="691"/>
      <c r="L672" s="691"/>
      <c r="M672" s="691"/>
      <c r="N672" s="691"/>
      <c r="O672" s="930"/>
      <c r="P672" s="909"/>
      <c r="Q672" s="931"/>
      <c r="R672" s="310"/>
      <c r="S672" s="310"/>
      <c r="T672" s="691"/>
      <c r="U672" s="691"/>
      <c r="V672" s="355"/>
      <c r="W672" s="932"/>
      <c r="X672" s="310"/>
      <c r="Y672" s="310"/>
      <c r="Z672" s="933"/>
      <c r="AA672" s="310"/>
      <c r="AB672" s="691"/>
      <c r="AC672" s="933"/>
      <c r="AD672" s="691"/>
      <c r="AE672" s="691"/>
      <c r="AF672" s="934"/>
      <c r="AG672" s="934"/>
      <c r="AH672" s="888"/>
      <c r="AI672" s="888"/>
      <c r="AJ672" s="310"/>
      <c r="AK672" s="310"/>
      <c r="AL672" s="310"/>
      <c r="AM672" s="1"/>
      <c r="AN672" s="691"/>
      <c r="AO672" s="1"/>
      <c r="AP672" s="1"/>
    </row>
    <row r="673">
      <c r="A673" s="929"/>
      <c r="B673" s="691"/>
      <c r="C673" s="310"/>
      <c r="D673" s="691"/>
      <c r="E673" s="691"/>
      <c r="F673" s="350"/>
      <c r="G673" s="355"/>
      <c r="H673" s="780"/>
      <c r="I673" s="691"/>
      <c r="J673" s="691"/>
      <c r="K673" s="691"/>
      <c r="L673" s="691"/>
      <c r="M673" s="691"/>
      <c r="N673" s="691"/>
      <c r="O673" s="930"/>
      <c r="P673" s="909"/>
      <c r="Q673" s="931"/>
      <c r="R673" s="310"/>
      <c r="S673" s="310"/>
      <c r="T673" s="691"/>
      <c r="U673" s="691"/>
      <c r="V673" s="355"/>
      <c r="W673" s="932"/>
      <c r="X673" s="310"/>
      <c r="Y673" s="310"/>
      <c r="Z673" s="933"/>
      <c r="AA673" s="310"/>
      <c r="AB673" s="691"/>
      <c r="AC673" s="933"/>
      <c r="AD673" s="691"/>
      <c r="AE673" s="691"/>
      <c r="AF673" s="934"/>
      <c r="AG673" s="934"/>
      <c r="AH673" s="888"/>
      <c r="AI673" s="888"/>
      <c r="AJ673" s="310"/>
      <c r="AK673" s="310"/>
      <c r="AL673" s="310"/>
      <c r="AM673" s="1"/>
      <c r="AN673" s="691"/>
      <c r="AO673" s="1"/>
      <c r="AP673" s="1"/>
    </row>
    <row r="674">
      <c r="A674" s="929"/>
      <c r="B674" s="691"/>
      <c r="C674" s="310"/>
      <c r="D674" s="691"/>
      <c r="E674" s="691"/>
      <c r="F674" s="350"/>
      <c r="G674" s="355"/>
      <c r="H674" s="780"/>
      <c r="I674" s="691"/>
      <c r="J674" s="691"/>
      <c r="K674" s="691"/>
      <c r="L674" s="691"/>
      <c r="M674" s="691"/>
      <c r="N674" s="691"/>
      <c r="O674" s="930"/>
      <c r="P674" s="909"/>
      <c r="Q674" s="931"/>
      <c r="R674" s="310"/>
      <c r="S674" s="310"/>
      <c r="T674" s="691"/>
      <c r="U674" s="691"/>
      <c r="V674" s="355"/>
      <c r="W674" s="932"/>
      <c r="X674" s="310"/>
      <c r="Y674" s="310"/>
      <c r="Z674" s="933"/>
      <c r="AA674" s="310"/>
      <c r="AB674" s="691"/>
      <c r="AC674" s="933"/>
      <c r="AD674" s="691"/>
      <c r="AE674" s="691"/>
      <c r="AF674" s="934"/>
      <c r="AG674" s="934"/>
      <c r="AH674" s="888"/>
      <c r="AI674" s="888"/>
      <c r="AJ674" s="310"/>
      <c r="AK674" s="310"/>
      <c r="AL674" s="310"/>
      <c r="AM674" s="1"/>
      <c r="AN674" s="691"/>
      <c r="AO674" s="1"/>
      <c r="AP674" s="1"/>
    </row>
    <row r="675">
      <c r="A675" s="929"/>
      <c r="B675" s="691"/>
      <c r="C675" s="310"/>
      <c r="D675" s="691"/>
      <c r="E675" s="691"/>
      <c r="F675" s="350"/>
      <c r="G675" s="355"/>
      <c r="H675" s="780"/>
      <c r="I675" s="691"/>
      <c r="J675" s="691"/>
      <c r="K675" s="691"/>
      <c r="L675" s="691"/>
      <c r="M675" s="691"/>
      <c r="N675" s="691"/>
      <c r="O675" s="930"/>
      <c r="P675" s="909"/>
      <c r="Q675" s="931"/>
      <c r="R675" s="310"/>
      <c r="S675" s="310"/>
      <c r="T675" s="691"/>
      <c r="U675" s="691"/>
      <c r="V675" s="355"/>
      <c r="W675" s="932"/>
      <c r="X675" s="310"/>
      <c r="Y675" s="310"/>
      <c r="Z675" s="933"/>
      <c r="AA675" s="310"/>
      <c r="AB675" s="691"/>
      <c r="AC675" s="933"/>
      <c r="AD675" s="691"/>
      <c r="AE675" s="691"/>
      <c r="AF675" s="934"/>
      <c r="AG675" s="934"/>
      <c r="AH675" s="888"/>
      <c r="AI675" s="888"/>
      <c r="AJ675" s="310"/>
      <c r="AK675" s="310"/>
      <c r="AL675" s="310"/>
      <c r="AM675" s="1"/>
      <c r="AN675" s="691"/>
      <c r="AO675" s="1"/>
      <c r="AP675" s="1"/>
    </row>
    <row r="676">
      <c r="A676" s="929"/>
      <c r="B676" s="691"/>
      <c r="C676" s="310"/>
      <c r="D676" s="691"/>
      <c r="E676" s="691"/>
      <c r="F676" s="350"/>
      <c r="G676" s="355"/>
      <c r="H676" s="780"/>
      <c r="I676" s="691"/>
      <c r="J676" s="691"/>
      <c r="K676" s="691"/>
      <c r="L676" s="691"/>
      <c r="M676" s="691"/>
      <c r="N676" s="691"/>
      <c r="O676" s="930"/>
      <c r="P676" s="909"/>
      <c r="Q676" s="931"/>
      <c r="R676" s="310"/>
      <c r="S676" s="310"/>
      <c r="T676" s="691"/>
      <c r="U676" s="691"/>
      <c r="V676" s="355"/>
      <c r="W676" s="932"/>
      <c r="X676" s="310"/>
      <c r="Y676" s="310"/>
      <c r="Z676" s="933"/>
      <c r="AA676" s="310"/>
      <c r="AB676" s="691"/>
      <c r="AC676" s="933"/>
      <c r="AD676" s="691"/>
      <c r="AE676" s="691"/>
      <c r="AF676" s="934"/>
      <c r="AG676" s="934"/>
      <c r="AH676" s="888"/>
      <c r="AI676" s="888"/>
      <c r="AJ676" s="310"/>
      <c r="AK676" s="310"/>
      <c r="AL676" s="310"/>
      <c r="AM676" s="1"/>
      <c r="AN676" s="691"/>
      <c r="AO676" s="1"/>
      <c r="AP676" s="1"/>
    </row>
    <row r="677">
      <c r="A677" s="929"/>
      <c r="B677" s="691"/>
      <c r="C677" s="310"/>
      <c r="D677" s="691"/>
      <c r="E677" s="691"/>
      <c r="F677" s="350"/>
      <c r="G677" s="355"/>
      <c r="H677" s="780"/>
      <c r="I677" s="691"/>
      <c r="J677" s="691"/>
      <c r="K677" s="691"/>
      <c r="L677" s="691"/>
      <c r="M677" s="691"/>
      <c r="N677" s="691"/>
      <c r="O677" s="930"/>
      <c r="P677" s="909"/>
      <c r="Q677" s="931"/>
      <c r="R677" s="310"/>
      <c r="S677" s="310"/>
      <c r="T677" s="691"/>
      <c r="U677" s="691"/>
      <c r="V677" s="355"/>
      <c r="W677" s="932"/>
      <c r="X677" s="310"/>
      <c r="Y677" s="310"/>
      <c r="Z677" s="933"/>
      <c r="AA677" s="310"/>
      <c r="AB677" s="691"/>
      <c r="AC677" s="933"/>
      <c r="AD677" s="691"/>
      <c r="AE677" s="691"/>
      <c r="AF677" s="934"/>
      <c r="AG677" s="934"/>
      <c r="AH677" s="888"/>
      <c r="AI677" s="888"/>
      <c r="AJ677" s="310"/>
      <c r="AK677" s="310"/>
      <c r="AL677" s="310"/>
      <c r="AM677" s="1"/>
      <c r="AN677" s="691"/>
      <c r="AO677" s="1"/>
      <c r="AP677" s="1"/>
    </row>
    <row r="678">
      <c r="A678" s="929"/>
      <c r="B678" s="691"/>
      <c r="C678" s="310"/>
      <c r="D678" s="691"/>
      <c r="E678" s="691"/>
      <c r="F678" s="350"/>
      <c r="G678" s="355"/>
      <c r="H678" s="780"/>
      <c r="I678" s="691"/>
      <c r="J678" s="691"/>
      <c r="K678" s="691"/>
      <c r="L678" s="691"/>
      <c r="M678" s="691"/>
      <c r="N678" s="691"/>
      <c r="O678" s="930"/>
      <c r="P678" s="909"/>
      <c r="Q678" s="931"/>
      <c r="R678" s="310"/>
      <c r="S678" s="310"/>
      <c r="T678" s="691"/>
      <c r="U678" s="691"/>
      <c r="V678" s="355"/>
      <c r="W678" s="932"/>
      <c r="X678" s="310"/>
      <c r="Y678" s="310"/>
      <c r="Z678" s="933"/>
      <c r="AA678" s="310"/>
      <c r="AB678" s="691"/>
      <c r="AC678" s="933"/>
      <c r="AD678" s="691"/>
      <c r="AE678" s="691"/>
      <c r="AF678" s="934"/>
      <c r="AG678" s="934"/>
      <c r="AH678" s="888"/>
      <c r="AI678" s="888"/>
      <c r="AJ678" s="310"/>
      <c r="AK678" s="310"/>
      <c r="AL678" s="310"/>
      <c r="AM678" s="1"/>
      <c r="AN678" s="691"/>
      <c r="AO678" s="1"/>
      <c r="AP678" s="1"/>
    </row>
    <row r="679">
      <c r="A679" s="929"/>
      <c r="B679" s="691"/>
      <c r="C679" s="310"/>
      <c r="D679" s="691"/>
      <c r="E679" s="691"/>
      <c r="F679" s="350"/>
      <c r="G679" s="355"/>
      <c r="H679" s="780"/>
      <c r="I679" s="691"/>
      <c r="J679" s="691"/>
      <c r="K679" s="691"/>
      <c r="L679" s="691"/>
      <c r="M679" s="691"/>
      <c r="N679" s="691"/>
      <c r="O679" s="930"/>
      <c r="P679" s="909"/>
      <c r="Q679" s="931"/>
      <c r="R679" s="310"/>
      <c r="S679" s="310"/>
      <c r="T679" s="691"/>
      <c r="U679" s="691"/>
      <c r="V679" s="355"/>
      <c r="W679" s="932"/>
      <c r="X679" s="310"/>
      <c r="Y679" s="310"/>
      <c r="Z679" s="933"/>
      <c r="AA679" s="310"/>
      <c r="AB679" s="691"/>
      <c r="AC679" s="933"/>
      <c r="AD679" s="691"/>
      <c r="AE679" s="691"/>
      <c r="AF679" s="934"/>
      <c r="AG679" s="934"/>
      <c r="AH679" s="888"/>
      <c r="AI679" s="888"/>
      <c r="AJ679" s="310"/>
      <c r="AK679" s="310"/>
      <c r="AL679" s="310"/>
      <c r="AM679" s="1"/>
      <c r="AN679" s="691"/>
      <c r="AO679" s="1"/>
      <c r="AP679" s="1"/>
    </row>
    <row r="680">
      <c r="A680" s="929"/>
      <c r="B680" s="691"/>
      <c r="C680" s="310"/>
      <c r="D680" s="691"/>
      <c r="E680" s="691"/>
      <c r="F680" s="350"/>
      <c r="G680" s="355"/>
      <c r="H680" s="780"/>
      <c r="I680" s="691"/>
      <c r="J680" s="691"/>
      <c r="K680" s="691"/>
      <c r="L680" s="691"/>
      <c r="M680" s="691"/>
      <c r="N680" s="691"/>
      <c r="O680" s="930"/>
      <c r="P680" s="909"/>
      <c r="Q680" s="931"/>
      <c r="R680" s="310"/>
      <c r="S680" s="310"/>
      <c r="T680" s="691"/>
      <c r="U680" s="691"/>
      <c r="V680" s="355"/>
      <c r="W680" s="932"/>
      <c r="X680" s="310"/>
      <c r="Y680" s="310"/>
      <c r="Z680" s="933"/>
      <c r="AA680" s="310"/>
      <c r="AB680" s="691"/>
      <c r="AC680" s="933"/>
      <c r="AD680" s="691"/>
      <c r="AE680" s="691"/>
      <c r="AF680" s="934"/>
      <c r="AG680" s="934"/>
      <c r="AH680" s="888"/>
      <c r="AI680" s="888"/>
      <c r="AJ680" s="310"/>
      <c r="AK680" s="310"/>
      <c r="AL680" s="310"/>
      <c r="AM680" s="1"/>
      <c r="AN680" s="691"/>
      <c r="AO680" s="1"/>
      <c r="AP680" s="1"/>
    </row>
    <row r="681">
      <c r="A681" s="929"/>
      <c r="B681" s="691"/>
      <c r="C681" s="310"/>
      <c r="D681" s="691"/>
      <c r="E681" s="691"/>
      <c r="F681" s="350"/>
      <c r="G681" s="355"/>
      <c r="H681" s="780"/>
      <c r="I681" s="691"/>
      <c r="J681" s="691"/>
      <c r="K681" s="691"/>
      <c r="L681" s="691"/>
      <c r="M681" s="691"/>
      <c r="N681" s="691"/>
      <c r="O681" s="930"/>
      <c r="P681" s="909"/>
      <c r="Q681" s="931"/>
      <c r="R681" s="310"/>
      <c r="S681" s="310"/>
      <c r="T681" s="691"/>
      <c r="U681" s="691"/>
      <c r="V681" s="355"/>
      <c r="W681" s="932"/>
      <c r="X681" s="310"/>
      <c r="Y681" s="310"/>
      <c r="Z681" s="933"/>
      <c r="AA681" s="310"/>
      <c r="AB681" s="691"/>
      <c r="AC681" s="933"/>
      <c r="AD681" s="691"/>
      <c r="AE681" s="691"/>
      <c r="AF681" s="934"/>
      <c r="AG681" s="934"/>
      <c r="AH681" s="888"/>
      <c r="AI681" s="888"/>
      <c r="AJ681" s="310"/>
      <c r="AK681" s="310"/>
      <c r="AL681" s="310"/>
      <c r="AM681" s="1"/>
      <c r="AN681" s="691"/>
      <c r="AO681" s="1"/>
      <c r="AP681" s="1"/>
    </row>
    <row r="682">
      <c r="A682" s="929"/>
      <c r="B682" s="691"/>
      <c r="C682" s="310"/>
      <c r="D682" s="691"/>
      <c r="E682" s="691"/>
      <c r="F682" s="350"/>
      <c r="G682" s="355"/>
      <c r="H682" s="780"/>
      <c r="I682" s="691"/>
      <c r="J682" s="691"/>
      <c r="K682" s="691"/>
      <c r="L682" s="691"/>
      <c r="M682" s="691"/>
      <c r="N682" s="691"/>
      <c r="O682" s="930"/>
      <c r="P682" s="909"/>
      <c r="Q682" s="931"/>
      <c r="R682" s="310"/>
      <c r="S682" s="310"/>
      <c r="T682" s="691"/>
      <c r="U682" s="691"/>
      <c r="V682" s="355"/>
      <c r="W682" s="932"/>
      <c r="X682" s="310"/>
      <c r="Y682" s="310"/>
      <c r="Z682" s="933"/>
      <c r="AA682" s="310"/>
      <c r="AB682" s="691"/>
      <c r="AC682" s="933"/>
      <c r="AD682" s="691"/>
      <c r="AE682" s="691"/>
      <c r="AF682" s="934"/>
      <c r="AG682" s="934"/>
      <c r="AH682" s="888"/>
      <c r="AI682" s="888"/>
      <c r="AJ682" s="310"/>
      <c r="AK682" s="310"/>
      <c r="AL682" s="310"/>
      <c r="AM682" s="1"/>
      <c r="AN682" s="691"/>
      <c r="AO682" s="1"/>
      <c r="AP682" s="1"/>
    </row>
    <row r="683">
      <c r="A683" s="929"/>
      <c r="B683" s="691"/>
      <c r="C683" s="310"/>
      <c r="D683" s="691"/>
      <c r="E683" s="691"/>
      <c r="F683" s="350"/>
      <c r="G683" s="355"/>
      <c r="H683" s="780"/>
      <c r="I683" s="691"/>
      <c r="J683" s="691"/>
      <c r="K683" s="691"/>
      <c r="L683" s="691"/>
      <c r="M683" s="691"/>
      <c r="N683" s="691"/>
      <c r="O683" s="930"/>
      <c r="P683" s="909"/>
      <c r="Q683" s="931"/>
      <c r="R683" s="310"/>
      <c r="S683" s="310"/>
      <c r="T683" s="691"/>
      <c r="U683" s="691"/>
      <c r="V683" s="355"/>
      <c r="W683" s="932"/>
      <c r="X683" s="310"/>
      <c r="Y683" s="310"/>
      <c r="Z683" s="933"/>
      <c r="AA683" s="310"/>
      <c r="AB683" s="691"/>
      <c r="AC683" s="933"/>
      <c r="AD683" s="691"/>
      <c r="AE683" s="691"/>
      <c r="AF683" s="934"/>
      <c r="AG683" s="934"/>
      <c r="AH683" s="888"/>
      <c r="AI683" s="888"/>
      <c r="AJ683" s="310"/>
      <c r="AK683" s="310"/>
      <c r="AL683" s="310"/>
      <c r="AM683" s="1"/>
      <c r="AN683" s="691"/>
      <c r="AO683" s="1"/>
      <c r="AP683" s="1"/>
    </row>
    <row r="684">
      <c r="A684" s="929"/>
      <c r="B684" s="691"/>
      <c r="C684" s="310"/>
      <c r="D684" s="691"/>
      <c r="E684" s="691"/>
      <c r="F684" s="350"/>
      <c r="G684" s="355"/>
      <c r="H684" s="780"/>
      <c r="I684" s="691"/>
      <c r="J684" s="691"/>
      <c r="K684" s="691"/>
      <c r="L684" s="691"/>
      <c r="M684" s="691"/>
      <c r="N684" s="691"/>
      <c r="O684" s="930"/>
      <c r="P684" s="909"/>
      <c r="Q684" s="931"/>
      <c r="R684" s="310"/>
      <c r="S684" s="310"/>
      <c r="T684" s="691"/>
      <c r="U684" s="691"/>
      <c r="V684" s="355"/>
      <c r="W684" s="932"/>
      <c r="X684" s="310"/>
      <c r="Y684" s="310"/>
      <c r="Z684" s="933"/>
      <c r="AA684" s="310"/>
      <c r="AB684" s="691"/>
      <c r="AC684" s="933"/>
      <c r="AD684" s="691"/>
      <c r="AE684" s="691"/>
      <c r="AF684" s="934"/>
      <c r="AG684" s="934"/>
      <c r="AH684" s="888"/>
      <c r="AI684" s="888"/>
      <c r="AJ684" s="310"/>
      <c r="AK684" s="310"/>
      <c r="AL684" s="310"/>
      <c r="AM684" s="1"/>
      <c r="AN684" s="691"/>
      <c r="AO684" s="1"/>
      <c r="AP684" s="1"/>
    </row>
    <row r="685">
      <c r="A685" s="929"/>
      <c r="B685" s="691"/>
      <c r="C685" s="310"/>
      <c r="D685" s="691"/>
      <c r="E685" s="691"/>
      <c r="F685" s="350"/>
      <c r="G685" s="355"/>
      <c r="H685" s="780"/>
      <c r="I685" s="691"/>
      <c r="J685" s="691"/>
      <c r="K685" s="691"/>
      <c r="L685" s="691"/>
      <c r="M685" s="691"/>
      <c r="N685" s="691"/>
      <c r="O685" s="930"/>
      <c r="P685" s="909"/>
      <c r="Q685" s="931"/>
      <c r="R685" s="310"/>
      <c r="S685" s="310"/>
      <c r="T685" s="691"/>
      <c r="U685" s="691"/>
      <c r="V685" s="355"/>
      <c r="W685" s="932"/>
      <c r="X685" s="310"/>
      <c r="Y685" s="310"/>
      <c r="Z685" s="933"/>
      <c r="AA685" s="310"/>
      <c r="AB685" s="691"/>
      <c r="AC685" s="933"/>
      <c r="AD685" s="691"/>
      <c r="AE685" s="691"/>
      <c r="AF685" s="934"/>
      <c r="AG685" s="934"/>
      <c r="AH685" s="888"/>
      <c r="AI685" s="888"/>
      <c r="AJ685" s="310"/>
      <c r="AK685" s="310"/>
      <c r="AL685" s="310"/>
      <c r="AM685" s="1"/>
      <c r="AN685" s="691"/>
      <c r="AO685" s="1"/>
      <c r="AP685" s="1"/>
    </row>
    <row r="686">
      <c r="A686" s="929"/>
      <c r="B686" s="691"/>
      <c r="C686" s="310"/>
      <c r="D686" s="691"/>
      <c r="E686" s="691"/>
      <c r="F686" s="350"/>
      <c r="G686" s="355"/>
      <c r="H686" s="780"/>
      <c r="I686" s="691"/>
      <c r="J686" s="691"/>
      <c r="K686" s="691"/>
      <c r="L686" s="691"/>
      <c r="M686" s="691"/>
      <c r="N686" s="691"/>
      <c r="O686" s="930"/>
      <c r="P686" s="909"/>
      <c r="Q686" s="931"/>
      <c r="R686" s="310"/>
      <c r="S686" s="310"/>
      <c r="T686" s="691"/>
      <c r="U686" s="691"/>
      <c r="V686" s="355"/>
      <c r="W686" s="932"/>
      <c r="X686" s="310"/>
      <c r="Y686" s="310"/>
      <c r="Z686" s="933"/>
      <c r="AA686" s="310"/>
      <c r="AB686" s="691"/>
      <c r="AC686" s="933"/>
      <c r="AD686" s="691"/>
      <c r="AE686" s="691"/>
      <c r="AF686" s="934"/>
      <c r="AG686" s="934"/>
      <c r="AH686" s="888"/>
      <c r="AI686" s="888"/>
      <c r="AJ686" s="310"/>
      <c r="AK686" s="310"/>
      <c r="AL686" s="310"/>
      <c r="AM686" s="1"/>
      <c r="AN686" s="691"/>
      <c r="AO686" s="1"/>
      <c r="AP686" s="1"/>
    </row>
    <row r="687">
      <c r="A687" s="929"/>
      <c r="B687" s="691"/>
      <c r="C687" s="310"/>
      <c r="D687" s="691"/>
      <c r="E687" s="691"/>
      <c r="F687" s="350"/>
      <c r="G687" s="355"/>
      <c r="H687" s="780"/>
      <c r="I687" s="691"/>
      <c r="J687" s="691"/>
      <c r="K687" s="691"/>
      <c r="L687" s="691"/>
      <c r="M687" s="691"/>
      <c r="N687" s="691"/>
      <c r="O687" s="930"/>
      <c r="P687" s="909"/>
      <c r="Q687" s="931"/>
      <c r="R687" s="310"/>
      <c r="S687" s="310"/>
      <c r="T687" s="691"/>
      <c r="U687" s="691"/>
      <c r="V687" s="355"/>
      <c r="W687" s="932"/>
      <c r="X687" s="310"/>
      <c r="Y687" s="310"/>
      <c r="Z687" s="933"/>
      <c r="AA687" s="310"/>
      <c r="AB687" s="691"/>
      <c r="AC687" s="933"/>
      <c r="AD687" s="691"/>
      <c r="AE687" s="691"/>
      <c r="AF687" s="934"/>
      <c r="AG687" s="934"/>
      <c r="AH687" s="888"/>
      <c r="AI687" s="888"/>
      <c r="AJ687" s="310"/>
      <c r="AK687" s="310"/>
      <c r="AL687" s="310"/>
      <c r="AM687" s="1"/>
      <c r="AN687" s="691"/>
      <c r="AO687" s="1"/>
      <c r="AP687" s="1"/>
    </row>
    <row r="688">
      <c r="A688" s="929"/>
      <c r="B688" s="691"/>
      <c r="C688" s="310"/>
      <c r="D688" s="691"/>
      <c r="E688" s="691"/>
      <c r="F688" s="350"/>
      <c r="G688" s="355"/>
      <c r="H688" s="780"/>
      <c r="I688" s="691"/>
      <c r="J688" s="691"/>
      <c r="K688" s="691"/>
      <c r="L688" s="691"/>
      <c r="M688" s="691"/>
      <c r="N688" s="691"/>
      <c r="O688" s="930"/>
      <c r="P688" s="909"/>
      <c r="Q688" s="931"/>
      <c r="R688" s="310"/>
      <c r="S688" s="310"/>
      <c r="T688" s="691"/>
      <c r="U688" s="691"/>
      <c r="V688" s="355"/>
      <c r="W688" s="932"/>
      <c r="X688" s="310"/>
      <c r="Y688" s="310"/>
      <c r="Z688" s="933"/>
      <c r="AA688" s="310"/>
      <c r="AB688" s="691"/>
      <c r="AC688" s="933"/>
      <c r="AD688" s="691"/>
      <c r="AE688" s="691"/>
      <c r="AF688" s="934"/>
      <c r="AG688" s="934"/>
      <c r="AH688" s="888"/>
      <c r="AI688" s="888"/>
      <c r="AJ688" s="310"/>
      <c r="AK688" s="310"/>
      <c r="AL688" s="310"/>
      <c r="AM688" s="1"/>
      <c r="AN688" s="691"/>
      <c r="AO688" s="1"/>
      <c r="AP688" s="1"/>
    </row>
    <row r="689">
      <c r="A689" s="929"/>
      <c r="B689" s="691"/>
      <c r="C689" s="310"/>
      <c r="D689" s="691"/>
      <c r="E689" s="691"/>
      <c r="F689" s="350"/>
      <c r="G689" s="355"/>
      <c r="H689" s="780"/>
      <c r="I689" s="691"/>
      <c r="J689" s="691"/>
      <c r="K689" s="691"/>
      <c r="L689" s="691"/>
      <c r="M689" s="691"/>
      <c r="N689" s="691"/>
      <c r="O689" s="930"/>
      <c r="P689" s="909"/>
      <c r="Q689" s="931"/>
      <c r="R689" s="310"/>
      <c r="S689" s="310"/>
      <c r="T689" s="691"/>
      <c r="U689" s="691"/>
      <c r="V689" s="355"/>
      <c r="W689" s="932"/>
      <c r="X689" s="310"/>
      <c r="Y689" s="310"/>
      <c r="Z689" s="933"/>
      <c r="AA689" s="310"/>
      <c r="AB689" s="691"/>
      <c r="AC689" s="933"/>
      <c r="AD689" s="691"/>
      <c r="AE689" s="691"/>
      <c r="AF689" s="934"/>
      <c r="AG689" s="934"/>
      <c r="AH689" s="888"/>
      <c r="AI689" s="888"/>
      <c r="AJ689" s="310"/>
      <c r="AK689" s="310"/>
      <c r="AL689" s="310"/>
      <c r="AM689" s="1"/>
      <c r="AN689" s="691"/>
      <c r="AO689" s="1"/>
      <c r="AP689" s="1"/>
    </row>
    <row r="690">
      <c r="A690" s="929"/>
      <c r="B690" s="691"/>
      <c r="C690" s="310"/>
      <c r="D690" s="691"/>
      <c r="E690" s="691"/>
      <c r="F690" s="350"/>
      <c r="G690" s="355"/>
      <c r="H690" s="780"/>
      <c r="I690" s="691"/>
      <c r="J690" s="691"/>
      <c r="K690" s="691"/>
      <c r="L690" s="691"/>
      <c r="M690" s="691"/>
      <c r="N690" s="691"/>
      <c r="O690" s="930"/>
      <c r="P690" s="909"/>
      <c r="Q690" s="931"/>
      <c r="R690" s="310"/>
      <c r="S690" s="310"/>
      <c r="T690" s="691"/>
      <c r="U690" s="691"/>
      <c r="V690" s="355"/>
      <c r="W690" s="932"/>
      <c r="X690" s="310"/>
      <c r="Y690" s="310"/>
      <c r="Z690" s="933"/>
      <c r="AA690" s="310"/>
      <c r="AB690" s="691"/>
      <c r="AC690" s="933"/>
      <c r="AD690" s="691"/>
      <c r="AE690" s="691"/>
      <c r="AF690" s="934"/>
      <c r="AG690" s="934"/>
      <c r="AH690" s="888"/>
      <c r="AI690" s="888"/>
      <c r="AJ690" s="310"/>
      <c r="AK690" s="310"/>
      <c r="AL690" s="310"/>
      <c r="AM690" s="1"/>
      <c r="AN690" s="691"/>
      <c r="AO690" s="1"/>
      <c r="AP690" s="1"/>
    </row>
    <row r="691">
      <c r="A691" s="929"/>
      <c r="B691" s="691"/>
      <c r="C691" s="310"/>
      <c r="D691" s="691"/>
      <c r="E691" s="691"/>
      <c r="F691" s="350"/>
      <c r="G691" s="355"/>
      <c r="H691" s="780"/>
      <c r="I691" s="691"/>
      <c r="J691" s="691"/>
      <c r="K691" s="691"/>
      <c r="L691" s="691"/>
      <c r="M691" s="691"/>
      <c r="N691" s="691"/>
      <c r="O691" s="930"/>
      <c r="P691" s="909"/>
      <c r="Q691" s="931"/>
      <c r="R691" s="310"/>
      <c r="S691" s="310"/>
      <c r="T691" s="691"/>
      <c r="U691" s="691"/>
      <c r="V691" s="355"/>
      <c r="W691" s="932"/>
      <c r="X691" s="310"/>
      <c r="Y691" s="310"/>
      <c r="Z691" s="933"/>
      <c r="AA691" s="310"/>
      <c r="AB691" s="691"/>
      <c r="AC691" s="933"/>
      <c r="AD691" s="691"/>
      <c r="AE691" s="691"/>
      <c r="AF691" s="934"/>
      <c r="AG691" s="934"/>
      <c r="AH691" s="888"/>
      <c r="AI691" s="888"/>
      <c r="AJ691" s="310"/>
      <c r="AK691" s="310"/>
      <c r="AL691" s="310"/>
      <c r="AM691" s="1"/>
      <c r="AN691" s="691"/>
      <c r="AO691" s="1"/>
      <c r="AP691" s="1"/>
    </row>
    <row r="692">
      <c r="A692" s="929"/>
      <c r="B692" s="691"/>
      <c r="C692" s="310"/>
      <c r="D692" s="691"/>
      <c r="E692" s="691"/>
      <c r="F692" s="350"/>
      <c r="G692" s="355"/>
      <c r="H692" s="780"/>
      <c r="I692" s="691"/>
      <c r="J692" s="691"/>
      <c r="K692" s="691"/>
      <c r="L692" s="691"/>
      <c r="M692" s="691"/>
      <c r="N692" s="691"/>
      <c r="O692" s="930"/>
      <c r="P692" s="909"/>
      <c r="Q692" s="931"/>
      <c r="R692" s="310"/>
      <c r="S692" s="310"/>
      <c r="T692" s="691"/>
      <c r="U692" s="691"/>
      <c r="V692" s="355"/>
      <c r="W692" s="932"/>
      <c r="X692" s="310"/>
      <c r="Y692" s="310"/>
      <c r="Z692" s="933"/>
      <c r="AA692" s="310"/>
      <c r="AB692" s="691"/>
      <c r="AC692" s="933"/>
      <c r="AD692" s="691"/>
      <c r="AE692" s="691"/>
      <c r="AF692" s="934"/>
      <c r="AG692" s="934"/>
      <c r="AH692" s="888"/>
      <c r="AI692" s="888"/>
      <c r="AJ692" s="310"/>
      <c r="AK692" s="310"/>
      <c r="AL692" s="310"/>
      <c r="AM692" s="1"/>
      <c r="AN692" s="691"/>
      <c r="AO692" s="1"/>
      <c r="AP692" s="1"/>
    </row>
    <row r="693">
      <c r="A693" s="929"/>
      <c r="B693" s="691"/>
      <c r="C693" s="310"/>
      <c r="D693" s="691"/>
      <c r="E693" s="691"/>
      <c r="F693" s="350"/>
      <c r="G693" s="355"/>
      <c r="H693" s="780"/>
      <c r="I693" s="691"/>
      <c r="J693" s="691"/>
      <c r="K693" s="691"/>
      <c r="L693" s="691"/>
      <c r="M693" s="691"/>
      <c r="N693" s="691"/>
      <c r="O693" s="930"/>
      <c r="P693" s="909"/>
      <c r="Q693" s="931"/>
      <c r="R693" s="310"/>
      <c r="S693" s="310"/>
      <c r="T693" s="691"/>
      <c r="U693" s="691"/>
      <c r="V693" s="355"/>
      <c r="W693" s="932"/>
      <c r="X693" s="310"/>
      <c r="Y693" s="310"/>
      <c r="Z693" s="933"/>
      <c r="AA693" s="310"/>
      <c r="AB693" s="691"/>
      <c r="AC693" s="933"/>
      <c r="AD693" s="691"/>
      <c r="AE693" s="691"/>
      <c r="AF693" s="934"/>
      <c r="AG693" s="934"/>
      <c r="AH693" s="888"/>
      <c r="AI693" s="888"/>
      <c r="AJ693" s="310"/>
      <c r="AK693" s="310"/>
      <c r="AL693" s="310"/>
      <c r="AM693" s="1"/>
      <c r="AN693" s="691"/>
      <c r="AO693" s="1"/>
      <c r="AP693" s="1"/>
    </row>
    <row r="694">
      <c r="A694" s="929"/>
      <c r="B694" s="691"/>
      <c r="C694" s="310"/>
      <c r="D694" s="691"/>
      <c r="E694" s="691"/>
      <c r="F694" s="350"/>
      <c r="G694" s="355"/>
      <c r="H694" s="780"/>
      <c r="I694" s="691"/>
      <c r="J694" s="691"/>
      <c r="K694" s="691"/>
      <c r="L694" s="691"/>
      <c r="M694" s="691"/>
      <c r="N694" s="691"/>
      <c r="O694" s="930"/>
      <c r="P694" s="909"/>
      <c r="Q694" s="931"/>
      <c r="R694" s="310"/>
      <c r="S694" s="310"/>
      <c r="T694" s="691"/>
      <c r="U694" s="691"/>
      <c r="V694" s="355"/>
      <c r="W694" s="932"/>
      <c r="X694" s="310"/>
      <c r="Y694" s="310"/>
      <c r="Z694" s="933"/>
      <c r="AA694" s="310"/>
      <c r="AB694" s="691"/>
      <c r="AC694" s="933"/>
      <c r="AD694" s="691"/>
      <c r="AE694" s="691"/>
      <c r="AF694" s="934"/>
      <c r="AG694" s="934"/>
      <c r="AH694" s="888"/>
      <c r="AI694" s="888"/>
      <c r="AJ694" s="310"/>
      <c r="AK694" s="310"/>
      <c r="AL694" s="310"/>
      <c r="AM694" s="1"/>
      <c r="AN694" s="691"/>
      <c r="AO694" s="1"/>
      <c r="AP694" s="1"/>
    </row>
    <row r="695">
      <c r="A695" s="929"/>
      <c r="B695" s="691"/>
      <c r="C695" s="310"/>
      <c r="D695" s="691"/>
      <c r="E695" s="691"/>
      <c r="F695" s="350"/>
      <c r="G695" s="355"/>
      <c r="H695" s="780"/>
      <c r="I695" s="691"/>
      <c r="J695" s="691"/>
      <c r="K695" s="691"/>
      <c r="L695" s="691"/>
      <c r="M695" s="691"/>
      <c r="N695" s="691"/>
      <c r="O695" s="930"/>
      <c r="P695" s="909"/>
      <c r="Q695" s="931"/>
      <c r="R695" s="310"/>
      <c r="S695" s="310"/>
      <c r="T695" s="691"/>
      <c r="U695" s="691"/>
      <c r="V695" s="355"/>
      <c r="W695" s="932"/>
      <c r="X695" s="310"/>
      <c r="Y695" s="310"/>
      <c r="Z695" s="933"/>
      <c r="AA695" s="310"/>
      <c r="AB695" s="691"/>
      <c r="AC695" s="933"/>
      <c r="AD695" s="691"/>
      <c r="AE695" s="691"/>
      <c r="AF695" s="934"/>
      <c r="AG695" s="934"/>
      <c r="AH695" s="888"/>
      <c r="AI695" s="888"/>
      <c r="AJ695" s="310"/>
      <c r="AK695" s="310"/>
      <c r="AL695" s="310"/>
      <c r="AM695" s="1"/>
      <c r="AN695" s="691"/>
      <c r="AO695" s="1"/>
      <c r="AP695" s="1"/>
    </row>
    <row r="696">
      <c r="A696" s="929"/>
      <c r="B696" s="691"/>
      <c r="C696" s="310"/>
      <c r="D696" s="691"/>
      <c r="E696" s="691"/>
      <c r="F696" s="350"/>
      <c r="G696" s="355"/>
      <c r="H696" s="780"/>
      <c r="I696" s="691"/>
      <c r="J696" s="691"/>
      <c r="K696" s="691"/>
      <c r="L696" s="691"/>
      <c r="M696" s="691"/>
      <c r="N696" s="691"/>
      <c r="O696" s="930"/>
      <c r="P696" s="909"/>
      <c r="Q696" s="931"/>
      <c r="R696" s="310"/>
      <c r="S696" s="310"/>
      <c r="T696" s="691"/>
      <c r="U696" s="691"/>
      <c r="V696" s="355"/>
      <c r="W696" s="932"/>
      <c r="X696" s="310"/>
      <c r="Y696" s="310"/>
      <c r="Z696" s="933"/>
      <c r="AA696" s="310"/>
      <c r="AB696" s="691"/>
      <c r="AC696" s="933"/>
      <c r="AD696" s="691"/>
      <c r="AE696" s="691"/>
      <c r="AF696" s="934"/>
      <c r="AG696" s="934"/>
      <c r="AH696" s="888"/>
      <c r="AI696" s="888"/>
      <c r="AJ696" s="310"/>
      <c r="AK696" s="310"/>
      <c r="AL696" s="310"/>
      <c r="AM696" s="1"/>
      <c r="AN696" s="691"/>
      <c r="AO696" s="1"/>
      <c r="AP696" s="1"/>
    </row>
    <row r="697">
      <c r="A697" s="929"/>
      <c r="B697" s="691"/>
      <c r="C697" s="310"/>
      <c r="D697" s="691"/>
      <c r="E697" s="691"/>
      <c r="F697" s="350"/>
      <c r="G697" s="355"/>
      <c r="H697" s="780"/>
      <c r="I697" s="691"/>
      <c r="J697" s="691"/>
      <c r="K697" s="691"/>
      <c r="L697" s="691"/>
      <c r="M697" s="691"/>
      <c r="N697" s="691"/>
      <c r="O697" s="930"/>
      <c r="P697" s="909"/>
      <c r="Q697" s="931"/>
      <c r="R697" s="310"/>
      <c r="S697" s="310"/>
      <c r="T697" s="691"/>
      <c r="U697" s="691"/>
      <c r="V697" s="355"/>
      <c r="W697" s="932"/>
      <c r="X697" s="310"/>
      <c r="Y697" s="310"/>
      <c r="Z697" s="933"/>
      <c r="AA697" s="310"/>
      <c r="AB697" s="691"/>
      <c r="AC697" s="933"/>
      <c r="AD697" s="691"/>
      <c r="AE697" s="691"/>
      <c r="AF697" s="934"/>
      <c r="AG697" s="934"/>
      <c r="AH697" s="888"/>
      <c r="AI697" s="888"/>
      <c r="AJ697" s="310"/>
      <c r="AK697" s="310"/>
      <c r="AL697" s="310"/>
      <c r="AM697" s="1"/>
      <c r="AN697" s="691"/>
      <c r="AO697" s="1"/>
      <c r="AP697" s="1"/>
    </row>
    <row r="698">
      <c r="A698" s="929"/>
      <c r="B698" s="691"/>
      <c r="C698" s="310"/>
      <c r="D698" s="691"/>
      <c r="E698" s="691"/>
      <c r="F698" s="350"/>
      <c r="G698" s="355"/>
      <c r="H698" s="780"/>
      <c r="I698" s="691"/>
      <c r="J698" s="691"/>
      <c r="K698" s="691"/>
      <c r="L698" s="691"/>
      <c r="M698" s="691"/>
      <c r="N698" s="691"/>
      <c r="O698" s="930"/>
      <c r="P698" s="909"/>
      <c r="Q698" s="931"/>
      <c r="R698" s="310"/>
      <c r="S698" s="310"/>
      <c r="T698" s="691"/>
      <c r="U698" s="691"/>
      <c r="V698" s="355"/>
      <c r="W698" s="932"/>
      <c r="X698" s="310"/>
      <c r="Y698" s="310"/>
      <c r="Z698" s="933"/>
      <c r="AA698" s="310"/>
      <c r="AB698" s="691"/>
      <c r="AC698" s="933"/>
      <c r="AD698" s="691"/>
      <c r="AE698" s="691"/>
      <c r="AF698" s="934"/>
      <c r="AG698" s="934"/>
      <c r="AH698" s="888"/>
      <c r="AI698" s="888"/>
      <c r="AJ698" s="310"/>
      <c r="AK698" s="310"/>
      <c r="AL698" s="310"/>
      <c r="AM698" s="1"/>
      <c r="AN698" s="691"/>
      <c r="AO698" s="1"/>
      <c r="AP698" s="1"/>
    </row>
    <row r="699">
      <c r="A699" s="929"/>
      <c r="B699" s="691"/>
      <c r="C699" s="310"/>
      <c r="D699" s="691"/>
      <c r="E699" s="691"/>
      <c r="F699" s="350"/>
      <c r="G699" s="355"/>
      <c r="H699" s="780"/>
      <c r="I699" s="691"/>
      <c r="J699" s="691"/>
      <c r="K699" s="691"/>
      <c r="L699" s="691"/>
      <c r="M699" s="691"/>
      <c r="N699" s="691"/>
      <c r="O699" s="930"/>
      <c r="P699" s="909"/>
      <c r="Q699" s="931"/>
      <c r="R699" s="310"/>
      <c r="S699" s="310"/>
      <c r="T699" s="691"/>
      <c r="U699" s="691"/>
      <c r="V699" s="355"/>
      <c r="W699" s="932"/>
      <c r="X699" s="310"/>
      <c r="Y699" s="310"/>
      <c r="Z699" s="933"/>
      <c r="AA699" s="310"/>
      <c r="AB699" s="691"/>
      <c r="AC699" s="933"/>
      <c r="AD699" s="691"/>
      <c r="AE699" s="691"/>
      <c r="AF699" s="934"/>
      <c r="AG699" s="934"/>
      <c r="AH699" s="888"/>
      <c r="AI699" s="888"/>
      <c r="AJ699" s="310"/>
      <c r="AK699" s="310"/>
      <c r="AL699" s="310"/>
      <c r="AM699" s="1"/>
      <c r="AN699" s="691"/>
      <c r="AO699" s="1"/>
      <c r="AP699" s="1"/>
    </row>
    <row r="700">
      <c r="A700" s="929"/>
      <c r="B700" s="691"/>
      <c r="C700" s="310"/>
      <c r="D700" s="691"/>
      <c r="E700" s="691"/>
      <c r="F700" s="350"/>
      <c r="G700" s="355"/>
      <c r="H700" s="780"/>
      <c r="I700" s="691"/>
      <c r="J700" s="691"/>
      <c r="K700" s="691"/>
      <c r="L700" s="691"/>
      <c r="M700" s="691"/>
      <c r="N700" s="691"/>
      <c r="O700" s="930"/>
      <c r="P700" s="909"/>
      <c r="Q700" s="931"/>
      <c r="R700" s="310"/>
      <c r="S700" s="310"/>
      <c r="T700" s="691"/>
      <c r="U700" s="691"/>
      <c r="V700" s="355"/>
      <c r="W700" s="932"/>
      <c r="X700" s="310"/>
      <c r="Y700" s="310"/>
      <c r="Z700" s="933"/>
      <c r="AA700" s="310"/>
      <c r="AB700" s="691"/>
      <c r="AC700" s="933"/>
      <c r="AD700" s="691"/>
      <c r="AE700" s="691"/>
      <c r="AF700" s="934"/>
      <c r="AG700" s="934"/>
      <c r="AH700" s="888"/>
      <c r="AI700" s="888"/>
      <c r="AJ700" s="310"/>
      <c r="AK700" s="310"/>
      <c r="AL700" s="310"/>
      <c r="AM700" s="1"/>
      <c r="AN700" s="691"/>
      <c r="AO700" s="1"/>
      <c r="AP700" s="1"/>
    </row>
    <row r="701">
      <c r="A701" s="929"/>
      <c r="B701" s="691"/>
      <c r="C701" s="310"/>
      <c r="D701" s="691"/>
      <c r="E701" s="691"/>
      <c r="F701" s="350"/>
      <c r="G701" s="355"/>
      <c r="H701" s="780"/>
      <c r="I701" s="691"/>
      <c r="J701" s="691"/>
      <c r="K701" s="691"/>
      <c r="L701" s="691"/>
      <c r="M701" s="691"/>
      <c r="N701" s="691"/>
      <c r="O701" s="930"/>
      <c r="P701" s="909"/>
      <c r="Q701" s="931"/>
      <c r="R701" s="310"/>
      <c r="S701" s="310"/>
      <c r="T701" s="691"/>
      <c r="U701" s="691"/>
      <c r="V701" s="355"/>
      <c r="W701" s="932"/>
      <c r="X701" s="310"/>
      <c r="Y701" s="310"/>
      <c r="Z701" s="933"/>
      <c r="AA701" s="310"/>
      <c r="AB701" s="691"/>
      <c r="AC701" s="933"/>
      <c r="AD701" s="691"/>
      <c r="AE701" s="691"/>
      <c r="AF701" s="934"/>
      <c r="AG701" s="934"/>
      <c r="AH701" s="888"/>
      <c r="AI701" s="888"/>
      <c r="AJ701" s="310"/>
      <c r="AK701" s="310"/>
      <c r="AL701" s="310"/>
      <c r="AM701" s="1"/>
      <c r="AN701" s="691"/>
      <c r="AO701" s="1"/>
      <c r="AP701" s="1"/>
    </row>
    <row r="702">
      <c r="A702" s="929"/>
      <c r="B702" s="691"/>
      <c r="C702" s="310"/>
      <c r="D702" s="691"/>
      <c r="E702" s="691"/>
      <c r="F702" s="350"/>
      <c r="G702" s="355"/>
      <c r="H702" s="780"/>
      <c r="I702" s="691"/>
      <c r="J702" s="691"/>
      <c r="K702" s="691"/>
      <c r="L702" s="691"/>
      <c r="M702" s="691"/>
      <c r="N702" s="691"/>
      <c r="O702" s="930"/>
      <c r="P702" s="909"/>
      <c r="Q702" s="931"/>
      <c r="R702" s="310"/>
      <c r="S702" s="310"/>
      <c r="T702" s="691"/>
      <c r="U702" s="691"/>
      <c r="V702" s="355"/>
      <c r="W702" s="932"/>
      <c r="X702" s="310"/>
      <c r="Y702" s="310"/>
      <c r="Z702" s="933"/>
      <c r="AA702" s="310"/>
      <c r="AB702" s="691"/>
      <c r="AC702" s="933"/>
      <c r="AD702" s="691"/>
      <c r="AE702" s="691"/>
      <c r="AF702" s="934"/>
      <c r="AG702" s="934"/>
      <c r="AH702" s="888"/>
      <c r="AI702" s="888"/>
      <c r="AJ702" s="310"/>
      <c r="AK702" s="310"/>
      <c r="AL702" s="310"/>
      <c r="AM702" s="1"/>
      <c r="AN702" s="691"/>
      <c r="AO702" s="1"/>
      <c r="AP702" s="1"/>
    </row>
    <row r="703">
      <c r="A703" s="929"/>
      <c r="B703" s="691"/>
      <c r="C703" s="310"/>
      <c r="D703" s="691"/>
      <c r="E703" s="691"/>
      <c r="F703" s="350"/>
      <c r="G703" s="355"/>
      <c r="H703" s="780"/>
      <c r="I703" s="691"/>
      <c r="J703" s="691"/>
      <c r="K703" s="691"/>
      <c r="L703" s="691"/>
      <c r="M703" s="691"/>
      <c r="N703" s="691"/>
      <c r="O703" s="930"/>
      <c r="P703" s="909"/>
      <c r="Q703" s="931"/>
      <c r="R703" s="310"/>
      <c r="S703" s="310"/>
      <c r="T703" s="691"/>
      <c r="U703" s="691"/>
      <c r="V703" s="355"/>
      <c r="W703" s="932"/>
      <c r="X703" s="310"/>
      <c r="Y703" s="310"/>
      <c r="Z703" s="933"/>
      <c r="AA703" s="310"/>
      <c r="AB703" s="691"/>
      <c r="AC703" s="933"/>
      <c r="AD703" s="691"/>
      <c r="AE703" s="691"/>
      <c r="AF703" s="934"/>
      <c r="AG703" s="934"/>
      <c r="AH703" s="888"/>
      <c r="AI703" s="888"/>
      <c r="AJ703" s="310"/>
      <c r="AK703" s="310"/>
      <c r="AL703" s="310"/>
      <c r="AM703" s="1"/>
      <c r="AN703" s="691"/>
      <c r="AO703" s="1"/>
      <c r="AP703" s="1"/>
    </row>
    <row r="704">
      <c r="A704" s="929"/>
      <c r="B704" s="691"/>
      <c r="C704" s="310"/>
      <c r="D704" s="691"/>
      <c r="E704" s="691"/>
      <c r="F704" s="350"/>
      <c r="G704" s="355"/>
      <c r="H704" s="780"/>
      <c r="I704" s="691"/>
      <c r="J704" s="691"/>
      <c r="K704" s="691"/>
      <c r="L704" s="691"/>
      <c r="M704" s="691"/>
      <c r="N704" s="691"/>
      <c r="O704" s="930"/>
      <c r="P704" s="909"/>
      <c r="Q704" s="931"/>
      <c r="R704" s="310"/>
      <c r="S704" s="310"/>
      <c r="T704" s="691"/>
      <c r="U704" s="691"/>
      <c r="V704" s="355"/>
      <c r="W704" s="932"/>
      <c r="X704" s="310"/>
      <c r="Y704" s="310"/>
      <c r="Z704" s="933"/>
      <c r="AA704" s="310"/>
      <c r="AB704" s="691"/>
      <c r="AC704" s="933"/>
      <c r="AD704" s="691"/>
      <c r="AE704" s="691"/>
      <c r="AF704" s="934"/>
      <c r="AG704" s="934"/>
      <c r="AH704" s="888"/>
      <c r="AI704" s="888"/>
      <c r="AJ704" s="310"/>
      <c r="AK704" s="310"/>
      <c r="AL704" s="310"/>
      <c r="AM704" s="1"/>
      <c r="AN704" s="691"/>
      <c r="AO704" s="1"/>
      <c r="AP704" s="1"/>
    </row>
    <row r="705">
      <c r="A705" s="929"/>
      <c r="B705" s="691"/>
      <c r="C705" s="310"/>
      <c r="D705" s="691"/>
      <c r="E705" s="691"/>
      <c r="F705" s="350"/>
      <c r="G705" s="355"/>
      <c r="H705" s="780"/>
      <c r="I705" s="691"/>
      <c r="J705" s="691"/>
      <c r="K705" s="691"/>
      <c r="L705" s="691"/>
      <c r="M705" s="691"/>
      <c r="N705" s="691"/>
      <c r="O705" s="930"/>
      <c r="P705" s="909"/>
      <c r="Q705" s="931"/>
      <c r="R705" s="310"/>
      <c r="S705" s="310"/>
      <c r="T705" s="691"/>
      <c r="U705" s="691"/>
      <c r="V705" s="355"/>
      <c r="W705" s="932"/>
      <c r="X705" s="310"/>
      <c r="Y705" s="310"/>
      <c r="Z705" s="933"/>
      <c r="AA705" s="310"/>
      <c r="AB705" s="691"/>
      <c r="AC705" s="933"/>
      <c r="AD705" s="691"/>
      <c r="AE705" s="691"/>
      <c r="AF705" s="934"/>
      <c r="AG705" s="934"/>
      <c r="AH705" s="888"/>
      <c r="AI705" s="888"/>
      <c r="AJ705" s="310"/>
      <c r="AK705" s="310"/>
      <c r="AL705" s="310"/>
      <c r="AM705" s="1"/>
      <c r="AN705" s="691"/>
      <c r="AO705" s="1"/>
      <c r="AP705" s="1"/>
    </row>
    <row r="706">
      <c r="A706" s="929"/>
      <c r="B706" s="691"/>
      <c r="C706" s="310"/>
      <c r="D706" s="691"/>
      <c r="E706" s="691"/>
      <c r="F706" s="350"/>
      <c r="G706" s="355"/>
      <c r="H706" s="780"/>
      <c r="I706" s="691"/>
      <c r="J706" s="691"/>
      <c r="K706" s="691"/>
      <c r="L706" s="691"/>
      <c r="M706" s="691"/>
      <c r="N706" s="691"/>
      <c r="O706" s="930"/>
      <c r="P706" s="909"/>
      <c r="Q706" s="931"/>
      <c r="R706" s="310"/>
      <c r="S706" s="310"/>
      <c r="T706" s="691"/>
      <c r="U706" s="691"/>
      <c r="V706" s="355"/>
      <c r="W706" s="932"/>
      <c r="X706" s="310"/>
      <c r="Y706" s="310"/>
      <c r="Z706" s="933"/>
      <c r="AA706" s="310"/>
      <c r="AB706" s="691"/>
      <c r="AC706" s="933"/>
      <c r="AD706" s="691"/>
      <c r="AE706" s="691"/>
      <c r="AF706" s="934"/>
      <c r="AG706" s="934"/>
      <c r="AH706" s="888"/>
      <c r="AI706" s="888"/>
      <c r="AJ706" s="310"/>
      <c r="AK706" s="310"/>
      <c r="AL706" s="310"/>
      <c r="AM706" s="1"/>
      <c r="AN706" s="691"/>
      <c r="AO706" s="1"/>
      <c r="AP706" s="1"/>
    </row>
    <row r="707">
      <c r="A707" s="929"/>
      <c r="B707" s="691"/>
      <c r="C707" s="310"/>
      <c r="D707" s="691"/>
      <c r="E707" s="691"/>
      <c r="F707" s="350"/>
      <c r="G707" s="355"/>
      <c r="H707" s="780"/>
      <c r="I707" s="691"/>
      <c r="J707" s="691"/>
      <c r="K707" s="691"/>
      <c r="L707" s="691"/>
      <c r="M707" s="691"/>
      <c r="N707" s="691"/>
      <c r="O707" s="930"/>
      <c r="P707" s="909"/>
      <c r="Q707" s="931"/>
      <c r="R707" s="310"/>
      <c r="S707" s="310"/>
      <c r="T707" s="691"/>
      <c r="U707" s="691"/>
      <c r="V707" s="355"/>
      <c r="W707" s="932"/>
      <c r="X707" s="310"/>
      <c r="Y707" s="310"/>
      <c r="Z707" s="933"/>
      <c r="AA707" s="310"/>
      <c r="AB707" s="691"/>
      <c r="AC707" s="933"/>
      <c r="AD707" s="691"/>
      <c r="AE707" s="691"/>
      <c r="AF707" s="934"/>
      <c r="AG707" s="934"/>
      <c r="AH707" s="888"/>
      <c r="AI707" s="888"/>
      <c r="AJ707" s="310"/>
      <c r="AK707" s="310"/>
      <c r="AL707" s="310"/>
      <c r="AM707" s="1"/>
      <c r="AN707" s="691"/>
      <c r="AO707" s="1"/>
      <c r="AP707" s="1"/>
    </row>
    <row r="708">
      <c r="A708" s="929"/>
      <c r="B708" s="691"/>
      <c r="C708" s="310"/>
      <c r="D708" s="691"/>
      <c r="E708" s="691"/>
      <c r="F708" s="350"/>
      <c r="G708" s="355"/>
      <c r="H708" s="780"/>
      <c r="I708" s="691"/>
      <c r="J708" s="691"/>
      <c r="K708" s="691"/>
      <c r="L708" s="691"/>
      <c r="M708" s="691"/>
      <c r="N708" s="691"/>
      <c r="O708" s="930"/>
      <c r="P708" s="909"/>
      <c r="Q708" s="931"/>
      <c r="R708" s="310"/>
      <c r="S708" s="310"/>
      <c r="T708" s="691"/>
      <c r="U708" s="691"/>
      <c r="V708" s="355"/>
      <c r="W708" s="932"/>
      <c r="X708" s="310"/>
      <c r="Y708" s="310"/>
      <c r="Z708" s="933"/>
      <c r="AA708" s="310"/>
      <c r="AB708" s="691"/>
      <c r="AC708" s="933"/>
      <c r="AD708" s="691"/>
      <c r="AE708" s="691"/>
      <c r="AF708" s="934"/>
      <c r="AG708" s="934"/>
      <c r="AH708" s="888"/>
      <c r="AI708" s="888"/>
      <c r="AJ708" s="310"/>
      <c r="AK708" s="310"/>
      <c r="AL708" s="310"/>
      <c r="AM708" s="1"/>
      <c r="AN708" s="691"/>
      <c r="AO708" s="1"/>
      <c r="AP708" s="1"/>
    </row>
    <row r="709">
      <c r="A709" s="929"/>
      <c r="B709" s="691"/>
      <c r="C709" s="310"/>
      <c r="D709" s="691"/>
      <c r="E709" s="691"/>
      <c r="F709" s="350"/>
      <c r="G709" s="355"/>
      <c r="H709" s="780"/>
      <c r="I709" s="691"/>
      <c r="J709" s="691"/>
      <c r="K709" s="691"/>
      <c r="L709" s="691"/>
      <c r="M709" s="691"/>
      <c r="N709" s="691"/>
      <c r="O709" s="930"/>
      <c r="P709" s="909"/>
      <c r="Q709" s="931"/>
      <c r="R709" s="310"/>
      <c r="S709" s="310"/>
      <c r="T709" s="691"/>
      <c r="U709" s="691"/>
      <c r="V709" s="355"/>
      <c r="W709" s="932"/>
      <c r="X709" s="310"/>
      <c r="Y709" s="310"/>
      <c r="Z709" s="933"/>
      <c r="AA709" s="310"/>
      <c r="AB709" s="691"/>
      <c r="AC709" s="933"/>
      <c r="AD709" s="691"/>
      <c r="AE709" s="691"/>
      <c r="AF709" s="934"/>
      <c r="AG709" s="934"/>
      <c r="AH709" s="888"/>
      <c r="AI709" s="888"/>
      <c r="AJ709" s="310"/>
      <c r="AK709" s="310"/>
      <c r="AL709" s="310"/>
      <c r="AM709" s="1"/>
      <c r="AN709" s="691"/>
      <c r="AO709" s="1"/>
      <c r="AP709" s="1"/>
    </row>
    <row r="710">
      <c r="A710" s="929"/>
      <c r="B710" s="691"/>
      <c r="C710" s="310"/>
      <c r="D710" s="691"/>
      <c r="E710" s="691"/>
      <c r="F710" s="350"/>
      <c r="G710" s="355"/>
      <c r="H710" s="780"/>
      <c r="I710" s="691"/>
      <c r="J710" s="691"/>
      <c r="K710" s="691"/>
      <c r="L710" s="691"/>
      <c r="M710" s="691"/>
      <c r="N710" s="691"/>
      <c r="O710" s="930"/>
      <c r="P710" s="909"/>
      <c r="Q710" s="931"/>
      <c r="R710" s="310"/>
      <c r="S710" s="310"/>
      <c r="T710" s="691"/>
      <c r="U710" s="691"/>
      <c r="V710" s="355"/>
      <c r="W710" s="932"/>
      <c r="X710" s="310"/>
      <c r="Y710" s="310"/>
      <c r="Z710" s="933"/>
      <c r="AA710" s="310"/>
      <c r="AB710" s="691"/>
      <c r="AC710" s="933"/>
      <c r="AD710" s="691"/>
      <c r="AE710" s="691"/>
      <c r="AF710" s="934"/>
      <c r="AG710" s="934"/>
      <c r="AH710" s="888"/>
      <c r="AI710" s="888"/>
      <c r="AJ710" s="310"/>
      <c r="AK710" s="310"/>
      <c r="AL710" s="310"/>
      <c r="AM710" s="1"/>
      <c r="AN710" s="691"/>
      <c r="AO710" s="1"/>
      <c r="AP710" s="1"/>
    </row>
    <row r="711">
      <c r="A711" s="929"/>
      <c r="B711" s="691"/>
      <c r="C711" s="310"/>
      <c r="D711" s="691"/>
      <c r="E711" s="691"/>
      <c r="F711" s="350"/>
      <c r="G711" s="355"/>
      <c r="H711" s="780"/>
      <c r="I711" s="691"/>
      <c r="J711" s="691"/>
      <c r="K711" s="691"/>
      <c r="L711" s="691"/>
      <c r="M711" s="691"/>
      <c r="N711" s="691"/>
      <c r="O711" s="930"/>
      <c r="P711" s="909"/>
      <c r="Q711" s="931"/>
      <c r="R711" s="310"/>
      <c r="S711" s="310"/>
      <c r="T711" s="691"/>
      <c r="U711" s="691"/>
      <c r="V711" s="355"/>
      <c r="W711" s="932"/>
      <c r="X711" s="310"/>
      <c r="Y711" s="310"/>
      <c r="Z711" s="933"/>
      <c r="AA711" s="310"/>
      <c r="AB711" s="691"/>
      <c r="AC711" s="933"/>
      <c r="AD711" s="691"/>
      <c r="AE711" s="691"/>
      <c r="AF711" s="934"/>
      <c r="AG711" s="934"/>
      <c r="AH711" s="888"/>
      <c r="AI711" s="888"/>
      <c r="AJ711" s="310"/>
      <c r="AK711" s="310"/>
      <c r="AL711" s="310"/>
      <c r="AM711" s="1"/>
      <c r="AN711" s="691"/>
      <c r="AO711" s="1"/>
      <c r="AP711" s="1"/>
    </row>
    <row r="712">
      <c r="A712" s="929"/>
      <c r="B712" s="691"/>
      <c r="C712" s="310"/>
      <c r="D712" s="691"/>
      <c r="E712" s="691"/>
      <c r="F712" s="350"/>
      <c r="G712" s="355"/>
      <c r="H712" s="780"/>
      <c r="I712" s="691"/>
      <c r="J712" s="691"/>
      <c r="K712" s="691"/>
      <c r="L712" s="691"/>
      <c r="M712" s="691"/>
      <c r="N712" s="691"/>
      <c r="O712" s="930"/>
      <c r="P712" s="909"/>
      <c r="Q712" s="931"/>
      <c r="R712" s="310"/>
      <c r="S712" s="310"/>
      <c r="T712" s="691"/>
      <c r="U712" s="691"/>
      <c r="V712" s="355"/>
      <c r="W712" s="932"/>
      <c r="X712" s="310"/>
      <c r="Y712" s="310"/>
      <c r="Z712" s="933"/>
      <c r="AA712" s="310"/>
      <c r="AB712" s="691"/>
      <c r="AC712" s="933"/>
      <c r="AD712" s="691"/>
      <c r="AE712" s="691"/>
      <c r="AF712" s="934"/>
      <c r="AG712" s="934"/>
      <c r="AH712" s="888"/>
      <c r="AI712" s="888"/>
      <c r="AJ712" s="310"/>
      <c r="AK712" s="310"/>
      <c r="AL712" s="310"/>
      <c r="AM712" s="1"/>
      <c r="AN712" s="691"/>
      <c r="AO712" s="1"/>
      <c r="AP712" s="1"/>
    </row>
    <row r="713">
      <c r="A713" s="929"/>
      <c r="B713" s="691"/>
      <c r="C713" s="310"/>
      <c r="D713" s="691"/>
      <c r="E713" s="691"/>
      <c r="F713" s="350"/>
      <c r="G713" s="355"/>
      <c r="H713" s="780"/>
      <c r="I713" s="691"/>
      <c r="J713" s="691"/>
      <c r="K713" s="691"/>
      <c r="L713" s="691"/>
      <c r="M713" s="691"/>
      <c r="N713" s="691"/>
      <c r="O713" s="930"/>
      <c r="P713" s="909"/>
      <c r="Q713" s="931"/>
      <c r="R713" s="310"/>
      <c r="S713" s="310"/>
      <c r="T713" s="691"/>
      <c r="U713" s="691"/>
      <c r="V713" s="355"/>
      <c r="W713" s="932"/>
      <c r="X713" s="310"/>
      <c r="Y713" s="310"/>
      <c r="Z713" s="933"/>
      <c r="AA713" s="310"/>
      <c r="AB713" s="691"/>
      <c r="AC713" s="933"/>
      <c r="AD713" s="691"/>
      <c r="AE713" s="691"/>
      <c r="AF713" s="934"/>
      <c r="AG713" s="934"/>
      <c r="AH713" s="888"/>
      <c r="AI713" s="888"/>
      <c r="AJ713" s="310"/>
      <c r="AK713" s="310"/>
      <c r="AL713" s="310"/>
      <c r="AM713" s="1"/>
      <c r="AN713" s="691"/>
      <c r="AO713" s="1"/>
      <c r="AP713" s="1"/>
    </row>
    <row r="714">
      <c r="A714" s="929"/>
      <c r="B714" s="691"/>
      <c r="C714" s="310"/>
      <c r="D714" s="691"/>
      <c r="E714" s="691"/>
      <c r="F714" s="350"/>
      <c r="G714" s="355"/>
      <c r="H714" s="780"/>
      <c r="I714" s="691"/>
      <c r="J714" s="691"/>
      <c r="K714" s="691"/>
      <c r="L714" s="691"/>
      <c r="M714" s="691"/>
      <c r="N714" s="691"/>
      <c r="O714" s="930"/>
      <c r="P714" s="909"/>
      <c r="Q714" s="931"/>
      <c r="R714" s="310"/>
      <c r="S714" s="310"/>
      <c r="T714" s="691"/>
      <c r="U714" s="691"/>
      <c r="V714" s="355"/>
      <c r="W714" s="932"/>
      <c r="X714" s="310"/>
      <c r="Y714" s="310"/>
      <c r="Z714" s="933"/>
      <c r="AA714" s="310"/>
      <c r="AB714" s="691"/>
      <c r="AC714" s="933"/>
      <c r="AD714" s="691"/>
      <c r="AE714" s="691"/>
      <c r="AF714" s="934"/>
      <c r="AG714" s="934"/>
      <c r="AH714" s="888"/>
      <c r="AI714" s="888"/>
      <c r="AJ714" s="310"/>
      <c r="AK714" s="310"/>
      <c r="AL714" s="310"/>
      <c r="AM714" s="1"/>
      <c r="AN714" s="691"/>
      <c r="AO714" s="1"/>
      <c r="AP714" s="1"/>
    </row>
    <row r="715">
      <c r="A715" s="929"/>
      <c r="B715" s="691"/>
      <c r="C715" s="310"/>
      <c r="D715" s="691"/>
      <c r="E715" s="691"/>
      <c r="F715" s="350"/>
      <c r="G715" s="355"/>
      <c r="H715" s="780"/>
      <c r="I715" s="691"/>
      <c r="J715" s="691"/>
      <c r="K715" s="691"/>
      <c r="L715" s="691"/>
      <c r="M715" s="691"/>
      <c r="N715" s="691"/>
      <c r="O715" s="930"/>
      <c r="P715" s="909"/>
      <c r="Q715" s="931"/>
      <c r="R715" s="310"/>
      <c r="S715" s="310"/>
      <c r="T715" s="691"/>
      <c r="U715" s="691"/>
      <c r="V715" s="355"/>
      <c r="W715" s="932"/>
      <c r="X715" s="310"/>
      <c r="Y715" s="310"/>
      <c r="Z715" s="933"/>
      <c r="AA715" s="310"/>
      <c r="AB715" s="691"/>
      <c r="AC715" s="933"/>
      <c r="AD715" s="691"/>
      <c r="AE715" s="691"/>
      <c r="AF715" s="934"/>
      <c r="AG715" s="934"/>
      <c r="AH715" s="888"/>
      <c r="AI715" s="888"/>
      <c r="AJ715" s="310"/>
      <c r="AK715" s="310"/>
      <c r="AL715" s="310"/>
      <c r="AM715" s="1"/>
      <c r="AN715" s="691"/>
      <c r="AO715" s="1"/>
      <c r="AP715" s="1"/>
    </row>
    <row r="716">
      <c r="A716" s="929"/>
      <c r="B716" s="691"/>
      <c r="C716" s="310"/>
      <c r="D716" s="691"/>
      <c r="E716" s="691"/>
      <c r="F716" s="350"/>
      <c r="G716" s="355"/>
      <c r="H716" s="780"/>
      <c r="I716" s="691"/>
      <c r="J716" s="691"/>
      <c r="K716" s="691"/>
      <c r="L716" s="691"/>
      <c r="M716" s="691"/>
      <c r="N716" s="691"/>
      <c r="O716" s="930"/>
      <c r="P716" s="909"/>
      <c r="Q716" s="931"/>
      <c r="R716" s="310"/>
      <c r="S716" s="310"/>
      <c r="T716" s="691"/>
      <c r="U716" s="691"/>
      <c r="V716" s="355"/>
      <c r="W716" s="932"/>
      <c r="X716" s="310"/>
      <c r="Y716" s="310"/>
      <c r="Z716" s="933"/>
      <c r="AA716" s="310"/>
      <c r="AB716" s="691"/>
      <c r="AC716" s="933"/>
      <c r="AD716" s="691"/>
      <c r="AE716" s="691"/>
      <c r="AF716" s="934"/>
      <c r="AG716" s="934"/>
      <c r="AH716" s="888"/>
      <c r="AI716" s="888"/>
      <c r="AJ716" s="310"/>
      <c r="AK716" s="310"/>
      <c r="AL716" s="310"/>
      <c r="AM716" s="1"/>
      <c r="AN716" s="691"/>
      <c r="AO716" s="1"/>
      <c r="AP716" s="1"/>
    </row>
    <row r="717">
      <c r="A717" s="929"/>
      <c r="B717" s="691"/>
      <c r="C717" s="310"/>
      <c r="D717" s="691"/>
      <c r="E717" s="691"/>
      <c r="F717" s="350"/>
      <c r="G717" s="355"/>
      <c r="H717" s="780"/>
      <c r="I717" s="691"/>
      <c r="J717" s="691"/>
      <c r="K717" s="691"/>
      <c r="L717" s="691"/>
      <c r="M717" s="691"/>
      <c r="N717" s="691"/>
      <c r="O717" s="930"/>
      <c r="P717" s="909"/>
      <c r="Q717" s="931"/>
      <c r="R717" s="310"/>
      <c r="S717" s="310"/>
      <c r="T717" s="691"/>
      <c r="U717" s="691"/>
      <c r="V717" s="355"/>
      <c r="W717" s="932"/>
      <c r="X717" s="310"/>
      <c r="Y717" s="310"/>
      <c r="Z717" s="933"/>
      <c r="AA717" s="310"/>
      <c r="AB717" s="691"/>
      <c r="AC717" s="933"/>
      <c r="AD717" s="691"/>
      <c r="AE717" s="691"/>
      <c r="AF717" s="934"/>
      <c r="AG717" s="934"/>
      <c r="AH717" s="888"/>
      <c r="AI717" s="888"/>
      <c r="AJ717" s="310"/>
      <c r="AK717" s="310"/>
      <c r="AL717" s="310"/>
      <c r="AM717" s="1"/>
      <c r="AN717" s="691"/>
      <c r="AO717" s="1"/>
      <c r="AP717" s="1"/>
    </row>
    <row r="718">
      <c r="A718" s="929"/>
      <c r="B718" s="691"/>
      <c r="C718" s="310"/>
      <c r="D718" s="691"/>
      <c r="E718" s="691"/>
      <c r="F718" s="350"/>
      <c r="G718" s="355"/>
      <c r="H718" s="780"/>
      <c r="I718" s="691"/>
      <c r="J718" s="691"/>
      <c r="K718" s="691"/>
      <c r="L718" s="691"/>
      <c r="M718" s="691"/>
      <c r="N718" s="691"/>
      <c r="O718" s="930"/>
      <c r="P718" s="909"/>
      <c r="Q718" s="931"/>
      <c r="R718" s="310"/>
      <c r="S718" s="310"/>
      <c r="T718" s="691"/>
      <c r="U718" s="691"/>
      <c r="V718" s="355"/>
      <c r="W718" s="932"/>
      <c r="X718" s="310"/>
      <c r="Y718" s="310"/>
      <c r="Z718" s="933"/>
      <c r="AA718" s="310"/>
      <c r="AB718" s="691"/>
      <c r="AC718" s="933"/>
      <c r="AD718" s="691"/>
      <c r="AE718" s="691"/>
      <c r="AF718" s="934"/>
      <c r="AG718" s="934"/>
      <c r="AH718" s="888"/>
      <c r="AI718" s="888"/>
      <c r="AJ718" s="310"/>
      <c r="AK718" s="310"/>
      <c r="AL718" s="310"/>
      <c r="AM718" s="1"/>
      <c r="AN718" s="691"/>
      <c r="AO718" s="1"/>
      <c r="AP718" s="1"/>
    </row>
    <row r="719">
      <c r="A719" s="929"/>
      <c r="B719" s="691"/>
      <c r="C719" s="310"/>
      <c r="D719" s="691"/>
      <c r="E719" s="691"/>
      <c r="F719" s="350"/>
      <c r="G719" s="355"/>
      <c r="H719" s="780"/>
      <c r="I719" s="691"/>
      <c r="J719" s="691"/>
      <c r="K719" s="691"/>
      <c r="L719" s="691"/>
      <c r="M719" s="691"/>
      <c r="N719" s="691"/>
      <c r="O719" s="930"/>
      <c r="P719" s="909"/>
      <c r="Q719" s="931"/>
      <c r="R719" s="310"/>
      <c r="S719" s="310"/>
      <c r="T719" s="691"/>
      <c r="U719" s="691"/>
      <c r="V719" s="355"/>
      <c r="W719" s="932"/>
      <c r="X719" s="310"/>
      <c r="Y719" s="310"/>
      <c r="Z719" s="933"/>
      <c r="AA719" s="310"/>
      <c r="AB719" s="691"/>
      <c r="AC719" s="933"/>
      <c r="AD719" s="691"/>
      <c r="AE719" s="691"/>
      <c r="AF719" s="934"/>
      <c r="AG719" s="934"/>
      <c r="AH719" s="888"/>
      <c r="AI719" s="888"/>
      <c r="AJ719" s="310"/>
      <c r="AK719" s="310"/>
      <c r="AL719" s="310"/>
      <c r="AM719" s="1"/>
      <c r="AN719" s="691"/>
      <c r="AO719" s="1"/>
      <c r="AP719" s="1"/>
    </row>
    <row r="720">
      <c r="A720" s="929"/>
      <c r="B720" s="691"/>
      <c r="C720" s="310"/>
      <c r="D720" s="691"/>
      <c r="E720" s="691"/>
      <c r="F720" s="350"/>
      <c r="G720" s="355"/>
      <c r="H720" s="780"/>
      <c r="I720" s="691"/>
      <c r="J720" s="691"/>
      <c r="K720" s="691"/>
      <c r="L720" s="691"/>
      <c r="M720" s="691"/>
      <c r="N720" s="691"/>
      <c r="O720" s="930"/>
      <c r="P720" s="909"/>
      <c r="Q720" s="931"/>
      <c r="R720" s="310"/>
      <c r="S720" s="310"/>
      <c r="T720" s="691"/>
      <c r="U720" s="691"/>
      <c r="V720" s="355"/>
      <c r="W720" s="932"/>
      <c r="X720" s="310"/>
      <c r="Y720" s="310"/>
      <c r="Z720" s="933"/>
      <c r="AA720" s="310"/>
      <c r="AB720" s="691"/>
      <c r="AC720" s="933"/>
      <c r="AD720" s="691"/>
      <c r="AE720" s="691"/>
      <c r="AF720" s="934"/>
      <c r="AG720" s="934"/>
      <c r="AH720" s="888"/>
      <c r="AI720" s="888"/>
      <c r="AJ720" s="310"/>
      <c r="AK720" s="310"/>
      <c r="AL720" s="310"/>
      <c r="AM720" s="1"/>
      <c r="AN720" s="691"/>
      <c r="AO720" s="1"/>
      <c r="AP720" s="1"/>
    </row>
    <row r="721">
      <c r="A721" s="929"/>
      <c r="B721" s="691"/>
      <c r="C721" s="310"/>
      <c r="D721" s="691"/>
      <c r="E721" s="691"/>
      <c r="F721" s="350"/>
      <c r="G721" s="355"/>
      <c r="H721" s="780"/>
      <c r="I721" s="691"/>
      <c r="J721" s="691"/>
      <c r="K721" s="691"/>
      <c r="L721" s="691"/>
      <c r="M721" s="691"/>
      <c r="N721" s="691"/>
      <c r="O721" s="930"/>
      <c r="P721" s="909"/>
      <c r="Q721" s="931"/>
      <c r="R721" s="310"/>
      <c r="S721" s="310"/>
      <c r="T721" s="691"/>
      <c r="U721" s="691"/>
      <c r="V721" s="355"/>
      <c r="W721" s="932"/>
      <c r="X721" s="310"/>
      <c r="Y721" s="310"/>
      <c r="Z721" s="933"/>
      <c r="AA721" s="310"/>
      <c r="AB721" s="691"/>
      <c r="AC721" s="933"/>
      <c r="AD721" s="691"/>
      <c r="AE721" s="691"/>
      <c r="AF721" s="934"/>
      <c r="AG721" s="934"/>
      <c r="AH721" s="888"/>
      <c r="AI721" s="888"/>
      <c r="AJ721" s="310"/>
      <c r="AK721" s="310"/>
      <c r="AL721" s="310"/>
      <c r="AM721" s="1"/>
      <c r="AN721" s="691"/>
      <c r="AO721" s="1"/>
      <c r="AP721" s="1"/>
    </row>
    <row r="722">
      <c r="A722" s="929"/>
      <c r="B722" s="691"/>
      <c r="C722" s="310"/>
      <c r="D722" s="691"/>
      <c r="E722" s="691"/>
      <c r="F722" s="350"/>
      <c r="G722" s="355"/>
      <c r="H722" s="780"/>
      <c r="I722" s="691"/>
      <c r="J722" s="691"/>
      <c r="K722" s="691"/>
      <c r="L722" s="691"/>
      <c r="M722" s="691"/>
      <c r="N722" s="691"/>
      <c r="O722" s="930"/>
      <c r="P722" s="909"/>
      <c r="Q722" s="931"/>
      <c r="R722" s="310"/>
      <c r="S722" s="310"/>
      <c r="T722" s="691"/>
      <c r="U722" s="691"/>
      <c r="V722" s="355"/>
      <c r="W722" s="932"/>
      <c r="X722" s="310"/>
      <c r="Y722" s="310"/>
      <c r="Z722" s="933"/>
      <c r="AA722" s="310"/>
      <c r="AB722" s="691"/>
      <c r="AC722" s="933"/>
      <c r="AD722" s="691"/>
      <c r="AE722" s="691"/>
      <c r="AF722" s="934"/>
      <c r="AG722" s="934"/>
      <c r="AH722" s="888"/>
      <c r="AI722" s="888"/>
      <c r="AJ722" s="310"/>
      <c r="AK722" s="310"/>
      <c r="AL722" s="310"/>
      <c r="AM722" s="1"/>
      <c r="AN722" s="691"/>
      <c r="AO722" s="1"/>
      <c r="AP722" s="1"/>
    </row>
    <row r="723">
      <c r="A723" s="929"/>
      <c r="B723" s="691"/>
      <c r="C723" s="310"/>
      <c r="D723" s="691"/>
      <c r="E723" s="691"/>
      <c r="F723" s="350"/>
      <c r="G723" s="355"/>
      <c r="H723" s="780"/>
      <c r="I723" s="691"/>
      <c r="J723" s="691"/>
      <c r="K723" s="691"/>
      <c r="L723" s="691"/>
      <c r="M723" s="691"/>
      <c r="N723" s="691"/>
      <c r="O723" s="930"/>
      <c r="P723" s="909"/>
      <c r="Q723" s="931"/>
      <c r="R723" s="310"/>
      <c r="S723" s="310"/>
      <c r="T723" s="691"/>
      <c r="U723" s="691"/>
      <c r="V723" s="355"/>
      <c r="W723" s="932"/>
      <c r="X723" s="310"/>
      <c r="Y723" s="310"/>
      <c r="Z723" s="933"/>
      <c r="AA723" s="310"/>
      <c r="AB723" s="691"/>
      <c r="AC723" s="933"/>
      <c r="AD723" s="691"/>
      <c r="AE723" s="691"/>
      <c r="AF723" s="934"/>
      <c r="AG723" s="934"/>
      <c r="AH723" s="888"/>
      <c r="AI723" s="888"/>
      <c r="AJ723" s="310"/>
      <c r="AK723" s="310"/>
      <c r="AL723" s="310"/>
      <c r="AM723" s="1"/>
      <c r="AN723" s="691"/>
      <c r="AO723" s="1"/>
      <c r="AP723" s="1"/>
    </row>
    <row r="724">
      <c r="A724" s="929"/>
      <c r="B724" s="691"/>
      <c r="C724" s="310"/>
      <c r="D724" s="691"/>
      <c r="E724" s="691"/>
      <c r="F724" s="350"/>
      <c r="G724" s="355"/>
      <c r="H724" s="780"/>
      <c r="I724" s="691"/>
      <c r="J724" s="691"/>
      <c r="K724" s="691"/>
      <c r="L724" s="691"/>
      <c r="M724" s="691"/>
      <c r="N724" s="691"/>
      <c r="O724" s="930"/>
      <c r="P724" s="909"/>
      <c r="Q724" s="931"/>
      <c r="R724" s="310"/>
      <c r="S724" s="310"/>
      <c r="T724" s="691"/>
      <c r="U724" s="691"/>
      <c r="V724" s="355"/>
      <c r="W724" s="932"/>
      <c r="X724" s="310"/>
      <c r="Y724" s="310"/>
      <c r="Z724" s="933"/>
      <c r="AA724" s="310"/>
      <c r="AB724" s="691"/>
      <c r="AC724" s="933"/>
      <c r="AD724" s="691"/>
      <c r="AE724" s="691"/>
      <c r="AF724" s="934"/>
      <c r="AG724" s="934"/>
      <c r="AH724" s="888"/>
      <c r="AI724" s="888"/>
      <c r="AJ724" s="310"/>
      <c r="AK724" s="310"/>
      <c r="AL724" s="310"/>
      <c r="AM724" s="1"/>
      <c r="AN724" s="691"/>
      <c r="AO724" s="1"/>
      <c r="AP724" s="1"/>
    </row>
    <row r="725">
      <c r="A725" s="929"/>
      <c r="B725" s="691"/>
      <c r="C725" s="310"/>
      <c r="D725" s="691"/>
      <c r="E725" s="691"/>
      <c r="F725" s="350"/>
      <c r="G725" s="355"/>
      <c r="H725" s="780"/>
      <c r="I725" s="691"/>
      <c r="J725" s="691"/>
      <c r="K725" s="691"/>
      <c r="L725" s="691"/>
      <c r="M725" s="691"/>
      <c r="N725" s="691"/>
      <c r="O725" s="930"/>
      <c r="P725" s="909"/>
      <c r="Q725" s="931"/>
      <c r="R725" s="310"/>
      <c r="S725" s="310"/>
      <c r="T725" s="691"/>
      <c r="U725" s="691"/>
      <c r="V725" s="355"/>
      <c r="W725" s="932"/>
      <c r="X725" s="310"/>
      <c r="Y725" s="310"/>
      <c r="Z725" s="933"/>
      <c r="AA725" s="310"/>
      <c r="AB725" s="691"/>
      <c r="AC725" s="933"/>
      <c r="AD725" s="691"/>
      <c r="AE725" s="691"/>
      <c r="AF725" s="934"/>
      <c r="AG725" s="934"/>
      <c r="AH725" s="888"/>
      <c r="AI725" s="888"/>
      <c r="AJ725" s="310"/>
      <c r="AK725" s="310"/>
      <c r="AL725" s="310"/>
      <c r="AM725" s="1"/>
      <c r="AN725" s="691"/>
      <c r="AO725" s="1"/>
      <c r="AP725" s="1"/>
    </row>
    <row r="726">
      <c r="A726" s="929"/>
      <c r="B726" s="691"/>
      <c r="C726" s="310"/>
      <c r="D726" s="691"/>
      <c r="E726" s="691"/>
      <c r="F726" s="350"/>
      <c r="G726" s="355"/>
      <c r="H726" s="780"/>
      <c r="I726" s="691"/>
      <c r="J726" s="691"/>
      <c r="K726" s="691"/>
      <c r="L726" s="691"/>
      <c r="M726" s="691"/>
      <c r="N726" s="691"/>
      <c r="O726" s="930"/>
      <c r="P726" s="909"/>
      <c r="Q726" s="931"/>
      <c r="R726" s="310"/>
      <c r="S726" s="310"/>
      <c r="T726" s="691"/>
      <c r="U726" s="691"/>
      <c r="V726" s="355"/>
      <c r="W726" s="932"/>
      <c r="X726" s="310"/>
      <c r="Y726" s="310"/>
      <c r="Z726" s="933"/>
      <c r="AA726" s="310"/>
      <c r="AB726" s="691"/>
      <c r="AC726" s="933"/>
      <c r="AD726" s="691"/>
      <c r="AE726" s="691"/>
      <c r="AF726" s="934"/>
      <c r="AG726" s="934"/>
      <c r="AH726" s="888"/>
      <c r="AI726" s="888"/>
      <c r="AJ726" s="310"/>
      <c r="AK726" s="310"/>
      <c r="AL726" s="310"/>
      <c r="AM726" s="1"/>
      <c r="AN726" s="691"/>
      <c r="AO726" s="1"/>
      <c r="AP726" s="1"/>
    </row>
    <row r="727">
      <c r="A727" s="929"/>
      <c r="B727" s="691"/>
      <c r="C727" s="310"/>
      <c r="D727" s="691"/>
      <c r="E727" s="691"/>
      <c r="F727" s="350"/>
      <c r="G727" s="355"/>
      <c r="H727" s="780"/>
      <c r="I727" s="691"/>
      <c r="J727" s="691"/>
      <c r="K727" s="691"/>
      <c r="L727" s="691"/>
      <c r="M727" s="691"/>
      <c r="N727" s="691"/>
      <c r="O727" s="930"/>
      <c r="P727" s="909"/>
      <c r="Q727" s="931"/>
      <c r="R727" s="310"/>
      <c r="S727" s="310"/>
      <c r="T727" s="691"/>
      <c r="U727" s="691"/>
      <c r="V727" s="355"/>
      <c r="W727" s="932"/>
      <c r="X727" s="310"/>
      <c r="Y727" s="310"/>
      <c r="Z727" s="933"/>
      <c r="AA727" s="310"/>
      <c r="AB727" s="691"/>
      <c r="AC727" s="933"/>
      <c r="AD727" s="691"/>
      <c r="AE727" s="691"/>
      <c r="AF727" s="934"/>
      <c r="AG727" s="934"/>
      <c r="AH727" s="888"/>
      <c r="AI727" s="888"/>
      <c r="AJ727" s="310"/>
      <c r="AK727" s="310"/>
      <c r="AL727" s="310"/>
      <c r="AM727" s="1"/>
      <c r="AN727" s="691"/>
      <c r="AO727" s="1"/>
      <c r="AP727" s="1"/>
    </row>
    <row r="728">
      <c r="A728" s="929"/>
      <c r="B728" s="691"/>
      <c r="C728" s="310"/>
      <c r="D728" s="691"/>
      <c r="E728" s="691"/>
      <c r="F728" s="350"/>
      <c r="G728" s="355"/>
      <c r="H728" s="780"/>
      <c r="I728" s="691"/>
      <c r="J728" s="691"/>
      <c r="K728" s="691"/>
      <c r="L728" s="691"/>
      <c r="M728" s="691"/>
      <c r="N728" s="691"/>
      <c r="O728" s="930"/>
      <c r="P728" s="909"/>
      <c r="Q728" s="931"/>
      <c r="R728" s="310"/>
      <c r="S728" s="310"/>
      <c r="T728" s="691"/>
      <c r="U728" s="691"/>
      <c r="V728" s="355"/>
      <c r="W728" s="932"/>
      <c r="X728" s="310"/>
      <c r="Y728" s="310"/>
      <c r="Z728" s="933"/>
      <c r="AA728" s="310"/>
      <c r="AB728" s="691"/>
      <c r="AC728" s="933"/>
      <c r="AD728" s="691"/>
      <c r="AE728" s="691"/>
      <c r="AF728" s="934"/>
      <c r="AG728" s="934"/>
      <c r="AH728" s="888"/>
      <c r="AI728" s="888"/>
      <c r="AJ728" s="310"/>
      <c r="AK728" s="310"/>
      <c r="AL728" s="310"/>
      <c r="AM728" s="1"/>
      <c r="AN728" s="691"/>
      <c r="AO728" s="1"/>
      <c r="AP728" s="1"/>
    </row>
    <row r="729">
      <c r="A729" s="929"/>
      <c r="B729" s="691"/>
      <c r="C729" s="310"/>
      <c r="D729" s="691"/>
      <c r="E729" s="691"/>
      <c r="F729" s="350"/>
      <c r="G729" s="355"/>
      <c r="H729" s="780"/>
      <c r="I729" s="691"/>
      <c r="J729" s="691"/>
      <c r="K729" s="691"/>
      <c r="L729" s="691"/>
      <c r="M729" s="691"/>
      <c r="N729" s="691"/>
      <c r="O729" s="930"/>
      <c r="P729" s="909"/>
      <c r="Q729" s="931"/>
      <c r="R729" s="310"/>
      <c r="S729" s="310"/>
      <c r="T729" s="691"/>
      <c r="U729" s="691"/>
      <c r="V729" s="355"/>
      <c r="W729" s="932"/>
      <c r="X729" s="310"/>
      <c r="Y729" s="310"/>
      <c r="Z729" s="933"/>
      <c r="AA729" s="310"/>
      <c r="AB729" s="691"/>
      <c r="AC729" s="933"/>
      <c r="AD729" s="691"/>
      <c r="AE729" s="691"/>
      <c r="AF729" s="934"/>
      <c r="AG729" s="934"/>
      <c r="AH729" s="888"/>
      <c r="AI729" s="888"/>
      <c r="AJ729" s="310"/>
      <c r="AK729" s="310"/>
      <c r="AL729" s="310"/>
      <c r="AM729" s="1"/>
      <c r="AN729" s="691"/>
      <c r="AO729" s="1"/>
      <c r="AP729" s="1"/>
    </row>
    <row r="730">
      <c r="A730" s="929"/>
      <c r="B730" s="691"/>
      <c r="C730" s="310"/>
      <c r="D730" s="691"/>
      <c r="E730" s="691"/>
      <c r="F730" s="350"/>
      <c r="G730" s="355"/>
      <c r="H730" s="780"/>
      <c r="I730" s="691"/>
      <c r="J730" s="691"/>
      <c r="K730" s="691"/>
      <c r="L730" s="691"/>
      <c r="M730" s="691"/>
      <c r="N730" s="691"/>
      <c r="O730" s="930"/>
      <c r="P730" s="909"/>
      <c r="Q730" s="931"/>
      <c r="R730" s="310"/>
      <c r="S730" s="310"/>
      <c r="T730" s="691"/>
      <c r="U730" s="691"/>
      <c r="V730" s="355"/>
      <c r="W730" s="932"/>
      <c r="X730" s="310"/>
      <c r="Y730" s="310"/>
      <c r="Z730" s="933"/>
      <c r="AA730" s="310"/>
      <c r="AB730" s="691"/>
      <c r="AC730" s="933"/>
      <c r="AD730" s="691"/>
      <c r="AE730" s="691"/>
      <c r="AF730" s="934"/>
      <c r="AG730" s="934"/>
      <c r="AH730" s="888"/>
      <c r="AI730" s="888"/>
      <c r="AJ730" s="310"/>
      <c r="AK730" s="310"/>
      <c r="AL730" s="310"/>
      <c r="AM730" s="1"/>
      <c r="AN730" s="691"/>
      <c r="AO730" s="1"/>
      <c r="AP730" s="1"/>
    </row>
    <row r="731">
      <c r="A731" s="929"/>
      <c r="B731" s="691"/>
      <c r="C731" s="310"/>
      <c r="D731" s="691"/>
      <c r="E731" s="691"/>
      <c r="F731" s="350"/>
      <c r="G731" s="355"/>
      <c r="H731" s="780"/>
      <c r="I731" s="691"/>
      <c r="J731" s="691"/>
      <c r="K731" s="691"/>
      <c r="L731" s="691"/>
      <c r="M731" s="691"/>
      <c r="N731" s="691"/>
      <c r="O731" s="930"/>
      <c r="P731" s="909"/>
      <c r="Q731" s="931"/>
      <c r="R731" s="310"/>
      <c r="S731" s="310"/>
      <c r="T731" s="691"/>
      <c r="U731" s="691"/>
      <c r="V731" s="355"/>
      <c r="W731" s="932"/>
      <c r="X731" s="310"/>
      <c r="Y731" s="310"/>
      <c r="Z731" s="933"/>
      <c r="AA731" s="310"/>
      <c r="AB731" s="691"/>
      <c r="AC731" s="933"/>
      <c r="AD731" s="691"/>
      <c r="AE731" s="691"/>
      <c r="AF731" s="934"/>
      <c r="AG731" s="934"/>
      <c r="AH731" s="888"/>
      <c r="AI731" s="888"/>
      <c r="AJ731" s="310"/>
      <c r="AK731" s="310"/>
      <c r="AL731" s="310"/>
      <c r="AM731" s="1"/>
      <c r="AN731" s="691"/>
      <c r="AO731" s="1"/>
      <c r="AP731" s="1"/>
    </row>
    <row r="732">
      <c r="A732" s="929"/>
      <c r="B732" s="691"/>
      <c r="C732" s="310"/>
      <c r="D732" s="691"/>
      <c r="E732" s="691"/>
      <c r="F732" s="350"/>
      <c r="G732" s="355"/>
      <c r="H732" s="780"/>
      <c r="I732" s="691"/>
      <c r="J732" s="691"/>
      <c r="K732" s="691"/>
      <c r="L732" s="691"/>
      <c r="M732" s="691"/>
      <c r="N732" s="691"/>
      <c r="O732" s="930"/>
      <c r="P732" s="909"/>
      <c r="Q732" s="931"/>
      <c r="R732" s="310"/>
      <c r="S732" s="310"/>
      <c r="T732" s="691"/>
      <c r="U732" s="691"/>
      <c r="V732" s="355"/>
      <c r="W732" s="932"/>
      <c r="X732" s="310"/>
      <c r="Y732" s="310"/>
      <c r="Z732" s="933"/>
      <c r="AA732" s="310"/>
      <c r="AB732" s="691"/>
      <c r="AC732" s="933"/>
      <c r="AD732" s="691"/>
      <c r="AE732" s="691"/>
      <c r="AF732" s="934"/>
      <c r="AG732" s="934"/>
      <c r="AH732" s="888"/>
      <c r="AI732" s="888"/>
      <c r="AJ732" s="310"/>
      <c r="AK732" s="310"/>
      <c r="AL732" s="310"/>
      <c r="AM732" s="1"/>
      <c r="AN732" s="691"/>
      <c r="AO732" s="1"/>
      <c r="AP732" s="1"/>
    </row>
    <row r="733">
      <c r="A733" s="929"/>
      <c r="B733" s="691"/>
      <c r="C733" s="310"/>
      <c r="D733" s="691"/>
      <c r="E733" s="691"/>
      <c r="F733" s="350"/>
      <c r="G733" s="355"/>
      <c r="H733" s="780"/>
      <c r="I733" s="691"/>
      <c r="J733" s="691"/>
      <c r="K733" s="691"/>
      <c r="L733" s="691"/>
      <c r="M733" s="691"/>
      <c r="N733" s="691"/>
      <c r="O733" s="930"/>
      <c r="P733" s="909"/>
      <c r="Q733" s="931"/>
      <c r="R733" s="310"/>
      <c r="S733" s="310"/>
      <c r="T733" s="691"/>
      <c r="U733" s="691"/>
      <c r="V733" s="355"/>
      <c r="W733" s="932"/>
      <c r="X733" s="310"/>
      <c r="Y733" s="310"/>
      <c r="Z733" s="933"/>
      <c r="AA733" s="310"/>
      <c r="AB733" s="691"/>
      <c r="AC733" s="933"/>
      <c r="AD733" s="691"/>
      <c r="AE733" s="691"/>
      <c r="AF733" s="934"/>
      <c r="AG733" s="934"/>
      <c r="AH733" s="888"/>
      <c r="AI733" s="888"/>
      <c r="AJ733" s="310"/>
      <c r="AK733" s="310"/>
      <c r="AL733" s="310"/>
      <c r="AM733" s="1"/>
      <c r="AN733" s="691"/>
      <c r="AO733" s="1"/>
      <c r="AP733" s="1"/>
    </row>
    <row r="734">
      <c r="A734" s="929"/>
      <c r="B734" s="691"/>
      <c r="C734" s="310"/>
      <c r="D734" s="691"/>
      <c r="E734" s="691"/>
      <c r="F734" s="350"/>
      <c r="G734" s="355"/>
      <c r="H734" s="780"/>
      <c r="I734" s="691"/>
      <c r="J734" s="691"/>
      <c r="K734" s="691"/>
      <c r="L734" s="691"/>
      <c r="M734" s="691"/>
      <c r="N734" s="691"/>
      <c r="O734" s="930"/>
      <c r="P734" s="909"/>
      <c r="Q734" s="931"/>
      <c r="R734" s="310"/>
      <c r="S734" s="310"/>
      <c r="T734" s="691"/>
      <c r="U734" s="691"/>
      <c r="V734" s="355"/>
      <c r="W734" s="932"/>
      <c r="X734" s="310"/>
      <c r="Y734" s="310"/>
      <c r="Z734" s="933"/>
      <c r="AA734" s="310"/>
      <c r="AB734" s="691"/>
      <c r="AC734" s="933"/>
      <c r="AD734" s="691"/>
      <c r="AE734" s="691"/>
      <c r="AF734" s="934"/>
      <c r="AG734" s="934"/>
      <c r="AH734" s="888"/>
      <c r="AI734" s="888"/>
      <c r="AJ734" s="310"/>
      <c r="AK734" s="310"/>
      <c r="AL734" s="310"/>
      <c r="AM734" s="1"/>
      <c r="AN734" s="691"/>
      <c r="AO734" s="1"/>
      <c r="AP734" s="1"/>
    </row>
    <row r="735">
      <c r="A735" s="929"/>
      <c r="B735" s="691"/>
      <c r="C735" s="310"/>
      <c r="D735" s="691"/>
      <c r="E735" s="691"/>
      <c r="F735" s="350"/>
      <c r="G735" s="355"/>
      <c r="H735" s="780"/>
      <c r="I735" s="691"/>
      <c r="J735" s="691"/>
      <c r="K735" s="691"/>
      <c r="L735" s="691"/>
      <c r="M735" s="691"/>
      <c r="N735" s="691"/>
      <c r="O735" s="930"/>
      <c r="P735" s="909"/>
      <c r="Q735" s="931"/>
      <c r="R735" s="310"/>
      <c r="S735" s="310"/>
      <c r="T735" s="691"/>
      <c r="U735" s="691"/>
      <c r="V735" s="355"/>
      <c r="W735" s="932"/>
      <c r="X735" s="310"/>
      <c r="Y735" s="310"/>
      <c r="Z735" s="933"/>
      <c r="AA735" s="310"/>
      <c r="AB735" s="691"/>
      <c r="AC735" s="933"/>
      <c r="AD735" s="691"/>
      <c r="AE735" s="691"/>
      <c r="AF735" s="934"/>
      <c r="AG735" s="934"/>
      <c r="AH735" s="888"/>
      <c r="AI735" s="888"/>
      <c r="AJ735" s="310"/>
      <c r="AK735" s="310"/>
      <c r="AL735" s="310"/>
      <c r="AM735" s="1"/>
      <c r="AN735" s="691"/>
      <c r="AO735" s="1"/>
      <c r="AP735" s="1"/>
    </row>
    <row r="736">
      <c r="A736" s="929"/>
      <c r="B736" s="691"/>
      <c r="C736" s="310"/>
      <c r="D736" s="691"/>
      <c r="E736" s="691"/>
      <c r="F736" s="350"/>
      <c r="G736" s="355"/>
      <c r="H736" s="780"/>
      <c r="I736" s="691"/>
      <c r="J736" s="691"/>
      <c r="K736" s="691"/>
      <c r="L736" s="691"/>
      <c r="M736" s="691"/>
      <c r="N736" s="691"/>
      <c r="O736" s="930"/>
      <c r="P736" s="909"/>
      <c r="Q736" s="931"/>
      <c r="R736" s="310"/>
      <c r="S736" s="310"/>
      <c r="T736" s="691"/>
      <c r="U736" s="691"/>
      <c r="V736" s="355"/>
      <c r="W736" s="932"/>
      <c r="X736" s="310"/>
      <c r="Y736" s="310"/>
      <c r="Z736" s="933"/>
      <c r="AA736" s="310"/>
      <c r="AB736" s="691"/>
      <c r="AC736" s="933"/>
      <c r="AD736" s="691"/>
      <c r="AE736" s="691"/>
      <c r="AF736" s="934"/>
      <c r="AG736" s="934"/>
      <c r="AH736" s="888"/>
      <c r="AI736" s="888"/>
      <c r="AJ736" s="310"/>
      <c r="AK736" s="310"/>
      <c r="AL736" s="310"/>
      <c r="AM736" s="1"/>
      <c r="AN736" s="691"/>
      <c r="AO736" s="1"/>
      <c r="AP736" s="1"/>
    </row>
    <row r="737">
      <c r="A737" s="929"/>
      <c r="B737" s="691"/>
      <c r="C737" s="310"/>
      <c r="D737" s="691"/>
      <c r="E737" s="691"/>
      <c r="F737" s="350"/>
      <c r="G737" s="355"/>
      <c r="H737" s="780"/>
      <c r="I737" s="691"/>
      <c r="J737" s="691"/>
      <c r="K737" s="691"/>
      <c r="L737" s="691"/>
      <c r="M737" s="691"/>
      <c r="N737" s="691"/>
      <c r="O737" s="930"/>
      <c r="P737" s="909"/>
      <c r="Q737" s="931"/>
      <c r="R737" s="310"/>
      <c r="S737" s="310"/>
      <c r="T737" s="691"/>
      <c r="U737" s="691"/>
      <c r="V737" s="355"/>
      <c r="W737" s="932"/>
      <c r="X737" s="310"/>
      <c r="Y737" s="310"/>
      <c r="Z737" s="933"/>
      <c r="AA737" s="310"/>
      <c r="AB737" s="691"/>
      <c r="AC737" s="933"/>
      <c r="AD737" s="691"/>
      <c r="AE737" s="691"/>
      <c r="AF737" s="934"/>
      <c r="AG737" s="934"/>
      <c r="AH737" s="888"/>
      <c r="AI737" s="888"/>
      <c r="AJ737" s="310"/>
      <c r="AK737" s="310"/>
      <c r="AL737" s="310"/>
      <c r="AM737" s="1"/>
      <c r="AN737" s="691"/>
      <c r="AO737" s="1"/>
      <c r="AP737" s="1"/>
    </row>
    <row r="738">
      <c r="A738" s="929"/>
      <c r="B738" s="691"/>
      <c r="C738" s="310"/>
      <c r="D738" s="691"/>
      <c r="E738" s="691"/>
      <c r="F738" s="350"/>
      <c r="G738" s="355"/>
      <c r="H738" s="780"/>
      <c r="I738" s="691"/>
      <c r="J738" s="691"/>
      <c r="K738" s="691"/>
      <c r="L738" s="691"/>
      <c r="M738" s="691"/>
      <c r="N738" s="691"/>
      <c r="O738" s="930"/>
      <c r="P738" s="909"/>
      <c r="Q738" s="931"/>
      <c r="R738" s="310"/>
      <c r="S738" s="310"/>
      <c r="T738" s="691"/>
      <c r="U738" s="691"/>
      <c r="V738" s="355"/>
      <c r="W738" s="932"/>
      <c r="X738" s="310"/>
      <c r="Y738" s="310"/>
      <c r="Z738" s="933"/>
      <c r="AA738" s="310"/>
      <c r="AB738" s="691"/>
      <c r="AC738" s="933"/>
      <c r="AD738" s="691"/>
      <c r="AE738" s="691"/>
      <c r="AF738" s="934"/>
      <c r="AG738" s="934"/>
      <c r="AH738" s="888"/>
      <c r="AI738" s="888"/>
      <c r="AJ738" s="310"/>
      <c r="AK738" s="310"/>
      <c r="AL738" s="310"/>
      <c r="AM738" s="1"/>
      <c r="AN738" s="691"/>
      <c r="AO738" s="1"/>
      <c r="AP738" s="1"/>
    </row>
    <row r="739">
      <c r="A739" s="929"/>
      <c r="B739" s="691"/>
      <c r="C739" s="310"/>
      <c r="D739" s="691"/>
      <c r="E739" s="691"/>
      <c r="F739" s="350"/>
      <c r="G739" s="355"/>
      <c r="H739" s="780"/>
      <c r="I739" s="691"/>
      <c r="J739" s="691"/>
      <c r="K739" s="691"/>
      <c r="L739" s="691"/>
      <c r="M739" s="691"/>
      <c r="N739" s="691"/>
      <c r="O739" s="930"/>
      <c r="P739" s="909"/>
      <c r="Q739" s="931"/>
      <c r="R739" s="310"/>
      <c r="S739" s="310"/>
      <c r="T739" s="691"/>
      <c r="U739" s="691"/>
      <c r="V739" s="355"/>
      <c r="W739" s="932"/>
      <c r="X739" s="310"/>
      <c r="Y739" s="310"/>
      <c r="Z739" s="933"/>
      <c r="AA739" s="310"/>
      <c r="AB739" s="691"/>
      <c r="AC739" s="933"/>
      <c r="AD739" s="691"/>
      <c r="AE739" s="691"/>
      <c r="AF739" s="934"/>
      <c r="AG739" s="934"/>
      <c r="AH739" s="888"/>
      <c r="AI739" s="888"/>
      <c r="AJ739" s="310"/>
      <c r="AK739" s="310"/>
      <c r="AL739" s="310"/>
      <c r="AM739" s="1"/>
      <c r="AN739" s="691"/>
      <c r="AO739" s="1"/>
      <c r="AP739" s="1"/>
    </row>
    <row r="740">
      <c r="A740" s="929"/>
      <c r="B740" s="691"/>
      <c r="C740" s="310"/>
      <c r="D740" s="691"/>
      <c r="E740" s="691"/>
      <c r="F740" s="350"/>
      <c r="G740" s="355"/>
      <c r="H740" s="780"/>
      <c r="I740" s="691"/>
      <c r="J740" s="691"/>
      <c r="K740" s="691"/>
      <c r="L740" s="691"/>
      <c r="M740" s="691"/>
      <c r="N740" s="691"/>
      <c r="O740" s="930"/>
      <c r="P740" s="909"/>
      <c r="Q740" s="931"/>
      <c r="R740" s="310"/>
      <c r="S740" s="310"/>
      <c r="T740" s="691"/>
      <c r="U740" s="691"/>
      <c r="V740" s="355"/>
      <c r="W740" s="932"/>
      <c r="X740" s="310"/>
      <c r="Y740" s="310"/>
      <c r="Z740" s="933"/>
      <c r="AA740" s="310"/>
      <c r="AB740" s="691"/>
      <c r="AC740" s="933"/>
      <c r="AD740" s="691"/>
      <c r="AE740" s="691"/>
      <c r="AF740" s="934"/>
      <c r="AG740" s="934"/>
      <c r="AH740" s="888"/>
      <c r="AI740" s="888"/>
      <c r="AJ740" s="310"/>
      <c r="AK740" s="310"/>
      <c r="AL740" s="310"/>
      <c r="AM740" s="1"/>
      <c r="AN740" s="691"/>
      <c r="AO740" s="1"/>
      <c r="AP740" s="1"/>
    </row>
    <row r="741">
      <c r="A741" s="929"/>
      <c r="B741" s="691"/>
      <c r="C741" s="310"/>
      <c r="D741" s="691"/>
      <c r="E741" s="691"/>
      <c r="F741" s="350"/>
      <c r="G741" s="355"/>
      <c r="H741" s="780"/>
      <c r="I741" s="691"/>
      <c r="J741" s="691"/>
      <c r="K741" s="691"/>
      <c r="L741" s="691"/>
      <c r="M741" s="691"/>
      <c r="N741" s="691"/>
      <c r="O741" s="930"/>
      <c r="P741" s="909"/>
      <c r="Q741" s="931"/>
      <c r="R741" s="310"/>
      <c r="S741" s="310"/>
      <c r="T741" s="691"/>
      <c r="U741" s="691"/>
      <c r="V741" s="355"/>
      <c r="W741" s="932"/>
      <c r="X741" s="310"/>
      <c r="Y741" s="310"/>
      <c r="Z741" s="933"/>
      <c r="AA741" s="310"/>
      <c r="AB741" s="691"/>
      <c r="AC741" s="933"/>
      <c r="AD741" s="691"/>
      <c r="AE741" s="691"/>
      <c r="AF741" s="934"/>
      <c r="AG741" s="934"/>
      <c r="AH741" s="888"/>
      <c r="AI741" s="888"/>
      <c r="AJ741" s="310"/>
      <c r="AK741" s="310"/>
      <c r="AL741" s="310"/>
      <c r="AM741" s="1"/>
      <c r="AN741" s="691"/>
      <c r="AO741" s="1"/>
      <c r="AP741" s="1"/>
    </row>
    <row r="742">
      <c r="A742" s="929"/>
      <c r="B742" s="691"/>
      <c r="C742" s="310"/>
      <c r="D742" s="691"/>
      <c r="E742" s="691"/>
      <c r="F742" s="350"/>
      <c r="G742" s="355"/>
      <c r="H742" s="780"/>
      <c r="I742" s="691"/>
      <c r="J742" s="691"/>
      <c r="K742" s="691"/>
      <c r="L742" s="691"/>
      <c r="M742" s="691"/>
      <c r="N742" s="691"/>
      <c r="O742" s="930"/>
      <c r="P742" s="909"/>
      <c r="Q742" s="931"/>
      <c r="R742" s="310"/>
      <c r="S742" s="310"/>
      <c r="T742" s="691"/>
      <c r="U742" s="691"/>
      <c r="V742" s="355"/>
      <c r="W742" s="932"/>
      <c r="X742" s="310"/>
      <c r="Y742" s="310"/>
      <c r="Z742" s="933"/>
      <c r="AA742" s="310"/>
      <c r="AB742" s="691"/>
      <c r="AC742" s="933"/>
      <c r="AD742" s="691"/>
      <c r="AE742" s="691"/>
      <c r="AF742" s="934"/>
      <c r="AG742" s="934"/>
      <c r="AH742" s="888"/>
      <c r="AI742" s="888"/>
      <c r="AJ742" s="310"/>
      <c r="AK742" s="310"/>
      <c r="AL742" s="310"/>
      <c r="AM742" s="1"/>
      <c r="AN742" s="691"/>
      <c r="AO742" s="1"/>
      <c r="AP742" s="1"/>
    </row>
    <row r="743">
      <c r="A743" s="929"/>
      <c r="B743" s="691"/>
      <c r="C743" s="310"/>
      <c r="D743" s="691"/>
      <c r="E743" s="691"/>
      <c r="F743" s="350"/>
      <c r="G743" s="355"/>
      <c r="H743" s="780"/>
      <c r="I743" s="691"/>
      <c r="J743" s="691"/>
      <c r="K743" s="691"/>
      <c r="L743" s="691"/>
      <c r="M743" s="691"/>
      <c r="N743" s="691"/>
      <c r="O743" s="930"/>
      <c r="P743" s="909"/>
      <c r="Q743" s="931"/>
      <c r="R743" s="310"/>
      <c r="S743" s="310"/>
      <c r="T743" s="691"/>
      <c r="U743" s="691"/>
      <c r="V743" s="355"/>
      <c r="W743" s="932"/>
      <c r="X743" s="310"/>
      <c r="Y743" s="310"/>
      <c r="Z743" s="933"/>
      <c r="AA743" s="310"/>
      <c r="AB743" s="691"/>
      <c r="AC743" s="933"/>
      <c r="AD743" s="691"/>
      <c r="AE743" s="691"/>
      <c r="AF743" s="934"/>
      <c r="AG743" s="934"/>
      <c r="AH743" s="888"/>
      <c r="AI743" s="888"/>
      <c r="AJ743" s="310"/>
      <c r="AK743" s="310"/>
      <c r="AL743" s="310"/>
      <c r="AM743" s="1"/>
      <c r="AN743" s="691"/>
      <c r="AO743" s="1"/>
      <c r="AP743" s="1"/>
    </row>
    <row r="744">
      <c r="A744" s="929"/>
      <c r="B744" s="691"/>
      <c r="C744" s="310"/>
      <c r="D744" s="691"/>
      <c r="E744" s="691"/>
      <c r="F744" s="350"/>
      <c r="G744" s="355"/>
      <c r="H744" s="780"/>
      <c r="I744" s="691"/>
      <c r="J744" s="691"/>
      <c r="K744" s="691"/>
      <c r="L744" s="691"/>
      <c r="M744" s="691"/>
      <c r="N744" s="691"/>
      <c r="O744" s="930"/>
      <c r="P744" s="909"/>
      <c r="Q744" s="931"/>
      <c r="R744" s="310"/>
      <c r="S744" s="310"/>
      <c r="T744" s="691"/>
      <c r="U744" s="691"/>
      <c r="V744" s="355"/>
      <c r="W744" s="932"/>
      <c r="X744" s="310"/>
      <c r="Y744" s="310"/>
      <c r="Z744" s="933"/>
      <c r="AA744" s="310"/>
      <c r="AB744" s="691"/>
      <c r="AC744" s="933"/>
      <c r="AD744" s="691"/>
      <c r="AE744" s="691"/>
      <c r="AF744" s="934"/>
      <c r="AG744" s="934"/>
      <c r="AH744" s="888"/>
      <c r="AI744" s="888"/>
      <c r="AJ744" s="310"/>
      <c r="AK744" s="310"/>
      <c r="AL744" s="310"/>
      <c r="AM744" s="1"/>
      <c r="AN744" s="691"/>
      <c r="AO744" s="1"/>
      <c r="AP744" s="1"/>
    </row>
    <row r="745">
      <c r="A745" s="929"/>
      <c r="B745" s="691"/>
      <c r="C745" s="310"/>
      <c r="D745" s="691"/>
      <c r="E745" s="691"/>
      <c r="F745" s="350"/>
      <c r="G745" s="355"/>
      <c r="H745" s="780"/>
      <c r="I745" s="691"/>
      <c r="J745" s="691"/>
      <c r="K745" s="691"/>
      <c r="L745" s="691"/>
      <c r="M745" s="691"/>
      <c r="N745" s="691"/>
      <c r="O745" s="930"/>
      <c r="P745" s="909"/>
      <c r="Q745" s="931"/>
      <c r="R745" s="310"/>
      <c r="S745" s="310"/>
      <c r="T745" s="691"/>
      <c r="U745" s="691"/>
      <c r="V745" s="355"/>
      <c r="W745" s="932"/>
      <c r="X745" s="310"/>
      <c r="Y745" s="310"/>
      <c r="Z745" s="933"/>
      <c r="AA745" s="310"/>
      <c r="AB745" s="691"/>
      <c r="AC745" s="933"/>
      <c r="AD745" s="691"/>
      <c r="AE745" s="691"/>
      <c r="AF745" s="934"/>
      <c r="AG745" s="934"/>
      <c r="AH745" s="888"/>
      <c r="AI745" s="888"/>
      <c r="AJ745" s="310"/>
      <c r="AK745" s="310"/>
      <c r="AL745" s="310"/>
      <c r="AM745" s="1"/>
      <c r="AN745" s="691"/>
      <c r="AO745" s="1"/>
      <c r="AP745" s="1"/>
    </row>
    <row r="746">
      <c r="A746" s="929"/>
      <c r="B746" s="691"/>
      <c r="C746" s="310"/>
      <c r="D746" s="691"/>
      <c r="E746" s="691"/>
      <c r="F746" s="350"/>
      <c r="G746" s="355"/>
      <c r="H746" s="780"/>
      <c r="I746" s="691"/>
      <c r="J746" s="691"/>
      <c r="K746" s="691"/>
      <c r="L746" s="691"/>
      <c r="M746" s="691"/>
      <c r="N746" s="691"/>
      <c r="O746" s="930"/>
      <c r="P746" s="909"/>
      <c r="Q746" s="931"/>
      <c r="R746" s="310"/>
      <c r="S746" s="310"/>
      <c r="T746" s="691"/>
      <c r="U746" s="691"/>
      <c r="V746" s="355"/>
      <c r="W746" s="932"/>
      <c r="X746" s="310"/>
      <c r="Y746" s="310"/>
      <c r="Z746" s="933"/>
      <c r="AA746" s="310"/>
      <c r="AB746" s="691"/>
      <c r="AC746" s="933"/>
      <c r="AD746" s="691"/>
      <c r="AE746" s="691"/>
      <c r="AF746" s="934"/>
      <c r="AG746" s="934"/>
      <c r="AH746" s="888"/>
      <c r="AI746" s="888"/>
      <c r="AJ746" s="310"/>
      <c r="AK746" s="310"/>
      <c r="AL746" s="310"/>
      <c r="AM746" s="1"/>
      <c r="AN746" s="691"/>
      <c r="AO746" s="1"/>
      <c r="AP746" s="1"/>
    </row>
    <row r="747">
      <c r="A747" s="929"/>
      <c r="B747" s="691"/>
      <c r="C747" s="310"/>
      <c r="D747" s="691"/>
      <c r="E747" s="691"/>
      <c r="F747" s="350"/>
      <c r="G747" s="355"/>
      <c r="H747" s="780"/>
      <c r="I747" s="691"/>
      <c r="J747" s="691"/>
      <c r="K747" s="691"/>
      <c r="L747" s="691"/>
      <c r="M747" s="691"/>
      <c r="N747" s="691"/>
      <c r="O747" s="930"/>
      <c r="P747" s="909"/>
      <c r="Q747" s="931"/>
      <c r="R747" s="310"/>
      <c r="S747" s="310"/>
      <c r="T747" s="691"/>
      <c r="U747" s="691"/>
      <c r="V747" s="355"/>
      <c r="W747" s="932"/>
      <c r="X747" s="310"/>
      <c r="Y747" s="310"/>
      <c r="Z747" s="933"/>
      <c r="AA747" s="310"/>
      <c r="AB747" s="691"/>
      <c r="AC747" s="933"/>
      <c r="AD747" s="691"/>
      <c r="AE747" s="691"/>
      <c r="AF747" s="934"/>
      <c r="AG747" s="934"/>
      <c r="AH747" s="888"/>
      <c r="AI747" s="888"/>
      <c r="AJ747" s="310"/>
      <c r="AK747" s="310"/>
      <c r="AL747" s="310"/>
      <c r="AM747" s="1"/>
      <c r="AN747" s="691"/>
      <c r="AO747" s="1"/>
      <c r="AP747" s="1"/>
    </row>
    <row r="748">
      <c r="A748" s="929"/>
      <c r="B748" s="691"/>
      <c r="C748" s="310"/>
      <c r="D748" s="691"/>
      <c r="E748" s="691"/>
      <c r="F748" s="350"/>
      <c r="G748" s="355"/>
      <c r="H748" s="780"/>
      <c r="I748" s="691"/>
      <c r="J748" s="691"/>
      <c r="K748" s="691"/>
      <c r="L748" s="691"/>
      <c r="M748" s="691"/>
      <c r="N748" s="691"/>
      <c r="O748" s="930"/>
      <c r="P748" s="909"/>
      <c r="Q748" s="931"/>
      <c r="R748" s="310"/>
      <c r="S748" s="310"/>
      <c r="T748" s="691"/>
      <c r="U748" s="691"/>
      <c r="V748" s="355"/>
      <c r="W748" s="932"/>
      <c r="X748" s="310"/>
      <c r="Y748" s="310"/>
      <c r="Z748" s="933"/>
      <c r="AA748" s="310"/>
      <c r="AB748" s="691"/>
      <c r="AC748" s="933"/>
      <c r="AD748" s="691"/>
      <c r="AE748" s="691"/>
      <c r="AF748" s="934"/>
      <c r="AG748" s="934"/>
      <c r="AH748" s="888"/>
      <c r="AI748" s="888"/>
      <c r="AJ748" s="310"/>
      <c r="AK748" s="310"/>
      <c r="AL748" s="310"/>
      <c r="AM748" s="1"/>
      <c r="AN748" s="691"/>
      <c r="AO748" s="1"/>
      <c r="AP748" s="1"/>
    </row>
    <row r="749">
      <c r="A749" s="929"/>
      <c r="B749" s="691"/>
      <c r="C749" s="310"/>
      <c r="D749" s="691"/>
      <c r="E749" s="691"/>
      <c r="F749" s="350"/>
      <c r="G749" s="355"/>
      <c r="H749" s="780"/>
      <c r="I749" s="691"/>
      <c r="J749" s="691"/>
      <c r="K749" s="691"/>
      <c r="L749" s="691"/>
      <c r="M749" s="691"/>
      <c r="N749" s="691"/>
      <c r="O749" s="930"/>
      <c r="P749" s="909"/>
      <c r="Q749" s="931"/>
      <c r="R749" s="310"/>
      <c r="S749" s="310"/>
      <c r="T749" s="691"/>
      <c r="U749" s="691"/>
      <c r="V749" s="355"/>
      <c r="W749" s="932"/>
      <c r="X749" s="310"/>
      <c r="Y749" s="310"/>
      <c r="Z749" s="933"/>
      <c r="AA749" s="310"/>
      <c r="AB749" s="691"/>
      <c r="AC749" s="933"/>
      <c r="AD749" s="691"/>
      <c r="AE749" s="691"/>
      <c r="AF749" s="934"/>
      <c r="AG749" s="934"/>
      <c r="AH749" s="888"/>
      <c r="AI749" s="888"/>
      <c r="AJ749" s="310"/>
      <c r="AK749" s="310"/>
      <c r="AL749" s="310"/>
      <c r="AM749" s="1"/>
      <c r="AN749" s="691"/>
      <c r="AO749" s="1"/>
      <c r="AP749" s="1"/>
    </row>
    <row r="750">
      <c r="A750" s="929"/>
      <c r="B750" s="691"/>
      <c r="C750" s="310"/>
      <c r="D750" s="691"/>
      <c r="E750" s="691"/>
      <c r="F750" s="350"/>
      <c r="G750" s="355"/>
      <c r="H750" s="780"/>
      <c r="I750" s="691"/>
      <c r="J750" s="691"/>
      <c r="K750" s="691"/>
      <c r="L750" s="691"/>
      <c r="M750" s="691"/>
      <c r="N750" s="691"/>
      <c r="O750" s="930"/>
      <c r="P750" s="909"/>
      <c r="Q750" s="931"/>
      <c r="R750" s="310"/>
      <c r="S750" s="310"/>
      <c r="T750" s="691"/>
      <c r="U750" s="691"/>
      <c r="V750" s="355"/>
      <c r="W750" s="932"/>
      <c r="X750" s="310"/>
      <c r="Y750" s="310"/>
      <c r="Z750" s="933"/>
      <c r="AA750" s="310"/>
      <c r="AB750" s="691"/>
      <c r="AC750" s="933"/>
      <c r="AD750" s="691"/>
      <c r="AE750" s="691"/>
      <c r="AF750" s="934"/>
      <c r="AG750" s="934"/>
      <c r="AH750" s="888"/>
      <c r="AI750" s="888"/>
      <c r="AJ750" s="310"/>
      <c r="AK750" s="310"/>
      <c r="AL750" s="310"/>
      <c r="AM750" s="1"/>
      <c r="AN750" s="691"/>
      <c r="AO750" s="1"/>
      <c r="AP750" s="1"/>
    </row>
    <row r="751">
      <c r="A751" s="929"/>
      <c r="B751" s="691"/>
      <c r="C751" s="310"/>
      <c r="D751" s="691"/>
      <c r="E751" s="691"/>
      <c r="F751" s="350"/>
      <c r="G751" s="355"/>
      <c r="H751" s="780"/>
      <c r="I751" s="691"/>
      <c r="J751" s="691"/>
      <c r="K751" s="691"/>
      <c r="L751" s="691"/>
      <c r="M751" s="691"/>
      <c r="N751" s="691"/>
      <c r="O751" s="930"/>
      <c r="P751" s="909"/>
      <c r="Q751" s="931"/>
      <c r="R751" s="310"/>
      <c r="S751" s="310"/>
      <c r="T751" s="691"/>
      <c r="U751" s="691"/>
      <c r="V751" s="355"/>
      <c r="W751" s="932"/>
      <c r="X751" s="310"/>
      <c r="Y751" s="310"/>
      <c r="Z751" s="933"/>
      <c r="AA751" s="310"/>
      <c r="AB751" s="691"/>
      <c r="AC751" s="933"/>
      <c r="AD751" s="691"/>
      <c r="AE751" s="691"/>
      <c r="AF751" s="934"/>
      <c r="AG751" s="934"/>
      <c r="AH751" s="888"/>
      <c r="AI751" s="888"/>
      <c r="AJ751" s="310"/>
      <c r="AK751" s="310"/>
      <c r="AL751" s="310"/>
      <c r="AM751" s="1"/>
      <c r="AN751" s="691"/>
      <c r="AO751" s="1"/>
      <c r="AP751" s="1"/>
    </row>
    <row r="752">
      <c r="A752" s="929"/>
      <c r="B752" s="691"/>
      <c r="C752" s="310"/>
      <c r="D752" s="691"/>
      <c r="E752" s="691"/>
      <c r="F752" s="350"/>
      <c r="G752" s="355"/>
      <c r="H752" s="780"/>
      <c r="I752" s="691"/>
      <c r="J752" s="691"/>
      <c r="K752" s="691"/>
      <c r="L752" s="691"/>
      <c r="M752" s="691"/>
      <c r="N752" s="691"/>
      <c r="O752" s="930"/>
      <c r="P752" s="909"/>
      <c r="Q752" s="931"/>
      <c r="R752" s="310"/>
      <c r="S752" s="310"/>
      <c r="T752" s="691"/>
      <c r="U752" s="691"/>
      <c r="V752" s="355"/>
      <c r="W752" s="932"/>
      <c r="X752" s="310"/>
      <c r="Y752" s="310"/>
      <c r="Z752" s="933"/>
      <c r="AA752" s="310"/>
      <c r="AB752" s="691"/>
      <c r="AC752" s="933"/>
      <c r="AD752" s="691"/>
      <c r="AE752" s="691"/>
      <c r="AF752" s="934"/>
      <c r="AG752" s="934"/>
      <c r="AH752" s="888"/>
      <c r="AI752" s="888"/>
      <c r="AJ752" s="310"/>
      <c r="AK752" s="310"/>
      <c r="AL752" s="310"/>
      <c r="AM752" s="1"/>
      <c r="AN752" s="691"/>
      <c r="AO752" s="1"/>
      <c r="AP752" s="1"/>
    </row>
    <row r="753">
      <c r="A753" s="929"/>
      <c r="B753" s="691"/>
      <c r="C753" s="310"/>
      <c r="D753" s="691"/>
      <c r="E753" s="691"/>
      <c r="F753" s="350"/>
      <c r="G753" s="355"/>
      <c r="H753" s="780"/>
      <c r="I753" s="691"/>
      <c r="J753" s="691"/>
      <c r="K753" s="691"/>
      <c r="L753" s="691"/>
      <c r="M753" s="691"/>
      <c r="N753" s="691"/>
      <c r="O753" s="930"/>
      <c r="P753" s="909"/>
      <c r="Q753" s="931"/>
      <c r="R753" s="310"/>
      <c r="S753" s="310"/>
      <c r="T753" s="691"/>
      <c r="U753" s="691"/>
      <c r="V753" s="355"/>
      <c r="W753" s="932"/>
      <c r="X753" s="310"/>
      <c r="Y753" s="310"/>
      <c r="Z753" s="933"/>
      <c r="AA753" s="310"/>
      <c r="AB753" s="691"/>
      <c r="AC753" s="933"/>
      <c r="AD753" s="691"/>
      <c r="AE753" s="691"/>
      <c r="AF753" s="934"/>
      <c r="AG753" s="934"/>
      <c r="AH753" s="888"/>
      <c r="AI753" s="888"/>
      <c r="AJ753" s="310"/>
      <c r="AK753" s="310"/>
      <c r="AL753" s="310"/>
      <c r="AM753" s="1"/>
      <c r="AN753" s="691"/>
      <c r="AO753" s="1"/>
      <c r="AP753" s="1"/>
    </row>
    <row r="754">
      <c r="A754" s="929"/>
      <c r="B754" s="691"/>
      <c r="C754" s="310"/>
      <c r="D754" s="691"/>
      <c r="E754" s="691"/>
      <c r="F754" s="350"/>
      <c r="G754" s="355"/>
      <c r="H754" s="780"/>
      <c r="I754" s="691"/>
      <c r="J754" s="691"/>
      <c r="K754" s="691"/>
      <c r="L754" s="691"/>
      <c r="M754" s="691"/>
      <c r="N754" s="691"/>
      <c r="O754" s="930"/>
      <c r="P754" s="909"/>
      <c r="Q754" s="931"/>
      <c r="R754" s="310"/>
      <c r="S754" s="310"/>
      <c r="T754" s="691"/>
      <c r="U754" s="691"/>
      <c r="V754" s="355"/>
      <c r="W754" s="932"/>
      <c r="X754" s="310"/>
      <c r="Y754" s="310"/>
      <c r="Z754" s="933"/>
      <c r="AA754" s="310"/>
      <c r="AB754" s="691"/>
      <c r="AC754" s="933"/>
      <c r="AD754" s="691"/>
      <c r="AE754" s="691"/>
      <c r="AF754" s="934"/>
      <c r="AG754" s="934"/>
      <c r="AH754" s="888"/>
      <c r="AI754" s="888"/>
      <c r="AJ754" s="310"/>
      <c r="AK754" s="310"/>
      <c r="AL754" s="310"/>
      <c r="AM754" s="1"/>
      <c r="AN754" s="691"/>
      <c r="AO754" s="1"/>
      <c r="AP754" s="1"/>
    </row>
    <row r="755">
      <c r="A755" s="929"/>
      <c r="B755" s="691"/>
      <c r="C755" s="310"/>
      <c r="D755" s="691"/>
      <c r="E755" s="691"/>
      <c r="F755" s="350"/>
      <c r="G755" s="355"/>
      <c r="H755" s="780"/>
      <c r="I755" s="691"/>
      <c r="J755" s="691"/>
      <c r="K755" s="691"/>
      <c r="L755" s="691"/>
      <c r="M755" s="691"/>
      <c r="N755" s="691"/>
      <c r="O755" s="930"/>
      <c r="P755" s="909"/>
      <c r="Q755" s="931"/>
      <c r="R755" s="310"/>
      <c r="S755" s="310"/>
      <c r="T755" s="691"/>
      <c r="U755" s="691"/>
      <c r="V755" s="355"/>
      <c r="W755" s="932"/>
      <c r="X755" s="310"/>
      <c r="Y755" s="310"/>
      <c r="Z755" s="933"/>
      <c r="AA755" s="310"/>
      <c r="AB755" s="691"/>
      <c r="AC755" s="933"/>
      <c r="AD755" s="691"/>
      <c r="AE755" s="691"/>
      <c r="AF755" s="934"/>
      <c r="AG755" s="934"/>
      <c r="AH755" s="888"/>
      <c r="AI755" s="888"/>
      <c r="AJ755" s="310"/>
      <c r="AK755" s="310"/>
      <c r="AL755" s="310"/>
      <c r="AM755" s="1"/>
      <c r="AN755" s="691"/>
      <c r="AO755" s="1"/>
      <c r="AP755" s="1"/>
    </row>
    <row r="756">
      <c r="A756" s="929"/>
      <c r="B756" s="691"/>
      <c r="C756" s="310"/>
      <c r="D756" s="691"/>
      <c r="E756" s="691"/>
      <c r="F756" s="350"/>
      <c r="G756" s="355"/>
      <c r="H756" s="780"/>
      <c r="I756" s="691"/>
      <c r="J756" s="691"/>
      <c r="K756" s="691"/>
      <c r="L756" s="691"/>
      <c r="M756" s="691"/>
      <c r="N756" s="691"/>
      <c r="O756" s="930"/>
      <c r="P756" s="909"/>
      <c r="Q756" s="931"/>
      <c r="R756" s="310"/>
      <c r="S756" s="310"/>
      <c r="T756" s="691"/>
      <c r="U756" s="691"/>
      <c r="V756" s="355"/>
      <c r="W756" s="932"/>
      <c r="X756" s="310"/>
      <c r="Y756" s="310"/>
      <c r="Z756" s="933"/>
      <c r="AA756" s="310"/>
      <c r="AB756" s="691"/>
      <c r="AC756" s="933"/>
      <c r="AD756" s="691"/>
      <c r="AE756" s="691"/>
      <c r="AF756" s="934"/>
      <c r="AG756" s="934"/>
      <c r="AH756" s="888"/>
      <c r="AI756" s="888"/>
      <c r="AJ756" s="310"/>
      <c r="AK756" s="310"/>
      <c r="AL756" s="310"/>
      <c r="AM756" s="1"/>
      <c r="AN756" s="691"/>
      <c r="AO756" s="1"/>
      <c r="AP756" s="1"/>
    </row>
    <row r="757">
      <c r="A757" s="929"/>
      <c r="B757" s="691"/>
      <c r="C757" s="310"/>
      <c r="D757" s="691"/>
      <c r="E757" s="691"/>
      <c r="F757" s="350"/>
      <c r="G757" s="355"/>
      <c r="H757" s="780"/>
      <c r="I757" s="691"/>
      <c r="J757" s="691"/>
      <c r="K757" s="691"/>
      <c r="L757" s="691"/>
      <c r="M757" s="691"/>
      <c r="N757" s="691"/>
      <c r="O757" s="930"/>
      <c r="P757" s="909"/>
      <c r="Q757" s="931"/>
      <c r="R757" s="310"/>
      <c r="S757" s="310"/>
      <c r="T757" s="691"/>
      <c r="U757" s="691"/>
      <c r="V757" s="355"/>
      <c r="W757" s="932"/>
      <c r="X757" s="310"/>
      <c r="Y757" s="310"/>
      <c r="Z757" s="933"/>
      <c r="AA757" s="310"/>
      <c r="AB757" s="691"/>
      <c r="AC757" s="933"/>
      <c r="AD757" s="691"/>
      <c r="AE757" s="691"/>
      <c r="AF757" s="934"/>
      <c r="AG757" s="934"/>
      <c r="AH757" s="888"/>
      <c r="AI757" s="888"/>
      <c r="AJ757" s="310"/>
      <c r="AK757" s="310"/>
      <c r="AL757" s="310"/>
      <c r="AM757" s="1"/>
      <c r="AN757" s="691"/>
      <c r="AO757" s="1"/>
      <c r="AP757" s="1"/>
    </row>
    <row r="758">
      <c r="A758" s="929"/>
      <c r="B758" s="691"/>
      <c r="C758" s="310"/>
      <c r="D758" s="691"/>
      <c r="E758" s="691"/>
      <c r="F758" s="350"/>
      <c r="G758" s="355"/>
      <c r="H758" s="780"/>
      <c r="I758" s="691"/>
      <c r="J758" s="691"/>
      <c r="K758" s="691"/>
      <c r="L758" s="691"/>
      <c r="M758" s="691"/>
      <c r="N758" s="691"/>
      <c r="O758" s="930"/>
      <c r="P758" s="909"/>
      <c r="Q758" s="931"/>
      <c r="R758" s="310"/>
      <c r="S758" s="310"/>
      <c r="T758" s="691"/>
      <c r="U758" s="691"/>
      <c r="V758" s="355"/>
      <c r="W758" s="932"/>
      <c r="X758" s="310"/>
      <c r="Y758" s="310"/>
      <c r="Z758" s="933"/>
      <c r="AA758" s="310"/>
      <c r="AB758" s="691"/>
      <c r="AC758" s="933"/>
      <c r="AD758" s="691"/>
      <c r="AE758" s="691"/>
      <c r="AF758" s="934"/>
      <c r="AG758" s="934"/>
      <c r="AH758" s="888"/>
      <c r="AI758" s="888"/>
      <c r="AJ758" s="310"/>
      <c r="AK758" s="310"/>
      <c r="AL758" s="310"/>
      <c r="AM758" s="1"/>
      <c r="AN758" s="691"/>
      <c r="AO758" s="1"/>
      <c r="AP758" s="1"/>
    </row>
    <row r="759">
      <c r="A759" s="929"/>
      <c r="B759" s="691"/>
      <c r="C759" s="310"/>
      <c r="D759" s="691"/>
      <c r="E759" s="691"/>
      <c r="F759" s="350"/>
      <c r="G759" s="355"/>
      <c r="H759" s="780"/>
      <c r="I759" s="691"/>
      <c r="J759" s="691"/>
      <c r="K759" s="691"/>
      <c r="L759" s="691"/>
      <c r="M759" s="691"/>
      <c r="N759" s="691"/>
      <c r="O759" s="930"/>
      <c r="P759" s="909"/>
      <c r="Q759" s="931"/>
      <c r="R759" s="310"/>
      <c r="S759" s="310"/>
      <c r="T759" s="691"/>
      <c r="U759" s="691"/>
      <c r="V759" s="355"/>
      <c r="W759" s="932"/>
      <c r="X759" s="310"/>
      <c r="Y759" s="310"/>
      <c r="Z759" s="933"/>
      <c r="AA759" s="310"/>
      <c r="AB759" s="691"/>
      <c r="AC759" s="933"/>
      <c r="AD759" s="691"/>
      <c r="AE759" s="691"/>
      <c r="AF759" s="934"/>
      <c r="AG759" s="934"/>
      <c r="AH759" s="888"/>
      <c r="AI759" s="888"/>
      <c r="AJ759" s="310"/>
      <c r="AK759" s="310"/>
      <c r="AL759" s="310"/>
      <c r="AM759" s="1"/>
      <c r="AN759" s="691"/>
      <c r="AO759" s="1"/>
      <c r="AP759" s="1"/>
    </row>
    <row r="760">
      <c r="A760" s="929"/>
      <c r="B760" s="691"/>
      <c r="C760" s="310"/>
      <c r="D760" s="691"/>
      <c r="E760" s="691"/>
      <c r="F760" s="350"/>
      <c r="G760" s="355"/>
      <c r="H760" s="780"/>
      <c r="I760" s="691"/>
      <c r="J760" s="691"/>
      <c r="K760" s="691"/>
      <c r="L760" s="691"/>
      <c r="M760" s="691"/>
      <c r="N760" s="691"/>
      <c r="O760" s="930"/>
      <c r="P760" s="909"/>
      <c r="Q760" s="931"/>
      <c r="R760" s="310"/>
      <c r="S760" s="310"/>
      <c r="T760" s="691"/>
      <c r="U760" s="691"/>
      <c r="V760" s="355"/>
      <c r="W760" s="932"/>
      <c r="X760" s="310"/>
      <c r="Y760" s="310"/>
      <c r="Z760" s="933"/>
      <c r="AA760" s="310"/>
      <c r="AB760" s="691"/>
      <c r="AC760" s="933"/>
      <c r="AD760" s="691"/>
      <c r="AE760" s="691"/>
      <c r="AF760" s="934"/>
      <c r="AG760" s="934"/>
      <c r="AH760" s="888"/>
      <c r="AI760" s="888"/>
      <c r="AJ760" s="310"/>
      <c r="AK760" s="310"/>
      <c r="AL760" s="310"/>
      <c r="AM760" s="1"/>
      <c r="AN760" s="691"/>
      <c r="AO760" s="1"/>
      <c r="AP760" s="1"/>
    </row>
    <row r="761">
      <c r="A761" s="929"/>
      <c r="B761" s="691"/>
      <c r="C761" s="310"/>
      <c r="D761" s="691"/>
      <c r="E761" s="691"/>
      <c r="F761" s="350"/>
      <c r="G761" s="355"/>
      <c r="H761" s="780"/>
      <c r="I761" s="691"/>
      <c r="J761" s="691"/>
      <c r="K761" s="691"/>
      <c r="L761" s="691"/>
      <c r="M761" s="691"/>
      <c r="N761" s="691"/>
      <c r="O761" s="930"/>
      <c r="P761" s="909"/>
      <c r="Q761" s="931"/>
      <c r="R761" s="310"/>
      <c r="S761" s="310"/>
      <c r="T761" s="691"/>
      <c r="U761" s="691"/>
      <c r="V761" s="355"/>
      <c r="W761" s="932"/>
      <c r="X761" s="310"/>
      <c r="Y761" s="310"/>
      <c r="Z761" s="933"/>
      <c r="AA761" s="310"/>
      <c r="AB761" s="691"/>
      <c r="AC761" s="933"/>
      <c r="AD761" s="691"/>
      <c r="AE761" s="691"/>
      <c r="AF761" s="934"/>
      <c r="AG761" s="934"/>
      <c r="AH761" s="888"/>
      <c r="AI761" s="888"/>
      <c r="AJ761" s="310"/>
      <c r="AK761" s="310"/>
      <c r="AL761" s="310"/>
      <c r="AM761" s="1"/>
      <c r="AN761" s="691"/>
      <c r="AO761" s="1"/>
      <c r="AP761" s="1"/>
    </row>
    <row r="762">
      <c r="A762" s="929"/>
      <c r="B762" s="691"/>
      <c r="C762" s="310"/>
      <c r="D762" s="691"/>
      <c r="E762" s="691"/>
      <c r="F762" s="350"/>
      <c r="G762" s="355"/>
      <c r="H762" s="780"/>
      <c r="I762" s="691"/>
      <c r="J762" s="691"/>
      <c r="K762" s="691"/>
      <c r="L762" s="691"/>
      <c r="M762" s="691"/>
      <c r="N762" s="691"/>
      <c r="O762" s="930"/>
      <c r="P762" s="909"/>
      <c r="Q762" s="931"/>
      <c r="R762" s="310"/>
      <c r="S762" s="310"/>
      <c r="T762" s="691"/>
      <c r="U762" s="691"/>
      <c r="V762" s="355"/>
      <c r="W762" s="932"/>
      <c r="X762" s="310"/>
      <c r="Y762" s="310"/>
      <c r="Z762" s="933"/>
      <c r="AA762" s="310"/>
      <c r="AB762" s="691"/>
      <c r="AC762" s="933"/>
      <c r="AD762" s="691"/>
      <c r="AE762" s="691"/>
      <c r="AF762" s="934"/>
      <c r="AG762" s="934"/>
      <c r="AH762" s="888"/>
      <c r="AI762" s="888"/>
      <c r="AJ762" s="310"/>
      <c r="AK762" s="310"/>
      <c r="AL762" s="310"/>
      <c r="AM762" s="1"/>
      <c r="AN762" s="691"/>
      <c r="AO762" s="1"/>
      <c r="AP762" s="1"/>
    </row>
    <row r="763">
      <c r="A763" s="929"/>
      <c r="B763" s="691"/>
      <c r="C763" s="310"/>
      <c r="D763" s="691"/>
      <c r="E763" s="691"/>
      <c r="F763" s="350"/>
      <c r="G763" s="355"/>
      <c r="H763" s="780"/>
      <c r="I763" s="691"/>
      <c r="J763" s="691"/>
      <c r="K763" s="691"/>
      <c r="L763" s="691"/>
      <c r="M763" s="691"/>
      <c r="N763" s="691"/>
      <c r="O763" s="930"/>
      <c r="P763" s="909"/>
      <c r="Q763" s="931"/>
      <c r="R763" s="310"/>
      <c r="S763" s="310"/>
      <c r="T763" s="691"/>
      <c r="U763" s="691"/>
      <c r="V763" s="355"/>
      <c r="W763" s="932"/>
      <c r="X763" s="310"/>
      <c r="Y763" s="310"/>
      <c r="Z763" s="933"/>
      <c r="AA763" s="310"/>
      <c r="AB763" s="691"/>
      <c r="AC763" s="933"/>
      <c r="AD763" s="691"/>
      <c r="AE763" s="691"/>
      <c r="AF763" s="934"/>
      <c r="AG763" s="934"/>
      <c r="AH763" s="888"/>
      <c r="AI763" s="888"/>
      <c r="AJ763" s="310"/>
      <c r="AK763" s="310"/>
      <c r="AL763" s="310"/>
      <c r="AM763" s="1"/>
      <c r="AN763" s="691"/>
      <c r="AO763" s="1"/>
      <c r="AP763" s="1"/>
    </row>
    <row r="764">
      <c r="A764" s="929"/>
      <c r="B764" s="691"/>
      <c r="C764" s="310"/>
      <c r="D764" s="691"/>
      <c r="E764" s="691"/>
      <c r="F764" s="350"/>
      <c r="G764" s="355"/>
      <c r="H764" s="780"/>
      <c r="I764" s="691"/>
      <c r="J764" s="691"/>
      <c r="K764" s="691"/>
      <c r="L764" s="691"/>
      <c r="M764" s="691"/>
      <c r="N764" s="691"/>
      <c r="O764" s="930"/>
      <c r="P764" s="909"/>
      <c r="Q764" s="931"/>
      <c r="R764" s="310"/>
      <c r="S764" s="310"/>
      <c r="T764" s="691"/>
      <c r="U764" s="691"/>
      <c r="V764" s="355"/>
      <c r="W764" s="932"/>
      <c r="X764" s="310"/>
      <c r="Y764" s="310"/>
      <c r="Z764" s="933"/>
      <c r="AA764" s="310"/>
      <c r="AB764" s="691"/>
      <c r="AC764" s="933"/>
      <c r="AD764" s="691"/>
      <c r="AE764" s="691"/>
      <c r="AF764" s="934"/>
      <c r="AG764" s="934"/>
      <c r="AH764" s="888"/>
      <c r="AI764" s="888"/>
      <c r="AJ764" s="310"/>
      <c r="AK764" s="310"/>
      <c r="AL764" s="310"/>
      <c r="AM764" s="1"/>
      <c r="AN764" s="691"/>
      <c r="AO764" s="1"/>
      <c r="AP764" s="1"/>
    </row>
    <row r="765">
      <c r="A765" s="929"/>
      <c r="B765" s="691"/>
      <c r="C765" s="310"/>
      <c r="D765" s="691"/>
      <c r="E765" s="691"/>
      <c r="F765" s="350"/>
      <c r="G765" s="355"/>
      <c r="H765" s="780"/>
      <c r="I765" s="691"/>
      <c r="J765" s="691"/>
      <c r="K765" s="691"/>
      <c r="L765" s="691"/>
      <c r="M765" s="691"/>
      <c r="N765" s="691"/>
      <c r="O765" s="930"/>
      <c r="P765" s="909"/>
      <c r="Q765" s="931"/>
      <c r="R765" s="310"/>
      <c r="S765" s="310"/>
      <c r="T765" s="691"/>
      <c r="U765" s="691"/>
      <c r="V765" s="355"/>
      <c r="W765" s="932"/>
      <c r="X765" s="310"/>
      <c r="Y765" s="310"/>
      <c r="Z765" s="933"/>
      <c r="AA765" s="310"/>
      <c r="AB765" s="691"/>
      <c r="AC765" s="933"/>
      <c r="AD765" s="691"/>
      <c r="AE765" s="691"/>
      <c r="AF765" s="934"/>
      <c r="AG765" s="934"/>
      <c r="AH765" s="888"/>
      <c r="AI765" s="888"/>
      <c r="AJ765" s="310"/>
      <c r="AK765" s="310"/>
      <c r="AL765" s="310"/>
      <c r="AM765" s="1"/>
      <c r="AN765" s="691"/>
      <c r="AO765" s="1"/>
      <c r="AP765" s="1"/>
    </row>
    <row r="766">
      <c r="A766" s="929"/>
      <c r="B766" s="691"/>
      <c r="C766" s="310"/>
      <c r="D766" s="691"/>
      <c r="E766" s="691"/>
      <c r="F766" s="350"/>
      <c r="G766" s="355"/>
      <c r="H766" s="780"/>
      <c r="I766" s="691"/>
      <c r="J766" s="691"/>
      <c r="K766" s="691"/>
      <c r="L766" s="691"/>
      <c r="M766" s="691"/>
      <c r="N766" s="691"/>
      <c r="O766" s="930"/>
      <c r="P766" s="909"/>
      <c r="Q766" s="931"/>
      <c r="R766" s="310"/>
      <c r="S766" s="310"/>
      <c r="T766" s="691"/>
      <c r="U766" s="691"/>
      <c r="V766" s="355"/>
      <c r="W766" s="932"/>
      <c r="X766" s="310"/>
      <c r="Y766" s="310"/>
      <c r="Z766" s="933"/>
      <c r="AA766" s="310"/>
      <c r="AB766" s="691"/>
      <c r="AC766" s="933"/>
      <c r="AD766" s="691"/>
      <c r="AE766" s="691"/>
      <c r="AF766" s="934"/>
      <c r="AG766" s="934"/>
      <c r="AH766" s="888"/>
      <c r="AI766" s="888"/>
      <c r="AJ766" s="310"/>
      <c r="AK766" s="310"/>
      <c r="AL766" s="310"/>
      <c r="AM766" s="1"/>
      <c r="AN766" s="691"/>
      <c r="AO766" s="1"/>
      <c r="AP766" s="1"/>
    </row>
    <row r="767">
      <c r="A767" s="929"/>
      <c r="B767" s="691"/>
      <c r="C767" s="310"/>
      <c r="D767" s="691"/>
      <c r="E767" s="691"/>
      <c r="F767" s="350"/>
      <c r="G767" s="355"/>
      <c r="H767" s="780"/>
      <c r="I767" s="691"/>
      <c r="J767" s="691"/>
      <c r="K767" s="691"/>
      <c r="L767" s="691"/>
      <c r="M767" s="691"/>
      <c r="N767" s="691"/>
      <c r="O767" s="930"/>
      <c r="P767" s="909"/>
      <c r="Q767" s="931"/>
      <c r="R767" s="310"/>
      <c r="S767" s="310"/>
      <c r="T767" s="691"/>
      <c r="U767" s="691"/>
      <c r="V767" s="355"/>
      <c r="W767" s="932"/>
      <c r="X767" s="310"/>
      <c r="Y767" s="310"/>
      <c r="Z767" s="933"/>
      <c r="AA767" s="310"/>
      <c r="AB767" s="691"/>
      <c r="AC767" s="933"/>
      <c r="AD767" s="691"/>
      <c r="AE767" s="691"/>
      <c r="AF767" s="934"/>
      <c r="AG767" s="934"/>
      <c r="AH767" s="888"/>
      <c r="AI767" s="888"/>
      <c r="AJ767" s="310"/>
      <c r="AK767" s="310"/>
      <c r="AL767" s="310"/>
      <c r="AM767" s="1"/>
      <c r="AN767" s="691"/>
      <c r="AO767" s="1"/>
      <c r="AP767" s="1"/>
    </row>
    <row r="768">
      <c r="A768" s="929"/>
      <c r="B768" s="691"/>
      <c r="C768" s="310"/>
      <c r="D768" s="691"/>
      <c r="E768" s="691"/>
      <c r="F768" s="350"/>
      <c r="G768" s="355"/>
      <c r="H768" s="780"/>
      <c r="I768" s="691"/>
      <c r="J768" s="691"/>
      <c r="K768" s="691"/>
      <c r="L768" s="691"/>
      <c r="M768" s="691"/>
      <c r="N768" s="691"/>
      <c r="O768" s="930"/>
      <c r="P768" s="909"/>
      <c r="Q768" s="931"/>
      <c r="R768" s="310"/>
      <c r="S768" s="310"/>
      <c r="T768" s="691"/>
      <c r="U768" s="691"/>
      <c r="V768" s="355"/>
      <c r="W768" s="932"/>
      <c r="X768" s="310"/>
      <c r="Y768" s="310"/>
      <c r="Z768" s="933"/>
      <c r="AA768" s="310"/>
      <c r="AB768" s="691"/>
      <c r="AC768" s="933"/>
      <c r="AD768" s="691"/>
      <c r="AE768" s="691"/>
      <c r="AF768" s="934"/>
      <c r="AG768" s="934"/>
      <c r="AH768" s="888"/>
      <c r="AI768" s="888"/>
      <c r="AJ768" s="310"/>
      <c r="AK768" s="310"/>
      <c r="AL768" s="310"/>
      <c r="AM768" s="1"/>
      <c r="AN768" s="691"/>
      <c r="AO768" s="1"/>
      <c r="AP768" s="1"/>
    </row>
    <row r="769">
      <c r="A769" s="929"/>
      <c r="B769" s="691"/>
      <c r="C769" s="310"/>
      <c r="D769" s="691"/>
      <c r="E769" s="691"/>
      <c r="F769" s="350"/>
      <c r="G769" s="355"/>
      <c r="H769" s="780"/>
      <c r="I769" s="691"/>
      <c r="J769" s="691"/>
      <c r="K769" s="691"/>
      <c r="L769" s="691"/>
      <c r="M769" s="691"/>
      <c r="N769" s="691"/>
      <c r="O769" s="930"/>
      <c r="P769" s="909"/>
      <c r="Q769" s="931"/>
      <c r="R769" s="310"/>
      <c r="S769" s="310"/>
      <c r="T769" s="691"/>
      <c r="U769" s="691"/>
      <c r="V769" s="355"/>
      <c r="W769" s="932"/>
      <c r="X769" s="310"/>
      <c r="Y769" s="310"/>
      <c r="Z769" s="933"/>
      <c r="AA769" s="310"/>
      <c r="AB769" s="691"/>
      <c r="AC769" s="933"/>
      <c r="AD769" s="691"/>
      <c r="AE769" s="691"/>
      <c r="AF769" s="934"/>
      <c r="AG769" s="934"/>
      <c r="AH769" s="888"/>
      <c r="AI769" s="888"/>
      <c r="AJ769" s="310"/>
      <c r="AK769" s="310"/>
      <c r="AL769" s="310"/>
      <c r="AM769" s="1"/>
      <c r="AN769" s="691"/>
      <c r="AO769" s="1"/>
      <c r="AP769" s="1"/>
    </row>
    <row r="770">
      <c r="A770" s="929"/>
      <c r="B770" s="691"/>
      <c r="C770" s="310"/>
      <c r="D770" s="691"/>
      <c r="E770" s="691"/>
      <c r="F770" s="350"/>
      <c r="G770" s="355"/>
      <c r="H770" s="780"/>
      <c r="I770" s="691"/>
      <c r="J770" s="691"/>
      <c r="K770" s="691"/>
      <c r="L770" s="691"/>
      <c r="M770" s="691"/>
      <c r="N770" s="691"/>
      <c r="O770" s="930"/>
      <c r="P770" s="909"/>
      <c r="Q770" s="931"/>
      <c r="R770" s="310"/>
      <c r="S770" s="310"/>
      <c r="T770" s="691"/>
      <c r="U770" s="691"/>
      <c r="V770" s="355"/>
      <c r="W770" s="932"/>
      <c r="X770" s="310"/>
      <c r="Y770" s="310"/>
      <c r="Z770" s="933"/>
      <c r="AA770" s="310"/>
      <c r="AB770" s="691"/>
      <c r="AC770" s="933"/>
      <c r="AD770" s="691"/>
      <c r="AE770" s="691"/>
      <c r="AF770" s="934"/>
      <c r="AG770" s="934"/>
      <c r="AH770" s="888"/>
      <c r="AI770" s="888"/>
      <c r="AJ770" s="310"/>
      <c r="AK770" s="310"/>
      <c r="AL770" s="310"/>
      <c r="AM770" s="1"/>
      <c r="AN770" s="691"/>
      <c r="AO770" s="1"/>
      <c r="AP770" s="1"/>
    </row>
    <row r="771">
      <c r="A771" s="929"/>
      <c r="B771" s="691"/>
      <c r="C771" s="310"/>
      <c r="D771" s="691"/>
      <c r="E771" s="691"/>
      <c r="F771" s="350"/>
      <c r="G771" s="355"/>
      <c r="H771" s="780"/>
      <c r="I771" s="691"/>
      <c r="J771" s="691"/>
      <c r="K771" s="691"/>
      <c r="L771" s="691"/>
      <c r="M771" s="691"/>
      <c r="N771" s="691"/>
      <c r="O771" s="930"/>
      <c r="P771" s="909"/>
      <c r="Q771" s="931"/>
      <c r="R771" s="310"/>
      <c r="S771" s="310"/>
      <c r="T771" s="691"/>
      <c r="U771" s="691"/>
      <c r="V771" s="355"/>
      <c r="W771" s="932"/>
      <c r="X771" s="310"/>
      <c r="Y771" s="310"/>
      <c r="Z771" s="933"/>
      <c r="AA771" s="310"/>
      <c r="AB771" s="691"/>
      <c r="AC771" s="933"/>
      <c r="AD771" s="691"/>
      <c r="AE771" s="691"/>
      <c r="AF771" s="934"/>
      <c r="AG771" s="934"/>
      <c r="AH771" s="888"/>
      <c r="AI771" s="888"/>
      <c r="AJ771" s="310"/>
      <c r="AK771" s="310"/>
      <c r="AL771" s="310"/>
      <c r="AM771" s="1"/>
      <c r="AN771" s="691"/>
      <c r="AO771" s="1"/>
      <c r="AP771" s="1"/>
    </row>
    <row r="772">
      <c r="A772" s="929"/>
      <c r="B772" s="691"/>
      <c r="C772" s="310"/>
      <c r="D772" s="691"/>
      <c r="E772" s="691"/>
      <c r="F772" s="350"/>
      <c r="G772" s="355"/>
      <c r="H772" s="780"/>
      <c r="I772" s="691"/>
      <c r="J772" s="691"/>
      <c r="K772" s="691"/>
      <c r="L772" s="691"/>
      <c r="M772" s="691"/>
      <c r="N772" s="691"/>
      <c r="O772" s="930"/>
      <c r="P772" s="909"/>
      <c r="Q772" s="931"/>
      <c r="R772" s="310"/>
      <c r="S772" s="310"/>
      <c r="T772" s="691"/>
      <c r="U772" s="691"/>
      <c r="V772" s="355"/>
      <c r="W772" s="932"/>
      <c r="X772" s="310"/>
      <c r="Y772" s="310"/>
      <c r="Z772" s="933"/>
      <c r="AA772" s="310"/>
      <c r="AB772" s="691"/>
      <c r="AC772" s="933"/>
      <c r="AD772" s="691"/>
      <c r="AE772" s="691"/>
      <c r="AF772" s="934"/>
      <c r="AG772" s="934"/>
      <c r="AH772" s="888"/>
      <c r="AI772" s="888"/>
      <c r="AJ772" s="310"/>
      <c r="AK772" s="310"/>
      <c r="AL772" s="310"/>
      <c r="AM772" s="1"/>
      <c r="AN772" s="691"/>
      <c r="AO772" s="1"/>
      <c r="AP772" s="1"/>
    </row>
    <row r="773">
      <c r="A773" s="929"/>
      <c r="B773" s="691"/>
      <c r="C773" s="310"/>
      <c r="D773" s="691"/>
      <c r="E773" s="691"/>
      <c r="F773" s="350"/>
      <c r="G773" s="355"/>
      <c r="H773" s="780"/>
      <c r="I773" s="691"/>
      <c r="J773" s="691"/>
      <c r="K773" s="691"/>
      <c r="L773" s="691"/>
      <c r="M773" s="691"/>
      <c r="N773" s="691"/>
      <c r="O773" s="930"/>
      <c r="P773" s="909"/>
      <c r="Q773" s="931"/>
      <c r="R773" s="310"/>
      <c r="S773" s="310"/>
      <c r="T773" s="691"/>
      <c r="U773" s="691"/>
      <c r="V773" s="355"/>
      <c r="W773" s="932"/>
      <c r="X773" s="310"/>
      <c r="Y773" s="310"/>
      <c r="Z773" s="933"/>
      <c r="AA773" s="310"/>
      <c r="AB773" s="691"/>
      <c r="AC773" s="933"/>
      <c r="AD773" s="691"/>
      <c r="AE773" s="691"/>
      <c r="AF773" s="934"/>
      <c r="AG773" s="934"/>
      <c r="AH773" s="888"/>
      <c r="AI773" s="888"/>
      <c r="AJ773" s="310"/>
      <c r="AK773" s="310"/>
      <c r="AL773" s="310"/>
      <c r="AM773" s="1"/>
      <c r="AN773" s="691"/>
      <c r="AO773" s="1"/>
      <c r="AP773" s="1"/>
    </row>
    <row r="774">
      <c r="A774" s="929"/>
      <c r="B774" s="691"/>
      <c r="C774" s="310"/>
      <c r="D774" s="691"/>
      <c r="E774" s="691"/>
      <c r="F774" s="350"/>
      <c r="G774" s="355"/>
      <c r="H774" s="780"/>
      <c r="I774" s="691"/>
      <c r="J774" s="691"/>
      <c r="K774" s="691"/>
      <c r="L774" s="691"/>
      <c r="M774" s="691"/>
      <c r="N774" s="691"/>
      <c r="O774" s="930"/>
      <c r="P774" s="909"/>
      <c r="Q774" s="931"/>
      <c r="R774" s="310"/>
      <c r="S774" s="310"/>
      <c r="T774" s="691"/>
      <c r="U774" s="691"/>
      <c r="V774" s="355"/>
      <c r="W774" s="932"/>
      <c r="X774" s="310"/>
      <c r="Y774" s="310"/>
      <c r="Z774" s="933"/>
      <c r="AA774" s="310"/>
      <c r="AB774" s="691"/>
      <c r="AC774" s="933"/>
      <c r="AD774" s="691"/>
      <c r="AE774" s="691"/>
      <c r="AF774" s="934"/>
      <c r="AG774" s="934"/>
      <c r="AH774" s="888"/>
      <c r="AI774" s="888"/>
      <c r="AJ774" s="310"/>
      <c r="AK774" s="310"/>
      <c r="AL774" s="310"/>
      <c r="AM774" s="1"/>
      <c r="AN774" s="691"/>
      <c r="AO774" s="1"/>
      <c r="AP774" s="1"/>
    </row>
    <row r="775">
      <c r="A775" s="929"/>
      <c r="B775" s="691"/>
      <c r="C775" s="310"/>
      <c r="D775" s="691"/>
      <c r="E775" s="691"/>
      <c r="F775" s="350"/>
      <c r="G775" s="355"/>
      <c r="H775" s="780"/>
      <c r="I775" s="691"/>
      <c r="J775" s="691"/>
      <c r="K775" s="691"/>
      <c r="L775" s="691"/>
      <c r="M775" s="691"/>
      <c r="N775" s="691"/>
      <c r="O775" s="930"/>
      <c r="P775" s="909"/>
      <c r="Q775" s="931"/>
      <c r="R775" s="310"/>
      <c r="S775" s="310"/>
      <c r="T775" s="691"/>
      <c r="U775" s="691"/>
      <c r="V775" s="355"/>
      <c r="W775" s="932"/>
      <c r="X775" s="310"/>
      <c r="Y775" s="310"/>
      <c r="Z775" s="933"/>
      <c r="AA775" s="310"/>
      <c r="AB775" s="691"/>
      <c r="AC775" s="933"/>
      <c r="AD775" s="691"/>
      <c r="AE775" s="691"/>
      <c r="AF775" s="934"/>
      <c r="AG775" s="934"/>
      <c r="AH775" s="888"/>
      <c r="AI775" s="888"/>
      <c r="AJ775" s="310"/>
      <c r="AK775" s="310"/>
      <c r="AL775" s="310"/>
      <c r="AM775" s="1"/>
      <c r="AN775" s="691"/>
      <c r="AO775" s="1"/>
      <c r="AP775" s="1"/>
    </row>
    <row r="776">
      <c r="A776" s="929"/>
      <c r="B776" s="691"/>
      <c r="C776" s="310"/>
      <c r="D776" s="691"/>
      <c r="E776" s="691"/>
      <c r="F776" s="350"/>
      <c r="G776" s="355"/>
      <c r="H776" s="780"/>
      <c r="I776" s="691"/>
      <c r="J776" s="691"/>
      <c r="K776" s="691"/>
      <c r="L776" s="691"/>
      <c r="M776" s="691"/>
      <c r="N776" s="691"/>
      <c r="O776" s="930"/>
      <c r="P776" s="909"/>
      <c r="Q776" s="931"/>
      <c r="R776" s="310"/>
      <c r="S776" s="310"/>
      <c r="T776" s="691"/>
      <c r="U776" s="691"/>
      <c r="V776" s="355"/>
      <c r="W776" s="932"/>
      <c r="X776" s="310"/>
      <c r="Y776" s="310"/>
      <c r="Z776" s="933"/>
      <c r="AA776" s="310"/>
      <c r="AB776" s="691"/>
      <c r="AC776" s="933"/>
      <c r="AD776" s="691"/>
      <c r="AE776" s="691"/>
      <c r="AF776" s="934"/>
      <c r="AG776" s="934"/>
      <c r="AH776" s="888"/>
      <c r="AI776" s="888"/>
      <c r="AJ776" s="310"/>
      <c r="AK776" s="310"/>
      <c r="AL776" s="310"/>
      <c r="AM776" s="1"/>
      <c r="AN776" s="691"/>
      <c r="AO776" s="1"/>
      <c r="AP776" s="1"/>
    </row>
    <row r="777">
      <c r="A777" s="929"/>
      <c r="B777" s="691"/>
      <c r="C777" s="310"/>
      <c r="D777" s="691"/>
      <c r="E777" s="691"/>
      <c r="F777" s="350"/>
      <c r="G777" s="355"/>
      <c r="H777" s="780"/>
      <c r="I777" s="691"/>
      <c r="J777" s="691"/>
      <c r="K777" s="691"/>
      <c r="L777" s="691"/>
      <c r="M777" s="691"/>
      <c r="N777" s="691"/>
      <c r="O777" s="930"/>
      <c r="P777" s="909"/>
      <c r="Q777" s="931"/>
      <c r="R777" s="310"/>
      <c r="S777" s="310"/>
      <c r="T777" s="691"/>
      <c r="U777" s="691"/>
      <c r="V777" s="355"/>
      <c r="W777" s="932"/>
      <c r="X777" s="310"/>
      <c r="Y777" s="310"/>
      <c r="Z777" s="933"/>
      <c r="AA777" s="310"/>
      <c r="AB777" s="691"/>
      <c r="AC777" s="933"/>
      <c r="AD777" s="691"/>
      <c r="AE777" s="691"/>
      <c r="AF777" s="934"/>
      <c r="AG777" s="934"/>
      <c r="AH777" s="888"/>
      <c r="AI777" s="888"/>
      <c r="AJ777" s="310"/>
      <c r="AK777" s="310"/>
      <c r="AL777" s="310"/>
      <c r="AM777" s="1"/>
      <c r="AN777" s="691"/>
      <c r="AO777" s="1"/>
      <c r="AP777" s="1"/>
    </row>
    <row r="778">
      <c r="A778" s="929"/>
      <c r="B778" s="691"/>
      <c r="C778" s="310"/>
      <c r="D778" s="691"/>
      <c r="E778" s="691"/>
      <c r="F778" s="350"/>
      <c r="G778" s="355"/>
      <c r="H778" s="780"/>
      <c r="I778" s="691"/>
      <c r="J778" s="691"/>
      <c r="K778" s="691"/>
      <c r="L778" s="691"/>
      <c r="M778" s="691"/>
      <c r="N778" s="691"/>
      <c r="O778" s="930"/>
      <c r="P778" s="909"/>
      <c r="Q778" s="931"/>
      <c r="R778" s="310"/>
      <c r="S778" s="310"/>
      <c r="T778" s="691"/>
      <c r="U778" s="691"/>
      <c r="V778" s="355"/>
      <c r="W778" s="932"/>
      <c r="X778" s="310"/>
      <c r="Y778" s="310"/>
      <c r="Z778" s="933"/>
      <c r="AA778" s="310"/>
      <c r="AB778" s="691"/>
      <c r="AC778" s="933"/>
      <c r="AD778" s="691"/>
      <c r="AE778" s="691"/>
      <c r="AF778" s="934"/>
      <c r="AG778" s="934"/>
      <c r="AH778" s="888"/>
      <c r="AI778" s="888"/>
      <c r="AJ778" s="310"/>
      <c r="AK778" s="310"/>
      <c r="AL778" s="310"/>
      <c r="AM778" s="1"/>
      <c r="AN778" s="691"/>
      <c r="AO778" s="1"/>
      <c r="AP778" s="1"/>
    </row>
    <row r="779">
      <c r="A779" s="929"/>
      <c r="B779" s="691"/>
      <c r="C779" s="310"/>
      <c r="D779" s="691"/>
      <c r="E779" s="691"/>
      <c r="F779" s="350"/>
      <c r="G779" s="355"/>
      <c r="H779" s="780"/>
      <c r="I779" s="691"/>
      <c r="J779" s="691"/>
      <c r="K779" s="691"/>
      <c r="L779" s="691"/>
      <c r="M779" s="691"/>
      <c r="N779" s="691"/>
      <c r="O779" s="930"/>
      <c r="P779" s="909"/>
      <c r="Q779" s="931"/>
      <c r="R779" s="310"/>
      <c r="S779" s="310"/>
      <c r="T779" s="691"/>
      <c r="U779" s="691"/>
      <c r="V779" s="355"/>
      <c r="W779" s="932"/>
      <c r="X779" s="310"/>
      <c r="Y779" s="310"/>
      <c r="Z779" s="933"/>
      <c r="AA779" s="310"/>
      <c r="AB779" s="691"/>
      <c r="AC779" s="933"/>
      <c r="AD779" s="691"/>
      <c r="AE779" s="691"/>
      <c r="AF779" s="934"/>
      <c r="AG779" s="934"/>
      <c r="AH779" s="888"/>
      <c r="AI779" s="888"/>
      <c r="AJ779" s="310"/>
      <c r="AK779" s="310"/>
      <c r="AL779" s="310"/>
      <c r="AM779" s="1"/>
      <c r="AN779" s="691"/>
      <c r="AO779" s="1"/>
      <c r="AP779" s="1"/>
    </row>
    <row r="780">
      <c r="A780" s="929"/>
      <c r="B780" s="691"/>
      <c r="C780" s="310"/>
      <c r="D780" s="691"/>
      <c r="E780" s="691"/>
      <c r="F780" s="350"/>
      <c r="G780" s="355"/>
      <c r="H780" s="780"/>
      <c r="I780" s="691"/>
      <c r="J780" s="691"/>
      <c r="K780" s="691"/>
      <c r="L780" s="691"/>
      <c r="M780" s="691"/>
      <c r="N780" s="691"/>
      <c r="O780" s="930"/>
      <c r="P780" s="909"/>
      <c r="Q780" s="931"/>
      <c r="R780" s="310"/>
      <c r="S780" s="310"/>
      <c r="T780" s="691"/>
      <c r="U780" s="691"/>
      <c r="V780" s="355"/>
      <c r="W780" s="932"/>
      <c r="X780" s="310"/>
      <c r="Y780" s="310"/>
      <c r="Z780" s="933"/>
      <c r="AA780" s="310"/>
      <c r="AB780" s="691"/>
      <c r="AC780" s="933"/>
      <c r="AD780" s="691"/>
      <c r="AE780" s="691"/>
      <c r="AF780" s="934"/>
      <c r="AG780" s="934"/>
      <c r="AH780" s="888"/>
      <c r="AI780" s="888"/>
      <c r="AJ780" s="310"/>
      <c r="AK780" s="310"/>
      <c r="AL780" s="310"/>
      <c r="AM780" s="1"/>
      <c r="AN780" s="691"/>
      <c r="AO780" s="1"/>
      <c r="AP780" s="1"/>
    </row>
    <row r="781">
      <c r="A781" s="929"/>
      <c r="B781" s="691"/>
      <c r="C781" s="310"/>
      <c r="D781" s="691"/>
      <c r="E781" s="691"/>
      <c r="F781" s="350"/>
      <c r="G781" s="355"/>
      <c r="H781" s="780"/>
      <c r="I781" s="691"/>
      <c r="J781" s="691"/>
      <c r="K781" s="691"/>
      <c r="L781" s="691"/>
      <c r="M781" s="691"/>
      <c r="N781" s="691"/>
      <c r="O781" s="930"/>
      <c r="P781" s="909"/>
      <c r="Q781" s="931"/>
      <c r="R781" s="310"/>
      <c r="S781" s="310"/>
      <c r="T781" s="691"/>
      <c r="U781" s="691"/>
      <c r="V781" s="355"/>
      <c r="W781" s="932"/>
      <c r="X781" s="310"/>
      <c r="Y781" s="310"/>
      <c r="Z781" s="933"/>
      <c r="AA781" s="310"/>
      <c r="AB781" s="691"/>
      <c r="AC781" s="933"/>
      <c r="AD781" s="691"/>
      <c r="AE781" s="691"/>
      <c r="AF781" s="934"/>
      <c r="AG781" s="934"/>
      <c r="AH781" s="888"/>
      <c r="AI781" s="888"/>
      <c r="AJ781" s="310"/>
      <c r="AK781" s="310"/>
      <c r="AL781" s="310"/>
      <c r="AM781" s="1"/>
      <c r="AN781" s="691"/>
      <c r="AO781" s="1"/>
      <c r="AP781" s="1"/>
    </row>
    <row r="782">
      <c r="A782" s="929"/>
      <c r="B782" s="691"/>
      <c r="C782" s="310"/>
      <c r="D782" s="691"/>
      <c r="E782" s="691"/>
      <c r="F782" s="350"/>
      <c r="G782" s="355"/>
      <c r="H782" s="780"/>
      <c r="I782" s="691"/>
      <c r="J782" s="691"/>
      <c r="K782" s="691"/>
      <c r="L782" s="691"/>
      <c r="M782" s="691"/>
      <c r="N782" s="691"/>
      <c r="O782" s="930"/>
      <c r="P782" s="909"/>
      <c r="Q782" s="931"/>
      <c r="R782" s="310"/>
      <c r="S782" s="310"/>
      <c r="T782" s="691"/>
      <c r="U782" s="691"/>
      <c r="V782" s="355"/>
      <c r="W782" s="932"/>
      <c r="X782" s="310"/>
      <c r="Y782" s="310"/>
      <c r="Z782" s="933"/>
      <c r="AA782" s="310"/>
      <c r="AB782" s="691"/>
      <c r="AC782" s="933"/>
      <c r="AD782" s="691"/>
      <c r="AE782" s="691"/>
      <c r="AF782" s="934"/>
      <c r="AG782" s="934"/>
      <c r="AH782" s="888"/>
      <c r="AI782" s="888"/>
      <c r="AJ782" s="310"/>
      <c r="AK782" s="310"/>
      <c r="AL782" s="310"/>
      <c r="AM782" s="1"/>
      <c r="AN782" s="691"/>
      <c r="AO782" s="1"/>
      <c r="AP782" s="1"/>
    </row>
    <row r="783">
      <c r="A783" s="929"/>
      <c r="B783" s="691"/>
      <c r="C783" s="310"/>
      <c r="D783" s="691"/>
      <c r="E783" s="691"/>
      <c r="F783" s="350"/>
      <c r="G783" s="355"/>
      <c r="H783" s="780"/>
      <c r="I783" s="691"/>
      <c r="J783" s="691"/>
      <c r="K783" s="691"/>
      <c r="L783" s="691"/>
      <c r="M783" s="691"/>
      <c r="N783" s="691"/>
      <c r="O783" s="930"/>
      <c r="P783" s="909"/>
      <c r="Q783" s="931"/>
      <c r="R783" s="310"/>
      <c r="S783" s="310"/>
      <c r="T783" s="691"/>
      <c r="U783" s="691"/>
      <c r="V783" s="355"/>
      <c r="W783" s="932"/>
      <c r="X783" s="310"/>
      <c r="Y783" s="310"/>
      <c r="Z783" s="933"/>
      <c r="AA783" s="310"/>
      <c r="AB783" s="691"/>
      <c r="AC783" s="933"/>
      <c r="AD783" s="691"/>
      <c r="AE783" s="691"/>
      <c r="AF783" s="934"/>
      <c r="AG783" s="934"/>
      <c r="AH783" s="888"/>
      <c r="AI783" s="888"/>
      <c r="AJ783" s="310"/>
      <c r="AK783" s="310"/>
      <c r="AL783" s="310"/>
      <c r="AM783" s="1"/>
      <c r="AN783" s="691"/>
      <c r="AO783" s="1"/>
      <c r="AP783" s="1"/>
    </row>
    <row r="784">
      <c r="A784" s="929"/>
      <c r="B784" s="691"/>
      <c r="C784" s="310"/>
      <c r="D784" s="691"/>
      <c r="E784" s="691"/>
      <c r="F784" s="350"/>
      <c r="G784" s="355"/>
      <c r="H784" s="780"/>
      <c r="I784" s="691"/>
      <c r="J784" s="691"/>
      <c r="K784" s="691"/>
      <c r="L784" s="691"/>
      <c r="M784" s="691"/>
      <c r="N784" s="691"/>
      <c r="O784" s="930"/>
      <c r="P784" s="909"/>
      <c r="Q784" s="931"/>
      <c r="R784" s="310"/>
      <c r="S784" s="310"/>
      <c r="T784" s="691"/>
      <c r="U784" s="691"/>
      <c r="V784" s="355"/>
      <c r="W784" s="932"/>
      <c r="X784" s="310"/>
      <c r="Y784" s="310"/>
      <c r="Z784" s="933"/>
      <c r="AA784" s="310"/>
      <c r="AB784" s="691"/>
      <c r="AC784" s="933"/>
      <c r="AD784" s="691"/>
      <c r="AE784" s="691"/>
      <c r="AF784" s="934"/>
      <c r="AG784" s="934"/>
      <c r="AH784" s="888"/>
      <c r="AI784" s="888"/>
      <c r="AJ784" s="310"/>
      <c r="AK784" s="310"/>
      <c r="AL784" s="310"/>
      <c r="AM784" s="1"/>
      <c r="AN784" s="691"/>
      <c r="AO784" s="1"/>
      <c r="AP784" s="1"/>
    </row>
    <row r="785">
      <c r="A785" s="929"/>
      <c r="B785" s="691"/>
      <c r="C785" s="310"/>
      <c r="D785" s="691"/>
      <c r="E785" s="691"/>
      <c r="F785" s="350"/>
      <c r="G785" s="355"/>
      <c r="H785" s="780"/>
      <c r="I785" s="691"/>
      <c r="J785" s="691"/>
      <c r="K785" s="691"/>
      <c r="L785" s="691"/>
      <c r="M785" s="691"/>
      <c r="N785" s="691"/>
      <c r="O785" s="930"/>
      <c r="P785" s="909"/>
      <c r="Q785" s="931"/>
      <c r="R785" s="310"/>
      <c r="S785" s="310"/>
      <c r="T785" s="691"/>
      <c r="U785" s="691"/>
      <c r="V785" s="355"/>
      <c r="W785" s="932"/>
      <c r="X785" s="310"/>
      <c r="Y785" s="310"/>
      <c r="Z785" s="933"/>
      <c r="AA785" s="310"/>
      <c r="AB785" s="691"/>
      <c r="AC785" s="933"/>
      <c r="AD785" s="691"/>
      <c r="AE785" s="691"/>
      <c r="AF785" s="934"/>
      <c r="AG785" s="934"/>
      <c r="AH785" s="888"/>
      <c r="AI785" s="888"/>
      <c r="AJ785" s="310"/>
      <c r="AK785" s="310"/>
      <c r="AL785" s="310"/>
      <c r="AM785" s="1"/>
      <c r="AN785" s="691"/>
      <c r="AO785" s="1"/>
      <c r="AP785" s="1"/>
    </row>
    <row r="786">
      <c r="A786" s="929"/>
      <c r="B786" s="691"/>
      <c r="C786" s="310"/>
      <c r="D786" s="691"/>
      <c r="E786" s="691"/>
      <c r="F786" s="350"/>
      <c r="G786" s="355"/>
      <c r="H786" s="780"/>
      <c r="I786" s="691"/>
      <c r="J786" s="691"/>
      <c r="K786" s="691"/>
      <c r="L786" s="691"/>
      <c r="M786" s="691"/>
      <c r="N786" s="691"/>
      <c r="O786" s="930"/>
      <c r="P786" s="909"/>
      <c r="Q786" s="931"/>
      <c r="R786" s="310"/>
      <c r="S786" s="310"/>
      <c r="T786" s="691"/>
      <c r="U786" s="691"/>
      <c r="V786" s="355"/>
      <c r="W786" s="932"/>
      <c r="X786" s="310"/>
      <c r="Y786" s="310"/>
      <c r="Z786" s="933"/>
      <c r="AA786" s="310"/>
      <c r="AB786" s="691"/>
      <c r="AC786" s="933"/>
      <c r="AD786" s="691"/>
      <c r="AE786" s="691"/>
      <c r="AF786" s="934"/>
      <c r="AG786" s="934"/>
      <c r="AH786" s="888"/>
      <c r="AI786" s="888"/>
      <c r="AJ786" s="310"/>
      <c r="AK786" s="310"/>
      <c r="AL786" s="310"/>
      <c r="AM786" s="1"/>
      <c r="AN786" s="691"/>
      <c r="AO786" s="1"/>
      <c r="AP786" s="1"/>
    </row>
    <row r="787">
      <c r="A787" s="929"/>
      <c r="B787" s="691"/>
      <c r="C787" s="310"/>
      <c r="D787" s="691"/>
      <c r="E787" s="691"/>
      <c r="F787" s="350"/>
      <c r="G787" s="355"/>
      <c r="H787" s="780"/>
      <c r="I787" s="691"/>
      <c r="J787" s="691"/>
      <c r="K787" s="691"/>
      <c r="L787" s="691"/>
      <c r="M787" s="691"/>
      <c r="N787" s="691"/>
      <c r="O787" s="930"/>
      <c r="P787" s="909"/>
      <c r="Q787" s="931"/>
      <c r="R787" s="310"/>
      <c r="S787" s="310"/>
      <c r="T787" s="691"/>
      <c r="U787" s="691"/>
      <c r="V787" s="355"/>
      <c r="W787" s="932"/>
      <c r="X787" s="310"/>
      <c r="Y787" s="310"/>
      <c r="Z787" s="933"/>
      <c r="AA787" s="310"/>
      <c r="AB787" s="691"/>
      <c r="AC787" s="933"/>
      <c r="AD787" s="691"/>
      <c r="AE787" s="691"/>
      <c r="AF787" s="934"/>
      <c r="AG787" s="934"/>
      <c r="AH787" s="888"/>
      <c r="AI787" s="888"/>
      <c r="AJ787" s="310"/>
      <c r="AK787" s="310"/>
      <c r="AL787" s="310"/>
      <c r="AM787" s="1"/>
      <c r="AN787" s="691"/>
      <c r="AO787" s="1"/>
      <c r="AP787" s="1"/>
    </row>
    <row r="788">
      <c r="A788" s="929"/>
      <c r="B788" s="691"/>
      <c r="C788" s="310"/>
      <c r="D788" s="691"/>
      <c r="E788" s="691"/>
      <c r="F788" s="350"/>
      <c r="G788" s="355"/>
      <c r="H788" s="780"/>
      <c r="I788" s="691"/>
      <c r="J788" s="691"/>
      <c r="K788" s="691"/>
      <c r="L788" s="691"/>
      <c r="M788" s="691"/>
      <c r="N788" s="691"/>
      <c r="O788" s="930"/>
      <c r="P788" s="909"/>
      <c r="Q788" s="931"/>
      <c r="R788" s="310"/>
      <c r="S788" s="310"/>
      <c r="T788" s="691"/>
      <c r="U788" s="691"/>
      <c r="V788" s="355"/>
      <c r="W788" s="932"/>
      <c r="X788" s="310"/>
      <c r="Y788" s="310"/>
      <c r="Z788" s="933"/>
      <c r="AA788" s="310"/>
      <c r="AB788" s="691"/>
      <c r="AC788" s="933"/>
      <c r="AD788" s="691"/>
      <c r="AE788" s="691"/>
      <c r="AF788" s="934"/>
      <c r="AG788" s="934"/>
      <c r="AH788" s="888"/>
      <c r="AI788" s="888"/>
      <c r="AJ788" s="310"/>
      <c r="AK788" s="310"/>
      <c r="AL788" s="310"/>
      <c r="AM788" s="1"/>
      <c r="AN788" s="691"/>
      <c r="AO788" s="1"/>
      <c r="AP788" s="1"/>
    </row>
    <row r="789">
      <c r="A789" s="929"/>
      <c r="B789" s="691"/>
      <c r="C789" s="310"/>
      <c r="D789" s="691"/>
      <c r="E789" s="691"/>
      <c r="F789" s="350"/>
      <c r="G789" s="355"/>
      <c r="H789" s="780"/>
      <c r="I789" s="691"/>
      <c r="J789" s="691"/>
      <c r="K789" s="691"/>
      <c r="L789" s="691"/>
      <c r="M789" s="691"/>
      <c r="N789" s="691"/>
      <c r="O789" s="930"/>
      <c r="P789" s="909"/>
      <c r="Q789" s="931"/>
      <c r="R789" s="310"/>
      <c r="S789" s="310"/>
      <c r="T789" s="691"/>
      <c r="U789" s="691"/>
      <c r="V789" s="355"/>
      <c r="W789" s="932"/>
      <c r="X789" s="310"/>
      <c r="Y789" s="310"/>
      <c r="Z789" s="933"/>
      <c r="AA789" s="310"/>
      <c r="AB789" s="691"/>
      <c r="AC789" s="933"/>
      <c r="AD789" s="691"/>
      <c r="AE789" s="691"/>
      <c r="AF789" s="934"/>
      <c r="AG789" s="934"/>
      <c r="AH789" s="888"/>
      <c r="AI789" s="888"/>
      <c r="AJ789" s="310"/>
      <c r="AK789" s="310"/>
      <c r="AL789" s="310"/>
      <c r="AM789" s="1"/>
      <c r="AN789" s="691"/>
      <c r="AO789" s="1"/>
      <c r="AP789" s="1"/>
    </row>
    <row r="790">
      <c r="A790" s="929"/>
      <c r="B790" s="691"/>
      <c r="C790" s="310"/>
      <c r="D790" s="691"/>
      <c r="E790" s="691"/>
      <c r="F790" s="350"/>
      <c r="G790" s="355"/>
      <c r="H790" s="780"/>
      <c r="I790" s="691"/>
      <c r="J790" s="691"/>
      <c r="K790" s="691"/>
      <c r="L790" s="691"/>
      <c r="M790" s="691"/>
      <c r="N790" s="691"/>
      <c r="O790" s="930"/>
      <c r="P790" s="909"/>
      <c r="Q790" s="931"/>
      <c r="R790" s="310"/>
      <c r="S790" s="310"/>
      <c r="T790" s="691"/>
      <c r="U790" s="691"/>
      <c r="V790" s="355"/>
      <c r="W790" s="932"/>
      <c r="X790" s="310"/>
      <c r="Y790" s="310"/>
      <c r="Z790" s="933"/>
      <c r="AA790" s="310"/>
      <c r="AB790" s="691"/>
      <c r="AC790" s="933"/>
      <c r="AD790" s="691"/>
      <c r="AE790" s="691"/>
      <c r="AF790" s="934"/>
      <c r="AG790" s="934"/>
      <c r="AH790" s="888"/>
      <c r="AI790" s="888"/>
      <c r="AJ790" s="310"/>
      <c r="AK790" s="310"/>
      <c r="AL790" s="310"/>
      <c r="AM790" s="1"/>
      <c r="AN790" s="691"/>
      <c r="AO790" s="1"/>
      <c r="AP790" s="1"/>
    </row>
    <row r="791">
      <c r="A791" s="929"/>
      <c r="B791" s="691"/>
      <c r="C791" s="310"/>
      <c r="D791" s="691"/>
      <c r="E791" s="691"/>
      <c r="F791" s="350"/>
      <c r="G791" s="355"/>
      <c r="H791" s="780"/>
      <c r="I791" s="691"/>
      <c r="J791" s="691"/>
      <c r="K791" s="691"/>
      <c r="L791" s="691"/>
      <c r="M791" s="691"/>
      <c r="N791" s="691"/>
      <c r="O791" s="930"/>
      <c r="P791" s="909"/>
      <c r="Q791" s="931"/>
      <c r="R791" s="310"/>
      <c r="S791" s="310"/>
      <c r="T791" s="691"/>
      <c r="U791" s="691"/>
      <c r="V791" s="355"/>
      <c r="W791" s="932"/>
      <c r="X791" s="310"/>
      <c r="Y791" s="310"/>
      <c r="Z791" s="933"/>
      <c r="AA791" s="310"/>
      <c r="AB791" s="691"/>
      <c r="AC791" s="933"/>
      <c r="AD791" s="691"/>
      <c r="AE791" s="691"/>
      <c r="AF791" s="934"/>
      <c r="AG791" s="934"/>
      <c r="AH791" s="888"/>
      <c r="AI791" s="888"/>
      <c r="AJ791" s="310"/>
      <c r="AK791" s="310"/>
      <c r="AL791" s="310"/>
      <c r="AM791" s="1"/>
      <c r="AN791" s="691"/>
      <c r="AO791" s="1"/>
      <c r="AP791" s="1"/>
    </row>
    <row r="792">
      <c r="A792" s="929"/>
      <c r="B792" s="691"/>
      <c r="C792" s="310"/>
      <c r="D792" s="691"/>
      <c r="E792" s="691"/>
      <c r="F792" s="350"/>
      <c r="G792" s="355"/>
      <c r="H792" s="780"/>
      <c r="I792" s="691"/>
      <c r="J792" s="691"/>
      <c r="K792" s="691"/>
      <c r="L792" s="691"/>
      <c r="M792" s="691"/>
      <c r="N792" s="691"/>
      <c r="O792" s="930"/>
      <c r="P792" s="909"/>
      <c r="Q792" s="931"/>
      <c r="R792" s="310"/>
      <c r="S792" s="310"/>
      <c r="T792" s="691"/>
      <c r="U792" s="691"/>
      <c r="V792" s="355"/>
      <c r="W792" s="932"/>
      <c r="X792" s="310"/>
      <c r="Y792" s="310"/>
      <c r="Z792" s="933"/>
      <c r="AA792" s="310"/>
      <c r="AB792" s="691"/>
      <c r="AC792" s="933"/>
      <c r="AD792" s="691"/>
      <c r="AE792" s="691"/>
      <c r="AF792" s="934"/>
      <c r="AG792" s="934"/>
      <c r="AH792" s="888"/>
      <c r="AI792" s="888"/>
      <c r="AJ792" s="310"/>
      <c r="AK792" s="310"/>
      <c r="AL792" s="310"/>
      <c r="AM792" s="1"/>
      <c r="AN792" s="691"/>
      <c r="AO792" s="1"/>
      <c r="AP792" s="1"/>
    </row>
    <row r="793">
      <c r="A793" s="929"/>
      <c r="B793" s="691"/>
      <c r="C793" s="310"/>
      <c r="D793" s="691"/>
      <c r="E793" s="691"/>
      <c r="F793" s="350"/>
      <c r="G793" s="355"/>
      <c r="H793" s="780"/>
      <c r="I793" s="691"/>
      <c r="J793" s="691"/>
      <c r="K793" s="691"/>
      <c r="L793" s="691"/>
      <c r="M793" s="691"/>
      <c r="N793" s="691"/>
      <c r="O793" s="930"/>
      <c r="P793" s="909"/>
      <c r="Q793" s="931"/>
      <c r="R793" s="310"/>
      <c r="S793" s="310"/>
      <c r="T793" s="691"/>
      <c r="U793" s="691"/>
      <c r="V793" s="355"/>
      <c r="W793" s="932"/>
      <c r="X793" s="310"/>
      <c r="Y793" s="310"/>
      <c r="Z793" s="933"/>
      <c r="AA793" s="310"/>
      <c r="AB793" s="691"/>
      <c r="AC793" s="933"/>
      <c r="AD793" s="691"/>
      <c r="AE793" s="691"/>
      <c r="AF793" s="934"/>
      <c r="AG793" s="934"/>
      <c r="AH793" s="888"/>
      <c r="AI793" s="888"/>
      <c r="AJ793" s="310"/>
      <c r="AK793" s="310"/>
      <c r="AL793" s="310"/>
      <c r="AM793" s="1"/>
      <c r="AN793" s="691"/>
      <c r="AO793" s="1"/>
      <c r="AP793" s="1"/>
    </row>
    <row r="794">
      <c r="A794" s="929"/>
      <c r="B794" s="691"/>
      <c r="C794" s="310"/>
      <c r="D794" s="691"/>
      <c r="E794" s="691"/>
      <c r="F794" s="350"/>
      <c r="G794" s="355"/>
      <c r="H794" s="780"/>
      <c r="I794" s="691"/>
      <c r="J794" s="691"/>
      <c r="K794" s="691"/>
      <c r="L794" s="691"/>
      <c r="M794" s="691"/>
      <c r="N794" s="691"/>
      <c r="O794" s="930"/>
      <c r="P794" s="909"/>
      <c r="Q794" s="931"/>
      <c r="R794" s="310"/>
      <c r="S794" s="310"/>
      <c r="T794" s="691"/>
      <c r="U794" s="691"/>
      <c r="V794" s="355"/>
      <c r="W794" s="932"/>
      <c r="X794" s="310"/>
      <c r="Y794" s="310"/>
      <c r="Z794" s="933"/>
      <c r="AA794" s="310"/>
      <c r="AB794" s="691"/>
      <c r="AC794" s="933"/>
      <c r="AD794" s="691"/>
      <c r="AE794" s="691"/>
      <c r="AF794" s="934"/>
      <c r="AG794" s="934"/>
      <c r="AH794" s="888"/>
      <c r="AI794" s="888"/>
      <c r="AJ794" s="310"/>
      <c r="AK794" s="310"/>
      <c r="AL794" s="310"/>
      <c r="AM794" s="1"/>
      <c r="AN794" s="691"/>
      <c r="AO794" s="1"/>
      <c r="AP794" s="1"/>
    </row>
    <row r="795">
      <c r="A795" s="929"/>
      <c r="B795" s="691"/>
      <c r="C795" s="310"/>
      <c r="D795" s="691"/>
      <c r="E795" s="691"/>
      <c r="F795" s="350"/>
      <c r="G795" s="355"/>
      <c r="H795" s="780"/>
      <c r="I795" s="691"/>
      <c r="J795" s="691"/>
      <c r="K795" s="691"/>
      <c r="L795" s="691"/>
      <c r="M795" s="691"/>
      <c r="N795" s="691"/>
      <c r="O795" s="930"/>
      <c r="P795" s="909"/>
      <c r="Q795" s="931"/>
      <c r="R795" s="310"/>
      <c r="S795" s="310"/>
      <c r="T795" s="691"/>
      <c r="U795" s="691"/>
      <c r="V795" s="355"/>
      <c r="W795" s="932"/>
      <c r="X795" s="310"/>
      <c r="Y795" s="310"/>
      <c r="Z795" s="933"/>
      <c r="AA795" s="310"/>
      <c r="AB795" s="691"/>
      <c r="AC795" s="933"/>
      <c r="AD795" s="691"/>
      <c r="AE795" s="691"/>
      <c r="AF795" s="934"/>
      <c r="AG795" s="934"/>
      <c r="AH795" s="888"/>
      <c r="AI795" s="888"/>
      <c r="AJ795" s="310"/>
      <c r="AK795" s="310"/>
      <c r="AL795" s="310"/>
      <c r="AM795" s="1"/>
      <c r="AN795" s="691"/>
      <c r="AO795" s="1"/>
      <c r="AP795" s="1"/>
    </row>
    <row r="796">
      <c r="A796" s="929"/>
      <c r="B796" s="691"/>
      <c r="C796" s="310"/>
      <c r="D796" s="691"/>
      <c r="E796" s="691"/>
      <c r="F796" s="350"/>
      <c r="G796" s="355"/>
      <c r="H796" s="780"/>
      <c r="I796" s="691"/>
      <c r="J796" s="691"/>
      <c r="K796" s="691"/>
      <c r="L796" s="691"/>
      <c r="M796" s="691"/>
      <c r="N796" s="691"/>
      <c r="O796" s="930"/>
      <c r="P796" s="909"/>
      <c r="Q796" s="931"/>
      <c r="R796" s="310"/>
      <c r="S796" s="310"/>
      <c r="T796" s="691"/>
      <c r="U796" s="691"/>
      <c r="V796" s="355"/>
      <c r="W796" s="932"/>
      <c r="X796" s="310"/>
      <c r="Y796" s="310"/>
      <c r="Z796" s="933"/>
      <c r="AA796" s="310"/>
      <c r="AB796" s="691"/>
      <c r="AC796" s="933"/>
      <c r="AD796" s="691"/>
      <c r="AE796" s="691"/>
      <c r="AF796" s="934"/>
      <c r="AG796" s="934"/>
      <c r="AH796" s="888"/>
      <c r="AI796" s="888"/>
      <c r="AJ796" s="310"/>
      <c r="AK796" s="310"/>
      <c r="AL796" s="310"/>
      <c r="AM796" s="1"/>
      <c r="AN796" s="691"/>
      <c r="AO796" s="1"/>
      <c r="AP796" s="1"/>
    </row>
    <row r="797">
      <c r="A797" s="929"/>
      <c r="B797" s="691"/>
      <c r="C797" s="310"/>
      <c r="D797" s="691"/>
      <c r="E797" s="691"/>
      <c r="F797" s="350"/>
      <c r="G797" s="355"/>
      <c r="H797" s="780"/>
      <c r="I797" s="691"/>
      <c r="J797" s="691"/>
      <c r="K797" s="691"/>
      <c r="L797" s="691"/>
      <c r="M797" s="691"/>
      <c r="N797" s="691"/>
      <c r="O797" s="930"/>
      <c r="P797" s="909"/>
      <c r="Q797" s="931"/>
      <c r="R797" s="310"/>
      <c r="S797" s="310"/>
      <c r="T797" s="691"/>
      <c r="U797" s="691"/>
      <c r="V797" s="355"/>
      <c r="W797" s="932"/>
      <c r="X797" s="310"/>
      <c r="Y797" s="310"/>
      <c r="Z797" s="933"/>
      <c r="AA797" s="310"/>
      <c r="AB797" s="691"/>
      <c r="AC797" s="933"/>
      <c r="AD797" s="691"/>
      <c r="AE797" s="691"/>
      <c r="AF797" s="934"/>
      <c r="AG797" s="934"/>
      <c r="AH797" s="888"/>
      <c r="AI797" s="888"/>
      <c r="AJ797" s="310"/>
      <c r="AK797" s="310"/>
      <c r="AL797" s="310"/>
      <c r="AM797" s="1"/>
      <c r="AN797" s="691"/>
      <c r="AO797" s="1"/>
      <c r="AP797" s="1"/>
    </row>
    <row r="798">
      <c r="A798" s="929"/>
      <c r="B798" s="691"/>
      <c r="C798" s="310"/>
      <c r="D798" s="691"/>
      <c r="E798" s="691"/>
      <c r="F798" s="350"/>
      <c r="G798" s="355"/>
      <c r="H798" s="780"/>
      <c r="I798" s="691"/>
      <c r="J798" s="691"/>
      <c r="K798" s="691"/>
      <c r="L798" s="691"/>
      <c r="M798" s="691"/>
      <c r="N798" s="691"/>
      <c r="O798" s="930"/>
      <c r="P798" s="909"/>
      <c r="Q798" s="931"/>
      <c r="R798" s="310"/>
      <c r="S798" s="310"/>
      <c r="T798" s="691"/>
      <c r="U798" s="691"/>
      <c r="V798" s="355"/>
      <c r="W798" s="932"/>
      <c r="X798" s="310"/>
      <c r="Y798" s="310"/>
      <c r="Z798" s="933"/>
      <c r="AA798" s="310"/>
      <c r="AB798" s="691"/>
      <c r="AC798" s="933"/>
      <c r="AD798" s="691"/>
      <c r="AE798" s="691"/>
      <c r="AF798" s="934"/>
      <c r="AG798" s="934"/>
      <c r="AH798" s="888"/>
      <c r="AI798" s="888"/>
      <c r="AJ798" s="310"/>
      <c r="AK798" s="310"/>
      <c r="AL798" s="310"/>
      <c r="AM798" s="1"/>
      <c r="AN798" s="691"/>
      <c r="AO798" s="1"/>
      <c r="AP798" s="1"/>
    </row>
    <row r="799">
      <c r="A799" s="929"/>
      <c r="B799" s="691"/>
      <c r="C799" s="310"/>
      <c r="D799" s="691"/>
      <c r="E799" s="691"/>
      <c r="F799" s="350"/>
      <c r="G799" s="355"/>
      <c r="H799" s="780"/>
      <c r="I799" s="691"/>
      <c r="J799" s="691"/>
      <c r="K799" s="691"/>
      <c r="L799" s="691"/>
      <c r="M799" s="691"/>
      <c r="N799" s="691"/>
      <c r="O799" s="930"/>
      <c r="P799" s="909"/>
      <c r="Q799" s="931"/>
      <c r="R799" s="310"/>
      <c r="S799" s="310"/>
      <c r="T799" s="691"/>
      <c r="U799" s="691"/>
      <c r="V799" s="355"/>
      <c r="W799" s="932"/>
      <c r="X799" s="310"/>
      <c r="Y799" s="310"/>
      <c r="Z799" s="933"/>
      <c r="AA799" s="310"/>
      <c r="AB799" s="691"/>
      <c r="AC799" s="933"/>
      <c r="AD799" s="691"/>
      <c r="AE799" s="691"/>
      <c r="AF799" s="934"/>
      <c r="AG799" s="934"/>
      <c r="AH799" s="888"/>
      <c r="AI799" s="888"/>
      <c r="AJ799" s="310"/>
      <c r="AK799" s="310"/>
      <c r="AL799" s="310"/>
      <c r="AM799" s="1"/>
      <c r="AN799" s="691"/>
      <c r="AO799" s="1"/>
      <c r="AP799" s="1"/>
    </row>
    <row r="800">
      <c r="A800" s="929"/>
      <c r="B800" s="691"/>
      <c r="C800" s="310"/>
      <c r="D800" s="691"/>
      <c r="E800" s="691"/>
      <c r="F800" s="350"/>
      <c r="G800" s="355"/>
      <c r="H800" s="780"/>
      <c r="I800" s="691"/>
      <c r="J800" s="691"/>
      <c r="K800" s="691"/>
      <c r="L800" s="691"/>
      <c r="M800" s="691"/>
      <c r="N800" s="691"/>
      <c r="O800" s="930"/>
      <c r="P800" s="909"/>
      <c r="Q800" s="931"/>
      <c r="R800" s="310"/>
      <c r="S800" s="310"/>
      <c r="T800" s="691"/>
      <c r="U800" s="691"/>
      <c r="V800" s="355"/>
      <c r="W800" s="932"/>
      <c r="X800" s="310"/>
      <c r="Y800" s="310"/>
      <c r="Z800" s="933"/>
      <c r="AA800" s="310"/>
      <c r="AB800" s="691"/>
      <c r="AC800" s="933"/>
      <c r="AD800" s="691"/>
      <c r="AE800" s="691"/>
      <c r="AF800" s="934"/>
      <c r="AG800" s="934"/>
      <c r="AH800" s="888"/>
      <c r="AI800" s="888"/>
      <c r="AJ800" s="310"/>
      <c r="AK800" s="310"/>
      <c r="AL800" s="310"/>
      <c r="AM800" s="1"/>
      <c r="AN800" s="691"/>
      <c r="AO800" s="1"/>
      <c r="AP800" s="1"/>
    </row>
    <row r="801">
      <c r="A801" s="929"/>
      <c r="B801" s="691"/>
      <c r="C801" s="310"/>
      <c r="D801" s="691"/>
      <c r="E801" s="691"/>
      <c r="F801" s="350"/>
      <c r="G801" s="355"/>
      <c r="H801" s="780"/>
      <c r="I801" s="691"/>
      <c r="J801" s="691"/>
      <c r="K801" s="691"/>
      <c r="L801" s="691"/>
      <c r="M801" s="691"/>
      <c r="N801" s="691"/>
      <c r="O801" s="930"/>
      <c r="P801" s="909"/>
      <c r="Q801" s="931"/>
      <c r="R801" s="310"/>
      <c r="S801" s="310"/>
      <c r="T801" s="691"/>
      <c r="U801" s="691"/>
      <c r="V801" s="355"/>
      <c r="W801" s="932"/>
      <c r="X801" s="310"/>
      <c r="Y801" s="310"/>
      <c r="Z801" s="933"/>
      <c r="AA801" s="310"/>
      <c r="AB801" s="691"/>
      <c r="AC801" s="933"/>
      <c r="AD801" s="691"/>
      <c r="AE801" s="691"/>
      <c r="AF801" s="934"/>
      <c r="AG801" s="934"/>
      <c r="AH801" s="888"/>
      <c r="AI801" s="888"/>
      <c r="AJ801" s="310"/>
      <c r="AK801" s="310"/>
      <c r="AL801" s="310"/>
      <c r="AM801" s="1"/>
      <c r="AN801" s="691"/>
      <c r="AO801" s="1"/>
      <c r="AP801" s="1"/>
    </row>
    <row r="802">
      <c r="A802" s="929"/>
      <c r="B802" s="691"/>
      <c r="C802" s="310"/>
      <c r="D802" s="691"/>
      <c r="E802" s="691"/>
      <c r="F802" s="350"/>
      <c r="G802" s="355"/>
      <c r="H802" s="780"/>
      <c r="I802" s="691"/>
      <c r="J802" s="691"/>
      <c r="K802" s="691"/>
      <c r="L802" s="691"/>
      <c r="M802" s="691"/>
      <c r="N802" s="691"/>
      <c r="O802" s="930"/>
      <c r="P802" s="909"/>
      <c r="Q802" s="931"/>
      <c r="R802" s="310"/>
      <c r="S802" s="310"/>
      <c r="T802" s="691"/>
      <c r="U802" s="691"/>
      <c r="V802" s="355"/>
      <c r="W802" s="932"/>
      <c r="X802" s="310"/>
      <c r="Y802" s="310"/>
      <c r="Z802" s="933"/>
      <c r="AA802" s="310"/>
      <c r="AB802" s="691"/>
      <c r="AC802" s="933"/>
      <c r="AD802" s="691"/>
      <c r="AE802" s="691"/>
      <c r="AF802" s="934"/>
      <c r="AG802" s="934"/>
      <c r="AH802" s="888"/>
      <c r="AI802" s="888"/>
      <c r="AJ802" s="310"/>
      <c r="AK802" s="310"/>
      <c r="AL802" s="310"/>
      <c r="AM802" s="1"/>
      <c r="AN802" s="691"/>
      <c r="AO802" s="1"/>
      <c r="AP802" s="1"/>
    </row>
    <row r="803">
      <c r="A803" s="929"/>
      <c r="B803" s="691"/>
      <c r="C803" s="310"/>
      <c r="D803" s="691"/>
      <c r="E803" s="691"/>
      <c r="F803" s="350"/>
      <c r="G803" s="355"/>
      <c r="H803" s="780"/>
      <c r="I803" s="691"/>
      <c r="J803" s="691"/>
      <c r="K803" s="691"/>
      <c r="L803" s="691"/>
      <c r="M803" s="691"/>
      <c r="N803" s="691"/>
      <c r="O803" s="930"/>
      <c r="P803" s="909"/>
      <c r="Q803" s="931"/>
      <c r="R803" s="310"/>
      <c r="S803" s="310"/>
      <c r="T803" s="691"/>
      <c r="U803" s="691"/>
      <c r="V803" s="355"/>
      <c r="W803" s="932"/>
      <c r="X803" s="310"/>
      <c r="Y803" s="310"/>
      <c r="Z803" s="933"/>
      <c r="AA803" s="310"/>
      <c r="AB803" s="691"/>
      <c r="AC803" s="933"/>
      <c r="AD803" s="691"/>
      <c r="AE803" s="691"/>
      <c r="AF803" s="934"/>
      <c r="AG803" s="934"/>
      <c r="AH803" s="888"/>
      <c r="AI803" s="888"/>
      <c r="AJ803" s="310"/>
      <c r="AK803" s="310"/>
      <c r="AL803" s="310"/>
      <c r="AM803" s="1"/>
      <c r="AN803" s="691"/>
      <c r="AO803" s="1"/>
      <c r="AP803" s="1"/>
    </row>
    <row r="804">
      <c r="A804" s="929"/>
      <c r="B804" s="691"/>
      <c r="C804" s="310"/>
      <c r="D804" s="691"/>
      <c r="E804" s="691"/>
      <c r="F804" s="350"/>
      <c r="G804" s="355"/>
      <c r="H804" s="780"/>
      <c r="I804" s="691"/>
      <c r="J804" s="691"/>
      <c r="K804" s="691"/>
      <c r="L804" s="691"/>
      <c r="M804" s="691"/>
      <c r="N804" s="691"/>
      <c r="O804" s="930"/>
      <c r="P804" s="909"/>
      <c r="Q804" s="931"/>
      <c r="R804" s="310"/>
      <c r="S804" s="310"/>
      <c r="T804" s="691"/>
      <c r="U804" s="691"/>
      <c r="V804" s="355"/>
      <c r="W804" s="932"/>
      <c r="X804" s="310"/>
      <c r="Y804" s="310"/>
      <c r="Z804" s="933"/>
      <c r="AA804" s="310"/>
      <c r="AB804" s="691"/>
      <c r="AC804" s="933"/>
      <c r="AD804" s="691"/>
      <c r="AE804" s="691"/>
      <c r="AF804" s="934"/>
      <c r="AG804" s="934"/>
      <c r="AH804" s="888"/>
      <c r="AI804" s="888"/>
      <c r="AJ804" s="310"/>
      <c r="AK804" s="310"/>
      <c r="AL804" s="310"/>
      <c r="AM804" s="1"/>
      <c r="AN804" s="691"/>
      <c r="AO804" s="1"/>
      <c r="AP804" s="1"/>
    </row>
    <row r="805">
      <c r="A805" s="929"/>
      <c r="B805" s="691"/>
      <c r="C805" s="310"/>
      <c r="D805" s="691"/>
      <c r="E805" s="691"/>
      <c r="F805" s="350"/>
      <c r="G805" s="355"/>
      <c r="H805" s="780"/>
      <c r="I805" s="691"/>
      <c r="J805" s="691"/>
      <c r="K805" s="691"/>
      <c r="L805" s="691"/>
      <c r="M805" s="691"/>
      <c r="N805" s="691"/>
      <c r="O805" s="930"/>
      <c r="P805" s="909"/>
      <c r="Q805" s="931"/>
      <c r="R805" s="310"/>
      <c r="S805" s="310"/>
      <c r="T805" s="691"/>
      <c r="U805" s="691"/>
      <c r="V805" s="355"/>
      <c r="W805" s="932"/>
      <c r="X805" s="310"/>
      <c r="Y805" s="310"/>
      <c r="Z805" s="933"/>
      <c r="AA805" s="310"/>
      <c r="AB805" s="691"/>
      <c r="AC805" s="933"/>
      <c r="AD805" s="691"/>
      <c r="AE805" s="691"/>
      <c r="AF805" s="934"/>
      <c r="AG805" s="934"/>
      <c r="AH805" s="888"/>
      <c r="AI805" s="888"/>
      <c r="AJ805" s="310"/>
      <c r="AK805" s="310"/>
      <c r="AL805" s="310"/>
      <c r="AM805" s="1"/>
      <c r="AN805" s="691"/>
      <c r="AO805" s="1"/>
      <c r="AP805" s="1"/>
    </row>
    <row r="806">
      <c r="A806" s="929"/>
      <c r="B806" s="691"/>
      <c r="C806" s="310"/>
      <c r="D806" s="691"/>
      <c r="E806" s="691"/>
      <c r="F806" s="350"/>
      <c r="G806" s="355"/>
      <c r="H806" s="780"/>
      <c r="I806" s="691"/>
      <c r="J806" s="691"/>
      <c r="K806" s="691"/>
      <c r="L806" s="691"/>
      <c r="M806" s="691"/>
      <c r="N806" s="691"/>
      <c r="O806" s="930"/>
      <c r="P806" s="909"/>
      <c r="Q806" s="931"/>
      <c r="R806" s="310"/>
      <c r="S806" s="310"/>
      <c r="T806" s="691"/>
      <c r="U806" s="691"/>
      <c r="V806" s="355"/>
      <c r="W806" s="932"/>
      <c r="X806" s="310"/>
      <c r="Y806" s="310"/>
      <c r="Z806" s="933"/>
      <c r="AA806" s="310"/>
      <c r="AB806" s="691"/>
      <c r="AC806" s="933"/>
      <c r="AD806" s="691"/>
      <c r="AE806" s="691"/>
      <c r="AF806" s="934"/>
      <c r="AG806" s="934"/>
      <c r="AH806" s="888"/>
      <c r="AI806" s="888"/>
      <c r="AJ806" s="310"/>
      <c r="AK806" s="310"/>
      <c r="AL806" s="310"/>
      <c r="AM806" s="1"/>
      <c r="AN806" s="691"/>
      <c r="AO806" s="1"/>
      <c r="AP806" s="1"/>
    </row>
    <row r="807">
      <c r="A807" s="929"/>
      <c r="B807" s="691"/>
      <c r="C807" s="310"/>
      <c r="D807" s="691"/>
      <c r="E807" s="691"/>
      <c r="F807" s="350"/>
      <c r="G807" s="355"/>
      <c r="H807" s="780"/>
      <c r="I807" s="691"/>
      <c r="J807" s="691"/>
      <c r="K807" s="691"/>
      <c r="L807" s="691"/>
      <c r="M807" s="691"/>
      <c r="N807" s="691"/>
      <c r="O807" s="930"/>
      <c r="P807" s="909"/>
      <c r="Q807" s="931"/>
      <c r="R807" s="310"/>
      <c r="S807" s="310"/>
      <c r="T807" s="691"/>
      <c r="U807" s="691"/>
      <c r="V807" s="355"/>
      <c r="W807" s="932"/>
      <c r="X807" s="310"/>
      <c r="Y807" s="310"/>
      <c r="Z807" s="933"/>
      <c r="AA807" s="310"/>
      <c r="AB807" s="691"/>
      <c r="AC807" s="933"/>
      <c r="AD807" s="691"/>
      <c r="AE807" s="691"/>
      <c r="AF807" s="934"/>
      <c r="AG807" s="934"/>
      <c r="AH807" s="888"/>
      <c r="AI807" s="888"/>
      <c r="AJ807" s="310"/>
      <c r="AK807" s="310"/>
      <c r="AL807" s="310"/>
      <c r="AM807" s="1"/>
      <c r="AN807" s="691"/>
      <c r="AO807" s="1"/>
      <c r="AP807" s="1"/>
    </row>
    <row r="808">
      <c r="A808" s="929"/>
      <c r="B808" s="691"/>
      <c r="C808" s="310"/>
      <c r="D808" s="691"/>
      <c r="E808" s="691"/>
      <c r="F808" s="350"/>
      <c r="G808" s="355"/>
      <c r="H808" s="780"/>
      <c r="I808" s="691"/>
      <c r="J808" s="691"/>
      <c r="K808" s="691"/>
      <c r="L808" s="691"/>
      <c r="M808" s="691"/>
      <c r="N808" s="691"/>
      <c r="O808" s="930"/>
      <c r="P808" s="909"/>
      <c r="Q808" s="931"/>
      <c r="R808" s="310"/>
      <c r="S808" s="310"/>
      <c r="T808" s="691"/>
      <c r="U808" s="691"/>
      <c r="V808" s="355"/>
      <c r="W808" s="932"/>
      <c r="X808" s="310"/>
      <c r="Y808" s="310"/>
      <c r="Z808" s="933"/>
      <c r="AA808" s="310"/>
      <c r="AB808" s="691"/>
      <c r="AC808" s="933"/>
      <c r="AD808" s="691"/>
      <c r="AE808" s="691"/>
      <c r="AF808" s="934"/>
      <c r="AG808" s="934"/>
      <c r="AH808" s="888"/>
      <c r="AI808" s="888"/>
      <c r="AJ808" s="310"/>
      <c r="AK808" s="310"/>
      <c r="AL808" s="310"/>
      <c r="AM808" s="1"/>
      <c r="AN808" s="691"/>
      <c r="AO808" s="1"/>
      <c r="AP808" s="1"/>
    </row>
    <row r="809">
      <c r="A809" s="929"/>
      <c r="B809" s="691"/>
      <c r="C809" s="310"/>
      <c r="D809" s="691"/>
      <c r="E809" s="691"/>
      <c r="F809" s="350"/>
      <c r="G809" s="355"/>
      <c r="H809" s="780"/>
      <c r="I809" s="691"/>
      <c r="J809" s="691"/>
      <c r="K809" s="691"/>
      <c r="L809" s="691"/>
      <c r="M809" s="691"/>
      <c r="N809" s="691"/>
      <c r="O809" s="930"/>
      <c r="P809" s="909"/>
      <c r="Q809" s="931"/>
      <c r="R809" s="310"/>
      <c r="S809" s="310"/>
      <c r="T809" s="691"/>
      <c r="U809" s="691"/>
      <c r="V809" s="355"/>
      <c r="W809" s="932"/>
      <c r="X809" s="310"/>
      <c r="Y809" s="310"/>
      <c r="Z809" s="933"/>
      <c r="AA809" s="310"/>
      <c r="AB809" s="691"/>
      <c r="AC809" s="933"/>
      <c r="AD809" s="691"/>
      <c r="AE809" s="691"/>
      <c r="AF809" s="934"/>
      <c r="AG809" s="934"/>
      <c r="AH809" s="888"/>
      <c r="AI809" s="888"/>
      <c r="AJ809" s="310"/>
      <c r="AK809" s="310"/>
      <c r="AL809" s="310"/>
      <c r="AM809" s="1"/>
      <c r="AN809" s="691"/>
      <c r="AO809" s="1"/>
      <c r="AP809" s="1"/>
    </row>
    <row r="810">
      <c r="A810" s="929"/>
      <c r="B810" s="691"/>
      <c r="C810" s="310"/>
      <c r="D810" s="691"/>
      <c r="E810" s="691"/>
      <c r="F810" s="350"/>
      <c r="G810" s="355"/>
      <c r="H810" s="780"/>
      <c r="I810" s="691"/>
      <c r="J810" s="691"/>
      <c r="K810" s="691"/>
      <c r="L810" s="691"/>
      <c r="M810" s="691"/>
      <c r="N810" s="691"/>
      <c r="O810" s="930"/>
      <c r="P810" s="909"/>
      <c r="Q810" s="931"/>
      <c r="R810" s="310"/>
      <c r="S810" s="310"/>
      <c r="T810" s="691"/>
      <c r="U810" s="691"/>
      <c r="V810" s="355"/>
      <c r="W810" s="932"/>
      <c r="X810" s="310"/>
      <c r="Y810" s="310"/>
      <c r="Z810" s="933"/>
      <c r="AA810" s="310"/>
      <c r="AB810" s="691"/>
      <c r="AC810" s="933"/>
      <c r="AD810" s="691"/>
      <c r="AE810" s="691"/>
      <c r="AF810" s="934"/>
      <c r="AG810" s="934"/>
      <c r="AH810" s="888"/>
      <c r="AI810" s="888"/>
      <c r="AJ810" s="310"/>
      <c r="AK810" s="310"/>
      <c r="AL810" s="310"/>
      <c r="AM810" s="1"/>
      <c r="AN810" s="691"/>
      <c r="AO810" s="1"/>
      <c r="AP810" s="1"/>
    </row>
    <row r="811">
      <c r="A811" s="929"/>
      <c r="B811" s="691"/>
      <c r="C811" s="310"/>
      <c r="D811" s="691"/>
      <c r="E811" s="691"/>
      <c r="F811" s="350"/>
      <c r="G811" s="355"/>
      <c r="H811" s="780"/>
      <c r="I811" s="691"/>
      <c r="J811" s="691"/>
      <c r="K811" s="691"/>
      <c r="L811" s="691"/>
      <c r="M811" s="691"/>
      <c r="N811" s="691"/>
      <c r="O811" s="930"/>
      <c r="P811" s="909"/>
      <c r="Q811" s="931"/>
      <c r="R811" s="310"/>
      <c r="S811" s="310"/>
      <c r="T811" s="691"/>
      <c r="U811" s="691"/>
      <c r="V811" s="355"/>
      <c r="W811" s="932"/>
      <c r="X811" s="310"/>
      <c r="Y811" s="310"/>
      <c r="Z811" s="933"/>
      <c r="AA811" s="310"/>
      <c r="AB811" s="691"/>
      <c r="AC811" s="933"/>
      <c r="AD811" s="691"/>
      <c r="AE811" s="691"/>
      <c r="AF811" s="934"/>
      <c r="AG811" s="934"/>
      <c r="AH811" s="888"/>
      <c r="AI811" s="888"/>
      <c r="AJ811" s="310"/>
      <c r="AK811" s="310"/>
      <c r="AL811" s="310"/>
      <c r="AM811" s="1"/>
      <c r="AN811" s="691"/>
      <c r="AO811" s="1"/>
      <c r="AP811" s="1"/>
    </row>
    <row r="812">
      <c r="A812" s="929"/>
      <c r="B812" s="691"/>
      <c r="C812" s="310"/>
      <c r="D812" s="691"/>
      <c r="E812" s="691"/>
      <c r="F812" s="350"/>
      <c r="G812" s="355"/>
      <c r="H812" s="780"/>
      <c r="I812" s="691"/>
      <c r="J812" s="691"/>
      <c r="K812" s="691"/>
      <c r="L812" s="691"/>
      <c r="M812" s="691"/>
      <c r="N812" s="691"/>
      <c r="O812" s="930"/>
      <c r="P812" s="909"/>
      <c r="Q812" s="931"/>
      <c r="R812" s="310"/>
      <c r="S812" s="310"/>
      <c r="T812" s="691"/>
      <c r="U812" s="691"/>
      <c r="V812" s="355"/>
      <c r="W812" s="932"/>
      <c r="X812" s="310"/>
      <c r="Y812" s="310"/>
      <c r="Z812" s="933"/>
      <c r="AA812" s="310"/>
      <c r="AB812" s="691"/>
      <c r="AC812" s="933"/>
      <c r="AD812" s="691"/>
      <c r="AE812" s="691"/>
      <c r="AF812" s="934"/>
      <c r="AG812" s="934"/>
      <c r="AH812" s="888"/>
      <c r="AI812" s="888"/>
      <c r="AJ812" s="310"/>
      <c r="AK812" s="310"/>
      <c r="AL812" s="310"/>
      <c r="AM812" s="1"/>
      <c r="AN812" s="691"/>
      <c r="AO812" s="1"/>
      <c r="AP812" s="1"/>
    </row>
    <row r="813">
      <c r="A813" s="929"/>
      <c r="B813" s="691"/>
      <c r="C813" s="310"/>
      <c r="D813" s="691"/>
      <c r="E813" s="691"/>
      <c r="F813" s="350"/>
      <c r="G813" s="355"/>
      <c r="H813" s="780"/>
      <c r="I813" s="691"/>
      <c r="J813" s="691"/>
      <c r="K813" s="691"/>
      <c r="L813" s="691"/>
      <c r="M813" s="691"/>
      <c r="N813" s="691"/>
      <c r="O813" s="930"/>
      <c r="P813" s="909"/>
      <c r="Q813" s="931"/>
      <c r="R813" s="310"/>
      <c r="S813" s="310"/>
      <c r="T813" s="691"/>
      <c r="U813" s="691"/>
      <c r="V813" s="355"/>
      <c r="W813" s="932"/>
      <c r="X813" s="310"/>
      <c r="Y813" s="310"/>
      <c r="Z813" s="933"/>
      <c r="AA813" s="310"/>
      <c r="AB813" s="691"/>
      <c r="AC813" s="933"/>
      <c r="AD813" s="691"/>
      <c r="AE813" s="691"/>
      <c r="AF813" s="934"/>
      <c r="AG813" s="934"/>
      <c r="AH813" s="888"/>
      <c r="AI813" s="888"/>
      <c r="AJ813" s="310"/>
      <c r="AK813" s="310"/>
      <c r="AL813" s="310"/>
      <c r="AM813" s="1"/>
      <c r="AN813" s="691"/>
      <c r="AO813" s="1"/>
      <c r="AP813" s="1"/>
    </row>
    <row r="814">
      <c r="A814" s="929"/>
      <c r="B814" s="691"/>
      <c r="C814" s="310"/>
      <c r="D814" s="691"/>
      <c r="E814" s="691"/>
      <c r="F814" s="350"/>
      <c r="G814" s="355"/>
      <c r="H814" s="780"/>
      <c r="I814" s="691"/>
      <c r="J814" s="691"/>
      <c r="K814" s="691"/>
      <c r="L814" s="691"/>
      <c r="M814" s="691"/>
      <c r="N814" s="691"/>
      <c r="O814" s="930"/>
      <c r="P814" s="909"/>
      <c r="Q814" s="931"/>
      <c r="R814" s="310"/>
      <c r="S814" s="310"/>
      <c r="T814" s="691"/>
      <c r="U814" s="691"/>
      <c r="V814" s="355"/>
      <c r="W814" s="932"/>
      <c r="X814" s="310"/>
      <c r="Y814" s="310"/>
      <c r="Z814" s="933"/>
      <c r="AA814" s="310"/>
      <c r="AB814" s="691"/>
      <c r="AC814" s="933"/>
      <c r="AD814" s="691"/>
      <c r="AE814" s="691"/>
      <c r="AF814" s="934"/>
      <c r="AG814" s="934"/>
      <c r="AH814" s="888"/>
      <c r="AI814" s="888"/>
      <c r="AJ814" s="310"/>
      <c r="AK814" s="310"/>
      <c r="AL814" s="310"/>
      <c r="AM814" s="1"/>
      <c r="AN814" s="691"/>
      <c r="AO814" s="1"/>
      <c r="AP814" s="1"/>
    </row>
    <row r="815">
      <c r="A815" s="929"/>
      <c r="B815" s="691"/>
      <c r="C815" s="310"/>
      <c r="D815" s="691"/>
      <c r="E815" s="691"/>
      <c r="F815" s="350"/>
      <c r="G815" s="355"/>
      <c r="H815" s="780"/>
      <c r="I815" s="691"/>
      <c r="J815" s="691"/>
      <c r="K815" s="691"/>
      <c r="L815" s="691"/>
      <c r="M815" s="691"/>
      <c r="N815" s="691"/>
      <c r="O815" s="930"/>
      <c r="P815" s="909"/>
      <c r="Q815" s="931"/>
      <c r="R815" s="310"/>
      <c r="S815" s="310"/>
      <c r="T815" s="691"/>
      <c r="U815" s="691"/>
      <c r="V815" s="355"/>
      <c r="W815" s="932"/>
      <c r="X815" s="310"/>
      <c r="Y815" s="310"/>
      <c r="Z815" s="933"/>
      <c r="AA815" s="310"/>
      <c r="AB815" s="691"/>
      <c r="AC815" s="933"/>
      <c r="AD815" s="691"/>
      <c r="AE815" s="691"/>
      <c r="AF815" s="934"/>
      <c r="AG815" s="934"/>
      <c r="AH815" s="888"/>
      <c r="AI815" s="888"/>
      <c r="AJ815" s="310"/>
      <c r="AK815" s="310"/>
      <c r="AL815" s="310"/>
      <c r="AM815" s="1"/>
      <c r="AN815" s="691"/>
      <c r="AO815" s="1"/>
      <c r="AP815" s="1"/>
    </row>
    <row r="816">
      <c r="A816" s="929"/>
      <c r="B816" s="691"/>
      <c r="C816" s="310"/>
      <c r="D816" s="691"/>
      <c r="E816" s="691"/>
      <c r="F816" s="350"/>
      <c r="G816" s="355"/>
      <c r="H816" s="780"/>
      <c r="I816" s="691"/>
      <c r="J816" s="691"/>
      <c r="K816" s="691"/>
      <c r="L816" s="691"/>
      <c r="M816" s="691"/>
      <c r="N816" s="691"/>
      <c r="O816" s="930"/>
      <c r="P816" s="909"/>
      <c r="Q816" s="931"/>
      <c r="R816" s="310"/>
      <c r="S816" s="310"/>
      <c r="T816" s="691"/>
      <c r="U816" s="691"/>
      <c r="V816" s="355"/>
      <c r="W816" s="932"/>
      <c r="X816" s="310"/>
      <c r="Y816" s="310"/>
      <c r="Z816" s="933"/>
      <c r="AA816" s="310"/>
      <c r="AB816" s="691"/>
      <c r="AC816" s="933"/>
      <c r="AD816" s="691"/>
      <c r="AE816" s="691"/>
      <c r="AF816" s="934"/>
      <c r="AG816" s="934"/>
      <c r="AH816" s="888"/>
      <c r="AI816" s="888"/>
      <c r="AJ816" s="310"/>
      <c r="AK816" s="310"/>
      <c r="AL816" s="310"/>
      <c r="AM816" s="1"/>
      <c r="AN816" s="691"/>
      <c r="AO816" s="1"/>
      <c r="AP816" s="1"/>
    </row>
    <row r="817">
      <c r="A817" s="929"/>
      <c r="B817" s="691"/>
      <c r="C817" s="310"/>
      <c r="D817" s="691"/>
      <c r="E817" s="691"/>
      <c r="F817" s="350"/>
      <c r="G817" s="355"/>
      <c r="H817" s="780"/>
      <c r="I817" s="691"/>
      <c r="J817" s="691"/>
      <c r="K817" s="691"/>
      <c r="L817" s="691"/>
      <c r="M817" s="691"/>
      <c r="N817" s="691"/>
      <c r="O817" s="930"/>
      <c r="P817" s="909"/>
      <c r="Q817" s="931"/>
      <c r="R817" s="310"/>
      <c r="S817" s="310"/>
      <c r="T817" s="691"/>
      <c r="U817" s="691"/>
      <c r="V817" s="355"/>
      <c r="W817" s="932"/>
      <c r="X817" s="310"/>
      <c r="Y817" s="310"/>
      <c r="Z817" s="933"/>
      <c r="AA817" s="310"/>
      <c r="AB817" s="691"/>
      <c r="AC817" s="933"/>
      <c r="AD817" s="691"/>
      <c r="AE817" s="691"/>
      <c r="AF817" s="934"/>
      <c r="AG817" s="934"/>
      <c r="AH817" s="888"/>
      <c r="AI817" s="888"/>
      <c r="AJ817" s="310"/>
      <c r="AK817" s="310"/>
      <c r="AL817" s="310"/>
      <c r="AM817" s="1"/>
      <c r="AN817" s="691"/>
      <c r="AO817" s="1"/>
      <c r="AP817" s="1"/>
    </row>
    <row r="818">
      <c r="A818" s="929"/>
      <c r="B818" s="691"/>
      <c r="C818" s="310"/>
      <c r="D818" s="691"/>
      <c r="E818" s="691"/>
      <c r="F818" s="350"/>
      <c r="G818" s="355"/>
      <c r="H818" s="780"/>
      <c r="I818" s="691"/>
      <c r="J818" s="691"/>
      <c r="K818" s="691"/>
      <c r="L818" s="691"/>
      <c r="M818" s="691"/>
      <c r="N818" s="691"/>
      <c r="O818" s="930"/>
      <c r="P818" s="909"/>
      <c r="Q818" s="931"/>
      <c r="R818" s="310"/>
      <c r="S818" s="310"/>
      <c r="T818" s="691"/>
      <c r="U818" s="691"/>
      <c r="V818" s="355"/>
      <c r="W818" s="932"/>
      <c r="X818" s="310"/>
      <c r="Y818" s="310"/>
      <c r="Z818" s="933"/>
      <c r="AA818" s="310"/>
      <c r="AB818" s="691"/>
      <c r="AC818" s="933"/>
      <c r="AD818" s="691"/>
      <c r="AE818" s="691"/>
      <c r="AF818" s="934"/>
      <c r="AG818" s="934"/>
      <c r="AH818" s="888"/>
      <c r="AI818" s="888"/>
      <c r="AJ818" s="310"/>
      <c r="AK818" s="310"/>
      <c r="AL818" s="310"/>
      <c r="AM818" s="1"/>
      <c r="AN818" s="691"/>
      <c r="AO818" s="1"/>
      <c r="AP818" s="1"/>
    </row>
    <row r="819">
      <c r="A819" s="929"/>
      <c r="B819" s="691"/>
      <c r="C819" s="310"/>
      <c r="D819" s="691"/>
      <c r="E819" s="691"/>
      <c r="F819" s="350"/>
      <c r="G819" s="355"/>
      <c r="H819" s="780"/>
      <c r="I819" s="691"/>
      <c r="J819" s="691"/>
      <c r="K819" s="691"/>
      <c r="L819" s="691"/>
      <c r="M819" s="691"/>
      <c r="N819" s="691"/>
      <c r="O819" s="930"/>
      <c r="P819" s="909"/>
      <c r="Q819" s="931"/>
      <c r="R819" s="310"/>
      <c r="S819" s="310"/>
      <c r="T819" s="691"/>
      <c r="U819" s="691"/>
      <c r="V819" s="355"/>
      <c r="W819" s="932"/>
      <c r="X819" s="310"/>
      <c r="Y819" s="310"/>
      <c r="Z819" s="933"/>
      <c r="AA819" s="310"/>
      <c r="AB819" s="691"/>
      <c r="AC819" s="933"/>
      <c r="AD819" s="691"/>
      <c r="AE819" s="691"/>
      <c r="AF819" s="934"/>
      <c r="AG819" s="934"/>
      <c r="AH819" s="888"/>
      <c r="AI819" s="888"/>
      <c r="AJ819" s="310"/>
      <c r="AK819" s="310"/>
      <c r="AL819" s="310"/>
      <c r="AM819" s="1"/>
      <c r="AN819" s="691"/>
      <c r="AO819" s="1"/>
      <c r="AP819" s="1"/>
    </row>
    <row r="820">
      <c r="A820" s="929"/>
      <c r="B820" s="691"/>
      <c r="C820" s="310"/>
      <c r="D820" s="691"/>
      <c r="E820" s="691"/>
      <c r="F820" s="350"/>
      <c r="G820" s="355"/>
      <c r="H820" s="780"/>
      <c r="I820" s="691"/>
      <c r="J820" s="691"/>
      <c r="K820" s="691"/>
      <c r="L820" s="691"/>
      <c r="M820" s="691"/>
      <c r="N820" s="691"/>
      <c r="O820" s="930"/>
      <c r="P820" s="909"/>
      <c r="Q820" s="931"/>
      <c r="R820" s="310"/>
      <c r="S820" s="310"/>
      <c r="T820" s="691"/>
      <c r="U820" s="691"/>
      <c r="V820" s="355"/>
      <c r="W820" s="932"/>
      <c r="X820" s="310"/>
      <c r="Y820" s="310"/>
      <c r="Z820" s="933"/>
      <c r="AA820" s="310"/>
      <c r="AB820" s="691"/>
      <c r="AC820" s="933"/>
      <c r="AD820" s="691"/>
      <c r="AE820" s="691"/>
      <c r="AF820" s="934"/>
      <c r="AG820" s="934"/>
      <c r="AH820" s="888"/>
      <c r="AI820" s="888"/>
      <c r="AJ820" s="310"/>
      <c r="AK820" s="310"/>
      <c r="AL820" s="310"/>
      <c r="AM820" s="1"/>
      <c r="AN820" s="691"/>
      <c r="AO820" s="1"/>
      <c r="AP820" s="1"/>
    </row>
    <row r="821">
      <c r="A821" s="929"/>
      <c r="B821" s="691"/>
      <c r="C821" s="310"/>
      <c r="D821" s="691"/>
      <c r="E821" s="691"/>
      <c r="F821" s="350"/>
      <c r="G821" s="355"/>
      <c r="H821" s="780"/>
      <c r="I821" s="691"/>
      <c r="J821" s="691"/>
      <c r="K821" s="691"/>
      <c r="L821" s="691"/>
      <c r="M821" s="691"/>
      <c r="N821" s="691"/>
      <c r="O821" s="930"/>
      <c r="P821" s="909"/>
      <c r="Q821" s="931"/>
      <c r="R821" s="310"/>
      <c r="S821" s="310"/>
      <c r="T821" s="691"/>
      <c r="U821" s="691"/>
      <c r="V821" s="355"/>
      <c r="W821" s="932"/>
      <c r="X821" s="310"/>
      <c r="Y821" s="310"/>
      <c r="Z821" s="933"/>
      <c r="AA821" s="310"/>
      <c r="AB821" s="691"/>
      <c r="AC821" s="933"/>
      <c r="AD821" s="691"/>
      <c r="AE821" s="691"/>
      <c r="AF821" s="934"/>
      <c r="AG821" s="934"/>
      <c r="AH821" s="888"/>
      <c r="AI821" s="888"/>
      <c r="AJ821" s="310"/>
      <c r="AK821" s="310"/>
      <c r="AL821" s="310"/>
      <c r="AM821" s="1"/>
      <c r="AN821" s="691"/>
      <c r="AO821" s="1"/>
      <c r="AP821" s="1"/>
    </row>
    <row r="822">
      <c r="A822" s="929"/>
      <c r="B822" s="691"/>
      <c r="C822" s="310"/>
      <c r="D822" s="691"/>
      <c r="E822" s="691"/>
      <c r="F822" s="350"/>
      <c r="G822" s="355"/>
      <c r="H822" s="780"/>
      <c r="I822" s="691"/>
      <c r="J822" s="691"/>
      <c r="K822" s="691"/>
      <c r="L822" s="691"/>
      <c r="M822" s="691"/>
      <c r="N822" s="691"/>
      <c r="O822" s="930"/>
      <c r="P822" s="909"/>
      <c r="Q822" s="931"/>
      <c r="R822" s="310"/>
      <c r="S822" s="310"/>
      <c r="T822" s="691"/>
      <c r="U822" s="691"/>
      <c r="V822" s="355"/>
      <c r="W822" s="932"/>
      <c r="X822" s="310"/>
      <c r="Y822" s="310"/>
      <c r="Z822" s="933"/>
      <c r="AA822" s="310"/>
      <c r="AB822" s="691"/>
      <c r="AC822" s="933"/>
      <c r="AD822" s="691"/>
      <c r="AE822" s="691"/>
      <c r="AF822" s="934"/>
      <c r="AG822" s="934"/>
      <c r="AH822" s="888"/>
      <c r="AI822" s="888"/>
      <c r="AJ822" s="310"/>
      <c r="AK822" s="310"/>
      <c r="AL822" s="310"/>
      <c r="AM822" s="1"/>
      <c r="AN822" s="691"/>
      <c r="AO822" s="1"/>
      <c r="AP822" s="1"/>
    </row>
    <row r="823">
      <c r="A823" s="929"/>
      <c r="B823" s="691"/>
      <c r="C823" s="310"/>
      <c r="D823" s="691"/>
      <c r="E823" s="691"/>
      <c r="F823" s="350"/>
      <c r="G823" s="355"/>
      <c r="H823" s="780"/>
      <c r="I823" s="691"/>
      <c r="J823" s="691"/>
      <c r="K823" s="691"/>
      <c r="L823" s="691"/>
      <c r="M823" s="691"/>
      <c r="N823" s="691"/>
      <c r="O823" s="930"/>
      <c r="P823" s="909"/>
      <c r="Q823" s="931"/>
      <c r="R823" s="310"/>
      <c r="S823" s="310"/>
      <c r="T823" s="691"/>
      <c r="U823" s="691"/>
      <c r="V823" s="355"/>
      <c r="W823" s="932"/>
      <c r="X823" s="310"/>
      <c r="Y823" s="310"/>
      <c r="Z823" s="933"/>
      <c r="AA823" s="310"/>
      <c r="AB823" s="691"/>
      <c r="AC823" s="933"/>
      <c r="AD823" s="691"/>
      <c r="AE823" s="691"/>
      <c r="AF823" s="934"/>
      <c r="AG823" s="934"/>
      <c r="AH823" s="888"/>
      <c r="AI823" s="888"/>
      <c r="AJ823" s="310"/>
      <c r="AK823" s="310"/>
      <c r="AL823" s="310"/>
      <c r="AM823" s="1"/>
      <c r="AN823" s="691"/>
      <c r="AO823" s="1"/>
      <c r="AP823" s="1"/>
    </row>
    <row r="824">
      <c r="A824" s="929"/>
      <c r="B824" s="691"/>
      <c r="C824" s="310"/>
      <c r="D824" s="691"/>
      <c r="E824" s="691"/>
      <c r="F824" s="350"/>
      <c r="G824" s="355"/>
      <c r="H824" s="780"/>
      <c r="I824" s="691"/>
      <c r="J824" s="691"/>
      <c r="K824" s="691"/>
      <c r="L824" s="691"/>
      <c r="M824" s="691"/>
      <c r="N824" s="691"/>
      <c r="O824" s="930"/>
      <c r="P824" s="909"/>
      <c r="Q824" s="931"/>
      <c r="R824" s="310"/>
      <c r="S824" s="310"/>
      <c r="T824" s="691"/>
      <c r="U824" s="691"/>
      <c r="V824" s="355"/>
      <c r="W824" s="932"/>
      <c r="X824" s="310"/>
      <c r="Y824" s="310"/>
      <c r="Z824" s="933"/>
      <c r="AA824" s="310"/>
      <c r="AB824" s="691"/>
      <c r="AC824" s="933"/>
      <c r="AD824" s="691"/>
      <c r="AE824" s="691"/>
      <c r="AF824" s="934"/>
      <c r="AG824" s="934"/>
      <c r="AH824" s="888"/>
      <c r="AI824" s="888"/>
      <c r="AJ824" s="310"/>
      <c r="AK824" s="310"/>
      <c r="AL824" s="310"/>
      <c r="AM824" s="1"/>
      <c r="AN824" s="691"/>
      <c r="AO824" s="1"/>
      <c r="AP824" s="1"/>
    </row>
    <row r="825">
      <c r="A825" s="929"/>
      <c r="B825" s="691"/>
      <c r="C825" s="310"/>
      <c r="D825" s="691"/>
      <c r="E825" s="691"/>
      <c r="F825" s="350"/>
      <c r="G825" s="355"/>
      <c r="H825" s="780"/>
      <c r="I825" s="691"/>
      <c r="J825" s="691"/>
      <c r="K825" s="691"/>
      <c r="L825" s="691"/>
      <c r="M825" s="691"/>
      <c r="N825" s="691"/>
      <c r="O825" s="930"/>
      <c r="P825" s="909"/>
      <c r="Q825" s="931"/>
      <c r="R825" s="310"/>
      <c r="S825" s="310"/>
      <c r="T825" s="691"/>
      <c r="U825" s="691"/>
      <c r="V825" s="355"/>
      <c r="W825" s="932"/>
      <c r="X825" s="310"/>
      <c r="Y825" s="310"/>
      <c r="Z825" s="933"/>
      <c r="AA825" s="310"/>
      <c r="AB825" s="691"/>
      <c r="AC825" s="933"/>
      <c r="AD825" s="691"/>
      <c r="AE825" s="691"/>
      <c r="AF825" s="934"/>
      <c r="AG825" s="934"/>
      <c r="AH825" s="888"/>
      <c r="AI825" s="888"/>
      <c r="AJ825" s="310"/>
      <c r="AK825" s="310"/>
      <c r="AL825" s="310"/>
      <c r="AM825" s="1"/>
      <c r="AN825" s="691"/>
      <c r="AO825" s="1"/>
      <c r="AP825" s="1"/>
    </row>
    <row r="826">
      <c r="A826" s="929"/>
      <c r="B826" s="691"/>
      <c r="C826" s="310"/>
      <c r="D826" s="691"/>
      <c r="E826" s="691"/>
      <c r="F826" s="350"/>
      <c r="G826" s="355"/>
      <c r="H826" s="780"/>
      <c r="I826" s="691"/>
      <c r="J826" s="691"/>
      <c r="K826" s="691"/>
      <c r="L826" s="691"/>
      <c r="M826" s="691"/>
      <c r="N826" s="691"/>
      <c r="O826" s="930"/>
      <c r="P826" s="909"/>
      <c r="Q826" s="931"/>
      <c r="R826" s="310"/>
      <c r="S826" s="310"/>
      <c r="T826" s="691"/>
      <c r="U826" s="691"/>
      <c r="V826" s="355"/>
      <c r="W826" s="932"/>
      <c r="X826" s="310"/>
      <c r="Y826" s="310"/>
      <c r="Z826" s="933"/>
      <c r="AA826" s="310"/>
      <c r="AB826" s="691"/>
      <c r="AC826" s="933"/>
      <c r="AD826" s="691"/>
      <c r="AE826" s="691"/>
      <c r="AF826" s="934"/>
      <c r="AG826" s="934"/>
      <c r="AH826" s="888"/>
      <c r="AI826" s="888"/>
      <c r="AJ826" s="310"/>
      <c r="AK826" s="310"/>
      <c r="AL826" s="310"/>
      <c r="AM826" s="1"/>
      <c r="AN826" s="691"/>
      <c r="AO826" s="1"/>
      <c r="AP826" s="1"/>
    </row>
    <row r="827">
      <c r="A827" s="929"/>
      <c r="B827" s="691"/>
      <c r="C827" s="310"/>
      <c r="D827" s="691"/>
      <c r="E827" s="691"/>
      <c r="F827" s="350"/>
      <c r="G827" s="355"/>
      <c r="H827" s="780"/>
      <c r="I827" s="691"/>
      <c r="J827" s="691"/>
      <c r="K827" s="691"/>
      <c r="L827" s="691"/>
      <c r="M827" s="691"/>
      <c r="N827" s="691"/>
      <c r="O827" s="930"/>
      <c r="P827" s="909"/>
      <c r="Q827" s="931"/>
      <c r="R827" s="310"/>
      <c r="S827" s="310"/>
      <c r="T827" s="691"/>
      <c r="U827" s="691"/>
      <c r="V827" s="355"/>
      <c r="W827" s="932"/>
      <c r="X827" s="310"/>
      <c r="Y827" s="310"/>
      <c r="Z827" s="933"/>
      <c r="AA827" s="310"/>
      <c r="AB827" s="691"/>
      <c r="AC827" s="933"/>
      <c r="AD827" s="691"/>
      <c r="AE827" s="691"/>
      <c r="AF827" s="934"/>
      <c r="AG827" s="934"/>
      <c r="AH827" s="888"/>
      <c r="AI827" s="888"/>
      <c r="AJ827" s="310"/>
      <c r="AK827" s="310"/>
      <c r="AL827" s="310"/>
      <c r="AM827" s="1"/>
      <c r="AN827" s="691"/>
      <c r="AO827" s="1"/>
      <c r="AP827" s="1"/>
    </row>
    <row r="828">
      <c r="A828" s="929"/>
      <c r="B828" s="691"/>
      <c r="C828" s="310"/>
      <c r="D828" s="691"/>
      <c r="E828" s="691"/>
      <c r="F828" s="350"/>
      <c r="G828" s="355"/>
      <c r="H828" s="780"/>
      <c r="I828" s="691"/>
      <c r="J828" s="691"/>
      <c r="K828" s="691"/>
      <c r="L828" s="691"/>
      <c r="M828" s="691"/>
      <c r="N828" s="691"/>
      <c r="O828" s="930"/>
      <c r="P828" s="909"/>
      <c r="Q828" s="931"/>
      <c r="R828" s="310"/>
      <c r="S828" s="310"/>
      <c r="T828" s="691"/>
      <c r="U828" s="691"/>
      <c r="V828" s="355"/>
      <c r="W828" s="932"/>
      <c r="X828" s="310"/>
      <c r="Y828" s="310"/>
      <c r="Z828" s="933"/>
      <c r="AA828" s="310"/>
      <c r="AB828" s="691"/>
      <c r="AC828" s="933"/>
      <c r="AD828" s="691"/>
      <c r="AE828" s="691"/>
      <c r="AF828" s="934"/>
      <c r="AG828" s="934"/>
      <c r="AH828" s="888"/>
      <c r="AI828" s="888"/>
      <c r="AJ828" s="310"/>
      <c r="AK828" s="310"/>
      <c r="AL828" s="310"/>
      <c r="AM828" s="1"/>
      <c r="AN828" s="691"/>
      <c r="AO828" s="1"/>
      <c r="AP828" s="1"/>
    </row>
    <row r="829">
      <c r="A829" s="929"/>
      <c r="B829" s="691"/>
      <c r="C829" s="310"/>
      <c r="D829" s="691"/>
      <c r="E829" s="691"/>
      <c r="F829" s="350"/>
      <c r="G829" s="355"/>
      <c r="H829" s="780"/>
      <c r="I829" s="691"/>
      <c r="J829" s="691"/>
      <c r="K829" s="691"/>
      <c r="L829" s="691"/>
      <c r="M829" s="691"/>
      <c r="N829" s="691"/>
      <c r="O829" s="930"/>
      <c r="P829" s="909"/>
      <c r="Q829" s="931"/>
      <c r="R829" s="310"/>
      <c r="S829" s="310"/>
      <c r="T829" s="691"/>
      <c r="U829" s="691"/>
      <c r="V829" s="355"/>
      <c r="W829" s="932"/>
      <c r="X829" s="310"/>
      <c r="Y829" s="310"/>
      <c r="Z829" s="933"/>
      <c r="AA829" s="310"/>
      <c r="AB829" s="691"/>
      <c r="AC829" s="933"/>
      <c r="AD829" s="691"/>
      <c r="AE829" s="691"/>
      <c r="AF829" s="934"/>
      <c r="AG829" s="934"/>
      <c r="AH829" s="888"/>
      <c r="AI829" s="888"/>
      <c r="AJ829" s="310"/>
      <c r="AK829" s="310"/>
      <c r="AL829" s="310"/>
      <c r="AM829" s="1"/>
      <c r="AN829" s="691"/>
      <c r="AO829" s="1"/>
      <c r="AP829" s="1"/>
    </row>
    <row r="830">
      <c r="A830" s="929"/>
      <c r="B830" s="691"/>
      <c r="C830" s="310"/>
      <c r="D830" s="691"/>
      <c r="E830" s="691"/>
      <c r="F830" s="350"/>
      <c r="G830" s="355"/>
      <c r="H830" s="780"/>
      <c r="I830" s="691"/>
      <c r="J830" s="691"/>
      <c r="K830" s="691"/>
      <c r="L830" s="691"/>
      <c r="M830" s="691"/>
      <c r="N830" s="691"/>
      <c r="O830" s="930"/>
      <c r="P830" s="909"/>
      <c r="Q830" s="931"/>
      <c r="R830" s="310"/>
      <c r="S830" s="310"/>
      <c r="T830" s="691"/>
      <c r="U830" s="691"/>
      <c r="V830" s="355"/>
      <c r="W830" s="932"/>
      <c r="X830" s="310"/>
      <c r="Y830" s="310"/>
      <c r="Z830" s="933"/>
      <c r="AA830" s="310"/>
      <c r="AB830" s="691"/>
      <c r="AC830" s="933"/>
      <c r="AD830" s="691"/>
      <c r="AE830" s="691"/>
      <c r="AF830" s="934"/>
      <c r="AG830" s="934"/>
      <c r="AH830" s="888"/>
      <c r="AI830" s="888"/>
      <c r="AJ830" s="310"/>
      <c r="AK830" s="310"/>
      <c r="AL830" s="310"/>
      <c r="AM830" s="1"/>
      <c r="AN830" s="691"/>
      <c r="AO830" s="1"/>
      <c r="AP830" s="1"/>
    </row>
    <row r="831">
      <c r="A831" s="929"/>
      <c r="B831" s="691"/>
      <c r="C831" s="310"/>
      <c r="D831" s="691"/>
      <c r="E831" s="691"/>
      <c r="F831" s="350"/>
      <c r="G831" s="355"/>
      <c r="H831" s="780"/>
      <c r="I831" s="691"/>
      <c r="J831" s="691"/>
      <c r="K831" s="691"/>
      <c r="L831" s="691"/>
      <c r="M831" s="691"/>
      <c r="N831" s="691"/>
      <c r="O831" s="930"/>
      <c r="P831" s="909"/>
      <c r="Q831" s="931"/>
      <c r="R831" s="310"/>
      <c r="S831" s="310"/>
      <c r="T831" s="691"/>
      <c r="U831" s="691"/>
      <c r="V831" s="355"/>
      <c r="W831" s="932"/>
      <c r="X831" s="310"/>
      <c r="Y831" s="310"/>
      <c r="Z831" s="933"/>
      <c r="AA831" s="310"/>
      <c r="AB831" s="691"/>
      <c r="AC831" s="933"/>
      <c r="AD831" s="691"/>
      <c r="AE831" s="691"/>
      <c r="AF831" s="934"/>
      <c r="AG831" s="934"/>
      <c r="AH831" s="888"/>
      <c r="AI831" s="888"/>
      <c r="AJ831" s="310"/>
      <c r="AK831" s="310"/>
      <c r="AL831" s="310"/>
      <c r="AM831" s="1"/>
      <c r="AN831" s="691"/>
      <c r="AO831" s="1"/>
      <c r="AP831" s="1"/>
    </row>
    <row r="832">
      <c r="A832" s="929"/>
      <c r="B832" s="691"/>
      <c r="C832" s="310"/>
      <c r="D832" s="691"/>
      <c r="E832" s="691"/>
      <c r="F832" s="350"/>
      <c r="G832" s="355"/>
      <c r="H832" s="780"/>
      <c r="I832" s="691"/>
      <c r="J832" s="691"/>
      <c r="K832" s="691"/>
      <c r="L832" s="691"/>
      <c r="M832" s="691"/>
      <c r="N832" s="691"/>
      <c r="O832" s="930"/>
      <c r="P832" s="909"/>
      <c r="Q832" s="931"/>
      <c r="R832" s="310"/>
      <c r="S832" s="310"/>
      <c r="T832" s="691"/>
      <c r="U832" s="691"/>
      <c r="V832" s="355"/>
      <c r="W832" s="932"/>
      <c r="X832" s="310"/>
      <c r="Y832" s="310"/>
      <c r="Z832" s="933"/>
      <c r="AA832" s="310"/>
      <c r="AB832" s="691"/>
      <c r="AC832" s="933"/>
      <c r="AD832" s="691"/>
      <c r="AE832" s="691"/>
      <c r="AF832" s="934"/>
      <c r="AG832" s="934"/>
      <c r="AH832" s="888"/>
      <c r="AI832" s="888"/>
      <c r="AJ832" s="310"/>
      <c r="AK832" s="310"/>
      <c r="AL832" s="310"/>
      <c r="AM832" s="1"/>
      <c r="AN832" s="691"/>
      <c r="AO832" s="1"/>
      <c r="AP832" s="1"/>
    </row>
    <row r="833">
      <c r="A833" s="929"/>
      <c r="B833" s="691"/>
      <c r="C833" s="310"/>
      <c r="D833" s="691"/>
      <c r="E833" s="691"/>
      <c r="F833" s="350"/>
      <c r="G833" s="355"/>
      <c r="H833" s="780"/>
      <c r="I833" s="691"/>
      <c r="J833" s="691"/>
      <c r="K833" s="691"/>
      <c r="L833" s="691"/>
      <c r="M833" s="691"/>
      <c r="N833" s="691"/>
      <c r="O833" s="930"/>
      <c r="P833" s="909"/>
      <c r="Q833" s="931"/>
      <c r="R833" s="310"/>
      <c r="S833" s="310"/>
      <c r="T833" s="691"/>
      <c r="U833" s="691"/>
      <c r="V833" s="355"/>
      <c r="W833" s="932"/>
      <c r="X833" s="310"/>
      <c r="Y833" s="310"/>
      <c r="Z833" s="933"/>
      <c r="AA833" s="310"/>
      <c r="AB833" s="691"/>
      <c r="AC833" s="933"/>
      <c r="AD833" s="691"/>
      <c r="AE833" s="691"/>
      <c r="AF833" s="934"/>
      <c r="AG833" s="934"/>
      <c r="AH833" s="888"/>
      <c r="AI833" s="888"/>
      <c r="AJ833" s="310"/>
      <c r="AK833" s="310"/>
      <c r="AL833" s="310"/>
      <c r="AM833" s="1"/>
      <c r="AN833" s="691"/>
      <c r="AO833" s="1"/>
      <c r="AP833" s="1"/>
    </row>
    <row r="834">
      <c r="A834" s="929"/>
      <c r="B834" s="691"/>
      <c r="C834" s="310"/>
      <c r="D834" s="691"/>
      <c r="E834" s="691"/>
      <c r="F834" s="350"/>
      <c r="G834" s="355"/>
      <c r="H834" s="780"/>
      <c r="I834" s="691"/>
      <c r="J834" s="691"/>
      <c r="K834" s="691"/>
      <c r="L834" s="691"/>
      <c r="M834" s="691"/>
      <c r="N834" s="691"/>
      <c r="O834" s="930"/>
      <c r="P834" s="909"/>
      <c r="Q834" s="931"/>
      <c r="R834" s="310"/>
      <c r="S834" s="310"/>
      <c r="T834" s="691"/>
      <c r="U834" s="691"/>
      <c r="V834" s="355"/>
      <c r="W834" s="932"/>
      <c r="X834" s="310"/>
      <c r="Y834" s="310"/>
      <c r="Z834" s="933"/>
      <c r="AA834" s="310"/>
      <c r="AB834" s="691"/>
      <c r="AC834" s="933"/>
      <c r="AD834" s="691"/>
      <c r="AE834" s="691"/>
      <c r="AF834" s="934"/>
      <c r="AG834" s="934"/>
      <c r="AH834" s="888"/>
      <c r="AI834" s="888"/>
      <c r="AJ834" s="310"/>
      <c r="AK834" s="310"/>
      <c r="AL834" s="310"/>
      <c r="AM834" s="1"/>
      <c r="AN834" s="691"/>
      <c r="AO834" s="1"/>
      <c r="AP834" s="1"/>
    </row>
    <row r="835">
      <c r="A835" s="929"/>
      <c r="B835" s="691"/>
      <c r="C835" s="310"/>
      <c r="D835" s="691"/>
      <c r="E835" s="691"/>
      <c r="F835" s="350"/>
      <c r="G835" s="355"/>
      <c r="H835" s="780"/>
      <c r="I835" s="691"/>
      <c r="J835" s="691"/>
      <c r="K835" s="691"/>
      <c r="L835" s="691"/>
      <c r="M835" s="691"/>
      <c r="N835" s="691"/>
      <c r="O835" s="930"/>
      <c r="P835" s="909"/>
      <c r="Q835" s="931"/>
      <c r="R835" s="310"/>
      <c r="S835" s="310"/>
      <c r="T835" s="691"/>
      <c r="U835" s="691"/>
      <c r="V835" s="355"/>
      <c r="W835" s="932"/>
      <c r="X835" s="310"/>
      <c r="Y835" s="310"/>
      <c r="Z835" s="933"/>
      <c r="AA835" s="310"/>
      <c r="AB835" s="691"/>
      <c r="AC835" s="933"/>
      <c r="AD835" s="691"/>
      <c r="AE835" s="691"/>
      <c r="AF835" s="934"/>
      <c r="AG835" s="934"/>
      <c r="AH835" s="888"/>
      <c r="AI835" s="888"/>
      <c r="AJ835" s="310"/>
      <c r="AK835" s="310"/>
      <c r="AL835" s="310"/>
      <c r="AM835" s="1"/>
      <c r="AN835" s="691"/>
      <c r="AO835" s="1"/>
      <c r="AP835" s="1"/>
    </row>
    <row r="836">
      <c r="A836" s="929"/>
      <c r="B836" s="691"/>
      <c r="C836" s="310"/>
      <c r="D836" s="691"/>
      <c r="E836" s="691"/>
      <c r="F836" s="350"/>
      <c r="G836" s="355"/>
      <c r="H836" s="780"/>
      <c r="I836" s="691"/>
      <c r="J836" s="691"/>
      <c r="K836" s="691"/>
      <c r="L836" s="691"/>
      <c r="M836" s="691"/>
      <c r="N836" s="691"/>
      <c r="O836" s="930"/>
      <c r="P836" s="909"/>
      <c r="Q836" s="931"/>
      <c r="R836" s="310"/>
      <c r="S836" s="310"/>
      <c r="T836" s="691"/>
      <c r="U836" s="691"/>
      <c r="V836" s="355"/>
      <c r="W836" s="932"/>
      <c r="X836" s="310"/>
      <c r="Y836" s="310"/>
      <c r="Z836" s="933"/>
      <c r="AA836" s="310"/>
      <c r="AB836" s="691"/>
      <c r="AC836" s="933"/>
      <c r="AD836" s="691"/>
      <c r="AE836" s="691"/>
      <c r="AF836" s="934"/>
      <c r="AG836" s="934"/>
      <c r="AH836" s="888"/>
      <c r="AI836" s="888"/>
      <c r="AJ836" s="310"/>
      <c r="AK836" s="310"/>
      <c r="AL836" s="310"/>
      <c r="AM836" s="1"/>
      <c r="AN836" s="691"/>
      <c r="AO836" s="1"/>
      <c r="AP836" s="1"/>
    </row>
    <row r="837">
      <c r="A837" s="929"/>
      <c r="B837" s="691"/>
      <c r="C837" s="310"/>
      <c r="D837" s="691"/>
      <c r="E837" s="691"/>
      <c r="F837" s="350"/>
      <c r="G837" s="355"/>
      <c r="H837" s="780"/>
      <c r="I837" s="691"/>
      <c r="J837" s="691"/>
      <c r="K837" s="691"/>
      <c r="L837" s="691"/>
      <c r="M837" s="691"/>
      <c r="N837" s="691"/>
      <c r="O837" s="930"/>
      <c r="P837" s="909"/>
      <c r="Q837" s="931"/>
      <c r="R837" s="310"/>
      <c r="S837" s="310"/>
      <c r="T837" s="691"/>
      <c r="U837" s="691"/>
      <c r="V837" s="355"/>
      <c r="W837" s="932"/>
      <c r="X837" s="310"/>
      <c r="Y837" s="310"/>
      <c r="Z837" s="933"/>
      <c r="AA837" s="310"/>
      <c r="AB837" s="691"/>
      <c r="AC837" s="933"/>
      <c r="AD837" s="691"/>
      <c r="AE837" s="691"/>
      <c r="AF837" s="934"/>
      <c r="AG837" s="934"/>
      <c r="AH837" s="888"/>
      <c r="AI837" s="888"/>
      <c r="AJ837" s="310"/>
      <c r="AK837" s="310"/>
      <c r="AL837" s="310"/>
      <c r="AM837" s="1"/>
      <c r="AN837" s="691"/>
      <c r="AO837" s="1"/>
      <c r="AP837" s="1"/>
    </row>
    <row r="838">
      <c r="A838" s="929"/>
      <c r="B838" s="691"/>
      <c r="C838" s="310"/>
      <c r="D838" s="691"/>
      <c r="E838" s="691"/>
      <c r="F838" s="350"/>
      <c r="G838" s="355"/>
      <c r="H838" s="780"/>
      <c r="I838" s="691"/>
      <c r="J838" s="691"/>
      <c r="K838" s="691"/>
      <c r="L838" s="691"/>
      <c r="M838" s="691"/>
      <c r="N838" s="691"/>
      <c r="O838" s="930"/>
      <c r="P838" s="909"/>
      <c r="Q838" s="931"/>
      <c r="R838" s="310"/>
      <c r="S838" s="310"/>
      <c r="T838" s="691"/>
      <c r="U838" s="691"/>
      <c r="V838" s="355"/>
      <c r="W838" s="932"/>
      <c r="X838" s="310"/>
      <c r="Y838" s="310"/>
      <c r="Z838" s="933"/>
      <c r="AA838" s="310"/>
      <c r="AB838" s="691"/>
      <c r="AC838" s="933"/>
      <c r="AD838" s="691"/>
      <c r="AE838" s="691"/>
      <c r="AF838" s="934"/>
      <c r="AG838" s="934"/>
      <c r="AH838" s="888"/>
      <c r="AI838" s="888"/>
      <c r="AJ838" s="310"/>
      <c r="AK838" s="310"/>
      <c r="AL838" s="310"/>
      <c r="AM838" s="1"/>
      <c r="AN838" s="691"/>
      <c r="AO838" s="1"/>
      <c r="AP838" s="1"/>
    </row>
    <row r="839">
      <c r="A839" s="929"/>
      <c r="B839" s="691"/>
      <c r="C839" s="310"/>
      <c r="D839" s="691"/>
      <c r="E839" s="691"/>
      <c r="F839" s="350"/>
      <c r="G839" s="355"/>
      <c r="H839" s="780"/>
      <c r="I839" s="691"/>
      <c r="J839" s="691"/>
      <c r="K839" s="691"/>
      <c r="L839" s="691"/>
      <c r="M839" s="691"/>
      <c r="N839" s="691"/>
      <c r="O839" s="930"/>
      <c r="P839" s="909"/>
      <c r="Q839" s="931"/>
      <c r="R839" s="310"/>
      <c r="S839" s="310"/>
      <c r="T839" s="691"/>
      <c r="U839" s="691"/>
      <c r="V839" s="355"/>
      <c r="W839" s="932"/>
      <c r="X839" s="310"/>
      <c r="Y839" s="310"/>
      <c r="Z839" s="933"/>
      <c r="AA839" s="310"/>
      <c r="AB839" s="691"/>
      <c r="AC839" s="933"/>
      <c r="AD839" s="691"/>
      <c r="AE839" s="691"/>
      <c r="AF839" s="934"/>
      <c r="AG839" s="934"/>
      <c r="AH839" s="888"/>
      <c r="AI839" s="888"/>
      <c r="AJ839" s="310"/>
      <c r="AK839" s="310"/>
      <c r="AL839" s="310"/>
      <c r="AM839" s="1"/>
      <c r="AN839" s="691"/>
      <c r="AO839" s="1"/>
      <c r="AP839" s="1"/>
    </row>
    <row r="840">
      <c r="A840" s="929"/>
      <c r="B840" s="691"/>
      <c r="C840" s="310"/>
      <c r="D840" s="691"/>
      <c r="E840" s="691"/>
      <c r="F840" s="350"/>
      <c r="G840" s="355"/>
      <c r="H840" s="780"/>
      <c r="I840" s="691"/>
      <c r="J840" s="691"/>
      <c r="K840" s="691"/>
      <c r="L840" s="691"/>
      <c r="M840" s="691"/>
      <c r="N840" s="691"/>
      <c r="O840" s="930"/>
      <c r="P840" s="909"/>
      <c r="Q840" s="931"/>
      <c r="R840" s="310"/>
      <c r="S840" s="310"/>
      <c r="T840" s="691"/>
      <c r="U840" s="691"/>
      <c r="V840" s="355"/>
      <c r="W840" s="932"/>
      <c r="X840" s="310"/>
      <c r="Y840" s="310"/>
      <c r="Z840" s="933"/>
      <c r="AA840" s="310"/>
      <c r="AB840" s="691"/>
      <c r="AC840" s="933"/>
      <c r="AD840" s="691"/>
      <c r="AE840" s="691"/>
      <c r="AF840" s="934"/>
      <c r="AG840" s="934"/>
      <c r="AH840" s="888"/>
      <c r="AI840" s="888"/>
      <c r="AJ840" s="310"/>
      <c r="AK840" s="310"/>
      <c r="AL840" s="310"/>
      <c r="AM840" s="1"/>
      <c r="AN840" s="691"/>
      <c r="AO840" s="1"/>
      <c r="AP840" s="1"/>
    </row>
    <row r="841">
      <c r="A841" s="929"/>
      <c r="B841" s="691"/>
      <c r="C841" s="310"/>
      <c r="D841" s="691"/>
      <c r="E841" s="691"/>
      <c r="F841" s="350"/>
      <c r="G841" s="355"/>
      <c r="H841" s="780"/>
      <c r="I841" s="691"/>
      <c r="J841" s="691"/>
      <c r="K841" s="691"/>
      <c r="L841" s="691"/>
      <c r="M841" s="691"/>
      <c r="N841" s="691"/>
      <c r="O841" s="930"/>
      <c r="P841" s="909"/>
      <c r="Q841" s="931"/>
      <c r="R841" s="310"/>
      <c r="S841" s="310"/>
      <c r="T841" s="691"/>
      <c r="U841" s="691"/>
      <c r="V841" s="355"/>
      <c r="W841" s="932"/>
      <c r="X841" s="310"/>
      <c r="Y841" s="310"/>
      <c r="Z841" s="933"/>
      <c r="AA841" s="310"/>
      <c r="AB841" s="691"/>
      <c r="AC841" s="933"/>
      <c r="AD841" s="691"/>
      <c r="AE841" s="691"/>
      <c r="AF841" s="934"/>
      <c r="AG841" s="934"/>
      <c r="AH841" s="888"/>
      <c r="AI841" s="888"/>
      <c r="AJ841" s="310"/>
      <c r="AK841" s="310"/>
      <c r="AL841" s="310"/>
      <c r="AM841" s="1"/>
      <c r="AN841" s="691"/>
      <c r="AO841" s="1"/>
      <c r="AP841" s="1"/>
    </row>
    <row r="842">
      <c r="A842" s="929"/>
      <c r="B842" s="691"/>
      <c r="C842" s="310"/>
      <c r="D842" s="691"/>
      <c r="E842" s="691"/>
      <c r="F842" s="350"/>
      <c r="G842" s="355"/>
      <c r="H842" s="780"/>
      <c r="I842" s="691"/>
      <c r="J842" s="691"/>
      <c r="K842" s="691"/>
      <c r="L842" s="691"/>
      <c r="M842" s="691"/>
      <c r="N842" s="691"/>
      <c r="O842" s="930"/>
      <c r="P842" s="909"/>
      <c r="Q842" s="931"/>
      <c r="R842" s="310"/>
      <c r="S842" s="310"/>
      <c r="T842" s="691"/>
      <c r="U842" s="691"/>
      <c r="V842" s="355"/>
      <c r="W842" s="932"/>
      <c r="X842" s="310"/>
      <c r="Y842" s="310"/>
      <c r="Z842" s="933"/>
      <c r="AA842" s="310"/>
      <c r="AB842" s="691"/>
      <c r="AC842" s="933"/>
      <c r="AD842" s="691"/>
      <c r="AE842" s="691"/>
      <c r="AF842" s="934"/>
      <c r="AG842" s="934"/>
      <c r="AH842" s="888"/>
      <c r="AI842" s="888"/>
      <c r="AJ842" s="310"/>
      <c r="AK842" s="310"/>
      <c r="AL842" s="310"/>
      <c r="AM842" s="1"/>
      <c r="AN842" s="691"/>
      <c r="AO842" s="1"/>
      <c r="AP842" s="1"/>
    </row>
    <row r="843">
      <c r="A843" s="929"/>
      <c r="B843" s="691"/>
      <c r="C843" s="310"/>
      <c r="D843" s="691"/>
      <c r="E843" s="691"/>
      <c r="F843" s="350"/>
      <c r="G843" s="355"/>
      <c r="H843" s="780"/>
      <c r="I843" s="691"/>
      <c r="J843" s="691"/>
      <c r="K843" s="691"/>
      <c r="L843" s="691"/>
      <c r="M843" s="691"/>
      <c r="N843" s="691"/>
      <c r="O843" s="930"/>
      <c r="P843" s="909"/>
      <c r="Q843" s="931"/>
      <c r="R843" s="310"/>
      <c r="S843" s="310"/>
      <c r="T843" s="691"/>
      <c r="U843" s="691"/>
      <c r="V843" s="355"/>
      <c r="W843" s="932"/>
      <c r="X843" s="310"/>
      <c r="Y843" s="310"/>
      <c r="Z843" s="933"/>
      <c r="AA843" s="310"/>
      <c r="AB843" s="691"/>
      <c r="AC843" s="933"/>
      <c r="AD843" s="691"/>
      <c r="AE843" s="691"/>
      <c r="AF843" s="934"/>
      <c r="AG843" s="934"/>
      <c r="AH843" s="888"/>
      <c r="AI843" s="888"/>
      <c r="AJ843" s="310"/>
      <c r="AK843" s="310"/>
      <c r="AL843" s="310"/>
      <c r="AM843" s="1"/>
      <c r="AN843" s="691"/>
      <c r="AO843" s="1"/>
      <c r="AP843" s="1"/>
    </row>
    <row r="844">
      <c r="A844" s="929"/>
      <c r="B844" s="691"/>
      <c r="C844" s="310"/>
      <c r="D844" s="691"/>
      <c r="E844" s="691"/>
      <c r="F844" s="350"/>
      <c r="G844" s="355"/>
      <c r="H844" s="780"/>
      <c r="I844" s="691"/>
      <c r="J844" s="691"/>
      <c r="K844" s="691"/>
      <c r="L844" s="691"/>
      <c r="M844" s="691"/>
      <c r="N844" s="691"/>
      <c r="O844" s="930"/>
      <c r="P844" s="909"/>
      <c r="Q844" s="931"/>
      <c r="R844" s="310"/>
      <c r="S844" s="310"/>
      <c r="T844" s="691"/>
      <c r="U844" s="691"/>
      <c r="V844" s="355"/>
      <c r="W844" s="932"/>
      <c r="X844" s="310"/>
      <c r="Y844" s="310"/>
      <c r="Z844" s="933"/>
      <c r="AA844" s="310"/>
      <c r="AB844" s="691"/>
      <c r="AC844" s="933"/>
      <c r="AD844" s="691"/>
      <c r="AE844" s="691"/>
      <c r="AF844" s="934"/>
      <c r="AG844" s="934"/>
      <c r="AH844" s="888"/>
      <c r="AI844" s="888"/>
      <c r="AJ844" s="310"/>
      <c r="AK844" s="310"/>
      <c r="AL844" s="310"/>
      <c r="AM844" s="1"/>
      <c r="AN844" s="691"/>
      <c r="AO844" s="1"/>
      <c r="AP844" s="1"/>
    </row>
    <row r="845">
      <c r="A845" s="929"/>
      <c r="B845" s="691"/>
      <c r="C845" s="310"/>
      <c r="D845" s="691"/>
      <c r="E845" s="691"/>
      <c r="F845" s="350"/>
      <c r="G845" s="355"/>
      <c r="H845" s="780"/>
      <c r="I845" s="691"/>
      <c r="J845" s="691"/>
      <c r="K845" s="691"/>
      <c r="L845" s="691"/>
      <c r="M845" s="691"/>
      <c r="N845" s="691"/>
      <c r="O845" s="930"/>
      <c r="P845" s="909"/>
      <c r="Q845" s="931"/>
      <c r="R845" s="310"/>
      <c r="S845" s="310"/>
      <c r="T845" s="691"/>
      <c r="U845" s="691"/>
      <c r="V845" s="355"/>
      <c r="W845" s="932"/>
      <c r="X845" s="310"/>
      <c r="Y845" s="310"/>
      <c r="Z845" s="933"/>
      <c r="AA845" s="310"/>
      <c r="AB845" s="691"/>
      <c r="AC845" s="933"/>
      <c r="AD845" s="691"/>
      <c r="AE845" s="691"/>
      <c r="AF845" s="934"/>
      <c r="AG845" s="934"/>
      <c r="AH845" s="888"/>
      <c r="AI845" s="888"/>
      <c r="AJ845" s="310"/>
      <c r="AK845" s="310"/>
      <c r="AL845" s="310"/>
      <c r="AM845" s="1"/>
      <c r="AN845" s="691"/>
      <c r="AO845" s="1"/>
      <c r="AP845" s="1"/>
    </row>
    <row r="846">
      <c r="A846" s="929"/>
      <c r="B846" s="691"/>
      <c r="C846" s="310"/>
      <c r="D846" s="691"/>
      <c r="E846" s="691"/>
      <c r="F846" s="350"/>
      <c r="G846" s="355"/>
      <c r="H846" s="780"/>
      <c r="I846" s="691"/>
      <c r="J846" s="691"/>
      <c r="K846" s="691"/>
      <c r="L846" s="691"/>
      <c r="M846" s="691"/>
      <c r="N846" s="691"/>
      <c r="O846" s="930"/>
      <c r="P846" s="909"/>
      <c r="Q846" s="931"/>
      <c r="R846" s="310"/>
      <c r="S846" s="310"/>
      <c r="T846" s="691"/>
      <c r="U846" s="691"/>
      <c r="V846" s="355"/>
      <c r="W846" s="932"/>
      <c r="X846" s="310"/>
      <c r="Y846" s="310"/>
      <c r="Z846" s="933"/>
      <c r="AA846" s="310"/>
      <c r="AB846" s="691"/>
      <c r="AC846" s="933"/>
      <c r="AD846" s="691"/>
      <c r="AE846" s="691"/>
      <c r="AF846" s="934"/>
      <c r="AG846" s="934"/>
      <c r="AH846" s="888"/>
      <c r="AI846" s="888"/>
      <c r="AJ846" s="310"/>
      <c r="AK846" s="310"/>
      <c r="AL846" s="310"/>
      <c r="AM846" s="1"/>
      <c r="AN846" s="691"/>
      <c r="AO846" s="1"/>
      <c r="AP846" s="1"/>
    </row>
    <row r="847">
      <c r="A847" s="929"/>
      <c r="B847" s="691"/>
      <c r="C847" s="310"/>
      <c r="D847" s="691"/>
      <c r="E847" s="691"/>
      <c r="F847" s="350"/>
      <c r="G847" s="355"/>
      <c r="H847" s="780"/>
      <c r="I847" s="691"/>
      <c r="J847" s="691"/>
      <c r="K847" s="691"/>
      <c r="L847" s="691"/>
      <c r="M847" s="691"/>
      <c r="N847" s="691"/>
      <c r="O847" s="930"/>
      <c r="P847" s="909"/>
      <c r="Q847" s="931"/>
      <c r="R847" s="310"/>
      <c r="S847" s="310"/>
      <c r="T847" s="691"/>
      <c r="U847" s="691"/>
      <c r="V847" s="355"/>
      <c r="W847" s="932"/>
      <c r="X847" s="310"/>
      <c r="Y847" s="310"/>
      <c r="Z847" s="933"/>
      <c r="AA847" s="310"/>
      <c r="AB847" s="691"/>
      <c r="AC847" s="933"/>
      <c r="AD847" s="691"/>
      <c r="AE847" s="691"/>
      <c r="AF847" s="934"/>
      <c r="AG847" s="934"/>
      <c r="AH847" s="888"/>
      <c r="AI847" s="888"/>
      <c r="AJ847" s="310"/>
      <c r="AK847" s="310"/>
      <c r="AL847" s="310"/>
      <c r="AM847" s="1"/>
      <c r="AN847" s="691"/>
      <c r="AO847" s="1"/>
      <c r="AP847" s="1"/>
    </row>
    <row r="848">
      <c r="A848" s="929"/>
      <c r="B848" s="691"/>
      <c r="C848" s="310"/>
      <c r="D848" s="691"/>
      <c r="E848" s="691"/>
      <c r="F848" s="350"/>
      <c r="G848" s="355"/>
      <c r="H848" s="780"/>
      <c r="I848" s="691"/>
      <c r="J848" s="691"/>
      <c r="K848" s="691"/>
      <c r="L848" s="691"/>
      <c r="M848" s="691"/>
      <c r="N848" s="691"/>
      <c r="O848" s="930"/>
      <c r="P848" s="909"/>
      <c r="Q848" s="931"/>
      <c r="R848" s="310"/>
      <c r="S848" s="310"/>
      <c r="T848" s="691"/>
      <c r="U848" s="691"/>
      <c r="V848" s="355"/>
      <c r="W848" s="932"/>
      <c r="X848" s="310"/>
      <c r="Y848" s="310"/>
      <c r="Z848" s="933"/>
      <c r="AA848" s="310"/>
      <c r="AB848" s="691"/>
      <c r="AC848" s="933"/>
      <c r="AD848" s="691"/>
      <c r="AE848" s="691"/>
      <c r="AF848" s="934"/>
      <c r="AG848" s="934"/>
      <c r="AH848" s="888"/>
      <c r="AI848" s="888"/>
      <c r="AJ848" s="310"/>
      <c r="AK848" s="310"/>
      <c r="AL848" s="310"/>
      <c r="AM848" s="1"/>
      <c r="AN848" s="691"/>
      <c r="AO848" s="1"/>
      <c r="AP848" s="1"/>
    </row>
    <row r="849">
      <c r="A849" s="929"/>
      <c r="B849" s="691"/>
      <c r="C849" s="310"/>
      <c r="D849" s="691"/>
      <c r="E849" s="691"/>
      <c r="F849" s="350"/>
      <c r="G849" s="355"/>
      <c r="H849" s="780"/>
      <c r="I849" s="691"/>
      <c r="J849" s="691"/>
      <c r="K849" s="691"/>
      <c r="L849" s="691"/>
      <c r="M849" s="691"/>
      <c r="N849" s="691"/>
      <c r="O849" s="930"/>
      <c r="P849" s="909"/>
      <c r="Q849" s="931"/>
      <c r="R849" s="310"/>
      <c r="S849" s="310"/>
      <c r="T849" s="691"/>
      <c r="U849" s="691"/>
      <c r="V849" s="355"/>
      <c r="W849" s="932"/>
      <c r="X849" s="310"/>
      <c r="Y849" s="310"/>
      <c r="Z849" s="933"/>
      <c r="AA849" s="310"/>
      <c r="AB849" s="691"/>
      <c r="AC849" s="933"/>
      <c r="AD849" s="691"/>
      <c r="AE849" s="691"/>
      <c r="AF849" s="934"/>
      <c r="AG849" s="934"/>
      <c r="AH849" s="888"/>
      <c r="AI849" s="888"/>
      <c r="AJ849" s="310"/>
      <c r="AK849" s="310"/>
      <c r="AL849" s="310"/>
      <c r="AM849" s="1"/>
      <c r="AN849" s="691"/>
      <c r="AO849" s="1"/>
      <c r="AP849" s="1"/>
    </row>
    <row r="850">
      <c r="A850" s="929"/>
      <c r="B850" s="691"/>
      <c r="C850" s="310"/>
      <c r="D850" s="691"/>
      <c r="E850" s="691"/>
      <c r="F850" s="350"/>
      <c r="G850" s="355"/>
      <c r="H850" s="780"/>
      <c r="I850" s="691"/>
      <c r="J850" s="691"/>
      <c r="K850" s="691"/>
      <c r="L850" s="691"/>
      <c r="M850" s="691"/>
      <c r="N850" s="691"/>
      <c r="O850" s="930"/>
      <c r="P850" s="909"/>
      <c r="Q850" s="931"/>
      <c r="R850" s="310"/>
      <c r="S850" s="310"/>
      <c r="T850" s="691"/>
      <c r="U850" s="691"/>
      <c r="V850" s="355"/>
      <c r="W850" s="932"/>
      <c r="X850" s="310"/>
      <c r="Y850" s="310"/>
      <c r="Z850" s="933"/>
      <c r="AA850" s="310"/>
      <c r="AB850" s="691"/>
      <c r="AC850" s="933"/>
      <c r="AD850" s="691"/>
      <c r="AE850" s="691"/>
      <c r="AF850" s="934"/>
      <c r="AG850" s="934"/>
      <c r="AH850" s="888"/>
      <c r="AI850" s="888"/>
      <c r="AJ850" s="310"/>
      <c r="AK850" s="310"/>
      <c r="AL850" s="310"/>
      <c r="AM850" s="1"/>
      <c r="AN850" s="691"/>
      <c r="AO850" s="1"/>
      <c r="AP850" s="1"/>
    </row>
    <row r="851">
      <c r="A851" s="929"/>
      <c r="B851" s="691"/>
      <c r="C851" s="310"/>
      <c r="D851" s="691"/>
      <c r="E851" s="691"/>
      <c r="F851" s="350"/>
      <c r="G851" s="355"/>
      <c r="H851" s="780"/>
      <c r="I851" s="691"/>
      <c r="J851" s="691"/>
      <c r="K851" s="691"/>
      <c r="L851" s="691"/>
      <c r="M851" s="691"/>
      <c r="N851" s="691"/>
      <c r="O851" s="930"/>
      <c r="P851" s="909"/>
      <c r="Q851" s="931"/>
      <c r="R851" s="310"/>
      <c r="S851" s="310"/>
      <c r="T851" s="691"/>
      <c r="U851" s="691"/>
      <c r="V851" s="355"/>
      <c r="W851" s="932"/>
      <c r="X851" s="310"/>
      <c r="Y851" s="310"/>
      <c r="Z851" s="933"/>
      <c r="AA851" s="310"/>
      <c r="AB851" s="691"/>
      <c r="AC851" s="933"/>
      <c r="AD851" s="691"/>
      <c r="AE851" s="691"/>
      <c r="AF851" s="934"/>
      <c r="AG851" s="934"/>
      <c r="AH851" s="888"/>
      <c r="AI851" s="888"/>
      <c r="AJ851" s="310"/>
      <c r="AK851" s="310"/>
      <c r="AL851" s="310"/>
      <c r="AM851" s="1"/>
      <c r="AN851" s="691"/>
      <c r="AO851" s="1"/>
      <c r="AP851" s="1"/>
    </row>
    <row r="852">
      <c r="A852" s="929"/>
      <c r="B852" s="691"/>
      <c r="C852" s="310"/>
      <c r="D852" s="691"/>
      <c r="E852" s="691"/>
      <c r="F852" s="350"/>
      <c r="G852" s="355"/>
      <c r="H852" s="780"/>
      <c r="I852" s="691"/>
      <c r="J852" s="691"/>
      <c r="K852" s="691"/>
      <c r="L852" s="691"/>
      <c r="M852" s="691"/>
      <c r="N852" s="691"/>
      <c r="O852" s="930"/>
      <c r="P852" s="909"/>
      <c r="Q852" s="931"/>
      <c r="R852" s="310"/>
      <c r="S852" s="310"/>
      <c r="T852" s="691"/>
      <c r="U852" s="691"/>
      <c r="V852" s="355"/>
      <c r="W852" s="932"/>
      <c r="X852" s="310"/>
      <c r="Y852" s="310"/>
      <c r="Z852" s="933"/>
      <c r="AA852" s="310"/>
      <c r="AB852" s="691"/>
      <c r="AC852" s="933"/>
      <c r="AD852" s="691"/>
      <c r="AE852" s="691"/>
      <c r="AF852" s="934"/>
      <c r="AG852" s="934"/>
      <c r="AH852" s="888"/>
      <c r="AI852" s="888"/>
      <c r="AJ852" s="310"/>
      <c r="AK852" s="310"/>
      <c r="AL852" s="310"/>
      <c r="AM852" s="1"/>
      <c r="AN852" s="691"/>
      <c r="AO852" s="1"/>
      <c r="AP852" s="1"/>
    </row>
    <row r="853">
      <c r="A853" s="929"/>
      <c r="B853" s="691"/>
      <c r="C853" s="310"/>
      <c r="D853" s="691"/>
      <c r="E853" s="691"/>
      <c r="F853" s="350"/>
      <c r="G853" s="355"/>
      <c r="H853" s="780"/>
      <c r="I853" s="691"/>
      <c r="J853" s="691"/>
      <c r="K853" s="691"/>
      <c r="L853" s="691"/>
      <c r="M853" s="691"/>
      <c r="N853" s="691"/>
      <c r="O853" s="930"/>
      <c r="P853" s="909"/>
      <c r="Q853" s="931"/>
      <c r="R853" s="310"/>
      <c r="S853" s="310"/>
      <c r="T853" s="691"/>
      <c r="U853" s="691"/>
      <c r="V853" s="355"/>
      <c r="W853" s="932"/>
      <c r="X853" s="310"/>
      <c r="Y853" s="310"/>
      <c r="Z853" s="933"/>
      <c r="AA853" s="310"/>
      <c r="AB853" s="691"/>
      <c r="AC853" s="933"/>
      <c r="AD853" s="691"/>
      <c r="AE853" s="691"/>
      <c r="AF853" s="934"/>
      <c r="AG853" s="934"/>
      <c r="AH853" s="888"/>
      <c r="AI853" s="888"/>
      <c r="AJ853" s="310"/>
      <c r="AK853" s="310"/>
      <c r="AL853" s="310"/>
      <c r="AM853" s="1"/>
      <c r="AN853" s="691"/>
      <c r="AO853" s="1"/>
      <c r="AP853" s="1"/>
    </row>
    <row r="854">
      <c r="A854" s="929"/>
      <c r="B854" s="691"/>
      <c r="C854" s="310"/>
      <c r="D854" s="691"/>
      <c r="E854" s="691"/>
      <c r="F854" s="350"/>
      <c r="G854" s="355"/>
      <c r="H854" s="780"/>
      <c r="I854" s="691"/>
      <c r="J854" s="691"/>
      <c r="K854" s="691"/>
      <c r="L854" s="691"/>
      <c r="M854" s="691"/>
      <c r="N854" s="691"/>
      <c r="O854" s="930"/>
      <c r="P854" s="909"/>
      <c r="Q854" s="931"/>
      <c r="R854" s="310"/>
      <c r="S854" s="310"/>
      <c r="T854" s="691"/>
      <c r="U854" s="691"/>
      <c r="V854" s="355"/>
      <c r="W854" s="932"/>
      <c r="X854" s="310"/>
      <c r="Y854" s="310"/>
      <c r="Z854" s="933"/>
      <c r="AA854" s="310"/>
      <c r="AB854" s="691"/>
      <c r="AC854" s="933"/>
      <c r="AD854" s="691"/>
      <c r="AE854" s="691"/>
      <c r="AF854" s="934"/>
      <c r="AG854" s="934"/>
      <c r="AH854" s="888"/>
      <c r="AI854" s="888"/>
      <c r="AJ854" s="310"/>
      <c r="AK854" s="310"/>
      <c r="AL854" s="310"/>
      <c r="AM854" s="1"/>
      <c r="AN854" s="691"/>
      <c r="AO854" s="1"/>
      <c r="AP854" s="1"/>
    </row>
    <row r="855">
      <c r="A855" s="929"/>
      <c r="B855" s="691"/>
      <c r="C855" s="310"/>
      <c r="D855" s="691"/>
      <c r="E855" s="691"/>
      <c r="F855" s="350"/>
      <c r="G855" s="355"/>
      <c r="H855" s="780"/>
      <c r="I855" s="691"/>
      <c r="J855" s="691"/>
      <c r="K855" s="691"/>
      <c r="L855" s="691"/>
      <c r="M855" s="691"/>
      <c r="N855" s="691"/>
      <c r="O855" s="930"/>
      <c r="P855" s="909"/>
      <c r="Q855" s="931"/>
      <c r="R855" s="310"/>
      <c r="S855" s="310"/>
      <c r="T855" s="691"/>
      <c r="U855" s="691"/>
      <c r="V855" s="355"/>
      <c r="W855" s="932"/>
      <c r="X855" s="310"/>
      <c r="Y855" s="310"/>
      <c r="Z855" s="933"/>
      <c r="AA855" s="310"/>
      <c r="AB855" s="691"/>
      <c r="AC855" s="933"/>
      <c r="AD855" s="691"/>
      <c r="AE855" s="691"/>
      <c r="AF855" s="934"/>
      <c r="AG855" s="934"/>
      <c r="AH855" s="888"/>
      <c r="AI855" s="888"/>
      <c r="AJ855" s="310"/>
      <c r="AK855" s="310"/>
      <c r="AL855" s="310"/>
      <c r="AM855" s="1"/>
      <c r="AN855" s="691"/>
      <c r="AO855" s="1"/>
      <c r="AP855" s="1"/>
    </row>
    <row r="856">
      <c r="A856" s="929"/>
      <c r="B856" s="691"/>
      <c r="C856" s="310"/>
      <c r="D856" s="691"/>
      <c r="E856" s="691"/>
      <c r="F856" s="350"/>
      <c r="G856" s="355"/>
      <c r="H856" s="780"/>
      <c r="I856" s="691"/>
      <c r="J856" s="691"/>
      <c r="K856" s="691"/>
      <c r="L856" s="691"/>
      <c r="M856" s="691"/>
      <c r="N856" s="691"/>
      <c r="O856" s="930"/>
      <c r="P856" s="909"/>
      <c r="Q856" s="931"/>
      <c r="R856" s="310"/>
      <c r="S856" s="310"/>
      <c r="T856" s="691"/>
      <c r="U856" s="691"/>
      <c r="V856" s="355"/>
      <c r="W856" s="932"/>
      <c r="X856" s="310"/>
      <c r="Y856" s="310"/>
      <c r="Z856" s="933"/>
      <c r="AA856" s="310"/>
      <c r="AB856" s="691"/>
      <c r="AC856" s="933"/>
      <c r="AD856" s="691"/>
      <c r="AE856" s="691"/>
      <c r="AF856" s="934"/>
      <c r="AG856" s="934"/>
      <c r="AH856" s="888"/>
      <c r="AI856" s="888"/>
      <c r="AJ856" s="310"/>
      <c r="AK856" s="310"/>
      <c r="AL856" s="310"/>
      <c r="AM856" s="1"/>
      <c r="AN856" s="691"/>
      <c r="AO856" s="1"/>
      <c r="AP856" s="1"/>
    </row>
    <row r="857">
      <c r="A857" s="929"/>
      <c r="B857" s="691"/>
      <c r="C857" s="310"/>
      <c r="D857" s="691"/>
      <c r="E857" s="691"/>
      <c r="F857" s="350"/>
      <c r="G857" s="355"/>
      <c r="H857" s="780"/>
      <c r="I857" s="691"/>
      <c r="J857" s="691"/>
      <c r="K857" s="691"/>
      <c r="L857" s="691"/>
      <c r="M857" s="691"/>
      <c r="N857" s="691"/>
      <c r="O857" s="930"/>
      <c r="P857" s="909"/>
      <c r="Q857" s="931"/>
      <c r="R857" s="310"/>
      <c r="S857" s="310"/>
      <c r="T857" s="691"/>
      <c r="U857" s="691"/>
      <c r="V857" s="355"/>
      <c r="W857" s="932"/>
      <c r="X857" s="310"/>
      <c r="Y857" s="310"/>
      <c r="Z857" s="933"/>
      <c r="AA857" s="310"/>
      <c r="AB857" s="691"/>
      <c r="AC857" s="933"/>
      <c r="AD857" s="691"/>
      <c r="AE857" s="691"/>
      <c r="AF857" s="934"/>
      <c r="AG857" s="934"/>
      <c r="AH857" s="888"/>
      <c r="AI857" s="888"/>
      <c r="AJ857" s="310"/>
      <c r="AK857" s="310"/>
      <c r="AL857" s="310"/>
      <c r="AM857" s="1"/>
      <c r="AN857" s="691"/>
      <c r="AO857" s="1"/>
      <c r="AP857" s="1"/>
    </row>
    <row r="858">
      <c r="A858" s="929"/>
      <c r="B858" s="691"/>
      <c r="C858" s="310"/>
      <c r="D858" s="691"/>
      <c r="E858" s="691"/>
      <c r="F858" s="350"/>
      <c r="G858" s="355"/>
      <c r="H858" s="780"/>
      <c r="I858" s="691"/>
      <c r="J858" s="691"/>
      <c r="K858" s="691"/>
      <c r="L858" s="691"/>
      <c r="M858" s="691"/>
      <c r="N858" s="691"/>
      <c r="O858" s="930"/>
      <c r="P858" s="909"/>
      <c r="Q858" s="931"/>
      <c r="R858" s="310"/>
      <c r="S858" s="310"/>
      <c r="T858" s="691"/>
      <c r="U858" s="691"/>
      <c r="V858" s="355"/>
      <c r="W858" s="932"/>
      <c r="X858" s="310"/>
      <c r="Y858" s="310"/>
      <c r="Z858" s="933"/>
      <c r="AA858" s="310"/>
      <c r="AB858" s="691"/>
      <c r="AC858" s="933"/>
      <c r="AD858" s="691"/>
      <c r="AE858" s="691"/>
      <c r="AF858" s="934"/>
      <c r="AG858" s="934"/>
      <c r="AH858" s="888"/>
      <c r="AI858" s="888"/>
      <c r="AJ858" s="310"/>
      <c r="AK858" s="310"/>
      <c r="AL858" s="310"/>
      <c r="AM858" s="1"/>
      <c r="AN858" s="691"/>
      <c r="AO858" s="1"/>
      <c r="AP858" s="1"/>
    </row>
    <row r="859">
      <c r="A859" s="929"/>
      <c r="B859" s="691"/>
      <c r="C859" s="310"/>
      <c r="D859" s="691"/>
      <c r="E859" s="691"/>
      <c r="F859" s="350"/>
      <c r="G859" s="355"/>
      <c r="H859" s="780"/>
      <c r="I859" s="691"/>
      <c r="J859" s="691"/>
      <c r="K859" s="691"/>
      <c r="L859" s="691"/>
      <c r="M859" s="691"/>
      <c r="N859" s="691"/>
      <c r="O859" s="930"/>
      <c r="P859" s="909"/>
      <c r="Q859" s="931"/>
      <c r="R859" s="310"/>
      <c r="S859" s="310"/>
      <c r="T859" s="691"/>
      <c r="U859" s="691"/>
      <c r="V859" s="355"/>
      <c r="W859" s="932"/>
      <c r="X859" s="310"/>
      <c r="Y859" s="310"/>
      <c r="Z859" s="933"/>
      <c r="AA859" s="310"/>
      <c r="AB859" s="691"/>
      <c r="AC859" s="933"/>
      <c r="AD859" s="691"/>
      <c r="AE859" s="691"/>
      <c r="AF859" s="934"/>
      <c r="AG859" s="934"/>
      <c r="AH859" s="888"/>
      <c r="AI859" s="888"/>
      <c r="AJ859" s="310"/>
      <c r="AK859" s="310"/>
      <c r="AL859" s="310"/>
      <c r="AM859" s="1"/>
      <c r="AN859" s="691"/>
      <c r="AO859" s="1"/>
      <c r="AP859" s="1"/>
    </row>
    <row r="860">
      <c r="A860" s="929"/>
      <c r="B860" s="691"/>
      <c r="C860" s="310"/>
      <c r="D860" s="691"/>
      <c r="E860" s="691"/>
      <c r="F860" s="350"/>
      <c r="G860" s="355"/>
      <c r="H860" s="780"/>
      <c r="I860" s="691"/>
      <c r="J860" s="691"/>
      <c r="K860" s="691"/>
      <c r="L860" s="691"/>
      <c r="M860" s="691"/>
      <c r="N860" s="691"/>
      <c r="O860" s="930"/>
      <c r="P860" s="909"/>
      <c r="Q860" s="931"/>
      <c r="R860" s="310"/>
      <c r="S860" s="310"/>
      <c r="T860" s="691"/>
      <c r="U860" s="691"/>
      <c r="V860" s="355"/>
      <c r="W860" s="932"/>
      <c r="X860" s="310"/>
      <c r="Y860" s="310"/>
      <c r="Z860" s="933"/>
      <c r="AA860" s="310"/>
      <c r="AB860" s="691"/>
      <c r="AC860" s="933"/>
      <c r="AD860" s="691"/>
      <c r="AE860" s="691"/>
      <c r="AF860" s="934"/>
      <c r="AG860" s="934"/>
      <c r="AH860" s="888"/>
      <c r="AI860" s="888"/>
      <c r="AJ860" s="310"/>
      <c r="AK860" s="310"/>
      <c r="AL860" s="310"/>
      <c r="AM860" s="1"/>
      <c r="AN860" s="691"/>
      <c r="AO860" s="1"/>
      <c r="AP860" s="1"/>
    </row>
    <row r="861">
      <c r="A861" s="929"/>
      <c r="B861" s="691"/>
      <c r="C861" s="310"/>
      <c r="D861" s="691"/>
      <c r="E861" s="691"/>
      <c r="F861" s="350"/>
      <c r="G861" s="355"/>
      <c r="H861" s="780"/>
      <c r="I861" s="691"/>
      <c r="J861" s="691"/>
      <c r="K861" s="691"/>
      <c r="L861" s="691"/>
      <c r="M861" s="691"/>
      <c r="N861" s="691"/>
      <c r="O861" s="930"/>
      <c r="P861" s="909"/>
      <c r="Q861" s="931"/>
      <c r="R861" s="310"/>
      <c r="S861" s="310"/>
      <c r="T861" s="691"/>
      <c r="U861" s="691"/>
      <c r="V861" s="355"/>
      <c r="W861" s="932"/>
      <c r="X861" s="310"/>
      <c r="Y861" s="310"/>
      <c r="Z861" s="933"/>
      <c r="AA861" s="310"/>
      <c r="AB861" s="691"/>
      <c r="AC861" s="933"/>
      <c r="AD861" s="691"/>
      <c r="AE861" s="691"/>
      <c r="AF861" s="934"/>
      <c r="AG861" s="934"/>
      <c r="AH861" s="888"/>
      <c r="AI861" s="888"/>
      <c r="AJ861" s="310"/>
      <c r="AK861" s="310"/>
      <c r="AL861" s="310"/>
      <c r="AM861" s="1"/>
      <c r="AN861" s="691"/>
      <c r="AO861" s="1"/>
      <c r="AP861" s="1"/>
    </row>
    <row r="862">
      <c r="A862" s="929"/>
      <c r="B862" s="691"/>
      <c r="C862" s="310"/>
      <c r="D862" s="691"/>
      <c r="E862" s="691"/>
      <c r="F862" s="350"/>
      <c r="G862" s="355"/>
      <c r="H862" s="780"/>
      <c r="I862" s="691"/>
      <c r="J862" s="691"/>
      <c r="K862" s="691"/>
      <c r="L862" s="691"/>
      <c r="M862" s="691"/>
      <c r="N862" s="691"/>
      <c r="O862" s="930"/>
      <c r="P862" s="909"/>
      <c r="Q862" s="931"/>
      <c r="R862" s="310"/>
      <c r="S862" s="310"/>
      <c r="T862" s="691"/>
      <c r="U862" s="691"/>
      <c r="V862" s="355"/>
      <c r="W862" s="932"/>
      <c r="X862" s="310"/>
      <c r="Y862" s="310"/>
      <c r="Z862" s="933"/>
      <c r="AA862" s="310"/>
      <c r="AB862" s="691"/>
      <c r="AC862" s="933"/>
      <c r="AD862" s="691"/>
      <c r="AE862" s="691"/>
      <c r="AF862" s="934"/>
      <c r="AG862" s="934"/>
      <c r="AH862" s="888"/>
      <c r="AI862" s="888"/>
      <c r="AJ862" s="310"/>
      <c r="AK862" s="310"/>
      <c r="AL862" s="310"/>
      <c r="AM862" s="1"/>
      <c r="AN862" s="691"/>
      <c r="AO862" s="1"/>
      <c r="AP862" s="1"/>
    </row>
    <row r="863">
      <c r="A863" s="929"/>
      <c r="B863" s="691"/>
      <c r="C863" s="310"/>
      <c r="D863" s="691"/>
      <c r="E863" s="691"/>
      <c r="F863" s="350"/>
      <c r="G863" s="355"/>
      <c r="H863" s="780"/>
      <c r="I863" s="691"/>
      <c r="J863" s="691"/>
      <c r="K863" s="691"/>
      <c r="L863" s="691"/>
      <c r="M863" s="691"/>
      <c r="N863" s="691"/>
      <c r="O863" s="930"/>
      <c r="P863" s="909"/>
      <c r="Q863" s="931"/>
      <c r="R863" s="310"/>
      <c r="S863" s="310"/>
      <c r="T863" s="691"/>
      <c r="U863" s="691"/>
      <c r="V863" s="355"/>
      <c r="W863" s="932"/>
      <c r="X863" s="310"/>
      <c r="Y863" s="310"/>
      <c r="Z863" s="933"/>
      <c r="AA863" s="310"/>
      <c r="AB863" s="691"/>
      <c r="AC863" s="933"/>
      <c r="AD863" s="691"/>
      <c r="AE863" s="691"/>
      <c r="AF863" s="934"/>
      <c r="AG863" s="934"/>
      <c r="AH863" s="888"/>
      <c r="AI863" s="888"/>
      <c r="AJ863" s="310"/>
      <c r="AK863" s="310"/>
      <c r="AL863" s="310"/>
      <c r="AM863" s="1"/>
      <c r="AN863" s="691"/>
      <c r="AO863" s="1"/>
      <c r="AP863" s="1"/>
    </row>
    <row r="864">
      <c r="A864" s="929"/>
      <c r="B864" s="691"/>
      <c r="C864" s="310"/>
      <c r="D864" s="691"/>
      <c r="E864" s="691"/>
      <c r="F864" s="350"/>
      <c r="G864" s="355"/>
      <c r="H864" s="780"/>
      <c r="I864" s="691"/>
      <c r="J864" s="691"/>
      <c r="K864" s="691"/>
      <c r="L864" s="691"/>
      <c r="M864" s="691"/>
      <c r="N864" s="691"/>
      <c r="O864" s="930"/>
      <c r="P864" s="909"/>
      <c r="Q864" s="931"/>
      <c r="R864" s="310"/>
      <c r="S864" s="310"/>
      <c r="T864" s="691"/>
      <c r="U864" s="691"/>
      <c r="V864" s="355"/>
      <c r="W864" s="932"/>
      <c r="X864" s="310"/>
      <c r="Y864" s="310"/>
      <c r="Z864" s="933"/>
      <c r="AA864" s="310"/>
      <c r="AB864" s="691"/>
      <c r="AC864" s="933"/>
      <c r="AD864" s="691"/>
      <c r="AE864" s="691"/>
      <c r="AF864" s="934"/>
      <c r="AG864" s="934"/>
      <c r="AH864" s="888"/>
      <c r="AI864" s="888"/>
      <c r="AJ864" s="310"/>
      <c r="AK864" s="310"/>
      <c r="AL864" s="310"/>
      <c r="AM864" s="1"/>
      <c r="AN864" s="691"/>
      <c r="AO864" s="1"/>
      <c r="AP864" s="1"/>
    </row>
    <row r="865">
      <c r="A865" s="929"/>
      <c r="B865" s="691"/>
      <c r="C865" s="310"/>
      <c r="D865" s="691"/>
      <c r="E865" s="691"/>
      <c r="F865" s="350"/>
      <c r="G865" s="355"/>
      <c r="H865" s="780"/>
      <c r="I865" s="691"/>
      <c r="J865" s="691"/>
      <c r="K865" s="691"/>
      <c r="L865" s="691"/>
      <c r="M865" s="691"/>
      <c r="N865" s="691"/>
      <c r="O865" s="930"/>
      <c r="P865" s="909"/>
      <c r="Q865" s="931"/>
      <c r="R865" s="310"/>
      <c r="S865" s="310"/>
      <c r="T865" s="691"/>
      <c r="U865" s="691"/>
      <c r="V865" s="355"/>
      <c r="W865" s="932"/>
      <c r="X865" s="310"/>
      <c r="Y865" s="310"/>
      <c r="Z865" s="933"/>
      <c r="AA865" s="310"/>
      <c r="AB865" s="691"/>
      <c r="AC865" s="933"/>
      <c r="AD865" s="691"/>
      <c r="AE865" s="691"/>
      <c r="AF865" s="934"/>
      <c r="AG865" s="934"/>
      <c r="AH865" s="888"/>
      <c r="AI865" s="888"/>
      <c r="AJ865" s="310"/>
      <c r="AK865" s="310"/>
      <c r="AL865" s="310"/>
      <c r="AM865" s="1"/>
      <c r="AN865" s="691"/>
      <c r="AO865" s="1"/>
      <c r="AP865" s="1"/>
    </row>
    <row r="866">
      <c r="A866" s="929"/>
      <c r="B866" s="691"/>
      <c r="C866" s="310"/>
      <c r="D866" s="691"/>
      <c r="E866" s="691"/>
      <c r="F866" s="350"/>
      <c r="G866" s="355"/>
      <c r="H866" s="780"/>
      <c r="I866" s="691"/>
      <c r="J866" s="691"/>
      <c r="K866" s="691"/>
      <c r="L866" s="691"/>
      <c r="M866" s="691"/>
      <c r="N866" s="691"/>
      <c r="O866" s="930"/>
      <c r="P866" s="909"/>
      <c r="Q866" s="931"/>
      <c r="R866" s="310"/>
      <c r="S866" s="310"/>
      <c r="T866" s="691"/>
      <c r="U866" s="691"/>
      <c r="V866" s="355"/>
      <c r="W866" s="932"/>
      <c r="X866" s="310"/>
      <c r="Y866" s="310"/>
      <c r="Z866" s="933"/>
      <c r="AA866" s="310"/>
      <c r="AB866" s="691"/>
      <c r="AC866" s="933"/>
      <c r="AD866" s="691"/>
      <c r="AE866" s="691"/>
      <c r="AF866" s="934"/>
      <c r="AG866" s="934"/>
      <c r="AH866" s="888"/>
      <c r="AI866" s="888"/>
      <c r="AJ866" s="310"/>
      <c r="AK866" s="310"/>
      <c r="AL866" s="310"/>
      <c r="AM866" s="1"/>
      <c r="AN866" s="691"/>
      <c r="AO866" s="1"/>
      <c r="AP866" s="1"/>
    </row>
    <row r="867">
      <c r="A867" s="929"/>
      <c r="B867" s="691"/>
      <c r="C867" s="310"/>
      <c r="D867" s="691"/>
      <c r="E867" s="691"/>
      <c r="F867" s="350"/>
      <c r="G867" s="355"/>
      <c r="H867" s="780"/>
      <c r="I867" s="691"/>
      <c r="J867" s="691"/>
      <c r="K867" s="691"/>
      <c r="L867" s="691"/>
      <c r="M867" s="691"/>
      <c r="N867" s="691"/>
      <c r="O867" s="930"/>
      <c r="P867" s="909"/>
      <c r="Q867" s="931"/>
      <c r="R867" s="310"/>
      <c r="S867" s="310"/>
      <c r="T867" s="691"/>
      <c r="U867" s="691"/>
      <c r="V867" s="355"/>
      <c r="W867" s="932"/>
      <c r="X867" s="310"/>
      <c r="Y867" s="310"/>
      <c r="Z867" s="933"/>
      <c r="AA867" s="310"/>
      <c r="AB867" s="691"/>
      <c r="AC867" s="933"/>
      <c r="AD867" s="691"/>
      <c r="AE867" s="691"/>
      <c r="AF867" s="934"/>
      <c r="AG867" s="934"/>
      <c r="AH867" s="888"/>
      <c r="AI867" s="888"/>
      <c r="AJ867" s="310"/>
      <c r="AK867" s="310"/>
      <c r="AL867" s="310"/>
      <c r="AM867" s="1"/>
      <c r="AN867" s="691"/>
      <c r="AO867" s="1"/>
      <c r="AP867" s="1"/>
    </row>
    <row r="868">
      <c r="A868" s="929"/>
      <c r="B868" s="691"/>
      <c r="C868" s="310"/>
      <c r="D868" s="691"/>
      <c r="E868" s="691"/>
      <c r="F868" s="350"/>
      <c r="G868" s="355"/>
      <c r="H868" s="780"/>
      <c r="I868" s="691"/>
      <c r="J868" s="691"/>
      <c r="K868" s="691"/>
      <c r="L868" s="691"/>
      <c r="M868" s="691"/>
      <c r="N868" s="691"/>
      <c r="O868" s="930"/>
      <c r="P868" s="909"/>
      <c r="Q868" s="931"/>
      <c r="R868" s="310"/>
      <c r="S868" s="310"/>
      <c r="T868" s="691"/>
      <c r="U868" s="691"/>
      <c r="V868" s="355"/>
      <c r="W868" s="932"/>
      <c r="X868" s="310"/>
      <c r="Y868" s="310"/>
      <c r="Z868" s="933"/>
      <c r="AA868" s="310"/>
      <c r="AB868" s="691"/>
      <c r="AC868" s="933"/>
      <c r="AD868" s="691"/>
      <c r="AE868" s="691"/>
      <c r="AF868" s="934"/>
      <c r="AG868" s="934"/>
      <c r="AH868" s="888"/>
      <c r="AI868" s="888"/>
      <c r="AJ868" s="310"/>
      <c r="AK868" s="310"/>
      <c r="AL868" s="310"/>
      <c r="AM868" s="1"/>
      <c r="AN868" s="691"/>
      <c r="AO868" s="1"/>
      <c r="AP868" s="1"/>
    </row>
    <row r="869">
      <c r="A869" s="929"/>
      <c r="B869" s="691"/>
      <c r="C869" s="310"/>
      <c r="D869" s="691"/>
      <c r="E869" s="691"/>
      <c r="F869" s="350"/>
      <c r="G869" s="355"/>
      <c r="H869" s="780"/>
      <c r="I869" s="691"/>
      <c r="J869" s="691"/>
      <c r="K869" s="691"/>
      <c r="L869" s="691"/>
      <c r="M869" s="691"/>
      <c r="N869" s="691"/>
      <c r="O869" s="930"/>
      <c r="P869" s="909"/>
      <c r="Q869" s="931"/>
      <c r="R869" s="310"/>
      <c r="S869" s="310"/>
      <c r="T869" s="691"/>
      <c r="U869" s="691"/>
      <c r="V869" s="355"/>
      <c r="W869" s="932"/>
      <c r="X869" s="310"/>
      <c r="Y869" s="310"/>
      <c r="Z869" s="933"/>
      <c r="AA869" s="310"/>
      <c r="AB869" s="691"/>
      <c r="AC869" s="933"/>
      <c r="AD869" s="691"/>
      <c r="AE869" s="691"/>
      <c r="AF869" s="934"/>
      <c r="AG869" s="934"/>
      <c r="AH869" s="888"/>
      <c r="AI869" s="888"/>
      <c r="AJ869" s="310"/>
      <c r="AK869" s="310"/>
      <c r="AL869" s="310"/>
      <c r="AM869" s="1"/>
      <c r="AN869" s="691"/>
      <c r="AO869" s="1"/>
      <c r="AP869" s="1"/>
    </row>
    <row r="870">
      <c r="A870" s="929"/>
      <c r="B870" s="691"/>
      <c r="C870" s="310"/>
      <c r="D870" s="691"/>
      <c r="E870" s="691"/>
      <c r="F870" s="350"/>
      <c r="G870" s="355"/>
      <c r="H870" s="780"/>
      <c r="I870" s="691"/>
      <c r="J870" s="691"/>
      <c r="K870" s="691"/>
      <c r="L870" s="691"/>
      <c r="M870" s="691"/>
      <c r="N870" s="691"/>
      <c r="O870" s="930"/>
      <c r="P870" s="909"/>
      <c r="Q870" s="931"/>
      <c r="R870" s="310"/>
      <c r="S870" s="310"/>
      <c r="T870" s="691"/>
      <c r="U870" s="691"/>
      <c r="V870" s="355"/>
      <c r="W870" s="932"/>
      <c r="X870" s="310"/>
      <c r="Y870" s="310"/>
      <c r="Z870" s="933"/>
      <c r="AA870" s="310"/>
      <c r="AB870" s="691"/>
      <c r="AC870" s="933"/>
      <c r="AD870" s="691"/>
      <c r="AE870" s="691"/>
      <c r="AF870" s="934"/>
      <c r="AG870" s="934"/>
      <c r="AH870" s="888"/>
      <c r="AI870" s="888"/>
      <c r="AJ870" s="310"/>
      <c r="AK870" s="310"/>
      <c r="AL870" s="310"/>
      <c r="AM870" s="1"/>
      <c r="AN870" s="691"/>
      <c r="AO870" s="1"/>
      <c r="AP870" s="1"/>
    </row>
    <row r="871">
      <c r="A871" s="929"/>
      <c r="B871" s="691"/>
      <c r="C871" s="310"/>
      <c r="D871" s="691"/>
      <c r="E871" s="691"/>
      <c r="F871" s="350"/>
      <c r="G871" s="355"/>
      <c r="H871" s="780"/>
      <c r="I871" s="691"/>
      <c r="J871" s="691"/>
      <c r="K871" s="691"/>
      <c r="L871" s="691"/>
      <c r="M871" s="691"/>
      <c r="N871" s="691"/>
      <c r="O871" s="930"/>
      <c r="P871" s="909"/>
      <c r="Q871" s="931"/>
      <c r="R871" s="310"/>
      <c r="S871" s="310"/>
      <c r="T871" s="691"/>
      <c r="U871" s="691"/>
      <c r="V871" s="355"/>
      <c r="W871" s="932"/>
      <c r="X871" s="310"/>
      <c r="Y871" s="310"/>
      <c r="Z871" s="933"/>
      <c r="AA871" s="310"/>
      <c r="AB871" s="691"/>
      <c r="AC871" s="933"/>
      <c r="AD871" s="691"/>
      <c r="AE871" s="691"/>
      <c r="AF871" s="934"/>
      <c r="AG871" s="934"/>
      <c r="AH871" s="888"/>
      <c r="AI871" s="888"/>
      <c r="AJ871" s="310"/>
      <c r="AK871" s="310"/>
      <c r="AL871" s="310"/>
      <c r="AM871" s="1"/>
      <c r="AN871" s="691"/>
      <c r="AO871" s="1"/>
      <c r="AP871" s="1"/>
    </row>
    <row r="872">
      <c r="A872" s="929"/>
      <c r="B872" s="691"/>
      <c r="C872" s="310"/>
      <c r="D872" s="691"/>
      <c r="E872" s="691"/>
      <c r="F872" s="350"/>
      <c r="G872" s="355"/>
      <c r="H872" s="780"/>
      <c r="I872" s="691"/>
      <c r="J872" s="691"/>
      <c r="K872" s="691"/>
      <c r="L872" s="691"/>
      <c r="M872" s="691"/>
      <c r="N872" s="691"/>
      <c r="O872" s="930"/>
      <c r="P872" s="909"/>
      <c r="Q872" s="931"/>
      <c r="R872" s="310"/>
      <c r="S872" s="310"/>
      <c r="T872" s="691"/>
      <c r="U872" s="691"/>
      <c r="V872" s="355"/>
      <c r="W872" s="932"/>
      <c r="X872" s="310"/>
      <c r="Y872" s="310"/>
      <c r="Z872" s="933"/>
      <c r="AA872" s="310"/>
      <c r="AB872" s="691"/>
      <c r="AC872" s="933"/>
      <c r="AD872" s="691"/>
      <c r="AE872" s="691"/>
      <c r="AF872" s="934"/>
      <c r="AG872" s="934"/>
      <c r="AH872" s="888"/>
      <c r="AI872" s="888"/>
      <c r="AJ872" s="310"/>
      <c r="AK872" s="310"/>
      <c r="AL872" s="310"/>
      <c r="AM872" s="1"/>
      <c r="AN872" s="691"/>
      <c r="AO872" s="1"/>
      <c r="AP872" s="1"/>
    </row>
    <row r="873">
      <c r="A873" s="929"/>
      <c r="B873" s="691"/>
      <c r="C873" s="310"/>
      <c r="D873" s="691"/>
      <c r="E873" s="691"/>
      <c r="F873" s="350"/>
      <c r="G873" s="355"/>
      <c r="H873" s="780"/>
      <c r="I873" s="691"/>
      <c r="J873" s="691"/>
      <c r="K873" s="691"/>
      <c r="L873" s="691"/>
      <c r="M873" s="691"/>
      <c r="N873" s="691"/>
      <c r="O873" s="930"/>
      <c r="P873" s="909"/>
      <c r="Q873" s="931"/>
      <c r="R873" s="310"/>
      <c r="S873" s="310"/>
      <c r="T873" s="691"/>
      <c r="U873" s="691"/>
      <c r="V873" s="355"/>
      <c r="W873" s="932"/>
      <c r="X873" s="310"/>
      <c r="Y873" s="310"/>
      <c r="Z873" s="933"/>
      <c r="AA873" s="310"/>
      <c r="AB873" s="691"/>
      <c r="AC873" s="933"/>
      <c r="AD873" s="691"/>
      <c r="AE873" s="691"/>
      <c r="AF873" s="934"/>
      <c r="AG873" s="934"/>
      <c r="AH873" s="888"/>
      <c r="AI873" s="888"/>
      <c r="AJ873" s="310"/>
      <c r="AK873" s="310"/>
      <c r="AL873" s="310"/>
      <c r="AM873" s="1"/>
      <c r="AN873" s="691"/>
      <c r="AO873" s="1"/>
      <c r="AP873" s="1"/>
    </row>
    <row r="874">
      <c r="A874" s="929"/>
      <c r="B874" s="691"/>
      <c r="C874" s="310"/>
      <c r="D874" s="691"/>
      <c r="E874" s="691"/>
      <c r="F874" s="350"/>
      <c r="G874" s="355"/>
      <c r="H874" s="780"/>
      <c r="I874" s="691"/>
      <c r="J874" s="691"/>
      <c r="K874" s="691"/>
      <c r="L874" s="691"/>
      <c r="M874" s="691"/>
      <c r="N874" s="691"/>
      <c r="O874" s="930"/>
      <c r="P874" s="909"/>
      <c r="Q874" s="931"/>
      <c r="R874" s="310"/>
      <c r="S874" s="310"/>
      <c r="T874" s="691"/>
      <c r="U874" s="691"/>
      <c r="V874" s="355"/>
      <c r="W874" s="932"/>
      <c r="X874" s="310"/>
      <c r="Y874" s="310"/>
      <c r="Z874" s="933"/>
      <c r="AA874" s="310"/>
      <c r="AB874" s="691"/>
      <c r="AC874" s="933"/>
      <c r="AD874" s="691"/>
      <c r="AE874" s="691"/>
      <c r="AF874" s="934"/>
      <c r="AG874" s="934"/>
      <c r="AH874" s="888"/>
      <c r="AI874" s="888"/>
      <c r="AJ874" s="310"/>
      <c r="AK874" s="310"/>
      <c r="AL874" s="310"/>
      <c r="AM874" s="1"/>
      <c r="AN874" s="691"/>
      <c r="AO874" s="1"/>
      <c r="AP874" s="1"/>
    </row>
    <row r="875">
      <c r="A875" s="929"/>
      <c r="B875" s="691"/>
      <c r="C875" s="310"/>
      <c r="D875" s="691"/>
      <c r="E875" s="691"/>
      <c r="F875" s="350"/>
      <c r="G875" s="355"/>
      <c r="H875" s="780"/>
      <c r="I875" s="691"/>
      <c r="J875" s="691"/>
      <c r="K875" s="691"/>
      <c r="L875" s="691"/>
      <c r="M875" s="691"/>
      <c r="N875" s="691"/>
      <c r="O875" s="930"/>
      <c r="P875" s="909"/>
      <c r="Q875" s="931"/>
      <c r="R875" s="310"/>
      <c r="S875" s="310"/>
      <c r="T875" s="691"/>
      <c r="U875" s="691"/>
      <c r="V875" s="355"/>
      <c r="W875" s="932"/>
      <c r="X875" s="310"/>
      <c r="Y875" s="310"/>
      <c r="Z875" s="933"/>
      <c r="AA875" s="310"/>
      <c r="AB875" s="691"/>
      <c r="AC875" s="933"/>
      <c r="AD875" s="691"/>
      <c r="AE875" s="691"/>
      <c r="AF875" s="934"/>
      <c r="AG875" s="934"/>
      <c r="AH875" s="888"/>
      <c r="AI875" s="888"/>
      <c r="AJ875" s="310"/>
      <c r="AK875" s="310"/>
      <c r="AL875" s="310"/>
      <c r="AM875" s="1"/>
      <c r="AN875" s="691"/>
      <c r="AO875" s="1"/>
      <c r="AP875" s="1"/>
    </row>
    <row r="876">
      <c r="A876" s="929"/>
      <c r="B876" s="691"/>
      <c r="C876" s="310"/>
      <c r="D876" s="691"/>
      <c r="E876" s="691"/>
      <c r="F876" s="350"/>
      <c r="G876" s="355"/>
      <c r="H876" s="780"/>
      <c r="I876" s="691"/>
      <c r="J876" s="691"/>
      <c r="K876" s="691"/>
      <c r="L876" s="691"/>
      <c r="M876" s="691"/>
      <c r="N876" s="691"/>
      <c r="O876" s="930"/>
      <c r="P876" s="909"/>
      <c r="Q876" s="931"/>
      <c r="R876" s="310"/>
      <c r="S876" s="310"/>
      <c r="T876" s="691"/>
      <c r="U876" s="691"/>
      <c r="V876" s="355"/>
      <c r="W876" s="932"/>
      <c r="X876" s="310"/>
      <c r="Y876" s="310"/>
      <c r="Z876" s="933"/>
      <c r="AA876" s="310"/>
      <c r="AB876" s="691"/>
      <c r="AC876" s="933"/>
      <c r="AD876" s="691"/>
      <c r="AE876" s="691"/>
      <c r="AF876" s="934"/>
      <c r="AG876" s="934"/>
      <c r="AH876" s="888"/>
      <c r="AI876" s="888"/>
      <c r="AJ876" s="310"/>
      <c r="AK876" s="310"/>
      <c r="AL876" s="310"/>
      <c r="AM876" s="1"/>
      <c r="AN876" s="691"/>
      <c r="AO876" s="1"/>
      <c r="AP876" s="1"/>
    </row>
    <row r="877">
      <c r="A877" s="929"/>
      <c r="B877" s="691"/>
      <c r="C877" s="310"/>
      <c r="D877" s="691"/>
      <c r="E877" s="691"/>
      <c r="F877" s="350"/>
      <c r="G877" s="355"/>
      <c r="H877" s="780"/>
      <c r="I877" s="691"/>
      <c r="J877" s="691"/>
      <c r="K877" s="691"/>
      <c r="L877" s="691"/>
      <c r="M877" s="691"/>
      <c r="N877" s="691"/>
      <c r="O877" s="930"/>
      <c r="P877" s="909"/>
      <c r="Q877" s="931"/>
      <c r="R877" s="310"/>
      <c r="S877" s="310"/>
      <c r="T877" s="691"/>
      <c r="U877" s="691"/>
      <c r="V877" s="355"/>
      <c r="W877" s="932"/>
      <c r="X877" s="310"/>
      <c r="Y877" s="310"/>
      <c r="Z877" s="933"/>
      <c r="AA877" s="310"/>
      <c r="AB877" s="691"/>
      <c r="AC877" s="933"/>
      <c r="AD877" s="691"/>
      <c r="AE877" s="691"/>
      <c r="AF877" s="934"/>
      <c r="AG877" s="934"/>
      <c r="AH877" s="888"/>
      <c r="AI877" s="888"/>
      <c r="AJ877" s="310"/>
      <c r="AK877" s="310"/>
      <c r="AL877" s="310"/>
      <c r="AM877" s="1"/>
      <c r="AN877" s="691"/>
      <c r="AO877" s="1"/>
      <c r="AP877" s="1"/>
    </row>
    <row r="878">
      <c r="A878" s="929"/>
      <c r="B878" s="691"/>
      <c r="C878" s="310"/>
      <c r="D878" s="691"/>
      <c r="E878" s="691"/>
      <c r="F878" s="350"/>
      <c r="G878" s="355"/>
      <c r="H878" s="780"/>
      <c r="I878" s="691"/>
      <c r="J878" s="691"/>
      <c r="K878" s="691"/>
      <c r="L878" s="691"/>
      <c r="M878" s="691"/>
      <c r="N878" s="691"/>
      <c r="O878" s="930"/>
      <c r="P878" s="909"/>
      <c r="Q878" s="931"/>
      <c r="R878" s="310"/>
      <c r="S878" s="310"/>
      <c r="T878" s="691"/>
      <c r="U878" s="691"/>
      <c r="V878" s="355"/>
      <c r="W878" s="932"/>
      <c r="X878" s="310"/>
      <c r="Y878" s="310"/>
      <c r="Z878" s="933"/>
      <c r="AA878" s="310"/>
      <c r="AB878" s="691"/>
      <c r="AC878" s="933"/>
      <c r="AD878" s="691"/>
      <c r="AE878" s="691"/>
      <c r="AF878" s="934"/>
      <c r="AG878" s="934"/>
      <c r="AH878" s="888"/>
      <c r="AI878" s="888"/>
      <c r="AJ878" s="310"/>
      <c r="AK878" s="310"/>
      <c r="AL878" s="310"/>
      <c r="AM878" s="1"/>
      <c r="AN878" s="691"/>
      <c r="AO878" s="1"/>
      <c r="AP878" s="1"/>
    </row>
    <row r="879">
      <c r="A879" s="929"/>
      <c r="B879" s="691"/>
      <c r="C879" s="310"/>
      <c r="D879" s="691"/>
      <c r="E879" s="691"/>
      <c r="F879" s="350"/>
      <c r="G879" s="355"/>
      <c r="H879" s="780"/>
      <c r="I879" s="691"/>
      <c r="J879" s="691"/>
      <c r="K879" s="691"/>
      <c r="L879" s="691"/>
      <c r="M879" s="691"/>
      <c r="N879" s="691"/>
      <c r="O879" s="930"/>
      <c r="P879" s="909"/>
      <c r="Q879" s="931"/>
      <c r="R879" s="310"/>
      <c r="S879" s="310"/>
      <c r="T879" s="691"/>
      <c r="U879" s="691"/>
      <c r="V879" s="355"/>
      <c r="W879" s="932"/>
      <c r="X879" s="310"/>
      <c r="Y879" s="310"/>
      <c r="Z879" s="933"/>
      <c r="AA879" s="310"/>
      <c r="AB879" s="691"/>
      <c r="AC879" s="933"/>
      <c r="AD879" s="691"/>
      <c r="AE879" s="691"/>
      <c r="AF879" s="934"/>
      <c r="AG879" s="934"/>
      <c r="AH879" s="888"/>
      <c r="AI879" s="888"/>
      <c r="AJ879" s="310"/>
      <c r="AK879" s="310"/>
      <c r="AL879" s="310"/>
      <c r="AM879" s="1"/>
      <c r="AN879" s="691"/>
      <c r="AO879" s="1"/>
      <c r="AP879" s="1"/>
    </row>
    <row r="880">
      <c r="A880" s="929"/>
      <c r="B880" s="691"/>
      <c r="C880" s="310"/>
      <c r="D880" s="691"/>
      <c r="E880" s="691"/>
      <c r="F880" s="350"/>
      <c r="G880" s="355"/>
      <c r="H880" s="780"/>
      <c r="I880" s="691"/>
      <c r="J880" s="691"/>
      <c r="K880" s="691"/>
      <c r="L880" s="691"/>
      <c r="M880" s="691"/>
      <c r="N880" s="691"/>
      <c r="O880" s="930"/>
      <c r="P880" s="909"/>
      <c r="Q880" s="931"/>
      <c r="R880" s="310"/>
      <c r="S880" s="310"/>
      <c r="T880" s="691"/>
      <c r="U880" s="691"/>
      <c r="V880" s="355"/>
      <c r="W880" s="932"/>
      <c r="X880" s="310"/>
      <c r="Y880" s="310"/>
      <c r="Z880" s="933"/>
      <c r="AA880" s="310"/>
      <c r="AB880" s="691"/>
      <c r="AC880" s="933"/>
      <c r="AD880" s="691"/>
      <c r="AE880" s="691"/>
      <c r="AF880" s="934"/>
      <c r="AG880" s="934"/>
      <c r="AH880" s="888"/>
      <c r="AI880" s="888"/>
      <c r="AJ880" s="310"/>
      <c r="AK880" s="310"/>
      <c r="AL880" s="310"/>
      <c r="AM880" s="1"/>
      <c r="AN880" s="691"/>
      <c r="AO880" s="1"/>
      <c r="AP880" s="1"/>
    </row>
    <row r="881">
      <c r="A881" s="929"/>
      <c r="B881" s="691"/>
      <c r="C881" s="310"/>
      <c r="D881" s="691"/>
      <c r="E881" s="691"/>
      <c r="F881" s="350"/>
      <c r="G881" s="355"/>
      <c r="H881" s="780"/>
      <c r="I881" s="691"/>
      <c r="J881" s="691"/>
      <c r="K881" s="691"/>
      <c r="L881" s="691"/>
      <c r="M881" s="691"/>
      <c r="N881" s="691"/>
      <c r="O881" s="930"/>
      <c r="P881" s="909"/>
      <c r="Q881" s="931"/>
      <c r="R881" s="310"/>
      <c r="S881" s="310"/>
      <c r="T881" s="691"/>
      <c r="U881" s="691"/>
      <c r="V881" s="355"/>
      <c r="W881" s="932"/>
      <c r="X881" s="310"/>
      <c r="Y881" s="310"/>
      <c r="Z881" s="933"/>
      <c r="AA881" s="310"/>
      <c r="AB881" s="691"/>
      <c r="AC881" s="933"/>
      <c r="AD881" s="691"/>
      <c r="AE881" s="691"/>
      <c r="AF881" s="934"/>
      <c r="AG881" s="934"/>
      <c r="AH881" s="888"/>
      <c r="AI881" s="888"/>
      <c r="AJ881" s="310"/>
      <c r="AK881" s="310"/>
      <c r="AL881" s="310"/>
      <c r="AM881" s="1"/>
      <c r="AN881" s="691"/>
      <c r="AO881" s="1"/>
      <c r="AP881" s="1"/>
    </row>
    <row r="882">
      <c r="A882" s="929"/>
      <c r="B882" s="691"/>
      <c r="C882" s="310"/>
      <c r="D882" s="691"/>
      <c r="E882" s="691"/>
      <c r="F882" s="350"/>
      <c r="G882" s="355"/>
      <c r="H882" s="780"/>
      <c r="I882" s="691"/>
      <c r="J882" s="691"/>
      <c r="K882" s="691"/>
      <c r="L882" s="691"/>
      <c r="M882" s="691"/>
      <c r="N882" s="691"/>
      <c r="O882" s="930"/>
      <c r="P882" s="909"/>
      <c r="Q882" s="931"/>
      <c r="R882" s="310"/>
      <c r="S882" s="310"/>
      <c r="T882" s="691"/>
      <c r="U882" s="691"/>
      <c r="V882" s="355"/>
      <c r="W882" s="932"/>
      <c r="X882" s="310"/>
      <c r="Y882" s="310"/>
      <c r="Z882" s="933"/>
      <c r="AA882" s="310"/>
      <c r="AB882" s="691"/>
      <c r="AC882" s="933"/>
      <c r="AD882" s="691"/>
      <c r="AE882" s="691"/>
      <c r="AF882" s="934"/>
      <c r="AG882" s="934"/>
      <c r="AH882" s="888"/>
      <c r="AI882" s="888"/>
      <c r="AJ882" s="310"/>
      <c r="AK882" s="310"/>
      <c r="AL882" s="310"/>
      <c r="AM882" s="1"/>
      <c r="AN882" s="691"/>
      <c r="AO882" s="1"/>
      <c r="AP882" s="1"/>
    </row>
    <row r="883">
      <c r="A883" s="929"/>
      <c r="B883" s="691"/>
      <c r="C883" s="310"/>
      <c r="D883" s="691"/>
      <c r="E883" s="691"/>
      <c r="F883" s="350"/>
      <c r="G883" s="355"/>
      <c r="H883" s="780"/>
      <c r="I883" s="691"/>
      <c r="J883" s="691"/>
      <c r="K883" s="691"/>
      <c r="L883" s="691"/>
      <c r="M883" s="691"/>
      <c r="N883" s="691"/>
      <c r="O883" s="930"/>
      <c r="P883" s="909"/>
      <c r="Q883" s="931"/>
      <c r="R883" s="310"/>
      <c r="S883" s="310"/>
      <c r="T883" s="691"/>
      <c r="U883" s="691"/>
      <c r="V883" s="355"/>
      <c r="W883" s="932"/>
      <c r="X883" s="310"/>
      <c r="Y883" s="310"/>
      <c r="Z883" s="933"/>
      <c r="AA883" s="310"/>
      <c r="AB883" s="691"/>
      <c r="AC883" s="933"/>
      <c r="AD883" s="691"/>
      <c r="AE883" s="691"/>
      <c r="AF883" s="934"/>
      <c r="AG883" s="934"/>
      <c r="AH883" s="888"/>
      <c r="AI883" s="888"/>
      <c r="AJ883" s="310"/>
      <c r="AK883" s="310"/>
      <c r="AL883" s="310"/>
      <c r="AM883" s="1"/>
      <c r="AN883" s="691"/>
      <c r="AO883" s="1"/>
      <c r="AP883" s="1"/>
    </row>
    <row r="884">
      <c r="A884" s="929"/>
      <c r="B884" s="691"/>
      <c r="C884" s="310"/>
      <c r="D884" s="691"/>
      <c r="E884" s="691"/>
      <c r="F884" s="350"/>
      <c r="G884" s="355"/>
      <c r="H884" s="780"/>
      <c r="I884" s="691"/>
      <c r="J884" s="691"/>
      <c r="K884" s="691"/>
      <c r="L884" s="691"/>
      <c r="M884" s="691"/>
      <c r="N884" s="691"/>
      <c r="O884" s="930"/>
      <c r="P884" s="909"/>
      <c r="Q884" s="931"/>
      <c r="R884" s="310"/>
      <c r="S884" s="310"/>
      <c r="T884" s="691"/>
      <c r="U884" s="691"/>
      <c r="V884" s="355"/>
      <c r="W884" s="932"/>
      <c r="X884" s="310"/>
      <c r="Y884" s="310"/>
      <c r="Z884" s="933"/>
      <c r="AA884" s="310"/>
      <c r="AB884" s="691"/>
      <c r="AC884" s="933"/>
      <c r="AD884" s="691"/>
      <c r="AE884" s="691"/>
      <c r="AF884" s="934"/>
      <c r="AG884" s="934"/>
      <c r="AH884" s="888"/>
      <c r="AI884" s="888"/>
      <c r="AJ884" s="310"/>
      <c r="AK884" s="310"/>
      <c r="AL884" s="310"/>
      <c r="AM884" s="1"/>
      <c r="AN884" s="691"/>
      <c r="AO884" s="1"/>
      <c r="AP884" s="1"/>
    </row>
    <row r="885">
      <c r="A885" s="929"/>
      <c r="B885" s="691"/>
      <c r="C885" s="310"/>
      <c r="D885" s="691"/>
      <c r="E885" s="691"/>
      <c r="F885" s="350"/>
      <c r="G885" s="355"/>
      <c r="H885" s="780"/>
      <c r="I885" s="691"/>
      <c r="J885" s="691"/>
      <c r="K885" s="691"/>
      <c r="L885" s="691"/>
      <c r="M885" s="691"/>
      <c r="N885" s="691"/>
      <c r="O885" s="930"/>
      <c r="P885" s="909"/>
      <c r="Q885" s="931"/>
      <c r="R885" s="310"/>
      <c r="S885" s="310"/>
      <c r="T885" s="691"/>
      <c r="U885" s="691"/>
      <c r="V885" s="355"/>
      <c r="W885" s="932"/>
      <c r="X885" s="310"/>
      <c r="Y885" s="310"/>
      <c r="Z885" s="933"/>
      <c r="AA885" s="310"/>
      <c r="AB885" s="691"/>
      <c r="AC885" s="933"/>
      <c r="AD885" s="691"/>
      <c r="AE885" s="691"/>
      <c r="AF885" s="934"/>
      <c r="AG885" s="934"/>
      <c r="AH885" s="888"/>
      <c r="AI885" s="888"/>
      <c r="AJ885" s="310"/>
      <c r="AK885" s="310"/>
      <c r="AL885" s="310"/>
      <c r="AM885" s="1"/>
      <c r="AN885" s="691"/>
      <c r="AO885" s="1"/>
      <c r="AP885" s="1"/>
    </row>
    <row r="886">
      <c r="A886" s="929"/>
      <c r="B886" s="691"/>
      <c r="C886" s="310"/>
      <c r="D886" s="691"/>
      <c r="E886" s="691"/>
      <c r="F886" s="350"/>
      <c r="G886" s="355"/>
      <c r="H886" s="780"/>
      <c r="I886" s="691"/>
      <c r="J886" s="691"/>
      <c r="K886" s="691"/>
      <c r="L886" s="691"/>
      <c r="M886" s="691"/>
      <c r="N886" s="691"/>
      <c r="O886" s="930"/>
      <c r="P886" s="909"/>
      <c r="Q886" s="931"/>
      <c r="R886" s="310"/>
      <c r="S886" s="310"/>
      <c r="T886" s="691"/>
      <c r="U886" s="691"/>
      <c r="V886" s="355"/>
      <c r="W886" s="932"/>
      <c r="X886" s="310"/>
      <c r="Y886" s="310"/>
      <c r="Z886" s="933"/>
      <c r="AA886" s="310"/>
      <c r="AB886" s="691"/>
      <c r="AC886" s="933"/>
      <c r="AD886" s="691"/>
      <c r="AE886" s="691"/>
      <c r="AF886" s="934"/>
      <c r="AG886" s="934"/>
      <c r="AH886" s="888"/>
      <c r="AI886" s="888"/>
      <c r="AJ886" s="310"/>
      <c r="AK886" s="310"/>
      <c r="AL886" s="310"/>
      <c r="AM886" s="1"/>
      <c r="AN886" s="691"/>
      <c r="AO886" s="1"/>
      <c r="AP886" s="1"/>
    </row>
    <row r="887">
      <c r="A887" s="929"/>
      <c r="B887" s="691"/>
      <c r="C887" s="310"/>
      <c r="D887" s="691"/>
      <c r="E887" s="691"/>
      <c r="F887" s="350"/>
      <c r="G887" s="355"/>
      <c r="H887" s="780"/>
      <c r="I887" s="691"/>
      <c r="J887" s="691"/>
      <c r="K887" s="691"/>
      <c r="L887" s="691"/>
      <c r="M887" s="691"/>
      <c r="N887" s="691"/>
      <c r="O887" s="930"/>
      <c r="P887" s="909"/>
      <c r="Q887" s="931"/>
      <c r="R887" s="310"/>
      <c r="S887" s="310"/>
      <c r="T887" s="691"/>
      <c r="U887" s="691"/>
      <c r="V887" s="355"/>
      <c r="W887" s="932"/>
      <c r="X887" s="310"/>
      <c r="Y887" s="310"/>
      <c r="Z887" s="933"/>
      <c r="AA887" s="310"/>
      <c r="AB887" s="691"/>
      <c r="AC887" s="933"/>
      <c r="AD887" s="691"/>
      <c r="AE887" s="691"/>
      <c r="AF887" s="934"/>
      <c r="AG887" s="934"/>
      <c r="AH887" s="888"/>
      <c r="AI887" s="888"/>
      <c r="AJ887" s="310"/>
      <c r="AK887" s="310"/>
      <c r="AL887" s="310"/>
      <c r="AM887" s="1"/>
      <c r="AN887" s="691"/>
      <c r="AO887" s="1"/>
      <c r="AP887" s="1"/>
    </row>
    <row r="888">
      <c r="A888" s="929"/>
      <c r="B888" s="691"/>
      <c r="C888" s="310"/>
      <c r="D888" s="691"/>
      <c r="E888" s="691"/>
      <c r="F888" s="350"/>
      <c r="G888" s="355"/>
      <c r="H888" s="780"/>
      <c r="I888" s="691"/>
      <c r="J888" s="691"/>
      <c r="K888" s="691"/>
      <c r="L888" s="691"/>
      <c r="M888" s="691"/>
      <c r="N888" s="691"/>
      <c r="O888" s="930"/>
      <c r="P888" s="909"/>
      <c r="Q888" s="931"/>
      <c r="R888" s="310"/>
      <c r="S888" s="310"/>
      <c r="T888" s="691"/>
      <c r="U888" s="691"/>
      <c r="V888" s="355"/>
      <c r="W888" s="932"/>
      <c r="X888" s="310"/>
      <c r="Y888" s="310"/>
      <c r="Z888" s="933"/>
      <c r="AA888" s="310"/>
      <c r="AB888" s="691"/>
      <c r="AC888" s="933"/>
      <c r="AD888" s="691"/>
      <c r="AE888" s="691"/>
      <c r="AF888" s="934"/>
      <c r="AG888" s="934"/>
      <c r="AH888" s="888"/>
      <c r="AI888" s="888"/>
      <c r="AJ888" s="310"/>
      <c r="AK888" s="310"/>
      <c r="AL888" s="310"/>
      <c r="AM888" s="1"/>
      <c r="AN888" s="691"/>
      <c r="AO888" s="1"/>
      <c r="AP888" s="1"/>
    </row>
    <row r="889">
      <c r="A889" s="929"/>
      <c r="B889" s="691"/>
      <c r="C889" s="310"/>
      <c r="D889" s="691"/>
      <c r="E889" s="691"/>
      <c r="F889" s="350"/>
      <c r="G889" s="355"/>
      <c r="H889" s="780"/>
      <c r="I889" s="691"/>
      <c r="J889" s="691"/>
      <c r="K889" s="691"/>
      <c r="L889" s="691"/>
      <c r="M889" s="691"/>
      <c r="N889" s="691"/>
      <c r="O889" s="930"/>
      <c r="P889" s="909"/>
      <c r="Q889" s="931"/>
      <c r="R889" s="310"/>
      <c r="S889" s="310"/>
      <c r="T889" s="691"/>
      <c r="U889" s="691"/>
      <c r="V889" s="355"/>
      <c r="W889" s="932"/>
      <c r="X889" s="310"/>
      <c r="Y889" s="310"/>
      <c r="Z889" s="933"/>
      <c r="AA889" s="310"/>
      <c r="AB889" s="691"/>
      <c r="AC889" s="933"/>
      <c r="AD889" s="691"/>
      <c r="AE889" s="691"/>
      <c r="AF889" s="934"/>
      <c r="AG889" s="934"/>
      <c r="AH889" s="888"/>
      <c r="AI889" s="888"/>
      <c r="AJ889" s="310"/>
      <c r="AK889" s="310"/>
      <c r="AL889" s="310"/>
      <c r="AM889" s="1"/>
      <c r="AN889" s="691"/>
      <c r="AO889" s="1"/>
      <c r="AP889" s="1"/>
    </row>
    <row r="890">
      <c r="A890" s="929"/>
      <c r="B890" s="691"/>
      <c r="C890" s="310"/>
      <c r="D890" s="691"/>
      <c r="E890" s="691"/>
      <c r="F890" s="350"/>
      <c r="G890" s="355"/>
      <c r="H890" s="780"/>
      <c r="I890" s="691"/>
      <c r="J890" s="691"/>
      <c r="K890" s="691"/>
      <c r="L890" s="691"/>
      <c r="M890" s="691"/>
      <c r="N890" s="691"/>
      <c r="O890" s="930"/>
      <c r="P890" s="909"/>
      <c r="Q890" s="931"/>
      <c r="R890" s="310"/>
      <c r="S890" s="310"/>
      <c r="T890" s="691"/>
      <c r="U890" s="691"/>
      <c r="V890" s="355"/>
      <c r="W890" s="932"/>
      <c r="X890" s="310"/>
      <c r="Y890" s="310"/>
      <c r="Z890" s="933"/>
      <c r="AA890" s="310"/>
      <c r="AB890" s="691"/>
      <c r="AC890" s="933"/>
      <c r="AD890" s="691"/>
      <c r="AE890" s="691"/>
      <c r="AF890" s="934"/>
      <c r="AG890" s="934"/>
      <c r="AH890" s="888"/>
      <c r="AI890" s="888"/>
      <c r="AJ890" s="310"/>
      <c r="AK890" s="310"/>
      <c r="AL890" s="310"/>
      <c r="AM890" s="1"/>
      <c r="AN890" s="691"/>
      <c r="AO890" s="1"/>
      <c r="AP890" s="1"/>
    </row>
    <row r="891">
      <c r="A891" s="929"/>
      <c r="B891" s="691"/>
      <c r="C891" s="310"/>
      <c r="D891" s="691"/>
      <c r="E891" s="691"/>
      <c r="F891" s="350"/>
      <c r="G891" s="355"/>
      <c r="H891" s="780"/>
      <c r="I891" s="691"/>
      <c r="J891" s="691"/>
      <c r="K891" s="691"/>
      <c r="L891" s="691"/>
      <c r="M891" s="691"/>
      <c r="N891" s="691"/>
      <c r="O891" s="930"/>
      <c r="P891" s="909"/>
      <c r="Q891" s="931"/>
      <c r="R891" s="310"/>
      <c r="S891" s="310"/>
      <c r="T891" s="691"/>
      <c r="U891" s="691"/>
      <c r="V891" s="355"/>
      <c r="W891" s="932"/>
      <c r="X891" s="310"/>
      <c r="Y891" s="310"/>
      <c r="Z891" s="933"/>
      <c r="AA891" s="310"/>
      <c r="AB891" s="691"/>
      <c r="AC891" s="933"/>
      <c r="AD891" s="691"/>
      <c r="AE891" s="691"/>
      <c r="AF891" s="934"/>
      <c r="AG891" s="934"/>
      <c r="AH891" s="888"/>
      <c r="AI891" s="888"/>
      <c r="AJ891" s="310"/>
      <c r="AK891" s="310"/>
      <c r="AL891" s="310"/>
      <c r="AM891" s="1"/>
      <c r="AN891" s="691"/>
      <c r="AO891" s="1"/>
      <c r="AP891" s="1"/>
    </row>
    <row r="892">
      <c r="A892" s="929"/>
      <c r="B892" s="691"/>
      <c r="C892" s="310"/>
      <c r="D892" s="691"/>
      <c r="E892" s="691"/>
      <c r="F892" s="350"/>
      <c r="G892" s="355"/>
      <c r="H892" s="780"/>
      <c r="I892" s="691"/>
      <c r="J892" s="691"/>
      <c r="K892" s="691"/>
      <c r="L892" s="691"/>
      <c r="M892" s="691"/>
      <c r="N892" s="691"/>
      <c r="O892" s="930"/>
      <c r="P892" s="909"/>
      <c r="Q892" s="931"/>
      <c r="R892" s="310"/>
      <c r="S892" s="310"/>
      <c r="T892" s="691"/>
      <c r="U892" s="691"/>
      <c r="V892" s="355"/>
      <c r="W892" s="932"/>
      <c r="X892" s="310"/>
      <c r="Y892" s="310"/>
      <c r="Z892" s="933"/>
      <c r="AA892" s="310"/>
      <c r="AB892" s="691"/>
      <c r="AC892" s="933"/>
      <c r="AD892" s="691"/>
      <c r="AE892" s="691"/>
      <c r="AF892" s="934"/>
      <c r="AG892" s="934"/>
      <c r="AH892" s="888"/>
      <c r="AI892" s="888"/>
      <c r="AJ892" s="310"/>
      <c r="AK892" s="310"/>
      <c r="AL892" s="310"/>
      <c r="AM892" s="1"/>
      <c r="AN892" s="691"/>
      <c r="AO892" s="1"/>
      <c r="AP892" s="1"/>
    </row>
    <row r="893">
      <c r="A893" s="929"/>
      <c r="B893" s="691"/>
      <c r="C893" s="310"/>
      <c r="D893" s="691"/>
      <c r="E893" s="691"/>
      <c r="F893" s="350"/>
      <c r="G893" s="355"/>
      <c r="H893" s="780"/>
      <c r="I893" s="691"/>
      <c r="J893" s="691"/>
      <c r="K893" s="691"/>
      <c r="L893" s="691"/>
      <c r="M893" s="691"/>
      <c r="N893" s="691"/>
      <c r="O893" s="930"/>
      <c r="P893" s="909"/>
      <c r="Q893" s="931"/>
      <c r="R893" s="310"/>
      <c r="S893" s="310"/>
      <c r="T893" s="691"/>
      <c r="U893" s="691"/>
      <c r="V893" s="355"/>
      <c r="W893" s="932"/>
      <c r="X893" s="310"/>
      <c r="Y893" s="310"/>
      <c r="Z893" s="933"/>
      <c r="AA893" s="310"/>
      <c r="AB893" s="691"/>
      <c r="AC893" s="933"/>
      <c r="AD893" s="691"/>
      <c r="AE893" s="691"/>
      <c r="AF893" s="934"/>
      <c r="AG893" s="934"/>
      <c r="AH893" s="888"/>
      <c r="AI893" s="888"/>
      <c r="AJ893" s="310"/>
      <c r="AK893" s="310"/>
      <c r="AL893" s="310"/>
      <c r="AM893" s="1"/>
      <c r="AN893" s="691"/>
      <c r="AO893" s="1"/>
      <c r="AP893" s="1"/>
    </row>
    <row r="894">
      <c r="A894" s="929"/>
      <c r="B894" s="691"/>
      <c r="C894" s="310"/>
      <c r="D894" s="691"/>
      <c r="E894" s="691"/>
      <c r="F894" s="350"/>
      <c r="G894" s="355"/>
      <c r="H894" s="780"/>
      <c r="I894" s="691"/>
      <c r="J894" s="691"/>
      <c r="K894" s="691"/>
      <c r="L894" s="691"/>
      <c r="M894" s="691"/>
      <c r="N894" s="691"/>
      <c r="O894" s="930"/>
      <c r="P894" s="909"/>
      <c r="Q894" s="931"/>
      <c r="R894" s="310"/>
      <c r="S894" s="310"/>
      <c r="T894" s="691"/>
      <c r="U894" s="691"/>
      <c r="V894" s="355"/>
      <c r="W894" s="932"/>
      <c r="X894" s="310"/>
      <c r="Y894" s="310"/>
      <c r="Z894" s="933"/>
      <c r="AA894" s="310"/>
      <c r="AB894" s="691"/>
      <c r="AC894" s="933"/>
      <c r="AD894" s="691"/>
      <c r="AE894" s="691"/>
      <c r="AF894" s="934"/>
      <c r="AG894" s="934"/>
      <c r="AH894" s="888"/>
      <c r="AI894" s="888"/>
      <c r="AJ894" s="310"/>
      <c r="AK894" s="310"/>
      <c r="AL894" s="310"/>
      <c r="AM894" s="1"/>
      <c r="AN894" s="691"/>
      <c r="AO894" s="1"/>
      <c r="AP894" s="1"/>
    </row>
    <row r="895">
      <c r="A895" s="929"/>
      <c r="B895" s="691"/>
      <c r="C895" s="310"/>
      <c r="D895" s="691"/>
      <c r="E895" s="691"/>
      <c r="F895" s="350"/>
      <c r="G895" s="355"/>
      <c r="H895" s="780"/>
      <c r="I895" s="691"/>
      <c r="J895" s="691"/>
      <c r="K895" s="691"/>
      <c r="L895" s="691"/>
      <c r="M895" s="691"/>
      <c r="N895" s="691"/>
      <c r="O895" s="930"/>
      <c r="P895" s="909"/>
      <c r="Q895" s="931"/>
      <c r="R895" s="310"/>
      <c r="S895" s="310"/>
      <c r="T895" s="691"/>
      <c r="U895" s="691"/>
      <c r="V895" s="355"/>
      <c r="W895" s="932"/>
      <c r="X895" s="310"/>
      <c r="Y895" s="310"/>
      <c r="Z895" s="933"/>
      <c r="AA895" s="310"/>
      <c r="AB895" s="691"/>
      <c r="AC895" s="933"/>
      <c r="AD895" s="691"/>
      <c r="AE895" s="691"/>
      <c r="AF895" s="934"/>
      <c r="AG895" s="934"/>
      <c r="AH895" s="888"/>
      <c r="AI895" s="888"/>
      <c r="AJ895" s="310"/>
      <c r="AK895" s="310"/>
      <c r="AL895" s="310"/>
      <c r="AM895" s="1"/>
      <c r="AN895" s="691"/>
      <c r="AO895" s="1"/>
      <c r="AP895" s="1"/>
    </row>
    <row r="896">
      <c r="A896" s="929"/>
      <c r="B896" s="691"/>
      <c r="C896" s="310"/>
      <c r="D896" s="691"/>
      <c r="E896" s="691"/>
      <c r="F896" s="350"/>
      <c r="G896" s="355"/>
      <c r="H896" s="780"/>
      <c r="I896" s="691"/>
      <c r="J896" s="691"/>
      <c r="K896" s="691"/>
      <c r="L896" s="691"/>
      <c r="M896" s="691"/>
      <c r="N896" s="691"/>
      <c r="O896" s="930"/>
      <c r="P896" s="909"/>
      <c r="Q896" s="931"/>
      <c r="R896" s="310"/>
      <c r="S896" s="310"/>
      <c r="T896" s="691"/>
      <c r="U896" s="691"/>
      <c r="V896" s="355"/>
      <c r="W896" s="932"/>
      <c r="X896" s="310"/>
      <c r="Y896" s="310"/>
      <c r="Z896" s="933"/>
      <c r="AA896" s="310"/>
      <c r="AB896" s="691"/>
      <c r="AC896" s="933"/>
      <c r="AD896" s="691"/>
      <c r="AE896" s="691"/>
      <c r="AF896" s="934"/>
      <c r="AG896" s="934"/>
      <c r="AH896" s="888"/>
      <c r="AI896" s="888"/>
      <c r="AJ896" s="310"/>
      <c r="AK896" s="310"/>
      <c r="AL896" s="310"/>
      <c r="AM896" s="1"/>
      <c r="AN896" s="691"/>
      <c r="AO896" s="1"/>
      <c r="AP896" s="1"/>
    </row>
    <row r="897">
      <c r="A897" s="929"/>
      <c r="B897" s="691"/>
      <c r="C897" s="310"/>
      <c r="D897" s="691"/>
      <c r="E897" s="691"/>
      <c r="F897" s="350"/>
      <c r="G897" s="355"/>
      <c r="H897" s="780"/>
      <c r="I897" s="691"/>
      <c r="J897" s="691"/>
      <c r="K897" s="691"/>
      <c r="L897" s="691"/>
      <c r="M897" s="691"/>
      <c r="N897" s="691"/>
      <c r="O897" s="930"/>
      <c r="P897" s="909"/>
      <c r="Q897" s="931"/>
      <c r="R897" s="310"/>
      <c r="S897" s="310"/>
      <c r="T897" s="691"/>
      <c r="U897" s="691"/>
      <c r="V897" s="355"/>
      <c r="W897" s="932"/>
      <c r="X897" s="310"/>
      <c r="Y897" s="310"/>
      <c r="Z897" s="933"/>
      <c r="AA897" s="310"/>
      <c r="AB897" s="691"/>
      <c r="AC897" s="933"/>
      <c r="AD897" s="691"/>
      <c r="AE897" s="691"/>
      <c r="AF897" s="934"/>
      <c r="AG897" s="934"/>
      <c r="AH897" s="888"/>
      <c r="AI897" s="888"/>
      <c r="AJ897" s="310"/>
      <c r="AK897" s="310"/>
      <c r="AL897" s="310"/>
      <c r="AM897" s="1"/>
      <c r="AN897" s="691"/>
      <c r="AO897" s="1"/>
      <c r="AP897" s="1"/>
    </row>
    <row r="898">
      <c r="A898" s="929"/>
      <c r="B898" s="691"/>
      <c r="C898" s="310"/>
      <c r="D898" s="691"/>
      <c r="E898" s="691"/>
      <c r="F898" s="350"/>
      <c r="G898" s="355"/>
      <c r="H898" s="780"/>
      <c r="I898" s="691"/>
      <c r="J898" s="691"/>
      <c r="K898" s="691"/>
      <c r="L898" s="691"/>
      <c r="M898" s="691"/>
      <c r="N898" s="691"/>
      <c r="O898" s="930"/>
      <c r="P898" s="909"/>
      <c r="Q898" s="931"/>
      <c r="R898" s="310"/>
      <c r="S898" s="310"/>
      <c r="T898" s="691"/>
      <c r="U898" s="691"/>
      <c r="V898" s="355"/>
      <c r="W898" s="932"/>
      <c r="X898" s="310"/>
      <c r="Y898" s="310"/>
      <c r="Z898" s="933"/>
      <c r="AA898" s="310"/>
      <c r="AB898" s="691"/>
      <c r="AC898" s="933"/>
      <c r="AD898" s="691"/>
      <c r="AE898" s="691"/>
      <c r="AF898" s="934"/>
      <c r="AG898" s="934"/>
      <c r="AH898" s="888"/>
      <c r="AI898" s="888"/>
      <c r="AJ898" s="310"/>
      <c r="AK898" s="310"/>
      <c r="AL898" s="310"/>
      <c r="AM898" s="1"/>
      <c r="AN898" s="691"/>
      <c r="AO898" s="1"/>
      <c r="AP898" s="1"/>
    </row>
    <row r="899">
      <c r="A899" s="929"/>
      <c r="B899" s="691"/>
      <c r="C899" s="310"/>
      <c r="D899" s="691"/>
      <c r="E899" s="691"/>
      <c r="F899" s="350"/>
      <c r="G899" s="355"/>
      <c r="H899" s="780"/>
      <c r="I899" s="691"/>
      <c r="J899" s="691"/>
      <c r="K899" s="691"/>
      <c r="L899" s="691"/>
      <c r="M899" s="691"/>
      <c r="N899" s="691"/>
      <c r="O899" s="930"/>
      <c r="P899" s="909"/>
      <c r="Q899" s="931"/>
      <c r="R899" s="310"/>
      <c r="S899" s="310"/>
      <c r="T899" s="691"/>
      <c r="U899" s="691"/>
      <c r="V899" s="355"/>
      <c r="W899" s="932"/>
      <c r="X899" s="310"/>
      <c r="Y899" s="310"/>
      <c r="Z899" s="933"/>
      <c r="AA899" s="310"/>
      <c r="AB899" s="691"/>
      <c r="AC899" s="933"/>
      <c r="AD899" s="691"/>
      <c r="AE899" s="691"/>
      <c r="AF899" s="934"/>
      <c r="AG899" s="934"/>
      <c r="AH899" s="888"/>
      <c r="AI899" s="888"/>
      <c r="AJ899" s="310"/>
      <c r="AK899" s="310"/>
      <c r="AL899" s="310"/>
      <c r="AM899" s="1"/>
      <c r="AN899" s="691"/>
      <c r="AO899" s="1"/>
      <c r="AP899" s="1"/>
    </row>
    <row r="900">
      <c r="A900" s="929"/>
      <c r="B900" s="691"/>
      <c r="C900" s="310"/>
      <c r="D900" s="691"/>
      <c r="E900" s="691"/>
      <c r="F900" s="350"/>
      <c r="G900" s="355"/>
      <c r="H900" s="780"/>
      <c r="I900" s="691"/>
      <c r="J900" s="691"/>
      <c r="K900" s="691"/>
      <c r="L900" s="691"/>
      <c r="M900" s="691"/>
      <c r="N900" s="691"/>
      <c r="O900" s="930"/>
      <c r="P900" s="909"/>
      <c r="Q900" s="931"/>
      <c r="R900" s="310"/>
      <c r="S900" s="310"/>
      <c r="T900" s="691"/>
      <c r="U900" s="691"/>
      <c r="V900" s="355"/>
      <c r="W900" s="932"/>
      <c r="X900" s="310"/>
      <c r="Y900" s="310"/>
      <c r="Z900" s="933"/>
      <c r="AA900" s="310"/>
      <c r="AB900" s="691"/>
      <c r="AC900" s="933"/>
      <c r="AD900" s="691"/>
      <c r="AE900" s="691"/>
      <c r="AF900" s="934"/>
      <c r="AG900" s="934"/>
      <c r="AH900" s="888"/>
      <c r="AI900" s="888"/>
      <c r="AJ900" s="310"/>
      <c r="AK900" s="310"/>
      <c r="AL900" s="310"/>
      <c r="AM900" s="1"/>
      <c r="AN900" s="691"/>
      <c r="AO900" s="1"/>
      <c r="AP900" s="1"/>
    </row>
    <row r="901">
      <c r="A901" s="929"/>
      <c r="B901" s="691"/>
      <c r="C901" s="310"/>
      <c r="D901" s="691"/>
      <c r="E901" s="691"/>
      <c r="F901" s="350"/>
      <c r="G901" s="355"/>
      <c r="H901" s="780"/>
      <c r="I901" s="691"/>
      <c r="J901" s="691"/>
      <c r="K901" s="691"/>
      <c r="L901" s="691"/>
      <c r="M901" s="691"/>
      <c r="N901" s="691"/>
      <c r="O901" s="930"/>
      <c r="P901" s="909"/>
      <c r="Q901" s="931"/>
      <c r="R901" s="310"/>
      <c r="S901" s="310"/>
      <c r="T901" s="691"/>
      <c r="U901" s="691"/>
      <c r="V901" s="355"/>
      <c r="W901" s="932"/>
      <c r="X901" s="310"/>
      <c r="Y901" s="310"/>
      <c r="Z901" s="933"/>
      <c r="AA901" s="310"/>
      <c r="AB901" s="691"/>
      <c r="AC901" s="933"/>
      <c r="AD901" s="691"/>
      <c r="AE901" s="691"/>
      <c r="AF901" s="934"/>
      <c r="AG901" s="934"/>
      <c r="AH901" s="888"/>
      <c r="AI901" s="888"/>
      <c r="AJ901" s="310"/>
      <c r="AK901" s="310"/>
      <c r="AL901" s="310"/>
      <c r="AM901" s="1"/>
      <c r="AN901" s="691"/>
      <c r="AO901" s="1"/>
      <c r="AP901" s="1"/>
    </row>
    <row r="902">
      <c r="A902" s="929"/>
      <c r="B902" s="691"/>
      <c r="C902" s="310"/>
      <c r="D902" s="691"/>
      <c r="E902" s="691"/>
      <c r="F902" s="350"/>
      <c r="G902" s="355"/>
      <c r="H902" s="780"/>
      <c r="I902" s="691"/>
      <c r="J902" s="691"/>
      <c r="K902" s="691"/>
      <c r="L902" s="691"/>
      <c r="M902" s="691"/>
      <c r="N902" s="691"/>
      <c r="O902" s="930"/>
      <c r="P902" s="909"/>
      <c r="Q902" s="931"/>
      <c r="R902" s="310"/>
      <c r="S902" s="310"/>
      <c r="T902" s="691"/>
      <c r="U902" s="691"/>
      <c r="V902" s="355"/>
      <c r="W902" s="932"/>
      <c r="X902" s="310"/>
      <c r="Y902" s="310"/>
      <c r="Z902" s="933"/>
      <c r="AA902" s="310"/>
      <c r="AB902" s="691"/>
      <c r="AC902" s="933"/>
      <c r="AD902" s="691"/>
      <c r="AE902" s="691"/>
      <c r="AF902" s="934"/>
      <c r="AG902" s="934"/>
      <c r="AH902" s="888"/>
      <c r="AI902" s="888"/>
      <c r="AJ902" s="310"/>
      <c r="AK902" s="310"/>
      <c r="AL902" s="310"/>
      <c r="AM902" s="1"/>
      <c r="AN902" s="691"/>
      <c r="AO902" s="1"/>
      <c r="AP902" s="1"/>
    </row>
    <row r="903">
      <c r="A903" s="929"/>
      <c r="B903" s="691"/>
      <c r="C903" s="310"/>
      <c r="D903" s="691"/>
      <c r="E903" s="691"/>
      <c r="F903" s="350"/>
      <c r="G903" s="355"/>
      <c r="H903" s="780"/>
      <c r="I903" s="691"/>
      <c r="J903" s="691"/>
      <c r="K903" s="691"/>
      <c r="L903" s="691"/>
      <c r="M903" s="691"/>
      <c r="N903" s="691"/>
      <c r="O903" s="930"/>
      <c r="P903" s="909"/>
      <c r="Q903" s="931"/>
      <c r="R903" s="310"/>
      <c r="S903" s="310"/>
      <c r="T903" s="691"/>
      <c r="U903" s="691"/>
      <c r="V903" s="355"/>
      <c r="W903" s="932"/>
      <c r="X903" s="310"/>
      <c r="Y903" s="310"/>
      <c r="Z903" s="933"/>
      <c r="AA903" s="310"/>
      <c r="AB903" s="691"/>
      <c r="AC903" s="933"/>
      <c r="AD903" s="691"/>
      <c r="AE903" s="691"/>
      <c r="AF903" s="934"/>
      <c r="AG903" s="934"/>
      <c r="AH903" s="888"/>
      <c r="AI903" s="888"/>
      <c r="AJ903" s="310"/>
      <c r="AK903" s="310"/>
      <c r="AL903" s="310"/>
      <c r="AM903" s="1"/>
      <c r="AN903" s="691"/>
      <c r="AO903" s="1"/>
      <c r="AP903" s="1"/>
    </row>
    <row r="904">
      <c r="A904" s="929"/>
      <c r="B904" s="691"/>
      <c r="C904" s="310"/>
      <c r="D904" s="691"/>
      <c r="E904" s="691"/>
      <c r="F904" s="350"/>
      <c r="G904" s="355"/>
      <c r="H904" s="780"/>
      <c r="I904" s="691"/>
      <c r="J904" s="691"/>
      <c r="K904" s="691"/>
      <c r="L904" s="691"/>
      <c r="M904" s="691"/>
      <c r="N904" s="691"/>
      <c r="O904" s="930"/>
      <c r="P904" s="909"/>
      <c r="Q904" s="931"/>
      <c r="R904" s="310"/>
      <c r="S904" s="310"/>
      <c r="T904" s="691"/>
      <c r="U904" s="691"/>
      <c r="V904" s="355"/>
      <c r="W904" s="932"/>
      <c r="X904" s="310"/>
      <c r="Y904" s="310"/>
      <c r="Z904" s="933"/>
      <c r="AA904" s="310"/>
      <c r="AB904" s="691"/>
      <c r="AC904" s="933"/>
      <c r="AD904" s="691"/>
      <c r="AE904" s="691"/>
      <c r="AF904" s="934"/>
      <c r="AG904" s="934"/>
      <c r="AH904" s="888"/>
      <c r="AI904" s="888"/>
      <c r="AJ904" s="310"/>
      <c r="AK904" s="310"/>
      <c r="AL904" s="310"/>
      <c r="AM904" s="1"/>
      <c r="AN904" s="691"/>
      <c r="AO904" s="1"/>
      <c r="AP904" s="1"/>
    </row>
    <row r="905">
      <c r="A905" s="929"/>
      <c r="B905" s="691"/>
      <c r="C905" s="310"/>
      <c r="D905" s="691"/>
      <c r="E905" s="691"/>
      <c r="F905" s="350"/>
      <c r="G905" s="355"/>
      <c r="H905" s="780"/>
      <c r="I905" s="691"/>
      <c r="J905" s="691"/>
      <c r="K905" s="691"/>
      <c r="L905" s="691"/>
      <c r="M905" s="691"/>
      <c r="N905" s="691"/>
      <c r="O905" s="930"/>
      <c r="P905" s="909"/>
      <c r="Q905" s="931"/>
      <c r="R905" s="310"/>
      <c r="S905" s="310"/>
      <c r="T905" s="691"/>
      <c r="U905" s="691"/>
      <c r="V905" s="355"/>
      <c r="W905" s="932"/>
      <c r="X905" s="310"/>
      <c r="Y905" s="310"/>
      <c r="Z905" s="933"/>
      <c r="AA905" s="310"/>
      <c r="AB905" s="691"/>
      <c r="AC905" s="933"/>
      <c r="AD905" s="691"/>
      <c r="AE905" s="691"/>
      <c r="AF905" s="934"/>
      <c r="AG905" s="934"/>
      <c r="AH905" s="888"/>
      <c r="AI905" s="888"/>
      <c r="AJ905" s="310"/>
      <c r="AK905" s="310"/>
      <c r="AL905" s="310"/>
      <c r="AM905" s="1"/>
      <c r="AN905" s="691"/>
      <c r="AO905" s="1"/>
      <c r="AP905" s="1"/>
    </row>
    <row r="906">
      <c r="A906" s="929"/>
      <c r="B906" s="691"/>
      <c r="C906" s="310"/>
      <c r="D906" s="691"/>
      <c r="E906" s="691"/>
      <c r="F906" s="350"/>
      <c r="G906" s="355"/>
      <c r="H906" s="780"/>
      <c r="I906" s="691"/>
      <c r="J906" s="691"/>
      <c r="K906" s="691"/>
      <c r="L906" s="691"/>
      <c r="M906" s="691"/>
      <c r="N906" s="691"/>
      <c r="O906" s="930"/>
      <c r="P906" s="909"/>
      <c r="Q906" s="931"/>
      <c r="R906" s="310"/>
      <c r="S906" s="310"/>
      <c r="T906" s="691"/>
      <c r="U906" s="691"/>
      <c r="V906" s="355"/>
      <c r="W906" s="932"/>
      <c r="X906" s="310"/>
      <c r="Y906" s="310"/>
      <c r="Z906" s="933"/>
      <c r="AA906" s="310"/>
      <c r="AB906" s="691"/>
      <c r="AC906" s="933"/>
      <c r="AD906" s="691"/>
      <c r="AE906" s="691"/>
      <c r="AF906" s="934"/>
      <c r="AG906" s="934"/>
      <c r="AH906" s="888"/>
      <c r="AI906" s="888"/>
      <c r="AJ906" s="310"/>
      <c r="AK906" s="310"/>
      <c r="AL906" s="310"/>
      <c r="AM906" s="1"/>
      <c r="AN906" s="691"/>
      <c r="AO906" s="1"/>
      <c r="AP906" s="1"/>
    </row>
    <row r="907">
      <c r="A907" s="929"/>
      <c r="B907" s="691"/>
      <c r="C907" s="310"/>
      <c r="D907" s="691"/>
      <c r="E907" s="691"/>
      <c r="F907" s="350"/>
      <c r="G907" s="355"/>
      <c r="H907" s="780"/>
      <c r="I907" s="691"/>
      <c r="J907" s="691"/>
      <c r="K907" s="691"/>
      <c r="L907" s="691"/>
      <c r="M907" s="691"/>
      <c r="N907" s="691"/>
      <c r="O907" s="930"/>
      <c r="P907" s="909"/>
      <c r="Q907" s="931"/>
      <c r="R907" s="310"/>
      <c r="S907" s="310"/>
      <c r="T907" s="691"/>
      <c r="U907" s="691"/>
      <c r="V907" s="355"/>
      <c r="W907" s="932"/>
      <c r="X907" s="310"/>
      <c r="Y907" s="310"/>
      <c r="Z907" s="933"/>
      <c r="AA907" s="310"/>
      <c r="AB907" s="691"/>
      <c r="AC907" s="933"/>
      <c r="AD907" s="691"/>
      <c r="AE907" s="691"/>
      <c r="AF907" s="934"/>
      <c r="AG907" s="934"/>
      <c r="AH907" s="888"/>
      <c r="AI907" s="888"/>
      <c r="AJ907" s="310"/>
      <c r="AK907" s="310"/>
      <c r="AL907" s="310"/>
      <c r="AM907" s="1"/>
      <c r="AN907" s="691"/>
      <c r="AO907" s="1"/>
      <c r="AP907" s="1"/>
    </row>
    <row r="908">
      <c r="A908" s="929"/>
      <c r="B908" s="691"/>
      <c r="C908" s="310"/>
      <c r="D908" s="691"/>
      <c r="E908" s="691"/>
      <c r="F908" s="350"/>
      <c r="G908" s="355"/>
      <c r="H908" s="780"/>
      <c r="I908" s="691"/>
      <c r="J908" s="691"/>
      <c r="K908" s="691"/>
      <c r="L908" s="691"/>
      <c r="M908" s="691"/>
      <c r="N908" s="691"/>
      <c r="O908" s="930"/>
      <c r="P908" s="909"/>
      <c r="Q908" s="931"/>
      <c r="R908" s="310"/>
      <c r="S908" s="310"/>
      <c r="T908" s="691"/>
      <c r="U908" s="691"/>
      <c r="V908" s="355"/>
      <c r="W908" s="932"/>
      <c r="X908" s="310"/>
      <c r="Y908" s="310"/>
      <c r="Z908" s="933"/>
      <c r="AA908" s="310"/>
      <c r="AB908" s="691"/>
      <c r="AC908" s="933"/>
      <c r="AD908" s="691"/>
      <c r="AE908" s="691"/>
      <c r="AF908" s="934"/>
      <c r="AG908" s="934"/>
      <c r="AH908" s="888"/>
      <c r="AI908" s="888"/>
      <c r="AJ908" s="310"/>
      <c r="AK908" s="310"/>
      <c r="AL908" s="310"/>
      <c r="AM908" s="1"/>
      <c r="AN908" s="691"/>
      <c r="AO908" s="1"/>
      <c r="AP908" s="1"/>
    </row>
    <row r="909">
      <c r="A909" s="929"/>
      <c r="B909" s="691"/>
      <c r="C909" s="310"/>
      <c r="D909" s="691"/>
      <c r="E909" s="691"/>
      <c r="F909" s="350"/>
      <c r="G909" s="355"/>
      <c r="H909" s="780"/>
      <c r="I909" s="691"/>
      <c r="J909" s="691"/>
      <c r="K909" s="691"/>
      <c r="L909" s="691"/>
      <c r="M909" s="691"/>
      <c r="N909" s="691"/>
      <c r="O909" s="930"/>
      <c r="P909" s="909"/>
      <c r="Q909" s="931"/>
      <c r="R909" s="310"/>
      <c r="S909" s="310"/>
      <c r="T909" s="691"/>
      <c r="U909" s="691"/>
      <c r="V909" s="355"/>
      <c r="W909" s="932"/>
      <c r="X909" s="310"/>
      <c r="Y909" s="310"/>
      <c r="Z909" s="933"/>
      <c r="AA909" s="310"/>
      <c r="AB909" s="691"/>
      <c r="AC909" s="933"/>
      <c r="AD909" s="691"/>
      <c r="AE909" s="691"/>
      <c r="AF909" s="934"/>
      <c r="AG909" s="934"/>
      <c r="AH909" s="888"/>
      <c r="AI909" s="888"/>
      <c r="AJ909" s="310"/>
      <c r="AK909" s="310"/>
      <c r="AL909" s="310"/>
      <c r="AM909" s="1"/>
      <c r="AN909" s="691"/>
      <c r="AO909" s="1"/>
      <c r="AP909" s="1"/>
    </row>
    <row r="910">
      <c r="A910" s="929"/>
      <c r="B910" s="691"/>
      <c r="C910" s="310"/>
      <c r="D910" s="691"/>
      <c r="E910" s="691"/>
      <c r="F910" s="350"/>
      <c r="G910" s="355"/>
      <c r="H910" s="780"/>
      <c r="I910" s="691"/>
      <c r="J910" s="691"/>
      <c r="K910" s="691"/>
      <c r="L910" s="691"/>
      <c r="M910" s="691"/>
      <c r="N910" s="691"/>
      <c r="O910" s="930"/>
      <c r="P910" s="909"/>
      <c r="Q910" s="931"/>
      <c r="R910" s="310"/>
      <c r="S910" s="310"/>
      <c r="T910" s="691"/>
      <c r="U910" s="691"/>
      <c r="V910" s="355"/>
      <c r="W910" s="932"/>
      <c r="X910" s="310"/>
      <c r="Y910" s="310"/>
      <c r="Z910" s="933"/>
      <c r="AA910" s="310"/>
      <c r="AB910" s="691"/>
      <c r="AC910" s="933"/>
      <c r="AD910" s="691"/>
      <c r="AE910" s="691"/>
      <c r="AF910" s="934"/>
      <c r="AG910" s="934"/>
      <c r="AH910" s="888"/>
      <c r="AI910" s="888"/>
      <c r="AJ910" s="310"/>
      <c r="AK910" s="310"/>
      <c r="AL910" s="310"/>
      <c r="AM910" s="1"/>
      <c r="AN910" s="691"/>
      <c r="AO910" s="1"/>
      <c r="AP910" s="1"/>
    </row>
    <row r="911">
      <c r="A911" s="929"/>
      <c r="B911" s="691"/>
      <c r="C911" s="310"/>
      <c r="D911" s="691"/>
      <c r="E911" s="691"/>
      <c r="F911" s="350"/>
      <c r="G911" s="355"/>
      <c r="H911" s="780"/>
      <c r="I911" s="691"/>
      <c r="J911" s="691"/>
      <c r="K911" s="691"/>
      <c r="L911" s="691"/>
      <c r="M911" s="691"/>
      <c r="N911" s="691"/>
      <c r="O911" s="930"/>
      <c r="P911" s="909"/>
      <c r="Q911" s="931"/>
      <c r="R911" s="310"/>
      <c r="S911" s="310"/>
      <c r="T911" s="691"/>
      <c r="U911" s="691"/>
      <c r="V911" s="355"/>
      <c r="W911" s="932"/>
      <c r="X911" s="310"/>
      <c r="Y911" s="310"/>
      <c r="Z911" s="933"/>
      <c r="AA911" s="310"/>
      <c r="AB911" s="691"/>
      <c r="AC911" s="933"/>
      <c r="AD911" s="691"/>
      <c r="AE911" s="691"/>
      <c r="AF911" s="934"/>
      <c r="AG911" s="934"/>
      <c r="AH911" s="888"/>
      <c r="AI911" s="888"/>
      <c r="AJ911" s="310"/>
      <c r="AK911" s="310"/>
      <c r="AL911" s="310"/>
      <c r="AM911" s="1"/>
      <c r="AN911" s="691"/>
      <c r="AO911" s="1"/>
      <c r="AP911" s="1"/>
    </row>
    <row r="912">
      <c r="A912" s="929"/>
      <c r="B912" s="691"/>
      <c r="C912" s="310"/>
      <c r="D912" s="691"/>
      <c r="E912" s="691"/>
      <c r="F912" s="350"/>
      <c r="G912" s="355"/>
      <c r="H912" s="780"/>
      <c r="I912" s="691"/>
      <c r="J912" s="691"/>
      <c r="K912" s="691"/>
      <c r="L912" s="691"/>
      <c r="M912" s="691"/>
      <c r="N912" s="691"/>
      <c r="O912" s="930"/>
      <c r="P912" s="909"/>
      <c r="Q912" s="931"/>
      <c r="R912" s="310"/>
      <c r="S912" s="310"/>
      <c r="T912" s="691"/>
      <c r="U912" s="691"/>
      <c r="V912" s="355"/>
      <c r="W912" s="932"/>
      <c r="X912" s="310"/>
      <c r="Y912" s="310"/>
      <c r="Z912" s="933"/>
      <c r="AA912" s="310"/>
      <c r="AB912" s="691"/>
      <c r="AC912" s="933"/>
      <c r="AD912" s="691"/>
      <c r="AE912" s="691"/>
      <c r="AF912" s="934"/>
      <c r="AG912" s="934"/>
      <c r="AH912" s="888"/>
      <c r="AI912" s="888"/>
      <c r="AJ912" s="310"/>
      <c r="AK912" s="310"/>
      <c r="AL912" s="310"/>
      <c r="AM912" s="1"/>
      <c r="AN912" s="691"/>
      <c r="AO912" s="1"/>
      <c r="AP912" s="1"/>
    </row>
    <row r="913">
      <c r="A913" s="929"/>
      <c r="B913" s="691"/>
      <c r="C913" s="310"/>
      <c r="D913" s="691"/>
      <c r="E913" s="691"/>
      <c r="F913" s="350"/>
      <c r="G913" s="355"/>
      <c r="H913" s="780"/>
      <c r="I913" s="691"/>
      <c r="J913" s="691"/>
      <c r="K913" s="691"/>
      <c r="L913" s="691"/>
      <c r="M913" s="691"/>
      <c r="N913" s="691"/>
      <c r="O913" s="930"/>
      <c r="P913" s="909"/>
      <c r="Q913" s="931"/>
      <c r="R913" s="310"/>
      <c r="S913" s="310"/>
      <c r="T913" s="691"/>
      <c r="U913" s="691"/>
      <c r="V913" s="355"/>
      <c r="W913" s="932"/>
      <c r="X913" s="310"/>
      <c r="Y913" s="310"/>
      <c r="Z913" s="933"/>
      <c r="AA913" s="310"/>
      <c r="AB913" s="691"/>
      <c r="AC913" s="933"/>
      <c r="AD913" s="691"/>
      <c r="AE913" s="691"/>
      <c r="AF913" s="934"/>
      <c r="AG913" s="934"/>
      <c r="AH913" s="888"/>
      <c r="AI913" s="888"/>
      <c r="AJ913" s="310"/>
      <c r="AK913" s="310"/>
      <c r="AL913" s="310"/>
      <c r="AM913" s="1"/>
      <c r="AN913" s="691"/>
      <c r="AO913" s="1"/>
      <c r="AP913" s="1"/>
    </row>
    <row r="914">
      <c r="A914" s="929"/>
      <c r="B914" s="691"/>
      <c r="C914" s="310"/>
      <c r="D914" s="691"/>
      <c r="E914" s="691"/>
      <c r="F914" s="350"/>
      <c r="G914" s="355"/>
      <c r="H914" s="780"/>
      <c r="I914" s="691"/>
      <c r="J914" s="691"/>
      <c r="K914" s="691"/>
      <c r="L914" s="691"/>
      <c r="M914" s="691"/>
      <c r="N914" s="691"/>
      <c r="O914" s="930"/>
      <c r="P914" s="909"/>
      <c r="Q914" s="931"/>
      <c r="R914" s="310"/>
      <c r="S914" s="310"/>
      <c r="T914" s="691"/>
      <c r="U914" s="691"/>
      <c r="V914" s="355"/>
      <c r="W914" s="932"/>
      <c r="X914" s="310"/>
      <c r="Y914" s="310"/>
      <c r="Z914" s="933"/>
      <c r="AA914" s="310"/>
      <c r="AB914" s="691"/>
      <c r="AC914" s="933"/>
      <c r="AD914" s="691"/>
      <c r="AE914" s="691"/>
      <c r="AF914" s="934"/>
      <c r="AG914" s="934"/>
      <c r="AH914" s="888"/>
      <c r="AI914" s="888"/>
      <c r="AJ914" s="310"/>
      <c r="AK914" s="310"/>
      <c r="AL914" s="310"/>
      <c r="AM914" s="1"/>
      <c r="AN914" s="691"/>
      <c r="AO914" s="1"/>
      <c r="AP914" s="1"/>
    </row>
    <row r="915">
      <c r="A915" s="929"/>
      <c r="B915" s="691"/>
      <c r="C915" s="310"/>
      <c r="D915" s="691"/>
      <c r="E915" s="691"/>
      <c r="F915" s="350"/>
      <c r="G915" s="355"/>
      <c r="H915" s="780"/>
      <c r="I915" s="691"/>
      <c r="J915" s="691"/>
      <c r="K915" s="691"/>
      <c r="L915" s="691"/>
      <c r="M915" s="691"/>
      <c r="N915" s="691"/>
      <c r="O915" s="930"/>
      <c r="P915" s="909"/>
      <c r="Q915" s="931"/>
      <c r="R915" s="310"/>
      <c r="S915" s="310"/>
      <c r="T915" s="691"/>
      <c r="U915" s="691"/>
      <c r="V915" s="355"/>
      <c r="W915" s="932"/>
      <c r="X915" s="310"/>
      <c r="Y915" s="310"/>
      <c r="Z915" s="933"/>
      <c r="AA915" s="310"/>
      <c r="AB915" s="691"/>
      <c r="AC915" s="933"/>
      <c r="AD915" s="691"/>
      <c r="AE915" s="691"/>
      <c r="AF915" s="934"/>
      <c r="AG915" s="934"/>
      <c r="AH915" s="888"/>
      <c r="AI915" s="888"/>
      <c r="AJ915" s="310"/>
      <c r="AK915" s="310"/>
      <c r="AL915" s="310"/>
      <c r="AM915" s="1"/>
      <c r="AN915" s="691"/>
      <c r="AO915" s="1"/>
      <c r="AP915" s="1"/>
    </row>
    <row r="916">
      <c r="A916" s="929"/>
      <c r="B916" s="691"/>
      <c r="C916" s="310"/>
      <c r="D916" s="691"/>
      <c r="E916" s="691"/>
      <c r="F916" s="350"/>
      <c r="G916" s="355"/>
      <c r="H916" s="780"/>
      <c r="I916" s="691"/>
      <c r="J916" s="691"/>
      <c r="K916" s="691"/>
      <c r="L916" s="691"/>
      <c r="M916" s="691"/>
      <c r="N916" s="691"/>
      <c r="O916" s="930"/>
      <c r="P916" s="909"/>
      <c r="Q916" s="931"/>
      <c r="R916" s="310"/>
      <c r="S916" s="310"/>
      <c r="T916" s="691"/>
      <c r="U916" s="691"/>
      <c r="V916" s="355"/>
      <c r="W916" s="932"/>
      <c r="X916" s="310"/>
      <c r="Y916" s="310"/>
      <c r="Z916" s="933"/>
      <c r="AA916" s="310"/>
      <c r="AB916" s="691"/>
      <c r="AC916" s="933"/>
      <c r="AD916" s="691"/>
      <c r="AE916" s="691"/>
      <c r="AF916" s="934"/>
      <c r="AG916" s="934"/>
      <c r="AH916" s="888"/>
      <c r="AI916" s="888"/>
      <c r="AJ916" s="310"/>
      <c r="AK916" s="310"/>
      <c r="AL916" s="310"/>
      <c r="AM916" s="1"/>
      <c r="AN916" s="691"/>
      <c r="AO916" s="1"/>
      <c r="AP916" s="1"/>
    </row>
    <row r="917">
      <c r="A917" s="929"/>
      <c r="B917" s="691"/>
      <c r="C917" s="310"/>
      <c r="D917" s="691"/>
      <c r="E917" s="691"/>
      <c r="F917" s="350"/>
      <c r="G917" s="355"/>
      <c r="H917" s="780"/>
      <c r="I917" s="691"/>
      <c r="J917" s="691"/>
      <c r="K917" s="691"/>
      <c r="L917" s="691"/>
      <c r="M917" s="691"/>
      <c r="N917" s="691"/>
      <c r="O917" s="930"/>
      <c r="P917" s="909"/>
      <c r="Q917" s="931"/>
      <c r="R917" s="310"/>
      <c r="S917" s="310"/>
      <c r="T917" s="691"/>
      <c r="U917" s="691"/>
      <c r="V917" s="355"/>
      <c r="W917" s="932"/>
      <c r="X917" s="310"/>
      <c r="Y917" s="310"/>
      <c r="Z917" s="933"/>
      <c r="AA917" s="310"/>
      <c r="AB917" s="691"/>
      <c r="AC917" s="933"/>
      <c r="AD917" s="691"/>
      <c r="AE917" s="691"/>
      <c r="AF917" s="934"/>
      <c r="AG917" s="934"/>
      <c r="AH917" s="888"/>
      <c r="AI917" s="888"/>
      <c r="AJ917" s="310"/>
      <c r="AK917" s="310"/>
      <c r="AL917" s="310"/>
      <c r="AM917" s="1"/>
      <c r="AN917" s="691"/>
      <c r="AO917" s="1"/>
      <c r="AP917" s="1"/>
    </row>
    <row r="918">
      <c r="A918" s="929"/>
      <c r="B918" s="691"/>
      <c r="C918" s="310"/>
      <c r="D918" s="691"/>
      <c r="E918" s="691"/>
      <c r="F918" s="350"/>
      <c r="G918" s="355"/>
      <c r="H918" s="780"/>
      <c r="I918" s="691"/>
      <c r="J918" s="691"/>
      <c r="K918" s="691"/>
      <c r="L918" s="691"/>
      <c r="M918" s="691"/>
      <c r="N918" s="691"/>
      <c r="O918" s="930"/>
      <c r="P918" s="909"/>
      <c r="Q918" s="931"/>
      <c r="R918" s="310"/>
      <c r="S918" s="310"/>
      <c r="T918" s="691"/>
      <c r="U918" s="691"/>
      <c r="V918" s="355"/>
      <c r="W918" s="932"/>
      <c r="X918" s="310"/>
      <c r="Y918" s="310"/>
      <c r="Z918" s="933"/>
      <c r="AA918" s="310"/>
      <c r="AB918" s="691"/>
      <c r="AC918" s="933"/>
      <c r="AD918" s="691"/>
      <c r="AE918" s="691"/>
      <c r="AF918" s="934"/>
      <c r="AG918" s="934"/>
      <c r="AH918" s="888"/>
      <c r="AI918" s="888"/>
      <c r="AJ918" s="310"/>
      <c r="AK918" s="310"/>
      <c r="AL918" s="310"/>
      <c r="AM918" s="1"/>
      <c r="AN918" s="691"/>
      <c r="AO918" s="1"/>
      <c r="AP918" s="1"/>
    </row>
    <row r="919">
      <c r="A919" s="929"/>
      <c r="B919" s="691"/>
      <c r="C919" s="310"/>
      <c r="D919" s="691"/>
      <c r="E919" s="691"/>
      <c r="F919" s="350"/>
      <c r="G919" s="355"/>
      <c r="H919" s="780"/>
      <c r="I919" s="691"/>
      <c r="J919" s="691"/>
      <c r="K919" s="691"/>
      <c r="L919" s="691"/>
      <c r="M919" s="691"/>
      <c r="N919" s="691"/>
      <c r="O919" s="930"/>
      <c r="P919" s="909"/>
      <c r="Q919" s="931"/>
      <c r="R919" s="310"/>
      <c r="S919" s="310"/>
      <c r="T919" s="691"/>
      <c r="U919" s="691"/>
      <c r="V919" s="355"/>
      <c r="W919" s="932"/>
      <c r="X919" s="310"/>
      <c r="Y919" s="310"/>
      <c r="Z919" s="933"/>
      <c r="AA919" s="310"/>
      <c r="AB919" s="691"/>
      <c r="AC919" s="933"/>
      <c r="AD919" s="691"/>
      <c r="AE919" s="691"/>
      <c r="AF919" s="934"/>
      <c r="AG919" s="934"/>
      <c r="AH919" s="888"/>
      <c r="AI919" s="888"/>
      <c r="AJ919" s="310"/>
      <c r="AK919" s="310"/>
      <c r="AL919" s="310"/>
      <c r="AM919" s="1"/>
      <c r="AN919" s="691"/>
      <c r="AO919" s="1"/>
      <c r="AP919" s="1"/>
    </row>
    <row r="920">
      <c r="A920" s="929"/>
      <c r="B920" s="691"/>
      <c r="C920" s="310"/>
      <c r="D920" s="691"/>
      <c r="E920" s="691"/>
      <c r="F920" s="350"/>
      <c r="G920" s="355"/>
      <c r="H920" s="780"/>
      <c r="I920" s="691"/>
      <c r="J920" s="691"/>
      <c r="K920" s="691"/>
      <c r="L920" s="691"/>
      <c r="M920" s="691"/>
      <c r="N920" s="691"/>
      <c r="O920" s="930"/>
      <c r="P920" s="909"/>
      <c r="Q920" s="931"/>
      <c r="R920" s="310"/>
      <c r="S920" s="310"/>
      <c r="T920" s="691"/>
      <c r="U920" s="691"/>
      <c r="V920" s="355"/>
      <c r="W920" s="932"/>
      <c r="X920" s="310"/>
      <c r="Y920" s="310"/>
      <c r="Z920" s="933"/>
      <c r="AA920" s="310"/>
      <c r="AB920" s="691"/>
      <c r="AC920" s="933"/>
      <c r="AD920" s="691"/>
      <c r="AE920" s="691"/>
      <c r="AF920" s="934"/>
      <c r="AG920" s="934"/>
      <c r="AH920" s="888"/>
      <c r="AI920" s="888"/>
      <c r="AJ920" s="310"/>
      <c r="AK920" s="310"/>
      <c r="AL920" s="310"/>
      <c r="AM920" s="1"/>
      <c r="AN920" s="691"/>
      <c r="AO920" s="1"/>
      <c r="AP920" s="1"/>
    </row>
    <row r="921">
      <c r="A921" s="929"/>
      <c r="B921" s="691"/>
      <c r="C921" s="310"/>
      <c r="D921" s="691"/>
      <c r="E921" s="691"/>
      <c r="F921" s="350"/>
      <c r="G921" s="355"/>
      <c r="H921" s="780"/>
      <c r="I921" s="691"/>
      <c r="J921" s="691"/>
      <c r="K921" s="691"/>
      <c r="L921" s="691"/>
      <c r="M921" s="691"/>
      <c r="N921" s="691"/>
      <c r="O921" s="930"/>
      <c r="P921" s="909"/>
      <c r="Q921" s="931"/>
      <c r="R921" s="310"/>
      <c r="S921" s="310"/>
      <c r="T921" s="691"/>
      <c r="U921" s="691"/>
      <c r="V921" s="355"/>
      <c r="W921" s="932"/>
      <c r="X921" s="310"/>
      <c r="Y921" s="310"/>
      <c r="Z921" s="933"/>
      <c r="AA921" s="310"/>
      <c r="AB921" s="691"/>
      <c r="AC921" s="933"/>
      <c r="AD921" s="691"/>
      <c r="AE921" s="691"/>
      <c r="AF921" s="934"/>
      <c r="AG921" s="934"/>
      <c r="AH921" s="888"/>
      <c r="AI921" s="888"/>
      <c r="AJ921" s="310"/>
      <c r="AK921" s="310"/>
      <c r="AL921" s="310"/>
      <c r="AM921" s="1"/>
      <c r="AN921" s="691"/>
      <c r="AO921" s="1"/>
      <c r="AP921" s="1"/>
    </row>
    <row r="922">
      <c r="A922" s="929"/>
      <c r="B922" s="691"/>
      <c r="C922" s="310"/>
      <c r="D922" s="691"/>
      <c r="E922" s="691"/>
      <c r="F922" s="350"/>
      <c r="G922" s="355"/>
      <c r="H922" s="780"/>
      <c r="I922" s="691"/>
      <c r="J922" s="691"/>
      <c r="K922" s="691"/>
      <c r="L922" s="691"/>
      <c r="M922" s="691"/>
      <c r="N922" s="691"/>
      <c r="O922" s="930"/>
      <c r="P922" s="909"/>
      <c r="Q922" s="931"/>
      <c r="R922" s="310"/>
      <c r="S922" s="310"/>
      <c r="T922" s="691"/>
      <c r="U922" s="691"/>
      <c r="V922" s="355"/>
      <c r="W922" s="932"/>
      <c r="X922" s="310"/>
      <c r="Y922" s="310"/>
      <c r="Z922" s="933"/>
      <c r="AA922" s="310"/>
      <c r="AB922" s="691"/>
      <c r="AC922" s="933"/>
      <c r="AD922" s="691"/>
      <c r="AE922" s="691"/>
      <c r="AF922" s="934"/>
      <c r="AG922" s="934"/>
      <c r="AH922" s="888"/>
      <c r="AI922" s="888"/>
      <c r="AJ922" s="310"/>
      <c r="AK922" s="310"/>
      <c r="AL922" s="310"/>
      <c r="AM922" s="1"/>
      <c r="AN922" s="691"/>
      <c r="AO922" s="1"/>
      <c r="AP922" s="1"/>
    </row>
    <row r="923">
      <c r="A923" s="929"/>
      <c r="B923" s="691"/>
      <c r="C923" s="310"/>
      <c r="D923" s="691"/>
      <c r="E923" s="691"/>
      <c r="F923" s="350"/>
      <c r="G923" s="355"/>
      <c r="H923" s="780"/>
      <c r="I923" s="691"/>
      <c r="J923" s="691"/>
      <c r="K923" s="691"/>
      <c r="L923" s="691"/>
      <c r="M923" s="691"/>
      <c r="N923" s="691"/>
      <c r="O923" s="930"/>
      <c r="P923" s="909"/>
      <c r="Q923" s="931"/>
      <c r="R923" s="310"/>
      <c r="S923" s="310"/>
      <c r="T923" s="691"/>
      <c r="U923" s="691"/>
      <c r="V923" s="355"/>
      <c r="W923" s="932"/>
      <c r="X923" s="310"/>
      <c r="Y923" s="310"/>
      <c r="Z923" s="933"/>
      <c r="AA923" s="310"/>
      <c r="AB923" s="691"/>
      <c r="AC923" s="933"/>
      <c r="AD923" s="691"/>
      <c r="AE923" s="691"/>
      <c r="AF923" s="934"/>
      <c r="AG923" s="934"/>
      <c r="AH923" s="888"/>
      <c r="AI923" s="888"/>
      <c r="AJ923" s="310"/>
      <c r="AK923" s="310"/>
      <c r="AL923" s="310"/>
      <c r="AM923" s="1"/>
      <c r="AN923" s="691"/>
      <c r="AO923" s="1"/>
      <c r="AP923" s="1"/>
    </row>
    <row r="924">
      <c r="A924" s="929"/>
      <c r="B924" s="691"/>
      <c r="C924" s="310"/>
      <c r="D924" s="691"/>
      <c r="E924" s="691"/>
      <c r="F924" s="350"/>
      <c r="G924" s="355"/>
      <c r="H924" s="780"/>
      <c r="I924" s="691"/>
      <c r="J924" s="691"/>
      <c r="K924" s="691"/>
      <c r="L924" s="691"/>
      <c r="M924" s="691"/>
      <c r="N924" s="691"/>
      <c r="O924" s="930"/>
      <c r="P924" s="909"/>
      <c r="Q924" s="931"/>
      <c r="R924" s="310"/>
      <c r="S924" s="310"/>
      <c r="T924" s="691"/>
      <c r="U924" s="691"/>
      <c r="V924" s="355"/>
      <c r="W924" s="932"/>
      <c r="X924" s="310"/>
      <c r="Y924" s="310"/>
      <c r="Z924" s="933"/>
      <c r="AA924" s="310"/>
      <c r="AB924" s="691"/>
      <c r="AC924" s="933"/>
      <c r="AD924" s="691"/>
      <c r="AE924" s="691"/>
      <c r="AF924" s="934"/>
      <c r="AG924" s="934"/>
      <c r="AH924" s="888"/>
      <c r="AI924" s="888"/>
      <c r="AJ924" s="310"/>
      <c r="AK924" s="310"/>
      <c r="AL924" s="310"/>
      <c r="AM924" s="1"/>
      <c r="AN924" s="691"/>
      <c r="AO924" s="1"/>
      <c r="AP924" s="1"/>
    </row>
    <row r="925">
      <c r="A925" s="929"/>
      <c r="B925" s="691"/>
      <c r="C925" s="310"/>
      <c r="D925" s="691"/>
      <c r="E925" s="691"/>
      <c r="F925" s="350"/>
      <c r="G925" s="355"/>
      <c r="H925" s="780"/>
      <c r="I925" s="691"/>
      <c r="J925" s="691"/>
      <c r="K925" s="691"/>
      <c r="L925" s="691"/>
      <c r="M925" s="691"/>
      <c r="N925" s="691"/>
      <c r="O925" s="930"/>
      <c r="P925" s="909"/>
      <c r="Q925" s="931"/>
      <c r="R925" s="310"/>
      <c r="S925" s="310"/>
      <c r="T925" s="691"/>
      <c r="U925" s="691"/>
      <c r="V925" s="355"/>
      <c r="W925" s="932"/>
      <c r="X925" s="310"/>
      <c r="Y925" s="310"/>
      <c r="Z925" s="933"/>
      <c r="AA925" s="310"/>
      <c r="AB925" s="691"/>
      <c r="AC925" s="933"/>
      <c r="AD925" s="691"/>
      <c r="AE925" s="691"/>
      <c r="AF925" s="934"/>
      <c r="AG925" s="934"/>
      <c r="AH925" s="888"/>
      <c r="AI925" s="888"/>
      <c r="AJ925" s="310"/>
      <c r="AK925" s="310"/>
      <c r="AL925" s="310"/>
      <c r="AM925" s="1"/>
      <c r="AN925" s="691"/>
      <c r="AO925" s="1"/>
      <c r="AP925" s="1"/>
    </row>
    <row r="926">
      <c r="A926" s="929"/>
      <c r="B926" s="691"/>
      <c r="C926" s="310"/>
      <c r="D926" s="691"/>
      <c r="E926" s="691"/>
      <c r="F926" s="350"/>
      <c r="G926" s="355"/>
      <c r="H926" s="780"/>
      <c r="I926" s="691"/>
      <c r="J926" s="691"/>
      <c r="K926" s="691"/>
      <c r="L926" s="691"/>
      <c r="M926" s="691"/>
      <c r="N926" s="691"/>
      <c r="O926" s="930"/>
      <c r="P926" s="909"/>
      <c r="Q926" s="931"/>
      <c r="R926" s="310"/>
      <c r="S926" s="310"/>
      <c r="T926" s="691"/>
      <c r="U926" s="691"/>
      <c r="V926" s="355"/>
      <c r="W926" s="932"/>
      <c r="X926" s="310"/>
      <c r="Y926" s="310"/>
      <c r="Z926" s="933"/>
      <c r="AA926" s="310"/>
      <c r="AB926" s="691"/>
      <c r="AC926" s="933"/>
      <c r="AD926" s="691"/>
      <c r="AE926" s="691"/>
      <c r="AF926" s="934"/>
      <c r="AG926" s="934"/>
      <c r="AH926" s="888"/>
      <c r="AI926" s="888"/>
      <c r="AJ926" s="310"/>
      <c r="AK926" s="310"/>
      <c r="AL926" s="310"/>
      <c r="AM926" s="1"/>
      <c r="AN926" s="691"/>
      <c r="AO926" s="1"/>
      <c r="AP926" s="1"/>
    </row>
    <row r="927">
      <c r="A927" s="929"/>
      <c r="B927" s="691"/>
      <c r="C927" s="310"/>
      <c r="D927" s="691"/>
      <c r="E927" s="691"/>
      <c r="F927" s="350"/>
      <c r="G927" s="355"/>
      <c r="H927" s="780"/>
      <c r="I927" s="691"/>
      <c r="J927" s="691"/>
      <c r="K927" s="691"/>
      <c r="L927" s="691"/>
      <c r="M927" s="691"/>
      <c r="N927" s="691"/>
      <c r="O927" s="930"/>
      <c r="P927" s="909"/>
      <c r="Q927" s="931"/>
      <c r="R927" s="310"/>
      <c r="S927" s="310"/>
      <c r="T927" s="691"/>
      <c r="U927" s="691"/>
      <c r="V927" s="355"/>
      <c r="W927" s="932"/>
      <c r="X927" s="310"/>
      <c r="Y927" s="310"/>
      <c r="Z927" s="933"/>
      <c r="AA927" s="310"/>
      <c r="AB927" s="691"/>
      <c r="AC927" s="933"/>
      <c r="AD927" s="691"/>
      <c r="AE927" s="691"/>
      <c r="AF927" s="934"/>
      <c r="AG927" s="934"/>
      <c r="AH927" s="888"/>
      <c r="AI927" s="888"/>
      <c r="AJ927" s="310"/>
      <c r="AK927" s="310"/>
      <c r="AL927" s="310"/>
      <c r="AM927" s="1"/>
      <c r="AN927" s="691"/>
      <c r="AO927" s="1"/>
      <c r="AP927" s="1"/>
    </row>
    <row r="928">
      <c r="A928" s="929"/>
      <c r="B928" s="691"/>
      <c r="C928" s="310"/>
      <c r="D928" s="691"/>
      <c r="E928" s="691"/>
      <c r="F928" s="350"/>
      <c r="G928" s="355"/>
      <c r="H928" s="780"/>
      <c r="I928" s="691"/>
      <c r="J928" s="691"/>
      <c r="K928" s="691"/>
      <c r="L928" s="691"/>
      <c r="M928" s="691"/>
      <c r="N928" s="691"/>
      <c r="O928" s="930"/>
      <c r="P928" s="909"/>
      <c r="Q928" s="931"/>
      <c r="R928" s="310"/>
      <c r="S928" s="310"/>
      <c r="T928" s="691"/>
      <c r="U928" s="691"/>
      <c r="V928" s="355"/>
      <c r="W928" s="932"/>
      <c r="X928" s="310"/>
      <c r="Y928" s="310"/>
      <c r="Z928" s="933"/>
      <c r="AA928" s="310"/>
      <c r="AB928" s="691"/>
      <c r="AC928" s="933"/>
      <c r="AD928" s="691"/>
      <c r="AE928" s="691"/>
      <c r="AF928" s="934"/>
      <c r="AG928" s="934"/>
      <c r="AH928" s="888"/>
      <c r="AI928" s="888"/>
      <c r="AJ928" s="310"/>
      <c r="AK928" s="310"/>
      <c r="AL928" s="310"/>
      <c r="AM928" s="1"/>
      <c r="AN928" s="691"/>
      <c r="AO928" s="1"/>
      <c r="AP928" s="1"/>
    </row>
    <row r="929">
      <c r="A929" s="929"/>
      <c r="B929" s="691"/>
      <c r="C929" s="310"/>
      <c r="D929" s="691"/>
      <c r="E929" s="691"/>
      <c r="F929" s="350"/>
      <c r="G929" s="355"/>
      <c r="H929" s="780"/>
      <c r="I929" s="691"/>
      <c r="J929" s="691"/>
      <c r="K929" s="691"/>
      <c r="L929" s="691"/>
      <c r="M929" s="691"/>
      <c r="N929" s="691"/>
      <c r="O929" s="930"/>
      <c r="P929" s="909"/>
      <c r="Q929" s="931"/>
      <c r="R929" s="310"/>
      <c r="S929" s="310"/>
      <c r="T929" s="691"/>
      <c r="U929" s="691"/>
      <c r="V929" s="355"/>
      <c r="W929" s="932"/>
      <c r="X929" s="310"/>
      <c r="Y929" s="310"/>
      <c r="Z929" s="933"/>
      <c r="AA929" s="310"/>
      <c r="AB929" s="691"/>
      <c r="AC929" s="933"/>
      <c r="AD929" s="691"/>
      <c r="AE929" s="691"/>
      <c r="AF929" s="934"/>
      <c r="AG929" s="934"/>
      <c r="AH929" s="888"/>
      <c r="AI929" s="888"/>
      <c r="AJ929" s="310"/>
      <c r="AK929" s="310"/>
      <c r="AL929" s="310"/>
      <c r="AM929" s="1"/>
      <c r="AN929" s="691"/>
      <c r="AO929" s="1"/>
      <c r="AP929" s="1"/>
    </row>
    <row r="930">
      <c r="A930" s="929"/>
      <c r="B930" s="691"/>
      <c r="C930" s="310"/>
      <c r="D930" s="691"/>
      <c r="E930" s="691"/>
      <c r="F930" s="350"/>
      <c r="G930" s="355"/>
      <c r="H930" s="780"/>
      <c r="I930" s="691"/>
      <c r="J930" s="691"/>
      <c r="K930" s="691"/>
      <c r="L930" s="691"/>
      <c r="M930" s="691"/>
      <c r="N930" s="691"/>
      <c r="O930" s="930"/>
      <c r="P930" s="909"/>
      <c r="Q930" s="931"/>
      <c r="R930" s="310"/>
      <c r="S930" s="310"/>
      <c r="T930" s="691"/>
      <c r="U930" s="691"/>
      <c r="V930" s="355"/>
      <c r="W930" s="932"/>
      <c r="X930" s="310"/>
      <c r="Y930" s="310"/>
      <c r="Z930" s="933"/>
      <c r="AA930" s="310"/>
      <c r="AB930" s="691"/>
      <c r="AC930" s="933"/>
      <c r="AD930" s="691"/>
      <c r="AE930" s="691"/>
      <c r="AF930" s="934"/>
      <c r="AG930" s="934"/>
      <c r="AH930" s="888"/>
      <c r="AI930" s="888"/>
      <c r="AJ930" s="310"/>
      <c r="AK930" s="310"/>
      <c r="AL930" s="310"/>
      <c r="AM930" s="1"/>
      <c r="AN930" s="691"/>
      <c r="AO930" s="1"/>
      <c r="AP930" s="1"/>
    </row>
    <row r="931">
      <c r="A931" s="929"/>
      <c r="B931" s="691"/>
      <c r="C931" s="310"/>
      <c r="D931" s="691"/>
      <c r="E931" s="691"/>
      <c r="F931" s="350"/>
      <c r="G931" s="355"/>
      <c r="H931" s="780"/>
      <c r="I931" s="691"/>
      <c r="J931" s="691"/>
      <c r="K931" s="691"/>
      <c r="L931" s="691"/>
      <c r="M931" s="691"/>
      <c r="N931" s="691"/>
      <c r="O931" s="930"/>
      <c r="P931" s="909"/>
      <c r="Q931" s="931"/>
      <c r="R931" s="310"/>
      <c r="S931" s="310"/>
      <c r="T931" s="691"/>
      <c r="U931" s="691"/>
      <c r="V931" s="355"/>
      <c r="W931" s="932"/>
      <c r="X931" s="310"/>
      <c r="Y931" s="310"/>
      <c r="Z931" s="933"/>
      <c r="AA931" s="310"/>
      <c r="AB931" s="691"/>
      <c r="AC931" s="933"/>
      <c r="AD931" s="691"/>
      <c r="AE931" s="691"/>
      <c r="AF931" s="934"/>
      <c r="AG931" s="934"/>
      <c r="AH931" s="888"/>
      <c r="AI931" s="888"/>
      <c r="AJ931" s="310"/>
      <c r="AK931" s="310"/>
      <c r="AL931" s="310"/>
      <c r="AM931" s="1"/>
      <c r="AN931" s="691"/>
      <c r="AO931" s="1"/>
      <c r="AP931" s="1"/>
    </row>
    <row r="932">
      <c r="A932" s="929"/>
      <c r="B932" s="691"/>
      <c r="C932" s="310"/>
      <c r="D932" s="691"/>
      <c r="E932" s="691"/>
      <c r="F932" s="350"/>
      <c r="G932" s="355"/>
      <c r="H932" s="780"/>
      <c r="I932" s="691"/>
      <c r="J932" s="691"/>
      <c r="K932" s="691"/>
      <c r="L932" s="691"/>
      <c r="M932" s="691"/>
      <c r="N932" s="691"/>
      <c r="O932" s="930"/>
      <c r="P932" s="909"/>
      <c r="Q932" s="931"/>
      <c r="R932" s="310"/>
      <c r="S932" s="310"/>
      <c r="T932" s="691"/>
      <c r="U932" s="691"/>
      <c r="V932" s="355"/>
      <c r="W932" s="932"/>
      <c r="X932" s="310"/>
      <c r="Y932" s="310"/>
      <c r="Z932" s="933"/>
      <c r="AA932" s="310"/>
      <c r="AB932" s="691"/>
      <c r="AC932" s="933"/>
      <c r="AD932" s="691"/>
      <c r="AE932" s="691"/>
      <c r="AF932" s="934"/>
      <c r="AG932" s="934"/>
      <c r="AH932" s="888"/>
      <c r="AI932" s="888"/>
      <c r="AJ932" s="310"/>
      <c r="AK932" s="310"/>
      <c r="AL932" s="310"/>
      <c r="AM932" s="1"/>
      <c r="AN932" s="691"/>
      <c r="AO932" s="1"/>
      <c r="AP932" s="1"/>
    </row>
    <row r="933">
      <c r="A933" s="929"/>
      <c r="B933" s="691"/>
      <c r="C933" s="310"/>
      <c r="D933" s="691"/>
      <c r="E933" s="691"/>
      <c r="F933" s="350"/>
      <c r="G933" s="355"/>
      <c r="H933" s="780"/>
      <c r="I933" s="691"/>
      <c r="J933" s="691"/>
      <c r="K933" s="691"/>
      <c r="L933" s="691"/>
      <c r="M933" s="691"/>
      <c r="N933" s="691"/>
      <c r="O933" s="930"/>
      <c r="P933" s="909"/>
      <c r="Q933" s="931"/>
      <c r="R933" s="310"/>
      <c r="S933" s="310"/>
      <c r="T933" s="691"/>
      <c r="U933" s="691"/>
      <c r="V933" s="355"/>
      <c r="W933" s="932"/>
      <c r="X933" s="310"/>
      <c r="Y933" s="310"/>
      <c r="Z933" s="933"/>
      <c r="AA933" s="310"/>
      <c r="AB933" s="691"/>
      <c r="AC933" s="933"/>
      <c r="AD933" s="691"/>
      <c r="AE933" s="691"/>
      <c r="AF933" s="934"/>
      <c r="AG933" s="934"/>
      <c r="AH933" s="888"/>
      <c r="AI933" s="888"/>
      <c r="AJ933" s="310"/>
      <c r="AK933" s="310"/>
      <c r="AL933" s="310"/>
      <c r="AM933" s="1"/>
      <c r="AN933" s="691"/>
      <c r="AO933" s="1"/>
      <c r="AP933" s="1"/>
    </row>
    <row r="934">
      <c r="A934" s="929"/>
      <c r="B934" s="691"/>
      <c r="C934" s="310"/>
      <c r="D934" s="691"/>
      <c r="E934" s="691"/>
      <c r="F934" s="350"/>
      <c r="G934" s="355"/>
      <c r="H934" s="780"/>
      <c r="I934" s="691"/>
      <c r="J934" s="691"/>
      <c r="K934" s="691"/>
      <c r="L934" s="691"/>
      <c r="M934" s="691"/>
      <c r="N934" s="691"/>
      <c r="O934" s="930"/>
      <c r="P934" s="909"/>
      <c r="Q934" s="931"/>
      <c r="R934" s="310"/>
      <c r="S934" s="310"/>
      <c r="T934" s="691"/>
      <c r="U934" s="691"/>
      <c r="V934" s="355"/>
      <c r="W934" s="932"/>
      <c r="X934" s="310"/>
      <c r="Y934" s="310"/>
      <c r="Z934" s="933"/>
      <c r="AA934" s="310"/>
      <c r="AB934" s="691"/>
      <c r="AC934" s="933"/>
      <c r="AD934" s="691"/>
      <c r="AE934" s="691"/>
      <c r="AF934" s="934"/>
      <c r="AG934" s="934"/>
      <c r="AH934" s="888"/>
      <c r="AI934" s="888"/>
      <c r="AJ934" s="310"/>
      <c r="AK934" s="310"/>
      <c r="AL934" s="310"/>
      <c r="AM934" s="1"/>
      <c r="AN934" s="691"/>
      <c r="AO934" s="1"/>
      <c r="AP934" s="1"/>
    </row>
    <row r="935">
      <c r="A935" s="929"/>
      <c r="B935" s="691"/>
      <c r="C935" s="310"/>
      <c r="D935" s="691"/>
      <c r="E935" s="691"/>
      <c r="F935" s="350"/>
      <c r="G935" s="355"/>
      <c r="H935" s="780"/>
      <c r="I935" s="691"/>
      <c r="J935" s="691"/>
      <c r="K935" s="691"/>
      <c r="L935" s="691"/>
      <c r="M935" s="691"/>
      <c r="N935" s="691"/>
      <c r="O935" s="930"/>
      <c r="P935" s="909"/>
      <c r="Q935" s="931"/>
      <c r="R935" s="310"/>
      <c r="S935" s="310"/>
      <c r="T935" s="691"/>
      <c r="U935" s="691"/>
      <c r="V935" s="355"/>
      <c r="W935" s="932"/>
      <c r="X935" s="310"/>
      <c r="Y935" s="310"/>
      <c r="Z935" s="933"/>
      <c r="AA935" s="310"/>
      <c r="AB935" s="691"/>
      <c r="AC935" s="933"/>
      <c r="AD935" s="691"/>
      <c r="AE935" s="691"/>
      <c r="AF935" s="934"/>
      <c r="AG935" s="934"/>
      <c r="AH935" s="888"/>
      <c r="AI935" s="888"/>
      <c r="AJ935" s="310"/>
      <c r="AK935" s="310"/>
      <c r="AL935" s="310"/>
      <c r="AM935" s="1"/>
      <c r="AN935" s="691"/>
      <c r="AO935" s="1"/>
      <c r="AP935" s="1"/>
    </row>
    <row r="936">
      <c r="A936" s="929"/>
      <c r="B936" s="691"/>
      <c r="C936" s="310"/>
      <c r="D936" s="691"/>
      <c r="E936" s="691"/>
      <c r="F936" s="350"/>
      <c r="G936" s="355"/>
      <c r="H936" s="780"/>
      <c r="I936" s="691"/>
      <c r="J936" s="691"/>
      <c r="K936" s="691"/>
      <c r="L936" s="691"/>
      <c r="M936" s="691"/>
      <c r="N936" s="691"/>
      <c r="O936" s="930"/>
      <c r="P936" s="909"/>
      <c r="Q936" s="931"/>
      <c r="R936" s="310"/>
      <c r="S936" s="310"/>
      <c r="T936" s="691"/>
      <c r="U936" s="691"/>
      <c r="V936" s="355"/>
      <c r="W936" s="932"/>
      <c r="X936" s="310"/>
      <c r="Y936" s="310"/>
      <c r="Z936" s="933"/>
      <c r="AA936" s="310"/>
      <c r="AB936" s="691"/>
      <c r="AC936" s="933"/>
      <c r="AD936" s="691"/>
      <c r="AE936" s="691"/>
      <c r="AF936" s="934"/>
      <c r="AG936" s="934"/>
      <c r="AH936" s="888"/>
      <c r="AI936" s="888"/>
      <c r="AJ936" s="310"/>
      <c r="AK936" s="310"/>
      <c r="AL936" s="310"/>
      <c r="AM936" s="1"/>
      <c r="AN936" s="691"/>
      <c r="AO936" s="1"/>
      <c r="AP936" s="1"/>
    </row>
    <row r="937">
      <c r="A937" s="929"/>
      <c r="B937" s="691"/>
      <c r="C937" s="310"/>
      <c r="D937" s="691"/>
      <c r="E937" s="691"/>
      <c r="F937" s="350"/>
      <c r="G937" s="355"/>
      <c r="H937" s="780"/>
      <c r="I937" s="691"/>
      <c r="J937" s="691"/>
      <c r="K937" s="691"/>
      <c r="L937" s="691"/>
      <c r="M937" s="691"/>
      <c r="N937" s="691"/>
      <c r="O937" s="930"/>
      <c r="P937" s="909"/>
      <c r="Q937" s="931"/>
      <c r="R937" s="310"/>
      <c r="S937" s="310"/>
      <c r="T937" s="691"/>
      <c r="U937" s="691"/>
      <c r="V937" s="355"/>
      <c r="W937" s="932"/>
      <c r="X937" s="310"/>
      <c r="Y937" s="310"/>
      <c r="Z937" s="933"/>
      <c r="AA937" s="310"/>
      <c r="AB937" s="691"/>
      <c r="AC937" s="933"/>
      <c r="AD937" s="691"/>
      <c r="AE937" s="691"/>
      <c r="AF937" s="934"/>
      <c r="AG937" s="934"/>
      <c r="AH937" s="888"/>
      <c r="AI937" s="888"/>
      <c r="AJ937" s="310"/>
      <c r="AK937" s="310"/>
      <c r="AL937" s="310"/>
      <c r="AM937" s="1"/>
      <c r="AN937" s="691"/>
      <c r="AO937" s="1"/>
      <c r="AP937" s="1"/>
    </row>
    <row r="938">
      <c r="A938" s="929"/>
      <c r="B938" s="691"/>
      <c r="C938" s="310"/>
      <c r="D938" s="691"/>
      <c r="E938" s="691"/>
      <c r="F938" s="350"/>
      <c r="G938" s="355"/>
      <c r="H938" s="780"/>
      <c r="I938" s="691"/>
      <c r="J938" s="691"/>
      <c r="K938" s="691"/>
      <c r="L938" s="691"/>
      <c r="M938" s="691"/>
      <c r="N938" s="691"/>
      <c r="O938" s="930"/>
      <c r="P938" s="909"/>
      <c r="Q938" s="931"/>
      <c r="R938" s="310"/>
      <c r="S938" s="310"/>
      <c r="T938" s="691"/>
      <c r="U938" s="691"/>
      <c r="V938" s="355"/>
      <c r="W938" s="932"/>
      <c r="X938" s="310"/>
      <c r="Y938" s="310"/>
      <c r="Z938" s="933"/>
      <c r="AA938" s="310"/>
      <c r="AB938" s="691"/>
      <c r="AC938" s="933"/>
      <c r="AD938" s="691"/>
      <c r="AE938" s="691"/>
      <c r="AF938" s="934"/>
      <c r="AG938" s="934"/>
      <c r="AH938" s="888"/>
      <c r="AI938" s="888"/>
      <c r="AJ938" s="310"/>
      <c r="AK938" s="310"/>
      <c r="AL938" s="310"/>
      <c r="AM938" s="1"/>
      <c r="AN938" s="691"/>
      <c r="AO938" s="1"/>
      <c r="AP938" s="1"/>
    </row>
    <row r="939">
      <c r="A939" s="929"/>
      <c r="B939" s="691"/>
      <c r="C939" s="310"/>
      <c r="D939" s="691"/>
      <c r="E939" s="691"/>
      <c r="F939" s="350"/>
      <c r="G939" s="355"/>
      <c r="H939" s="780"/>
      <c r="I939" s="691"/>
      <c r="J939" s="691"/>
      <c r="K939" s="691"/>
      <c r="L939" s="691"/>
      <c r="M939" s="691"/>
      <c r="N939" s="691"/>
      <c r="O939" s="930"/>
      <c r="P939" s="909"/>
      <c r="Q939" s="931"/>
      <c r="R939" s="310"/>
      <c r="S939" s="310"/>
      <c r="T939" s="691"/>
      <c r="U939" s="691"/>
      <c r="V939" s="355"/>
      <c r="W939" s="932"/>
      <c r="X939" s="310"/>
      <c r="Y939" s="310"/>
      <c r="Z939" s="933"/>
      <c r="AA939" s="310"/>
      <c r="AB939" s="691"/>
      <c r="AC939" s="933"/>
      <c r="AD939" s="691"/>
      <c r="AE939" s="691"/>
      <c r="AF939" s="934"/>
      <c r="AG939" s="934"/>
      <c r="AH939" s="888"/>
      <c r="AI939" s="888"/>
      <c r="AJ939" s="310"/>
      <c r="AK939" s="310"/>
      <c r="AL939" s="310"/>
      <c r="AM939" s="1"/>
      <c r="AN939" s="691"/>
      <c r="AO939" s="1"/>
      <c r="AP939" s="1"/>
    </row>
    <row r="940">
      <c r="A940" s="929"/>
      <c r="B940" s="691"/>
      <c r="C940" s="310"/>
      <c r="D940" s="691"/>
      <c r="E940" s="691"/>
      <c r="F940" s="350"/>
      <c r="G940" s="355"/>
      <c r="H940" s="780"/>
      <c r="I940" s="691"/>
      <c r="J940" s="691"/>
      <c r="K940" s="691"/>
      <c r="L940" s="691"/>
      <c r="M940" s="691"/>
      <c r="N940" s="691"/>
      <c r="O940" s="930"/>
      <c r="P940" s="909"/>
      <c r="Q940" s="931"/>
      <c r="R940" s="310"/>
      <c r="S940" s="310"/>
      <c r="T940" s="691"/>
      <c r="U940" s="691"/>
      <c r="V940" s="355"/>
      <c r="W940" s="932"/>
      <c r="X940" s="310"/>
      <c r="Y940" s="310"/>
      <c r="Z940" s="933"/>
      <c r="AA940" s="310"/>
      <c r="AB940" s="691"/>
      <c r="AC940" s="933"/>
      <c r="AD940" s="691"/>
      <c r="AE940" s="691"/>
      <c r="AF940" s="934"/>
      <c r="AG940" s="934"/>
      <c r="AH940" s="888"/>
      <c r="AI940" s="888"/>
      <c r="AJ940" s="310"/>
      <c r="AK940" s="310"/>
      <c r="AL940" s="310"/>
      <c r="AM940" s="1"/>
      <c r="AN940" s="691"/>
      <c r="AO940" s="1"/>
      <c r="AP940" s="1"/>
    </row>
    <row r="941">
      <c r="A941" s="929"/>
      <c r="B941" s="691"/>
      <c r="C941" s="310"/>
      <c r="D941" s="691"/>
      <c r="E941" s="691"/>
      <c r="F941" s="350"/>
      <c r="G941" s="355"/>
      <c r="H941" s="780"/>
      <c r="I941" s="691"/>
      <c r="J941" s="691"/>
      <c r="K941" s="691"/>
      <c r="L941" s="691"/>
      <c r="M941" s="691"/>
      <c r="N941" s="691"/>
      <c r="O941" s="930"/>
      <c r="P941" s="909"/>
      <c r="Q941" s="931"/>
      <c r="R941" s="310"/>
      <c r="S941" s="310"/>
      <c r="T941" s="691"/>
      <c r="U941" s="691"/>
      <c r="V941" s="355"/>
      <c r="W941" s="932"/>
      <c r="X941" s="310"/>
      <c r="Y941" s="310"/>
      <c r="Z941" s="933"/>
      <c r="AA941" s="310"/>
      <c r="AB941" s="691"/>
      <c r="AC941" s="933"/>
      <c r="AD941" s="691"/>
      <c r="AE941" s="691"/>
      <c r="AF941" s="934"/>
      <c r="AG941" s="934"/>
      <c r="AH941" s="888"/>
      <c r="AI941" s="888"/>
      <c r="AJ941" s="310"/>
      <c r="AK941" s="310"/>
      <c r="AL941" s="310"/>
      <c r="AM941" s="1"/>
      <c r="AN941" s="691"/>
      <c r="AO941" s="1"/>
      <c r="AP941" s="1"/>
    </row>
    <row r="942">
      <c r="A942" s="929"/>
      <c r="B942" s="691"/>
      <c r="C942" s="310"/>
      <c r="D942" s="691"/>
      <c r="E942" s="691"/>
      <c r="F942" s="350"/>
      <c r="G942" s="355"/>
      <c r="H942" s="780"/>
      <c r="I942" s="691"/>
      <c r="J942" s="691"/>
      <c r="K942" s="691"/>
      <c r="L942" s="691"/>
      <c r="M942" s="691"/>
      <c r="N942" s="691"/>
      <c r="O942" s="930"/>
      <c r="P942" s="909"/>
      <c r="Q942" s="931"/>
      <c r="R942" s="310"/>
      <c r="S942" s="310"/>
      <c r="T942" s="691"/>
      <c r="U942" s="691"/>
      <c r="V942" s="355"/>
      <c r="W942" s="932"/>
      <c r="X942" s="310"/>
      <c r="Y942" s="310"/>
      <c r="Z942" s="933"/>
      <c r="AA942" s="310"/>
      <c r="AB942" s="691"/>
      <c r="AC942" s="933"/>
      <c r="AD942" s="691"/>
      <c r="AE942" s="691"/>
      <c r="AF942" s="934"/>
      <c r="AG942" s="934"/>
      <c r="AH942" s="888"/>
      <c r="AI942" s="888"/>
      <c r="AJ942" s="310"/>
      <c r="AK942" s="310"/>
      <c r="AL942" s="310"/>
      <c r="AM942" s="1"/>
      <c r="AN942" s="691"/>
      <c r="AO942" s="1"/>
      <c r="AP942" s="1"/>
    </row>
    <row r="943">
      <c r="A943" s="929"/>
      <c r="B943" s="691"/>
      <c r="C943" s="310"/>
      <c r="D943" s="691"/>
      <c r="E943" s="691"/>
      <c r="F943" s="350"/>
      <c r="G943" s="355"/>
      <c r="H943" s="780"/>
      <c r="I943" s="691"/>
      <c r="J943" s="691"/>
      <c r="K943" s="691"/>
      <c r="L943" s="691"/>
      <c r="M943" s="691"/>
      <c r="N943" s="691"/>
      <c r="O943" s="930"/>
      <c r="P943" s="909"/>
      <c r="Q943" s="931"/>
      <c r="R943" s="310"/>
      <c r="S943" s="310"/>
      <c r="T943" s="691"/>
      <c r="U943" s="691"/>
      <c r="V943" s="355"/>
      <c r="W943" s="932"/>
      <c r="X943" s="310"/>
      <c r="Y943" s="310"/>
      <c r="Z943" s="933"/>
      <c r="AA943" s="310"/>
      <c r="AB943" s="691"/>
      <c r="AC943" s="933"/>
      <c r="AD943" s="691"/>
      <c r="AE943" s="691"/>
      <c r="AF943" s="934"/>
      <c r="AG943" s="934"/>
      <c r="AH943" s="888"/>
      <c r="AI943" s="888"/>
      <c r="AJ943" s="310"/>
      <c r="AK943" s="310"/>
      <c r="AL943" s="310"/>
      <c r="AM943" s="1"/>
      <c r="AN943" s="691"/>
      <c r="AO943" s="1"/>
      <c r="AP943" s="1"/>
    </row>
    <row r="944">
      <c r="A944" s="929"/>
      <c r="B944" s="691"/>
      <c r="C944" s="310"/>
      <c r="D944" s="691"/>
      <c r="E944" s="691"/>
      <c r="F944" s="350"/>
      <c r="G944" s="355"/>
      <c r="H944" s="780"/>
      <c r="I944" s="691"/>
      <c r="J944" s="691"/>
      <c r="K944" s="691"/>
      <c r="L944" s="691"/>
      <c r="M944" s="691"/>
      <c r="N944" s="691"/>
      <c r="O944" s="930"/>
      <c r="P944" s="909"/>
      <c r="Q944" s="931"/>
      <c r="R944" s="310"/>
      <c r="S944" s="310"/>
      <c r="T944" s="691"/>
      <c r="U944" s="691"/>
      <c r="V944" s="355"/>
      <c r="W944" s="932"/>
      <c r="X944" s="310"/>
      <c r="Y944" s="310"/>
      <c r="Z944" s="933"/>
      <c r="AA944" s="310"/>
      <c r="AB944" s="691"/>
      <c r="AC944" s="933"/>
      <c r="AD944" s="691"/>
      <c r="AE944" s="691"/>
      <c r="AF944" s="934"/>
      <c r="AG944" s="934"/>
      <c r="AH944" s="888"/>
      <c r="AI944" s="888"/>
      <c r="AJ944" s="310"/>
      <c r="AK944" s="310"/>
      <c r="AL944" s="310"/>
      <c r="AM944" s="1"/>
      <c r="AN944" s="691"/>
      <c r="AO944" s="1"/>
      <c r="AP944" s="1"/>
    </row>
    <row r="945">
      <c r="A945" s="929"/>
      <c r="B945" s="691"/>
      <c r="C945" s="310"/>
      <c r="D945" s="691"/>
      <c r="E945" s="691"/>
      <c r="F945" s="350"/>
      <c r="G945" s="355"/>
      <c r="H945" s="780"/>
      <c r="I945" s="691"/>
      <c r="J945" s="691"/>
      <c r="K945" s="691"/>
      <c r="L945" s="691"/>
      <c r="M945" s="691"/>
      <c r="N945" s="691"/>
      <c r="O945" s="930"/>
      <c r="P945" s="909"/>
      <c r="Q945" s="931"/>
      <c r="R945" s="310"/>
      <c r="S945" s="310"/>
      <c r="T945" s="691"/>
      <c r="U945" s="691"/>
      <c r="V945" s="355"/>
      <c r="W945" s="932"/>
      <c r="X945" s="310"/>
      <c r="Y945" s="310"/>
      <c r="Z945" s="933"/>
      <c r="AA945" s="310"/>
      <c r="AB945" s="691"/>
      <c r="AC945" s="933"/>
      <c r="AD945" s="691"/>
      <c r="AE945" s="691"/>
      <c r="AF945" s="934"/>
      <c r="AG945" s="934"/>
      <c r="AH945" s="888"/>
      <c r="AI945" s="888"/>
      <c r="AJ945" s="310"/>
      <c r="AK945" s="310"/>
      <c r="AL945" s="310"/>
      <c r="AM945" s="1"/>
      <c r="AN945" s="691"/>
      <c r="AO945" s="1"/>
      <c r="AP945" s="1"/>
    </row>
    <row r="946">
      <c r="A946" s="929"/>
      <c r="B946" s="691"/>
      <c r="C946" s="310"/>
      <c r="D946" s="691"/>
      <c r="E946" s="691"/>
      <c r="F946" s="350"/>
      <c r="G946" s="355"/>
      <c r="H946" s="780"/>
      <c r="I946" s="691"/>
      <c r="J946" s="691"/>
      <c r="K946" s="691"/>
      <c r="L946" s="691"/>
      <c r="M946" s="691"/>
      <c r="N946" s="691"/>
      <c r="O946" s="930"/>
      <c r="P946" s="909"/>
      <c r="Q946" s="931"/>
      <c r="R946" s="310"/>
      <c r="S946" s="310"/>
      <c r="T946" s="691"/>
      <c r="U946" s="691"/>
      <c r="V946" s="355"/>
      <c r="W946" s="932"/>
      <c r="X946" s="310"/>
      <c r="Y946" s="310"/>
      <c r="Z946" s="933"/>
      <c r="AA946" s="310"/>
      <c r="AB946" s="691"/>
      <c r="AC946" s="933"/>
      <c r="AD946" s="691"/>
      <c r="AE946" s="691"/>
      <c r="AF946" s="934"/>
      <c r="AG946" s="934"/>
      <c r="AH946" s="888"/>
      <c r="AI946" s="888"/>
      <c r="AJ946" s="310"/>
      <c r="AK946" s="310"/>
      <c r="AL946" s="310"/>
      <c r="AM946" s="1"/>
      <c r="AN946" s="691"/>
      <c r="AO946" s="1"/>
      <c r="AP946" s="1"/>
    </row>
    <row r="947">
      <c r="A947" s="929"/>
      <c r="B947" s="691"/>
      <c r="C947" s="310"/>
      <c r="D947" s="691"/>
      <c r="E947" s="691"/>
      <c r="F947" s="350"/>
      <c r="G947" s="355"/>
      <c r="H947" s="780"/>
      <c r="I947" s="691"/>
      <c r="J947" s="691"/>
      <c r="K947" s="691"/>
      <c r="L947" s="691"/>
      <c r="M947" s="691"/>
      <c r="N947" s="691"/>
      <c r="O947" s="930"/>
      <c r="P947" s="909"/>
      <c r="Q947" s="931"/>
      <c r="R947" s="310"/>
      <c r="S947" s="310"/>
      <c r="T947" s="691"/>
      <c r="U947" s="691"/>
      <c r="V947" s="355"/>
      <c r="W947" s="932"/>
      <c r="X947" s="310"/>
      <c r="Y947" s="310"/>
      <c r="Z947" s="933"/>
      <c r="AA947" s="310"/>
      <c r="AB947" s="691"/>
      <c r="AC947" s="933"/>
      <c r="AD947" s="691"/>
      <c r="AE947" s="691"/>
      <c r="AF947" s="934"/>
      <c r="AG947" s="934"/>
      <c r="AH947" s="888"/>
      <c r="AI947" s="888"/>
      <c r="AJ947" s="310"/>
      <c r="AK947" s="310"/>
      <c r="AL947" s="310"/>
      <c r="AM947" s="1"/>
      <c r="AN947" s="691"/>
      <c r="AO947" s="1"/>
      <c r="AP947" s="1"/>
    </row>
    <row r="948">
      <c r="A948" s="929"/>
      <c r="B948" s="691"/>
      <c r="C948" s="310"/>
      <c r="D948" s="691"/>
      <c r="E948" s="691"/>
      <c r="F948" s="350"/>
      <c r="G948" s="355"/>
      <c r="H948" s="780"/>
      <c r="I948" s="691"/>
      <c r="J948" s="691"/>
      <c r="K948" s="691"/>
      <c r="L948" s="691"/>
      <c r="M948" s="691"/>
      <c r="N948" s="691"/>
      <c r="O948" s="930"/>
      <c r="P948" s="909"/>
      <c r="Q948" s="931"/>
      <c r="R948" s="310"/>
      <c r="S948" s="310"/>
      <c r="T948" s="691"/>
      <c r="U948" s="691"/>
      <c r="V948" s="355"/>
      <c r="W948" s="932"/>
      <c r="X948" s="310"/>
      <c r="Y948" s="310"/>
      <c r="Z948" s="933"/>
      <c r="AA948" s="310"/>
      <c r="AB948" s="691"/>
      <c r="AC948" s="933"/>
      <c r="AD948" s="691"/>
      <c r="AE948" s="691"/>
      <c r="AF948" s="934"/>
      <c r="AG948" s="934"/>
      <c r="AH948" s="888"/>
      <c r="AI948" s="888"/>
      <c r="AJ948" s="310"/>
      <c r="AK948" s="310"/>
      <c r="AL948" s="310"/>
      <c r="AM948" s="1"/>
      <c r="AN948" s="691"/>
      <c r="AO948" s="1"/>
      <c r="AP948" s="1"/>
    </row>
    <row r="949">
      <c r="A949" s="929"/>
      <c r="B949" s="691"/>
      <c r="C949" s="310"/>
      <c r="D949" s="691"/>
      <c r="E949" s="691"/>
      <c r="F949" s="350"/>
      <c r="G949" s="355"/>
      <c r="H949" s="780"/>
      <c r="I949" s="691"/>
      <c r="J949" s="691"/>
      <c r="K949" s="691"/>
      <c r="L949" s="691"/>
      <c r="M949" s="691"/>
      <c r="N949" s="691"/>
      <c r="O949" s="930"/>
      <c r="P949" s="909"/>
      <c r="Q949" s="931"/>
      <c r="R949" s="310"/>
      <c r="S949" s="310"/>
      <c r="T949" s="691"/>
      <c r="U949" s="691"/>
      <c r="V949" s="355"/>
      <c r="W949" s="932"/>
      <c r="X949" s="310"/>
      <c r="Y949" s="310"/>
      <c r="Z949" s="933"/>
      <c r="AA949" s="310"/>
      <c r="AB949" s="691"/>
      <c r="AC949" s="933"/>
      <c r="AD949" s="691"/>
      <c r="AE949" s="691"/>
      <c r="AF949" s="934"/>
      <c r="AG949" s="934"/>
      <c r="AH949" s="888"/>
      <c r="AI949" s="888"/>
      <c r="AJ949" s="310"/>
      <c r="AK949" s="310"/>
      <c r="AL949" s="310"/>
      <c r="AM949" s="1"/>
      <c r="AN949" s="691"/>
      <c r="AO949" s="1"/>
      <c r="AP949" s="1"/>
    </row>
    <row r="950">
      <c r="A950" s="929"/>
      <c r="B950" s="691"/>
      <c r="C950" s="310"/>
      <c r="D950" s="691"/>
      <c r="E950" s="691"/>
      <c r="F950" s="350"/>
      <c r="G950" s="355"/>
      <c r="H950" s="780"/>
      <c r="I950" s="691"/>
      <c r="J950" s="691"/>
      <c r="K950" s="691"/>
      <c r="L950" s="691"/>
      <c r="M950" s="691"/>
      <c r="N950" s="691"/>
      <c r="O950" s="930"/>
      <c r="P950" s="909"/>
      <c r="Q950" s="931"/>
      <c r="R950" s="310"/>
      <c r="S950" s="310"/>
      <c r="T950" s="691"/>
      <c r="U950" s="691"/>
      <c r="V950" s="355"/>
      <c r="W950" s="932"/>
      <c r="X950" s="310"/>
      <c r="Y950" s="310"/>
      <c r="Z950" s="933"/>
      <c r="AA950" s="310"/>
      <c r="AB950" s="691"/>
      <c r="AC950" s="933"/>
      <c r="AD950" s="691"/>
      <c r="AE950" s="691"/>
      <c r="AF950" s="934"/>
      <c r="AG950" s="934"/>
      <c r="AH950" s="888"/>
      <c r="AI950" s="888"/>
      <c r="AJ950" s="310"/>
      <c r="AK950" s="310"/>
      <c r="AL950" s="310"/>
      <c r="AM950" s="1"/>
      <c r="AN950" s="691"/>
      <c r="AO950" s="1"/>
      <c r="AP950" s="1"/>
    </row>
    <row r="951">
      <c r="A951" s="929"/>
      <c r="B951" s="691"/>
      <c r="C951" s="310"/>
      <c r="D951" s="691"/>
      <c r="E951" s="691"/>
      <c r="F951" s="350"/>
      <c r="G951" s="355"/>
      <c r="H951" s="780"/>
      <c r="I951" s="691"/>
      <c r="J951" s="691"/>
      <c r="K951" s="691"/>
      <c r="L951" s="691"/>
      <c r="M951" s="691"/>
      <c r="N951" s="691"/>
      <c r="O951" s="930"/>
      <c r="P951" s="909"/>
      <c r="Q951" s="931"/>
      <c r="R951" s="310"/>
      <c r="S951" s="310"/>
      <c r="T951" s="691"/>
      <c r="U951" s="691"/>
      <c r="V951" s="355"/>
      <c r="W951" s="932"/>
      <c r="X951" s="310"/>
      <c r="Y951" s="310"/>
      <c r="Z951" s="933"/>
      <c r="AA951" s="310"/>
      <c r="AB951" s="691"/>
      <c r="AC951" s="933"/>
      <c r="AD951" s="691"/>
      <c r="AE951" s="691"/>
      <c r="AF951" s="934"/>
      <c r="AG951" s="934"/>
      <c r="AH951" s="888"/>
      <c r="AI951" s="888"/>
      <c r="AJ951" s="310"/>
      <c r="AK951" s="310"/>
      <c r="AL951" s="310"/>
      <c r="AM951" s="1"/>
      <c r="AN951" s="691"/>
      <c r="AO951" s="1"/>
      <c r="AP951" s="1"/>
    </row>
    <row r="952">
      <c r="A952" s="929"/>
      <c r="B952" s="691"/>
      <c r="C952" s="310"/>
      <c r="D952" s="691"/>
      <c r="E952" s="691"/>
      <c r="F952" s="350"/>
      <c r="G952" s="355"/>
      <c r="H952" s="780"/>
      <c r="I952" s="691"/>
      <c r="J952" s="691"/>
      <c r="K952" s="691"/>
      <c r="L952" s="691"/>
      <c r="M952" s="691"/>
      <c r="N952" s="691"/>
      <c r="O952" s="930"/>
      <c r="P952" s="909"/>
      <c r="Q952" s="931"/>
      <c r="R952" s="310"/>
      <c r="S952" s="310"/>
      <c r="T952" s="691"/>
      <c r="U952" s="691"/>
      <c r="V952" s="355"/>
      <c r="W952" s="932"/>
      <c r="X952" s="310"/>
      <c r="Y952" s="310"/>
      <c r="Z952" s="933"/>
      <c r="AA952" s="310"/>
      <c r="AB952" s="691"/>
      <c r="AC952" s="933"/>
      <c r="AD952" s="691"/>
      <c r="AE952" s="691"/>
      <c r="AF952" s="934"/>
      <c r="AG952" s="934"/>
      <c r="AH952" s="888"/>
      <c r="AI952" s="888"/>
      <c r="AJ952" s="310"/>
      <c r="AK952" s="310"/>
      <c r="AL952" s="310"/>
      <c r="AM952" s="1"/>
      <c r="AN952" s="691"/>
      <c r="AO952" s="1"/>
      <c r="AP952" s="1"/>
    </row>
    <row r="953">
      <c r="A953" s="929"/>
      <c r="B953" s="691"/>
      <c r="C953" s="310"/>
      <c r="D953" s="691"/>
      <c r="E953" s="691"/>
      <c r="F953" s="350"/>
      <c r="G953" s="355"/>
      <c r="H953" s="780"/>
      <c r="I953" s="691"/>
      <c r="J953" s="691"/>
      <c r="K953" s="691"/>
      <c r="L953" s="691"/>
      <c r="M953" s="691"/>
      <c r="N953" s="691"/>
      <c r="O953" s="930"/>
      <c r="P953" s="909"/>
      <c r="Q953" s="931"/>
      <c r="R953" s="310"/>
      <c r="S953" s="310"/>
      <c r="T953" s="691"/>
      <c r="U953" s="691"/>
      <c r="V953" s="355"/>
      <c r="W953" s="932"/>
      <c r="X953" s="310"/>
      <c r="Y953" s="310"/>
      <c r="Z953" s="933"/>
      <c r="AA953" s="310"/>
      <c r="AB953" s="691"/>
      <c r="AC953" s="933"/>
      <c r="AD953" s="691"/>
      <c r="AE953" s="691"/>
      <c r="AF953" s="934"/>
      <c r="AG953" s="934"/>
      <c r="AH953" s="888"/>
      <c r="AI953" s="888"/>
      <c r="AJ953" s="310"/>
      <c r="AK953" s="310"/>
      <c r="AL953" s="310"/>
      <c r="AM953" s="1"/>
      <c r="AN953" s="691"/>
      <c r="AO953" s="1"/>
      <c r="AP953" s="1"/>
    </row>
    <row r="954">
      <c r="A954" s="929"/>
      <c r="B954" s="691"/>
      <c r="C954" s="310"/>
      <c r="D954" s="691"/>
      <c r="E954" s="691"/>
      <c r="F954" s="350"/>
      <c r="G954" s="355"/>
      <c r="H954" s="780"/>
      <c r="I954" s="691"/>
      <c r="J954" s="691"/>
      <c r="K954" s="691"/>
      <c r="L954" s="691"/>
      <c r="M954" s="691"/>
      <c r="N954" s="691"/>
      <c r="O954" s="930"/>
      <c r="P954" s="909"/>
      <c r="Q954" s="931"/>
      <c r="R954" s="310"/>
      <c r="S954" s="310"/>
      <c r="T954" s="691"/>
      <c r="U954" s="691"/>
      <c r="V954" s="355"/>
      <c r="W954" s="932"/>
      <c r="X954" s="310"/>
      <c r="Y954" s="310"/>
      <c r="Z954" s="933"/>
      <c r="AA954" s="310"/>
      <c r="AB954" s="691"/>
      <c r="AC954" s="933"/>
      <c r="AD954" s="691"/>
      <c r="AE954" s="691"/>
      <c r="AF954" s="934"/>
      <c r="AG954" s="934"/>
      <c r="AH954" s="888"/>
      <c r="AI954" s="888"/>
      <c r="AJ954" s="310"/>
      <c r="AK954" s="310"/>
      <c r="AL954" s="310"/>
      <c r="AM954" s="1"/>
      <c r="AN954" s="691"/>
      <c r="AO954" s="1"/>
      <c r="AP954" s="1"/>
    </row>
    <row r="955">
      <c r="A955" s="929"/>
      <c r="B955" s="691"/>
      <c r="C955" s="310"/>
      <c r="D955" s="691"/>
      <c r="E955" s="691"/>
      <c r="F955" s="350"/>
      <c r="G955" s="355"/>
      <c r="H955" s="780"/>
      <c r="I955" s="691"/>
      <c r="J955" s="691"/>
      <c r="K955" s="691"/>
      <c r="L955" s="691"/>
      <c r="M955" s="691"/>
      <c r="N955" s="691"/>
      <c r="O955" s="930"/>
      <c r="P955" s="909"/>
      <c r="Q955" s="931"/>
      <c r="R955" s="310"/>
      <c r="S955" s="310"/>
      <c r="T955" s="691"/>
      <c r="U955" s="691"/>
      <c r="V955" s="355"/>
      <c r="W955" s="932"/>
      <c r="X955" s="310"/>
      <c r="Y955" s="310"/>
      <c r="Z955" s="933"/>
      <c r="AA955" s="310"/>
      <c r="AB955" s="691"/>
      <c r="AC955" s="933"/>
      <c r="AD955" s="691"/>
      <c r="AE955" s="691"/>
      <c r="AF955" s="934"/>
      <c r="AG955" s="934"/>
      <c r="AH955" s="888"/>
      <c r="AI955" s="888"/>
      <c r="AJ955" s="310"/>
      <c r="AK955" s="310"/>
      <c r="AL955" s="310"/>
      <c r="AM955" s="1"/>
      <c r="AN955" s="691"/>
      <c r="AO955" s="1"/>
      <c r="AP955" s="1"/>
    </row>
    <row r="956">
      <c r="A956" s="929"/>
      <c r="B956" s="691"/>
      <c r="C956" s="310"/>
      <c r="D956" s="691"/>
      <c r="E956" s="691"/>
      <c r="F956" s="350"/>
      <c r="G956" s="355"/>
      <c r="H956" s="780"/>
      <c r="I956" s="691"/>
      <c r="J956" s="691"/>
      <c r="K956" s="691"/>
      <c r="L956" s="691"/>
      <c r="M956" s="691"/>
      <c r="N956" s="691"/>
      <c r="O956" s="930"/>
      <c r="P956" s="909"/>
      <c r="Q956" s="931"/>
      <c r="R956" s="310"/>
      <c r="S956" s="310"/>
      <c r="T956" s="691"/>
      <c r="U956" s="691"/>
      <c r="V956" s="355"/>
      <c r="W956" s="932"/>
      <c r="X956" s="310"/>
      <c r="Y956" s="310"/>
      <c r="Z956" s="933"/>
      <c r="AA956" s="310"/>
      <c r="AB956" s="691"/>
      <c r="AC956" s="933"/>
      <c r="AD956" s="691"/>
      <c r="AE956" s="691"/>
      <c r="AF956" s="934"/>
      <c r="AG956" s="934"/>
      <c r="AH956" s="888"/>
      <c r="AI956" s="888"/>
      <c r="AJ956" s="310"/>
      <c r="AK956" s="310"/>
      <c r="AL956" s="310"/>
      <c r="AM956" s="1"/>
      <c r="AN956" s="691"/>
      <c r="AO956" s="1"/>
      <c r="AP956" s="1"/>
    </row>
    <row r="957">
      <c r="A957" s="929"/>
      <c r="B957" s="691"/>
      <c r="C957" s="310"/>
      <c r="D957" s="691"/>
      <c r="E957" s="691"/>
      <c r="F957" s="350"/>
      <c r="G957" s="355"/>
      <c r="H957" s="780"/>
      <c r="I957" s="691"/>
      <c r="J957" s="691"/>
      <c r="K957" s="691"/>
      <c r="L957" s="691"/>
      <c r="M957" s="691"/>
      <c r="N957" s="691"/>
      <c r="O957" s="930"/>
      <c r="P957" s="909"/>
      <c r="Q957" s="931"/>
      <c r="R957" s="310"/>
      <c r="S957" s="310"/>
      <c r="T957" s="691"/>
      <c r="U957" s="691"/>
      <c r="V957" s="355"/>
      <c r="W957" s="932"/>
      <c r="X957" s="310"/>
      <c r="Y957" s="310"/>
      <c r="Z957" s="933"/>
      <c r="AA957" s="310"/>
      <c r="AB957" s="691"/>
      <c r="AC957" s="933"/>
      <c r="AD957" s="691"/>
      <c r="AE957" s="691"/>
      <c r="AF957" s="934"/>
      <c r="AG957" s="934"/>
      <c r="AH957" s="888"/>
      <c r="AI957" s="888"/>
      <c r="AJ957" s="310"/>
      <c r="AK957" s="310"/>
      <c r="AL957" s="310"/>
      <c r="AM957" s="1"/>
      <c r="AN957" s="691"/>
      <c r="AO957" s="1"/>
      <c r="AP957" s="1"/>
    </row>
    <row r="958">
      <c r="A958" s="929"/>
      <c r="B958" s="691"/>
      <c r="C958" s="310"/>
      <c r="D958" s="691"/>
      <c r="E958" s="691"/>
      <c r="F958" s="350"/>
      <c r="G958" s="355"/>
      <c r="H958" s="780"/>
      <c r="I958" s="691"/>
      <c r="J958" s="691"/>
      <c r="K958" s="691"/>
      <c r="L958" s="691"/>
      <c r="M958" s="691"/>
      <c r="N958" s="691"/>
      <c r="O958" s="930"/>
      <c r="P958" s="909"/>
      <c r="Q958" s="931"/>
      <c r="R958" s="310"/>
      <c r="S958" s="310"/>
      <c r="T958" s="691"/>
      <c r="U958" s="691"/>
      <c r="V958" s="355"/>
      <c r="W958" s="932"/>
      <c r="X958" s="310"/>
      <c r="Y958" s="310"/>
      <c r="Z958" s="933"/>
      <c r="AA958" s="310"/>
      <c r="AB958" s="691"/>
      <c r="AC958" s="933"/>
      <c r="AD958" s="691"/>
      <c r="AE958" s="691"/>
      <c r="AF958" s="934"/>
      <c r="AG958" s="934"/>
      <c r="AH958" s="888"/>
      <c r="AI958" s="888"/>
      <c r="AJ958" s="310"/>
      <c r="AK958" s="310"/>
      <c r="AL958" s="310"/>
      <c r="AM958" s="1"/>
      <c r="AN958" s="691"/>
      <c r="AO958" s="1"/>
      <c r="AP958" s="1"/>
    </row>
    <row r="959">
      <c r="A959" s="929"/>
      <c r="B959" s="691"/>
      <c r="C959" s="310"/>
      <c r="D959" s="691"/>
      <c r="E959" s="691"/>
      <c r="F959" s="350"/>
      <c r="G959" s="355"/>
      <c r="H959" s="780"/>
      <c r="I959" s="691"/>
      <c r="J959" s="691"/>
      <c r="K959" s="691"/>
      <c r="L959" s="691"/>
      <c r="M959" s="691"/>
      <c r="N959" s="691"/>
      <c r="O959" s="930"/>
      <c r="P959" s="909"/>
      <c r="Q959" s="931"/>
      <c r="R959" s="310"/>
      <c r="S959" s="310"/>
      <c r="T959" s="691"/>
      <c r="U959" s="691"/>
      <c r="V959" s="355"/>
      <c r="W959" s="932"/>
      <c r="X959" s="310"/>
      <c r="Y959" s="310"/>
      <c r="Z959" s="933"/>
      <c r="AA959" s="310"/>
      <c r="AB959" s="691"/>
      <c r="AC959" s="933"/>
      <c r="AD959" s="691"/>
      <c r="AE959" s="691"/>
      <c r="AF959" s="934"/>
      <c r="AG959" s="934"/>
      <c r="AH959" s="888"/>
      <c r="AI959" s="888"/>
      <c r="AJ959" s="310"/>
      <c r="AK959" s="310"/>
      <c r="AL959" s="310"/>
      <c r="AM959" s="1"/>
      <c r="AN959" s="691"/>
      <c r="AO959" s="1"/>
      <c r="AP959" s="1"/>
    </row>
    <row r="960">
      <c r="A960" s="929"/>
      <c r="B960" s="691"/>
      <c r="C960" s="310"/>
      <c r="D960" s="691"/>
      <c r="E960" s="691"/>
      <c r="F960" s="350"/>
      <c r="G960" s="355"/>
      <c r="H960" s="780"/>
      <c r="I960" s="691"/>
      <c r="J960" s="691"/>
      <c r="K960" s="691"/>
      <c r="L960" s="691"/>
      <c r="M960" s="691"/>
      <c r="N960" s="691"/>
      <c r="O960" s="930"/>
      <c r="P960" s="909"/>
      <c r="Q960" s="931"/>
      <c r="R960" s="310"/>
      <c r="S960" s="310"/>
      <c r="T960" s="691"/>
      <c r="U960" s="691"/>
      <c r="V960" s="355"/>
      <c r="W960" s="932"/>
      <c r="X960" s="310"/>
      <c r="Y960" s="310"/>
      <c r="Z960" s="933"/>
      <c r="AA960" s="310"/>
      <c r="AB960" s="691"/>
      <c r="AC960" s="933"/>
      <c r="AD960" s="691"/>
      <c r="AE960" s="691"/>
      <c r="AF960" s="934"/>
      <c r="AG960" s="934"/>
      <c r="AH960" s="888"/>
      <c r="AI960" s="888"/>
      <c r="AJ960" s="310"/>
      <c r="AK960" s="310"/>
      <c r="AL960" s="310"/>
      <c r="AM960" s="1"/>
      <c r="AN960" s="691"/>
      <c r="AO960" s="1"/>
      <c r="AP960" s="1"/>
    </row>
    <row r="961">
      <c r="A961" s="929"/>
      <c r="B961" s="691"/>
      <c r="C961" s="310"/>
      <c r="D961" s="691"/>
      <c r="E961" s="691"/>
      <c r="F961" s="350"/>
      <c r="G961" s="355"/>
      <c r="H961" s="780"/>
      <c r="I961" s="691"/>
      <c r="J961" s="691"/>
      <c r="K961" s="691"/>
      <c r="L961" s="691"/>
      <c r="M961" s="691"/>
      <c r="N961" s="691"/>
      <c r="O961" s="930"/>
      <c r="P961" s="909"/>
      <c r="Q961" s="931"/>
      <c r="R961" s="310"/>
      <c r="S961" s="310"/>
      <c r="T961" s="691"/>
      <c r="U961" s="691"/>
      <c r="V961" s="355"/>
      <c r="W961" s="932"/>
      <c r="X961" s="310"/>
      <c r="Y961" s="310"/>
      <c r="Z961" s="933"/>
      <c r="AA961" s="310"/>
      <c r="AB961" s="691"/>
      <c r="AC961" s="933"/>
      <c r="AD961" s="691"/>
      <c r="AE961" s="691"/>
      <c r="AF961" s="934"/>
      <c r="AG961" s="934"/>
      <c r="AH961" s="888"/>
      <c r="AI961" s="888"/>
      <c r="AJ961" s="310"/>
      <c r="AK961" s="310"/>
      <c r="AL961" s="310"/>
      <c r="AM961" s="1"/>
      <c r="AN961" s="691"/>
      <c r="AO961" s="1"/>
      <c r="AP961" s="1"/>
    </row>
    <row r="962">
      <c r="A962" s="929"/>
      <c r="B962" s="691"/>
      <c r="C962" s="310"/>
      <c r="D962" s="691"/>
      <c r="E962" s="691"/>
      <c r="F962" s="350"/>
      <c r="G962" s="355"/>
      <c r="H962" s="780"/>
      <c r="I962" s="691"/>
      <c r="J962" s="691"/>
      <c r="K962" s="691"/>
      <c r="L962" s="691"/>
      <c r="M962" s="691"/>
      <c r="N962" s="691"/>
      <c r="O962" s="930"/>
      <c r="P962" s="909"/>
      <c r="Q962" s="931"/>
      <c r="R962" s="310"/>
      <c r="S962" s="310"/>
      <c r="T962" s="691"/>
      <c r="U962" s="691"/>
      <c r="V962" s="355"/>
      <c r="W962" s="932"/>
      <c r="X962" s="310"/>
      <c r="Y962" s="310"/>
      <c r="Z962" s="933"/>
      <c r="AA962" s="310"/>
      <c r="AB962" s="691"/>
      <c r="AC962" s="933"/>
      <c r="AD962" s="691"/>
      <c r="AE962" s="691"/>
      <c r="AF962" s="934"/>
      <c r="AG962" s="934"/>
      <c r="AH962" s="888"/>
      <c r="AI962" s="888"/>
      <c r="AJ962" s="310"/>
      <c r="AK962" s="310"/>
      <c r="AL962" s="310"/>
      <c r="AM962" s="1"/>
      <c r="AN962" s="691"/>
      <c r="AO962" s="1"/>
      <c r="AP962" s="1"/>
    </row>
    <row r="963">
      <c r="A963" s="929"/>
      <c r="B963" s="691"/>
      <c r="C963" s="310"/>
      <c r="D963" s="691"/>
      <c r="E963" s="691"/>
      <c r="F963" s="350"/>
      <c r="G963" s="355"/>
      <c r="H963" s="780"/>
      <c r="I963" s="691"/>
      <c r="J963" s="691"/>
      <c r="K963" s="691"/>
      <c r="L963" s="691"/>
      <c r="M963" s="691"/>
      <c r="N963" s="691"/>
      <c r="O963" s="930"/>
      <c r="P963" s="909"/>
      <c r="Q963" s="931"/>
      <c r="R963" s="310"/>
      <c r="S963" s="310"/>
      <c r="T963" s="691"/>
      <c r="U963" s="691"/>
      <c r="V963" s="355"/>
      <c r="W963" s="932"/>
      <c r="X963" s="310"/>
      <c r="Y963" s="310"/>
      <c r="Z963" s="933"/>
      <c r="AA963" s="310"/>
      <c r="AB963" s="691"/>
      <c r="AC963" s="933"/>
      <c r="AD963" s="691"/>
      <c r="AE963" s="691"/>
      <c r="AF963" s="934"/>
      <c r="AG963" s="934"/>
      <c r="AH963" s="888"/>
      <c r="AI963" s="888"/>
      <c r="AJ963" s="310"/>
      <c r="AK963" s="310"/>
      <c r="AL963" s="310"/>
      <c r="AM963" s="1"/>
      <c r="AN963" s="691"/>
      <c r="AO963" s="1"/>
      <c r="AP963" s="1"/>
    </row>
    <row r="964">
      <c r="A964" s="929"/>
      <c r="B964" s="691"/>
      <c r="C964" s="310"/>
      <c r="D964" s="691"/>
      <c r="E964" s="691"/>
      <c r="F964" s="350"/>
      <c r="G964" s="355"/>
      <c r="H964" s="780"/>
      <c r="I964" s="691"/>
      <c r="J964" s="691"/>
      <c r="K964" s="691"/>
      <c r="L964" s="691"/>
      <c r="M964" s="691"/>
      <c r="N964" s="691"/>
      <c r="O964" s="930"/>
      <c r="P964" s="909"/>
      <c r="Q964" s="931"/>
      <c r="R964" s="310"/>
      <c r="S964" s="310"/>
      <c r="T964" s="691"/>
      <c r="U964" s="691"/>
      <c r="V964" s="355"/>
      <c r="W964" s="932"/>
      <c r="X964" s="310"/>
      <c r="Y964" s="310"/>
      <c r="Z964" s="933"/>
      <c r="AA964" s="310"/>
      <c r="AB964" s="691"/>
      <c r="AC964" s="933"/>
      <c r="AD964" s="691"/>
      <c r="AE964" s="691"/>
      <c r="AF964" s="934"/>
      <c r="AG964" s="934"/>
      <c r="AH964" s="888"/>
      <c r="AI964" s="888"/>
      <c r="AJ964" s="310"/>
      <c r="AK964" s="310"/>
      <c r="AL964" s="310"/>
      <c r="AM964" s="1"/>
      <c r="AN964" s="691"/>
      <c r="AO964" s="1"/>
      <c r="AP964" s="1"/>
    </row>
    <row r="965">
      <c r="A965" s="929"/>
      <c r="B965" s="691"/>
      <c r="C965" s="310"/>
      <c r="D965" s="691"/>
      <c r="E965" s="691"/>
      <c r="F965" s="350"/>
      <c r="G965" s="355"/>
      <c r="H965" s="780"/>
      <c r="I965" s="691"/>
      <c r="J965" s="691"/>
      <c r="K965" s="691"/>
      <c r="L965" s="691"/>
      <c r="M965" s="691"/>
      <c r="N965" s="691"/>
      <c r="O965" s="930"/>
      <c r="P965" s="909"/>
      <c r="Q965" s="931"/>
      <c r="R965" s="310"/>
      <c r="S965" s="310"/>
      <c r="T965" s="691"/>
      <c r="U965" s="691"/>
      <c r="V965" s="355"/>
      <c r="W965" s="932"/>
      <c r="X965" s="310"/>
      <c r="Y965" s="310"/>
      <c r="Z965" s="933"/>
      <c r="AA965" s="310"/>
      <c r="AB965" s="691"/>
      <c r="AC965" s="933"/>
      <c r="AD965" s="691"/>
      <c r="AE965" s="691"/>
      <c r="AF965" s="934"/>
      <c r="AG965" s="934"/>
      <c r="AH965" s="888"/>
      <c r="AI965" s="888"/>
      <c r="AJ965" s="310"/>
      <c r="AK965" s="310"/>
      <c r="AL965" s="310"/>
      <c r="AM965" s="1"/>
      <c r="AN965" s="691"/>
      <c r="AO965" s="1"/>
      <c r="AP965" s="1"/>
    </row>
    <row r="966">
      <c r="A966" s="929"/>
      <c r="B966" s="691"/>
      <c r="C966" s="310"/>
      <c r="D966" s="691"/>
      <c r="E966" s="691"/>
      <c r="F966" s="350"/>
      <c r="G966" s="355"/>
      <c r="H966" s="780"/>
      <c r="I966" s="691"/>
      <c r="J966" s="691"/>
      <c r="K966" s="691"/>
      <c r="L966" s="691"/>
      <c r="M966" s="691"/>
      <c r="N966" s="691"/>
      <c r="O966" s="930"/>
      <c r="P966" s="909"/>
      <c r="Q966" s="931"/>
      <c r="R966" s="310"/>
      <c r="S966" s="310"/>
      <c r="T966" s="691"/>
      <c r="U966" s="691"/>
      <c r="V966" s="355"/>
      <c r="W966" s="932"/>
      <c r="X966" s="310"/>
      <c r="Y966" s="310"/>
      <c r="Z966" s="933"/>
      <c r="AA966" s="310"/>
      <c r="AB966" s="691"/>
      <c r="AC966" s="933"/>
      <c r="AD966" s="691"/>
      <c r="AE966" s="691"/>
      <c r="AF966" s="934"/>
      <c r="AG966" s="934"/>
      <c r="AH966" s="888"/>
      <c r="AI966" s="888"/>
      <c r="AJ966" s="310"/>
      <c r="AK966" s="310"/>
      <c r="AL966" s="310"/>
      <c r="AM966" s="1"/>
      <c r="AN966" s="691"/>
      <c r="AO966" s="1"/>
      <c r="AP966" s="1"/>
    </row>
    <row r="967">
      <c r="A967" s="929"/>
      <c r="B967" s="691"/>
      <c r="C967" s="310"/>
      <c r="D967" s="691"/>
      <c r="E967" s="691"/>
      <c r="F967" s="350"/>
      <c r="G967" s="355"/>
      <c r="H967" s="780"/>
      <c r="I967" s="691"/>
      <c r="J967" s="691"/>
      <c r="K967" s="691"/>
      <c r="L967" s="691"/>
      <c r="M967" s="691"/>
      <c r="N967" s="691"/>
      <c r="O967" s="930"/>
      <c r="P967" s="909"/>
      <c r="Q967" s="931"/>
      <c r="R967" s="310"/>
      <c r="S967" s="310"/>
      <c r="T967" s="691"/>
      <c r="U967" s="691"/>
      <c r="V967" s="355"/>
      <c r="W967" s="932"/>
      <c r="X967" s="310"/>
      <c r="Y967" s="310"/>
      <c r="Z967" s="933"/>
      <c r="AA967" s="310"/>
      <c r="AB967" s="691"/>
      <c r="AC967" s="933"/>
      <c r="AD967" s="691"/>
      <c r="AE967" s="691"/>
      <c r="AF967" s="934"/>
      <c r="AG967" s="934"/>
      <c r="AH967" s="888"/>
      <c r="AI967" s="888"/>
      <c r="AJ967" s="310"/>
      <c r="AK967" s="310"/>
      <c r="AL967" s="310"/>
      <c r="AM967" s="1"/>
      <c r="AN967" s="691"/>
      <c r="AO967" s="1"/>
      <c r="AP967" s="1"/>
    </row>
    <row r="968">
      <c r="A968" s="929"/>
      <c r="B968" s="691"/>
      <c r="C968" s="310"/>
      <c r="D968" s="691"/>
      <c r="E968" s="691"/>
      <c r="F968" s="350"/>
      <c r="G968" s="355"/>
      <c r="H968" s="780"/>
      <c r="I968" s="691"/>
      <c r="J968" s="691"/>
      <c r="K968" s="691"/>
      <c r="L968" s="691"/>
      <c r="M968" s="691"/>
      <c r="N968" s="691"/>
      <c r="O968" s="930"/>
      <c r="P968" s="909"/>
      <c r="Q968" s="931"/>
      <c r="R968" s="310"/>
      <c r="S968" s="310"/>
      <c r="T968" s="691"/>
      <c r="U968" s="691"/>
      <c r="V968" s="355"/>
      <c r="W968" s="932"/>
      <c r="X968" s="310"/>
      <c r="Y968" s="310"/>
      <c r="Z968" s="933"/>
      <c r="AA968" s="310"/>
      <c r="AB968" s="691"/>
      <c r="AC968" s="933"/>
      <c r="AD968" s="691"/>
      <c r="AE968" s="691"/>
      <c r="AF968" s="934"/>
      <c r="AG968" s="934"/>
      <c r="AH968" s="888"/>
      <c r="AI968" s="888"/>
      <c r="AJ968" s="310"/>
      <c r="AK968" s="310"/>
      <c r="AL968" s="310"/>
      <c r="AM968" s="1"/>
      <c r="AN968" s="691"/>
      <c r="AO968" s="1"/>
      <c r="AP968" s="1"/>
    </row>
    <row r="969">
      <c r="A969" s="929"/>
      <c r="B969" s="691"/>
      <c r="C969" s="310"/>
      <c r="D969" s="691"/>
      <c r="E969" s="691"/>
      <c r="F969" s="350"/>
      <c r="G969" s="355"/>
      <c r="H969" s="780"/>
      <c r="I969" s="691"/>
      <c r="J969" s="691"/>
      <c r="K969" s="691"/>
      <c r="L969" s="691"/>
      <c r="M969" s="691"/>
      <c r="N969" s="691"/>
      <c r="O969" s="930"/>
      <c r="P969" s="909"/>
      <c r="Q969" s="931"/>
      <c r="R969" s="310"/>
      <c r="S969" s="310"/>
      <c r="T969" s="691"/>
      <c r="U969" s="691"/>
      <c r="V969" s="355"/>
      <c r="W969" s="932"/>
      <c r="X969" s="310"/>
      <c r="Y969" s="310"/>
      <c r="Z969" s="933"/>
      <c r="AA969" s="310"/>
      <c r="AB969" s="691"/>
      <c r="AC969" s="933"/>
      <c r="AD969" s="691"/>
      <c r="AE969" s="691"/>
      <c r="AF969" s="934"/>
      <c r="AG969" s="934"/>
      <c r="AH969" s="888"/>
      <c r="AI969" s="888"/>
      <c r="AJ969" s="310"/>
      <c r="AK969" s="310"/>
      <c r="AL969" s="310"/>
      <c r="AM969" s="1"/>
      <c r="AN969" s="691"/>
      <c r="AO969" s="1"/>
      <c r="AP969" s="1"/>
    </row>
    <row r="970">
      <c r="A970" s="929"/>
      <c r="B970" s="691"/>
      <c r="C970" s="310"/>
      <c r="D970" s="691"/>
      <c r="E970" s="691"/>
      <c r="F970" s="350"/>
      <c r="G970" s="355"/>
      <c r="H970" s="780"/>
      <c r="I970" s="691"/>
      <c r="J970" s="691"/>
      <c r="K970" s="691"/>
      <c r="L970" s="691"/>
      <c r="M970" s="691"/>
      <c r="N970" s="691"/>
      <c r="O970" s="930"/>
      <c r="P970" s="909"/>
      <c r="Q970" s="931"/>
      <c r="R970" s="310"/>
      <c r="S970" s="310"/>
      <c r="T970" s="691"/>
      <c r="U970" s="691"/>
      <c r="V970" s="355"/>
      <c r="W970" s="932"/>
      <c r="X970" s="310"/>
      <c r="Y970" s="310"/>
      <c r="Z970" s="933"/>
      <c r="AA970" s="310"/>
      <c r="AB970" s="691"/>
      <c r="AC970" s="933"/>
      <c r="AD970" s="691"/>
      <c r="AE970" s="691"/>
      <c r="AF970" s="934"/>
      <c r="AG970" s="934"/>
      <c r="AH970" s="888"/>
      <c r="AI970" s="888"/>
      <c r="AJ970" s="310"/>
      <c r="AK970" s="310"/>
      <c r="AL970" s="310"/>
      <c r="AM970" s="1"/>
      <c r="AN970" s="691"/>
      <c r="AO970" s="1"/>
      <c r="AP970" s="1"/>
    </row>
    <row r="971">
      <c r="A971" s="929"/>
      <c r="B971" s="691"/>
      <c r="C971" s="310"/>
      <c r="D971" s="691"/>
      <c r="E971" s="691"/>
      <c r="F971" s="350"/>
      <c r="G971" s="355"/>
      <c r="H971" s="780"/>
      <c r="I971" s="691"/>
      <c r="J971" s="691"/>
      <c r="K971" s="691"/>
      <c r="L971" s="691"/>
      <c r="M971" s="691"/>
      <c r="N971" s="691"/>
      <c r="O971" s="930"/>
      <c r="P971" s="909"/>
      <c r="Q971" s="931"/>
      <c r="R971" s="310"/>
      <c r="S971" s="310"/>
      <c r="T971" s="691"/>
      <c r="U971" s="691"/>
      <c r="V971" s="355"/>
      <c r="W971" s="932"/>
      <c r="X971" s="310"/>
      <c r="Y971" s="310"/>
      <c r="Z971" s="933"/>
      <c r="AA971" s="310"/>
      <c r="AB971" s="691"/>
      <c r="AC971" s="933"/>
      <c r="AD971" s="691"/>
      <c r="AE971" s="691"/>
      <c r="AF971" s="934"/>
      <c r="AG971" s="934"/>
      <c r="AH971" s="888"/>
      <c r="AI971" s="888"/>
      <c r="AJ971" s="310"/>
      <c r="AK971" s="310"/>
      <c r="AL971" s="310"/>
      <c r="AM971" s="1"/>
      <c r="AN971" s="691"/>
      <c r="AO971" s="1"/>
      <c r="AP971" s="1"/>
    </row>
    <row r="972">
      <c r="A972" s="929"/>
      <c r="B972" s="691"/>
      <c r="C972" s="310"/>
      <c r="D972" s="691"/>
      <c r="E972" s="691"/>
      <c r="F972" s="350"/>
      <c r="G972" s="355"/>
      <c r="H972" s="780"/>
      <c r="I972" s="691"/>
      <c r="J972" s="691"/>
      <c r="K972" s="691"/>
      <c r="L972" s="691"/>
      <c r="M972" s="691"/>
      <c r="N972" s="691"/>
      <c r="O972" s="930"/>
      <c r="P972" s="909"/>
      <c r="Q972" s="931"/>
      <c r="R972" s="310"/>
      <c r="S972" s="310"/>
      <c r="T972" s="691"/>
      <c r="U972" s="691"/>
      <c r="V972" s="355"/>
      <c r="W972" s="932"/>
      <c r="X972" s="310"/>
      <c r="Y972" s="310"/>
      <c r="Z972" s="933"/>
      <c r="AA972" s="310"/>
      <c r="AB972" s="691"/>
      <c r="AC972" s="933"/>
      <c r="AD972" s="691"/>
      <c r="AE972" s="691"/>
      <c r="AF972" s="934"/>
      <c r="AG972" s="934"/>
      <c r="AH972" s="888"/>
      <c r="AI972" s="888"/>
      <c r="AJ972" s="310"/>
      <c r="AK972" s="310"/>
      <c r="AL972" s="310"/>
      <c r="AM972" s="1"/>
      <c r="AN972" s="691"/>
      <c r="AO972" s="1"/>
      <c r="AP972" s="1"/>
    </row>
    <row r="973">
      <c r="A973" s="929"/>
      <c r="B973" s="691"/>
      <c r="C973" s="310"/>
      <c r="D973" s="691"/>
      <c r="E973" s="691"/>
      <c r="F973" s="350"/>
      <c r="G973" s="355"/>
      <c r="H973" s="780"/>
      <c r="I973" s="691"/>
      <c r="J973" s="691"/>
      <c r="K973" s="691"/>
      <c r="L973" s="691"/>
      <c r="M973" s="691"/>
      <c r="N973" s="691"/>
      <c r="O973" s="930"/>
      <c r="P973" s="909"/>
      <c r="Q973" s="931"/>
      <c r="R973" s="310"/>
      <c r="S973" s="310"/>
      <c r="T973" s="691"/>
      <c r="U973" s="691"/>
      <c r="V973" s="355"/>
      <c r="W973" s="932"/>
      <c r="X973" s="310"/>
      <c r="Y973" s="310"/>
      <c r="Z973" s="933"/>
      <c r="AA973" s="310"/>
      <c r="AB973" s="691"/>
      <c r="AC973" s="933"/>
      <c r="AD973" s="691"/>
      <c r="AE973" s="691"/>
      <c r="AF973" s="934"/>
      <c r="AG973" s="934"/>
      <c r="AH973" s="888"/>
      <c r="AI973" s="888"/>
      <c r="AJ973" s="310"/>
      <c r="AK973" s="310"/>
      <c r="AL973" s="310"/>
      <c r="AM973" s="1"/>
      <c r="AN973" s="691"/>
      <c r="AO973" s="1"/>
      <c r="AP973" s="1"/>
    </row>
    <row r="974">
      <c r="A974" s="929"/>
      <c r="B974" s="691"/>
      <c r="C974" s="310"/>
      <c r="D974" s="691"/>
      <c r="E974" s="691"/>
      <c r="F974" s="350"/>
      <c r="G974" s="355"/>
      <c r="H974" s="780"/>
      <c r="I974" s="691"/>
      <c r="J974" s="691"/>
      <c r="K974" s="691"/>
      <c r="L974" s="691"/>
      <c r="M974" s="691"/>
      <c r="N974" s="691"/>
      <c r="O974" s="930"/>
      <c r="P974" s="909"/>
      <c r="Q974" s="931"/>
      <c r="R974" s="310"/>
      <c r="S974" s="310"/>
      <c r="T974" s="691"/>
      <c r="U974" s="691"/>
      <c r="V974" s="355"/>
      <c r="W974" s="932"/>
      <c r="X974" s="310"/>
      <c r="Y974" s="310"/>
      <c r="Z974" s="933"/>
      <c r="AA974" s="310"/>
      <c r="AB974" s="691"/>
      <c r="AC974" s="933"/>
      <c r="AD974" s="691"/>
      <c r="AE974" s="691"/>
      <c r="AF974" s="934"/>
      <c r="AG974" s="934"/>
      <c r="AH974" s="888"/>
      <c r="AI974" s="888"/>
      <c r="AJ974" s="310"/>
      <c r="AK974" s="310"/>
      <c r="AL974" s="310"/>
      <c r="AM974" s="1"/>
      <c r="AN974" s="691"/>
      <c r="AO974" s="1"/>
      <c r="AP974" s="1"/>
    </row>
    <row r="975">
      <c r="A975" s="929"/>
      <c r="B975" s="691"/>
      <c r="C975" s="310"/>
      <c r="D975" s="691"/>
      <c r="E975" s="691"/>
      <c r="F975" s="350"/>
      <c r="G975" s="355"/>
      <c r="H975" s="780"/>
      <c r="I975" s="691"/>
      <c r="J975" s="691"/>
      <c r="K975" s="691"/>
      <c r="L975" s="691"/>
      <c r="M975" s="691"/>
      <c r="N975" s="691"/>
      <c r="O975" s="930"/>
      <c r="P975" s="909"/>
      <c r="Q975" s="931"/>
      <c r="R975" s="310"/>
      <c r="S975" s="310"/>
      <c r="T975" s="691"/>
      <c r="U975" s="691"/>
      <c r="V975" s="355"/>
      <c r="W975" s="932"/>
      <c r="X975" s="310"/>
      <c r="Y975" s="310"/>
      <c r="Z975" s="933"/>
      <c r="AA975" s="310"/>
      <c r="AB975" s="691"/>
      <c r="AC975" s="933"/>
      <c r="AD975" s="691"/>
      <c r="AE975" s="691"/>
      <c r="AF975" s="934"/>
      <c r="AG975" s="934"/>
      <c r="AH975" s="888"/>
      <c r="AI975" s="888"/>
      <c r="AJ975" s="310"/>
      <c r="AK975" s="310"/>
      <c r="AL975" s="310"/>
      <c r="AM975" s="1"/>
      <c r="AN975" s="691"/>
      <c r="AO975" s="1"/>
      <c r="AP975" s="1"/>
    </row>
    <row r="976">
      <c r="A976" s="929"/>
      <c r="B976" s="691"/>
      <c r="C976" s="310"/>
      <c r="D976" s="691"/>
      <c r="E976" s="691"/>
      <c r="F976" s="350"/>
      <c r="G976" s="355"/>
      <c r="H976" s="780"/>
      <c r="I976" s="691"/>
      <c r="J976" s="691"/>
      <c r="K976" s="691"/>
      <c r="L976" s="691"/>
      <c r="M976" s="691"/>
      <c r="N976" s="691"/>
      <c r="O976" s="930"/>
      <c r="P976" s="909"/>
      <c r="Q976" s="931"/>
      <c r="R976" s="310"/>
      <c r="S976" s="310"/>
      <c r="T976" s="691"/>
      <c r="U976" s="691"/>
      <c r="V976" s="355"/>
      <c r="W976" s="932"/>
      <c r="X976" s="310"/>
      <c r="Y976" s="310"/>
      <c r="Z976" s="933"/>
      <c r="AA976" s="310"/>
      <c r="AB976" s="691"/>
      <c r="AC976" s="933"/>
      <c r="AD976" s="691"/>
      <c r="AE976" s="691"/>
      <c r="AF976" s="934"/>
      <c r="AG976" s="934"/>
      <c r="AH976" s="888"/>
      <c r="AI976" s="888"/>
      <c r="AJ976" s="310"/>
      <c r="AK976" s="310"/>
      <c r="AL976" s="310"/>
      <c r="AM976" s="1"/>
      <c r="AN976" s="691"/>
      <c r="AO976" s="1"/>
      <c r="AP976" s="1"/>
    </row>
    <row r="977">
      <c r="A977" s="929"/>
      <c r="B977" s="691"/>
      <c r="C977" s="310"/>
      <c r="D977" s="691"/>
      <c r="E977" s="691"/>
      <c r="F977" s="350"/>
      <c r="G977" s="355"/>
      <c r="H977" s="780"/>
      <c r="I977" s="691"/>
      <c r="J977" s="691"/>
      <c r="K977" s="691"/>
      <c r="L977" s="691"/>
      <c r="M977" s="691"/>
      <c r="N977" s="691"/>
      <c r="O977" s="930"/>
      <c r="P977" s="909"/>
      <c r="Q977" s="931"/>
      <c r="R977" s="310"/>
      <c r="S977" s="310"/>
      <c r="T977" s="691"/>
      <c r="U977" s="691"/>
      <c r="V977" s="355"/>
      <c r="W977" s="932"/>
      <c r="X977" s="310"/>
      <c r="Y977" s="310"/>
      <c r="Z977" s="933"/>
      <c r="AA977" s="310"/>
      <c r="AB977" s="691"/>
      <c r="AC977" s="933"/>
      <c r="AD977" s="691"/>
      <c r="AE977" s="691"/>
      <c r="AF977" s="934"/>
      <c r="AG977" s="934"/>
      <c r="AH977" s="888"/>
      <c r="AI977" s="888"/>
      <c r="AJ977" s="310"/>
      <c r="AK977" s="310"/>
      <c r="AL977" s="310"/>
      <c r="AM977" s="1"/>
      <c r="AN977" s="691"/>
      <c r="AO977" s="1"/>
      <c r="AP977" s="1"/>
    </row>
    <row r="978">
      <c r="A978" s="929"/>
      <c r="B978" s="691"/>
      <c r="C978" s="310"/>
      <c r="D978" s="691"/>
      <c r="E978" s="691"/>
      <c r="F978" s="350"/>
      <c r="G978" s="355"/>
      <c r="H978" s="780"/>
      <c r="I978" s="691"/>
      <c r="J978" s="691"/>
      <c r="K978" s="691"/>
      <c r="L978" s="691"/>
      <c r="M978" s="691"/>
      <c r="N978" s="691"/>
      <c r="O978" s="930"/>
      <c r="P978" s="909"/>
      <c r="Q978" s="931"/>
      <c r="R978" s="310"/>
      <c r="S978" s="310"/>
      <c r="T978" s="691"/>
      <c r="U978" s="691"/>
      <c r="V978" s="355"/>
      <c r="W978" s="932"/>
      <c r="X978" s="310"/>
      <c r="Y978" s="310"/>
      <c r="Z978" s="933"/>
      <c r="AA978" s="310"/>
      <c r="AB978" s="691"/>
      <c r="AC978" s="933"/>
      <c r="AD978" s="691"/>
      <c r="AE978" s="691"/>
      <c r="AF978" s="934"/>
      <c r="AG978" s="934"/>
      <c r="AH978" s="888"/>
      <c r="AI978" s="888"/>
      <c r="AJ978" s="310"/>
      <c r="AK978" s="310"/>
      <c r="AL978" s="310"/>
      <c r="AM978" s="1"/>
      <c r="AN978" s="691"/>
      <c r="AO978" s="1"/>
      <c r="AP978" s="1"/>
    </row>
    <row r="979">
      <c r="A979" s="929"/>
      <c r="B979" s="691"/>
      <c r="C979" s="310"/>
      <c r="D979" s="691"/>
      <c r="E979" s="691"/>
      <c r="F979" s="350"/>
      <c r="G979" s="355"/>
      <c r="H979" s="780"/>
      <c r="I979" s="691"/>
      <c r="J979" s="691"/>
      <c r="K979" s="691"/>
      <c r="L979" s="691"/>
      <c r="M979" s="691"/>
      <c r="N979" s="691"/>
      <c r="O979" s="930"/>
      <c r="P979" s="909"/>
      <c r="Q979" s="931"/>
      <c r="R979" s="310"/>
      <c r="S979" s="310"/>
      <c r="T979" s="691"/>
      <c r="U979" s="691"/>
      <c r="V979" s="355"/>
      <c r="W979" s="932"/>
      <c r="X979" s="310"/>
      <c r="Y979" s="310"/>
      <c r="Z979" s="933"/>
      <c r="AA979" s="310"/>
      <c r="AB979" s="691"/>
      <c r="AC979" s="933"/>
      <c r="AD979" s="691"/>
      <c r="AE979" s="691"/>
      <c r="AF979" s="934"/>
      <c r="AG979" s="934"/>
      <c r="AH979" s="888"/>
      <c r="AI979" s="888"/>
      <c r="AJ979" s="310"/>
      <c r="AK979" s="310"/>
      <c r="AL979" s="310"/>
      <c r="AM979" s="1"/>
      <c r="AN979" s="691"/>
      <c r="AO979" s="1"/>
      <c r="AP979" s="1"/>
    </row>
    <row r="980">
      <c r="A980" s="929"/>
      <c r="B980" s="691"/>
      <c r="C980" s="310"/>
      <c r="D980" s="691"/>
      <c r="E980" s="691"/>
      <c r="F980" s="350"/>
      <c r="G980" s="355"/>
      <c r="H980" s="780"/>
      <c r="I980" s="691"/>
      <c r="J980" s="691"/>
      <c r="K980" s="691"/>
      <c r="L980" s="691"/>
      <c r="M980" s="691"/>
      <c r="N980" s="691"/>
      <c r="O980" s="930"/>
      <c r="P980" s="909"/>
      <c r="Q980" s="931"/>
      <c r="R980" s="310"/>
      <c r="S980" s="310"/>
      <c r="T980" s="691"/>
      <c r="U980" s="691"/>
      <c r="V980" s="355"/>
      <c r="W980" s="932"/>
      <c r="X980" s="310"/>
      <c r="Y980" s="310"/>
      <c r="Z980" s="933"/>
      <c r="AA980" s="310"/>
      <c r="AB980" s="691"/>
      <c r="AC980" s="933"/>
      <c r="AD980" s="691"/>
      <c r="AE980" s="691"/>
      <c r="AF980" s="934"/>
      <c r="AG980" s="934"/>
      <c r="AH980" s="888"/>
      <c r="AI980" s="888"/>
      <c r="AJ980" s="310"/>
      <c r="AK980" s="310"/>
      <c r="AL980" s="310"/>
      <c r="AM980" s="1"/>
      <c r="AN980" s="691"/>
      <c r="AO980" s="1"/>
      <c r="AP980" s="1"/>
    </row>
    <row r="981">
      <c r="A981" s="929"/>
      <c r="B981" s="691"/>
      <c r="C981" s="310"/>
      <c r="D981" s="691"/>
      <c r="E981" s="691"/>
      <c r="F981" s="350"/>
      <c r="G981" s="355"/>
      <c r="H981" s="780"/>
      <c r="I981" s="691"/>
      <c r="J981" s="691"/>
      <c r="K981" s="691"/>
      <c r="L981" s="691"/>
      <c r="M981" s="691"/>
      <c r="N981" s="691"/>
      <c r="O981" s="930"/>
      <c r="P981" s="909"/>
      <c r="Q981" s="931"/>
      <c r="R981" s="310"/>
      <c r="S981" s="310"/>
      <c r="T981" s="691"/>
      <c r="U981" s="691"/>
      <c r="V981" s="355"/>
      <c r="W981" s="932"/>
      <c r="X981" s="310"/>
      <c r="Y981" s="310"/>
      <c r="Z981" s="933"/>
      <c r="AA981" s="310"/>
      <c r="AB981" s="691"/>
      <c r="AC981" s="933"/>
      <c r="AD981" s="691"/>
      <c r="AE981" s="691"/>
      <c r="AF981" s="934"/>
      <c r="AG981" s="934"/>
      <c r="AH981" s="888"/>
      <c r="AI981" s="888"/>
      <c r="AJ981" s="310"/>
      <c r="AK981" s="310"/>
      <c r="AL981" s="310"/>
      <c r="AM981" s="1"/>
      <c r="AN981" s="691"/>
      <c r="AO981" s="1"/>
      <c r="AP981" s="1"/>
    </row>
    <row r="982">
      <c r="A982" s="929"/>
      <c r="B982" s="691"/>
      <c r="C982" s="310"/>
      <c r="D982" s="691"/>
      <c r="E982" s="691"/>
      <c r="F982" s="350"/>
      <c r="G982" s="355"/>
      <c r="H982" s="780"/>
      <c r="I982" s="691"/>
      <c r="J982" s="691"/>
      <c r="K982" s="691"/>
      <c r="L982" s="691"/>
      <c r="M982" s="691"/>
      <c r="N982" s="691"/>
      <c r="O982" s="930"/>
      <c r="P982" s="909"/>
      <c r="Q982" s="931"/>
      <c r="R982" s="310"/>
      <c r="S982" s="310"/>
      <c r="T982" s="691"/>
      <c r="U982" s="691"/>
      <c r="V982" s="355"/>
      <c r="W982" s="932"/>
      <c r="X982" s="310"/>
      <c r="Y982" s="310"/>
      <c r="Z982" s="933"/>
      <c r="AA982" s="310"/>
      <c r="AB982" s="691"/>
      <c r="AC982" s="933"/>
      <c r="AD982" s="691"/>
      <c r="AE982" s="691"/>
      <c r="AF982" s="934"/>
      <c r="AG982" s="934"/>
      <c r="AH982" s="888"/>
      <c r="AI982" s="888"/>
      <c r="AJ982" s="310"/>
      <c r="AK982" s="310"/>
      <c r="AL982" s="310"/>
      <c r="AM982" s="1"/>
      <c r="AN982" s="691"/>
      <c r="AO982" s="1"/>
      <c r="AP982" s="1"/>
    </row>
    <row r="983">
      <c r="A983" s="929"/>
      <c r="B983" s="691"/>
      <c r="C983" s="310"/>
      <c r="D983" s="691"/>
      <c r="E983" s="691"/>
      <c r="F983" s="350"/>
      <c r="G983" s="355"/>
      <c r="H983" s="780"/>
      <c r="I983" s="691"/>
      <c r="J983" s="691"/>
      <c r="K983" s="691"/>
      <c r="L983" s="691"/>
      <c r="M983" s="691"/>
      <c r="N983" s="691"/>
      <c r="O983" s="930"/>
      <c r="P983" s="909"/>
      <c r="Q983" s="931"/>
      <c r="R983" s="310"/>
      <c r="S983" s="310"/>
      <c r="T983" s="691"/>
      <c r="U983" s="691"/>
      <c r="V983" s="355"/>
      <c r="W983" s="932"/>
      <c r="X983" s="310"/>
      <c r="Y983" s="310"/>
      <c r="Z983" s="933"/>
      <c r="AA983" s="310"/>
      <c r="AB983" s="691"/>
      <c r="AC983" s="933"/>
      <c r="AD983" s="691"/>
      <c r="AE983" s="691"/>
      <c r="AF983" s="934"/>
      <c r="AG983" s="934"/>
      <c r="AH983" s="888"/>
      <c r="AI983" s="888"/>
      <c r="AJ983" s="310"/>
      <c r="AK983" s="310"/>
      <c r="AL983" s="310"/>
      <c r="AM983" s="1"/>
      <c r="AN983" s="691"/>
      <c r="AO983" s="1"/>
      <c r="AP983" s="1"/>
    </row>
    <row r="984">
      <c r="A984" s="929"/>
      <c r="B984" s="691"/>
      <c r="C984" s="310"/>
      <c r="D984" s="691"/>
      <c r="E984" s="691"/>
      <c r="F984" s="350"/>
      <c r="G984" s="355"/>
      <c r="H984" s="780"/>
      <c r="I984" s="691"/>
      <c r="J984" s="691"/>
      <c r="K984" s="691"/>
      <c r="L984" s="691"/>
      <c r="M984" s="691"/>
      <c r="N984" s="691"/>
      <c r="O984" s="930"/>
      <c r="P984" s="909"/>
      <c r="Q984" s="931"/>
      <c r="R984" s="310"/>
      <c r="S984" s="310"/>
      <c r="T984" s="691"/>
      <c r="U984" s="691"/>
      <c r="V984" s="355"/>
      <c r="W984" s="932"/>
      <c r="X984" s="310"/>
      <c r="Y984" s="310"/>
      <c r="Z984" s="933"/>
      <c r="AA984" s="310"/>
      <c r="AB984" s="691"/>
      <c r="AC984" s="933"/>
      <c r="AD984" s="691"/>
      <c r="AE984" s="691"/>
      <c r="AF984" s="934"/>
      <c r="AG984" s="934"/>
      <c r="AH984" s="888"/>
      <c r="AI984" s="888"/>
      <c r="AJ984" s="310"/>
      <c r="AK984" s="310"/>
      <c r="AL984" s="310"/>
      <c r="AM984" s="1"/>
      <c r="AN984" s="691"/>
      <c r="AO984" s="1"/>
      <c r="AP984" s="1"/>
    </row>
  </sheetData>
  <autoFilter ref="$A$6:$AP$139"/>
  <customSheetViews>
    <customSheetView guid="{09B701C9-C463-4E5A-9AA6-EE9988CB52C8}" filter="1" showAutoFilter="1">
      <autoFilter ref="$B$2:$AK$21"/>
    </customSheetView>
    <customSheetView guid="{F28892C4-2CC3-4522-B0A3-45368FA41C32}" filter="1" showAutoFilter="1">
      <autoFilter ref="$A$6:$AP$20"/>
    </customSheetView>
  </customSheetViews>
  <conditionalFormatting sqref="F7:F326">
    <cfRule type="expression" dxfId="1" priority="1">
      <formula>$AK7="BLK"</formula>
    </cfRule>
  </conditionalFormatting>
  <conditionalFormatting sqref="F7:F326">
    <cfRule type="expression" dxfId="7" priority="2">
      <formula>$AK7="ppl"</formula>
    </cfRule>
  </conditionalFormatting>
  <conditionalFormatting sqref="F7:F326">
    <cfRule type="expression" dxfId="19" priority="3">
      <formula>$AK7="yel"</formula>
    </cfRule>
  </conditionalFormatting>
  <conditionalFormatting sqref="AE7:AG326">
    <cfRule type="cellIs" dxfId="10" priority="4" operator="equal">
      <formula>"no"</formula>
    </cfRule>
  </conditionalFormatting>
  <conditionalFormatting sqref="AE7:AG326">
    <cfRule type="cellIs" dxfId="11" priority="5" operator="equal">
      <formula>"yes"</formula>
    </cfRule>
  </conditionalFormatting>
  <conditionalFormatting sqref="E7:E984">
    <cfRule type="containsText" dxfId="11" priority="6" operator="containsText" text="OPEN">
      <formula>NOT(ISERROR(SEARCH(("OPEN"),(E7))))</formula>
    </cfRule>
  </conditionalFormatting>
  <conditionalFormatting sqref="E7:E984">
    <cfRule type="containsText" dxfId="10" priority="7" operator="containsText" text="CLOSE">
      <formula>NOT(ISERROR(SEARCH(("CLOSE"),(E7))))</formula>
    </cfRule>
  </conditionalFormatting>
  <conditionalFormatting sqref="F7:F326">
    <cfRule type="expression" dxfId="21" priority="8">
      <formula>$AK7="bue"</formula>
    </cfRule>
  </conditionalFormatting>
  <conditionalFormatting sqref="B7:B189 C7:AL326">
    <cfRule type="expression" dxfId="16" priority="9">
      <formula>$E7="Close"</formula>
    </cfRule>
  </conditionalFormatting>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showGridLines="0" workbookViewId="0">
      <pane xSplit="9.0" ySplit="7.0" topLeftCell="J8" activePane="bottomRight" state="frozen"/>
      <selection activeCell="J1" sqref="J1" pane="topRight"/>
      <selection activeCell="A8" sqref="A8" pane="bottomLeft"/>
      <selection activeCell="J8" sqref="J8" pane="bottomRight"/>
    </sheetView>
  </sheetViews>
  <sheetFormatPr customHeight="1" defaultColWidth="12.63" defaultRowHeight="15.75"/>
  <cols>
    <col customWidth="1" min="1" max="1" width="3.25"/>
    <col customWidth="1" min="2" max="2" width="6.38"/>
    <col customWidth="1" min="3" max="3" width="10.0"/>
    <col customWidth="1" min="4" max="4" width="9.75"/>
    <col customWidth="1" min="5" max="5" width="17.25"/>
    <col customWidth="1" min="6" max="6" width="18.25"/>
    <col customWidth="1" min="7" max="7" width="13.25"/>
    <col customWidth="1" min="8" max="8" width="12.0"/>
    <col customWidth="1" min="9" max="9" width="9.0"/>
    <col customWidth="1" min="11" max="11" width="13.13"/>
    <col customWidth="1" min="12" max="12" width="15.75"/>
    <col customWidth="1" min="13" max="14" width="10.5"/>
    <col customWidth="1" min="15" max="15" width="16.38"/>
    <col customWidth="1" min="16" max="16" width="17.13"/>
    <col customWidth="1" min="17" max="17" width="17.63"/>
    <col customWidth="1" min="21" max="21" width="15.38"/>
    <col customWidth="1" min="22" max="22" width="1.88"/>
  </cols>
  <sheetData>
    <row r="1">
      <c r="A1" s="935"/>
      <c r="B1" s="936"/>
      <c r="C1" s="936"/>
      <c r="D1" s="936"/>
      <c r="E1" s="937"/>
      <c r="F1" s="935"/>
      <c r="G1" s="823" t="s">
        <v>1362</v>
      </c>
      <c r="H1" s="824">
        <f t="shared" ref="H1:H3" si="1">COUNTIF($I$8:$I$211,G1)</f>
        <v>196</v>
      </c>
      <c r="I1" s="938">
        <f>H1/(H1+H2+H3)</f>
        <v>0.9607843137</v>
      </c>
      <c r="J1" s="935"/>
      <c r="K1" s="936"/>
      <c r="L1" s="936"/>
      <c r="M1" s="936"/>
      <c r="N1" s="936"/>
      <c r="O1" s="939"/>
      <c r="P1" s="940"/>
      <c r="Q1" s="940"/>
      <c r="R1" s="940"/>
      <c r="S1" s="940"/>
      <c r="T1" s="940"/>
      <c r="U1" s="940"/>
      <c r="V1" s="940"/>
      <c r="W1" s="940"/>
      <c r="X1" s="935"/>
      <c r="Y1" s="935"/>
      <c r="Z1" s="935"/>
      <c r="AA1" s="935"/>
    </row>
    <row r="2">
      <c r="A2" s="650"/>
      <c r="B2" s="941" t="s">
        <v>2179</v>
      </c>
      <c r="C2" s="942"/>
      <c r="D2" s="942"/>
      <c r="E2" s="943"/>
      <c r="F2" s="935"/>
      <c r="G2" s="829" t="s">
        <v>2057</v>
      </c>
      <c r="H2" s="824">
        <f t="shared" si="1"/>
        <v>0</v>
      </c>
      <c r="I2" s="938">
        <f>H2/(H1+H2+H3)</f>
        <v>0</v>
      </c>
      <c r="J2" s="650"/>
      <c r="K2" s="942"/>
      <c r="L2" s="942"/>
      <c r="M2" s="942"/>
      <c r="N2" s="942"/>
      <c r="O2" s="944"/>
      <c r="P2" s="945"/>
      <c r="Q2" s="945"/>
      <c r="R2" s="945"/>
      <c r="S2" s="945"/>
      <c r="T2" s="945"/>
      <c r="U2" s="945"/>
      <c r="V2" s="945"/>
      <c r="W2" s="945"/>
      <c r="X2" s="650"/>
      <c r="Y2" s="650"/>
      <c r="Z2" s="650"/>
      <c r="AA2" s="650"/>
    </row>
    <row r="3" ht="15.75" customHeight="1">
      <c r="A3" s="946"/>
      <c r="B3" s="946"/>
      <c r="C3" s="947"/>
      <c r="D3" s="947"/>
      <c r="E3" s="948"/>
      <c r="F3" s="947"/>
      <c r="G3" s="949" t="s">
        <v>291</v>
      </c>
      <c r="H3" s="824">
        <f t="shared" si="1"/>
        <v>8</v>
      </c>
      <c r="I3" s="938">
        <f>H3/(H1+H2+H3)</f>
        <v>0.03921568627</v>
      </c>
      <c r="J3" s="947"/>
      <c r="K3" s="947"/>
      <c r="L3" s="947"/>
      <c r="M3" s="947"/>
      <c r="N3" s="947"/>
      <c r="O3" s="950"/>
      <c r="P3" s="947"/>
      <c r="Q3" s="951"/>
      <c r="R3" s="952"/>
      <c r="S3" s="953"/>
      <c r="T3" s="952"/>
      <c r="U3" s="952"/>
      <c r="V3" s="952"/>
      <c r="W3" s="952"/>
      <c r="X3" s="946"/>
      <c r="Y3" s="946"/>
      <c r="Z3" s="946"/>
      <c r="AA3" s="946"/>
    </row>
    <row r="4" ht="15.75" customHeight="1">
      <c r="A4" s="946"/>
      <c r="B4" s="954">
        <v>1.0</v>
      </c>
      <c r="C4" s="954">
        <v>2.0</v>
      </c>
      <c r="D4" s="954">
        <v>3.0</v>
      </c>
      <c r="E4" s="954">
        <v>4.0</v>
      </c>
      <c r="F4" s="954">
        <v>5.0</v>
      </c>
      <c r="G4" s="954">
        <v>6.0</v>
      </c>
      <c r="H4" s="954">
        <v>7.0</v>
      </c>
      <c r="I4" s="954">
        <v>8.0</v>
      </c>
      <c r="J4" s="954">
        <v>9.0</v>
      </c>
      <c r="K4" s="954">
        <v>10.0</v>
      </c>
      <c r="L4" s="954">
        <v>11.0</v>
      </c>
      <c r="M4" s="954">
        <v>12.0</v>
      </c>
      <c r="N4" s="954">
        <v>13.0</v>
      </c>
      <c r="O4" s="954">
        <v>14.0</v>
      </c>
      <c r="P4" s="954">
        <v>15.0</v>
      </c>
      <c r="Q4" s="954">
        <v>16.0</v>
      </c>
      <c r="R4" s="954">
        <v>17.0</v>
      </c>
      <c r="S4" s="954">
        <v>18.0</v>
      </c>
      <c r="T4" s="954">
        <v>19.0</v>
      </c>
      <c r="U4" s="954">
        <v>20.0</v>
      </c>
      <c r="V4" s="954">
        <v>21.0</v>
      </c>
      <c r="W4" s="954">
        <v>22.0</v>
      </c>
      <c r="X4" s="946"/>
      <c r="Y4" s="946"/>
      <c r="Z4" s="946"/>
      <c r="AA4" s="946"/>
    </row>
    <row r="5" ht="15.75" customHeight="1">
      <c r="A5" s="946"/>
      <c r="B5" s="946"/>
      <c r="C5" s="947"/>
      <c r="D5" s="947" t="s">
        <v>2180</v>
      </c>
      <c r="E5" s="948"/>
      <c r="F5" s="947" t="s">
        <v>2181</v>
      </c>
      <c r="G5" s="947" t="s">
        <v>313</v>
      </c>
      <c r="H5" s="947" t="s">
        <v>312</v>
      </c>
      <c r="I5" s="946"/>
      <c r="J5" s="947" t="s">
        <v>2182</v>
      </c>
      <c r="K5" s="947" t="s">
        <v>2183</v>
      </c>
      <c r="L5" s="947" t="s">
        <v>2111</v>
      </c>
      <c r="M5" s="947" t="s">
        <v>322</v>
      </c>
      <c r="N5" s="947" t="s">
        <v>2129</v>
      </c>
      <c r="O5" s="950"/>
      <c r="P5" s="947"/>
      <c r="Q5" s="951"/>
      <c r="R5" s="952"/>
      <c r="S5" s="953">
        <v>5.0</v>
      </c>
      <c r="T5" s="952"/>
      <c r="U5" s="952"/>
      <c r="V5" s="952"/>
      <c r="W5" s="952"/>
      <c r="X5" s="946"/>
      <c r="Y5" s="946"/>
      <c r="Z5" s="946"/>
      <c r="AA5" s="946"/>
    </row>
    <row r="6" ht="14.25" customHeight="1">
      <c r="A6" s="955"/>
      <c r="B6" s="955"/>
      <c r="C6" s="956" t="s">
        <v>2018</v>
      </c>
      <c r="D6" s="956" t="s">
        <v>2018</v>
      </c>
      <c r="E6" s="957"/>
      <c r="F6" s="956" t="s">
        <v>2018</v>
      </c>
      <c r="G6" s="956" t="s">
        <v>2018</v>
      </c>
      <c r="H6" s="956" t="s">
        <v>2018</v>
      </c>
      <c r="I6" s="956" t="s">
        <v>2018</v>
      </c>
      <c r="J6" s="956" t="s">
        <v>2018</v>
      </c>
      <c r="K6" s="956" t="s">
        <v>2018</v>
      </c>
      <c r="L6" s="956" t="s">
        <v>2018</v>
      </c>
      <c r="M6" s="956" t="s">
        <v>2018</v>
      </c>
      <c r="N6" s="956" t="s">
        <v>2018</v>
      </c>
      <c r="O6" s="958" t="s">
        <v>337</v>
      </c>
      <c r="P6" s="958" t="s">
        <v>337</v>
      </c>
      <c r="Q6" s="959" t="s">
        <v>2184</v>
      </c>
      <c r="R6" s="960"/>
      <c r="S6" s="961" t="s">
        <v>2018</v>
      </c>
      <c r="T6" s="960"/>
      <c r="U6" s="960"/>
      <c r="V6" s="960"/>
      <c r="W6" s="960"/>
      <c r="X6" s="955"/>
      <c r="Y6" s="955"/>
      <c r="Z6" s="955"/>
      <c r="AA6" s="955"/>
    </row>
    <row r="7">
      <c r="A7" s="935"/>
      <c r="B7" s="871" t="s">
        <v>1858</v>
      </c>
      <c r="C7" s="962" t="s">
        <v>2021</v>
      </c>
      <c r="D7" s="871" t="s">
        <v>276</v>
      </c>
      <c r="E7" s="872" t="s">
        <v>2185</v>
      </c>
      <c r="F7" s="871" t="s">
        <v>344</v>
      </c>
      <c r="G7" s="871" t="s">
        <v>341</v>
      </c>
      <c r="H7" s="963" t="s">
        <v>2186</v>
      </c>
      <c r="I7" s="964" t="s">
        <v>2023</v>
      </c>
      <c r="J7" s="965" t="s">
        <v>346</v>
      </c>
      <c r="K7" s="965" t="s">
        <v>1608</v>
      </c>
      <c r="L7" s="871" t="s">
        <v>378</v>
      </c>
      <c r="M7" s="871" t="s">
        <v>2009</v>
      </c>
      <c r="N7" s="871" t="s">
        <v>1577</v>
      </c>
      <c r="O7" s="966" t="s">
        <v>2187</v>
      </c>
      <c r="P7" s="966" t="s">
        <v>2188</v>
      </c>
      <c r="Q7" s="967" t="s">
        <v>398</v>
      </c>
      <c r="R7" s="967" t="s">
        <v>2189</v>
      </c>
      <c r="S7" s="967" t="s">
        <v>2039</v>
      </c>
      <c r="T7" s="968" t="s">
        <v>2040</v>
      </c>
      <c r="U7" s="969" t="s">
        <v>2190</v>
      </c>
      <c r="V7" s="935"/>
      <c r="W7" s="287" t="s">
        <v>2191</v>
      </c>
      <c r="X7" s="935"/>
      <c r="Y7" s="935"/>
      <c r="Z7" s="935"/>
      <c r="AA7" s="935"/>
    </row>
    <row r="8" ht="15.75" customHeight="1">
      <c r="A8" s="935"/>
      <c r="B8" s="970">
        <v>1.0</v>
      </c>
      <c r="C8" s="970" t="str">
        <f>if(isblank(E8),"",'FL5_POR_包裝對照表 (Mapping Table)'!$E$4)</f>
        <v>GFL (FL5)</v>
      </c>
      <c r="D8" s="970" t="str">
        <f t="array" ref="D8">IF(ISBLANK(E8),"",xlookup(E8,'FL5_POR_包裝對照表 (Mapping Table)'!E:E,'FL5_POR_包裝對照表 (Mapping Table)'!AZ:AZ,"",0,1))</f>
        <v>MP</v>
      </c>
      <c r="E8" s="971" t="s">
        <v>409</v>
      </c>
      <c r="F8" s="167" t="str">
        <f t="array" ref="F8">if(isblank(E8),"",xlookup(E8,'FL5_POR_包裝對照表 (Mapping Table)'!E:E,'FL5_POR_包裝對照表 (Mapping Table)'!F:F,"",0,1))</f>
        <v>VZW, US</v>
      </c>
      <c r="G8" s="972" t="str">
        <f t="array" ref="G8">if(isblank(E8),"",xlookup(E8,'FL5_POR_包裝對照表 (Mapping Table)'!E:E,'FL5_POR_包裝對照表 (Mapping Table)'!C:C,"",0,1))</f>
        <v>Pristine</v>
      </c>
      <c r="H8" s="973" t="str">
        <f t="array" ref="H8">if(isblank(E8),"",xlookup(E8,'FL5_POR_包裝對照表 (Mapping Table)'!E:E,'FL5_POR_包裝對照表 (Mapping Table)'!D:D,"",0,1))</f>
        <v>Retail Pack</v>
      </c>
      <c r="I8" s="974" t="str">
        <f t="shared" ref="I8:I216" si="2">IF(H8="Cancel","Cancel",IF(ISBLANK(E8),"",IFs(isblank(R8),"Open",S8="Finish","Close",isblank(T8),"Open",isblank(#REF!)=false,"Close")))</f>
        <v>Close</v>
      </c>
      <c r="J8" s="975" t="str">
        <f t="array" ref="J8">if(isblank(E8),"",xlookup(E8,'FL5_POR_包裝對照表 (Mapping Table)'!E:E,'FL5_POR_包裝對照表 (Mapping Table)'!H:H,"",0,1))</f>
        <v>mmWave</v>
      </c>
      <c r="K8" s="972" t="str">
        <f t="array" ref="K8">if(isblank(E8),"",xlookup(E8,'FL5_POR_包裝對照表 (Mapping Table)'!E:E,'FL5_POR_包裝對照表 (Mapping Table)'!M:M,"",0,1))</f>
        <v>VZW</v>
      </c>
      <c r="L8" s="972" t="str">
        <f t="array" ref="L8">if(isblank(E8),"",xlookup(E8,'FL5_POR_包裝對照表 (Mapping Table)'!E:E,'FL5_POR_包裝對照表 (Mapping Table)'!AN:AN,"",0,1))</f>
        <v>G950-15935-00</v>
      </c>
      <c r="M8" s="972" t="str">
        <f t="array" ref="M8">if(isblank(E8),"",xlookup(E8,'FL5_POR_包裝對照表 (Mapping Table)'!E:E,'FL5_POR_包裝對照表 (Mapping Table)'!J:J,"",0,1))</f>
        <v>Obsidian</v>
      </c>
      <c r="N8" s="972" t="str">
        <f t="array" ref="N8">if(isblank(E8),"",xlookup(E8,'FL5_POR_包裝對照表 (Mapping Table)'!E:E,'FL5_POR_包裝對照表 (Mapping Table)'!K:K,"",0,1))</f>
        <v>BLK</v>
      </c>
      <c r="O8" s="976">
        <f t="array" ref="O8">xlookup(E8,'Ike 提供_20250505'!D:D,'Ike 提供_20250505'!N:N,"",0,1)</f>
        <v>447.07</v>
      </c>
      <c r="P8" s="976">
        <f t="array" ref="P8">xlookup(E8,'Ike 提供_20250505'!D:D,'Ike 提供_20250505'!O:O,"",0,1)</f>
        <v>440.09</v>
      </c>
      <c r="Q8" s="977">
        <f t="array" ref="Q8">xlookup(E8,'FL5_POR_包裝對照表 (Mapping Table)'!E:E,'FL5_POR_包裝對照表 (Mapping Table)'!BI:BI,"",0,1)</f>
        <v>45773</v>
      </c>
      <c r="R8" s="977">
        <v>45779.0</v>
      </c>
      <c r="S8" s="977">
        <f t="shared" ref="S8:S199" si="3">if(isblank(R8),"",_xlfn.WORKDAY.INTL(R8,$S$5,11))</f>
        <v>45785</v>
      </c>
      <c r="T8" s="977">
        <v>45782.0</v>
      </c>
      <c r="U8" s="978"/>
      <c r="V8" s="935"/>
      <c r="W8" s="978" t="str">
        <f t="array" ref="W8">if(isblank(E8),"",xlookup(E8,'FL5_POR_包裝對照表 (Mapping Table)'!E:E,'FL5_POR_包裝對照表 (Mapping Table)'!BM:BM,"",0,1))</f>
        <v>No demand</v>
      </c>
      <c r="X8" s="935"/>
      <c r="Y8" s="935"/>
      <c r="Z8" s="935"/>
      <c r="AA8" s="935"/>
    </row>
    <row r="9" ht="15.75" customHeight="1">
      <c r="A9" s="935"/>
      <c r="B9" s="970">
        <v>2.0</v>
      </c>
      <c r="C9" s="970" t="str">
        <f>if(isblank(E9),"",'FL5_POR_包裝對照表 (Mapping Table)'!$E$4)</f>
        <v>GFL (FL5)</v>
      </c>
      <c r="D9" s="970" t="str">
        <f t="array" ref="D9">IF(ISBLANK(E9),"",xlookup(E9,'FL5_POR_包裝對照表 (Mapping Table)'!E:E,'FL5_POR_包裝對照表 (Mapping Table)'!AZ:AZ,"",0,1))</f>
        <v>MP</v>
      </c>
      <c r="E9" s="971" t="s">
        <v>424</v>
      </c>
      <c r="F9" s="167" t="str">
        <f t="array" ref="F9">if(isblank(E9),"",xlookup(E9,'FL5_POR_包裝對照表 (Mapping Table)'!E:E,'FL5_POR_包裝對照表 (Mapping Table)'!F:F,"",0,1))</f>
        <v>VZW, US</v>
      </c>
      <c r="G9" s="972" t="str">
        <f t="array" ref="G9">if(isblank(E9),"",xlookup(E9,'FL5_POR_包裝對照表 (Mapping Table)'!E:E,'FL5_POR_包裝對照表 (Mapping Table)'!C:C,"",0,1))</f>
        <v>Pristine</v>
      </c>
      <c r="H9" s="973" t="str">
        <f t="array" ref="H9">if(isblank(E9),"",xlookup(E9,'FL5_POR_包裝對照表 (Mapping Table)'!E:E,'FL5_POR_包裝對照表 (Mapping Table)'!D:D,"",0,1))</f>
        <v>Retail Pack</v>
      </c>
      <c r="I9" s="974" t="str">
        <f t="shared" si="2"/>
        <v>Close</v>
      </c>
      <c r="J9" s="975" t="str">
        <f t="array" ref="J9">if(isblank(E9),"",xlookup(E9,'FL5_POR_包裝對照表 (Mapping Table)'!E:E,'FL5_POR_包裝對照表 (Mapping Table)'!H:H,"",0,1))</f>
        <v>mmWave</v>
      </c>
      <c r="K9" s="972" t="str">
        <f t="array" ref="K9">if(isblank(E9),"",xlookup(E9,'FL5_POR_包裝對照表 (Mapping Table)'!E:E,'FL5_POR_包裝對照表 (Mapping Table)'!M:M,"",0,1))</f>
        <v>VZW</v>
      </c>
      <c r="L9" s="972" t="str">
        <f t="array" ref="L9">if(isblank(E9),"",xlookup(E9,'FL5_POR_包裝對照表 (Mapping Table)'!E:E,'FL5_POR_包裝對照表 (Mapping Table)'!AN:AN,"",0,1))</f>
        <v>G950-15935-01</v>
      </c>
      <c r="M9" s="972" t="str">
        <f t="array" ref="M9">if(isblank(E9),"",xlookup(E9,'FL5_POR_包裝對照表 (Mapping Table)'!E:E,'FL5_POR_包裝對照表 (Mapping Table)'!J:J,"",0,1))</f>
        <v>Frost</v>
      </c>
      <c r="N9" s="972" t="str">
        <f t="array" ref="N9">if(isblank(E9),"",xlookup(E9,'FL5_POR_包裝對照表 (Mapping Table)'!E:E,'FL5_POR_包裝對照表 (Mapping Table)'!K:K,"",0,1))</f>
        <v>PPL</v>
      </c>
      <c r="O9" s="976">
        <f t="array" ref="O9">xlookup(E9,'Ike 提供_20250505'!D:D,'Ike 提供_20250505'!N:N,"",0,1)</f>
        <v>426.41</v>
      </c>
      <c r="P9" s="976">
        <f t="array" ref="P9">xlookup(E9,'Ike 提供_20250505'!D:D,'Ike 提供_20250505'!O:O,"",0,1)</f>
        <v>440.39</v>
      </c>
      <c r="Q9" s="977">
        <f t="array" ref="Q9">xlookup(E9,'FL5_POR_包裝對照表 (Mapping Table)'!E:E,'FL5_POR_包裝對照表 (Mapping Table)'!BI:BI,"",0,1)</f>
        <v>45773</v>
      </c>
      <c r="R9" s="977">
        <v>45779.0</v>
      </c>
      <c r="S9" s="977">
        <f t="shared" si="3"/>
        <v>45785</v>
      </c>
      <c r="T9" s="977">
        <v>45782.0</v>
      </c>
      <c r="U9" s="978"/>
      <c r="V9" s="935"/>
      <c r="W9" s="978" t="str">
        <f t="array" ref="W9">if(isblank(E9),"",xlookup(E9,'FL5_POR_包裝對照表 (Mapping Table)'!E:E,'FL5_POR_包裝對照表 (Mapping Table)'!BM:BM,"",0,1))</f>
        <v>No demand</v>
      </c>
      <c r="X9" s="935"/>
      <c r="Y9" s="935"/>
      <c r="Z9" s="935"/>
      <c r="AA9" s="935"/>
    </row>
    <row r="10" ht="15.75" hidden="1" customHeight="1">
      <c r="A10" s="935"/>
      <c r="B10" s="970">
        <v>3.0</v>
      </c>
      <c r="C10" s="970" t="str">
        <f>if(isblank(E10),"",'FL5_POR_包裝對照表 (Mapping Table)'!$E$4)</f>
        <v>GFL (FL5)</v>
      </c>
      <c r="D10" s="970" t="str">
        <f t="array" ref="D10">IF(ISBLANK(E10),"",xlookup(E10,'FL5_POR_包裝對照表 (Mapping Table)'!E:E,'FL5_POR_包裝對照表 (Mapping Table)'!AZ:AZ,"",0,1))</f>
        <v>MP</v>
      </c>
      <c r="E10" s="971" t="s">
        <v>430</v>
      </c>
      <c r="F10" s="167" t="str">
        <f t="array" ref="F10">if(isblank(E10),"",xlookup(E10,'FL5_POR_包裝對照表 (Mapping Table)'!E:E,'FL5_POR_包裝對照表 (Mapping Table)'!F:F,"",0,1))</f>
        <v>VZW, US</v>
      </c>
      <c r="G10" s="972" t="str">
        <f t="array" ref="G10">if(isblank(E10),"",xlookup(E10,'FL5_POR_包裝對照表 (Mapping Table)'!E:E,'FL5_POR_包裝對照表 (Mapping Table)'!C:C,"",0,1))</f>
        <v>Pristine</v>
      </c>
      <c r="H10" s="973" t="str">
        <f t="array" ref="H10">if(isblank(E10),"",xlookup(E10,'FL5_POR_包裝對照表 (Mapping Table)'!E:E,'FL5_POR_包裝對照表 (Mapping Table)'!D:D,"",0,1))</f>
        <v>Retail Pack</v>
      </c>
      <c r="I10" s="974" t="str">
        <f t="shared" si="2"/>
        <v>Close</v>
      </c>
      <c r="J10" s="975" t="str">
        <f t="array" ref="J10">if(isblank(E10),"",xlookup(E10,'FL5_POR_包裝對照表 (Mapping Table)'!E:E,'FL5_POR_包裝對照表 (Mapping Table)'!H:H,"",0,1))</f>
        <v>mmWave</v>
      </c>
      <c r="K10" s="972" t="str">
        <f t="array" ref="K10">if(isblank(E10),"",xlookup(E10,'FL5_POR_包裝對照表 (Mapping Table)'!E:E,'FL5_POR_包裝對照表 (Mapping Table)'!M:M,"",0,1))</f>
        <v>VZW</v>
      </c>
      <c r="L10" s="972" t="str">
        <f t="array" ref="L10">if(isblank(E10),"",xlookup(E10,'FL5_POR_包裝對照表 (Mapping Table)'!E:E,'FL5_POR_包裝對照表 (Mapping Table)'!AN:AN,"",0,1))</f>
        <v>G950-15935-02</v>
      </c>
      <c r="M10" s="972" t="str">
        <f t="array" ref="M10">if(isblank(E10),"",xlookup(E10,'FL5_POR_包裝對照表 (Mapping Table)'!E:E,'FL5_POR_包裝對照表 (Mapping Table)'!J:J,"",0,1))</f>
        <v>Lemongrass</v>
      </c>
      <c r="N10" s="972" t="str">
        <f t="array" ref="N10">if(isblank(E10),"",xlookup(E10,'FL5_POR_包裝對照表 (Mapping Table)'!E:E,'FL5_POR_包裝對照表 (Mapping Table)'!K:K,"",0,1))</f>
        <v>YEL</v>
      </c>
      <c r="O10" s="976">
        <v>464.65</v>
      </c>
      <c r="P10" s="976">
        <f t="array" ref="P10">xlookup(E10,'Ike 提供_20250505'!D:D,'Ike 提供_20250505'!O:O,"",0,1)</f>
        <v>440.49</v>
      </c>
      <c r="Q10" s="977">
        <f t="array" ref="Q10">xlookup(E10,'FL5_POR_包裝對照表 (Mapping Table)'!E:E,'FL5_POR_包裝對照表 (Mapping Table)'!BI:BI,"",0,1)</f>
        <v>45773</v>
      </c>
      <c r="R10" s="977">
        <v>45765.0</v>
      </c>
      <c r="S10" s="977">
        <f t="shared" si="3"/>
        <v>45771</v>
      </c>
      <c r="T10" s="977">
        <v>45765.0</v>
      </c>
      <c r="U10" s="978"/>
      <c r="V10" s="935"/>
      <c r="W10" s="978" t="str">
        <f t="array" ref="W10">if(isblank(E10),"",xlookup(E10,'FL5_POR_包裝對照表 (Mapping Table)'!E:E,'FL5_POR_包裝對照表 (Mapping Table)'!BM:BM,"",0,1))</f>
        <v>No demand</v>
      </c>
      <c r="X10" s="935"/>
      <c r="Y10" s="935"/>
      <c r="Z10" s="935"/>
      <c r="AA10" s="935"/>
    </row>
    <row r="11" ht="15.75" hidden="1" customHeight="1">
      <c r="A11" s="935"/>
      <c r="B11" s="970">
        <v>4.0</v>
      </c>
      <c r="C11" s="970" t="str">
        <f>if(isblank(E11),"",'FL5_POR_包裝對照表 (Mapping Table)'!$E$4)</f>
        <v>GFL (FL5)</v>
      </c>
      <c r="D11" s="970" t="str">
        <f t="array" ref="D11">IF(ISBLANK(E11),"",xlookup(E11,'FL5_POR_包裝對照表 (Mapping Table)'!E:E,'FL5_POR_包裝對照表 (Mapping Table)'!AZ:AZ,"",0,1))</f>
        <v>MP</v>
      </c>
      <c r="E11" s="971" t="s">
        <v>436</v>
      </c>
      <c r="F11" s="167" t="str">
        <f t="array" ref="F11">if(isblank(E11),"",xlookup(E11,'FL5_POR_包裝對照表 (Mapping Table)'!E:E,'FL5_POR_包裝對照表 (Mapping Table)'!F:F,"",0,1))</f>
        <v>VZW, US</v>
      </c>
      <c r="G11" s="972" t="str">
        <f t="array" ref="G11">if(isblank(E11),"",xlookup(E11,'FL5_POR_包裝對照表 (Mapping Table)'!E:E,'FL5_POR_包裝對照表 (Mapping Table)'!C:C,"",0,1))</f>
        <v>Pristine</v>
      </c>
      <c r="H11" s="973" t="str">
        <f t="array" ref="H11">if(isblank(E11),"",xlookup(E11,'FL5_POR_包裝對照表 (Mapping Table)'!E:E,'FL5_POR_包裝對照表 (Mapping Table)'!D:D,"",0,1))</f>
        <v>Retail Pack</v>
      </c>
      <c r="I11" s="974" t="str">
        <f t="shared" si="2"/>
        <v>Close</v>
      </c>
      <c r="J11" s="975" t="str">
        <f t="array" ref="J11">if(isblank(E11),"",xlookup(E11,'FL5_POR_包裝對照表 (Mapping Table)'!E:E,'FL5_POR_包裝對照表 (Mapping Table)'!H:H,"",0,1))</f>
        <v>mmWave</v>
      </c>
      <c r="K11" s="972" t="str">
        <f t="array" ref="K11">if(isblank(E11),"",xlookup(E11,'FL5_POR_包裝對照表 (Mapping Table)'!E:E,'FL5_POR_包裝對照表 (Mapping Table)'!M:M,"",0,1))</f>
        <v>VZW</v>
      </c>
      <c r="L11" s="972" t="str">
        <f t="array" ref="L11">if(isblank(E11),"",xlookup(E11,'FL5_POR_包裝對照表 (Mapping Table)'!E:E,'FL5_POR_包裝對照表 (Mapping Table)'!AN:AN,"",0,1))</f>
        <v>G950-15935-03</v>
      </c>
      <c r="M11" s="972" t="str">
        <f t="array" ref="M11">if(isblank(E11),"",xlookup(E11,'FL5_POR_包裝對照表 (Mapping Table)'!E:E,'FL5_POR_包裝對照表 (Mapping Table)'!J:J,"",0,1))</f>
        <v>Indigo</v>
      </c>
      <c r="N11" s="972" t="str">
        <f t="array" ref="N11">if(isblank(E11),"",xlookup(E11,'FL5_POR_包裝對照表 (Mapping Table)'!E:E,'FL5_POR_包裝對照表 (Mapping Table)'!K:K,"",0,1))</f>
        <v>BUE</v>
      </c>
      <c r="O11" s="976">
        <v>461.76</v>
      </c>
      <c r="P11" s="976">
        <f t="array" ref="P11">xlookup(E11,'Ike 提供_20250505'!D:D,'Ike 提供_20250505'!O:O,"",0,1)</f>
        <v>440.49</v>
      </c>
      <c r="Q11" s="977">
        <f t="array" ref="Q11">xlookup(E11,'FL5_POR_包裝對照表 (Mapping Table)'!E:E,'FL5_POR_包裝對照表 (Mapping Table)'!BI:BI,"",0,1)</f>
        <v>45773</v>
      </c>
      <c r="R11" s="977">
        <v>45765.0</v>
      </c>
      <c r="S11" s="977">
        <f t="shared" si="3"/>
        <v>45771</v>
      </c>
      <c r="T11" s="977">
        <v>45765.0</v>
      </c>
      <c r="U11" s="978"/>
      <c r="V11" s="935"/>
      <c r="W11" s="978" t="str">
        <f t="array" ref="W11">if(isblank(E11),"",xlookup(E11,'FL5_POR_包裝對照表 (Mapping Table)'!E:E,'FL5_POR_包裝對照表 (Mapping Table)'!BM:BM,"",0,1))</f>
        <v>No demand</v>
      </c>
      <c r="X11" s="935"/>
      <c r="Y11" s="935"/>
      <c r="Z11" s="935"/>
      <c r="AA11" s="935"/>
    </row>
    <row r="12" ht="15.75" hidden="1" customHeight="1">
      <c r="A12" s="935"/>
      <c r="B12" s="970">
        <v>5.0</v>
      </c>
      <c r="C12" s="970" t="str">
        <f>if(isblank(E12),"",'FL5_POR_包裝對照表 (Mapping Table)'!$E$4)</f>
        <v>GFL (FL5)</v>
      </c>
      <c r="D12" s="970" t="str">
        <f t="array" ref="D12">IF(ISBLANK(E12),"",xlookup(E12,'FL5_POR_包裝對照表 (Mapping Table)'!E:E,'FL5_POR_包裝對照表 (Mapping Table)'!AZ:AZ,"",0,1))</f>
        <v>MP</v>
      </c>
      <c r="E12" s="979" t="s">
        <v>442</v>
      </c>
      <c r="F12" s="167" t="str">
        <f t="array" ref="F12">if(isblank(E12),"",xlookup(E12,'FL5_POR_包裝對照表 (Mapping Table)'!E:E,'FL5_POR_包裝對照表 (Mapping Table)'!F:F,"",0,1))</f>
        <v>AT&amp;T, US</v>
      </c>
      <c r="G12" s="972" t="str">
        <f t="array" ref="G12">if(isblank(E12),"",xlookup(E12,'FL5_POR_包裝對照表 (Mapping Table)'!E:E,'FL5_POR_包裝對照表 (Mapping Table)'!C:C,"",0,1))</f>
        <v>Pristine</v>
      </c>
      <c r="H12" s="973" t="str">
        <f t="array" ref="H12">if(isblank(E12),"",xlookup(E12,'FL5_POR_包裝對照表 (Mapping Table)'!E:E,'FL5_POR_包裝對照表 (Mapping Table)'!D:D,"",0,1))</f>
        <v>Retail Pack</v>
      </c>
      <c r="I12" s="974" t="str">
        <f t="shared" si="2"/>
        <v>Close</v>
      </c>
      <c r="J12" s="975" t="str">
        <f t="array" ref="J12">if(isblank(E12),"",xlookup(E12,'FL5_POR_包裝對照表 (Mapping Table)'!E:E,'FL5_POR_包裝對照表 (Mapping Table)'!H:H,"",0,1))</f>
        <v>mmWave</v>
      </c>
      <c r="K12" s="972" t="str">
        <f t="array" ref="K12">if(isblank(E12),"",xlookup(E12,'FL5_POR_包裝對照表 (Mapping Table)'!E:E,'FL5_POR_包裝對照表 (Mapping Table)'!M:M,"",0,1))</f>
        <v>ATT</v>
      </c>
      <c r="L12" s="972" t="str">
        <f t="array" ref="L12">if(isblank(E12),"",xlookup(E12,'FL5_POR_包裝對照表 (Mapping Table)'!E:E,'FL5_POR_包裝對照表 (Mapping Table)'!AN:AN,"",0,1))</f>
        <v>G950-15935-00</v>
      </c>
      <c r="M12" s="972" t="str">
        <f t="array" ref="M12">if(isblank(E12),"",xlookup(E12,'FL5_POR_包裝對照表 (Mapping Table)'!E:E,'FL5_POR_包裝對照表 (Mapping Table)'!J:J,"",0,1))</f>
        <v>Obsidian</v>
      </c>
      <c r="N12" s="972" t="str">
        <f t="array" ref="N12">if(isblank(E12),"",xlookup(E12,'FL5_POR_包裝對照表 (Mapping Table)'!E:E,'FL5_POR_包裝對照表 (Mapping Table)'!K:K,"",0,1))</f>
        <v>BLK</v>
      </c>
      <c r="O12" s="976">
        <v>464.63</v>
      </c>
      <c r="P12" s="976">
        <f t="array" ref="P12">xlookup(E12,'Ike 提供_20250505'!D:D,'Ike 提供_20250505'!O:O,"",0,1)</f>
        <v>440.09</v>
      </c>
      <c r="Q12" s="977">
        <f t="array" ref="Q12">xlookup(E12,'FL5_POR_包裝對照表 (Mapping Table)'!E:E,'FL5_POR_包裝對照表 (Mapping Table)'!BI:BI,"",0,1)</f>
        <v>45773</v>
      </c>
      <c r="R12" s="977">
        <v>45765.0</v>
      </c>
      <c r="S12" s="977">
        <f t="shared" si="3"/>
        <v>45771</v>
      </c>
      <c r="T12" s="977">
        <v>45765.0</v>
      </c>
      <c r="U12" s="978"/>
      <c r="V12" s="935"/>
      <c r="W12" s="978" t="str">
        <f t="array" ref="W12">if(isblank(E12),"",xlookup(E12,'FL5_POR_包裝對照表 (Mapping Table)'!E:E,'FL5_POR_包裝對照表 (Mapping Table)'!BM:BM,"",0,1))</f>
        <v>No demand</v>
      </c>
      <c r="X12" s="935"/>
      <c r="Y12" s="935"/>
      <c r="Z12" s="935"/>
      <c r="AA12" s="935"/>
    </row>
    <row r="13" ht="15.75" customHeight="1">
      <c r="A13" s="935"/>
      <c r="B13" s="970">
        <v>6.0</v>
      </c>
      <c r="C13" s="970" t="str">
        <f>if(isblank(E13),"",'FL5_POR_包裝對照表 (Mapping Table)'!$E$4)</f>
        <v>GFL (FL5)</v>
      </c>
      <c r="D13" s="970" t="str">
        <f t="array" ref="D13">IF(ISBLANK(E13),"",xlookup(E13,'FL5_POR_包裝對照表 (Mapping Table)'!E:E,'FL5_POR_包裝對照表 (Mapping Table)'!AZ:AZ,"",0,1))</f>
        <v>MP</v>
      </c>
      <c r="E13" s="979" t="s">
        <v>451</v>
      </c>
      <c r="F13" s="167" t="str">
        <f t="array" ref="F13">if(isblank(E13),"",xlookup(E13,'FL5_POR_包裝對照表 (Mapping Table)'!E:E,'FL5_POR_包裝對照表 (Mapping Table)'!F:F,"",0,1))</f>
        <v>AT&amp;T, US</v>
      </c>
      <c r="G13" s="972" t="str">
        <f t="array" ref="G13">if(isblank(E13),"",xlookup(E13,'FL5_POR_包裝對照表 (Mapping Table)'!E:E,'FL5_POR_包裝對照表 (Mapping Table)'!C:C,"",0,1))</f>
        <v>Pristine</v>
      </c>
      <c r="H13" s="973" t="str">
        <f t="array" ref="H13">if(isblank(E13),"",xlookup(E13,'FL5_POR_包裝對照表 (Mapping Table)'!E:E,'FL5_POR_包裝對照表 (Mapping Table)'!D:D,"",0,1))</f>
        <v>Retail Pack</v>
      </c>
      <c r="I13" s="974" t="str">
        <f t="shared" si="2"/>
        <v>Close</v>
      </c>
      <c r="J13" s="975" t="str">
        <f t="array" ref="J13">if(isblank(E13),"",xlookup(E13,'FL5_POR_包裝對照表 (Mapping Table)'!E:E,'FL5_POR_包裝對照表 (Mapping Table)'!H:H,"",0,1))</f>
        <v>mmWave</v>
      </c>
      <c r="K13" s="972" t="str">
        <f t="array" ref="K13">if(isblank(E13),"",xlookup(E13,'FL5_POR_包裝對照表 (Mapping Table)'!E:E,'FL5_POR_包裝對照表 (Mapping Table)'!M:M,"",0,1))</f>
        <v>ATT</v>
      </c>
      <c r="L13" s="972" t="str">
        <f t="array" ref="L13">if(isblank(E13),"",xlookup(E13,'FL5_POR_包裝對照表 (Mapping Table)'!E:E,'FL5_POR_包裝對照表 (Mapping Table)'!AN:AN,"",0,1))</f>
        <v>G950-15935-03</v>
      </c>
      <c r="M13" s="972" t="str">
        <f t="array" ref="M13">if(isblank(E13),"",xlookup(E13,'FL5_POR_包裝對照表 (Mapping Table)'!E:E,'FL5_POR_包裝對照表 (Mapping Table)'!J:J,"",0,1))</f>
        <v>Indigo</v>
      </c>
      <c r="N13" s="972" t="str">
        <f t="array" ref="N13">if(isblank(E13),"",xlookup(E13,'FL5_POR_包裝對照表 (Mapping Table)'!E:E,'FL5_POR_包裝對照表 (Mapping Table)'!K:K,"",0,1))</f>
        <v>BUE</v>
      </c>
      <c r="O13" s="976">
        <f t="array" ref="O13">xlookup(E13,'Ike 提供_20250505'!D:D,'Ike 提供_20250505'!N:N,"",0,1)</f>
        <v>426.51</v>
      </c>
      <c r="P13" s="976">
        <f t="array" ref="P13">xlookup(E13,'Ike 提供_20250505'!D:D,'Ike 提供_20250505'!O:O,"",0,1)</f>
        <v>440.49</v>
      </c>
      <c r="Q13" s="977">
        <f t="array" ref="Q13">xlookup(E13,'FL5_POR_包裝對照表 (Mapping Table)'!E:E,'FL5_POR_包裝對照表 (Mapping Table)'!BI:BI,"",0,1)</f>
        <v>45773</v>
      </c>
      <c r="R13" s="977">
        <v>45779.0</v>
      </c>
      <c r="S13" s="977">
        <f t="shared" si="3"/>
        <v>45785</v>
      </c>
      <c r="T13" s="977">
        <v>45782.0</v>
      </c>
      <c r="U13" s="978"/>
      <c r="V13" s="935"/>
      <c r="W13" s="978" t="str">
        <f t="array" ref="W13">if(isblank(E13),"",xlookup(E13,'FL5_POR_包裝對照表 (Mapping Table)'!E:E,'FL5_POR_包裝對照表 (Mapping Table)'!BM:BM,"",0,1))</f>
        <v>No demand</v>
      </c>
      <c r="X13" s="935"/>
      <c r="Y13" s="935"/>
      <c r="Z13" s="935"/>
      <c r="AA13" s="935"/>
    </row>
    <row r="14" ht="15.75" hidden="1" customHeight="1">
      <c r="A14" s="935"/>
      <c r="B14" s="970">
        <v>7.0</v>
      </c>
      <c r="C14" s="970" t="str">
        <f>if(isblank(E14),"",'FL5_POR_包裝對照表 (Mapping Table)'!$E$4)</f>
        <v>GFL (FL5)</v>
      </c>
      <c r="D14" s="970" t="str">
        <f t="array" ref="D14">IF(ISBLANK(E14),"",xlookup(E14,'FL5_POR_包裝對照表 (Mapping Table)'!E:E,'FL5_POR_包裝對照表 (Mapping Table)'!AZ:AZ,"",0,1))</f>
        <v>MP</v>
      </c>
      <c r="E14" s="979" t="s">
        <v>457</v>
      </c>
      <c r="F14" s="167" t="str">
        <f t="array" ref="F14">if(isblank(E14),"",xlookup(E14,'FL5_POR_包裝對照表 (Mapping Table)'!E:E,'FL5_POR_包裝對照表 (Mapping Table)'!F:F,"",0,1))</f>
        <v>TMO, US</v>
      </c>
      <c r="G14" s="972" t="str">
        <f t="array" ref="G14">if(isblank(E14),"",xlookup(E14,'FL5_POR_包裝對照表 (Mapping Table)'!E:E,'FL5_POR_包裝對照表 (Mapping Table)'!C:C,"",0,1))</f>
        <v>Pristine</v>
      </c>
      <c r="H14" s="973" t="str">
        <f t="array" ref="H14">if(isblank(E14),"",xlookup(E14,'FL5_POR_包裝對照表 (Mapping Table)'!E:E,'FL5_POR_包裝對照表 (Mapping Table)'!D:D,"",0,1))</f>
        <v>Retail Pack</v>
      </c>
      <c r="I14" s="974" t="str">
        <f t="shared" si="2"/>
        <v>Close</v>
      </c>
      <c r="J14" s="975" t="str">
        <f t="array" ref="J14">if(isblank(E14),"",xlookup(E14,'FL5_POR_包裝對照表 (Mapping Table)'!E:E,'FL5_POR_包裝對照表 (Mapping Table)'!H:H,"",0,1))</f>
        <v>mmWave</v>
      </c>
      <c r="K14" s="972" t="str">
        <f t="array" ref="K14">if(isblank(E14),"",xlookup(E14,'FL5_POR_包裝對照表 (Mapping Table)'!E:E,'FL5_POR_包裝對照表 (Mapping Table)'!M:M,"",0,1))</f>
        <v>TMO</v>
      </c>
      <c r="L14" s="972" t="str">
        <f t="array" ref="L14">if(isblank(E14),"",xlookup(E14,'FL5_POR_包裝對照表 (Mapping Table)'!E:E,'FL5_POR_包裝對照表 (Mapping Table)'!AN:AN,"",0,1))</f>
        <v>G950-15935-00</v>
      </c>
      <c r="M14" s="972" t="str">
        <f t="array" ref="M14">if(isblank(E14),"",xlookup(E14,'FL5_POR_包裝對照表 (Mapping Table)'!E:E,'FL5_POR_包裝對照表 (Mapping Table)'!J:J,"",0,1))</f>
        <v>Obsidian</v>
      </c>
      <c r="N14" s="972" t="str">
        <f t="array" ref="N14">if(isblank(E14),"",xlookup(E14,'FL5_POR_包裝對照表 (Mapping Table)'!E:E,'FL5_POR_包裝對照表 (Mapping Table)'!K:K,"",0,1))</f>
        <v>BLK</v>
      </c>
      <c r="O14" s="976">
        <v>464.63</v>
      </c>
      <c r="P14" s="976">
        <f t="array" ref="P14">xlookup(E14,'Ike 提供_20250505'!D:D,'Ike 提供_20250505'!O:O,"",0,1)</f>
        <v>440.09</v>
      </c>
      <c r="Q14" s="977">
        <f t="array" ref="Q14">xlookup(E14,'FL5_POR_包裝對照表 (Mapping Table)'!E:E,'FL5_POR_包裝對照表 (Mapping Table)'!BI:BI,"",0,1)</f>
        <v>45773</v>
      </c>
      <c r="R14" s="977">
        <v>45765.0</v>
      </c>
      <c r="S14" s="977">
        <f t="shared" si="3"/>
        <v>45771</v>
      </c>
      <c r="T14" s="977">
        <v>45765.0</v>
      </c>
      <c r="U14" s="978"/>
      <c r="V14" s="935"/>
      <c r="W14" s="978" t="str">
        <f t="array" ref="W14">if(isblank(E14),"",xlookup(E14,'FL5_POR_包裝對照表 (Mapping Table)'!E:E,'FL5_POR_包裝對照表 (Mapping Table)'!BM:BM,"",0,1))</f>
        <v>No demand</v>
      </c>
      <c r="X14" s="935"/>
      <c r="Y14" s="935"/>
      <c r="Z14" s="935"/>
      <c r="AA14" s="935"/>
    </row>
    <row r="15" ht="15.75" customHeight="1">
      <c r="A15" s="935"/>
      <c r="B15" s="970">
        <v>8.0</v>
      </c>
      <c r="C15" s="970" t="str">
        <f>if(isblank(E15),"",'FL5_POR_包裝對照表 (Mapping Table)'!$E$4)</f>
        <v>GFL (FL5)</v>
      </c>
      <c r="D15" s="970" t="str">
        <f t="array" ref="D15">IF(ISBLANK(E15),"",xlookup(E15,'FL5_POR_包裝對照表 (Mapping Table)'!E:E,'FL5_POR_包裝對照表 (Mapping Table)'!AZ:AZ,"",0,1))</f>
        <v>MP</v>
      </c>
      <c r="E15" s="979" t="s">
        <v>464</v>
      </c>
      <c r="F15" s="167" t="str">
        <f t="array" ref="F15">if(isblank(E15),"",xlookup(E15,'FL5_POR_包裝對照表 (Mapping Table)'!E:E,'FL5_POR_包裝對照表 (Mapping Table)'!F:F,"",0,1))</f>
        <v>TMO, US</v>
      </c>
      <c r="G15" s="972" t="str">
        <f t="array" ref="G15">if(isblank(E15),"",xlookup(E15,'FL5_POR_包裝對照表 (Mapping Table)'!E:E,'FL5_POR_包裝對照表 (Mapping Table)'!C:C,"",0,1))</f>
        <v>Pristine</v>
      </c>
      <c r="H15" s="973" t="str">
        <f t="array" ref="H15">if(isblank(E15),"",xlookup(E15,'FL5_POR_包裝對照表 (Mapping Table)'!E:E,'FL5_POR_包裝對照表 (Mapping Table)'!D:D,"",0,1))</f>
        <v>Retail Pack</v>
      </c>
      <c r="I15" s="974" t="str">
        <f t="shared" si="2"/>
        <v>Close</v>
      </c>
      <c r="J15" s="975" t="str">
        <f t="array" ref="J15">if(isblank(E15),"",xlookup(E15,'FL5_POR_包裝對照表 (Mapping Table)'!E:E,'FL5_POR_包裝對照表 (Mapping Table)'!H:H,"",0,1))</f>
        <v>mmWave</v>
      </c>
      <c r="K15" s="972" t="str">
        <f t="array" ref="K15">if(isblank(E15),"",xlookup(E15,'FL5_POR_包裝對照表 (Mapping Table)'!E:E,'FL5_POR_包裝對照表 (Mapping Table)'!M:M,"",0,1))</f>
        <v>TMO</v>
      </c>
      <c r="L15" s="972" t="str">
        <f t="array" ref="L15">if(isblank(E15),"",xlookup(E15,'FL5_POR_包裝對照表 (Mapping Table)'!E:E,'FL5_POR_包裝對照表 (Mapping Table)'!AN:AN,"",0,1))</f>
        <v>G950-15935-03</v>
      </c>
      <c r="M15" s="972" t="str">
        <f t="array" ref="M15">if(isblank(E15),"",xlookup(E15,'FL5_POR_包裝對照表 (Mapping Table)'!E:E,'FL5_POR_包裝對照表 (Mapping Table)'!J:J,"",0,1))</f>
        <v>Indigo</v>
      </c>
      <c r="N15" s="972" t="str">
        <f t="array" ref="N15">if(isblank(E15),"",xlookup(E15,'FL5_POR_包裝對照表 (Mapping Table)'!E:E,'FL5_POR_包裝對照表 (Mapping Table)'!K:K,"",0,1))</f>
        <v>BUE</v>
      </c>
      <c r="O15" s="976">
        <f t="array" ref="O15">xlookup(E15,'Ike 提供_20250505'!D:D,'Ike 提供_20250505'!N:N,"",0,1)</f>
        <v>426.51</v>
      </c>
      <c r="P15" s="976">
        <f t="array" ref="P15">xlookup(E15,'Ike 提供_20250505'!D:D,'Ike 提供_20250505'!O:O,"",0,1)</f>
        <v>440.49</v>
      </c>
      <c r="Q15" s="977">
        <f t="array" ref="Q15">xlookup(E15,'FL5_POR_包裝對照表 (Mapping Table)'!E:E,'FL5_POR_包裝對照表 (Mapping Table)'!BI:BI,"",0,1)</f>
        <v>45773</v>
      </c>
      <c r="R15" s="977">
        <v>45779.0</v>
      </c>
      <c r="S15" s="977">
        <f t="shared" si="3"/>
        <v>45785</v>
      </c>
      <c r="T15" s="977">
        <v>45782.0</v>
      </c>
      <c r="U15" s="978"/>
      <c r="V15" s="935"/>
      <c r="W15" s="978" t="str">
        <f t="array" ref="W15">if(isblank(E15),"",xlookup(E15,'FL5_POR_包裝對照表 (Mapping Table)'!E:E,'FL5_POR_包裝對照表 (Mapping Table)'!BM:BM,"",0,1))</f>
        <v>No demand</v>
      </c>
      <c r="X15" s="935"/>
      <c r="Y15" s="935"/>
      <c r="Z15" s="935"/>
      <c r="AA15" s="935"/>
    </row>
    <row r="16" ht="15.75" hidden="1" customHeight="1">
      <c r="A16" s="935"/>
      <c r="B16" s="970">
        <v>9.0</v>
      </c>
      <c r="C16" s="970" t="str">
        <f>if(isblank(E16),"",'FL5_POR_包裝對照表 (Mapping Table)'!$E$4)</f>
        <v>GFL (FL5)</v>
      </c>
      <c r="D16" s="970" t="str">
        <f t="array" ref="D16">IF(ISBLANK(E16),"",xlookup(E16,'FL5_POR_包裝對照表 (Mapping Table)'!E:E,'FL5_POR_包裝對照表 (Mapping Table)'!AZ:AZ,"",0,1))</f>
        <v>MP</v>
      </c>
      <c r="E16" s="971" t="s">
        <v>469</v>
      </c>
      <c r="F16" s="167" t="str">
        <f t="array" ref="F16">if(isblank(E16),"",xlookup(E16,'FL5_POR_包裝對照表 (Mapping Table)'!E:E,'FL5_POR_包裝對照表 (Mapping Table)'!F:F,"",0,1))</f>
        <v>GSTORE, US</v>
      </c>
      <c r="G16" s="972" t="str">
        <f t="array" ref="G16">if(isblank(E16),"",xlookup(E16,'FL5_POR_包裝對照表 (Mapping Table)'!E:E,'FL5_POR_包裝對照表 (Mapping Table)'!C:C,"",0,1))</f>
        <v>Pristine</v>
      </c>
      <c r="H16" s="973" t="str">
        <f t="array" ref="H16">if(isblank(E16),"",xlookup(E16,'FL5_POR_包裝對照表 (Mapping Table)'!E:E,'FL5_POR_包裝對照表 (Mapping Table)'!D:D,"",0,1))</f>
        <v>Retail Pack</v>
      </c>
      <c r="I16" s="974" t="str">
        <f t="shared" si="2"/>
        <v>Close</v>
      </c>
      <c r="J16" s="975" t="str">
        <f t="array" ref="J16">if(isblank(E16),"",xlookup(E16,'FL5_POR_包裝對照表 (Mapping Table)'!E:E,'FL5_POR_包裝對照表 (Mapping Table)'!H:H,"",0,1))</f>
        <v>mmWave</v>
      </c>
      <c r="K16" s="972" t="str">
        <f t="array" ref="K16">if(isblank(E16),"",xlookup(E16,'FL5_POR_包裝對照表 (Mapping Table)'!E:E,'FL5_POR_包裝對照表 (Mapping Table)'!M:M,"",0,1))</f>
        <v>NA</v>
      </c>
      <c r="L16" s="972" t="str">
        <f t="array" ref="L16">if(isblank(E16),"",xlookup(E16,'FL5_POR_包裝對照表 (Mapping Table)'!E:E,'FL5_POR_包裝對照表 (Mapping Table)'!AN:AN,"",0,1))</f>
        <v>G950-15935-00</v>
      </c>
      <c r="M16" s="972" t="str">
        <f t="array" ref="M16">if(isblank(E16),"",xlookup(E16,'FL5_POR_包裝對照表 (Mapping Table)'!E:E,'FL5_POR_包裝對照表 (Mapping Table)'!J:J,"",0,1))</f>
        <v>Obsidian</v>
      </c>
      <c r="N16" s="972" t="str">
        <f t="array" ref="N16">if(isblank(E16),"",xlookup(E16,'FL5_POR_包裝對照表 (Mapping Table)'!E:E,'FL5_POR_包裝對照表 (Mapping Table)'!K:K,"",0,1))</f>
        <v>BLK</v>
      </c>
      <c r="O16" s="976">
        <v>464.81</v>
      </c>
      <c r="P16" s="976">
        <f t="array" ref="P16">xlookup(E16,'Ike 提供_20250505'!D:D,'Ike 提供_20250505'!O:O,"",0,1)</f>
        <v>440.09</v>
      </c>
      <c r="Q16" s="977">
        <f t="array" ref="Q16">xlookup(E16,'FL5_POR_包裝對照表 (Mapping Table)'!E:E,'FL5_POR_包裝對照表 (Mapping Table)'!BI:BI,"",0,1)</f>
        <v>45773</v>
      </c>
      <c r="R16" s="977">
        <v>45765.0</v>
      </c>
      <c r="S16" s="977">
        <f t="shared" si="3"/>
        <v>45771</v>
      </c>
      <c r="T16" s="977">
        <v>45765.0</v>
      </c>
      <c r="U16" s="978"/>
      <c r="V16" s="935"/>
      <c r="W16" s="978" t="str">
        <f t="array" ref="W16">if(isblank(E16),"",xlookup(E16,'FL5_POR_包裝對照表 (Mapping Table)'!E:E,'FL5_POR_包裝對照表 (Mapping Table)'!BM:BM,"",0,1))</f>
        <v>No demand</v>
      </c>
      <c r="X16" s="935"/>
      <c r="Y16" s="935"/>
      <c r="Z16" s="935"/>
      <c r="AA16" s="935"/>
    </row>
    <row r="17" ht="15.75" hidden="1" customHeight="1">
      <c r="A17" s="935"/>
      <c r="B17" s="970">
        <v>10.0</v>
      </c>
      <c r="C17" s="970" t="str">
        <f>if(isblank(E17),"",'FL5_POR_包裝對照表 (Mapping Table)'!$E$4)</f>
        <v>GFL (FL5)</v>
      </c>
      <c r="D17" s="970" t="str">
        <f t="array" ref="D17">IF(ISBLANK(E17),"",xlookup(E17,'FL5_POR_包裝對照表 (Mapping Table)'!E:E,'FL5_POR_包裝對照表 (Mapping Table)'!AZ:AZ,"",0,1))</f>
        <v>MP</v>
      </c>
      <c r="E17" s="971" t="s">
        <v>476</v>
      </c>
      <c r="F17" s="167" t="str">
        <f t="array" ref="F17">if(isblank(E17),"",xlookup(E17,'FL5_POR_包裝對照表 (Mapping Table)'!E:E,'FL5_POR_包裝對照表 (Mapping Table)'!F:F,"",0,1))</f>
        <v>GSTORE, US</v>
      </c>
      <c r="G17" s="972" t="str">
        <f t="array" ref="G17">if(isblank(E17),"",xlookup(E17,'FL5_POR_包裝對照表 (Mapping Table)'!E:E,'FL5_POR_包裝對照表 (Mapping Table)'!C:C,"",0,1))</f>
        <v>Pristine</v>
      </c>
      <c r="H17" s="973" t="str">
        <f t="array" ref="H17">if(isblank(E17),"",xlookup(E17,'FL5_POR_包裝對照表 (Mapping Table)'!E:E,'FL5_POR_包裝對照表 (Mapping Table)'!D:D,"",0,1))</f>
        <v>Retail Pack</v>
      </c>
      <c r="I17" s="974" t="str">
        <f t="shared" si="2"/>
        <v>Close</v>
      </c>
      <c r="J17" s="975" t="str">
        <f t="array" ref="J17">if(isblank(E17),"",xlookup(E17,'FL5_POR_包裝對照表 (Mapping Table)'!E:E,'FL5_POR_包裝對照表 (Mapping Table)'!H:H,"",0,1))</f>
        <v>mmWave</v>
      </c>
      <c r="K17" s="972" t="str">
        <f t="array" ref="K17">if(isblank(E17),"",xlookup(E17,'FL5_POR_包裝對照表 (Mapping Table)'!E:E,'FL5_POR_包裝對照表 (Mapping Table)'!M:M,"",0,1))</f>
        <v>NA</v>
      </c>
      <c r="L17" s="972" t="str">
        <f t="array" ref="L17">if(isblank(E17),"",xlookup(E17,'FL5_POR_包裝對照表 (Mapping Table)'!E:E,'FL5_POR_包裝對照表 (Mapping Table)'!AN:AN,"",0,1))</f>
        <v>G950-15935-01</v>
      </c>
      <c r="M17" s="972" t="str">
        <f t="array" ref="M17">if(isblank(E17),"",xlookup(E17,'FL5_POR_包裝對照表 (Mapping Table)'!E:E,'FL5_POR_包裝對照表 (Mapping Table)'!J:J,"",0,1))</f>
        <v>Frost</v>
      </c>
      <c r="N17" s="972" t="str">
        <f t="array" ref="N17">if(isblank(E17),"",xlookup(E17,'FL5_POR_包裝對照表 (Mapping Table)'!E:E,'FL5_POR_包裝對照表 (Mapping Table)'!K:K,"",0,1))</f>
        <v>PPL</v>
      </c>
      <c r="O17" s="976">
        <v>460.98</v>
      </c>
      <c r="P17" s="976">
        <f t="array" ref="P17">xlookup(E17,'Ike 提供_20250505'!D:D,'Ike 提供_20250505'!O:O,"",0,1)</f>
        <v>440.39</v>
      </c>
      <c r="Q17" s="977">
        <f t="array" ref="Q17">xlookup(E17,'FL5_POR_包裝對照表 (Mapping Table)'!E:E,'FL5_POR_包裝對照表 (Mapping Table)'!BI:BI,"",0,1)</f>
        <v>45773</v>
      </c>
      <c r="R17" s="977">
        <v>45765.0</v>
      </c>
      <c r="S17" s="977">
        <f t="shared" si="3"/>
        <v>45771</v>
      </c>
      <c r="T17" s="977">
        <v>45766.0</v>
      </c>
      <c r="U17" s="978"/>
      <c r="V17" s="935"/>
      <c r="W17" s="978" t="str">
        <f t="array" ref="W17">if(isblank(E17),"",xlookup(E17,'FL5_POR_包裝對照表 (Mapping Table)'!E:E,'FL5_POR_包裝對照表 (Mapping Table)'!BM:BM,"",0,1))</f>
        <v>No demand</v>
      </c>
      <c r="X17" s="935"/>
      <c r="Y17" s="935"/>
      <c r="Z17" s="935"/>
      <c r="AA17" s="935"/>
    </row>
    <row r="18" ht="15.75" customHeight="1">
      <c r="A18" s="935"/>
      <c r="B18" s="970">
        <v>11.0</v>
      </c>
      <c r="C18" s="970" t="str">
        <f>if(isblank(E18),"",'FL5_POR_包裝對照表 (Mapping Table)'!$E$4)</f>
        <v>GFL (FL5)</v>
      </c>
      <c r="D18" s="970" t="str">
        <f t="array" ref="D18">IF(ISBLANK(E18),"",xlookup(E18,'FL5_POR_包裝對照表 (Mapping Table)'!E:E,'FL5_POR_包裝對照表 (Mapping Table)'!AZ:AZ,"",0,1))</f>
        <v>MP</v>
      </c>
      <c r="E18" s="971" t="s">
        <v>481</v>
      </c>
      <c r="F18" s="167" t="str">
        <f t="array" ref="F18">if(isblank(E18),"",xlookup(E18,'FL5_POR_包裝對照表 (Mapping Table)'!E:E,'FL5_POR_包裝對照表 (Mapping Table)'!F:F,"",0,1))</f>
        <v>GSTORE, US</v>
      </c>
      <c r="G18" s="972" t="str">
        <f t="array" ref="G18">if(isblank(E18),"",xlookup(E18,'FL5_POR_包裝對照表 (Mapping Table)'!E:E,'FL5_POR_包裝對照表 (Mapping Table)'!C:C,"",0,1))</f>
        <v>Pristine</v>
      </c>
      <c r="H18" s="973" t="str">
        <f t="array" ref="H18">if(isblank(E18),"",xlookup(E18,'FL5_POR_包裝對照表 (Mapping Table)'!E:E,'FL5_POR_包裝對照表 (Mapping Table)'!D:D,"",0,1))</f>
        <v>Retail Pack</v>
      </c>
      <c r="I18" s="974" t="str">
        <f t="shared" si="2"/>
        <v>Close</v>
      </c>
      <c r="J18" s="975" t="str">
        <f t="array" ref="J18">if(isblank(E18),"",xlookup(E18,'FL5_POR_包裝對照表 (Mapping Table)'!E:E,'FL5_POR_包裝對照表 (Mapping Table)'!H:H,"",0,1))</f>
        <v>mmWave</v>
      </c>
      <c r="K18" s="972" t="str">
        <f t="array" ref="K18">if(isblank(E18),"",xlookup(E18,'FL5_POR_包裝對照表 (Mapping Table)'!E:E,'FL5_POR_包裝對照表 (Mapping Table)'!M:M,"",0,1))</f>
        <v>NA</v>
      </c>
      <c r="L18" s="972" t="str">
        <f t="array" ref="L18">if(isblank(E18),"",xlookup(E18,'FL5_POR_包裝對照表 (Mapping Table)'!E:E,'FL5_POR_包裝對照表 (Mapping Table)'!AN:AN,"",0,1))</f>
        <v>G950-15935-02</v>
      </c>
      <c r="M18" s="972" t="str">
        <f t="array" ref="M18">if(isblank(E18),"",xlookup(E18,'FL5_POR_包裝對照表 (Mapping Table)'!E:E,'FL5_POR_包裝對照表 (Mapping Table)'!J:J,"",0,1))</f>
        <v>Lemongrass</v>
      </c>
      <c r="N18" s="972" t="str">
        <f t="array" ref="N18">if(isblank(E18),"",xlookup(E18,'FL5_POR_包裝對照表 (Mapping Table)'!E:E,'FL5_POR_包裝對照表 (Mapping Table)'!K:K,"",0,1))</f>
        <v>YEL</v>
      </c>
      <c r="O18" s="976">
        <f t="array" ref="O18">xlookup(E18,'Ike 提供_20250505'!D:D,'Ike 提供_20250505'!N:N,"",0,1)</f>
        <v>426.51</v>
      </c>
      <c r="P18" s="976">
        <f t="array" ref="P18">xlookup(E18,'Ike 提供_20250505'!D:D,'Ike 提供_20250505'!O:O,"",0,1)</f>
        <v>440.49</v>
      </c>
      <c r="Q18" s="977">
        <f t="array" ref="Q18">xlookup(E18,'FL5_POR_包裝對照表 (Mapping Table)'!E:E,'FL5_POR_包裝對照表 (Mapping Table)'!BI:BI,"",0,1)</f>
        <v>45773</v>
      </c>
      <c r="R18" s="977">
        <v>45779.0</v>
      </c>
      <c r="S18" s="977">
        <f t="shared" si="3"/>
        <v>45785</v>
      </c>
      <c r="T18" s="977">
        <v>45782.0</v>
      </c>
      <c r="U18" s="978"/>
      <c r="V18" s="935"/>
      <c r="W18" s="978" t="str">
        <f t="array" ref="W18">if(isblank(E18),"",xlookup(E18,'FL5_POR_包裝對照表 (Mapping Table)'!E:E,'FL5_POR_包裝對照表 (Mapping Table)'!BM:BM,"",0,1))</f>
        <v>No demand</v>
      </c>
      <c r="X18" s="935"/>
      <c r="Y18" s="935"/>
      <c r="Z18" s="935"/>
      <c r="AA18" s="935"/>
    </row>
    <row r="19" ht="15.75" customHeight="1">
      <c r="A19" s="935"/>
      <c r="B19" s="970">
        <v>12.0</v>
      </c>
      <c r="C19" s="970" t="str">
        <f>if(isblank(E19),"",'FL5_POR_包裝對照表 (Mapping Table)'!$E$4)</f>
        <v>GFL (FL5)</v>
      </c>
      <c r="D19" s="970" t="str">
        <f t="array" ref="D19">IF(ISBLANK(E19),"",xlookup(E19,'FL5_POR_包裝對照表 (Mapping Table)'!E:E,'FL5_POR_包裝對照表 (Mapping Table)'!AZ:AZ,"",0,1))</f>
        <v>MP</v>
      </c>
      <c r="E19" s="971" t="s">
        <v>486</v>
      </c>
      <c r="F19" s="167" t="str">
        <f t="array" ref="F19">if(isblank(E19),"",xlookup(E19,'FL5_POR_包裝對照表 (Mapping Table)'!E:E,'FL5_POR_包裝對照表 (Mapping Table)'!F:F,"",0,1))</f>
        <v>GSTORE, US</v>
      </c>
      <c r="G19" s="972" t="str">
        <f t="array" ref="G19">if(isblank(E19),"",xlookup(E19,'FL5_POR_包裝對照表 (Mapping Table)'!E:E,'FL5_POR_包裝對照表 (Mapping Table)'!C:C,"",0,1))</f>
        <v>Pristine</v>
      </c>
      <c r="H19" s="973" t="str">
        <f t="array" ref="H19">if(isblank(E19),"",xlookup(E19,'FL5_POR_包裝對照表 (Mapping Table)'!E:E,'FL5_POR_包裝對照表 (Mapping Table)'!D:D,"",0,1))</f>
        <v>Retail Pack</v>
      </c>
      <c r="I19" s="974" t="str">
        <f t="shared" si="2"/>
        <v>Close</v>
      </c>
      <c r="J19" s="975" t="str">
        <f t="array" ref="J19">if(isblank(E19),"",xlookup(E19,'FL5_POR_包裝對照表 (Mapping Table)'!E:E,'FL5_POR_包裝對照表 (Mapping Table)'!H:H,"",0,1))</f>
        <v>mmWave</v>
      </c>
      <c r="K19" s="972" t="str">
        <f t="array" ref="K19">if(isblank(E19),"",xlookup(E19,'FL5_POR_包裝對照表 (Mapping Table)'!E:E,'FL5_POR_包裝對照表 (Mapping Table)'!M:M,"",0,1))</f>
        <v>NA</v>
      </c>
      <c r="L19" s="972" t="str">
        <f t="array" ref="L19">if(isblank(E19),"",xlookup(E19,'FL5_POR_包裝對照表 (Mapping Table)'!E:E,'FL5_POR_包裝對照表 (Mapping Table)'!AN:AN,"",0,1))</f>
        <v>G950-15935-03</v>
      </c>
      <c r="M19" s="972" t="str">
        <f t="array" ref="M19">if(isblank(E19),"",xlookup(E19,'FL5_POR_包裝對照表 (Mapping Table)'!E:E,'FL5_POR_包裝對照表 (Mapping Table)'!J:J,"",0,1))</f>
        <v>Indigo</v>
      </c>
      <c r="N19" s="972" t="str">
        <f t="array" ref="N19">if(isblank(E19),"",xlookup(E19,'FL5_POR_包裝對照表 (Mapping Table)'!E:E,'FL5_POR_包裝對照表 (Mapping Table)'!K:K,"",0,1))</f>
        <v>BUE</v>
      </c>
      <c r="O19" s="976">
        <f t="array" ref="O19">xlookup(E19,'Ike 提供_20250505'!D:D,'Ike 提供_20250505'!N:N,"",0,1)</f>
        <v>426.51</v>
      </c>
      <c r="P19" s="976">
        <f t="array" ref="P19">xlookup(E19,'Ike 提供_20250505'!D:D,'Ike 提供_20250505'!O:O,"",0,1)</f>
        <v>440.49</v>
      </c>
      <c r="Q19" s="977">
        <f t="array" ref="Q19">xlookup(E19,'FL5_POR_包裝對照表 (Mapping Table)'!E:E,'FL5_POR_包裝對照表 (Mapping Table)'!BI:BI,"",0,1)</f>
        <v>45773</v>
      </c>
      <c r="R19" s="977">
        <v>45779.0</v>
      </c>
      <c r="S19" s="977">
        <f t="shared" si="3"/>
        <v>45785</v>
      </c>
      <c r="T19" s="977">
        <v>45782.0</v>
      </c>
      <c r="U19" s="978"/>
      <c r="V19" s="935"/>
      <c r="W19" s="978" t="str">
        <f t="array" ref="W19">if(isblank(E19),"",xlookup(E19,'FL5_POR_包裝對照表 (Mapping Table)'!E:E,'FL5_POR_包裝對照表 (Mapping Table)'!BM:BM,"",0,1))</f>
        <v>No demand</v>
      </c>
      <c r="X19" s="935"/>
      <c r="Y19" s="935"/>
      <c r="Z19" s="935"/>
      <c r="AA19" s="935"/>
    </row>
    <row r="20" ht="15.75" hidden="1" customHeight="1">
      <c r="A20" s="935"/>
      <c r="B20" s="970">
        <v>13.0</v>
      </c>
      <c r="C20" s="970" t="str">
        <f>if(isblank(E20),"",'FL5_POR_包裝對照表 (Mapping Table)'!$E$4)</f>
        <v>GFL (FL5)</v>
      </c>
      <c r="D20" s="970" t="str">
        <f t="array" ref="D20">IF(ISBLANK(E20),"",xlookup(E20,'FL5_POR_包裝對照表 (Mapping Table)'!E:E,'FL5_POR_包裝對照表 (Mapping Table)'!AZ:AZ,"",0,1))</f>
        <v>MP</v>
      </c>
      <c r="E20" s="971" t="s">
        <v>491</v>
      </c>
      <c r="F20" s="167" t="str">
        <f t="array" ref="F20">if(isblank(E20),"",xlookup(E20,'FL5_POR_包裝對照表 (Mapping Table)'!E:E,'FL5_POR_包裝對照表 (Mapping Table)'!F:F,"",0,1))</f>
        <v>CA/TW/SG/MY/AU/MX</v>
      </c>
      <c r="G20" s="972" t="str">
        <f t="array" ref="G20">if(isblank(E20),"",xlookup(E20,'FL5_POR_包裝對照表 (Mapping Table)'!E:E,'FL5_POR_包裝對照表 (Mapping Table)'!C:C,"",0,1))</f>
        <v>Pristine</v>
      </c>
      <c r="H20" s="973" t="str">
        <f t="array" ref="H20">if(isblank(E20),"",xlookup(E20,'FL5_POR_包裝對照表 (Mapping Table)'!E:E,'FL5_POR_包裝對照表 (Mapping Table)'!D:D,"",0,1))</f>
        <v>Retail Pack</v>
      </c>
      <c r="I20" s="974" t="str">
        <f t="shared" si="2"/>
        <v>Close</v>
      </c>
      <c r="J20" s="975" t="str">
        <f t="array" ref="J20">if(isblank(E20),"",xlookup(E20,'FL5_POR_包裝對照表 (Mapping Table)'!E:E,'FL5_POR_包裝對照表 (Mapping Table)'!H:H,"",0,1))</f>
        <v>Sub6</v>
      </c>
      <c r="K20" s="972" t="str">
        <f t="array" ref="K20">if(isblank(E20),"",xlookup(E20,'FL5_POR_包裝對照表 (Mapping Table)'!E:E,'FL5_POR_包裝對照表 (Mapping Table)'!M:M,"",0,1))</f>
        <v>ROW</v>
      </c>
      <c r="L20" s="972" t="str">
        <f t="array" ref="L20">if(isblank(E20),"",xlookup(E20,'FL5_POR_包裝對照表 (Mapping Table)'!E:E,'FL5_POR_包裝對照表 (Mapping Table)'!AN:AN,"",0,1))</f>
        <v>G950-15935-10</v>
      </c>
      <c r="M20" s="972" t="str">
        <f t="array" ref="M20">if(isblank(E20),"",xlookup(E20,'FL5_POR_包裝對照表 (Mapping Table)'!E:E,'FL5_POR_包裝對照表 (Mapping Table)'!J:J,"",0,1))</f>
        <v>Obsidian</v>
      </c>
      <c r="N20" s="972" t="str">
        <f t="array" ref="N20">if(isblank(E20),"",xlookup(E20,'FL5_POR_包裝對照表 (Mapping Table)'!E:E,'FL5_POR_包裝對照表 (Mapping Table)'!K:K,"",0,1))</f>
        <v>BLK</v>
      </c>
      <c r="O20" s="976">
        <v>427.23</v>
      </c>
      <c r="P20" s="976">
        <f t="array" ref="P20">xlookup(E20,'Ike 提供_20250505'!D:D,'Ike 提供_20250505'!O:O,"",0,1)</f>
        <v>422.71</v>
      </c>
      <c r="Q20" s="977">
        <f t="array" ref="Q20">xlookup(E20,'FL5_POR_包裝對照表 (Mapping Table)'!E:E,'FL5_POR_包裝對照表 (Mapping Table)'!BI:BI,"",0,1)</f>
        <v>45773</v>
      </c>
      <c r="R20" s="977">
        <v>45765.0</v>
      </c>
      <c r="S20" s="977">
        <f t="shared" si="3"/>
        <v>45771</v>
      </c>
      <c r="T20" s="977">
        <v>45767.0</v>
      </c>
      <c r="U20" s="978"/>
      <c r="V20" s="935"/>
      <c r="W20" s="978" t="str">
        <f t="array" ref="W20">if(isblank(E20),"",xlookup(E20,'FL5_POR_包裝對照表 (Mapping Table)'!E:E,'FL5_POR_包裝對照表 (Mapping Table)'!BM:BM,"",0,1))</f>
        <v>No demand</v>
      </c>
      <c r="X20" s="935"/>
      <c r="Y20" s="935"/>
      <c r="Z20" s="935"/>
      <c r="AA20" s="935"/>
    </row>
    <row r="21" ht="15.75" hidden="1" customHeight="1">
      <c r="A21" s="935"/>
      <c r="B21" s="970">
        <v>14.0</v>
      </c>
      <c r="C21" s="970" t="str">
        <f>if(isblank(E21),"",'FL5_POR_包裝對照表 (Mapping Table)'!$E$4)</f>
        <v>GFL (FL5)</v>
      </c>
      <c r="D21" s="970" t="str">
        <f t="array" ref="D21">IF(ISBLANK(E21),"",xlookup(E21,'FL5_POR_包裝對照表 (Mapping Table)'!E:E,'FL5_POR_包裝對照表 (Mapping Table)'!AZ:AZ,"",0,1))</f>
        <v>MP</v>
      </c>
      <c r="E21" s="971" t="s">
        <v>505</v>
      </c>
      <c r="F21" s="167" t="str">
        <f t="array" ref="F21">if(isblank(E21),"",xlookup(E21,'FL5_POR_包裝對照表 (Mapping Table)'!E:E,'FL5_POR_包裝對照表 (Mapping Table)'!F:F,"",0,1))</f>
        <v>CA/TW/SG/MY/AU/MX</v>
      </c>
      <c r="G21" s="972" t="str">
        <f t="array" ref="G21">if(isblank(E21),"",xlookup(E21,'FL5_POR_包裝對照表 (Mapping Table)'!E:E,'FL5_POR_包裝對照表 (Mapping Table)'!C:C,"",0,1))</f>
        <v>Pristine</v>
      </c>
      <c r="H21" s="973" t="str">
        <f t="array" ref="H21">if(isblank(E21),"",xlookup(E21,'FL5_POR_包裝對照表 (Mapping Table)'!E:E,'FL5_POR_包裝對照表 (Mapping Table)'!D:D,"",0,1))</f>
        <v>Retail Pack</v>
      </c>
      <c r="I21" s="974" t="str">
        <f t="shared" si="2"/>
        <v>Close</v>
      </c>
      <c r="J21" s="975" t="str">
        <f t="array" ref="J21">if(isblank(E21),"",xlookup(E21,'FL5_POR_包裝對照表 (Mapping Table)'!E:E,'FL5_POR_包裝對照表 (Mapping Table)'!H:H,"",0,1))</f>
        <v>Sub6</v>
      </c>
      <c r="K21" s="972" t="str">
        <f t="array" ref="K21">if(isblank(E21),"",xlookup(E21,'FL5_POR_包裝對照表 (Mapping Table)'!E:E,'FL5_POR_包裝對照表 (Mapping Table)'!M:M,"",0,1))</f>
        <v>ROW</v>
      </c>
      <c r="L21" s="972" t="str">
        <f t="array" ref="L21">if(isblank(E21),"",xlookup(E21,'FL5_POR_包裝對照表 (Mapping Table)'!E:E,'FL5_POR_包裝對照表 (Mapping Table)'!AN:AN,"",0,1))</f>
        <v>G950-15935-11</v>
      </c>
      <c r="M21" s="972" t="str">
        <f t="array" ref="M21">if(isblank(E21),"",xlookup(E21,'FL5_POR_包裝對照表 (Mapping Table)'!E:E,'FL5_POR_包裝對照表 (Mapping Table)'!J:J,"",0,1))</f>
        <v>Frost</v>
      </c>
      <c r="N21" s="972" t="str">
        <f t="array" ref="N21">if(isblank(E21),"",xlookup(E21,'FL5_POR_包裝對照表 (Mapping Table)'!E:E,'FL5_POR_包裝對照表 (Mapping Table)'!K:K,"",0,1))</f>
        <v>PPL</v>
      </c>
      <c r="O21" s="976">
        <v>441.37</v>
      </c>
      <c r="P21" s="976">
        <f t="array" ref="P21">xlookup(E21,'Ike 提供_20250505'!D:D,'Ike 提供_20250505'!O:O,"",0,1)</f>
        <v>423.01</v>
      </c>
      <c r="Q21" s="977">
        <f t="array" ref="Q21">xlookup(E21,'FL5_POR_包裝對照表 (Mapping Table)'!E:E,'FL5_POR_包裝對照表 (Mapping Table)'!BI:BI,"",0,1)</f>
        <v>45773</v>
      </c>
      <c r="R21" s="977">
        <v>45765.0</v>
      </c>
      <c r="S21" s="977">
        <f t="shared" si="3"/>
        <v>45771</v>
      </c>
      <c r="T21" s="977">
        <v>45768.0</v>
      </c>
      <c r="U21" s="978"/>
      <c r="V21" s="935"/>
      <c r="W21" s="978" t="str">
        <f t="array" ref="W21">if(isblank(E21),"",xlookup(E21,'FL5_POR_包裝對照表 (Mapping Table)'!E:E,'FL5_POR_包裝對照表 (Mapping Table)'!BM:BM,"",0,1))</f>
        <v>No demand</v>
      </c>
      <c r="X21" s="935"/>
      <c r="Y21" s="935"/>
      <c r="Z21" s="935"/>
      <c r="AA21" s="935"/>
    </row>
    <row r="22" ht="15.75" hidden="1" customHeight="1">
      <c r="A22" s="935"/>
      <c r="B22" s="970">
        <v>15.0</v>
      </c>
      <c r="C22" s="970" t="str">
        <f>if(isblank(E22),"",'FL5_POR_包裝對照表 (Mapping Table)'!$E$4)</f>
        <v>GFL (FL5)</v>
      </c>
      <c r="D22" s="970" t="str">
        <f t="array" ref="D22">IF(ISBLANK(E22),"",xlookup(E22,'FL5_POR_包裝對照表 (Mapping Table)'!E:E,'FL5_POR_包裝對照表 (Mapping Table)'!AZ:AZ,"",0,1))</f>
        <v>MP</v>
      </c>
      <c r="E22" s="971" t="s">
        <v>512</v>
      </c>
      <c r="F22" s="167" t="str">
        <f t="array" ref="F22">if(isblank(E22),"",xlookup(E22,'FL5_POR_包裝對照表 (Mapping Table)'!E:E,'FL5_POR_包裝對照表 (Mapping Table)'!F:F,"",0,1))</f>
        <v>CA/TW/SG/MY/AU/MX</v>
      </c>
      <c r="G22" s="972" t="str">
        <f t="array" ref="G22">if(isblank(E22),"",xlookup(E22,'FL5_POR_包裝對照表 (Mapping Table)'!E:E,'FL5_POR_包裝對照表 (Mapping Table)'!C:C,"",0,1))</f>
        <v>Pristine</v>
      </c>
      <c r="H22" s="973" t="str">
        <f t="array" ref="H22">if(isblank(E22),"",xlookup(E22,'FL5_POR_包裝對照表 (Mapping Table)'!E:E,'FL5_POR_包裝對照表 (Mapping Table)'!D:D,"",0,1))</f>
        <v>Retail Pack</v>
      </c>
      <c r="I22" s="974" t="str">
        <f t="shared" si="2"/>
        <v>Close</v>
      </c>
      <c r="J22" s="975" t="str">
        <f t="array" ref="J22">if(isblank(E22),"",xlookup(E22,'FL5_POR_包裝對照表 (Mapping Table)'!E:E,'FL5_POR_包裝對照表 (Mapping Table)'!H:H,"",0,1))</f>
        <v>Sub6</v>
      </c>
      <c r="K22" s="972" t="str">
        <f t="array" ref="K22">if(isblank(E22),"",xlookup(E22,'FL5_POR_包裝對照表 (Mapping Table)'!E:E,'FL5_POR_包裝對照表 (Mapping Table)'!M:M,"",0,1))</f>
        <v>ROW</v>
      </c>
      <c r="L22" s="972" t="str">
        <f t="array" ref="L22">if(isblank(E22),"",xlookup(E22,'FL5_POR_包裝對照表 (Mapping Table)'!E:E,'FL5_POR_包裝對照表 (Mapping Table)'!AN:AN,"",0,1))</f>
        <v>G950-15935-12</v>
      </c>
      <c r="M22" s="972" t="str">
        <f t="array" ref="M22">if(isblank(E22),"",xlookup(E22,'FL5_POR_包裝對照表 (Mapping Table)'!E:E,'FL5_POR_包裝對照表 (Mapping Table)'!J:J,"",0,1))</f>
        <v>Lemongrass</v>
      </c>
      <c r="N22" s="972" t="str">
        <f t="array" ref="N22">if(isblank(E22),"",xlookup(E22,'FL5_POR_包裝對照表 (Mapping Table)'!E:E,'FL5_POR_包裝對照表 (Mapping Table)'!K:K,"",0,1))</f>
        <v>YEL</v>
      </c>
      <c r="O22" s="976">
        <v>445.06</v>
      </c>
      <c r="P22" s="976">
        <f t="array" ref="P22">xlookup(E22,'Ike 提供_20250505'!D:D,'Ike 提供_20250505'!O:O,"",0,1)</f>
        <v>423.11</v>
      </c>
      <c r="Q22" s="977">
        <f t="array" ref="Q22">xlookup(E22,'FL5_POR_包裝對照表 (Mapping Table)'!E:E,'FL5_POR_包裝對照表 (Mapping Table)'!BI:BI,"",0,1)</f>
        <v>45773</v>
      </c>
      <c r="R22" s="977">
        <v>45765.0</v>
      </c>
      <c r="S22" s="977">
        <f t="shared" si="3"/>
        <v>45771</v>
      </c>
      <c r="T22" s="977">
        <v>45769.0</v>
      </c>
      <c r="U22" s="978"/>
      <c r="V22" s="935"/>
      <c r="W22" s="978" t="str">
        <f t="array" ref="W22">if(isblank(E22),"",xlookup(E22,'FL5_POR_包裝對照表 (Mapping Table)'!E:E,'FL5_POR_包裝對照表 (Mapping Table)'!BM:BM,"",0,1))</f>
        <v>No demand</v>
      </c>
      <c r="X22" s="935"/>
      <c r="Y22" s="935"/>
      <c r="Z22" s="935"/>
      <c r="AA22" s="935"/>
    </row>
    <row r="23" ht="15.75" hidden="1" customHeight="1">
      <c r="A23" s="935"/>
      <c r="B23" s="970">
        <v>16.0</v>
      </c>
      <c r="C23" s="970" t="str">
        <f>if(isblank(E23),"",'FL5_POR_包裝對照表 (Mapping Table)'!$E$4)</f>
        <v>GFL (FL5)</v>
      </c>
      <c r="D23" s="970" t="str">
        <f t="array" ref="D23">IF(ISBLANK(E23),"",xlookup(E23,'FL5_POR_包裝對照表 (Mapping Table)'!E:E,'FL5_POR_包裝對照表 (Mapping Table)'!AZ:AZ,"",0,1))</f>
        <v>MP</v>
      </c>
      <c r="E23" s="971" t="s">
        <v>519</v>
      </c>
      <c r="F23" s="167" t="str">
        <f t="array" ref="F23">if(isblank(E23),"",xlookup(E23,'FL5_POR_包裝對照表 (Mapping Table)'!E:E,'FL5_POR_包裝對照表 (Mapping Table)'!F:F,"",0,1))</f>
        <v>CA/TW/SG/MY/AU/MX</v>
      </c>
      <c r="G23" s="972" t="str">
        <f t="array" ref="G23">if(isblank(E23),"",xlookup(E23,'FL5_POR_包裝對照表 (Mapping Table)'!E:E,'FL5_POR_包裝對照表 (Mapping Table)'!C:C,"",0,1))</f>
        <v>Pristine</v>
      </c>
      <c r="H23" s="973" t="str">
        <f t="array" ref="H23">if(isblank(E23),"",xlookup(E23,'FL5_POR_包裝對照表 (Mapping Table)'!E:E,'FL5_POR_包裝對照表 (Mapping Table)'!D:D,"",0,1))</f>
        <v>Retail Pack</v>
      </c>
      <c r="I23" s="974" t="str">
        <f t="shared" si="2"/>
        <v>Close</v>
      </c>
      <c r="J23" s="975" t="str">
        <f t="array" ref="J23">if(isblank(E23),"",xlookup(E23,'FL5_POR_包裝對照表 (Mapping Table)'!E:E,'FL5_POR_包裝對照表 (Mapping Table)'!H:H,"",0,1))</f>
        <v>Sub6</v>
      </c>
      <c r="K23" s="972" t="str">
        <f t="array" ref="K23">if(isblank(E23),"",xlookup(E23,'FL5_POR_包裝對照表 (Mapping Table)'!E:E,'FL5_POR_包裝對照表 (Mapping Table)'!M:M,"",0,1))</f>
        <v>ROW</v>
      </c>
      <c r="L23" s="972" t="str">
        <f t="array" ref="L23">if(isblank(E23),"",xlookup(E23,'FL5_POR_包裝對照表 (Mapping Table)'!E:E,'FL5_POR_包裝對照表 (Mapping Table)'!AN:AN,"",0,1))</f>
        <v>G950-15935-13</v>
      </c>
      <c r="M23" s="972" t="str">
        <f t="array" ref="M23">if(isblank(E23),"",xlookup(E23,'FL5_POR_包裝對照表 (Mapping Table)'!E:E,'FL5_POR_包裝對照表 (Mapping Table)'!J:J,"",0,1))</f>
        <v>Indigo</v>
      </c>
      <c r="N23" s="972" t="str">
        <f t="array" ref="N23">if(isblank(E23),"",xlookup(E23,'FL5_POR_包裝對照表 (Mapping Table)'!E:E,'FL5_POR_包裝對照表 (Mapping Table)'!K:K,"",0,1))</f>
        <v>BUE</v>
      </c>
      <c r="O23" s="976">
        <v>441.14</v>
      </c>
      <c r="P23" s="976">
        <f t="array" ref="P23">xlookup(E23,'Ike 提供_20250505'!D:D,'Ike 提供_20250505'!O:O,"",0,1)</f>
        <v>423.11</v>
      </c>
      <c r="Q23" s="977">
        <f t="array" ref="Q23">xlookup(E23,'FL5_POR_包裝對照表 (Mapping Table)'!E:E,'FL5_POR_包裝對照表 (Mapping Table)'!BI:BI,"",0,1)</f>
        <v>45773</v>
      </c>
      <c r="R23" s="977">
        <v>45765.0</v>
      </c>
      <c r="S23" s="977">
        <f t="shared" si="3"/>
        <v>45771</v>
      </c>
      <c r="T23" s="977">
        <v>45770.0</v>
      </c>
      <c r="U23" s="978"/>
      <c r="V23" s="935"/>
      <c r="W23" s="978" t="str">
        <f t="array" ref="W23">if(isblank(E23),"",xlookup(E23,'FL5_POR_包裝對照表 (Mapping Table)'!E:E,'FL5_POR_包裝對照表 (Mapping Table)'!BM:BM,"",0,1))</f>
        <v>No demand</v>
      </c>
      <c r="X23" s="935"/>
      <c r="Y23" s="935"/>
      <c r="Z23" s="935"/>
      <c r="AA23" s="935"/>
    </row>
    <row r="24" ht="15.75" customHeight="1">
      <c r="A24" s="935"/>
      <c r="B24" s="970">
        <v>17.0</v>
      </c>
      <c r="C24" s="970" t="str">
        <f>if(isblank(E24),"",'FL5_POR_包裝對照表 (Mapping Table)'!$E$4)</f>
        <v>GFL (FL5)</v>
      </c>
      <c r="D24" s="970" t="str">
        <f t="array" ref="D24">IF(ISBLANK(E24),"",xlookup(E24,'FL5_POR_包裝對照表 (Mapping Table)'!E:E,'FL5_POR_包裝對照表 (Mapping Table)'!AZ:AZ,"",0,1))</f>
        <v>MP</v>
      </c>
      <c r="E24" s="971" t="s">
        <v>526</v>
      </c>
      <c r="F24" s="167" t="str">
        <f t="array" ref="F24">if(isblank(E24),"",xlookup(E24,'FL5_POR_包裝對照表 (Mapping Table)'!E:E,'FL5_POR_包裝對照表 (Mapping Table)'!F:F,"",0,1))</f>
        <v>UK/EU</v>
      </c>
      <c r="G24" s="972" t="str">
        <f t="array" ref="G24">if(isblank(E24),"",xlookup(E24,'FL5_POR_包裝對照表 (Mapping Table)'!E:E,'FL5_POR_包裝對照表 (Mapping Table)'!C:C,"",0,1))</f>
        <v>Pristine</v>
      </c>
      <c r="H24" s="973" t="str">
        <f t="array" ref="H24">if(isblank(E24),"",xlookup(E24,'FL5_POR_包裝對照表 (Mapping Table)'!E:E,'FL5_POR_包裝對照表 (Mapping Table)'!D:D,"",0,1))</f>
        <v>Retail Pack</v>
      </c>
      <c r="I24" s="974" t="str">
        <f t="shared" si="2"/>
        <v>Close</v>
      </c>
      <c r="J24" s="975" t="str">
        <f t="array" ref="J24">if(isblank(E24),"",xlookup(E24,'FL5_POR_包裝對照表 (Mapping Table)'!E:E,'FL5_POR_包裝對照表 (Mapping Table)'!H:H,"",0,1))</f>
        <v>Sub6</v>
      </c>
      <c r="K24" s="972" t="str">
        <f t="array" ref="K24">if(isblank(E24),"",xlookup(E24,'FL5_POR_包裝對照表 (Mapping Table)'!E:E,'FL5_POR_包裝對照表 (Mapping Table)'!M:M,"",0,1))</f>
        <v>ROW</v>
      </c>
      <c r="L24" s="972" t="str">
        <f t="array" ref="L24">if(isblank(E24),"",xlookup(E24,'FL5_POR_包裝對照表 (Mapping Table)'!E:E,'FL5_POR_包裝對照表 (Mapping Table)'!AN:AN,"",0,1))</f>
        <v>G950-15935-10</v>
      </c>
      <c r="M24" s="972" t="str">
        <f t="array" ref="M24">if(isblank(E24),"",xlookup(E24,'FL5_POR_包裝對照表 (Mapping Table)'!E:E,'FL5_POR_包裝對照表 (Mapping Table)'!J:J,"",0,1))</f>
        <v>Obsidian</v>
      </c>
      <c r="N24" s="972" t="str">
        <f t="array" ref="N24">if(isblank(E24),"",xlookup(E24,'FL5_POR_包裝對照表 (Mapping Table)'!E:E,'FL5_POR_包裝對照表 (Mapping Table)'!K:K,"",0,1))</f>
        <v>BLK</v>
      </c>
      <c r="O24" s="976">
        <f t="array" ref="O24">xlookup(E24,'Ike 提供_20250505'!D:D,'Ike 提供_20250505'!N:N,"",0,1)</f>
        <v>430.2</v>
      </c>
      <c r="P24" s="976">
        <f t="array" ref="P24">xlookup(E24,'Ike 提供_20250505'!D:D,'Ike 提供_20250505'!O:O,"",0,1)</f>
        <v>423.22</v>
      </c>
      <c r="Q24" s="977">
        <f t="array" ref="Q24">xlookup(E24,'FL5_POR_包裝對照表 (Mapping Table)'!E:E,'FL5_POR_包裝對照表 (Mapping Table)'!BI:BI,"",0,1)</f>
        <v>45773</v>
      </c>
      <c r="R24" s="977">
        <v>45779.0</v>
      </c>
      <c r="S24" s="977">
        <f t="shared" si="3"/>
        <v>45785</v>
      </c>
      <c r="T24" s="977">
        <v>45782.0</v>
      </c>
      <c r="U24" s="978"/>
      <c r="V24" s="935"/>
      <c r="W24" s="978" t="str">
        <f t="array" ref="W24">if(isblank(E24),"",xlookup(E24,'FL5_POR_包裝對照表 (Mapping Table)'!E:E,'FL5_POR_包裝對照表 (Mapping Table)'!BM:BM,"",0,1))</f>
        <v>No demand</v>
      </c>
      <c r="X24" s="935"/>
      <c r="Y24" s="935"/>
      <c r="Z24" s="935"/>
      <c r="AA24" s="935"/>
    </row>
    <row r="25" ht="15.75" customHeight="1">
      <c r="A25" s="935"/>
      <c r="B25" s="970">
        <v>18.0</v>
      </c>
      <c r="C25" s="970" t="str">
        <f>if(isblank(E25),"",'FL5_POR_包裝對照表 (Mapping Table)'!$E$4)</f>
        <v>GFL (FL5)</v>
      </c>
      <c r="D25" s="970" t="str">
        <f t="array" ref="D25">IF(ISBLANK(E25),"",xlookup(E25,'FL5_POR_包裝對照表 (Mapping Table)'!E:E,'FL5_POR_包裝對照表 (Mapping Table)'!AZ:AZ,"",0,1))</f>
        <v>MP</v>
      </c>
      <c r="E25" s="971" t="s">
        <v>535</v>
      </c>
      <c r="F25" s="167" t="str">
        <f t="array" ref="F25">if(isblank(E25),"",xlookup(E25,'FL5_POR_包裝對照表 (Mapping Table)'!E:E,'FL5_POR_包裝對照表 (Mapping Table)'!F:F,"",0,1))</f>
        <v>UK/EU</v>
      </c>
      <c r="G25" s="972" t="str">
        <f t="array" ref="G25">if(isblank(E25),"",xlookup(E25,'FL5_POR_包裝對照表 (Mapping Table)'!E:E,'FL5_POR_包裝對照表 (Mapping Table)'!C:C,"",0,1))</f>
        <v>Pristine</v>
      </c>
      <c r="H25" s="973" t="str">
        <f t="array" ref="H25">if(isblank(E25),"",xlookup(E25,'FL5_POR_包裝對照表 (Mapping Table)'!E:E,'FL5_POR_包裝對照表 (Mapping Table)'!D:D,"",0,1))</f>
        <v>Retail Pack</v>
      </c>
      <c r="I25" s="974" t="str">
        <f t="shared" si="2"/>
        <v>Close</v>
      </c>
      <c r="J25" s="975" t="str">
        <f t="array" ref="J25">if(isblank(E25),"",xlookup(E25,'FL5_POR_包裝對照表 (Mapping Table)'!E:E,'FL5_POR_包裝對照表 (Mapping Table)'!H:H,"",0,1))</f>
        <v>Sub6</v>
      </c>
      <c r="K25" s="972" t="str">
        <f t="array" ref="K25">if(isblank(E25),"",xlookup(E25,'FL5_POR_包裝對照表 (Mapping Table)'!E:E,'FL5_POR_包裝對照表 (Mapping Table)'!M:M,"",0,1))</f>
        <v>ROW</v>
      </c>
      <c r="L25" s="972" t="str">
        <f t="array" ref="L25">if(isblank(E25),"",xlookup(E25,'FL5_POR_包裝對照表 (Mapping Table)'!E:E,'FL5_POR_包裝對照表 (Mapping Table)'!AN:AN,"",0,1))</f>
        <v>G950-15935-11</v>
      </c>
      <c r="M25" s="972" t="str">
        <f t="array" ref="M25">if(isblank(E25),"",xlookup(E25,'FL5_POR_包裝對照表 (Mapping Table)'!E:E,'FL5_POR_包裝對照表 (Mapping Table)'!J:J,"",0,1))</f>
        <v>Frost</v>
      </c>
      <c r="N25" s="972" t="str">
        <f t="array" ref="N25">if(isblank(E25),"",xlookup(E25,'FL5_POR_包裝對照表 (Mapping Table)'!E:E,'FL5_POR_包裝對照表 (Mapping Table)'!K:K,"",0,1))</f>
        <v>PPL</v>
      </c>
      <c r="O25" s="976">
        <f t="array" ref="O25">xlookup(E25,'Ike 提供_20250505'!D:D,'Ike 提供_20250505'!N:N,"",0,1)</f>
        <v>409.82</v>
      </c>
      <c r="P25" s="976">
        <f t="array" ref="P25">xlookup(E25,'Ike 提供_20250505'!D:D,'Ike 提供_20250505'!O:O,"",0,1)</f>
        <v>423.52</v>
      </c>
      <c r="Q25" s="977">
        <f t="array" ref="Q25">xlookup(E25,'FL5_POR_包裝對照表 (Mapping Table)'!E:E,'FL5_POR_包裝對照表 (Mapping Table)'!BI:BI,"",0,1)</f>
        <v>45773</v>
      </c>
      <c r="R25" s="977">
        <v>45779.0</v>
      </c>
      <c r="S25" s="977">
        <f t="shared" si="3"/>
        <v>45785</v>
      </c>
      <c r="T25" s="977">
        <v>45782.0</v>
      </c>
      <c r="U25" s="978"/>
      <c r="V25" s="935"/>
      <c r="W25" s="978" t="str">
        <f t="array" ref="W25">if(isblank(E25),"",xlookup(E25,'FL5_POR_包裝對照表 (Mapping Table)'!E:E,'FL5_POR_包裝對照表 (Mapping Table)'!BM:BM,"",0,1))</f>
        <v>No demand</v>
      </c>
      <c r="X25" s="935"/>
      <c r="Y25" s="935"/>
      <c r="Z25" s="935"/>
      <c r="AA25" s="935"/>
    </row>
    <row r="26" ht="15.75" hidden="1" customHeight="1">
      <c r="A26" s="935"/>
      <c r="B26" s="970">
        <v>19.0</v>
      </c>
      <c r="C26" s="970" t="str">
        <f>if(isblank(E26),"",'FL5_POR_包裝對照表 (Mapping Table)'!$E$4)</f>
        <v>GFL (FL5)</v>
      </c>
      <c r="D26" s="970" t="str">
        <f t="array" ref="D26">IF(ISBLANK(E26),"",xlookup(E26,'FL5_POR_包裝對照表 (Mapping Table)'!E:E,'FL5_POR_包裝對照表 (Mapping Table)'!AZ:AZ,"",0,1))</f>
        <v>MP</v>
      </c>
      <c r="E26" s="971" t="s">
        <v>541</v>
      </c>
      <c r="F26" s="167" t="str">
        <f t="array" ref="F26">if(isblank(E26),"",xlookup(E26,'FL5_POR_包裝對照表 (Mapping Table)'!E:E,'FL5_POR_包裝對照表 (Mapping Table)'!F:F,"",0,1))</f>
        <v>UK/EU</v>
      </c>
      <c r="G26" s="972" t="str">
        <f t="array" ref="G26">if(isblank(E26),"",xlookup(E26,'FL5_POR_包裝對照表 (Mapping Table)'!E:E,'FL5_POR_包裝對照表 (Mapping Table)'!C:C,"",0,1))</f>
        <v>Pristine</v>
      </c>
      <c r="H26" s="973" t="str">
        <f t="array" ref="H26">if(isblank(E26),"",xlookup(E26,'FL5_POR_包裝對照表 (Mapping Table)'!E:E,'FL5_POR_包裝對照表 (Mapping Table)'!D:D,"",0,1))</f>
        <v>Retail Pack</v>
      </c>
      <c r="I26" s="974" t="str">
        <f t="shared" si="2"/>
        <v>Close</v>
      </c>
      <c r="J26" s="975" t="str">
        <f t="array" ref="J26">if(isblank(E26),"",xlookup(E26,'FL5_POR_包裝對照表 (Mapping Table)'!E:E,'FL5_POR_包裝對照表 (Mapping Table)'!H:H,"",0,1))</f>
        <v>Sub6</v>
      </c>
      <c r="K26" s="972" t="str">
        <f t="array" ref="K26">if(isblank(E26),"",xlookup(E26,'FL5_POR_包裝對照表 (Mapping Table)'!E:E,'FL5_POR_包裝對照表 (Mapping Table)'!M:M,"",0,1))</f>
        <v>ROW</v>
      </c>
      <c r="L26" s="972" t="str">
        <f t="array" ref="L26">if(isblank(E26),"",xlookup(E26,'FL5_POR_包裝對照表 (Mapping Table)'!E:E,'FL5_POR_包裝對照表 (Mapping Table)'!AN:AN,"",0,1))</f>
        <v>G950-15935-12</v>
      </c>
      <c r="M26" s="972" t="str">
        <f t="array" ref="M26">if(isblank(E26),"",xlookup(E26,'FL5_POR_包裝對照表 (Mapping Table)'!E:E,'FL5_POR_包裝對照表 (Mapping Table)'!J:J,"",0,1))</f>
        <v>Lemongrass</v>
      </c>
      <c r="N26" s="972" t="str">
        <f t="array" ref="N26">if(isblank(E26),"",xlookup(E26,'FL5_POR_包裝對照表 (Mapping Table)'!E:E,'FL5_POR_包裝對照表 (Mapping Table)'!K:K,"",0,1))</f>
        <v>YEL</v>
      </c>
      <c r="O26" s="976">
        <v>445.56</v>
      </c>
      <c r="P26" s="976">
        <f t="array" ref="P26">xlookup(E26,'Ike 提供_20250505'!D:D,'Ike 提供_20250505'!O:O,"",0,1)</f>
        <v>423.62</v>
      </c>
      <c r="Q26" s="977">
        <f t="array" ref="Q26">xlookup(E26,'FL5_POR_包裝對照表 (Mapping Table)'!E:E,'FL5_POR_包裝對照表 (Mapping Table)'!BI:BI,"",0,1)</f>
        <v>45773</v>
      </c>
      <c r="R26" s="977">
        <v>45765.0</v>
      </c>
      <c r="S26" s="977">
        <f t="shared" si="3"/>
        <v>45771</v>
      </c>
      <c r="T26" s="977">
        <v>45771.0</v>
      </c>
      <c r="U26" s="978"/>
      <c r="V26" s="935"/>
      <c r="W26" s="978" t="str">
        <f t="array" ref="W26">if(isblank(E26),"",xlookup(E26,'FL5_POR_包裝對照表 (Mapping Table)'!E:E,'FL5_POR_包裝對照表 (Mapping Table)'!BM:BM,"",0,1))</f>
        <v>No demand</v>
      </c>
      <c r="X26" s="935"/>
      <c r="Y26" s="935"/>
      <c r="Z26" s="935"/>
      <c r="AA26" s="935"/>
    </row>
    <row r="27" ht="15.75" hidden="1" customHeight="1">
      <c r="A27" s="935"/>
      <c r="B27" s="970">
        <v>20.0</v>
      </c>
      <c r="C27" s="970" t="str">
        <f>if(isblank(E27),"",'FL5_POR_包裝對照表 (Mapping Table)'!$E$4)</f>
        <v>GFL (FL5)</v>
      </c>
      <c r="D27" s="970" t="str">
        <f t="array" ref="D27">IF(ISBLANK(E27),"",xlookup(E27,'FL5_POR_包裝對照表 (Mapping Table)'!E:E,'FL5_POR_包裝對照表 (Mapping Table)'!AZ:AZ,"",0,1))</f>
        <v>MP</v>
      </c>
      <c r="E27" s="971" t="s">
        <v>547</v>
      </c>
      <c r="F27" s="167" t="str">
        <f t="array" ref="F27">if(isblank(E27),"",xlookup(E27,'FL5_POR_包裝對照表 (Mapping Table)'!E:E,'FL5_POR_包裝對照表 (Mapping Table)'!F:F,"",0,1))</f>
        <v>UK/EU</v>
      </c>
      <c r="G27" s="972" t="str">
        <f t="array" ref="G27">if(isblank(E27),"",xlookup(E27,'FL5_POR_包裝對照表 (Mapping Table)'!E:E,'FL5_POR_包裝對照表 (Mapping Table)'!C:C,"",0,1))</f>
        <v>Pristine</v>
      </c>
      <c r="H27" s="973" t="str">
        <f t="array" ref="H27">if(isblank(E27),"",xlookup(E27,'FL5_POR_包裝對照表 (Mapping Table)'!E:E,'FL5_POR_包裝對照表 (Mapping Table)'!D:D,"",0,1))</f>
        <v>Retail Pack</v>
      </c>
      <c r="I27" s="974" t="str">
        <f t="shared" si="2"/>
        <v>Close</v>
      </c>
      <c r="J27" s="975" t="str">
        <f t="array" ref="J27">if(isblank(E27),"",xlookup(E27,'FL5_POR_包裝對照表 (Mapping Table)'!E:E,'FL5_POR_包裝對照表 (Mapping Table)'!H:H,"",0,1))</f>
        <v>Sub6</v>
      </c>
      <c r="K27" s="972" t="str">
        <f t="array" ref="K27">if(isblank(E27),"",xlookup(E27,'FL5_POR_包裝對照表 (Mapping Table)'!E:E,'FL5_POR_包裝對照表 (Mapping Table)'!M:M,"",0,1))</f>
        <v>ROW</v>
      </c>
      <c r="L27" s="972" t="str">
        <f t="array" ref="L27">if(isblank(E27),"",xlookup(E27,'FL5_POR_包裝對照表 (Mapping Table)'!E:E,'FL5_POR_包裝對照表 (Mapping Table)'!AN:AN,"",0,1))</f>
        <v>G950-15935-13</v>
      </c>
      <c r="M27" s="972" t="str">
        <f t="array" ref="M27">if(isblank(E27),"",xlookup(E27,'FL5_POR_包裝對照表 (Mapping Table)'!E:E,'FL5_POR_包裝對照表 (Mapping Table)'!J:J,"",0,1))</f>
        <v>Indigo</v>
      </c>
      <c r="N27" s="972" t="str">
        <f t="array" ref="N27">if(isblank(E27),"",xlookup(E27,'FL5_POR_包裝對照表 (Mapping Table)'!E:E,'FL5_POR_包裝對照表 (Mapping Table)'!K:K,"",0,1))</f>
        <v>BUE</v>
      </c>
      <c r="O27" s="976">
        <v>441.64</v>
      </c>
      <c r="P27" s="976">
        <f t="array" ref="P27">xlookup(E27,'Ike 提供_20250505'!D:D,'Ike 提供_20250505'!O:O,"",0,1)</f>
        <v>423.62</v>
      </c>
      <c r="Q27" s="977">
        <f t="array" ref="Q27">xlookup(E27,'FL5_POR_包裝對照表 (Mapping Table)'!E:E,'FL5_POR_包裝對照表 (Mapping Table)'!BI:BI,"",0,1)</f>
        <v>45773</v>
      </c>
      <c r="R27" s="977">
        <v>45765.0</v>
      </c>
      <c r="S27" s="977">
        <f t="shared" si="3"/>
        <v>45771</v>
      </c>
      <c r="T27" s="977">
        <v>45772.0</v>
      </c>
      <c r="U27" s="978"/>
      <c r="V27" s="935"/>
      <c r="W27" s="978" t="str">
        <f t="array" ref="W27">if(isblank(E27),"",xlookup(E27,'FL5_POR_包裝對照表 (Mapping Table)'!E:E,'FL5_POR_包裝對照表 (Mapping Table)'!BM:BM,"",0,1))</f>
        <v>No demand</v>
      </c>
      <c r="X27" s="935"/>
      <c r="Y27" s="935"/>
      <c r="Z27" s="935"/>
      <c r="AA27" s="935"/>
    </row>
    <row r="28" ht="15.75" hidden="1" customHeight="1">
      <c r="A28" s="935"/>
      <c r="B28" s="970">
        <v>21.0</v>
      </c>
      <c r="C28" s="970" t="str">
        <f>if(isblank(E28),"",'FL5_POR_包裝對照表 (Mapping Table)'!$E$4)</f>
        <v>GFL (FL5)</v>
      </c>
      <c r="D28" s="970" t="str">
        <f t="array" ref="D28">IF(ISBLANK(E28),"",xlookup(E28,'FL5_POR_包裝對照表 (Mapping Table)'!E:E,'FL5_POR_包裝對照表 (Mapping Table)'!AZ:AZ,"",0,1))</f>
        <v>MP</v>
      </c>
      <c r="E28" s="980" t="s">
        <v>553</v>
      </c>
      <c r="F28" s="167" t="str">
        <f t="array" ref="F28">if(isblank(E28),"",xlookup(E28,'FL5_POR_包裝對照表 (Mapping Table)'!E:E,'FL5_POR_包裝對照表 (Mapping Table)'!F:F,"",0,1))</f>
        <v>JP</v>
      </c>
      <c r="G28" s="972" t="str">
        <f t="array" ref="G28">if(isblank(E28),"",xlookup(E28,'FL5_POR_包裝對照表 (Mapping Table)'!E:E,'FL5_POR_包裝對照表 (Mapping Table)'!C:C,"",0,1))</f>
        <v>Pristine</v>
      </c>
      <c r="H28" s="973" t="str">
        <f t="array" ref="H28">if(isblank(E28),"",xlookup(E28,'FL5_POR_包裝對照表 (Mapping Table)'!E:E,'FL5_POR_包裝對照表 (Mapping Table)'!D:D,"",0,1))</f>
        <v>Retail Pack</v>
      </c>
      <c r="I28" s="974" t="str">
        <f t="shared" si="2"/>
        <v>Close</v>
      </c>
      <c r="J28" s="975" t="str">
        <f t="array" ref="J28">if(isblank(E28),"",xlookup(E28,'FL5_POR_包裝對照表 (Mapping Table)'!E:E,'FL5_POR_包裝對照表 (Mapping Table)'!H:H,"",0,1))</f>
        <v>JPN</v>
      </c>
      <c r="K28" s="972" t="str">
        <f t="array" ref="K28">if(isblank(E28),"",xlookup(E28,'FL5_POR_包裝對照表 (Mapping Table)'!E:E,'FL5_POR_包裝對照表 (Mapping Table)'!M:M,"",0,1))</f>
        <v>JPN</v>
      </c>
      <c r="L28" s="972" t="str">
        <f t="array" ref="L28">if(isblank(E28),"",xlookup(E28,'FL5_POR_包裝對照表 (Mapping Table)'!E:E,'FL5_POR_包裝對照表 (Mapping Table)'!AN:AN,"",0,1))</f>
        <v>G950-15935-10</v>
      </c>
      <c r="M28" s="972" t="str">
        <f t="array" ref="M28">if(isblank(E28),"",xlookup(E28,'FL5_POR_包裝對照表 (Mapping Table)'!E:E,'FL5_POR_包裝對照表 (Mapping Table)'!J:J,"",0,1))</f>
        <v>Obsidian</v>
      </c>
      <c r="N28" s="972" t="str">
        <f t="array" ref="N28">if(isblank(E28),"",xlookup(E28,'FL5_POR_包裝對照表 (Mapping Table)'!E:E,'FL5_POR_包裝對照表 (Mapping Table)'!K:K,"",0,1))</f>
        <v>BLK</v>
      </c>
      <c r="O28" s="976">
        <v>427.55</v>
      </c>
      <c r="P28" s="976">
        <f t="array" ref="P28">xlookup(E28,'Ike 提供_20250505'!D:D,'Ike 提供_20250505'!O:O,"",0,1)</f>
        <v>422.69</v>
      </c>
      <c r="Q28" s="977">
        <f t="array" ref="Q28">xlookup(E28,'FL5_POR_包裝對照表 (Mapping Table)'!E:E,'FL5_POR_包裝對照表 (Mapping Table)'!BI:BI,"",0,1)</f>
        <v>45773</v>
      </c>
      <c r="R28" s="977">
        <v>45765.0</v>
      </c>
      <c r="S28" s="977">
        <f t="shared" si="3"/>
        <v>45771</v>
      </c>
      <c r="T28" s="977">
        <v>45773.0</v>
      </c>
      <c r="U28" s="978"/>
      <c r="V28" s="935"/>
      <c r="W28" s="978" t="str">
        <f t="array" ref="W28">if(isblank(E28),"",xlookup(E28,'FL5_POR_包裝對照表 (Mapping Table)'!E:E,'FL5_POR_包裝對照表 (Mapping Table)'!BM:BM,"",0,1))</f>
        <v>No demand</v>
      </c>
      <c r="X28" s="935"/>
      <c r="Y28" s="935"/>
      <c r="Z28" s="935"/>
      <c r="AA28" s="935"/>
    </row>
    <row r="29" ht="15.75" hidden="1" customHeight="1">
      <c r="A29" s="935"/>
      <c r="B29" s="970">
        <v>22.0</v>
      </c>
      <c r="C29" s="970" t="str">
        <f>if(isblank(E29),"",'FL5_POR_包裝對照表 (Mapping Table)'!$E$4)</f>
        <v>GFL (FL5)</v>
      </c>
      <c r="D29" s="970" t="str">
        <f t="array" ref="D29">IF(ISBLANK(E29),"",xlookup(E29,'FL5_POR_包裝對照表 (Mapping Table)'!E:E,'FL5_POR_包裝對照表 (Mapping Table)'!AZ:AZ,"",0,1))</f>
        <v>MP</v>
      </c>
      <c r="E29" s="971" t="s">
        <v>564</v>
      </c>
      <c r="F29" s="167" t="str">
        <f t="array" ref="F29">if(isblank(E29),"",xlookup(E29,'FL5_POR_包裝對照表 (Mapping Table)'!E:E,'FL5_POR_包裝對照表 (Mapping Table)'!F:F,"",0,1))</f>
        <v>JP</v>
      </c>
      <c r="G29" s="972" t="str">
        <f t="array" ref="G29">if(isblank(E29),"",xlookup(E29,'FL5_POR_包裝對照表 (Mapping Table)'!E:E,'FL5_POR_包裝對照表 (Mapping Table)'!C:C,"",0,1))</f>
        <v>Pristine</v>
      </c>
      <c r="H29" s="973" t="str">
        <f t="array" ref="H29">if(isblank(E29),"",xlookup(E29,'FL5_POR_包裝對照表 (Mapping Table)'!E:E,'FL5_POR_包裝對照表 (Mapping Table)'!D:D,"",0,1))</f>
        <v>Retail Pack</v>
      </c>
      <c r="I29" s="974" t="str">
        <f t="shared" si="2"/>
        <v>Close</v>
      </c>
      <c r="J29" s="975" t="str">
        <f t="array" ref="J29">if(isblank(E29),"",xlookup(E29,'FL5_POR_包裝對照表 (Mapping Table)'!E:E,'FL5_POR_包裝對照表 (Mapping Table)'!H:H,"",0,1))</f>
        <v>JPN</v>
      </c>
      <c r="K29" s="972" t="str">
        <f t="array" ref="K29">if(isblank(E29),"",xlookup(E29,'FL5_POR_包裝對照表 (Mapping Table)'!E:E,'FL5_POR_包裝對照表 (Mapping Table)'!M:M,"",0,1))</f>
        <v>JPN</v>
      </c>
      <c r="L29" s="972" t="str">
        <f t="array" ref="L29">if(isblank(E29),"",xlookup(E29,'FL5_POR_包裝對照表 (Mapping Table)'!E:E,'FL5_POR_包裝對照表 (Mapping Table)'!AN:AN,"",0,1))</f>
        <v>G950-15935-11</v>
      </c>
      <c r="M29" s="972" t="str">
        <f t="array" ref="M29">if(isblank(E29),"",xlookup(E29,'FL5_POR_包裝對照表 (Mapping Table)'!E:E,'FL5_POR_包裝對照表 (Mapping Table)'!J:J,"",0,1))</f>
        <v>Frost</v>
      </c>
      <c r="N29" s="972" t="str">
        <f t="array" ref="N29">if(isblank(E29),"",xlookup(E29,'FL5_POR_包裝對照表 (Mapping Table)'!E:E,'FL5_POR_包裝對照表 (Mapping Table)'!K:K,"",0,1))</f>
        <v>PPL</v>
      </c>
      <c r="O29" s="976">
        <v>441.69</v>
      </c>
      <c r="P29" s="976">
        <f t="array" ref="P29">xlookup(E29,'Ike 提供_20250505'!D:D,'Ike 提供_20250505'!O:O,"",0,1)</f>
        <v>422.99</v>
      </c>
      <c r="Q29" s="977">
        <f t="array" ref="Q29">xlookup(E29,'FL5_POR_包裝對照表 (Mapping Table)'!E:E,'FL5_POR_包裝對照表 (Mapping Table)'!BI:BI,"",0,1)</f>
        <v>45773</v>
      </c>
      <c r="R29" s="977">
        <v>45765.0</v>
      </c>
      <c r="S29" s="977">
        <f t="shared" si="3"/>
        <v>45771</v>
      </c>
      <c r="T29" s="977">
        <v>45774.0</v>
      </c>
      <c r="U29" s="978"/>
      <c r="V29" s="935"/>
      <c r="W29" s="978" t="str">
        <f t="array" ref="W29">if(isblank(E29),"",xlookup(E29,'FL5_POR_包裝對照表 (Mapping Table)'!E:E,'FL5_POR_包裝對照表 (Mapping Table)'!BM:BM,"",0,1))</f>
        <v>No demand</v>
      </c>
      <c r="X29" s="935"/>
      <c r="Y29" s="935"/>
      <c r="Z29" s="935"/>
      <c r="AA29" s="935"/>
    </row>
    <row r="30" ht="15.75" hidden="1" customHeight="1">
      <c r="A30" s="935"/>
      <c r="B30" s="970">
        <v>23.0</v>
      </c>
      <c r="C30" s="970" t="str">
        <f>if(isblank(E30),"",'FL5_POR_包裝對照表 (Mapping Table)'!$E$4)</f>
        <v>GFL (FL5)</v>
      </c>
      <c r="D30" s="970" t="str">
        <f t="array" ref="D30">IF(ISBLANK(E30),"",xlookup(E30,'FL5_POR_包裝對照表 (Mapping Table)'!E:E,'FL5_POR_包裝對照表 (Mapping Table)'!AZ:AZ,"",0,1))</f>
        <v>MP</v>
      </c>
      <c r="E30" s="971" t="s">
        <v>570</v>
      </c>
      <c r="F30" s="167" t="str">
        <f t="array" ref="F30">if(isblank(E30),"",xlookup(E30,'FL5_POR_包裝對照表 (Mapping Table)'!E:E,'FL5_POR_包裝對照表 (Mapping Table)'!F:F,"",0,1))</f>
        <v>JP</v>
      </c>
      <c r="G30" s="972" t="str">
        <f t="array" ref="G30">if(isblank(E30),"",xlookup(E30,'FL5_POR_包裝對照表 (Mapping Table)'!E:E,'FL5_POR_包裝對照表 (Mapping Table)'!C:C,"",0,1))</f>
        <v>Pristine</v>
      </c>
      <c r="H30" s="973" t="str">
        <f t="array" ref="H30">if(isblank(E30),"",xlookup(E30,'FL5_POR_包裝對照表 (Mapping Table)'!E:E,'FL5_POR_包裝對照表 (Mapping Table)'!D:D,"",0,1))</f>
        <v>Retail Pack</v>
      </c>
      <c r="I30" s="974" t="str">
        <f t="shared" si="2"/>
        <v>Close</v>
      </c>
      <c r="J30" s="975" t="str">
        <f t="array" ref="J30">if(isblank(E30),"",xlookup(E30,'FL5_POR_包裝對照表 (Mapping Table)'!E:E,'FL5_POR_包裝對照表 (Mapping Table)'!H:H,"",0,1))</f>
        <v>JPN</v>
      </c>
      <c r="K30" s="972" t="str">
        <f t="array" ref="K30">if(isblank(E30),"",xlookup(E30,'FL5_POR_包裝對照表 (Mapping Table)'!E:E,'FL5_POR_包裝對照表 (Mapping Table)'!M:M,"",0,1))</f>
        <v>JPN</v>
      </c>
      <c r="L30" s="972" t="str">
        <f t="array" ref="L30">if(isblank(E30),"",xlookup(E30,'FL5_POR_包裝對照表 (Mapping Table)'!E:E,'FL5_POR_包裝對照表 (Mapping Table)'!AN:AN,"",0,1))</f>
        <v>G950-15935-12</v>
      </c>
      <c r="M30" s="972" t="str">
        <f t="array" ref="M30">if(isblank(E30),"",xlookup(E30,'FL5_POR_包裝對照表 (Mapping Table)'!E:E,'FL5_POR_包裝對照表 (Mapping Table)'!J:J,"",0,1))</f>
        <v>Lemongrass</v>
      </c>
      <c r="N30" s="972" t="str">
        <f t="array" ref="N30">if(isblank(E30),"",xlookup(E30,'FL5_POR_包裝對照表 (Mapping Table)'!E:E,'FL5_POR_包裝對照表 (Mapping Table)'!K:K,"",0,1))</f>
        <v>YEL</v>
      </c>
      <c r="O30" s="976">
        <v>445.62</v>
      </c>
      <c r="P30" s="976">
        <f t="array" ref="P30">xlookup(E30,'Ike 提供_20250505'!D:D,'Ike 提供_20250505'!O:O,"",0,1)</f>
        <v>423.09</v>
      </c>
      <c r="Q30" s="977">
        <f t="array" ref="Q30">xlookup(E30,'FL5_POR_包裝對照表 (Mapping Table)'!E:E,'FL5_POR_包裝對照表 (Mapping Table)'!BI:BI,"",0,1)</f>
        <v>45773</v>
      </c>
      <c r="R30" s="977">
        <v>45765.0</v>
      </c>
      <c r="S30" s="977">
        <f t="shared" si="3"/>
        <v>45771</v>
      </c>
      <c r="T30" s="977">
        <v>45775.0</v>
      </c>
      <c r="U30" s="978"/>
      <c r="V30" s="935"/>
      <c r="W30" s="978" t="str">
        <f t="array" ref="W30">if(isblank(E30),"",xlookup(E30,'FL5_POR_包裝對照表 (Mapping Table)'!E:E,'FL5_POR_包裝對照表 (Mapping Table)'!BM:BM,"",0,1))</f>
        <v>No demand</v>
      </c>
      <c r="X30" s="935"/>
      <c r="Y30" s="935"/>
      <c r="Z30" s="935"/>
      <c r="AA30" s="935"/>
    </row>
    <row r="31" ht="15.75" hidden="1" customHeight="1">
      <c r="A31" s="935"/>
      <c r="B31" s="970">
        <v>24.0</v>
      </c>
      <c r="C31" s="970" t="str">
        <f>if(isblank(E31),"",'FL5_POR_包裝對照表 (Mapping Table)'!$E$4)</f>
        <v>GFL (FL5)</v>
      </c>
      <c r="D31" s="970" t="str">
        <f t="array" ref="D31">IF(ISBLANK(E31),"",xlookup(E31,'FL5_POR_包裝對照表 (Mapping Table)'!E:E,'FL5_POR_包裝對照表 (Mapping Table)'!AZ:AZ,"",0,1))</f>
        <v>MP</v>
      </c>
      <c r="E31" s="971" t="s">
        <v>576</v>
      </c>
      <c r="F31" s="167" t="str">
        <f t="array" ref="F31">if(isblank(E31),"",xlookup(E31,'FL5_POR_包裝對照表 (Mapping Table)'!E:E,'FL5_POR_包裝對照表 (Mapping Table)'!F:F,"",0,1))</f>
        <v>JP</v>
      </c>
      <c r="G31" s="972" t="str">
        <f t="array" ref="G31">if(isblank(E31),"",xlookup(E31,'FL5_POR_包裝對照表 (Mapping Table)'!E:E,'FL5_POR_包裝對照表 (Mapping Table)'!C:C,"",0,1))</f>
        <v>Pristine</v>
      </c>
      <c r="H31" s="973" t="str">
        <f t="array" ref="H31">if(isblank(E31),"",xlookup(E31,'FL5_POR_包裝對照表 (Mapping Table)'!E:E,'FL5_POR_包裝對照表 (Mapping Table)'!D:D,"",0,1))</f>
        <v>Retail Pack</v>
      </c>
      <c r="I31" s="974" t="str">
        <f t="shared" si="2"/>
        <v>Close</v>
      </c>
      <c r="J31" s="975" t="str">
        <f t="array" ref="J31">if(isblank(E31),"",xlookup(E31,'FL5_POR_包裝對照表 (Mapping Table)'!E:E,'FL5_POR_包裝對照表 (Mapping Table)'!H:H,"",0,1))</f>
        <v>JPN</v>
      </c>
      <c r="K31" s="972" t="str">
        <f t="array" ref="K31">if(isblank(E31),"",xlookup(E31,'FL5_POR_包裝對照表 (Mapping Table)'!E:E,'FL5_POR_包裝對照表 (Mapping Table)'!M:M,"",0,1))</f>
        <v>JPN</v>
      </c>
      <c r="L31" s="972" t="str">
        <f t="array" ref="L31">if(isblank(E31),"",xlookup(E31,'FL5_POR_包裝對照表 (Mapping Table)'!E:E,'FL5_POR_包裝對照表 (Mapping Table)'!AN:AN,"",0,1))</f>
        <v>G950-15935-13</v>
      </c>
      <c r="M31" s="972" t="str">
        <f t="array" ref="M31">if(isblank(E31),"",xlookup(E31,'FL5_POR_包裝對照表 (Mapping Table)'!E:E,'FL5_POR_包裝對照表 (Mapping Table)'!J:J,"",0,1))</f>
        <v>Indigo</v>
      </c>
      <c r="N31" s="972" t="str">
        <f t="array" ref="N31">if(isblank(E31),"",xlookup(E31,'FL5_POR_包裝對照表 (Mapping Table)'!E:E,'FL5_POR_包裝對照表 (Mapping Table)'!K:K,"",0,1))</f>
        <v>BUE</v>
      </c>
      <c r="O31" s="976">
        <v>441.46</v>
      </c>
      <c r="P31" s="976">
        <f t="array" ref="P31">xlookup(E31,'Ike 提供_20250505'!D:D,'Ike 提供_20250505'!O:O,"",0,1)</f>
        <v>423.09</v>
      </c>
      <c r="Q31" s="977">
        <f t="array" ref="Q31">xlookup(E31,'FL5_POR_包裝對照表 (Mapping Table)'!E:E,'FL5_POR_包裝對照表 (Mapping Table)'!BI:BI,"",0,1)</f>
        <v>45773</v>
      </c>
      <c r="R31" s="977">
        <v>45765.0</v>
      </c>
      <c r="S31" s="977">
        <f t="shared" si="3"/>
        <v>45771</v>
      </c>
      <c r="T31" s="977">
        <v>45776.0</v>
      </c>
      <c r="U31" s="978"/>
      <c r="V31" s="935"/>
      <c r="W31" s="978" t="str">
        <f t="array" ref="W31">if(isblank(E31),"",xlookup(E31,'FL5_POR_包裝對照表 (Mapping Table)'!E:E,'FL5_POR_包裝對照表 (Mapping Table)'!BM:BM,"",0,1))</f>
        <v>No demand</v>
      </c>
      <c r="X31" s="935"/>
      <c r="Y31" s="935"/>
      <c r="Z31" s="935"/>
      <c r="AA31" s="935"/>
    </row>
    <row r="32" ht="15.75" hidden="1" customHeight="1">
      <c r="A32" s="935"/>
      <c r="B32" s="970">
        <v>25.0</v>
      </c>
      <c r="C32" s="970" t="str">
        <f>if(isblank(E32),"",'FL5_POR_包裝對照表 (Mapping Table)'!$E$4)</f>
        <v>GFL (FL5)</v>
      </c>
      <c r="D32" s="970" t="str">
        <f t="array" ref="D32">IF(ISBLANK(E32),"",xlookup(E32,'FL5_POR_包裝對照表 (Mapping Table)'!E:E,'FL5_POR_包裝對照表 (Mapping Table)'!AZ:AZ,"",0,1))</f>
        <v>MP</v>
      </c>
      <c r="E32" s="980" t="s">
        <v>582</v>
      </c>
      <c r="F32" s="167" t="str">
        <f t="array" ref="F32">if(isblank(E32),"",xlookup(E32,'FL5_POR_包裝對照表 (Mapping Table)'!E:E,'FL5_POR_包裝對照表 (Mapping Table)'!F:F,"",0,1))</f>
        <v>IN</v>
      </c>
      <c r="G32" s="972" t="str">
        <f t="array" ref="G32">if(isblank(E32),"",xlookup(E32,'FL5_POR_包裝對照表 (Mapping Table)'!E:E,'FL5_POR_包裝對照表 (Mapping Table)'!C:C,"",0,1))</f>
        <v>Pristine</v>
      </c>
      <c r="H32" s="973" t="str">
        <f t="array" ref="H32">if(isblank(E32),"",xlookup(E32,'FL5_POR_包裝對照表 (Mapping Table)'!E:E,'FL5_POR_包裝對照表 (Mapping Table)'!D:D,"",0,1))</f>
        <v>Cancel</v>
      </c>
      <c r="I32" s="974" t="str">
        <f t="shared" si="2"/>
        <v>Cancel</v>
      </c>
      <c r="J32" s="975" t="str">
        <f t="array" ref="J32">if(isblank(E32),"",xlookup(E32,'FL5_POR_包裝對照表 (Mapping Table)'!E:E,'FL5_POR_包裝對照表 (Mapping Table)'!H:H,"",0,1))</f>
        <v>Sub6</v>
      </c>
      <c r="K32" s="972" t="str">
        <f t="array" ref="K32">if(isblank(E32),"",xlookup(E32,'FL5_POR_包裝對照表 (Mapping Table)'!E:E,'FL5_POR_包裝對照表 (Mapping Table)'!M:M,"",0,1))</f>
        <v>ROW</v>
      </c>
      <c r="L32" s="972" t="str">
        <f t="array" ref="L32">if(isblank(E32),"",xlookup(E32,'FL5_POR_包裝對照表 (Mapping Table)'!E:E,'FL5_POR_包裝對照表 (Mapping Table)'!AN:AN,"",0,1))</f>
        <v>TBD</v>
      </c>
      <c r="M32" s="972" t="str">
        <f t="array" ref="M32">if(isblank(E32),"",xlookup(E32,'FL5_POR_包裝對照表 (Mapping Table)'!E:E,'FL5_POR_包裝對照表 (Mapping Table)'!J:J,"",0,1))</f>
        <v>Obsidian</v>
      </c>
      <c r="N32" s="972" t="str">
        <f t="array" ref="N32">if(isblank(E32),"",xlookup(E32,'FL5_POR_包裝對照表 (Mapping Table)'!E:E,'FL5_POR_包裝對照表 (Mapping Table)'!K:K,"",0,1))</f>
        <v>BLK</v>
      </c>
      <c r="O32" s="976" t="str">
        <f t="array" ref="O32">xlookup(E32,'Ike 提供_20250505'!D:D,'Ike 提供_20250505'!N:N,"",0,1)</f>
        <v/>
      </c>
      <c r="P32" s="976" t="str">
        <f t="array" ref="P32">xlookup(E32,'Ike 提供_20250505'!D:D,'Ike 提供_20250505'!O:O,"",0,1)</f>
        <v/>
      </c>
      <c r="Q32" s="977" t="str">
        <f t="array" ref="Q32">xlookup(E32,'FL5_POR_包裝對照表 (Mapping Table)'!E:E,'FL5_POR_包裝對照表 (Mapping Table)'!BI:BI,"",0,1)</f>
        <v/>
      </c>
      <c r="R32" s="977"/>
      <c r="S32" s="977" t="str">
        <f t="shared" si="3"/>
        <v/>
      </c>
      <c r="T32" s="977"/>
      <c r="U32" s="978"/>
      <c r="V32" s="935"/>
      <c r="W32" s="978" t="str">
        <f t="array" ref="W32">if(isblank(E32),"",xlookup(E32,'FL5_POR_包裝對照表 (Mapping Table)'!E:E,'FL5_POR_包裝對照表 (Mapping Table)'!BM:BM,"",0,1))</f>
        <v>No demand</v>
      </c>
      <c r="X32" s="935"/>
      <c r="Y32" s="935"/>
      <c r="Z32" s="935"/>
      <c r="AA32" s="935"/>
    </row>
    <row r="33" ht="15.75" hidden="1" customHeight="1">
      <c r="A33" s="935"/>
      <c r="B33" s="970">
        <v>26.0</v>
      </c>
      <c r="C33" s="970" t="str">
        <f>if(isblank(E33),"",'FL5_POR_包裝對照表 (Mapping Table)'!$E$4)</f>
        <v>GFL (FL5)</v>
      </c>
      <c r="D33" s="970" t="str">
        <f t="array" ref="D33">IF(ISBLANK(E33),"",xlookup(E33,'FL5_POR_包裝對照表 (Mapping Table)'!E:E,'FL5_POR_包裝對照表 (Mapping Table)'!AZ:AZ,"",0,1))</f>
        <v>MP</v>
      </c>
      <c r="E33" s="980" t="s">
        <v>587</v>
      </c>
      <c r="F33" s="167" t="str">
        <f t="array" ref="F33">if(isblank(E33),"",xlookup(E33,'FL5_POR_包裝對照表 (Mapping Table)'!E:E,'FL5_POR_包裝對照表 (Mapping Table)'!F:F,"",0,1))</f>
        <v>IN</v>
      </c>
      <c r="G33" s="972" t="str">
        <f t="array" ref="G33">if(isblank(E33),"",xlookup(E33,'FL5_POR_包裝對照表 (Mapping Table)'!E:E,'FL5_POR_包裝對照表 (Mapping Table)'!C:C,"",0,1))</f>
        <v>Pristine</v>
      </c>
      <c r="H33" s="973" t="str">
        <f t="array" ref="H33">if(isblank(E33),"",xlookup(E33,'FL5_POR_包裝對照表 (Mapping Table)'!E:E,'FL5_POR_包裝對照表 (Mapping Table)'!D:D,"",0,1))</f>
        <v>Cancel</v>
      </c>
      <c r="I33" s="974" t="str">
        <f t="shared" si="2"/>
        <v>Cancel</v>
      </c>
      <c r="J33" s="975" t="str">
        <f t="array" ref="J33">if(isblank(E33),"",xlookup(E33,'FL5_POR_包裝對照表 (Mapping Table)'!E:E,'FL5_POR_包裝對照表 (Mapping Table)'!H:H,"",0,1))</f>
        <v>Sub6</v>
      </c>
      <c r="K33" s="972" t="str">
        <f t="array" ref="K33">if(isblank(E33),"",xlookup(E33,'FL5_POR_包裝對照表 (Mapping Table)'!E:E,'FL5_POR_包裝對照表 (Mapping Table)'!M:M,"",0,1))</f>
        <v>ROW</v>
      </c>
      <c r="L33" s="972" t="str">
        <f t="array" ref="L33">if(isblank(E33),"",xlookup(E33,'FL5_POR_包裝對照表 (Mapping Table)'!E:E,'FL5_POR_包裝對照表 (Mapping Table)'!AN:AN,"",0,1))</f>
        <v>TBD</v>
      </c>
      <c r="M33" s="972" t="str">
        <f t="array" ref="M33">if(isblank(E33),"",xlookup(E33,'FL5_POR_包裝對照表 (Mapping Table)'!E:E,'FL5_POR_包裝對照表 (Mapping Table)'!J:J,"",0,1))</f>
        <v>Frost</v>
      </c>
      <c r="N33" s="972" t="str">
        <f t="array" ref="N33">if(isblank(E33),"",xlookup(E33,'FL5_POR_包裝對照表 (Mapping Table)'!E:E,'FL5_POR_包裝對照表 (Mapping Table)'!K:K,"",0,1))</f>
        <v>PPL</v>
      </c>
      <c r="O33" s="976" t="str">
        <f t="array" ref="O33">xlookup(E33,'Ike 提供_20250505'!D:D,'Ike 提供_20250505'!N:N,"",0,1)</f>
        <v/>
      </c>
      <c r="P33" s="976" t="str">
        <f t="array" ref="P33">xlookup(E33,'Ike 提供_20250505'!D:D,'Ike 提供_20250505'!O:O,"",0,1)</f>
        <v/>
      </c>
      <c r="Q33" s="977" t="str">
        <f t="array" ref="Q33">xlookup(E33,'FL5_POR_包裝對照表 (Mapping Table)'!E:E,'FL5_POR_包裝對照表 (Mapping Table)'!BI:BI,"",0,1)</f>
        <v/>
      </c>
      <c r="R33" s="977"/>
      <c r="S33" s="977" t="str">
        <f t="shared" si="3"/>
        <v/>
      </c>
      <c r="T33" s="977"/>
      <c r="U33" s="977"/>
      <c r="V33" s="935"/>
      <c r="W33" s="978" t="str">
        <f t="array" ref="W33">if(isblank(E33),"",xlookup(E33,'FL5_POR_包裝對照表 (Mapping Table)'!E:E,'FL5_POR_包裝對照表 (Mapping Table)'!BM:BM,"",0,1))</f>
        <v>No demand</v>
      </c>
      <c r="X33" s="935"/>
      <c r="Y33" s="935"/>
      <c r="Z33" s="935"/>
      <c r="AA33" s="935"/>
    </row>
    <row r="34" ht="15.75" hidden="1" customHeight="1">
      <c r="A34" s="935"/>
      <c r="B34" s="970">
        <v>27.0</v>
      </c>
      <c r="C34" s="970" t="str">
        <f>if(isblank(E34),"",'FL5_POR_包裝對照表 (Mapping Table)'!$E$4)</f>
        <v>GFL (FL5)</v>
      </c>
      <c r="D34" s="970" t="str">
        <f t="array" ref="D34">IF(ISBLANK(E34),"",xlookup(E34,'FL5_POR_包裝對照表 (Mapping Table)'!E:E,'FL5_POR_包裝對照表 (Mapping Table)'!AZ:AZ,"",0,1))</f>
        <v>MP</v>
      </c>
      <c r="E34" s="980" t="s">
        <v>589</v>
      </c>
      <c r="F34" s="167" t="str">
        <f t="array" ref="F34">if(isblank(E34),"",xlookup(E34,'FL5_POR_包裝對照表 (Mapping Table)'!E:E,'FL5_POR_包裝對照表 (Mapping Table)'!F:F,"",0,1))</f>
        <v>IN</v>
      </c>
      <c r="G34" s="972" t="str">
        <f t="array" ref="G34">if(isblank(E34),"",xlookup(E34,'FL5_POR_包裝對照表 (Mapping Table)'!E:E,'FL5_POR_包裝對照表 (Mapping Table)'!C:C,"",0,1))</f>
        <v>Pristine</v>
      </c>
      <c r="H34" s="973" t="str">
        <f t="array" ref="H34">if(isblank(E34),"",xlookup(E34,'FL5_POR_包裝對照表 (Mapping Table)'!E:E,'FL5_POR_包裝對照表 (Mapping Table)'!D:D,"",0,1))</f>
        <v>Cancel</v>
      </c>
      <c r="I34" s="974" t="str">
        <f t="shared" si="2"/>
        <v>Cancel</v>
      </c>
      <c r="J34" s="975" t="str">
        <f t="array" ref="J34">if(isblank(E34),"",xlookup(E34,'FL5_POR_包裝對照表 (Mapping Table)'!E:E,'FL5_POR_包裝對照表 (Mapping Table)'!H:H,"",0,1))</f>
        <v>Sub6</v>
      </c>
      <c r="K34" s="972" t="str">
        <f t="array" ref="K34">if(isblank(E34),"",xlookup(E34,'FL5_POR_包裝對照表 (Mapping Table)'!E:E,'FL5_POR_包裝對照表 (Mapping Table)'!M:M,"",0,1))</f>
        <v>ROW</v>
      </c>
      <c r="L34" s="972" t="str">
        <f t="array" ref="L34">if(isblank(E34),"",xlookup(E34,'FL5_POR_包裝對照表 (Mapping Table)'!E:E,'FL5_POR_包裝對照表 (Mapping Table)'!AN:AN,"",0,1))</f>
        <v>TBD</v>
      </c>
      <c r="M34" s="972" t="str">
        <f t="array" ref="M34">if(isblank(E34),"",xlookup(E34,'FL5_POR_包裝對照表 (Mapping Table)'!E:E,'FL5_POR_包裝對照表 (Mapping Table)'!J:J,"",0,1))</f>
        <v>Lemongrass</v>
      </c>
      <c r="N34" s="972" t="str">
        <f t="array" ref="N34">if(isblank(E34),"",xlookup(E34,'FL5_POR_包裝對照表 (Mapping Table)'!E:E,'FL5_POR_包裝對照表 (Mapping Table)'!K:K,"",0,1))</f>
        <v>YEL</v>
      </c>
      <c r="O34" s="976" t="str">
        <f t="array" ref="O34">xlookup(E34,'Ike 提供_20250505'!D:D,'Ike 提供_20250505'!N:N,"",0,1)</f>
        <v/>
      </c>
      <c r="P34" s="976" t="str">
        <f t="array" ref="P34">xlookup(E34,'Ike 提供_20250505'!D:D,'Ike 提供_20250505'!O:O,"",0,1)</f>
        <v/>
      </c>
      <c r="Q34" s="977" t="str">
        <f t="array" ref="Q34">xlookup(E34,'FL5_POR_包裝對照表 (Mapping Table)'!E:E,'FL5_POR_包裝對照表 (Mapping Table)'!BI:BI,"",0,1)</f>
        <v/>
      </c>
      <c r="R34" s="977"/>
      <c r="S34" s="977" t="str">
        <f t="shared" si="3"/>
        <v/>
      </c>
      <c r="T34" s="977"/>
      <c r="U34" s="977"/>
      <c r="V34" s="935"/>
      <c r="W34" s="978" t="str">
        <f t="array" ref="W34">if(isblank(E34),"",xlookup(E34,'FL5_POR_包裝對照表 (Mapping Table)'!E:E,'FL5_POR_包裝對照表 (Mapping Table)'!BM:BM,"",0,1))</f>
        <v>No demand</v>
      </c>
      <c r="X34" s="935"/>
      <c r="Y34" s="935"/>
      <c r="Z34" s="935"/>
      <c r="AA34" s="935"/>
    </row>
    <row r="35" ht="15.75" hidden="1" customHeight="1">
      <c r="A35" s="935"/>
      <c r="B35" s="970">
        <v>28.0</v>
      </c>
      <c r="C35" s="970" t="str">
        <f>if(isblank(E35),"",'FL5_POR_包裝對照表 (Mapping Table)'!$E$4)</f>
        <v>GFL (FL5)</v>
      </c>
      <c r="D35" s="970" t="str">
        <f t="array" ref="D35">IF(ISBLANK(E35),"",xlookup(E35,'FL5_POR_包裝對照表 (Mapping Table)'!E:E,'FL5_POR_包裝對照表 (Mapping Table)'!AZ:AZ,"",0,1))</f>
        <v>MP</v>
      </c>
      <c r="E35" s="980" t="s">
        <v>591</v>
      </c>
      <c r="F35" s="167" t="str">
        <f t="array" ref="F35">if(isblank(E35),"",xlookup(E35,'FL5_POR_包裝對照表 (Mapping Table)'!E:E,'FL5_POR_包裝對照表 (Mapping Table)'!F:F,"",0,1))</f>
        <v>IN</v>
      </c>
      <c r="G35" s="972" t="str">
        <f t="array" ref="G35">if(isblank(E35),"",xlookup(E35,'FL5_POR_包裝對照表 (Mapping Table)'!E:E,'FL5_POR_包裝對照表 (Mapping Table)'!C:C,"",0,1))</f>
        <v>Pristine</v>
      </c>
      <c r="H35" s="973" t="str">
        <f t="array" ref="H35">if(isblank(E35),"",xlookup(E35,'FL5_POR_包裝對照表 (Mapping Table)'!E:E,'FL5_POR_包裝對照表 (Mapping Table)'!D:D,"",0,1))</f>
        <v>Cancel</v>
      </c>
      <c r="I35" s="974" t="str">
        <f t="shared" si="2"/>
        <v>Cancel</v>
      </c>
      <c r="J35" s="975" t="str">
        <f t="array" ref="J35">if(isblank(E35),"",xlookup(E35,'FL5_POR_包裝對照表 (Mapping Table)'!E:E,'FL5_POR_包裝對照表 (Mapping Table)'!H:H,"",0,1))</f>
        <v>Sub6</v>
      </c>
      <c r="K35" s="972" t="str">
        <f t="array" ref="K35">if(isblank(E35),"",xlookup(E35,'FL5_POR_包裝對照表 (Mapping Table)'!E:E,'FL5_POR_包裝對照表 (Mapping Table)'!M:M,"",0,1))</f>
        <v>ROW</v>
      </c>
      <c r="L35" s="972" t="str">
        <f t="array" ref="L35">if(isblank(E35),"",xlookup(E35,'FL5_POR_包裝對照表 (Mapping Table)'!E:E,'FL5_POR_包裝對照表 (Mapping Table)'!AN:AN,"",0,1))</f>
        <v>TBD</v>
      </c>
      <c r="M35" s="972" t="str">
        <f t="array" ref="M35">if(isblank(E35),"",xlookup(E35,'FL5_POR_包裝對照表 (Mapping Table)'!E:E,'FL5_POR_包裝對照表 (Mapping Table)'!J:J,"",0,1))</f>
        <v>Indigo</v>
      </c>
      <c r="N35" s="972" t="str">
        <f t="array" ref="N35">if(isblank(E35),"",xlookup(E35,'FL5_POR_包裝對照表 (Mapping Table)'!E:E,'FL5_POR_包裝對照表 (Mapping Table)'!K:K,"",0,1))</f>
        <v>BUE</v>
      </c>
      <c r="O35" s="976" t="str">
        <f t="array" ref="O35">xlookup(E35,'Ike 提供_20250505'!D:D,'Ike 提供_20250505'!N:N,"",0,1)</f>
        <v/>
      </c>
      <c r="P35" s="976" t="str">
        <f t="array" ref="P35">xlookup(E35,'Ike 提供_20250505'!D:D,'Ike 提供_20250505'!O:O,"",0,1)</f>
        <v/>
      </c>
      <c r="Q35" s="977" t="str">
        <f t="array" ref="Q35">xlookup(E35,'FL5_POR_包裝對照表 (Mapping Table)'!E:E,'FL5_POR_包裝對照表 (Mapping Table)'!BI:BI,"",0,1)</f>
        <v/>
      </c>
      <c r="R35" s="977"/>
      <c r="S35" s="977" t="str">
        <f t="shared" si="3"/>
        <v/>
      </c>
      <c r="T35" s="977"/>
      <c r="U35" s="977"/>
      <c r="V35" s="935"/>
      <c r="W35" s="978" t="str">
        <f t="array" ref="W35">if(isblank(E35),"",xlookup(E35,'FL5_POR_包裝對照表 (Mapping Table)'!E:E,'FL5_POR_包裝對照表 (Mapping Table)'!BM:BM,"",0,1))</f>
        <v>No demand</v>
      </c>
      <c r="X35" s="935"/>
      <c r="Y35" s="935"/>
      <c r="Z35" s="935"/>
      <c r="AA35" s="935"/>
    </row>
    <row r="36" ht="15.75" customHeight="1">
      <c r="A36" s="935"/>
      <c r="B36" s="970">
        <v>29.0</v>
      </c>
      <c r="C36" s="970" t="str">
        <f>if(isblank(E36),"",'FL5_POR_包裝對照表 (Mapping Table)'!$E$4)</f>
        <v>GFL (FL5)</v>
      </c>
      <c r="D36" s="970" t="str">
        <f t="array" ref="D36">IF(ISBLANK(E36),"",xlookup(E36,'FL5_POR_包裝對照表 (Mapping Table)'!E:E,'FL5_POR_包裝對照表 (Mapping Table)'!AZ:AZ,"",0,1))</f>
        <v>MP</v>
      </c>
      <c r="E36" s="979" t="s">
        <v>593</v>
      </c>
      <c r="F36" s="167" t="str">
        <f t="array" ref="F36">if(isblank(E36),"",xlookup(E36,'FL5_POR_包裝對照表 (Mapping Table)'!E:E,'FL5_POR_包裝對照表 (Mapping Table)'!F:F,"",0,1))</f>
        <v>VZW, US</v>
      </c>
      <c r="G36" s="972" t="str">
        <f t="array" ref="G36">if(isblank(E36),"",xlookup(E36,'FL5_POR_包裝對照表 (Mapping Table)'!E:E,'FL5_POR_包裝對照表 (Mapping Table)'!C:C,"",0,1))</f>
        <v>Pristine</v>
      </c>
      <c r="H36" s="973" t="str">
        <f t="array" ref="H36">if(isblank(E36),"",xlookup(E36,'FL5_POR_包裝對照表 (Mapping Table)'!E:E,'FL5_POR_包裝對照表 (Mapping Table)'!D:D,"",0,1))</f>
        <v>Retail Pack</v>
      </c>
      <c r="I36" s="974" t="str">
        <f t="shared" si="2"/>
        <v>Close</v>
      </c>
      <c r="J36" s="975" t="str">
        <f t="array" ref="J36">if(isblank(E36),"",xlookup(E36,'FL5_POR_包裝對照表 (Mapping Table)'!E:E,'FL5_POR_包裝對照表 (Mapping Table)'!H:H,"",0,1))</f>
        <v>mmWave</v>
      </c>
      <c r="K36" s="972" t="str">
        <f t="array" ref="K36">if(isblank(E36),"",xlookup(E36,'FL5_POR_包裝對照表 (Mapping Table)'!E:E,'FL5_POR_包裝對照表 (Mapping Table)'!M:M,"",0,1))</f>
        <v>VZW</v>
      </c>
      <c r="L36" s="972" t="str">
        <f t="array" ref="L36">if(isblank(E36),"",xlookup(E36,'FL5_POR_包裝對照表 (Mapping Table)'!E:E,'FL5_POR_包裝對照表 (Mapping Table)'!AN:AN,"",0,1))</f>
        <v>G950-15935-04</v>
      </c>
      <c r="M36" s="972" t="str">
        <f t="array" ref="M36">if(isblank(E36),"",xlookup(E36,'FL5_POR_包裝對照表 (Mapping Table)'!E:E,'FL5_POR_包裝對照表 (Mapping Table)'!J:J,"",0,1))</f>
        <v>Obsidian</v>
      </c>
      <c r="N36" s="972" t="str">
        <f t="array" ref="N36">if(isblank(E36),"",xlookup(E36,'FL5_POR_包裝對照表 (Mapping Table)'!E:E,'FL5_POR_包裝對照表 (Mapping Table)'!K:K,"",0,1))</f>
        <v>BLK</v>
      </c>
      <c r="O36" s="976">
        <f t="array" ref="O36">xlookup(E36,'Ike 提供_20250505'!D:D,'Ike 提供_20250505'!N:N,"",0,1)</f>
        <v>453.07</v>
      </c>
      <c r="P36" s="976">
        <f t="array" ref="P36">xlookup(E36,'Ike 提供_20250505'!D:D,'Ike 提供_20250505'!O:O,"",0,1)</f>
        <v>446.09</v>
      </c>
      <c r="Q36" s="977">
        <f t="array" ref="Q36">xlookup(E36,'FL5_POR_包裝對照表 (Mapping Table)'!E:E,'FL5_POR_包裝對照表 (Mapping Table)'!BI:BI,"",0,1)</f>
        <v>45773</v>
      </c>
      <c r="R36" s="977">
        <v>45779.0</v>
      </c>
      <c r="S36" s="977">
        <f t="shared" si="3"/>
        <v>45785</v>
      </c>
      <c r="T36" s="977">
        <v>45782.0</v>
      </c>
      <c r="U36" s="977"/>
      <c r="V36" s="935"/>
      <c r="W36" s="978" t="str">
        <f t="array" ref="W36">if(isblank(E36),"",xlookup(E36,'FL5_POR_包裝對照表 (Mapping Table)'!E:E,'FL5_POR_包裝對照表 (Mapping Table)'!BM:BM,"",0,1))</f>
        <v>No demand</v>
      </c>
      <c r="X36" s="935"/>
      <c r="Y36" s="935"/>
      <c r="Z36" s="935"/>
      <c r="AA36" s="935"/>
    </row>
    <row r="37" ht="15.75" customHeight="1">
      <c r="A37" s="935"/>
      <c r="B37" s="970">
        <v>30.0</v>
      </c>
      <c r="C37" s="970" t="str">
        <f>if(isblank(E37),"",'FL5_POR_包裝對照表 (Mapping Table)'!$E$4)</f>
        <v>GFL (FL5)</v>
      </c>
      <c r="D37" s="970" t="str">
        <f t="array" ref="D37">IF(ISBLANK(E37),"",xlookup(E37,'FL5_POR_包裝對照表 (Mapping Table)'!E:E,'FL5_POR_包裝對照表 (Mapping Table)'!AZ:AZ,"",0,1))</f>
        <v>MP</v>
      </c>
      <c r="E37" s="979" t="s">
        <v>599</v>
      </c>
      <c r="F37" s="167" t="str">
        <f t="array" ref="F37">if(isblank(E37),"",xlookup(E37,'FL5_POR_包裝對照表 (Mapping Table)'!E:E,'FL5_POR_包裝對照表 (Mapping Table)'!F:F,"",0,1))</f>
        <v>VZW, US</v>
      </c>
      <c r="G37" s="972" t="str">
        <f t="array" ref="G37">if(isblank(E37),"",xlookup(E37,'FL5_POR_包裝對照表 (Mapping Table)'!E:E,'FL5_POR_包裝對照表 (Mapping Table)'!C:C,"",0,1))</f>
        <v>Pristine</v>
      </c>
      <c r="H37" s="973" t="str">
        <f t="array" ref="H37">if(isblank(E37),"",xlookup(E37,'FL5_POR_包裝對照表 (Mapping Table)'!E:E,'FL5_POR_包裝對照表 (Mapping Table)'!D:D,"",0,1))</f>
        <v>Retail Pack</v>
      </c>
      <c r="I37" s="974" t="str">
        <f t="shared" si="2"/>
        <v>Close</v>
      </c>
      <c r="J37" s="975" t="str">
        <f t="array" ref="J37">if(isblank(E37),"",xlookup(E37,'FL5_POR_包裝對照表 (Mapping Table)'!E:E,'FL5_POR_包裝對照表 (Mapping Table)'!H:H,"",0,1))</f>
        <v>mmWave</v>
      </c>
      <c r="K37" s="972" t="str">
        <f t="array" ref="K37">if(isblank(E37),"",xlookup(E37,'FL5_POR_包裝對照表 (Mapping Table)'!E:E,'FL5_POR_包裝對照表 (Mapping Table)'!M:M,"",0,1))</f>
        <v>VZW</v>
      </c>
      <c r="L37" s="972" t="str">
        <f t="array" ref="L37">if(isblank(E37),"",xlookup(E37,'FL5_POR_包裝對照表 (Mapping Table)'!E:E,'FL5_POR_包裝對照表 (Mapping Table)'!AN:AN,"",0,1))</f>
        <v>G950-15935-07</v>
      </c>
      <c r="M37" s="972" t="str">
        <f t="array" ref="M37">if(isblank(E37),"",xlookup(E37,'FL5_POR_包裝對照表 (Mapping Table)'!E:E,'FL5_POR_包裝對照表 (Mapping Table)'!J:J,"",0,1))</f>
        <v>Indigo</v>
      </c>
      <c r="N37" s="972" t="str">
        <f t="array" ref="N37">if(isblank(E37),"",xlookup(E37,'FL5_POR_包裝對照表 (Mapping Table)'!E:E,'FL5_POR_包裝對照表 (Mapping Table)'!K:K,"",0,1))</f>
        <v>BUE</v>
      </c>
      <c r="O37" s="976">
        <f t="array" ref="O37">xlookup(E37,'Ike 提供_20250505'!D:D,'Ike 提供_20250505'!N:N,"",0,1)</f>
        <v>453.47</v>
      </c>
      <c r="P37" s="976">
        <f t="array" ref="P37">xlookup(E37,'Ike 提供_20250505'!D:D,'Ike 提供_20250505'!O:O,"",0,1)</f>
        <v>446.49</v>
      </c>
      <c r="Q37" s="977">
        <f t="array" ref="Q37">xlookup(E37,'FL5_POR_包裝對照表 (Mapping Table)'!E:E,'FL5_POR_包裝對照表 (Mapping Table)'!BI:BI,"",0,1)</f>
        <v>45773</v>
      </c>
      <c r="R37" s="977">
        <v>45779.0</v>
      </c>
      <c r="S37" s="977">
        <f t="shared" si="3"/>
        <v>45785</v>
      </c>
      <c r="T37" s="977">
        <v>45782.0</v>
      </c>
      <c r="U37" s="977"/>
      <c r="V37" s="935"/>
      <c r="W37" s="978" t="str">
        <f t="array" ref="W37">if(isblank(E37),"",xlookup(E37,'FL5_POR_包裝對照表 (Mapping Table)'!E:E,'FL5_POR_包裝對照表 (Mapping Table)'!BM:BM,"",0,1))</f>
        <v>No demand</v>
      </c>
      <c r="X37" s="935"/>
      <c r="Y37" s="935"/>
      <c r="Z37" s="935"/>
      <c r="AA37" s="935"/>
    </row>
    <row r="38" ht="15.75" customHeight="1">
      <c r="A38" s="935"/>
      <c r="B38" s="970">
        <v>31.0</v>
      </c>
      <c r="C38" s="970" t="str">
        <f>if(isblank(E38),"",'FL5_POR_包裝對照表 (Mapping Table)'!$E$4)</f>
        <v>GFL (FL5)</v>
      </c>
      <c r="D38" s="970" t="str">
        <f t="array" ref="D38">IF(ISBLANK(E38),"",xlookup(E38,'FL5_POR_包裝對照表 (Mapping Table)'!E:E,'FL5_POR_包裝對照表 (Mapping Table)'!AZ:AZ,"",0,1))</f>
        <v>MP</v>
      </c>
      <c r="E38" s="971" t="s">
        <v>604</v>
      </c>
      <c r="F38" s="167" t="str">
        <f t="array" ref="F38">if(isblank(E38),"",xlookup(E38,'FL5_POR_包裝對照表 (Mapping Table)'!E:E,'FL5_POR_包裝對照表 (Mapping Table)'!F:F,"",0,1))</f>
        <v>TMO, US</v>
      </c>
      <c r="G38" s="972" t="str">
        <f t="array" ref="G38">if(isblank(E38),"",xlookup(E38,'FL5_POR_包裝對照表 (Mapping Table)'!E:E,'FL5_POR_包裝對照表 (Mapping Table)'!C:C,"",0,1))</f>
        <v>Pristine</v>
      </c>
      <c r="H38" s="973" t="str">
        <f t="array" ref="H38">if(isblank(E38),"",xlookup(E38,'FL5_POR_包裝對照表 (Mapping Table)'!E:E,'FL5_POR_包裝對照表 (Mapping Table)'!D:D,"",0,1))</f>
        <v>Retail Pack</v>
      </c>
      <c r="I38" s="974" t="str">
        <f t="shared" si="2"/>
        <v>Close</v>
      </c>
      <c r="J38" s="975" t="str">
        <f t="array" ref="J38">if(isblank(E38),"",xlookup(E38,'FL5_POR_包裝對照表 (Mapping Table)'!E:E,'FL5_POR_包裝對照表 (Mapping Table)'!H:H,"",0,1))</f>
        <v>mmWave</v>
      </c>
      <c r="K38" s="972" t="str">
        <f t="array" ref="K38">if(isblank(E38),"",xlookup(E38,'FL5_POR_包裝對照表 (Mapping Table)'!E:E,'FL5_POR_包裝對照表 (Mapping Table)'!M:M,"",0,1))</f>
        <v>TMO</v>
      </c>
      <c r="L38" s="972" t="str">
        <f t="array" ref="L38">if(isblank(E38),"",xlookup(E38,'FL5_POR_包裝對照表 (Mapping Table)'!E:E,'FL5_POR_包裝對照表 (Mapping Table)'!AN:AN,"",0,1))</f>
        <v>G950-15935-04</v>
      </c>
      <c r="M38" s="972" t="str">
        <f t="array" ref="M38">if(isblank(E38),"",xlookup(E38,'FL5_POR_包裝對照表 (Mapping Table)'!E:E,'FL5_POR_包裝對照表 (Mapping Table)'!J:J,"",0,1))</f>
        <v>Obsidian</v>
      </c>
      <c r="N38" s="972" t="str">
        <f t="array" ref="N38">if(isblank(E38),"",xlookup(E38,'FL5_POR_包裝對照表 (Mapping Table)'!E:E,'FL5_POR_包裝對照表 (Mapping Table)'!K:K,"",0,1))</f>
        <v>BLK</v>
      </c>
      <c r="O38" s="976">
        <f t="array" ref="O38">xlookup(E38,'Ike 提供_20250505'!D:D,'Ike 提供_20250505'!N:N,"",0,1)</f>
        <v>453.07</v>
      </c>
      <c r="P38" s="976">
        <f t="array" ref="P38">xlookup(E38,'Ike 提供_20250505'!D:D,'Ike 提供_20250505'!O:O,"",0,1)</f>
        <v>446.09</v>
      </c>
      <c r="Q38" s="977">
        <f t="array" ref="Q38">xlookup(E38,'FL5_POR_包裝對照表 (Mapping Table)'!E:E,'FL5_POR_包裝對照表 (Mapping Table)'!BI:BI,"",0,1)</f>
        <v>45773</v>
      </c>
      <c r="R38" s="977">
        <v>45779.0</v>
      </c>
      <c r="S38" s="977">
        <f t="shared" si="3"/>
        <v>45785</v>
      </c>
      <c r="T38" s="977">
        <v>45782.0</v>
      </c>
      <c r="U38" s="977"/>
      <c r="V38" s="935"/>
      <c r="W38" s="978" t="str">
        <f t="array" ref="W38">if(isblank(E38),"",xlookup(E38,'FL5_POR_包裝對照表 (Mapping Table)'!E:E,'FL5_POR_包裝對照表 (Mapping Table)'!BM:BM,"",0,1))</f>
        <v>No demand</v>
      </c>
      <c r="X38" s="935"/>
      <c r="Y38" s="935"/>
      <c r="Z38" s="935"/>
      <c r="AA38" s="935"/>
    </row>
    <row r="39" ht="15.75" customHeight="1">
      <c r="A39" s="935"/>
      <c r="B39" s="970">
        <v>32.0</v>
      </c>
      <c r="C39" s="970" t="str">
        <f>if(isblank(E39),"",'FL5_POR_包裝對照表 (Mapping Table)'!$E$4)</f>
        <v>GFL (FL5)</v>
      </c>
      <c r="D39" s="970" t="str">
        <f t="array" ref="D39">IF(ISBLANK(E39),"",xlookup(E39,'FL5_POR_包裝對照表 (Mapping Table)'!E:E,'FL5_POR_包裝對照表 (Mapping Table)'!AZ:AZ,"",0,1))</f>
        <v>MP</v>
      </c>
      <c r="E39" s="971" t="s">
        <v>609</v>
      </c>
      <c r="F39" s="167" t="str">
        <f t="array" ref="F39">if(isblank(E39),"",xlookup(E39,'FL5_POR_包裝對照表 (Mapping Table)'!E:E,'FL5_POR_包裝對照表 (Mapping Table)'!F:F,"",0,1))</f>
        <v>GSTORE, US</v>
      </c>
      <c r="G39" s="972" t="str">
        <f t="array" ref="G39">if(isblank(E39),"",xlookup(E39,'FL5_POR_包裝對照表 (Mapping Table)'!E:E,'FL5_POR_包裝對照表 (Mapping Table)'!C:C,"",0,1))</f>
        <v>Pristine</v>
      </c>
      <c r="H39" s="973" t="str">
        <f t="array" ref="H39">if(isblank(E39),"",xlookup(E39,'FL5_POR_包裝對照表 (Mapping Table)'!E:E,'FL5_POR_包裝對照表 (Mapping Table)'!D:D,"",0,1))</f>
        <v>Retail Pack</v>
      </c>
      <c r="I39" s="974" t="str">
        <f t="shared" si="2"/>
        <v>Close</v>
      </c>
      <c r="J39" s="975" t="str">
        <f t="array" ref="J39">if(isblank(E39),"",xlookup(E39,'FL5_POR_包裝對照表 (Mapping Table)'!E:E,'FL5_POR_包裝對照表 (Mapping Table)'!H:H,"",0,1))</f>
        <v>mmWave</v>
      </c>
      <c r="K39" s="972" t="str">
        <f t="array" ref="K39">if(isblank(E39),"",xlookup(E39,'FL5_POR_包裝對照表 (Mapping Table)'!E:E,'FL5_POR_包裝對照表 (Mapping Table)'!M:M,"",0,1))</f>
        <v>NA</v>
      </c>
      <c r="L39" s="972" t="str">
        <f t="array" ref="L39">if(isblank(E39),"",xlookup(E39,'FL5_POR_包裝對照表 (Mapping Table)'!E:E,'FL5_POR_包裝對照表 (Mapping Table)'!AN:AN,"",0,1))</f>
        <v>G950-15935-04</v>
      </c>
      <c r="M39" s="972" t="str">
        <f t="array" ref="M39">if(isblank(E39),"",xlookup(E39,'FL5_POR_包裝對照表 (Mapping Table)'!E:E,'FL5_POR_包裝對照表 (Mapping Table)'!J:J,"",0,1))</f>
        <v>Obsidian</v>
      </c>
      <c r="N39" s="972" t="str">
        <f t="array" ref="N39">if(isblank(E39),"",xlookup(E39,'FL5_POR_包裝對照表 (Mapping Table)'!E:E,'FL5_POR_包裝對照表 (Mapping Table)'!K:K,"",0,1))</f>
        <v>BLK</v>
      </c>
      <c r="O39" s="976">
        <f t="array" ref="O39">xlookup(E39,'Ike 提供_20250505'!D:D,'Ike 提供_20250505'!N:N,"",0,1)</f>
        <v>453.07</v>
      </c>
      <c r="P39" s="976">
        <f t="array" ref="P39">xlookup(E39,'Ike 提供_20250505'!D:D,'Ike 提供_20250505'!O:O,"",0,1)</f>
        <v>446.09</v>
      </c>
      <c r="Q39" s="977">
        <f t="array" ref="Q39">xlookup(E39,'FL5_POR_包裝對照表 (Mapping Table)'!E:E,'FL5_POR_包裝對照表 (Mapping Table)'!BI:BI,"",0,1)</f>
        <v>45773</v>
      </c>
      <c r="R39" s="977">
        <v>45779.0</v>
      </c>
      <c r="S39" s="977">
        <f t="shared" si="3"/>
        <v>45785</v>
      </c>
      <c r="T39" s="977">
        <v>45782.0</v>
      </c>
      <c r="U39" s="978"/>
      <c r="V39" s="935"/>
      <c r="W39" s="978" t="str">
        <f t="array" ref="W39">if(isblank(E39),"",xlookup(E39,'FL5_POR_包裝對照表 (Mapping Table)'!E:E,'FL5_POR_包裝對照表 (Mapping Table)'!BM:BM,"",0,1))</f>
        <v>No demand</v>
      </c>
      <c r="X39" s="935"/>
      <c r="Y39" s="935"/>
      <c r="Z39" s="935"/>
      <c r="AA39" s="935"/>
    </row>
    <row r="40" ht="15.75" customHeight="1">
      <c r="A40" s="935"/>
      <c r="B40" s="970">
        <v>33.0</v>
      </c>
      <c r="C40" s="970" t="str">
        <f>if(isblank(E40),"",'FL5_POR_包裝對照表 (Mapping Table)'!$E$4)</f>
        <v>GFL (FL5)</v>
      </c>
      <c r="D40" s="970" t="str">
        <f t="array" ref="D40">IF(ISBLANK(E40),"",xlookup(E40,'FL5_POR_包裝對照表 (Mapping Table)'!E:E,'FL5_POR_包裝對照表 (Mapping Table)'!AZ:AZ,"",0,1))</f>
        <v>MP</v>
      </c>
      <c r="E40" s="971" t="s">
        <v>614</v>
      </c>
      <c r="F40" s="167" t="str">
        <f t="array" ref="F40">if(isblank(E40),"",xlookup(E40,'FL5_POR_包裝對照表 (Mapping Table)'!E:E,'FL5_POR_包裝對照表 (Mapping Table)'!F:F,"",0,1))</f>
        <v>GSTORE, US</v>
      </c>
      <c r="G40" s="972" t="str">
        <f t="array" ref="G40">if(isblank(E40),"",xlookup(E40,'FL5_POR_包裝對照表 (Mapping Table)'!E:E,'FL5_POR_包裝對照表 (Mapping Table)'!C:C,"",0,1))</f>
        <v>Pristine</v>
      </c>
      <c r="H40" s="973" t="str">
        <f t="array" ref="H40">if(isblank(E40),"",xlookup(E40,'FL5_POR_包裝對照表 (Mapping Table)'!E:E,'FL5_POR_包裝對照表 (Mapping Table)'!D:D,"",0,1))</f>
        <v>Retail Pack</v>
      </c>
      <c r="I40" s="974" t="str">
        <f t="shared" si="2"/>
        <v>Close</v>
      </c>
      <c r="J40" s="975" t="str">
        <f t="array" ref="J40">if(isblank(E40),"",xlookup(E40,'FL5_POR_包裝對照表 (Mapping Table)'!E:E,'FL5_POR_包裝對照表 (Mapping Table)'!H:H,"",0,1))</f>
        <v>mmWave</v>
      </c>
      <c r="K40" s="972" t="str">
        <f t="array" ref="K40">if(isblank(E40),"",xlookup(E40,'FL5_POR_包裝對照表 (Mapping Table)'!E:E,'FL5_POR_包裝對照表 (Mapping Table)'!M:M,"",0,1))</f>
        <v>NA</v>
      </c>
      <c r="L40" s="972" t="str">
        <f t="array" ref="L40">if(isblank(E40),"",xlookup(E40,'FL5_POR_包裝對照表 (Mapping Table)'!E:E,'FL5_POR_包裝對照表 (Mapping Table)'!AN:AN,"",0,1))</f>
        <v>G950-15935-05</v>
      </c>
      <c r="M40" s="972" t="str">
        <f t="array" ref="M40">if(isblank(E40),"",xlookup(E40,'FL5_POR_包裝對照表 (Mapping Table)'!E:E,'FL5_POR_包裝對照表 (Mapping Table)'!J:J,"",0,1))</f>
        <v>Frost</v>
      </c>
      <c r="N40" s="972" t="str">
        <f t="array" ref="N40">if(isblank(E40),"",xlookup(E40,'FL5_POR_包裝對照表 (Mapping Table)'!E:E,'FL5_POR_包裝對照表 (Mapping Table)'!K:K,"",0,1))</f>
        <v>PPL</v>
      </c>
      <c r="O40" s="976">
        <f t="array" ref="O40">xlookup(E40,'Ike 提供_20250505'!D:D,'Ike 提供_20250505'!N:N,"",0,1)</f>
        <v>453.37</v>
      </c>
      <c r="P40" s="976">
        <f t="array" ref="P40">xlookup(E40,'Ike 提供_20250505'!D:D,'Ike 提供_20250505'!O:O,"",0,1)</f>
        <v>446.39</v>
      </c>
      <c r="Q40" s="977">
        <f t="array" ref="Q40">xlookup(E40,'FL5_POR_包裝對照表 (Mapping Table)'!E:E,'FL5_POR_包裝對照表 (Mapping Table)'!BI:BI,"",0,1)</f>
        <v>45773</v>
      </c>
      <c r="R40" s="977">
        <v>45779.0</v>
      </c>
      <c r="S40" s="977">
        <f t="shared" si="3"/>
        <v>45785</v>
      </c>
      <c r="T40" s="977">
        <v>45782.0</v>
      </c>
      <c r="U40" s="978"/>
      <c r="V40" s="935"/>
      <c r="W40" s="978" t="str">
        <f t="array" ref="W40">if(isblank(E40),"",xlookup(E40,'FL5_POR_包裝對照表 (Mapping Table)'!E:E,'FL5_POR_包裝對照表 (Mapping Table)'!BM:BM,"",0,1))</f>
        <v>No demand</v>
      </c>
      <c r="X40" s="935"/>
      <c r="Y40" s="935"/>
      <c r="Z40" s="935"/>
      <c r="AA40" s="935"/>
    </row>
    <row r="41" ht="15.75" customHeight="1">
      <c r="A41" s="935"/>
      <c r="B41" s="970">
        <v>34.0</v>
      </c>
      <c r="C41" s="970" t="str">
        <f>if(isblank(E41),"",'FL5_POR_包裝對照表 (Mapping Table)'!$E$4)</f>
        <v>GFL (FL5)</v>
      </c>
      <c r="D41" s="970" t="str">
        <f t="array" ref="D41">IF(ISBLANK(E41),"",xlookup(E41,'FL5_POR_包裝對照表 (Mapping Table)'!E:E,'FL5_POR_包裝對照表 (Mapping Table)'!AZ:AZ,"",0,1))</f>
        <v>MP</v>
      </c>
      <c r="E41" s="971" t="s">
        <v>619</v>
      </c>
      <c r="F41" s="167" t="str">
        <f t="array" ref="F41">if(isblank(E41),"",xlookup(E41,'FL5_POR_包裝對照表 (Mapping Table)'!E:E,'FL5_POR_包裝對照表 (Mapping Table)'!F:F,"",0,1))</f>
        <v>GSTORE, US</v>
      </c>
      <c r="G41" s="972" t="str">
        <f t="array" ref="G41">if(isblank(E41),"",xlookup(E41,'FL5_POR_包裝對照表 (Mapping Table)'!E:E,'FL5_POR_包裝對照表 (Mapping Table)'!C:C,"",0,1))</f>
        <v>Pristine</v>
      </c>
      <c r="H41" s="973" t="str">
        <f t="array" ref="H41">if(isblank(E41),"",xlookup(E41,'FL5_POR_包裝對照表 (Mapping Table)'!E:E,'FL5_POR_包裝對照表 (Mapping Table)'!D:D,"",0,1))</f>
        <v>Retail Pack</v>
      </c>
      <c r="I41" s="974" t="str">
        <f t="shared" si="2"/>
        <v>Close</v>
      </c>
      <c r="J41" s="975" t="str">
        <f t="array" ref="J41">if(isblank(E41),"",xlookup(E41,'FL5_POR_包裝對照表 (Mapping Table)'!E:E,'FL5_POR_包裝對照表 (Mapping Table)'!H:H,"",0,1))</f>
        <v>mmWave</v>
      </c>
      <c r="K41" s="972" t="str">
        <f t="array" ref="K41">if(isblank(E41),"",xlookup(E41,'FL5_POR_包裝對照表 (Mapping Table)'!E:E,'FL5_POR_包裝對照表 (Mapping Table)'!M:M,"",0,1))</f>
        <v>NA</v>
      </c>
      <c r="L41" s="972" t="str">
        <f t="array" ref="L41">if(isblank(E41),"",xlookup(E41,'FL5_POR_包裝對照表 (Mapping Table)'!E:E,'FL5_POR_包裝對照表 (Mapping Table)'!AN:AN,"",0,1))</f>
        <v>G950-15935-06</v>
      </c>
      <c r="M41" s="972" t="str">
        <f t="array" ref="M41">if(isblank(E41),"",xlookup(E41,'FL5_POR_包裝對照表 (Mapping Table)'!E:E,'FL5_POR_包裝對照表 (Mapping Table)'!J:J,"",0,1))</f>
        <v>Lemongrass</v>
      </c>
      <c r="N41" s="972" t="str">
        <f t="array" ref="N41">if(isblank(E41),"",xlookup(E41,'FL5_POR_包裝對照表 (Mapping Table)'!E:E,'FL5_POR_包裝對照表 (Mapping Table)'!K:K,"",0,1))</f>
        <v>YEL</v>
      </c>
      <c r="O41" s="976">
        <f t="array" ref="O41">xlookup(E41,'Ike 提供_20250505'!D:D,'Ike 提供_20250505'!N:N,"",0,1)</f>
        <v>453.47</v>
      </c>
      <c r="P41" s="976">
        <f t="array" ref="P41">xlookup(E41,'Ike 提供_20250505'!D:D,'Ike 提供_20250505'!O:O,"",0,1)</f>
        <v>446.49</v>
      </c>
      <c r="Q41" s="977">
        <f t="array" ref="Q41">xlookup(E41,'FL5_POR_包裝對照表 (Mapping Table)'!E:E,'FL5_POR_包裝對照表 (Mapping Table)'!BI:BI,"",0,1)</f>
        <v>45773</v>
      </c>
      <c r="R41" s="977">
        <v>45779.0</v>
      </c>
      <c r="S41" s="977">
        <f t="shared" si="3"/>
        <v>45785</v>
      </c>
      <c r="T41" s="977">
        <v>45782.0</v>
      </c>
      <c r="U41" s="978"/>
      <c r="V41" s="935"/>
      <c r="W41" s="978" t="str">
        <f t="array" ref="W41">if(isblank(E41),"",xlookup(E41,'FL5_POR_包裝對照表 (Mapping Table)'!E:E,'FL5_POR_包裝對照表 (Mapping Table)'!BM:BM,"",0,1))</f>
        <v>No demand</v>
      </c>
      <c r="X41" s="935"/>
      <c r="Y41" s="935"/>
      <c r="Z41" s="935"/>
      <c r="AA41" s="935"/>
    </row>
    <row r="42" ht="15.75" customHeight="1">
      <c r="A42" s="935"/>
      <c r="B42" s="970">
        <v>35.0</v>
      </c>
      <c r="C42" s="970" t="str">
        <f>if(isblank(E42),"",'FL5_POR_包裝對照表 (Mapping Table)'!$E$4)</f>
        <v>GFL (FL5)</v>
      </c>
      <c r="D42" s="970" t="str">
        <f t="array" ref="D42">IF(ISBLANK(E42),"",xlookup(E42,'FL5_POR_包裝對照表 (Mapping Table)'!E:E,'FL5_POR_包裝對照表 (Mapping Table)'!AZ:AZ,"",0,1))</f>
        <v>MP</v>
      </c>
      <c r="E42" s="971" t="s">
        <v>624</v>
      </c>
      <c r="F42" s="167" t="str">
        <f t="array" ref="F42">if(isblank(E42),"",xlookup(E42,'FL5_POR_包裝對照表 (Mapping Table)'!E:E,'FL5_POR_包裝對照表 (Mapping Table)'!F:F,"",0,1))</f>
        <v>GSTORE, US</v>
      </c>
      <c r="G42" s="972" t="str">
        <f t="array" ref="G42">if(isblank(E42),"",xlookup(E42,'FL5_POR_包裝對照表 (Mapping Table)'!E:E,'FL5_POR_包裝對照表 (Mapping Table)'!C:C,"",0,1))</f>
        <v>Pristine</v>
      </c>
      <c r="H42" s="973" t="str">
        <f t="array" ref="H42">if(isblank(E42),"",xlookup(E42,'FL5_POR_包裝對照表 (Mapping Table)'!E:E,'FL5_POR_包裝對照表 (Mapping Table)'!D:D,"",0,1))</f>
        <v>Retail Pack</v>
      </c>
      <c r="I42" s="974" t="str">
        <f t="shared" si="2"/>
        <v>Close</v>
      </c>
      <c r="J42" s="975" t="str">
        <f t="array" ref="J42">if(isblank(E42),"",xlookup(E42,'FL5_POR_包裝對照表 (Mapping Table)'!E:E,'FL5_POR_包裝對照表 (Mapping Table)'!H:H,"",0,1))</f>
        <v>mmWave</v>
      </c>
      <c r="K42" s="972" t="str">
        <f t="array" ref="K42">if(isblank(E42),"",xlookup(E42,'FL5_POR_包裝對照表 (Mapping Table)'!E:E,'FL5_POR_包裝對照表 (Mapping Table)'!M:M,"",0,1))</f>
        <v>NA</v>
      </c>
      <c r="L42" s="972" t="str">
        <f t="array" ref="L42">if(isblank(E42),"",xlookup(E42,'FL5_POR_包裝對照表 (Mapping Table)'!E:E,'FL5_POR_包裝對照表 (Mapping Table)'!AN:AN,"",0,1))</f>
        <v>G950-15935-07</v>
      </c>
      <c r="M42" s="972" t="str">
        <f t="array" ref="M42">if(isblank(E42),"",xlookup(E42,'FL5_POR_包裝對照表 (Mapping Table)'!E:E,'FL5_POR_包裝對照表 (Mapping Table)'!J:J,"",0,1))</f>
        <v>Indigo</v>
      </c>
      <c r="N42" s="972" t="str">
        <f t="array" ref="N42">if(isblank(E42),"",xlookup(E42,'FL5_POR_包裝對照表 (Mapping Table)'!E:E,'FL5_POR_包裝對照表 (Mapping Table)'!K:K,"",0,1))</f>
        <v>BUE</v>
      </c>
      <c r="O42" s="976">
        <f t="array" ref="O42">xlookup(E42,'Ike 提供_20250505'!D:D,'Ike 提供_20250505'!N:N,"",0,1)</f>
        <v>453.47</v>
      </c>
      <c r="P42" s="976">
        <f t="array" ref="P42">xlookup(E42,'Ike 提供_20250505'!D:D,'Ike 提供_20250505'!O:O,"",0,1)</f>
        <v>446.49</v>
      </c>
      <c r="Q42" s="977">
        <f t="array" ref="Q42">xlookup(E42,'FL5_POR_包裝對照表 (Mapping Table)'!E:E,'FL5_POR_包裝對照表 (Mapping Table)'!BI:BI,"",0,1)</f>
        <v>45773</v>
      </c>
      <c r="R42" s="977">
        <v>45779.0</v>
      </c>
      <c r="S42" s="977">
        <f t="shared" si="3"/>
        <v>45785</v>
      </c>
      <c r="T42" s="977">
        <v>45782.0</v>
      </c>
      <c r="U42" s="978"/>
      <c r="V42" s="935"/>
      <c r="W42" s="978" t="str">
        <f t="array" ref="W42">if(isblank(E42),"",xlookup(E42,'FL5_POR_包裝對照表 (Mapping Table)'!E:E,'FL5_POR_包裝對照表 (Mapping Table)'!BM:BM,"",0,1))</f>
        <v>No demand</v>
      </c>
      <c r="X42" s="935"/>
      <c r="Y42" s="935"/>
      <c r="Z42" s="935"/>
      <c r="AA42" s="935"/>
    </row>
    <row r="43" ht="15.75" customHeight="1">
      <c r="A43" s="935"/>
      <c r="B43" s="970">
        <v>36.0</v>
      </c>
      <c r="C43" s="970" t="str">
        <f>if(isblank(E43),"",'FL5_POR_包裝對照表 (Mapping Table)'!$E$4)</f>
        <v>GFL (FL5)</v>
      </c>
      <c r="D43" s="970" t="str">
        <f t="array" ref="D43">IF(ISBLANK(E43),"",xlookup(E43,'FL5_POR_包裝對照表 (Mapping Table)'!E:E,'FL5_POR_包裝對照表 (Mapping Table)'!AZ:AZ,"",0,1))</f>
        <v>MP</v>
      </c>
      <c r="E43" s="971" t="s">
        <v>629</v>
      </c>
      <c r="F43" s="167" t="str">
        <f t="array" ref="F43">if(isblank(E43),"",xlookup(E43,'FL5_POR_包裝對照表 (Mapping Table)'!E:E,'FL5_POR_包裝對照表 (Mapping Table)'!F:F,"",0,1))</f>
        <v>CA/TW/SG/MY/AU/MX</v>
      </c>
      <c r="G43" s="972" t="str">
        <f t="array" ref="G43">if(isblank(E43),"",xlookup(E43,'FL5_POR_包裝對照表 (Mapping Table)'!E:E,'FL5_POR_包裝對照表 (Mapping Table)'!C:C,"",0,1))</f>
        <v>Pristine</v>
      </c>
      <c r="H43" s="973" t="str">
        <f t="array" ref="H43">if(isblank(E43),"",xlookup(E43,'FL5_POR_包裝對照表 (Mapping Table)'!E:E,'FL5_POR_包裝對照表 (Mapping Table)'!D:D,"",0,1))</f>
        <v>Retail Pack</v>
      </c>
      <c r="I43" s="974" t="str">
        <f t="shared" si="2"/>
        <v>Close</v>
      </c>
      <c r="J43" s="975" t="str">
        <f t="array" ref="J43">if(isblank(E43),"",xlookup(E43,'FL5_POR_包裝對照表 (Mapping Table)'!E:E,'FL5_POR_包裝對照表 (Mapping Table)'!H:H,"",0,1))</f>
        <v>Sub6</v>
      </c>
      <c r="K43" s="972" t="str">
        <f t="array" ref="K43">if(isblank(E43),"",xlookup(E43,'FL5_POR_包裝對照表 (Mapping Table)'!E:E,'FL5_POR_包裝對照表 (Mapping Table)'!M:M,"",0,1))</f>
        <v>ROW</v>
      </c>
      <c r="L43" s="972" t="str">
        <f t="array" ref="L43">if(isblank(E43),"",xlookup(E43,'FL5_POR_包裝對照表 (Mapping Table)'!E:E,'FL5_POR_包裝對照表 (Mapping Table)'!AN:AN,"",0,1))</f>
        <v>G950-15935-14</v>
      </c>
      <c r="M43" s="972" t="str">
        <f t="array" ref="M43">if(isblank(E43),"",xlookup(E43,'FL5_POR_包裝對照表 (Mapping Table)'!E:E,'FL5_POR_包裝對照表 (Mapping Table)'!J:J,"",0,1))</f>
        <v>Obsidian</v>
      </c>
      <c r="N43" s="972" t="str">
        <f t="array" ref="N43">if(isblank(E43),"",xlookup(E43,'FL5_POR_包裝對照表 (Mapping Table)'!E:E,'FL5_POR_包裝對照表 (Mapping Table)'!K:K,"",0,1))</f>
        <v>BLK</v>
      </c>
      <c r="O43" s="976">
        <f t="array" ref="O43">xlookup(E43,'Ike 提供_20250505'!D:D,'Ike 提供_20250505'!N:N,"",0,1)</f>
        <v>435.69</v>
      </c>
      <c r="P43" s="976">
        <f t="array" ref="P43">xlookup(E43,'Ike 提供_20250505'!D:D,'Ike 提供_20250505'!O:O,"",0,1)</f>
        <v>428.71</v>
      </c>
      <c r="Q43" s="977">
        <f t="array" ref="Q43">xlookup(E43,'FL5_POR_包裝對照表 (Mapping Table)'!E:E,'FL5_POR_包裝對照表 (Mapping Table)'!BI:BI,"",0,1)</f>
        <v>45773</v>
      </c>
      <c r="R43" s="977">
        <v>45779.0</v>
      </c>
      <c r="S43" s="977">
        <f t="shared" si="3"/>
        <v>45785</v>
      </c>
      <c r="T43" s="977">
        <v>45782.0</v>
      </c>
      <c r="U43" s="978"/>
      <c r="V43" s="935"/>
      <c r="W43" s="978" t="str">
        <f t="array" ref="W43">if(isblank(E43),"",xlookup(E43,'FL5_POR_包裝對照表 (Mapping Table)'!E:E,'FL5_POR_包裝對照表 (Mapping Table)'!BM:BM,"",0,1))</f>
        <v>No demand</v>
      </c>
      <c r="X43" s="935"/>
      <c r="Y43" s="935"/>
      <c r="Z43" s="935"/>
      <c r="AA43" s="935"/>
    </row>
    <row r="44" ht="15.75" customHeight="1">
      <c r="A44" s="935"/>
      <c r="B44" s="970">
        <v>37.0</v>
      </c>
      <c r="C44" s="970" t="str">
        <f>if(isblank(E44),"",'FL5_POR_包裝對照表 (Mapping Table)'!$E$4)</f>
        <v>GFL (FL5)</v>
      </c>
      <c r="D44" s="970" t="str">
        <f t="array" ref="D44">IF(ISBLANK(E44),"",xlookup(E44,'FL5_POR_包裝對照表 (Mapping Table)'!E:E,'FL5_POR_包裝對照表 (Mapping Table)'!AZ:AZ,"",0,1))</f>
        <v>MP</v>
      </c>
      <c r="E44" s="971" t="s">
        <v>636</v>
      </c>
      <c r="F44" s="167" t="str">
        <f t="array" ref="F44">if(isblank(E44),"",xlookup(E44,'FL5_POR_包裝對照表 (Mapping Table)'!E:E,'FL5_POR_包裝對照表 (Mapping Table)'!F:F,"",0,1))</f>
        <v>CA/TW/SG/MY/AU/MX</v>
      </c>
      <c r="G44" s="972" t="str">
        <f t="array" ref="G44">if(isblank(E44),"",xlookup(E44,'FL5_POR_包裝對照表 (Mapping Table)'!E:E,'FL5_POR_包裝對照表 (Mapping Table)'!C:C,"",0,1))</f>
        <v>Pristine</v>
      </c>
      <c r="H44" s="973" t="str">
        <f t="array" ref="H44">if(isblank(E44),"",xlookup(E44,'FL5_POR_包裝對照表 (Mapping Table)'!E:E,'FL5_POR_包裝對照表 (Mapping Table)'!D:D,"",0,1))</f>
        <v>Retail Pack</v>
      </c>
      <c r="I44" s="974" t="str">
        <f t="shared" si="2"/>
        <v>Close</v>
      </c>
      <c r="J44" s="975" t="str">
        <f t="array" ref="J44">if(isblank(E44),"",xlookup(E44,'FL5_POR_包裝對照表 (Mapping Table)'!E:E,'FL5_POR_包裝對照表 (Mapping Table)'!H:H,"",0,1))</f>
        <v>Sub6</v>
      </c>
      <c r="K44" s="972" t="str">
        <f t="array" ref="K44">if(isblank(E44),"",xlookup(E44,'FL5_POR_包裝對照表 (Mapping Table)'!E:E,'FL5_POR_包裝對照表 (Mapping Table)'!M:M,"",0,1))</f>
        <v>ROW</v>
      </c>
      <c r="L44" s="972" t="str">
        <f t="array" ref="L44">if(isblank(E44),"",xlookup(E44,'FL5_POR_包裝對照表 (Mapping Table)'!E:E,'FL5_POR_包裝對照表 (Mapping Table)'!AN:AN,"",0,1))</f>
        <v>G950-15935-15</v>
      </c>
      <c r="M44" s="972" t="str">
        <f t="array" ref="M44">if(isblank(E44),"",xlookup(E44,'FL5_POR_包裝對照表 (Mapping Table)'!E:E,'FL5_POR_包裝對照表 (Mapping Table)'!J:J,"",0,1))</f>
        <v>Frost</v>
      </c>
      <c r="N44" s="972" t="str">
        <f t="array" ref="N44">if(isblank(E44),"",xlookup(E44,'FL5_POR_包裝對照表 (Mapping Table)'!E:E,'FL5_POR_包裝對照表 (Mapping Table)'!K:K,"",0,1))</f>
        <v>PPL</v>
      </c>
      <c r="O44" s="976">
        <f t="array" ref="O44">xlookup(E44,'Ike 提供_20250505'!D:D,'Ike 提供_20250505'!N:N,"",0,1)</f>
        <v>435.99</v>
      </c>
      <c r="P44" s="976">
        <f t="array" ref="P44">xlookup(E44,'Ike 提供_20250505'!D:D,'Ike 提供_20250505'!O:O,"",0,1)</f>
        <v>429.01</v>
      </c>
      <c r="Q44" s="977">
        <f t="array" ref="Q44">xlookup(E44,'FL5_POR_包裝對照表 (Mapping Table)'!E:E,'FL5_POR_包裝對照表 (Mapping Table)'!BI:BI,"",0,1)</f>
        <v>45773</v>
      </c>
      <c r="R44" s="977">
        <v>45779.0</v>
      </c>
      <c r="S44" s="977">
        <f t="shared" si="3"/>
        <v>45785</v>
      </c>
      <c r="T44" s="977">
        <v>45782.0</v>
      </c>
      <c r="U44" s="978"/>
      <c r="V44" s="935"/>
      <c r="W44" s="978" t="str">
        <f t="array" ref="W44">if(isblank(E44),"",xlookup(E44,'FL5_POR_包裝對照表 (Mapping Table)'!E:E,'FL5_POR_包裝對照表 (Mapping Table)'!BM:BM,"",0,1))</f>
        <v>No demand</v>
      </c>
      <c r="X44" s="935"/>
      <c r="Y44" s="935"/>
      <c r="Z44" s="935"/>
      <c r="AA44" s="935"/>
    </row>
    <row r="45" ht="15.75" customHeight="1">
      <c r="A45" s="935"/>
      <c r="B45" s="970">
        <v>38.0</v>
      </c>
      <c r="C45" s="970" t="str">
        <f>if(isblank(E45),"",'FL5_POR_包裝對照表 (Mapping Table)'!$E$4)</f>
        <v>GFL (FL5)</v>
      </c>
      <c r="D45" s="970" t="str">
        <f t="array" ref="D45">IF(ISBLANK(E45),"",xlookup(E45,'FL5_POR_包裝對照表 (Mapping Table)'!E:E,'FL5_POR_包裝對照表 (Mapping Table)'!AZ:AZ,"",0,1))</f>
        <v>MP</v>
      </c>
      <c r="E45" s="971" t="s">
        <v>643</v>
      </c>
      <c r="F45" s="167" t="str">
        <f t="array" ref="F45">if(isblank(E45),"",xlookup(E45,'FL5_POR_包裝對照表 (Mapping Table)'!E:E,'FL5_POR_包裝對照表 (Mapping Table)'!F:F,"",0,1))</f>
        <v>CA/TW/SG/MY/AU/MX</v>
      </c>
      <c r="G45" s="972" t="str">
        <f t="array" ref="G45">if(isblank(E45),"",xlookup(E45,'FL5_POR_包裝對照表 (Mapping Table)'!E:E,'FL5_POR_包裝對照表 (Mapping Table)'!C:C,"",0,1))</f>
        <v>Pristine</v>
      </c>
      <c r="H45" s="973" t="str">
        <f t="array" ref="H45">if(isblank(E45),"",xlookup(E45,'FL5_POR_包裝對照表 (Mapping Table)'!E:E,'FL5_POR_包裝對照表 (Mapping Table)'!D:D,"",0,1))</f>
        <v>Retail Pack</v>
      </c>
      <c r="I45" s="974" t="str">
        <f t="shared" si="2"/>
        <v>Close</v>
      </c>
      <c r="J45" s="975" t="str">
        <f t="array" ref="J45">if(isblank(E45),"",xlookup(E45,'FL5_POR_包裝對照表 (Mapping Table)'!E:E,'FL5_POR_包裝對照表 (Mapping Table)'!H:H,"",0,1))</f>
        <v>Sub6</v>
      </c>
      <c r="K45" s="972" t="str">
        <f t="array" ref="K45">if(isblank(E45),"",xlookup(E45,'FL5_POR_包裝對照表 (Mapping Table)'!E:E,'FL5_POR_包裝對照表 (Mapping Table)'!M:M,"",0,1))</f>
        <v>ROW</v>
      </c>
      <c r="L45" s="972" t="str">
        <f t="array" ref="L45">if(isblank(E45),"",xlookup(E45,'FL5_POR_包裝對照表 (Mapping Table)'!E:E,'FL5_POR_包裝對照表 (Mapping Table)'!AN:AN,"",0,1))</f>
        <v>G950-15935-16</v>
      </c>
      <c r="M45" s="972" t="str">
        <f t="array" ref="M45">if(isblank(E45),"",xlookup(E45,'FL5_POR_包裝對照表 (Mapping Table)'!E:E,'FL5_POR_包裝對照表 (Mapping Table)'!J:J,"",0,1))</f>
        <v>Lemongrass</v>
      </c>
      <c r="N45" s="972" t="str">
        <f t="array" ref="N45">if(isblank(E45),"",xlookup(E45,'FL5_POR_包裝對照表 (Mapping Table)'!E:E,'FL5_POR_包裝對照表 (Mapping Table)'!K:K,"",0,1))</f>
        <v>YEL</v>
      </c>
      <c r="O45" s="976">
        <f t="array" ref="O45">xlookup(E45,'Ike 提供_20250505'!D:D,'Ike 提供_20250505'!N:N,"",0,1)</f>
        <v>436.09</v>
      </c>
      <c r="P45" s="976">
        <f t="array" ref="P45">xlookup(E45,'Ike 提供_20250505'!D:D,'Ike 提供_20250505'!O:O,"",0,1)</f>
        <v>429.11</v>
      </c>
      <c r="Q45" s="977">
        <f t="array" ref="Q45">xlookup(E45,'FL5_POR_包裝對照表 (Mapping Table)'!E:E,'FL5_POR_包裝對照表 (Mapping Table)'!BI:BI,"",0,1)</f>
        <v>45773</v>
      </c>
      <c r="R45" s="977">
        <v>45779.0</v>
      </c>
      <c r="S45" s="977">
        <f t="shared" si="3"/>
        <v>45785</v>
      </c>
      <c r="T45" s="977">
        <v>45782.0</v>
      </c>
      <c r="U45" s="978"/>
      <c r="V45" s="935"/>
      <c r="W45" s="978" t="str">
        <f t="array" ref="W45">if(isblank(E45),"",xlookup(E45,'FL5_POR_包裝對照表 (Mapping Table)'!E:E,'FL5_POR_包裝對照表 (Mapping Table)'!BM:BM,"",0,1))</f>
        <v>No demand</v>
      </c>
      <c r="X45" s="935"/>
      <c r="Y45" s="935"/>
      <c r="Z45" s="935"/>
      <c r="AA45" s="935"/>
    </row>
    <row r="46" ht="15.75" customHeight="1">
      <c r="A46" s="935"/>
      <c r="B46" s="970">
        <v>39.0</v>
      </c>
      <c r="C46" s="970" t="str">
        <f>if(isblank(E46),"",'FL5_POR_包裝對照表 (Mapping Table)'!$E$4)</f>
        <v>GFL (FL5)</v>
      </c>
      <c r="D46" s="970" t="str">
        <f t="array" ref="D46">IF(ISBLANK(E46),"",xlookup(E46,'FL5_POR_包裝對照表 (Mapping Table)'!E:E,'FL5_POR_包裝對照表 (Mapping Table)'!AZ:AZ,"",0,1))</f>
        <v>MP</v>
      </c>
      <c r="E46" s="971" t="s">
        <v>650</v>
      </c>
      <c r="F46" s="167" t="str">
        <f t="array" ref="F46">if(isblank(E46),"",xlookup(E46,'FL5_POR_包裝對照表 (Mapping Table)'!E:E,'FL5_POR_包裝對照表 (Mapping Table)'!F:F,"",0,1))</f>
        <v>CA/TW/SG/MY/AU/MX</v>
      </c>
      <c r="G46" s="972" t="str">
        <f t="array" ref="G46">if(isblank(E46),"",xlookup(E46,'FL5_POR_包裝對照表 (Mapping Table)'!E:E,'FL5_POR_包裝對照表 (Mapping Table)'!C:C,"",0,1))</f>
        <v>Pristine</v>
      </c>
      <c r="H46" s="973" t="str">
        <f t="array" ref="H46">if(isblank(E46),"",xlookup(E46,'FL5_POR_包裝對照表 (Mapping Table)'!E:E,'FL5_POR_包裝對照表 (Mapping Table)'!D:D,"",0,1))</f>
        <v>Retail Pack</v>
      </c>
      <c r="I46" s="974" t="str">
        <f t="shared" si="2"/>
        <v>Close</v>
      </c>
      <c r="J46" s="975" t="str">
        <f t="array" ref="J46">if(isblank(E46),"",xlookup(E46,'FL5_POR_包裝對照表 (Mapping Table)'!E:E,'FL5_POR_包裝對照表 (Mapping Table)'!H:H,"",0,1))</f>
        <v>Sub6</v>
      </c>
      <c r="K46" s="972" t="str">
        <f t="array" ref="K46">if(isblank(E46),"",xlookup(E46,'FL5_POR_包裝對照表 (Mapping Table)'!E:E,'FL5_POR_包裝對照表 (Mapping Table)'!M:M,"",0,1))</f>
        <v>ROW</v>
      </c>
      <c r="L46" s="972" t="str">
        <f t="array" ref="L46">if(isblank(E46),"",xlookup(E46,'FL5_POR_包裝對照表 (Mapping Table)'!E:E,'FL5_POR_包裝對照表 (Mapping Table)'!AN:AN,"",0,1))</f>
        <v>G950-15935-17</v>
      </c>
      <c r="M46" s="972" t="str">
        <f t="array" ref="M46">if(isblank(E46),"",xlookup(E46,'FL5_POR_包裝對照表 (Mapping Table)'!E:E,'FL5_POR_包裝對照表 (Mapping Table)'!J:J,"",0,1))</f>
        <v>Indigo</v>
      </c>
      <c r="N46" s="972" t="str">
        <f t="array" ref="N46">if(isblank(E46),"",xlookup(E46,'FL5_POR_包裝對照表 (Mapping Table)'!E:E,'FL5_POR_包裝對照表 (Mapping Table)'!K:K,"",0,1))</f>
        <v>BUE</v>
      </c>
      <c r="O46" s="976">
        <f t="array" ref="O46">xlookup(E46,'Ike 提供_20250505'!D:D,'Ike 提供_20250505'!N:N,"",0,1)</f>
        <v>436.09</v>
      </c>
      <c r="P46" s="976">
        <f t="array" ref="P46">xlookup(E46,'Ike 提供_20250505'!D:D,'Ike 提供_20250505'!O:O,"",0,1)</f>
        <v>429.11</v>
      </c>
      <c r="Q46" s="977">
        <f t="array" ref="Q46">xlookup(E46,'FL5_POR_包裝對照表 (Mapping Table)'!E:E,'FL5_POR_包裝對照表 (Mapping Table)'!BI:BI,"",0,1)</f>
        <v>45773</v>
      </c>
      <c r="R46" s="977">
        <v>45779.0</v>
      </c>
      <c r="S46" s="977">
        <f t="shared" si="3"/>
        <v>45785</v>
      </c>
      <c r="T46" s="977">
        <v>45782.0</v>
      </c>
      <c r="U46" s="978"/>
      <c r="V46" s="935"/>
      <c r="W46" s="978" t="str">
        <f t="array" ref="W46">if(isblank(E46),"",xlookup(E46,'FL5_POR_包裝對照表 (Mapping Table)'!E:E,'FL5_POR_包裝對照表 (Mapping Table)'!BM:BM,"",0,1))</f>
        <v>No demand</v>
      </c>
      <c r="X46" s="935"/>
      <c r="Y46" s="935"/>
      <c r="Z46" s="935"/>
      <c r="AA46" s="935"/>
    </row>
    <row r="47" ht="15.75" hidden="1" customHeight="1">
      <c r="A47" s="935"/>
      <c r="B47" s="970">
        <v>40.0</v>
      </c>
      <c r="C47" s="970" t="str">
        <f>if(isblank(E47),"",'FL5_POR_包裝對照表 (Mapping Table)'!$E$4)</f>
        <v>GFL (FL5)</v>
      </c>
      <c r="D47" s="970" t="str">
        <f t="array" ref="D47">IF(ISBLANK(E47),"",xlookup(E47,'FL5_POR_包裝對照表 (Mapping Table)'!E:E,'FL5_POR_包裝對照表 (Mapping Table)'!AZ:AZ,"",0,1))</f>
        <v>MP</v>
      </c>
      <c r="E47" s="971" t="s">
        <v>657</v>
      </c>
      <c r="F47" s="167" t="str">
        <f t="array" ref="F47">if(isblank(E47),"",xlookup(E47,'FL5_POR_包裝對照表 (Mapping Table)'!E:E,'FL5_POR_包裝對照表 (Mapping Table)'!F:F,"",0,1))</f>
        <v>UK/EU</v>
      </c>
      <c r="G47" s="972" t="str">
        <f t="array" ref="G47">if(isblank(E47),"",xlookup(E47,'FL5_POR_包裝對照表 (Mapping Table)'!E:E,'FL5_POR_包裝對照表 (Mapping Table)'!C:C,"",0,1))</f>
        <v>Pristine</v>
      </c>
      <c r="H47" s="973" t="str">
        <f t="array" ref="H47">if(isblank(E47),"",xlookup(E47,'FL5_POR_包裝對照表 (Mapping Table)'!E:E,'FL5_POR_包裝對照表 (Mapping Table)'!D:D,"",0,1))</f>
        <v>Retail Pack</v>
      </c>
      <c r="I47" s="974" t="str">
        <f t="shared" si="2"/>
        <v>Close</v>
      </c>
      <c r="J47" s="975" t="str">
        <f t="array" ref="J47">if(isblank(E47),"",xlookup(E47,'FL5_POR_包裝對照表 (Mapping Table)'!E:E,'FL5_POR_包裝對照表 (Mapping Table)'!H:H,"",0,1))</f>
        <v>Sub6</v>
      </c>
      <c r="K47" s="972" t="str">
        <f t="array" ref="K47">if(isblank(E47),"",xlookup(E47,'FL5_POR_包裝對照表 (Mapping Table)'!E:E,'FL5_POR_包裝對照表 (Mapping Table)'!M:M,"",0,1))</f>
        <v>ROW</v>
      </c>
      <c r="L47" s="972" t="str">
        <f t="array" ref="L47">if(isblank(E47),"",xlookup(E47,'FL5_POR_包裝對照表 (Mapping Table)'!E:E,'FL5_POR_包裝對照表 (Mapping Table)'!AN:AN,"",0,1))</f>
        <v>G950-15935-14</v>
      </c>
      <c r="M47" s="972" t="str">
        <f t="array" ref="M47">if(isblank(E47),"",xlookup(E47,'FL5_POR_包裝對照表 (Mapping Table)'!E:E,'FL5_POR_包裝對照表 (Mapping Table)'!J:J,"",0,1))</f>
        <v>Obsidian</v>
      </c>
      <c r="N47" s="972" t="str">
        <f t="array" ref="N47">if(isblank(E47),"",xlookup(E47,'FL5_POR_包裝對照表 (Mapping Table)'!E:E,'FL5_POR_包裝對照表 (Mapping Table)'!K:K,"",0,1))</f>
        <v>BLK</v>
      </c>
      <c r="O47" s="976">
        <v>450.55</v>
      </c>
      <c r="P47" s="976">
        <f t="array" ref="P47">xlookup(E47,'Ike 提供_20250505'!D:D,'Ike 提供_20250505'!O:O,"",0,1)</f>
        <v>429.22</v>
      </c>
      <c r="Q47" s="977">
        <f t="array" ref="Q47">xlookup(E47,'FL5_POR_包裝對照表 (Mapping Table)'!E:E,'FL5_POR_包裝對照表 (Mapping Table)'!BI:BI,"",0,1)</f>
        <v>45773</v>
      </c>
      <c r="R47" s="977">
        <v>45765.0</v>
      </c>
      <c r="S47" s="977">
        <f t="shared" si="3"/>
        <v>45771</v>
      </c>
      <c r="T47" s="977">
        <v>45777.0</v>
      </c>
      <c r="U47" s="978"/>
      <c r="V47" s="935"/>
      <c r="W47" s="978" t="str">
        <f t="array" ref="W47">if(isblank(E47),"",xlookup(E47,'FL5_POR_包裝對照表 (Mapping Table)'!E:E,'FL5_POR_包裝對照表 (Mapping Table)'!BM:BM,"",0,1))</f>
        <v>No demand</v>
      </c>
      <c r="X47" s="935"/>
      <c r="Y47" s="935"/>
      <c r="Z47" s="935"/>
      <c r="AA47" s="935"/>
    </row>
    <row r="48" ht="15.75" hidden="1" customHeight="1">
      <c r="A48" s="935"/>
      <c r="B48" s="970">
        <v>41.0</v>
      </c>
      <c r="C48" s="970" t="str">
        <f>if(isblank(E48),"",'FL5_POR_包裝對照表 (Mapping Table)'!$E$4)</f>
        <v>GFL (FL5)</v>
      </c>
      <c r="D48" s="970" t="str">
        <f t="array" ref="D48">IF(ISBLANK(E48),"",xlookup(E48,'FL5_POR_包裝對照表 (Mapping Table)'!E:E,'FL5_POR_包裝對照表 (Mapping Table)'!AZ:AZ,"",0,1))</f>
        <v>MP</v>
      </c>
      <c r="E48" s="971" t="s">
        <v>663</v>
      </c>
      <c r="F48" s="167" t="str">
        <f t="array" ref="F48">if(isblank(E48),"",xlookup(E48,'FL5_POR_包裝對照表 (Mapping Table)'!E:E,'FL5_POR_包裝對照表 (Mapping Table)'!F:F,"",0,1))</f>
        <v>UK/EU</v>
      </c>
      <c r="G48" s="972" t="str">
        <f t="array" ref="G48">if(isblank(E48),"",xlookup(E48,'FL5_POR_包裝對照表 (Mapping Table)'!E:E,'FL5_POR_包裝對照表 (Mapping Table)'!C:C,"",0,1))</f>
        <v>Pristine</v>
      </c>
      <c r="H48" s="973" t="str">
        <f t="array" ref="H48">if(isblank(E48),"",xlookup(E48,'FL5_POR_包裝對照表 (Mapping Table)'!E:E,'FL5_POR_包裝對照表 (Mapping Table)'!D:D,"",0,1))</f>
        <v>Retail Pack</v>
      </c>
      <c r="I48" s="974" t="str">
        <f t="shared" si="2"/>
        <v>Close</v>
      </c>
      <c r="J48" s="975" t="str">
        <f t="array" ref="J48">if(isblank(E48),"",xlookup(E48,'FL5_POR_包裝對照表 (Mapping Table)'!E:E,'FL5_POR_包裝對照表 (Mapping Table)'!H:H,"",0,1))</f>
        <v>Sub6</v>
      </c>
      <c r="K48" s="972" t="str">
        <f t="array" ref="K48">if(isblank(E48),"",xlookup(E48,'FL5_POR_包裝對照表 (Mapping Table)'!E:E,'FL5_POR_包裝對照表 (Mapping Table)'!M:M,"",0,1))</f>
        <v>ROW</v>
      </c>
      <c r="L48" s="972" t="str">
        <f t="array" ref="L48">if(isblank(E48),"",xlookup(E48,'FL5_POR_包裝對照表 (Mapping Table)'!E:E,'FL5_POR_包裝對照表 (Mapping Table)'!AN:AN,"",0,1))</f>
        <v>G950-15935-15</v>
      </c>
      <c r="M48" s="972" t="str">
        <f t="array" ref="M48">if(isblank(E48),"",xlookup(E48,'FL5_POR_包裝對照表 (Mapping Table)'!E:E,'FL5_POR_包裝對照表 (Mapping Table)'!J:J,"",0,1))</f>
        <v>Frost</v>
      </c>
      <c r="N48" s="972" t="str">
        <f t="array" ref="N48">if(isblank(E48),"",xlookup(E48,'FL5_POR_包裝對照表 (Mapping Table)'!E:E,'FL5_POR_包裝對照表 (Mapping Table)'!K:K,"",0,1))</f>
        <v>PPL</v>
      </c>
      <c r="O48" s="976">
        <v>447.91</v>
      </c>
      <c r="P48" s="976">
        <f t="array" ref="P48">xlookup(E48,'Ike 提供_20250505'!D:D,'Ike 提供_20250505'!O:O,"",0,1)</f>
        <v>429.52</v>
      </c>
      <c r="Q48" s="977">
        <f t="array" ref="Q48">xlookup(E48,'FL5_POR_包裝對照表 (Mapping Table)'!E:E,'FL5_POR_包裝對照表 (Mapping Table)'!BI:BI,"",0,1)</f>
        <v>45773</v>
      </c>
      <c r="R48" s="977">
        <v>45765.0</v>
      </c>
      <c r="S48" s="977">
        <f t="shared" si="3"/>
        <v>45771</v>
      </c>
      <c r="T48" s="977">
        <v>45778.0</v>
      </c>
      <c r="U48" s="978"/>
      <c r="V48" s="935"/>
      <c r="W48" s="978" t="str">
        <f t="array" ref="W48">if(isblank(E48),"",xlookup(E48,'FL5_POR_包裝對照表 (Mapping Table)'!E:E,'FL5_POR_包裝對照表 (Mapping Table)'!BM:BM,"",0,1))</f>
        <v>No demand</v>
      </c>
      <c r="X48" s="935"/>
      <c r="Y48" s="935"/>
      <c r="Z48" s="935"/>
      <c r="AA48" s="935"/>
    </row>
    <row r="49" ht="15.75" customHeight="1">
      <c r="A49" s="935"/>
      <c r="B49" s="970">
        <v>42.0</v>
      </c>
      <c r="C49" s="970" t="str">
        <f>if(isblank(E49),"",'FL5_POR_包裝對照表 (Mapping Table)'!$E$4)</f>
        <v>GFL (FL5)</v>
      </c>
      <c r="D49" s="970" t="str">
        <f t="array" ref="D49">IF(ISBLANK(E49),"",xlookup(E49,'FL5_POR_包裝對照表 (Mapping Table)'!E:E,'FL5_POR_包裝對照表 (Mapping Table)'!AZ:AZ,"",0,1))</f>
        <v>MP</v>
      </c>
      <c r="E49" s="971" t="s">
        <v>669</v>
      </c>
      <c r="F49" s="167" t="str">
        <f t="array" ref="F49">if(isblank(E49),"",xlookup(E49,'FL5_POR_包裝對照表 (Mapping Table)'!E:E,'FL5_POR_包裝對照表 (Mapping Table)'!F:F,"",0,1))</f>
        <v>UK/EU</v>
      </c>
      <c r="G49" s="972" t="str">
        <f t="array" ref="G49">if(isblank(E49),"",xlookup(E49,'FL5_POR_包裝對照表 (Mapping Table)'!E:E,'FL5_POR_包裝對照表 (Mapping Table)'!C:C,"",0,1))</f>
        <v>Pristine</v>
      </c>
      <c r="H49" s="973" t="str">
        <f t="array" ref="H49">if(isblank(E49),"",xlookup(E49,'FL5_POR_包裝對照表 (Mapping Table)'!E:E,'FL5_POR_包裝對照表 (Mapping Table)'!D:D,"",0,1))</f>
        <v>Retail Pack</v>
      </c>
      <c r="I49" s="974" t="str">
        <f t="shared" si="2"/>
        <v>Close</v>
      </c>
      <c r="J49" s="975" t="str">
        <f t="array" ref="J49">if(isblank(E49),"",xlookup(E49,'FL5_POR_包裝對照表 (Mapping Table)'!E:E,'FL5_POR_包裝對照表 (Mapping Table)'!H:H,"",0,1))</f>
        <v>Sub6</v>
      </c>
      <c r="K49" s="972" t="str">
        <f t="array" ref="K49">if(isblank(E49),"",xlookup(E49,'FL5_POR_包裝對照表 (Mapping Table)'!E:E,'FL5_POR_包裝對照表 (Mapping Table)'!M:M,"",0,1))</f>
        <v>ROW</v>
      </c>
      <c r="L49" s="972" t="str">
        <f t="array" ref="L49">if(isblank(E49),"",xlookup(E49,'FL5_POR_包裝對照表 (Mapping Table)'!E:E,'FL5_POR_包裝對照表 (Mapping Table)'!AN:AN,"",0,1))</f>
        <v>G950-15935-16</v>
      </c>
      <c r="M49" s="972" t="str">
        <f t="array" ref="M49">if(isblank(E49),"",xlookup(E49,'FL5_POR_包裝對照表 (Mapping Table)'!E:E,'FL5_POR_包裝對照表 (Mapping Table)'!J:J,"",0,1))</f>
        <v>Lemongrass</v>
      </c>
      <c r="N49" s="972" t="str">
        <f t="array" ref="N49">if(isblank(E49),"",xlookup(E49,'FL5_POR_包裝對照表 (Mapping Table)'!E:E,'FL5_POR_包裝對照表 (Mapping Table)'!K:K,"",0,1))</f>
        <v>YEL</v>
      </c>
      <c r="O49" s="976">
        <f t="array" ref="O49">xlookup(E49,'Ike 提供_20250505'!D:D,'Ike 提供_20250505'!N:N,"",0,1)</f>
        <v>436.6</v>
      </c>
      <c r="P49" s="976">
        <f t="array" ref="P49">xlookup(E49,'Ike 提供_20250505'!D:D,'Ike 提供_20250505'!O:O,"",0,1)</f>
        <v>429.62</v>
      </c>
      <c r="Q49" s="977">
        <f t="array" ref="Q49">xlookup(E49,'FL5_POR_包裝對照表 (Mapping Table)'!E:E,'FL5_POR_包裝對照表 (Mapping Table)'!BI:BI,"",0,1)</f>
        <v>45773</v>
      </c>
      <c r="R49" s="977">
        <v>45779.0</v>
      </c>
      <c r="S49" s="977">
        <f t="shared" si="3"/>
        <v>45785</v>
      </c>
      <c r="T49" s="977">
        <v>45782.0</v>
      </c>
      <c r="U49" s="978"/>
      <c r="V49" s="935"/>
      <c r="W49" s="978" t="str">
        <f t="array" ref="W49">if(isblank(E49),"",xlookup(E49,'FL5_POR_包裝對照表 (Mapping Table)'!E:E,'FL5_POR_包裝對照表 (Mapping Table)'!BM:BM,"",0,1))</f>
        <v>No demand</v>
      </c>
      <c r="X49" s="935"/>
      <c r="Y49" s="935"/>
      <c r="Z49" s="935"/>
      <c r="AA49" s="935"/>
    </row>
    <row r="50" ht="15.75" customHeight="1">
      <c r="A50" s="935"/>
      <c r="B50" s="970">
        <v>43.0</v>
      </c>
      <c r="C50" s="970" t="str">
        <f>if(isblank(E50),"",'FL5_POR_包裝對照表 (Mapping Table)'!$E$4)</f>
        <v>GFL (FL5)</v>
      </c>
      <c r="D50" s="970" t="str">
        <f t="array" ref="D50">IF(ISBLANK(E50),"",xlookup(E50,'FL5_POR_包裝對照表 (Mapping Table)'!E:E,'FL5_POR_包裝對照表 (Mapping Table)'!AZ:AZ,"",0,1))</f>
        <v>MP</v>
      </c>
      <c r="E50" s="971" t="s">
        <v>675</v>
      </c>
      <c r="F50" s="167" t="str">
        <f t="array" ref="F50">if(isblank(E50),"",xlookup(E50,'FL5_POR_包裝對照表 (Mapping Table)'!E:E,'FL5_POR_包裝對照表 (Mapping Table)'!F:F,"",0,1))</f>
        <v>UK/EU</v>
      </c>
      <c r="G50" s="972" t="str">
        <f t="array" ref="G50">if(isblank(E50),"",xlookup(E50,'FL5_POR_包裝對照表 (Mapping Table)'!E:E,'FL5_POR_包裝對照表 (Mapping Table)'!C:C,"",0,1))</f>
        <v>Pristine</v>
      </c>
      <c r="H50" s="973" t="str">
        <f t="array" ref="H50">if(isblank(E50),"",xlookup(E50,'FL5_POR_包裝對照表 (Mapping Table)'!E:E,'FL5_POR_包裝對照表 (Mapping Table)'!D:D,"",0,1))</f>
        <v>Retail Pack</v>
      </c>
      <c r="I50" s="974" t="str">
        <f t="shared" si="2"/>
        <v>Close</v>
      </c>
      <c r="J50" s="975" t="str">
        <f t="array" ref="J50">if(isblank(E50),"",xlookup(E50,'FL5_POR_包裝對照表 (Mapping Table)'!E:E,'FL5_POR_包裝對照表 (Mapping Table)'!H:H,"",0,1))</f>
        <v>Sub6</v>
      </c>
      <c r="K50" s="972" t="str">
        <f t="array" ref="K50">if(isblank(E50),"",xlookup(E50,'FL5_POR_包裝對照表 (Mapping Table)'!E:E,'FL5_POR_包裝對照表 (Mapping Table)'!M:M,"",0,1))</f>
        <v>ROW</v>
      </c>
      <c r="L50" s="972" t="str">
        <f t="array" ref="L50">if(isblank(E50),"",xlookup(E50,'FL5_POR_包裝對照表 (Mapping Table)'!E:E,'FL5_POR_包裝對照表 (Mapping Table)'!AN:AN,"",0,1))</f>
        <v>G950-15935-17</v>
      </c>
      <c r="M50" s="972" t="str">
        <f t="array" ref="M50">if(isblank(E50),"",xlookup(E50,'FL5_POR_包裝對照表 (Mapping Table)'!E:E,'FL5_POR_包裝對照表 (Mapping Table)'!J:J,"",0,1))</f>
        <v>Indigo</v>
      </c>
      <c r="N50" s="972" t="str">
        <f t="array" ref="N50">if(isblank(E50),"",xlookup(E50,'FL5_POR_包裝對照表 (Mapping Table)'!E:E,'FL5_POR_包裝對照表 (Mapping Table)'!K:K,"",0,1))</f>
        <v>BUE</v>
      </c>
      <c r="O50" s="976">
        <f t="array" ref="O50">xlookup(E50,'Ike 提供_20250505'!D:D,'Ike 提供_20250505'!N:N,"",0,1)</f>
        <v>436.6</v>
      </c>
      <c r="P50" s="976">
        <f t="array" ref="P50">xlookup(E50,'Ike 提供_20250505'!D:D,'Ike 提供_20250505'!O:O,"",0,1)</f>
        <v>429.62</v>
      </c>
      <c r="Q50" s="977">
        <f t="array" ref="Q50">xlookup(E50,'FL5_POR_包裝對照表 (Mapping Table)'!E:E,'FL5_POR_包裝對照表 (Mapping Table)'!BI:BI,"",0,1)</f>
        <v>45773</v>
      </c>
      <c r="R50" s="977">
        <v>45779.0</v>
      </c>
      <c r="S50" s="977">
        <f t="shared" si="3"/>
        <v>45785</v>
      </c>
      <c r="T50" s="977">
        <v>45782.0</v>
      </c>
      <c r="U50" s="978"/>
      <c r="V50" s="935"/>
      <c r="W50" s="978" t="str">
        <f t="array" ref="W50">if(isblank(E50),"",xlookup(E50,'FL5_POR_包裝對照表 (Mapping Table)'!E:E,'FL5_POR_包裝對照表 (Mapping Table)'!BM:BM,"",0,1))</f>
        <v>No demand</v>
      </c>
      <c r="X50" s="935"/>
      <c r="Y50" s="935"/>
      <c r="Z50" s="935"/>
      <c r="AA50" s="935"/>
    </row>
    <row r="51" ht="15.75" hidden="1" customHeight="1">
      <c r="A51" s="935"/>
      <c r="B51" s="970">
        <v>44.0</v>
      </c>
      <c r="C51" s="970" t="str">
        <f>if(isblank(E51),"",'FL5_POR_包裝對照表 (Mapping Table)'!$E$4)</f>
        <v>GFL (FL5)</v>
      </c>
      <c r="D51" s="970" t="str">
        <f t="array" ref="D51">IF(ISBLANK(E51),"",xlookup(E51,'FL5_POR_包裝對照表 (Mapping Table)'!E:E,'FL5_POR_包裝對照表 (Mapping Table)'!AZ:AZ,"",0,1))</f>
        <v>MP</v>
      </c>
      <c r="E51" s="971" t="s">
        <v>681</v>
      </c>
      <c r="F51" s="167" t="str">
        <f t="array" ref="F51">if(isblank(E51),"",xlookup(E51,'FL5_POR_包裝對照表 (Mapping Table)'!E:E,'FL5_POR_包裝對照表 (Mapping Table)'!F:F,"",0,1))</f>
        <v>IN</v>
      </c>
      <c r="G51" s="972" t="str">
        <f t="array" ref="G51">if(isblank(E51),"",xlookup(E51,'FL5_POR_包裝對照表 (Mapping Table)'!E:E,'FL5_POR_包裝對照表 (Mapping Table)'!C:C,"",0,1))</f>
        <v>Pristine</v>
      </c>
      <c r="H51" s="973" t="str">
        <f t="array" ref="H51">if(isblank(E51),"",xlookup(E51,'FL5_POR_包裝對照表 (Mapping Table)'!E:E,'FL5_POR_包裝對照表 (Mapping Table)'!D:D,"",0,1))</f>
        <v>Retail Pack</v>
      </c>
      <c r="I51" s="974" t="str">
        <f t="shared" si="2"/>
        <v>Close</v>
      </c>
      <c r="J51" s="975" t="str">
        <f t="array" ref="J51">if(isblank(E51),"",xlookup(E51,'FL5_POR_包裝對照表 (Mapping Table)'!E:E,'FL5_POR_包裝對照表 (Mapping Table)'!H:H,"",0,1))</f>
        <v>Sub6</v>
      </c>
      <c r="K51" s="972" t="str">
        <f t="array" ref="K51">if(isblank(E51),"",xlookup(E51,'FL5_POR_包裝對照表 (Mapping Table)'!E:E,'FL5_POR_包裝對照表 (Mapping Table)'!M:M,"",0,1))</f>
        <v>ROW</v>
      </c>
      <c r="L51" s="972" t="str">
        <f t="array" ref="L51">if(isblank(E51),"",xlookup(E51,'FL5_POR_包裝對照表 (Mapping Table)'!E:E,'FL5_POR_包裝對照表 (Mapping Table)'!AN:AN,"",0,1))</f>
        <v>G950-15935-14</v>
      </c>
      <c r="M51" s="972" t="str">
        <f t="array" ref="M51">if(isblank(E51),"",xlookup(E51,'FL5_POR_包裝對照表 (Mapping Table)'!E:E,'FL5_POR_包裝對照表 (Mapping Table)'!J:J,"",0,1))</f>
        <v>Obsidian</v>
      </c>
      <c r="N51" s="972" t="str">
        <f t="array" ref="N51">if(isblank(E51),"",xlookup(E51,'FL5_POR_包裝對照表 (Mapping Table)'!E:E,'FL5_POR_包裝對照表 (Mapping Table)'!K:K,"",0,1))</f>
        <v>BLK</v>
      </c>
      <c r="O51" s="976">
        <v>450.04</v>
      </c>
      <c r="P51" s="976">
        <f t="array" ref="P51">xlookup(E51,'Ike 提供_20250505'!D:D,'Ike 提供_20250505'!O:O,"",0,1)</f>
        <v>428.7</v>
      </c>
      <c r="Q51" s="977">
        <f t="array" ref="Q51">xlookup(E51,'FL5_POR_包裝對照表 (Mapping Table)'!E:E,'FL5_POR_包裝對照表 (Mapping Table)'!BI:BI,"",0,1)</f>
        <v>45773</v>
      </c>
      <c r="R51" s="977">
        <v>45765.0</v>
      </c>
      <c r="S51" s="977">
        <f t="shared" si="3"/>
        <v>45771</v>
      </c>
      <c r="T51" s="977">
        <v>45779.0</v>
      </c>
      <c r="U51" s="978"/>
      <c r="V51" s="935"/>
      <c r="W51" s="978" t="str">
        <f t="array" ref="W51">if(isblank(E51),"",xlookup(E51,'FL5_POR_包裝對照表 (Mapping Table)'!E:E,'FL5_POR_包裝對照表 (Mapping Table)'!BM:BM,"",0,1))</f>
        <v>No demand</v>
      </c>
      <c r="X51" s="935"/>
      <c r="Y51" s="935"/>
      <c r="Z51" s="935"/>
      <c r="AA51" s="935"/>
    </row>
    <row r="52" ht="15.75" customHeight="1">
      <c r="A52" s="935"/>
      <c r="B52" s="970">
        <v>45.0</v>
      </c>
      <c r="C52" s="970" t="str">
        <f>if(isblank(E52),"",'FL5_POR_包裝對照表 (Mapping Table)'!$E$4)</f>
        <v>GFL (FL5)</v>
      </c>
      <c r="D52" s="970" t="str">
        <f t="array" ref="D52">IF(ISBLANK(E52),"",xlookup(E52,'FL5_POR_包裝對照表 (Mapping Table)'!E:E,'FL5_POR_包裝對照表 (Mapping Table)'!AZ:AZ,"",0,1))</f>
        <v>MP</v>
      </c>
      <c r="E52" s="971" t="s">
        <v>687</v>
      </c>
      <c r="F52" s="167" t="str">
        <f t="array" ref="F52">if(isblank(E52),"",xlookup(E52,'FL5_POR_包裝對照表 (Mapping Table)'!E:E,'FL5_POR_包裝對照表 (Mapping Table)'!F:F,"",0,1))</f>
        <v>IN</v>
      </c>
      <c r="G52" s="972" t="str">
        <f t="array" ref="G52">if(isblank(E52),"",xlookup(E52,'FL5_POR_包裝對照表 (Mapping Table)'!E:E,'FL5_POR_包裝對照表 (Mapping Table)'!C:C,"",0,1))</f>
        <v>Pristine</v>
      </c>
      <c r="H52" s="973" t="str">
        <f t="array" ref="H52">if(isblank(E52),"",xlookup(E52,'FL5_POR_包裝對照表 (Mapping Table)'!E:E,'FL5_POR_包裝對照表 (Mapping Table)'!D:D,"",0,1))</f>
        <v>Retail Pack</v>
      </c>
      <c r="I52" s="974" t="str">
        <f t="shared" si="2"/>
        <v>Close</v>
      </c>
      <c r="J52" s="975" t="str">
        <f t="array" ref="J52">if(isblank(E52),"",xlookup(E52,'FL5_POR_包裝對照表 (Mapping Table)'!E:E,'FL5_POR_包裝對照表 (Mapping Table)'!H:H,"",0,1))</f>
        <v>Sub6</v>
      </c>
      <c r="K52" s="972" t="str">
        <f t="array" ref="K52">if(isblank(E52),"",xlookup(E52,'FL5_POR_包裝對照表 (Mapping Table)'!E:E,'FL5_POR_包裝對照表 (Mapping Table)'!M:M,"",0,1))</f>
        <v>ROW</v>
      </c>
      <c r="L52" s="972" t="str">
        <f t="array" ref="L52">if(isblank(E52),"",xlookup(E52,'FL5_POR_包裝對照表 (Mapping Table)'!E:E,'FL5_POR_包裝對照表 (Mapping Table)'!AN:AN,"",0,1))</f>
        <v>G950-15935-15</v>
      </c>
      <c r="M52" s="972" t="str">
        <f t="array" ref="M52">if(isblank(E52),"",xlookup(E52,'FL5_POR_包裝對照表 (Mapping Table)'!E:E,'FL5_POR_包裝對照表 (Mapping Table)'!J:J,"",0,1))</f>
        <v>Frost</v>
      </c>
      <c r="N52" s="972" t="str">
        <f t="array" ref="N52">if(isblank(E52),"",xlookup(E52,'FL5_POR_包裝對照表 (Mapping Table)'!E:E,'FL5_POR_包裝對照表 (Mapping Table)'!K:K,"",0,1))</f>
        <v>PPL</v>
      </c>
      <c r="O52" s="976">
        <f t="array" ref="O52">xlookup(E52,'Ike 提供_20250505'!D:D,'Ike 提供_20250505'!N:N,"",0,1)</f>
        <v>435.98</v>
      </c>
      <c r="P52" s="976">
        <f t="array" ref="P52">xlookup(E52,'Ike 提供_20250505'!D:D,'Ike 提供_20250505'!O:O,"",0,1)</f>
        <v>429</v>
      </c>
      <c r="Q52" s="977">
        <f t="array" ref="Q52">xlookup(E52,'FL5_POR_包裝對照表 (Mapping Table)'!E:E,'FL5_POR_包裝對照表 (Mapping Table)'!BI:BI,"",0,1)</f>
        <v>45773</v>
      </c>
      <c r="R52" s="977">
        <v>45779.0</v>
      </c>
      <c r="S52" s="977">
        <f t="shared" si="3"/>
        <v>45785</v>
      </c>
      <c r="T52" s="977">
        <v>45782.0</v>
      </c>
      <c r="U52" s="978"/>
      <c r="V52" s="935"/>
      <c r="W52" s="978" t="str">
        <f t="array" ref="W52">if(isblank(E52),"",xlookup(E52,'FL5_POR_包裝對照表 (Mapping Table)'!E:E,'FL5_POR_包裝對照表 (Mapping Table)'!BM:BM,"",0,1))</f>
        <v>No demand</v>
      </c>
      <c r="X52" s="935"/>
      <c r="Y52" s="935"/>
      <c r="Z52" s="935"/>
      <c r="AA52" s="935"/>
    </row>
    <row r="53" ht="15.75" hidden="1" customHeight="1">
      <c r="A53" s="935"/>
      <c r="B53" s="970">
        <v>46.0</v>
      </c>
      <c r="C53" s="970" t="str">
        <f>if(isblank(E53),"",'FL5_POR_包裝對照表 (Mapping Table)'!$E$4)</f>
        <v>GFL (FL5)</v>
      </c>
      <c r="D53" s="970" t="str">
        <f t="array" ref="D53">IF(ISBLANK(E53),"",xlookup(E53,'FL5_POR_包裝對照表 (Mapping Table)'!E:E,'FL5_POR_包裝對照表 (Mapping Table)'!AZ:AZ,"",0,1))</f>
        <v>MP</v>
      </c>
      <c r="E53" s="971" t="s">
        <v>693</v>
      </c>
      <c r="F53" s="167" t="str">
        <f t="array" ref="F53">if(isblank(E53),"",xlookup(E53,'FL5_POR_包裝對照表 (Mapping Table)'!E:E,'FL5_POR_包裝對照表 (Mapping Table)'!F:F,"",0,1))</f>
        <v>IN</v>
      </c>
      <c r="G53" s="972" t="str">
        <f t="array" ref="G53">if(isblank(E53),"",xlookup(E53,'FL5_POR_包裝對照表 (Mapping Table)'!E:E,'FL5_POR_包裝對照表 (Mapping Table)'!C:C,"",0,1))</f>
        <v>Pristine</v>
      </c>
      <c r="H53" s="973" t="str">
        <f t="array" ref="H53">if(isblank(E53),"",xlookup(E53,'FL5_POR_包裝對照表 (Mapping Table)'!E:E,'FL5_POR_包裝對照表 (Mapping Table)'!D:D,"",0,1))</f>
        <v>Retail Pack</v>
      </c>
      <c r="I53" s="974" t="str">
        <f t="shared" si="2"/>
        <v>Close</v>
      </c>
      <c r="J53" s="975" t="str">
        <f t="array" ref="J53">if(isblank(E53),"",xlookup(E53,'FL5_POR_包裝對照表 (Mapping Table)'!E:E,'FL5_POR_包裝對照表 (Mapping Table)'!H:H,"",0,1))</f>
        <v>Sub6</v>
      </c>
      <c r="K53" s="972" t="str">
        <f t="array" ref="K53">if(isblank(E53),"",xlookup(E53,'FL5_POR_包裝對照表 (Mapping Table)'!E:E,'FL5_POR_包裝對照表 (Mapping Table)'!M:M,"",0,1))</f>
        <v>ROW</v>
      </c>
      <c r="L53" s="972" t="str">
        <f t="array" ref="L53">if(isblank(E53),"",xlookup(E53,'FL5_POR_包裝對照表 (Mapping Table)'!E:E,'FL5_POR_包裝對照表 (Mapping Table)'!AN:AN,"",0,1))</f>
        <v>G950-15935-16</v>
      </c>
      <c r="M53" s="972" t="str">
        <f t="array" ref="M53">if(isblank(E53),"",xlookup(E53,'FL5_POR_包裝對照表 (Mapping Table)'!E:E,'FL5_POR_包裝對照表 (Mapping Table)'!J:J,"",0,1))</f>
        <v>Lemongrass</v>
      </c>
      <c r="N53" s="972" t="str">
        <f t="array" ref="N53">if(isblank(E53),"",xlookup(E53,'FL5_POR_包裝對照表 (Mapping Table)'!E:E,'FL5_POR_包裝對照表 (Mapping Table)'!K:K,"",0,1))</f>
        <v>YEL</v>
      </c>
      <c r="O53" s="976">
        <v>451.09</v>
      </c>
      <c r="P53" s="976">
        <f t="array" ref="P53">xlookup(E53,'Ike 提供_20250505'!D:D,'Ike 提供_20250505'!O:O,"",0,1)</f>
        <v>429.1</v>
      </c>
      <c r="Q53" s="977">
        <f t="array" ref="Q53">xlookup(E53,'FL5_POR_包裝對照表 (Mapping Table)'!E:E,'FL5_POR_包裝對照表 (Mapping Table)'!BI:BI,"",0,1)</f>
        <v>45773</v>
      </c>
      <c r="R53" s="977">
        <v>45765.0</v>
      </c>
      <c r="S53" s="977">
        <f t="shared" si="3"/>
        <v>45771</v>
      </c>
      <c r="T53" s="977">
        <v>45780.0</v>
      </c>
      <c r="U53" s="978"/>
      <c r="V53" s="935"/>
      <c r="W53" s="978" t="str">
        <f t="array" ref="W53">if(isblank(E53),"",xlookup(E53,'FL5_POR_包裝對照表 (Mapping Table)'!E:E,'FL5_POR_包裝對照表 (Mapping Table)'!BM:BM,"",0,1))</f>
        <v>No demand</v>
      </c>
      <c r="X53" s="935"/>
      <c r="Y53" s="935"/>
      <c r="Z53" s="935"/>
      <c r="AA53" s="935"/>
    </row>
    <row r="54" ht="15.75" customHeight="1">
      <c r="A54" s="935"/>
      <c r="B54" s="970">
        <v>47.0</v>
      </c>
      <c r="C54" s="970" t="str">
        <f>if(isblank(E54),"",'FL5_POR_包裝對照表 (Mapping Table)'!$E$4)</f>
        <v>GFL (FL5)</v>
      </c>
      <c r="D54" s="970" t="str">
        <f t="array" ref="D54">IF(ISBLANK(E54),"",xlookup(E54,'FL5_POR_包裝對照表 (Mapping Table)'!E:E,'FL5_POR_包裝對照表 (Mapping Table)'!AZ:AZ,"",0,1))</f>
        <v>MP</v>
      </c>
      <c r="E54" s="971" t="s">
        <v>699</v>
      </c>
      <c r="F54" s="167" t="str">
        <f t="array" ref="F54">if(isblank(E54),"",xlookup(E54,'FL5_POR_包裝對照表 (Mapping Table)'!E:E,'FL5_POR_包裝對照表 (Mapping Table)'!F:F,"",0,1))</f>
        <v>IN</v>
      </c>
      <c r="G54" s="972" t="str">
        <f t="array" ref="G54">if(isblank(E54),"",xlookup(E54,'FL5_POR_包裝對照表 (Mapping Table)'!E:E,'FL5_POR_包裝對照表 (Mapping Table)'!C:C,"",0,1))</f>
        <v>Pristine</v>
      </c>
      <c r="H54" s="973" t="str">
        <f t="array" ref="H54">if(isblank(E54),"",xlookup(E54,'FL5_POR_包裝對照表 (Mapping Table)'!E:E,'FL5_POR_包裝對照表 (Mapping Table)'!D:D,"",0,1))</f>
        <v>Retail Pack</v>
      </c>
      <c r="I54" s="974" t="str">
        <f t="shared" si="2"/>
        <v>Close</v>
      </c>
      <c r="J54" s="975" t="str">
        <f t="array" ref="J54">if(isblank(E54),"",xlookup(E54,'FL5_POR_包裝對照表 (Mapping Table)'!E:E,'FL5_POR_包裝對照表 (Mapping Table)'!H:H,"",0,1))</f>
        <v>Sub6</v>
      </c>
      <c r="K54" s="972" t="str">
        <f t="array" ref="K54">if(isblank(E54),"",xlookup(E54,'FL5_POR_包裝對照表 (Mapping Table)'!E:E,'FL5_POR_包裝對照表 (Mapping Table)'!M:M,"",0,1))</f>
        <v>ROW</v>
      </c>
      <c r="L54" s="972" t="str">
        <f t="array" ref="L54">if(isblank(E54),"",xlookup(E54,'FL5_POR_包裝對照表 (Mapping Table)'!E:E,'FL5_POR_包裝對照表 (Mapping Table)'!AN:AN,"",0,1))</f>
        <v>G950-15935-17</v>
      </c>
      <c r="M54" s="972" t="str">
        <f t="array" ref="M54">if(isblank(E54),"",xlookup(E54,'FL5_POR_包裝對照表 (Mapping Table)'!E:E,'FL5_POR_包裝對照表 (Mapping Table)'!J:J,"",0,1))</f>
        <v>Indigo</v>
      </c>
      <c r="N54" s="972" t="str">
        <f t="array" ref="N54">if(isblank(E54),"",xlookup(E54,'FL5_POR_包裝對照表 (Mapping Table)'!E:E,'FL5_POR_包裝對照表 (Mapping Table)'!K:K,"",0,1))</f>
        <v>BUE</v>
      </c>
      <c r="O54" s="976">
        <f t="array" ref="O54">xlookup(E54,'Ike 提供_20250505'!D:D,'Ike 提供_20250505'!N:N,"",0,1)</f>
        <v>436.08</v>
      </c>
      <c r="P54" s="976">
        <f t="array" ref="P54">xlookup(E54,'Ike 提供_20250505'!D:D,'Ike 提供_20250505'!O:O,"",0,1)</f>
        <v>429.1</v>
      </c>
      <c r="Q54" s="977">
        <f t="array" ref="Q54">xlookup(E54,'FL5_POR_包裝對照表 (Mapping Table)'!E:E,'FL5_POR_包裝對照表 (Mapping Table)'!BI:BI,"",0,1)</f>
        <v>45773</v>
      </c>
      <c r="R54" s="977">
        <v>45779.0</v>
      </c>
      <c r="S54" s="977">
        <f t="shared" si="3"/>
        <v>45785</v>
      </c>
      <c r="T54" s="977">
        <v>45782.0</v>
      </c>
      <c r="U54" s="978"/>
      <c r="V54" s="935"/>
      <c r="W54" s="978" t="str">
        <f t="array" ref="W54">if(isblank(E54),"",xlookup(E54,'FL5_POR_包裝對照表 (Mapping Table)'!E:E,'FL5_POR_包裝對照表 (Mapping Table)'!BM:BM,"",0,1))</f>
        <v>No demand</v>
      </c>
      <c r="X54" s="935"/>
      <c r="Y54" s="935"/>
      <c r="Z54" s="935"/>
      <c r="AA54" s="935"/>
    </row>
    <row r="55" ht="15.75" customHeight="1">
      <c r="A55" s="935"/>
      <c r="B55" s="970">
        <v>48.0</v>
      </c>
      <c r="C55" s="970" t="str">
        <f>if(isblank(E55),"",'FL5_POR_包裝對照表 (Mapping Table)'!$E$4)</f>
        <v>GFL (FL5)</v>
      </c>
      <c r="D55" s="970" t="str">
        <f t="array" ref="D55">IF(ISBLANK(E55),"",xlookup(E55,'FL5_POR_包裝對照表 (Mapping Table)'!E:E,'FL5_POR_包裝對照表 (Mapping Table)'!AZ:AZ,"",0,1))</f>
        <v>MP</v>
      </c>
      <c r="E55" s="971" t="s">
        <v>705</v>
      </c>
      <c r="F55" s="167" t="str">
        <f t="array" ref="F55">if(isblank(E55),"",xlookup(E55,'FL5_POR_包裝對照表 (Mapping Table)'!E:E,'FL5_POR_包裝對照表 (Mapping Table)'!F:F,"",0,1))</f>
        <v>JP</v>
      </c>
      <c r="G55" s="972" t="str">
        <f t="array" ref="G55">if(isblank(E55),"",xlookup(E55,'FL5_POR_包裝對照表 (Mapping Table)'!E:E,'FL5_POR_包裝對照表 (Mapping Table)'!C:C,"",0,1))</f>
        <v>Pristine</v>
      </c>
      <c r="H55" s="973" t="str">
        <f t="array" ref="H55">if(isblank(E55),"",xlookup(E55,'FL5_POR_包裝對照表 (Mapping Table)'!E:E,'FL5_POR_包裝對照表 (Mapping Table)'!D:D,"",0,1))</f>
        <v>Retail Pack</v>
      </c>
      <c r="I55" s="974" t="str">
        <f t="shared" si="2"/>
        <v>Close</v>
      </c>
      <c r="J55" s="975" t="str">
        <f t="array" ref="J55">if(isblank(E55),"",xlookup(E55,'FL5_POR_包裝對照表 (Mapping Table)'!E:E,'FL5_POR_包裝對照表 (Mapping Table)'!H:H,"",0,1))</f>
        <v>JPN</v>
      </c>
      <c r="K55" s="972" t="str">
        <f t="array" ref="K55">if(isblank(E55),"",xlookup(E55,'FL5_POR_包裝對照表 (Mapping Table)'!E:E,'FL5_POR_包裝對照表 (Mapping Table)'!M:M,"",0,1))</f>
        <v>JPN</v>
      </c>
      <c r="L55" s="972" t="str">
        <f t="array" ref="L55">if(isblank(E55),"",xlookup(E55,'FL5_POR_包裝對照表 (Mapping Table)'!E:E,'FL5_POR_包裝對照表 (Mapping Table)'!AN:AN,"",0,1))</f>
        <v>G950-15935-14</v>
      </c>
      <c r="M55" s="972" t="str">
        <f t="array" ref="M55">if(isblank(E55),"",xlookup(E55,'FL5_POR_包裝對照表 (Mapping Table)'!E:E,'FL5_POR_包裝對照表 (Mapping Table)'!J:J,"",0,1))</f>
        <v>Obsidian</v>
      </c>
      <c r="N55" s="972" t="str">
        <f t="array" ref="N55">if(isblank(E55),"",xlookup(E55,'FL5_POR_包裝對照表 (Mapping Table)'!E:E,'FL5_POR_包裝對照表 (Mapping Table)'!K:K,"",0,1))</f>
        <v>BLK</v>
      </c>
      <c r="O55" s="976">
        <f t="array" ref="O55">xlookup(E55,'Ike 提供_20250505'!D:D,'Ike 提供_20250505'!N:N,"",0,1)</f>
        <v>435.67</v>
      </c>
      <c r="P55" s="976">
        <f t="array" ref="P55">xlookup(E55,'Ike 提供_20250505'!D:D,'Ike 提供_20250505'!O:O,"",0,1)</f>
        <v>428.69</v>
      </c>
      <c r="Q55" s="977">
        <f t="array" ref="Q55">xlookup(E55,'FL5_POR_包裝對照表 (Mapping Table)'!E:E,'FL5_POR_包裝對照表 (Mapping Table)'!BI:BI,"",0,1)</f>
        <v>45773</v>
      </c>
      <c r="R55" s="977">
        <v>45779.0</v>
      </c>
      <c r="S55" s="977">
        <f t="shared" si="3"/>
        <v>45785</v>
      </c>
      <c r="T55" s="977">
        <v>45782.0</v>
      </c>
      <c r="U55" s="978"/>
      <c r="V55" s="935"/>
      <c r="W55" s="978" t="str">
        <f t="array" ref="W55">if(isblank(E55),"",xlookup(E55,'FL5_POR_包裝對照表 (Mapping Table)'!E:E,'FL5_POR_包裝對照表 (Mapping Table)'!BM:BM,"",0,1))</f>
        <v>No demand</v>
      </c>
      <c r="X55" s="935"/>
      <c r="Y55" s="935"/>
      <c r="Z55" s="935"/>
      <c r="AA55" s="935"/>
    </row>
    <row r="56" ht="15.75" customHeight="1">
      <c r="A56" s="935"/>
      <c r="B56" s="970">
        <v>49.0</v>
      </c>
      <c r="C56" s="970" t="str">
        <f>if(isblank(E56),"",'FL5_POR_包裝對照表 (Mapping Table)'!$E$4)</f>
        <v>GFL (FL5)</v>
      </c>
      <c r="D56" s="970" t="str">
        <f t="array" ref="D56">IF(ISBLANK(E56),"",xlookup(E56,'FL5_POR_包裝對照表 (Mapping Table)'!E:E,'FL5_POR_包裝對照表 (Mapping Table)'!AZ:AZ,"",0,1))</f>
        <v>MP</v>
      </c>
      <c r="E56" s="971" t="s">
        <v>711</v>
      </c>
      <c r="F56" s="167" t="str">
        <f t="array" ref="F56">if(isblank(E56),"",xlookup(E56,'FL5_POR_包裝對照表 (Mapping Table)'!E:E,'FL5_POR_包裝對照表 (Mapping Table)'!F:F,"",0,1))</f>
        <v>JP</v>
      </c>
      <c r="G56" s="972" t="str">
        <f t="array" ref="G56">if(isblank(E56),"",xlookup(E56,'FL5_POR_包裝對照表 (Mapping Table)'!E:E,'FL5_POR_包裝對照表 (Mapping Table)'!C:C,"",0,1))</f>
        <v>Pristine</v>
      </c>
      <c r="H56" s="973" t="str">
        <f t="array" ref="H56">if(isblank(E56),"",xlookup(E56,'FL5_POR_包裝對照表 (Mapping Table)'!E:E,'FL5_POR_包裝對照表 (Mapping Table)'!D:D,"",0,1))</f>
        <v>Retail Pack</v>
      </c>
      <c r="I56" s="974" t="str">
        <f t="shared" si="2"/>
        <v>Close</v>
      </c>
      <c r="J56" s="975" t="str">
        <f t="array" ref="J56">if(isblank(E56),"",xlookup(E56,'FL5_POR_包裝對照表 (Mapping Table)'!E:E,'FL5_POR_包裝對照表 (Mapping Table)'!H:H,"",0,1))</f>
        <v>JPN</v>
      </c>
      <c r="K56" s="972" t="str">
        <f t="array" ref="K56">if(isblank(E56),"",xlookup(E56,'FL5_POR_包裝對照表 (Mapping Table)'!E:E,'FL5_POR_包裝對照表 (Mapping Table)'!M:M,"",0,1))</f>
        <v>JPN</v>
      </c>
      <c r="L56" s="972" t="str">
        <f t="array" ref="L56">if(isblank(E56),"",xlookup(E56,'FL5_POR_包裝對照表 (Mapping Table)'!E:E,'FL5_POR_包裝對照表 (Mapping Table)'!AN:AN,"",0,1))</f>
        <v>G950-15935-15</v>
      </c>
      <c r="M56" s="972" t="str">
        <f t="array" ref="M56">if(isblank(E56),"",xlookup(E56,'FL5_POR_包裝對照表 (Mapping Table)'!E:E,'FL5_POR_包裝對照表 (Mapping Table)'!J:J,"",0,1))</f>
        <v>Frost</v>
      </c>
      <c r="N56" s="972" t="str">
        <f t="array" ref="N56">if(isblank(E56),"",xlookup(E56,'FL5_POR_包裝對照表 (Mapping Table)'!E:E,'FL5_POR_包裝對照表 (Mapping Table)'!K:K,"",0,1))</f>
        <v>PPL</v>
      </c>
      <c r="O56" s="976">
        <f t="array" ref="O56">xlookup(E56,'Ike 提供_20250505'!D:D,'Ike 提供_20250505'!N:N,"",0,1)</f>
        <v>435.97</v>
      </c>
      <c r="P56" s="976">
        <f t="array" ref="P56">xlookup(E56,'Ike 提供_20250505'!D:D,'Ike 提供_20250505'!O:O,"",0,1)</f>
        <v>428.99</v>
      </c>
      <c r="Q56" s="977">
        <f t="array" ref="Q56">xlookup(E56,'FL5_POR_包裝對照表 (Mapping Table)'!E:E,'FL5_POR_包裝對照表 (Mapping Table)'!BI:BI,"",0,1)</f>
        <v>45773</v>
      </c>
      <c r="R56" s="977">
        <v>45779.0</v>
      </c>
      <c r="S56" s="977">
        <f t="shared" si="3"/>
        <v>45785</v>
      </c>
      <c r="T56" s="977">
        <v>45782.0</v>
      </c>
      <c r="U56" s="978"/>
      <c r="V56" s="935"/>
      <c r="W56" s="978" t="str">
        <f t="array" ref="W56">if(isblank(E56),"",xlookup(E56,'FL5_POR_包裝對照表 (Mapping Table)'!E:E,'FL5_POR_包裝對照表 (Mapping Table)'!BM:BM,"",0,1))</f>
        <v>No demand</v>
      </c>
      <c r="X56" s="935"/>
      <c r="Y56" s="935"/>
      <c r="Z56" s="935"/>
      <c r="AA56" s="935"/>
    </row>
    <row r="57" ht="15.75" customHeight="1">
      <c r="A57" s="935"/>
      <c r="B57" s="970">
        <v>50.0</v>
      </c>
      <c r="C57" s="970" t="str">
        <f>if(isblank(E57),"",'FL5_POR_包裝對照表 (Mapping Table)'!$E$4)</f>
        <v>GFL (FL5)</v>
      </c>
      <c r="D57" s="970" t="str">
        <f t="array" ref="D57">IF(ISBLANK(E57),"",xlookup(E57,'FL5_POR_包裝對照表 (Mapping Table)'!E:E,'FL5_POR_包裝對照表 (Mapping Table)'!AZ:AZ,"",0,1))</f>
        <v>MP</v>
      </c>
      <c r="E57" s="971" t="s">
        <v>717</v>
      </c>
      <c r="F57" s="167" t="str">
        <f t="array" ref="F57">if(isblank(E57),"",xlookup(E57,'FL5_POR_包裝對照表 (Mapping Table)'!E:E,'FL5_POR_包裝對照表 (Mapping Table)'!F:F,"",0,1))</f>
        <v>JP</v>
      </c>
      <c r="G57" s="972" t="str">
        <f t="array" ref="G57">if(isblank(E57),"",xlookup(E57,'FL5_POR_包裝對照表 (Mapping Table)'!E:E,'FL5_POR_包裝對照表 (Mapping Table)'!C:C,"",0,1))</f>
        <v>Pristine</v>
      </c>
      <c r="H57" s="973" t="str">
        <f t="array" ref="H57">if(isblank(E57),"",xlookup(E57,'FL5_POR_包裝對照表 (Mapping Table)'!E:E,'FL5_POR_包裝對照表 (Mapping Table)'!D:D,"",0,1))</f>
        <v>Retail Pack</v>
      </c>
      <c r="I57" s="974" t="str">
        <f t="shared" si="2"/>
        <v>Close</v>
      </c>
      <c r="J57" s="975" t="str">
        <f t="array" ref="J57">if(isblank(E57),"",xlookup(E57,'FL5_POR_包裝對照表 (Mapping Table)'!E:E,'FL5_POR_包裝對照表 (Mapping Table)'!H:H,"",0,1))</f>
        <v>JPN</v>
      </c>
      <c r="K57" s="972" t="str">
        <f t="array" ref="K57">if(isblank(E57),"",xlookup(E57,'FL5_POR_包裝對照表 (Mapping Table)'!E:E,'FL5_POR_包裝對照表 (Mapping Table)'!M:M,"",0,1))</f>
        <v>JPN</v>
      </c>
      <c r="L57" s="972" t="str">
        <f t="array" ref="L57">if(isblank(E57),"",xlookup(E57,'FL5_POR_包裝對照表 (Mapping Table)'!E:E,'FL5_POR_包裝對照表 (Mapping Table)'!AN:AN,"",0,1))</f>
        <v>G950-15935-16</v>
      </c>
      <c r="M57" s="972" t="str">
        <f t="array" ref="M57">if(isblank(E57),"",xlookup(E57,'FL5_POR_包裝對照表 (Mapping Table)'!E:E,'FL5_POR_包裝對照表 (Mapping Table)'!J:J,"",0,1))</f>
        <v>Lemongrass</v>
      </c>
      <c r="N57" s="972" t="str">
        <f t="array" ref="N57">if(isblank(E57),"",xlookup(E57,'FL5_POR_包裝對照表 (Mapping Table)'!E:E,'FL5_POR_包裝對照表 (Mapping Table)'!K:K,"",0,1))</f>
        <v>YEL</v>
      </c>
      <c r="O57" s="976">
        <f t="array" ref="O57">xlookup(E57,'Ike 提供_20250505'!D:D,'Ike 提供_20250505'!N:N,"",0,1)</f>
        <v>436.07</v>
      </c>
      <c r="P57" s="976">
        <f t="array" ref="P57">xlookup(E57,'Ike 提供_20250505'!D:D,'Ike 提供_20250505'!O:O,"",0,1)</f>
        <v>429.09</v>
      </c>
      <c r="Q57" s="977">
        <f t="array" ref="Q57">xlookup(E57,'FL5_POR_包裝對照表 (Mapping Table)'!E:E,'FL5_POR_包裝對照表 (Mapping Table)'!BI:BI,"",0,1)</f>
        <v>45773</v>
      </c>
      <c r="R57" s="977">
        <v>45779.0</v>
      </c>
      <c r="S57" s="977">
        <f t="shared" si="3"/>
        <v>45785</v>
      </c>
      <c r="T57" s="977">
        <v>45782.0</v>
      </c>
      <c r="U57" s="978"/>
      <c r="V57" s="935"/>
      <c r="W57" s="978" t="str">
        <f t="array" ref="W57">if(isblank(E57),"",xlookup(E57,'FL5_POR_包裝對照表 (Mapping Table)'!E:E,'FL5_POR_包裝對照表 (Mapping Table)'!BM:BM,"",0,1))</f>
        <v>No demand</v>
      </c>
      <c r="X57" s="935"/>
      <c r="Y57" s="935"/>
      <c r="Z57" s="935"/>
      <c r="AA57" s="935"/>
    </row>
    <row r="58" ht="15.75" customHeight="1">
      <c r="A58" s="935"/>
      <c r="B58" s="970">
        <v>51.0</v>
      </c>
      <c r="C58" s="970" t="str">
        <f>if(isblank(E58),"",'FL5_POR_包裝對照表 (Mapping Table)'!$E$4)</f>
        <v>GFL (FL5)</v>
      </c>
      <c r="D58" s="970" t="str">
        <f t="array" ref="D58">IF(ISBLANK(E58),"",xlookup(E58,'FL5_POR_包裝對照表 (Mapping Table)'!E:E,'FL5_POR_包裝對照表 (Mapping Table)'!AZ:AZ,"",0,1))</f>
        <v>MP</v>
      </c>
      <c r="E58" s="971" t="s">
        <v>723</v>
      </c>
      <c r="F58" s="167" t="str">
        <f t="array" ref="F58">if(isblank(E58),"",xlookup(E58,'FL5_POR_包裝對照表 (Mapping Table)'!E:E,'FL5_POR_包裝對照表 (Mapping Table)'!F:F,"",0,1))</f>
        <v>JP</v>
      </c>
      <c r="G58" s="972" t="str">
        <f t="array" ref="G58">if(isblank(E58),"",xlookup(E58,'FL5_POR_包裝對照表 (Mapping Table)'!E:E,'FL5_POR_包裝對照表 (Mapping Table)'!C:C,"",0,1))</f>
        <v>Pristine</v>
      </c>
      <c r="H58" s="973" t="str">
        <f t="array" ref="H58">if(isblank(E58),"",xlookup(E58,'FL5_POR_包裝對照表 (Mapping Table)'!E:E,'FL5_POR_包裝對照表 (Mapping Table)'!D:D,"",0,1))</f>
        <v>Retail Pack</v>
      </c>
      <c r="I58" s="974" t="str">
        <f t="shared" si="2"/>
        <v>Close</v>
      </c>
      <c r="J58" s="975" t="str">
        <f t="array" ref="J58">if(isblank(E58),"",xlookup(E58,'FL5_POR_包裝對照表 (Mapping Table)'!E:E,'FL5_POR_包裝對照表 (Mapping Table)'!H:H,"",0,1))</f>
        <v>JPN</v>
      </c>
      <c r="K58" s="972" t="str">
        <f t="array" ref="K58">if(isblank(E58),"",xlookup(E58,'FL5_POR_包裝對照表 (Mapping Table)'!E:E,'FL5_POR_包裝對照表 (Mapping Table)'!M:M,"",0,1))</f>
        <v>JPN</v>
      </c>
      <c r="L58" s="972" t="str">
        <f t="array" ref="L58">if(isblank(E58),"",xlookup(E58,'FL5_POR_包裝對照表 (Mapping Table)'!E:E,'FL5_POR_包裝對照表 (Mapping Table)'!AN:AN,"",0,1))</f>
        <v>G950-15935-17</v>
      </c>
      <c r="M58" s="972" t="str">
        <f t="array" ref="M58">if(isblank(E58),"",xlookup(E58,'FL5_POR_包裝對照表 (Mapping Table)'!E:E,'FL5_POR_包裝對照表 (Mapping Table)'!J:J,"",0,1))</f>
        <v>Indigo</v>
      </c>
      <c r="N58" s="972" t="str">
        <f t="array" ref="N58">if(isblank(E58),"",xlookup(E58,'FL5_POR_包裝對照表 (Mapping Table)'!E:E,'FL5_POR_包裝對照表 (Mapping Table)'!K:K,"",0,1))</f>
        <v>BUE</v>
      </c>
      <c r="O58" s="976">
        <f t="array" ref="O58">xlookup(E58,'Ike 提供_20250505'!D:D,'Ike 提供_20250505'!N:N,"",0,1)</f>
        <v>436.07</v>
      </c>
      <c r="P58" s="976">
        <f t="array" ref="P58">xlookup(E58,'Ike 提供_20250505'!D:D,'Ike 提供_20250505'!O:O,"",0,1)</f>
        <v>429.09</v>
      </c>
      <c r="Q58" s="977">
        <f t="array" ref="Q58">xlookup(E58,'FL5_POR_包裝對照表 (Mapping Table)'!E:E,'FL5_POR_包裝對照表 (Mapping Table)'!BI:BI,"",0,1)</f>
        <v>45773</v>
      </c>
      <c r="R58" s="977">
        <v>45779.0</v>
      </c>
      <c r="S58" s="977">
        <f t="shared" si="3"/>
        <v>45785</v>
      </c>
      <c r="T58" s="977">
        <v>45782.0</v>
      </c>
      <c r="U58" s="978"/>
      <c r="V58" s="935"/>
      <c r="W58" s="978" t="str">
        <f t="array" ref="W58">if(isblank(E58),"",xlookup(E58,'FL5_POR_包裝對照表 (Mapping Table)'!E:E,'FL5_POR_包裝對照表 (Mapping Table)'!BM:BM,"",0,1))</f>
        <v>No demand</v>
      </c>
      <c r="X58" s="935"/>
      <c r="Y58" s="935"/>
      <c r="Z58" s="935"/>
      <c r="AA58" s="935"/>
    </row>
    <row r="59" ht="15.75" customHeight="1">
      <c r="A59" s="935"/>
      <c r="B59" s="970">
        <v>52.0</v>
      </c>
      <c r="C59" s="970" t="str">
        <f>if(isblank(E59),"",'FL5_POR_包裝對照表 (Mapping Table)'!$E$4)</f>
        <v>GFL (FL5)</v>
      </c>
      <c r="D59" s="970" t="str">
        <f t="array" ref="D59">IF(ISBLANK(E59),"",xlookup(E59,'FL5_POR_包裝對照表 (Mapping Table)'!E:E,'FL5_POR_包裝對照表 (Mapping Table)'!AZ:AZ,"",0,1))</f>
        <v>MP</v>
      </c>
      <c r="E59" s="971" t="s">
        <v>729</v>
      </c>
      <c r="F59" s="167" t="str">
        <f t="array" ref="F59">if(isblank(E59),"",xlookup(E59,'FL5_POR_包裝對照表 (Mapping Table)'!E:E,'FL5_POR_包裝對照表 (Mapping Table)'!F:F,"",0,1))</f>
        <v>VZW, US</v>
      </c>
      <c r="G59" s="972" t="str">
        <f t="array" ref="G59">if(isblank(E59),"",xlookup(E59,'FL5_POR_包裝對照表 (Mapping Table)'!E:E,'FL5_POR_包裝對照表 (Mapping Table)'!C:C,"",0,1))</f>
        <v>IQ (VzW only)</v>
      </c>
      <c r="H59" s="973" t="str">
        <f t="array" ref="H59">if(isblank(E59),"",xlookup(E59,'FL5_POR_包裝對照表 (Mapping Table)'!E:E,'FL5_POR_包裝對照表 (Mapping Table)'!D:D,"",0,1))</f>
        <v>Retail Pack</v>
      </c>
      <c r="I59" s="974" t="str">
        <f t="shared" si="2"/>
        <v>Close</v>
      </c>
      <c r="J59" s="975" t="str">
        <f t="array" ref="J59">if(isblank(E59),"",xlookup(E59,'FL5_POR_包裝對照表 (Mapping Table)'!E:E,'FL5_POR_包裝對照表 (Mapping Table)'!H:H,"",0,1))</f>
        <v>mmWave</v>
      </c>
      <c r="K59" s="972" t="str">
        <f t="array" ref="K59">if(isblank(E59),"",xlookup(E59,'FL5_POR_包裝對照表 (Mapping Table)'!E:E,'FL5_POR_包裝對照表 (Mapping Table)'!M:M,"",0,1))</f>
        <v>VZW</v>
      </c>
      <c r="L59" s="972" t="str">
        <f t="array" ref="L59">if(isblank(E59),"",xlookup(E59,'FL5_POR_包裝對照表 (Mapping Table)'!E:E,'FL5_POR_包裝對照表 (Mapping Table)'!AN:AN,"",0,1))</f>
        <v>G950-15935-00</v>
      </c>
      <c r="M59" s="972" t="str">
        <f t="array" ref="M59">if(isblank(E59),"",xlookup(E59,'FL5_POR_包裝對照表 (Mapping Table)'!E:E,'FL5_POR_包裝對照表 (Mapping Table)'!J:J,"",0,1))</f>
        <v>Obsidian</v>
      </c>
      <c r="N59" s="972" t="str">
        <f t="array" ref="N59">if(isblank(E59),"",xlookup(E59,'FL5_POR_包裝對照表 (Mapping Table)'!E:E,'FL5_POR_包裝對照表 (Mapping Table)'!K:K,"",0,1))</f>
        <v>BLK</v>
      </c>
      <c r="O59" s="976">
        <f t="array" ref="O59">xlookup(E59,'Ike 提供_20250505'!D:D,'Ike 提供_20250505'!N:N,"",0,1)</f>
        <v>447.07</v>
      </c>
      <c r="P59" s="976">
        <f t="array" ref="P59">xlookup(E59,'Ike 提供_20250505'!D:D,'Ike 提供_20250505'!O:O,"",0,1)</f>
        <v>440.09</v>
      </c>
      <c r="Q59" s="977">
        <f t="array" ref="Q59">xlookup(E59,'FL5_POR_包裝對照表 (Mapping Table)'!E:E,'FL5_POR_包裝對照表 (Mapping Table)'!BI:BI,"",0,1)</f>
        <v>45773</v>
      </c>
      <c r="R59" s="977">
        <v>45779.0</v>
      </c>
      <c r="S59" s="977">
        <f t="shared" si="3"/>
        <v>45785</v>
      </c>
      <c r="T59" s="977">
        <v>45782.0</v>
      </c>
      <c r="U59" s="978"/>
      <c r="V59" s="935"/>
      <c r="W59" s="978" t="str">
        <f t="array" ref="W59">if(isblank(E59),"",xlookup(E59,'FL5_POR_包裝對照表 (Mapping Table)'!E:E,'FL5_POR_包裝對照表 (Mapping Table)'!BM:BM,"",0,1))</f>
        <v>No demand</v>
      </c>
      <c r="X59" s="935"/>
      <c r="Y59" s="935"/>
      <c r="Z59" s="935"/>
      <c r="AA59" s="935"/>
    </row>
    <row r="60" ht="15.75" customHeight="1">
      <c r="A60" s="935"/>
      <c r="B60" s="970">
        <v>53.0</v>
      </c>
      <c r="C60" s="970" t="str">
        <f>if(isblank(E60),"",'FL5_POR_包裝對照表 (Mapping Table)'!$E$4)</f>
        <v>GFL (FL5)</v>
      </c>
      <c r="D60" s="970" t="str">
        <f t="array" ref="D60">IF(ISBLANK(E60),"",xlookup(E60,'FL5_POR_包裝對照表 (Mapping Table)'!E:E,'FL5_POR_包裝對照表 (Mapping Table)'!AZ:AZ,"",0,1))</f>
        <v>MP</v>
      </c>
      <c r="E60" s="971" t="s">
        <v>734</v>
      </c>
      <c r="F60" s="167" t="str">
        <f t="array" ref="F60">if(isblank(E60),"",xlookup(E60,'FL5_POR_包裝對照表 (Mapping Table)'!E:E,'FL5_POR_包裝對照表 (Mapping Table)'!F:F,"",0,1))</f>
        <v>VZW, US</v>
      </c>
      <c r="G60" s="972" t="str">
        <f t="array" ref="G60">if(isblank(E60),"",xlookup(E60,'FL5_POR_包裝對照表 (Mapping Table)'!E:E,'FL5_POR_包裝對照表 (Mapping Table)'!C:C,"",0,1))</f>
        <v>IQ (VzW only)</v>
      </c>
      <c r="H60" s="973" t="str">
        <f t="array" ref="H60">if(isblank(E60),"",xlookup(E60,'FL5_POR_包裝對照表 (Mapping Table)'!E:E,'FL5_POR_包裝對照表 (Mapping Table)'!D:D,"",0,1))</f>
        <v>Retail Pack</v>
      </c>
      <c r="I60" s="974" t="str">
        <f t="shared" si="2"/>
        <v>Close</v>
      </c>
      <c r="J60" s="975" t="str">
        <f t="array" ref="J60">if(isblank(E60),"",xlookup(E60,'FL5_POR_包裝對照表 (Mapping Table)'!E:E,'FL5_POR_包裝對照表 (Mapping Table)'!H:H,"",0,1))</f>
        <v>mmWave</v>
      </c>
      <c r="K60" s="972" t="str">
        <f t="array" ref="K60">if(isblank(E60),"",xlookup(E60,'FL5_POR_包裝對照表 (Mapping Table)'!E:E,'FL5_POR_包裝對照表 (Mapping Table)'!M:M,"",0,1))</f>
        <v>VZW</v>
      </c>
      <c r="L60" s="972" t="str">
        <f t="array" ref="L60">if(isblank(E60),"",xlookup(E60,'FL5_POR_包裝對照表 (Mapping Table)'!E:E,'FL5_POR_包裝對照表 (Mapping Table)'!AN:AN,"",0,1))</f>
        <v>G950-15935-01</v>
      </c>
      <c r="M60" s="972" t="str">
        <f t="array" ref="M60">if(isblank(E60),"",xlookup(E60,'FL5_POR_包裝對照表 (Mapping Table)'!E:E,'FL5_POR_包裝對照表 (Mapping Table)'!J:J,"",0,1))</f>
        <v>Frost</v>
      </c>
      <c r="N60" s="972" t="str">
        <f t="array" ref="N60">if(isblank(E60),"",xlookup(E60,'FL5_POR_包裝對照表 (Mapping Table)'!E:E,'FL5_POR_包裝對照表 (Mapping Table)'!K:K,"",0,1))</f>
        <v>PPL</v>
      </c>
      <c r="O60" s="976">
        <f t="array" ref="O60">xlookup(E60,'Ike 提供_20250505'!D:D,'Ike 提供_20250505'!N:N,"",0,1)</f>
        <v>447.37</v>
      </c>
      <c r="P60" s="976">
        <f t="array" ref="P60">xlookup(E60,'Ike 提供_20250505'!D:D,'Ike 提供_20250505'!O:O,"",0,1)</f>
        <v>440.39</v>
      </c>
      <c r="Q60" s="977">
        <f t="array" ref="Q60">xlookup(E60,'FL5_POR_包裝對照表 (Mapping Table)'!E:E,'FL5_POR_包裝對照表 (Mapping Table)'!BI:BI,"",0,1)</f>
        <v>45773</v>
      </c>
      <c r="R60" s="977">
        <v>45779.0</v>
      </c>
      <c r="S60" s="977">
        <f t="shared" si="3"/>
        <v>45785</v>
      </c>
      <c r="T60" s="977">
        <v>45782.0</v>
      </c>
      <c r="U60" s="978"/>
      <c r="V60" s="935"/>
      <c r="W60" s="978" t="str">
        <f t="array" ref="W60">if(isblank(E60),"",xlookup(E60,'FL5_POR_包裝對照表 (Mapping Table)'!E:E,'FL5_POR_包裝對照表 (Mapping Table)'!BM:BM,"",0,1))</f>
        <v>No demand</v>
      </c>
      <c r="X60" s="935"/>
      <c r="Y60" s="935"/>
      <c r="Z60" s="935"/>
      <c r="AA60" s="935"/>
    </row>
    <row r="61" ht="15.75" customHeight="1">
      <c r="A61" s="935"/>
      <c r="B61" s="970">
        <v>54.0</v>
      </c>
      <c r="C61" s="970" t="str">
        <f>if(isblank(E61),"",'FL5_POR_包裝對照表 (Mapping Table)'!$E$4)</f>
        <v>GFL (FL5)</v>
      </c>
      <c r="D61" s="970" t="str">
        <f t="array" ref="D61">IF(ISBLANK(E61),"",xlookup(E61,'FL5_POR_包裝對照表 (Mapping Table)'!E:E,'FL5_POR_包裝對照表 (Mapping Table)'!AZ:AZ,"",0,1))</f>
        <v>MP</v>
      </c>
      <c r="E61" s="971" t="s">
        <v>739</v>
      </c>
      <c r="F61" s="167" t="str">
        <f t="array" ref="F61">if(isblank(E61),"",xlookup(E61,'FL5_POR_包裝對照表 (Mapping Table)'!E:E,'FL5_POR_包裝對照表 (Mapping Table)'!F:F,"",0,1))</f>
        <v>VZW, US</v>
      </c>
      <c r="G61" s="972" t="str">
        <f t="array" ref="G61">if(isblank(E61),"",xlookup(E61,'FL5_POR_包裝對照表 (Mapping Table)'!E:E,'FL5_POR_包裝對照表 (Mapping Table)'!C:C,"",0,1))</f>
        <v>IQ (VzW only)</v>
      </c>
      <c r="H61" s="973" t="str">
        <f t="array" ref="H61">if(isblank(E61),"",xlookup(E61,'FL5_POR_包裝對照表 (Mapping Table)'!E:E,'FL5_POR_包裝對照表 (Mapping Table)'!D:D,"",0,1))</f>
        <v>Retail Pack</v>
      </c>
      <c r="I61" s="974" t="str">
        <f t="shared" si="2"/>
        <v>Close</v>
      </c>
      <c r="J61" s="975" t="str">
        <f t="array" ref="J61">if(isblank(E61),"",xlookup(E61,'FL5_POR_包裝對照表 (Mapping Table)'!E:E,'FL5_POR_包裝對照表 (Mapping Table)'!H:H,"",0,1))</f>
        <v>mmWave</v>
      </c>
      <c r="K61" s="972" t="str">
        <f t="array" ref="K61">if(isblank(E61),"",xlookup(E61,'FL5_POR_包裝對照表 (Mapping Table)'!E:E,'FL5_POR_包裝對照表 (Mapping Table)'!M:M,"",0,1))</f>
        <v>VZW</v>
      </c>
      <c r="L61" s="972" t="str">
        <f t="array" ref="L61">if(isblank(E61),"",xlookup(E61,'FL5_POR_包裝對照表 (Mapping Table)'!E:E,'FL5_POR_包裝對照表 (Mapping Table)'!AN:AN,"",0,1))</f>
        <v>G950-15935-02</v>
      </c>
      <c r="M61" s="972" t="str">
        <f t="array" ref="M61">if(isblank(E61),"",xlookup(E61,'FL5_POR_包裝對照表 (Mapping Table)'!E:E,'FL5_POR_包裝對照表 (Mapping Table)'!J:J,"",0,1))</f>
        <v>Lemongrass</v>
      </c>
      <c r="N61" s="972" t="str">
        <f t="array" ref="N61">if(isblank(E61),"",xlookup(E61,'FL5_POR_包裝對照表 (Mapping Table)'!E:E,'FL5_POR_包裝對照表 (Mapping Table)'!K:K,"",0,1))</f>
        <v>YEL</v>
      </c>
      <c r="O61" s="976">
        <f t="array" ref="O61">xlookup(E61,'Ike 提供_20250505'!D:D,'Ike 提供_20250505'!N:N,"",0,1)</f>
        <v>447.47</v>
      </c>
      <c r="P61" s="976">
        <f t="array" ref="P61">xlookup(E61,'Ike 提供_20250505'!D:D,'Ike 提供_20250505'!O:O,"",0,1)</f>
        <v>440.49</v>
      </c>
      <c r="Q61" s="977">
        <f t="array" ref="Q61">xlookup(E61,'FL5_POR_包裝對照表 (Mapping Table)'!E:E,'FL5_POR_包裝對照表 (Mapping Table)'!BI:BI,"",0,1)</f>
        <v>45773</v>
      </c>
      <c r="R61" s="977">
        <v>45779.0</v>
      </c>
      <c r="S61" s="977">
        <f t="shared" si="3"/>
        <v>45785</v>
      </c>
      <c r="T61" s="977">
        <v>45782.0</v>
      </c>
      <c r="U61" s="978"/>
      <c r="V61" s="935"/>
      <c r="W61" s="978" t="str">
        <f t="array" ref="W61">if(isblank(E61),"",xlookup(E61,'FL5_POR_包裝對照表 (Mapping Table)'!E:E,'FL5_POR_包裝對照表 (Mapping Table)'!BM:BM,"",0,1))</f>
        <v>No demand</v>
      </c>
      <c r="X61" s="935"/>
      <c r="Y61" s="935"/>
      <c r="Z61" s="935"/>
      <c r="AA61" s="935"/>
    </row>
    <row r="62" ht="15.75" customHeight="1">
      <c r="A62" s="935"/>
      <c r="B62" s="970">
        <v>55.0</v>
      </c>
      <c r="C62" s="970" t="str">
        <f>if(isblank(E62),"",'FL5_POR_包裝對照表 (Mapping Table)'!$E$4)</f>
        <v>GFL (FL5)</v>
      </c>
      <c r="D62" s="970" t="str">
        <f t="array" ref="D62">IF(ISBLANK(E62),"",xlookup(E62,'FL5_POR_包裝對照表 (Mapping Table)'!E:E,'FL5_POR_包裝對照表 (Mapping Table)'!AZ:AZ,"",0,1))</f>
        <v>MP</v>
      </c>
      <c r="E62" s="971" t="s">
        <v>744</v>
      </c>
      <c r="F62" s="167" t="str">
        <f t="array" ref="F62">if(isblank(E62),"",xlookup(E62,'FL5_POR_包裝對照表 (Mapping Table)'!E:E,'FL5_POR_包裝對照表 (Mapping Table)'!F:F,"",0,1))</f>
        <v>VZW, US</v>
      </c>
      <c r="G62" s="972" t="str">
        <f t="array" ref="G62">if(isblank(E62),"",xlookup(E62,'FL5_POR_包裝對照表 (Mapping Table)'!E:E,'FL5_POR_包裝對照表 (Mapping Table)'!C:C,"",0,1))</f>
        <v>IQ (VzW only)</v>
      </c>
      <c r="H62" s="973" t="str">
        <f t="array" ref="H62">if(isblank(E62),"",xlookup(E62,'FL5_POR_包裝對照表 (Mapping Table)'!E:E,'FL5_POR_包裝對照表 (Mapping Table)'!D:D,"",0,1))</f>
        <v>Retail Pack</v>
      </c>
      <c r="I62" s="974" t="str">
        <f t="shared" si="2"/>
        <v>Close</v>
      </c>
      <c r="J62" s="975" t="str">
        <f t="array" ref="J62">if(isblank(E62),"",xlookup(E62,'FL5_POR_包裝對照表 (Mapping Table)'!E:E,'FL5_POR_包裝對照表 (Mapping Table)'!H:H,"",0,1))</f>
        <v>mmWave</v>
      </c>
      <c r="K62" s="972" t="str">
        <f t="array" ref="K62">if(isblank(E62),"",xlookup(E62,'FL5_POR_包裝對照表 (Mapping Table)'!E:E,'FL5_POR_包裝對照表 (Mapping Table)'!M:M,"",0,1))</f>
        <v>VZW</v>
      </c>
      <c r="L62" s="972" t="str">
        <f t="array" ref="L62">if(isblank(E62),"",xlookup(E62,'FL5_POR_包裝對照表 (Mapping Table)'!E:E,'FL5_POR_包裝對照表 (Mapping Table)'!AN:AN,"",0,1))</f>
        <v>G950-15935-03</v>
      </c>
      <c r="M62" s="972" t="str">
        <f t="array" ref="M62">if(isblank(E62),"",xlookup(E62,'FL5_POR_包裝對照表 (Mapping Table)'!E:E,'FL5_POR_包裝對照表 (Mapping Table)'!J:J,"",0,1))</f>
        <v>Indigo</v>
      </c>
      <c r="N62" s="972" t="str">
        <f t="array" ref="N62">if(isblank(E62),"",xlookup(E62,'FL5_POR_包裝對照表 (Mapping Table)'!E:E,'FL5_POR_包裝對照表 (Mapping Table)'!K:K,"",0,1))</f>
        <v>BUE</v>
      </c>
      <c r="O62" s="976">
        <f t="array" ref="O62">xlookup(E62,'Ike 提供_20250505'!D:D,'Ike 提供_20250505'!N:N,"",0,1)</f>
        <v>447.47</v>
      </c>
      <c r="P62" s="976">
        <f t="array" ref="P62">xlookup(E62,'Ike 提供_20250505'!D:D,'Ike 提供_20250505'!O:O,"",0,1)</f>
        <v>440.49</v>
      </c>
      <c r="Q62" s="977">
        <f t="array" ref="Q62">xlookup(E62,'FL5_POR_包裝對照表 (Mapping Table)'!E:E,'FL5_POR_包裝對照表 (Mapping Table)'!BI:BI,"",0,1)</f>
        <v>45773</v>
      </c>
      <c r="R62" s="977">
        <v>45779.0</v>
      </c>
      <c r="S62" s="977">
        <f t="shared" si="3"/>
        <v>45785</v>
      </c>
      <c r="T62" s="977">
        <v>45782.0</v>
      </c>
      <c r="U62" s="978"/>
      <c r="V62" s="935"/>
      <c r="W62" s="978" t="str">
        <f t="array" ref="W62">if(isblank(E62),"",xlookup(E62,'FL5_POR_包裝對照表 (Mapping Table)'!E:E,'FL5_POR_包裝對照表 (Mapping Table)'!BM:BM,"",0,1))</f>
        <v>No demand</v>
      </c>
      <c r="X62" s="935"/>
      <c r="Y62" s="935"/>
      <c r="Z62" s="935"/>
      <c r="AA62" s="935"/>
    </row>
    <row r="63" ht="15.75" customHeight="1">
      <c r="A63" s="935"/>
      <c r="B63" s="970">
        <v>56.0</v>
      </c>
      <c r="C63" s="970" t="str">
        <f>if(isblank(E63),"",'FL5_POR_包裝對照表 (Mapping Table)'!$E$4)</f>
        <v>GFL (FL5)</v>
      </c>
      <c r="D63" s="970" t="str">
        <f t="array" ref="D63">IF(ISBLANK(E63),"",xlookup(E63,'FL5_POR_包裝對照表 (Mapping Table)'!E:E,'FL5_POR_包裝對照表 (Mapping Table)'!AZ:AZ,"",0,1))</f>
        <v>MP</v>
      </c>
      <c r="E63" s="971" t="s">
        <v>749</v>
      </c>
      <c r="F63" s="167" t="str">
        <f t="array" ref="F63">if(isblank(E63),"",xlookup(E63,'FL5_POR_包裝對照表 (Mapping Table)'!E:E,'FL5_POR_包裝對照表 (Mapping Table)'!F:F,"",0,1))</f>
        <v>TMO, US</v>
      </c>
      <c r="G63" s="972" t="str">
        <f t="array" ref="G63">if(isblank(E63),"",xlookup(E63,'FL5_POR_包裝對照表 (Mapping Table)'!E:E,'FL5_POR_包裝對照表 (Mapping Table)'!C:C,"",0,1))</f>
        <v>IQ (VzW only)</v>
      </c>
      <c r="H63" s="973" t="str">
        <f t="array" ref="H63">if(isblank(E63),"",xlookup(E63,'FL5_POR_包裝對照表 (Mapping Table)'!E:E,'FL5_POR_包裝對照表 (Mapping Table)'!D:D,"",0,1))</f>
        <v>Retail Pack</v>
      </c>
      <c r="I63" s="974" t="str">
        <f t="shared" si="2"/>
        <v>Close</v>
      </c>
      <c r="J63" s="975" t="str">
        <f t="array" ref="J63">if(isblank(E63),"",xlookup(E63,'FL5_POR_包裝對照表 (Mapping Table)'!E:E,'FL5_POR_包裝對照表 (Mapping Table)'!H:H,"",0,1))</f>
        <v>mmWave</v>
      </c>
      <c r="K63" s="972" t="str">
        <f t="array" ref="K63">if(isblank(E63),"",xlookup(E63,'FL5_POR_包裝對照表 (Mapping Table)'!E:E,'FL5_POR_包裝對照表 (Mapping Table)'!M:M,"",0,1))</f>
        <v>TMO</v>
      </c>
      <c r="L63" s="972" t="str">
        <f t="array" ref="L63">if(isblank(E63),"",xlookup(E63,'FL5_POR_包裝對照表 (Mapping Table)'!E:E,'FL5_POR_包裝對照表 (Mapping Table)'!AN:AN,"",0,1))</f>
        <v>G950-15935-03</v>
      </c>
      <c r="M63" s="972" t="str">
        <f t="array" ref="M63">if(isblank(E63),"",xlookup(E63,'FL5_POR_包裝對照表 (Mapping Table)'!E:E,'FL5_POR_包裝對照表 (Mapping Table)'!J:J,"",0,1))</f>
        <v>Indigo</v>
      </c>
      <c r="N63" s="972" t="str">
        <f t="array" ref="N63">if(isblank(E63),"",xlookup(E63,'FL5_POR_包裝對照表 (Mapping Table)'!E:E,'FL5_POR_包裝對照表 (Mapping Table)'!K:K,"",0,1))</f>
        <v>BUE</v>
      </c>
      <c r="O63" s="976">
        <f t="array" ref="O63">xlookup(E63,'Ike 提供_20250505'!D:D,'Ike 提供_20250505'!N:N,"",0,1)</f>
        <v>447.47</v>
      </c>
      <c r="P63" s="976">
        <f t="array" ref="P63">xlookup(E63,'Ike 提供_20250505'!D:D,'Ike 提供_20250505'!O:O,"",0,1)</f>
        <v>440.49</v>
      </c>
      <c r="Q63" s="977">
        <f t="array" ref="Q63">xlookup(E63,'FL5_POR_包裝對照表 (Mapping Table)'!E:E,'FL5_POR_包裝對照表 (Mapping Table)'!BI:BI,"",0,1)</f>
        <v>45773</v>
      </c>
      <c r="R63" s="977">
        <v>45779.0</v>
      </c>
      <c r="S63" s="977">
        <f t="shared" si="3"/>
        <v>45785</v>
      </c>
      <c r="T63" s="977">
        <v>45782.0</v>
      </c>
      <c r="U63" s="978"/>
      <c r="V63" s="935"/>
      <c r="W63" s="978" t="str">
        <f t="array" ref="W63">if(isblank(E63),"",xlookup(E63,'FL5_POR_包裝對照表 (Mapping Table)'!E:E,'FL5_POR_包裝對照表 (Mapping Table)'!BM:BM,"",0,1))</f>
        <v>No demand</v>
      </c>
      <c r="X63" s="935"/>
      <c r="Y63" s="935"/>
      <c r="Z63" s="935"/>
      <c r="AA63" s="935"/>
    </row>
    <row r="64" ht="15.75" customHeight="1">
      <c r="A64" s="935"/>
      <c r="B64" s="970">
        <v>57.0</v>
      </c>
      <c r="C64" s="970" t="str">
        <f>if(isblank(E64),"",'FL5_POR_包裝對照表 (Mapping Table)'!$E$4)</f>
        <v>GFL (FL5)</v>
      </c>
      <c r="D64" s="970" t="str">
        <f t="array" ref="D64">IF(ISBLANK(E64),"",xlookup(E64,'FL5_POR_包裝對照表 (Mapping Table)'!E:E,'FL5_POR_包裝對照表 (Mapping Table)'!AZ:AZ,"",0,1))</f>
        <v>MP</v>
      </c>
      <c r="E64" s="971" t="s">
        <v>754</v>
      </c>
      <c r="F64" s="167" t="str">
        <f t="array" ref="F64">if(isblank(E64),"",xlookup(E64,'FL5_POR_包裝對照表 (Mapping Table)'!E:E,'FL5_POR_包裝對照表 (Mapping Table)'!F:F,"",0,1))</f>
        <v>VZW, US</v>
      </c>
      <c r="G64" s="972" t="str">
        <f t="array" ref="G64">if(isblank(E64),"",xlookup(E64,'FL5_POR_包裝對照表 (Mapping Table)'!E:E,'FL5_POR_包裝對照表 (Mapping Table)'!C:C,"",0,1))</f>
        <v>IQ (VzW only)</v>
      </c>
      <c r="H64" s="973" t="str">
        <f t="array" ref="H64">if(isblank(E64),"",xlookup(E64,'FL5_POR_包裝對照表 (Mapping Table)'!E:E,'FL5_POR_包裝對照表 (Mapping Table)'!D:D,"",0,1))</f>
        <v>Retail Pack</v>
      </c>
      <c r="I64" s="974" t="str">
        <f t="shared" si="2"/>
        <v>Close</v>
      </c>
      <c r="J64" s="975" t="str">
        <f t="array" ref="J64">if(isblank(E64),"",xlookup(E64,'FL5_POR_包裝對照表 (Mapping Table)'!E:E,'FL5_POR_包裝對照表 (Mapping Table)'!H:H,"",0,1))</f>
        <v>mmWave</v>
      </c>
      <c r="K64" s="972" t="str">
        <f t="array" ref="K64">if(isblank(E64),"",xlookup(E64,'FL5_POR_包裝對照表 (Mapping Table)'!E:E,'FL5_POR_包裝對照表 (Mapping Table)'!M:M,"",0,1))</f>
        <v>VZW</v>
      </c>
      <c r="L64" s="972" t="str">
        <f t="array" ref="L64">if(isblank(E64),"",xlookup(E64,'FL5_POR_包裝對照表 (Mapping Table)'!E:E,'FL5_POR_包裝對照表 (Mapping Table)'!AN:AN,"",0,1))</f>
        <v>G950-15935-04</v>
      </c>
      <c r="M64" s="972" t="str">
        <f t="array" ref="M64">if(isblank(E64),"",xlookup(E64,'FL5_POR_包裝對照表 (Mapping Table)'!E:E,'FL5_POR_包裝對照表 (Mapping Table)'!J:J,"",0,1))</f>
        <v>Obsidian</v>
      </c>
      <c r="N64" s="972" t="str">
        <f t="array" ref="N64">if(isblank(E64),"",xlookup(E64,'FL5_POR_包裝對照表 (Mapping Table)'!E:E,'FL5_POR_包裝對照表 (Mapping Table)'!K:K,"",0,1))</f>
        <v>BLK</v>
      </c>
      <c r="O64" s="976">
        <f t="array" ref="O64">xlookup(E64,'Ike 提供_20250505'!D:D,'Ike 提供_20250505'!N:N,"",0,1)</f>
        <v>453.07</v>
      </c>
      <c r="P64" s="976">
        <f t="array" ref="P64">xlookup(E64,'Ike 提供_20250505'!D:D,'Ike 提供_20250505'!O:O,"",0,1)</f>
        <v>446.09</v>
      </c>
      <c r="Q64" s="977">
        <f t="array" ref="Q64">xlookup(E64,'FL5_POR_包裝對照表 (Mapping Table)'!E:E,'FL5_POR_包裝對照表 (Mapping Table)'!BI:BI,"",0,1)</f>
        <v>45773</v>
      </c>
      <c r="R64" s="977">
        <v>45779.0</v>
      </c>
      <c r="S64" s="977">
        <f t="shared" si="3"/>
        <v>45785</v>
      </c>
      <c r="T64" s="977">
        <v>45782.0</v>
      </c>
      <c r="U64" s="978"/>
      <c r="V64" s="935"/>
      <c r="W64" s="978" t="str">
        <f t="array" ref="W64">if(isblank(E64),"",xlookup(E64,'FL5_POR_包裝對照表 (Mapping Table)'!E:E,'FL5_POR_包裝對照表 (Mapping Table)'!BM:BM,"",0,1))</f>
        <v>No demand</v>
      </c>
      <c r="X64" s="935"/>
      <c r="Y64" s="935"/>
      <c r="Z64" s="935"/>
      <c r="AA64" s="935"/>
    </row>
    <row r="65" ht="15.75" customHeight="1">
      <c r="A65" s="935"/>
      <c r="B65" s="970">
        <v>58.0</v>
      </c>
      <c r="C65" s="970" t="str">
        <f>if(isblank(E65),"",'FL5_POR_包裝對照表 (Mapping Table)'!$E$4)</f>
        <v>GFL (FL5)</v>
      </c>
      <c r="D65" s="970" t="str">
        <f t="array" ref="D65">IF(ISBLANK(E65),"",xlookup(E65,'FL5_POR_包裝對照表 (Mapping Table)'!E:E,'FL5_POR_包裝對照表 (Mapping Table)'!AZ:AZ,"",0,1))</f>
        <v>MP</v>
      </c>
      <c r="E65" s="971" t="s">
        <v>759</v>
      </c>
      <c r="F65" s="167" t="str">
        <f t="array" ref="F65">if(isblank(E65),"",xlookup(E65,'FL5_POR_包裝對照表 (Mapping Table)'!E:E,'FL5_POR_包裝對照表 (Mapping Table)'!F:F,"",0,1))</f>
        <v>VZW, US</v>
      </c>
      <c r="G65" s="972" t="str">
        <f t="array" ref="G65">if(isblank(E65),"",xlookup(E65,'FL5_POR_包裝對照表 (Mapping Table)'!E:E,'FL5_POR_包裝對照表 (Mapping Table)'!C:C,"",0,1))</f>
        <v>IQ (VzW only)</v>
      </c>
      <c r="H65" s="973" t="str">
        <f t="array" ref="H65">if(isblank(E65),"",xlookup(E65,'FL5_POR_包裝對照表 (Mapping Table)'!E:E,'FL5_POR_包裝對照表 (Mapping Table)'!D:D,"",0,1))</f>
        <v>Retail Pack</v>
      </c>
      <c r="I65" s="974" t="str">
        <f t="shared" si="2"/>
        <v>Close</v>
      </c>
      <c r="J65" s="975" t="str">
        <f t="array" ref="J65">if(isblank(E65),"",xlookup(E65,'FL5_POR_包裝對照表 (Mapping Table)'!E:E,'FL5_POR_包裝對照表 (Mapping Table)'!H:H,"",0,1))</f>
        <v>mmWave</v>
      </c>
      <c r="K65" s="972" t="str">
        <f t="array" ref="K65">if(isblank(E65),"",xlookup(E65,'FL5_POR_包裝對照表 (Mapping Table)'!E:E,'FL5_POR_包裝對照表 (Mapping Table)'!M:M,"",0,1))</f>
        <v>VZW</v>
      </c>
      <c r="L65" s="972" t="str">
        <f t="array" ref="L65">if(isblank(E65),"",xlookup(E65,'FL5_POR_包裝對照表 (Mapping Table)'!E:E,'FL5_POR_包裝對照表 (Mapping Table)'!AN:AN,"",0,1))</f>
        <v>G950-15935-07</v>
      </c>
      <c r="M65" s="972" t="str">
        <f t="array" ref="M65">if(isblank(E65),"",xlookup(E65,'FL5_POR_包裝對照表 (Mapping Table)'!E:E,'FL5_POR_包裝對照表 (Mapping Table)'!J:J,"",0,1))</f>
        <v>Indigo</v>
      </c>
      <c r="N65" s="972" t="str">
        <f t="array" ref="N65">if(isblank(E65),"",xlookup(E65,'FL5_POR_包裝對照表 (Mapping Table)'!E:E,'FL5_POR_包裝對照表 (Mapping Table)'!K:K,"",0,1))</f>
        <v>BUE</v>
      </c>
      <c r="O65" s="976">
        <f t="array" ref="O65">xlookup(E65,'Ike 提供_20250505'!D:D,'Ike 提供_20250505'!N:N,"",0,1)</f>
        <v>453.47</v>
      </c>
      <c r="P65" s="976">
        <f t="array" ref="P65">xlookup(E65,'Ike 提供_20250505'!D:D,'Ike 提供_20250505'!O:O,"",0,1)</f>
        <v>446.49</v>
      </c>
      <c r="Q65" s="977">
        <f t="array" ref="Q65">xlookup(E65,'FL5_POR_包裝對照表 (Mapping Table)'!E:E,'FL5_POR_包裝對照表 (Mapping Table)'!BI:BI,"",0,1)</f>
        <v>45773</v>
      </c>
      <c r="R65" s="977">
        <v>45779.0</v>
      </c>
      <c r="S65" s="977">
        <f t="shared" si="3"/>
        <v>45785</v>
      </c>
      <c r="T65" s="977">
        <v>45782.0</v>
      </c>
      <c r="U65" s="978"/>
      <c r="V65" s="935"/>
      <c r="W65" s="978" t="str">
        <f t="array" ref="W65">if(isblank(E65),"",xlookup(E65,'FL5_POR_包裝對照表 (Mapping Table)'!E:E,'FL5_POR_包裝對照表 (Mapping Table)'!BM:BM,"",0,1))</f>
        <v>No demand</v>
      </c>
      <c r="X65" s="935"/>
      <c r="Y65" s="935"/>
      <c r="Z65" s="935"/>
      <c r="AA65" s="935"/>
    </row>
    <row r="66" ht="15.75" customHeight="1">
      <c r="A66" s="935"/>
      <c r="B66" s="970">
        <v>59.0</v>
      </c>
      <c r="C66" s="970" t="str">
        <f>if(isblank(E66),"",'FL5_POR_包裝對照表 (Mapping Table)'!$E$4)</f>
        <v>GFL (FL5)</v>
      </c>
      <c r="D66" s="970" t="str">
        <f t="array" ref="D66">IF(ISBLANK(E66),"",xlookup(E66,'FL5_POR_包裝對照表 (Mapping Table)'!E:E,'FL5_POR_包裝對照表 (Mapping Table)'!AZ:AZ,"",0,1))</f>
        <v>MP</v>
      </c>
      <c r="E66" s="971" t="s">
        <v>765</v>
      </c>
      <c r="F66" s="167" t="str">
        <f t="array" ref="F66">if(isblank(E66),"",xlookup(E66,'FL5_POR_包裝對照表 (Mapping Table)'!E:E,'FL5_POR_包裝對照表 (Mapping Table)'!F:F,"",0,1))</f>
        <v>VZW, US</v>
      </c>
      <c r="G66" s="972" t="str">
        <f t="array" ref="G66">if(isblank(E66),"",xlookup(E66,'FL5_POR_包裝對照表 (Mapping Table)'!E:E,'FL5_POR_包裝對照表 (Mapping Table)'!C:C,"",0,1))</f>
        <v>CLNR/FRU</v>
      </c>
      <c r="H66" s="973" t="str">
        <f t="array" ref="H66">if(isblank(E66),"",xlookup(E66,'FL5_POR_包裝對照表 (Mapping Table)'!E:E,'FL5_POR_包裝對照表 (Mapping Table)'!D:D,"",0,1))</f>
        <v>Bulk Pack</v>
      </c>
      <c r="I66" s="974" t="str">
        <f t="shared" si="2"/>
        <v>Close</v>
      </c>
      <c r="J66" s="975" t="str">
        <f t="array" ref="J66">if(isblank(E66),"",xlookup(E66,'FL5_POR_包裝對照表 (Mapping Table)'!E:E,'FL5_POR_包裝對照表 (Mapping Table)'!H:H,"",0,1))</f>
        <v>mmWave</v>
      </c>
      <c r="K66" s="972" t="str">
        <f t="array" ref="K66">if(isblank(E66),"",xlookup(E66,'FL5_POR_包裝對照表 (Mapping Table)'!E:E,'FL5_POR_包裝對照表 (Mapping Table)'!M:M,"",0,1))</f>
        <v>VZW</v>
      </c>
      <c r="L66" s="972" t="str">
        <f t="array" ref="L66">if(isblank(E66),"",xlookup(E66,'FL5_POR_包裝對照表 (Mapping Table)'!E:E,'FL5_POR_包裝對照表 (Mapping Table)'!AN:AN,"",0,1))</f>
        <v>G950-15935-00</v>
      </c>
      <c r="M66" s="972" t="str">
        <f t="array" ref="M66">if(isblank(E66),"",xlookup(E66,'FL5_POR_包裝對照表 (Mapping Table)'!E:E,'FL5_POR_包裝對照表 (Mapping Table)'!J:J,"",0,1))</f>
        <v>Obsidian</v>
      </c>
      <c r="N66" s="972" t="str">
        <f t="array" ref="N66">if(isblank(E66),"",xlookup(E66,'FL5_POR_包裝對照表 (Mapping Table)'!E:E,'FL5_POR_包裝對照表 (Mapping Table)'!K:K,"",0,1))</f>
        <v>BLK</v>
      </c>
      <c r="O66" s="976">
        <f t="array" ref="O66">xlookup(E66,'Ike 提供_20250505'!D:D,'Ike 提供_20250505'!N:N,"",0,1)</f>
        <v>445.42</v>
      </c>
      <c r="P66" s="976">
        <f t="array" ref="P66">xlookup(E66,'Ike 提供_20250505'!D:D,'Ike 提供_20250505'!O:O,"",0,1)</f>
        <v>438.44</v>
      </c>
      <c r="Q66" s="977">
        <f t="array" ref="Q66">xlookup(E66,'FL5_POR_包裝對照表 (Mapping Table)'!E:E,'FL5_POR_包裝對照表 (Mapping Table)'!BI:BI,"",0,1)</f>
        <v>45773</v>
      </c>
      <c r="R66" s="977">
        <v>45779.0</v>
      </c>
      <c r="S66" s="977">
        <f t="shared" si="3"/>
        <v>45785</v>
      </c>
      <c r="T66" s="977">
        <v>45782.0</v>
      </c>
      <c r="U66" s="978"/>
      <c r="V66" s="935"/>
      <c r="W66" s="978" t="str">
        <f t="array" ref="W66">if(isblank(E66),"",xlookup(E66,'FL5_POR_包裝對照表 (Mapping Table)'!E:E,'FL5_POR_包裝對照表 (Mapping Table)'!BM:BM,"",0,1))</f>
        <v>No demand</v>
      </c>
      <c r="X66" s="935"/>
      <c r="Y66" s="935"/>
      <c r="Z66" s="935"/>
      <c r="AA66" s="935"/>
    </row>
    <row r="67" ht="15.75" customHeight="1">
      <c r="A67" s="935"/>
      <c r="B67" s="970">
        <v>60.0</v>
      </c>
      <c r="C67" s="970" t="str">
        <f>if(isblank(E67),"",'FL5_POR_包裝對照表 (Mapping Table)'!$E$4)</f>
        <v>GFL (FL5)</v>
      </c>
      <c r="D67" s="970" t="str">
        <f t="array" ref="D67">IF(ISBLANK(E67),"",xlookup(E67,'FL5_POR_包裝對照表 (Mapping Table)'!E:E,'FL5_POR_包裝對照表 (Mapping Table)'!AZ:AZ,"",0,1))</f>
        <v>MP</v>
      </c>
      <c r="E67" s="971" t="s">
        <v>772</v>
      </c>
      <c r="F67" s="167" t="str">
        <f t="array" ref="F67">if(isblank(E67),"",xlookup(E67,'FL5_POR_包裝對照表 (Mapping Table)'!E:E,'FL5_POR_包裝對照表 (Mapping Table)'!F:F,"",0,1))</f>
        <v>VZW, US</v>
      </c>
      <c r="G67" s="972" t="str">
        <f t="array" ref="G67">if(isblank(E67),"",xlookup(E67,'FL5_POR_包裝對照表 (Mapping Table)'!E:E,'FL5_POR_包裝對照表 (Mapping Table)'!C:C,"",0,1))</f>
        <v>CLNR/FRU</v>
      </c>
      <c r="H67" s="973" t="str">
        <f t="array" ref="H67">if(isblank(E67),"",xlookup(E67,'FL5_POR_包裝對照表 (Mapping Table)'!E:E,'FL5_POR_包裝對照表 (Mapping Table)'!D:D,"",0,1))</f>
        <v>Bulk Pack</v>
      </c>
      <c r="I67" s="974" t="str">
        <f t="shared" si="2"/>
        <v>Close</v>
      </c>
      <c r="J67" s="975" t="str">
        <f t="array" ref="J67">if(isblank(E67),"",xlookup(E67,'FL5_POR_包裝對照表 (Mapping Table)'!E:E,'FL5_POR_包裝對照表 (Mapping Table)'!H:H,"",0,1))</f>
        <v>mmWave</v>
      </c>
      <c r="K67" s="972" t="str">
        <f t="array" ref="K67">if(isblank(E67),"",xlookup(E67,'FL5_POR_包裝對照表 (Mapping Table)'!E:E,'FL5_POR_包裝對照表 (Mapping Table)'!M:M,"",0,1))</f>
        <v>VZW</v>
      </c>
      <c r="L67" s="972" t="str">
        <f t="array" ref="L67">if(isblank(E67),"",xlookup(E67,'FL5_POR_包裝對照表 (Mapping Table)'!E:E,'FL5_POR_包裝對照表 (Mapping Table)'!AN:AN,"",0,1))</f>
        <v>G950-15935-01</v>
      </c>
      <c r="M67" s="972" t="str">
        <f t="array" ref="M67">if(isblank(E67),"",xlookup(E67,'FL5_POR_包裝對照表 (Mapping Table)'!E:E,'FL5_POR_包裝對照表 (Mapping Table)'!J:J,"",0,1))</f>
        <v>Frost</v>
      </c>
      <c r="N67" s="972" t="str">
        <f t="array" ref="N67">if(isblank(E67),"",xlookup(E67,'FL5_POR_包裝對照表 (Mapping Table)'!E:E,'FL5_POR_包裝對照表 (Mapping Table)'!K:K,"",0,1))</f>
        <v>PPL</v>
      </c>
      <c r="O67" s="976">
        <f t="array" ref="O67">xlookup(E67,'Ike 提供_20250505'!D:D,'Ike 提供_20250505'!N:N,"",0,1)</f>
        <v>445.72</v>
      </c>
      <c r="P67" s="976">
        <f t="array" ref="P67">xlookup(E67,'Ike 提供_20250505'!D:D,'Ike 提供_20250505'!O:O,"",0,1)</f>
        <v>438.74</v>
      </c>
      <c r="Q67" s="977">
        <f t="array" ref="Q67">xlookup(E67,'FL5_POR_包裝對照表 (Mapping Table)'!E:E,'FL5_POR_包裝對照表 (Mapping Table)'!BI:BI,"",0,1)</f>
        <v>45773</v>
      </c>
      <c r="R67" s="977">
        <v>45779.0</v>
      </c>
      <c r="S67" s="977">
        <f t="shared" si="3"/>
        <v>45785</v>
      </c>
      <c r="T67" s="977">
        <v>45782.0</v>
      </c>
      <c r="U67" s="978"/>
      <c r="V67" s="935"/>
      <c r="W67" s="978" t="str">
        <f t="array" ref="W67">if(isblank(E67),"",xlookup(E67,'FL5_POR_包裝對照表 (Mapping Table)'!E:E,'FL5_POR_包裝對照表 (Mapping Table)'!BM:BM,"",0,1))</f>
        <v>No demand</v>
      </c>
      <c r="X67" s="935"/>
      <c r="Y67" s="935"/>
      <c r="Z67" s="935"/>
      <c r="AA67" s="935"/>
    </row>
    <row r="68" ht="15.75" customHeight="1">
      <c r="A68" s="935"/>
      <c r="B68" s="970">
        <v>61.0</v>
      </c>
      <c r="C68" s="970" t="str">
        <f>if(isblank(E68),"",'FL5_POR_包裝對照表 (Mapping Table)'!$E$4)</f>
        <v>GFL (FL5)</v>
      </c>
      <c r="D68" s="970" t="str">
        <f t="array" ref="D68">IF(ISBLANK(E68),"",xlookup(E68,'FL5_POR_包裝對照表 (Mapping Table)'!E:E,'FL5_POR_包裝對照表 (Mapping Table)'!AZ:AZ,"",0,1))</f>
        <v>MP</v>
      </c>
      <c r="E68" s="971" t="s">
        <v>777</v>
      </c>
      <c r="F68" s="167" t="str">
        <f t="array" ref="F68">if(isblank(E68),"",xlookup(E68,'FL5_POR_包裝對照表 (Mapping Table)'!E:E,'FL5_POR_包裝對照表 (Mapping Table)'!F:F,"",0,1))</f>
        <v>VZW, US</v>
      </c>
      <c r="G68" s="972" t="str">
        <f t="array" ref="G68">if(isblank(E68),"",xlookup(E68,'FL5_POR_包裝對照表 (Mapping Table)'!E:E,'FL5_POR_包裝對照表 (Mapping Table)'!C:C,"",0,1))</f>
        <v>CLNR/FRU</v>
      </c>
      <c r="H68" s="973" t="str">
        <f t="array" ref="H68">if(isblank(E68),"",xlookup(E68,'FL5_POR_包裝對照表 (Mapping Table)'!E:E,'FL5_POR_包裝對照表 (Mapping Table)'!D:D,"",0,1))</f>
        <v>Bulk Pack</v>
      </c>
      <c r="I68" s="974" t="str">
        <f t="shared" si="2"/>
        <v>Close</v>
      </c>
      <c r="J68" s="975" t="str">
        <f t="array" ref="J68">if(isblank(E68),"",xlookup(E68,'FL5_POR_包裝對照表 (Mapping Table)'!E:E,'FL5_POR_包裝對照表 (Mapping Table)'!H:H,"",0,1))</f>
        <v>mmWave</v>
      </c>
      <c r="K68" s="972" t="str">
        <f t="array" ref="K68">if(isblank(E68),"",xlookup(E68,'FL5_POR_包裝對照表 (Mapping Table)'!E:E,'FL5_POR_包裝對照表 (Mapping Table)'!M:M,"",0,1))</f>
        <v>VZW</v>
      </c>
      <c r="L68" s="972" t="str">
        <f t="array" ref="L68">if(isblank(E68),"",xlookup(E68,'FL5_POR_包裝對照表 (Mapping Table)'!E:E,'FL5_POR_包裝對照表 (Mapping Table)'!AN:AN,"",0,1))</f>
        <v>G950-15935-02</v>
      </c>
      <c r="M68" s="972" t="str">
        <f t="array" ref="M68">if(isblank(E68),"",xlookup(E68,'FL5_POR_包裝對照表 (Mapping Table)'!E:E,'FL5_POR_包裝對照表 (Mapping Table)'!J:J,"",0,1))</f>
        <v>Lemongrass</v>
      </c>
      <c r="N68" s="972" t="str">
        <f t="array" ref="N68">if(isblank(E68),"",xlookup(E68,'FL5_POR_包裝對照表 (Mapping Table)'!E:E,'FL5_POR_包裝對照表 (Mapping Table)'!K:K,"",0,1))</f>
        <v>YEL</v>
      </c>
      <c r="O68" s="976">
        <f t="array" ref="O68">xlookup(E68,'Ike 提供_20250505'!D:D,'Ike 提供_20250505'!N:N,"",0,1)</f>
        <v>445.82</v>
      </c>
      <c r="P68" s="976">
        <f t="array" ref="P68">xlookup(E68,'Ike 提供_20250505'!D:D,'Ike 提供_20250505'!O:O,"",0,1)</f>
        <v>438.84</v>
      </c>
      <c r="Q68" s="977">
        <f t="array" ref="Q68">xlookup(E68,'FL5_POR_包裝對照表 (Mapping Table)'!E:E,'FL5_POR_包裝對照表 (Mapping Table)'!BI:BI,"",0,1)</f>
        <v>45773</v>
      </c>
      <c r="R68" s="977">
        <v>45779.0</v>
      </c>
      <c r="S68" s="977">
        <f t="shared" si="3"/>
        <v>45785</v>
      </c>
      <c r="T68" s="977">
        <v>45782.0</v>
      </c>
      <c r="U68" s="978"/>
      <c r="V68" s="935"/>
      <c r="W68" s="978" t="str">
        <f t="array" ref="W68">if(isblank(E68),"",xlookup(E68,'FL5_POR_包裝對照表 (Mapping Table)'!E:E,'FL5_POR_包裝對照表 (Mapping Table)'!BM:BM,"",0,1))</f>
        <v>No demand</v>
      </c>
      <c r="X68" s="935"/>
      <c r="Y68" s="935"/>
      <c r="Z68" s="935"/>
      <c r="AA68" s="935"/>
    </row>
    <row r="69" ht="15.75" customHeight="1">
      <c r="A69" s="935"/>
      <c r="B69" s="970">
        <v>62.0</v>
      </c>
      <c r="C69" s="970" t="str">
        <f>if(isblank(E69),"",'FL5_POR_包裝對照表 (Mapping Table)'!$E$4)</f>
        <v>GFL (FL5)</v>
      </c>
      <c r="D69" s="970" t="str">
        <f t="array" ref="D69">IF(ISBLANK(E69),"",xlookup(E69,'FL5_POR_包裝對照表 (Mapping Table)'!E:E,'FL5_POR_包裝對照表 (Mapping Table)'!AZ:AZ,"",0,1))</f>
        <v>MP</v>
      </c>
      <c r="E69" s="971" t="s">
        <v>782</v>
      </c>
      <c r="F69" s="167" t="str">
        <f t="array" ref="F69">if(isblank(E69),"",xlookup(E69,'FL5_POR_包裝對照表 (Mapping Table)'!E:E,'FL5_POR_包裝對照表 (Mapping Table)'!F:F,"",0,1))</f>
        <v>VZW, US</v>
      </c>
      <c r="G69" s="972" t="str">
        <f t="array" ref="G69">if(isblank(E69),"",xlookup(E69,'FL5_POR_包裝對照表 (Mapping Table)'!E:E,'FL5_POR_包裝對照表 (Mapping Table)'!C:C,"",0,1))</f>
        <v>CLNR/FRU</v>
      </c>
      <c r="H69" s="973" t="str">
        <f t="array" ref="H69">if(isblank(E69),"",xlookup(E69,'FL5_POR_包裝對照表 (Mapping Table)'!E:E,'FL5_POR_包裝對照表 (Mapping Table)'!D:D,"",0,1))</f>
        <v>Bulk Pack</v>
      </c>
      <c r="I69" s="974" t="str">
        <f t="shared" si="2"/>
        <v>Close</v>
      </c>
      <c r="J69" s="975" t="str">
        <f t="array" ref="J69">if(isblank(E69),"",xlookup(E69,'FL5_POR_包裝對照表 (Mapping Table)'!E:E,'FL5_POR_包裝對照表 (Mapping Table)'!H:H,"",0,1))</f>
        <v>mmWave</v>
      </c>
      <c r="K69" s="972" t="str">
        <f t="array" ref="K69">if(isblank(E69),"",xlookup(E69,'FL5_POR_包裝對照表 (Mapping Table)'!E:E,'FL5_POR_包裝對照表 (Mapping Table)'!M:M,"",0,1))</f>
        <v>VZW</v>
      </c>
      <c r="L69" s="972" t="str">
        <f t="array" ref="L69">if(isblank(E69),"",xlookup(E69,'FL5_POR_包裝對照表 (Mapping Table)'!E:E,'FL5_POR_包裝對照表 (Mapping Table)'!AN:AN,"",0,1))</f>
        <v>G950-15935-03</v>
      </c>
      <c r="M69" s="972" t="str">
        <f t="array" ref="M69">if(isblank(E69),"",xlookup(E69,'FL5_POR_包裝對照表 (Mapping Table)'!E:E,'FL5_POR_包裝對照表 (Mapping Table)'!J:J,"",0,1))</f>
        <v>Indigo</v>
      </c>
      <c r="N69" s="972" t="str">
        <f t="array" ref="N69">if(isblank(E69),"",xlookup(E69,'FL5_POR_包裝對照表 (Mapping Table)'!E:E,'FL5_POR_包裝對照表 (Mapping Table)'!K:K,"",0,1))</f>
        <v>BUE</v>
      </c>
      <c r="O69" s="976">
        <f t="array" ref="O69">xlookup(E69,'Ike 提供_20250505'!D:D,'Ike 提供_20250505'!N:N,"",0,1)</f>
        <v>445.82</v>
      </c>
      <c r="P69" s="976">
        <f t="array" ref="P69">xlookup(E69,'Ike 提供_20250505'!D:D,'Ike 提供_20250505'!O:O,"",0,1)</f>
        <v>438.84</v>
      </c>
      <c r="Q69" s="977">
        <f t="array" ref="Q69">xlookup(E69,'FL5_POR_包裝對照表 (Mapping Table)'!E:E,'FL5_POR_包裝對照表 (Mapping Table)'!BI:BI,"",0,1)</f>
        <v>45773</v>
      </c>
      <c r="R69" s="977">
        <v>45779.0</v>
      </c>
      <c r="S69" s="977">
        <f t="shared" si="3"/>
        <v>45785</v>
      </c>
      <c r="T69" s="977">
        <v>45782.0</v>
      </c>
      <c r="U69" s="978"/>
      <c r="V69" s="935"/>
      <c r="W69" s="978" t="str">
        <f t="array" ref="W69">if(isblank(E69),"",xlookup(E69,'FL5_POR_包裝對照表 (Mapping Table)'!E:E,'FL5_POR_包裝對照表 (Mapping Table)'!BM:BM,"",0,1))</f>
        <v>No demand</v>
      </c>
      <c r="X69" s="935"/>
      <c r="Y69" s="935"/>
      <c r="Z69" s="935"/>
      <c r="AA69" s="935"/>
    </row>
    <row r="70" ht="15.75" customHeight="1">
      <c r="A70" s="935"/>
      <c r="B70" s="970">
        <v>63.0</v>
      </c>
      <c r="C70" s="970" t="str">
        <f>if(isblank(E70),"",'FL5_POR_包裝對照表 (Mapping Table)'!$E$4)</f>
        <v>GFL (FL5)</v>
      </c>
      <c r="D70" s="970" t="str">
        <f t="array" ref="D70">IF(ISBLANK(E70),"",xlookup(E70,'FL5_POR_包裝對照表 (Mapping Table)'!E:E,'FL5_POR_包裝對照表 (Mapping Table)'!AZ:AZ,"",0,1))</f>
        <v>MP</v>
      </c>
      <c r="E70" s="971" t="s">
        <v>787</v>
      </c>
      <c r="F70" s="167" t="str">
        <f t="array" ref="F70">if(isblank(E70),"",xlookup(E70,'FL5_POR_包裝對照表 (Mapping Table)'!E:E,'FL5_POR_包裝對照表 (Mapping Table)'!F:F,"",0,1))</f>
        <v>TMO, US</v>
      </c>
      <c r="G70" s="972" t="str">
        <f t="array" ref="G70">if(isblank(E70),"",xlookup(E70,'FL5_POR_包裝對照表 (Mapping Table)'!E:E,'FL5_POR_包裝對照表 (Mapping Table)'!C:C,"",0,1))</f>
        <v>CLNR/FRU</v>
      </c>
      <c r="H70" s="973" t="str">
        <f t="array" ref="H70">if(isblank(E70),"",xlookup(E70,'FL5_POR_包裝對照表 (Mapping Table)'!E:E,'FL5_POR_包裝對照表 (Mapping Table)'!D:D,"",0,1))</f>
        <v>Bulk Pack</v>
      </c>
      <c r="I70" s="974" t="str">
        <f t="shared" si="2"/>
        <v>Close</v>
      </c>
      <c r="J70" s="975" t="str">
        <f t="array" ref="J70">if(isblank(E70),"",xlookup(E70,'FL5_POR_包裝對照表 (Mapping Table)'!E:E,'FL5_POR_包裝對照表 (Mapping Table)'!H:H,"",0,1))</f>
        <v>mmWave</v>
      </c>
      <c r="K70" s="972" t="str">
        <f t="array" ref="K70">if(isblank(E70),"",xlookup(E70,'FL5_POR_包裝對照表 (Mapping Table)'!E:E,'FL5_POR_包裝對照表 (Mapping Table)'!M:M,"",0,1))</f>
        <v>TMO</v>
      </c>
      <c r="L70" s="972" t="str">
        <f t="array" ref="L70">if(isblank(E70),"",xlookup(E70,'FL5_POR_包裝對照表 (Mapping Table)'!E:E,'FL5_POR_包裝對照表 (Mapping Table)'!AN:AN,"",0,1))</f>
        <v>G950-15935-00</v>
      </c>
      <c r="M70" s="972" t="str">
        <f t="array" ref="M70">if(isblank(E70),"",xlookup(E70,'FL5_POR_包裝對照表 (Mapping Table)'!E:E,'FL5_POR_包裝對照表 (Mapping Table)'!J:J,"",0,1))</f>
        <v>Obsidian</v>
      </c>
      <c r="N70" s="972" t="str">
        <f t="array" ref="N70">if(isblank(E70),"",xlookup(E70,'FL5_POR_包裝對照表 (Mapping Table)'!E:E,'FL5_POR_包裝對照表 (Mapping Table)'!K:K,"",0,1))</f>
        <v>BLK</v>
      </c>
      <c r="O70" s="976">
        <f t="array" ref="O70">xlookup(E70,'Ike 提供_20250505'!D:D,'Ike 提供_20250505'!N:N,"",0,1)</f>
        <v>445.63</v>
      </c>
      <c r="P70" s="976">
        <f t="array" ref="P70">xlookup(E70,'Ike 提供_20250505'!D:D,'Ike 提供_20250505'!O:O,"",0,1)</f>
        <v>438.65</v>
      </c>
      <c r="Q70" s="977">
        <f t="array" ref="Q70">xlookup(E70,'FL5_POR_包裝對照表 (Mapping Table)'!E:E,'FL5_POR_包裝對照表 (Mapping Table)'!BI:BI,"",0,1)</f>
        <v>45773</v>
      </c>
      <c r="R70" s="977">
        <v>45779.0</v>
      </c>
      <c r="S70" s="977">
        <f t="shared" si="3"/>
        <v>45785</v>
      </c>
      <c r="T70" s="977">
        <v>45782.0</v>
      </c>
      <c r="U70" s="978"/>
      <c r="V70" s="935"/>
      <c r="W70" s="978" t="str">
        <f t="array" ref="W70">if(isblank(E70),"",xlookup(E70,'FL5_POR_包裝對照表 (Mapping Table)'!E:E,'FL5_POR_包裝對照表 (Mapping Table)'!BM:BM,"",0,1))</f>
        <v>No demand</v>
      </c>
      <c r="X70" s="935"/>
      <c r="Y70" s="935"/>
      <c r="Z70" s="935"/>
      <c r="AA70" s="935"/>
    </row>
    <row r="71" ht="15.75" customHeight="1">
      <c r="A71" s="935"/>
      <c r="B71" s="970">
        <v>64.0</v>
      </c>
      <c r="C71" s="970" t="str">
        <f>if(isblank(E71),"",'FL5_POR_包裝對照表 (Mapping Table)'!$E$4)</f>
        <v>GFL (FL5)</v>
      </c>
      <c r="D71" s="970" t="str">
        <f t="array" ref="D71">IF(ISBLANK(E71),"",xlookup(E71,'FL5_POR_包裝對照表 (Mapping Table)'!E:E,'FL5_POR_包裝對照表 (Mapping Table)'!AZ:AZ,"",0,1))</f>
        <v>MP</v>
      </c>
      <c r="E71" s="971" t="s">
        <v>793</v>
      </c>
      <c r="F71" s="167" t="str">
        <f t="array" ref="F71">if(isblank(E71),"",xlookup(E71,'FL5_POR_包裝對照表 (Mapping Table)'!E:E,'FL5_POR_包裝對照表 (Mapping Table)'!F:F,"",0,1))</f>
        <v>TMO, US</v>
      </c>
      <c r="G71" s="972" t="str">
        <f t="array" ref="G71">if(isblank(E71),"",xlookup(E71,'FL5_POR_包裝對照表 (Mapping Table)'!E:E,'FL5_POR_包裝對照表 (Mapping Table)'!C:C,"",0,1))</f>
        <v>CLNR/FRU</v>
      </c>
      <c r="H71" s="973" t="str">
        <f t="array" ref="H71">if(isblank(E71),"",xlookup(E71,'FL5_POR_包裝對照表 (Mapping Table)'!E:E,'FL5_POR_包裝對照表 (Mapping Table)'!D:D,"",0,1))</f>
        <v>Bulk Pack</v>
      </c>
      <c r="I71" s="974" t="str">
        <f t="shared" si="2"/>
        <v>Close</v>
      </c>
      <c r="J71" s="975" t="str">
        <f t="array" ref="J71">if(isblank(E71),"",xlookup(E71,'FL5_POR_包裝對照表 (Mapping Table)'!E:E,'FL5_POR_包裝對照表 (Mapping Table)'!H:H,"",0,1))</f>
        <v>mmWave</v>
      </c>
      <c r="K71" s="972" t="str">
        <f t="array" ref="K71">if(isblank(E71),"",xlookup(E71,'FL5_POR_包裝對照表 (Mapping Table)'!E:E,'FL5_POR_包裝對照表 (Mapping Table)'!M:M,"",0,1))</f>
        <v>TMO</v>
      </c>
      <c r="L71" s="972" t="str">
        <f t="array" ref="L71">if(isblank(E71),"",xlookup(E71,'FL5_POR_包裝對照表 (Mapping Table)'!E:E,'FL5_POR_包裝對照表 (Mapping Table)'!AN:AN,"",0,1))</f>
        <v>G950-15935-03</v>
      </c>
      <c r="M71" s="972" t="str">
        <f t="array" ref="M71">if(isblank(E71),"",xlookup(E71,'FL5_POR_包裝對照表 (Mapping Table)'!E:E,'FL5_POR_包裝對照表 (Mapping Table)'!J:J,"",0,1))</f>
        <v>Indigo</v>
      </c>
      <c r="N71" s="972" t="str">
        <f t="array" ref="N71">if(isblank(E71),"",xlookup(E71,'FL5_POR_包裝對照表 (Mapping Table)'!E:E,'FL5_POR_包裝對照表 (Mapping Table)'!K:K,"",0,1))</f>
        <v>BUE</v>
      </c>
      <c r="O71" s="976">
        <f t="array" ref="O71">xlookup(E71,'Ike 提供_20250505'!D:D,'Ike 提供_20250505'!N:N,"",0,1)</f>
        <v>446.03</v>
      </c>
      <c r="P71" s="976">
        <f t="array" ref="P71">xlookup(E71,'Ike 提供_20250505'!D:D,'Ike 提供_20250505'!O:O,"",0,1)</f>
        <v>439.05</v>
      </c>
      <c r="Q71" s="977">
        <f t="array" ref="Q71">xlookup(E71,'FL5_POR_包裝對照表 (Mapping Table)'!E:E,'FL5_POR_包裝對照表 (Mapping Table)'!BI:BI,"",0,1)</f>
        <v>45773</v>
      </c>
      <c r="R71" s="977">
        <v>45779.0</v>
      </c>
      <c r="S71" s="977">
        <f t="shared" si="3"/>
        <v>45785</v>
      </c>
      <c r="T71" s="977">
        <v>45782.0</v>
      </c>
      <c r="U71" s="978"/>
      <c r="V71" s="935"/>
      <c r="W71" s="978" t="str">
        <f t="array" ref="W71">if(isblank(E71),"",xlookup(E71,'FL5_POR_包裝對照表 (Mapping Table)'!E:E,'FL5_POR_包裝對照表 (Mapping Table)'!BM:BM,"",0,1))</f>
        <v>No demand</v>
      </c>
      <c r="X71" s="935"/>
      <c r="Y71" s="935"/>
      <c r="Z71" s="935"/>
      <c r="AA71" s="935"/>
    </row>
    <row r="72" ht="15.75" customHeight="1">
      <c r="A72" s="935"/>
      <c r="B72" s="970">
        <v>65.0</v>
      </c>
      <c r="C72" s="970" t="str">
        <f>if(isblank(E72),"",'FL5_POR_包裝對照表 (Mapping Table)'!$E$4)</f>
        <v>GFL (FL5)</v>
      </c>
      <c r="D72" s="970" t="str">
        <f t="array" ref="D72">IF(ISBLANK(E72),"",xlookup(E72,'FL5_POR_包裝對照表 (Mapping Table)'!E:E,'FL5_POR_包裝對照表 (Mapping Table)'!AZ:AZ,"",0,1))</f>
        <v>MP</v>
      </c>
      <c r="E72" s="971" t="s">
        <v>798</v>
      </c>
      <c r="F72" s="167" t="str">
        <f t="array" ref="F72">if(isblank(E72),"",xlookup(E72,'FL5_POR_包裝對照表 (Mapping Table)'!E:E,'FL5_POR_包裝對照表 (Mapping Table)'!F:F,"",0,1))</f>
        <v>GSTORE, US</v>
      </c>
      <c r="G72" s="972" t="str">
        <f t="array" ref="G72">if(isblank(E72),"",xlookup(E72,'FL5_POR_包裝對照表 (Mapping Table)'!E:E,'FL5_POR_包裝對照表 (Mapping Table)'!C:C,"",0,1))</f>
        <v>CLNR/FRU</v>
      </c>
      <c r="H72" s="973" t="str">
        <f t="array" ref="H72">if(isblank(E72),"",xlookup(E72,'FL5_POR_包裝對照表 (Mapping Table)'!E:E,'FL5_POR_包裝對照表 (Mapping Table)'!D:D,"",0,1))</f>
        <v>Bulk Pack</v>
      </c>
      <c r="I72" s="974" t="str">
        <f t="shared" si="2"/>
        <v>Close</v>
      </c>
      <c r="J72" s="975" t="str">
        <f t="array" ref="J72">if(isblank(E72),"",xlookup(E72,'FL5_POR_包裝對照表 (Mapping Table)'!E:E,'FL5_POR_包裝對照表 (Mapping Table)'!H:H,"",0,1))</f>
        <v>mmWave</v>
      </c>
      <c r="K72" s="972" t="str">
        <f t="array" ref="K72">if(isblank(E72),"",xlookup(E72,'FL5_POR_包裝對照表 (Mapping Table)'!E:E,'FL5_POR_包裝對照表 (Mapping Table)'!M:M,"",0,1))</f>
        <v>NA</v>
      </c>
      <c r="L72" s="972" t="str">
        <f t="array" ref="L72">if(isblank(E72),"",xlookup(E72,'FL5_POR_包裝對照表 (Mapping Table)'!E:E,'FL5_POR_包裝對照表 (Mapping Table)'!AN:AN,"",0,1))</f>
        <v>G950-15935-00</v>
      </c>
      <c r="M72" s="972" t="str">
        <f t="array" ref="M72">if(isblank(E72),"",xlookup(E72,'FL5_POR_包裝對照表 (Mapping Table)'!E:E,'FL5_POR_包裝對照表 (Mapping Table)'!J:J,"",0,1))</f>
        <v>Obsidian</v>
      </c>
      <c r="N72" s="972" t="str">
        <f t="array" ref="N72">if(isblank(E72),"",xlookup(E72,'FL5_POR_包裝對照表 (Mapping Table)'!E:E,'FL5_POR_包裝對照表 (Mapping Table)'!K:K,"",0,1))</f>
        <v>BLK</v>
      </c>
      <c r="O72" s="976">
        <f t="array" ref="O72">xlookup(E72,'Ike 提供_20250505'!D:D,'Ike 提供_20250505'!N:N,"",0,1)</f>
        <v>445.63</v>
      </c>
      <c r="P72" s="976">
        <f t="array" ref="P72">xlookup(E72,'Ike 提供_20250505'!D:D,'Ike 提供_20250505'!O:O,"",0,1)</f>
        <v>438.65</v>
      </c>
      <c r="Q72" s="977">
        <f t="array" ref="Q72">xlookup(E72,'FL5_POR_包裝對照表 (Mapping Table)'!E:E,'FL5_POR_包裝對照表 (Mapping Table)'!BI:BI,"",0,1)</f>
        <v>45773</v>
      </c>
      <c r="R72" s="977">
        <v>45779.0</v>
      </c>
      <c r="S72" s="977">
        <f t="shared" si="3"/>
        <v>45785</v>
      </c>
      <c r="T72" s="977">
        <v>45782.0</v>
      </c>
      <c r="U72" s="978"/>
      <c r="V72" s="935"/>
      <c r="W72" s="978" t="str">
        <f t="array" ref="W72">if(isblank(E72),"",xlookup(E72,'FL5_POR_包裝對照表 (Mapping Table)'!E:E,'FL5_POR_包裝對照表 (Mapping Table)'!BM:BM,"",0,1))</f>
        <v>No demand</v>
      </c>
      <c r="X72" s="935"/>
      <c r="Y72" s="935"/>
      <c r="Z72" s="935"/>
      <c r="AA72" s="935"/>
    </row>
    <row r="73" ht="15.75" customHeight="1">
      <c r="A73" s="935"/>
      <c r="B73" s="970">
        <v>66.0</v>
      </c>
      <c r="C73" s="970" t="str">
        <f>if(isblank(E73),"",'FL5_POR_包裝對照表 (Mapping Table)'!$E$4)</f>
        <v>GFL (FL5)</v>
      </c>
      <c r="D73" s="970" t="str">
        <f t="array" ref="D73">IF(ISBLANK(E73),"",xlookup(E73,'FL5_POR_包裝對照表 (Mapping Table)'!E:E,'FL5_POR_包裝對照表 (Mapping Table)'!AZ:AZ,"",0,1))</f>
        <v>MP</v>
      </c>
      <c r="E73" s="971" t="s">
        <v>803</v>
      </c>
      <c r="F73" s="167" t="str">
        <f t="array" ref="F73">if(isblank(E73),"",xlookup(E73,'FL5_POR_包裝對照表 (Mapping Table)'!E:E,'FL5_POR_包裝對照表 (Mapping Table)'!F:F,"",0,1))</f>
        <v>GSTORE, US</v>
      </c>
      <c r="G73" s="972" t="str">
        <f t="array" ref="G73">if(isblank(E73),"",xlookup(E73,'FL5_POR_包裝對照表 (Mapping Table)'!E:E,'FL5_POR_包裝對照表 (Mapping Table)'!C:C,"",0,1))</f>
        <v>CLNR/FRU</v>
      </c>
      <c r="H73" s="973" t="str">
        <f t="array" ref="H73">if(isblank(E73),"",xlookup(E73,'FL5_POR_包裝對照表 (Mapping Table)'!E:E,'FL5_POR_包裝對照表 (Mapping Table)'!D:D,"",0,1))</f>
        <v>Bulk Pack</v>
      </c>
      <c r="I73" s="974" t="str">
        <f t="shared" si="2"/>
        <v>Close</v>
      </c>
      <c r="J73" s="975" t="str">
        <f t="array" ref="J73">if(isblank(E73),"",xlookup(E73,'FL5_POR_包裝對照表 (Mapping Table)'!E:E,'FL5_POR_包裝對照表 (Mapping Table)'!H:H,"",0,1))</f>
        <v>mmWave</v>
      </c>
      <c r="K73" s="972" t="str">
        <f t="array" ref="K73">if(isblank(E73),"",xlookup(E73,'FL5_POR_包裝對照表 (Mapping Table)'!E:E,'FL5_POR_包裝對照表 (Mapping Table)'!M:M,"",0,1))</f>
        <v>NA</v>
      </c>
      <c r="L73" s="972" t="str">
        <f t="array" ref="L73">if(isblank(E73),"",xlookup(E73,'FL5_POR_包裝對照表 (Mapping Table)'!E:E,'FL5_POR_包裝對照表 (Mapping Table)'!AN:AN,"",0,1))</f>
        <v>G950-15935-01</v>
      </c>
      <c r="M73" s="972" t="str">
        <f t="array" ref="M73">if(isblank(E73),"",xlookup(E73,'FL5_POR_包裝對照表 (Mapping Table)'!E:E,'FL5_POR_包裝對照表 (Mapping Table)'!J:J,"",0,1))</f>
        <v>Frost</v>
      </c>
      <c r="N73" s="972" t="str">
        <f t="array" ref="N73">if(isblank(E73),"",xlookup(E73,'FL5_POR_包裝對照表 (Mapping Table)'!E:E,'FL5_POR_包裝對照表 (Mapping Table)'!K:K,"",0,1))</f>
        <v>PPL</v>
      </c>
      <c r="O73" s="976">
        <f t="array" ref="O73">xlookup(E73,'Ike 提供_20250505'!D:D,'Ike 提供_20250505'!N:N,"",0,1)</f>
        <v>445.93</v>
      </c>
      <c r="P73" s="976">
        <f t="array" ref="P73">xlookup(E73,'Ike 提供_20250505'!D:D,'Ike 提供_20250505'!O:O,"",0,1)</f>
        <v>438.95</v>
      </c>
      <c r="Q73" s="977">
        <f t="array" ref="Q73">xlookup(E73,'FL5_POR_包裝對照表 (Mapping Table)'!E:E,'FL5_POR_包裝對照表 (Mapping Table)'!BI:BI,"",0,1)</f>
        <v>45773</v>
      </c>
      <c r="R73" s="977">
        <v>45779.0</v>
      </c>
      <c r="S73" s="977">
        <f t="shared" si="3"/>
        <v>45785</v>
      </c>
      <c r="T73" s="977">
        <v>45782.0</v>
      </c>
      <c r="U73" s="978"/>
      <c r="V73" s="935"/>
      <c r="W73" s="978" t="str">
        <f t="array" ref="W73">if(isblank(E73),"",xlookup(E73,'FL5_POR_包裝對照表 (Mapping Table)'!E:E,'FL5_POR_包裝對照表 (Mapping Table)'!BM:BM,"",0,1))</f>
        <v>No demand</v>
      </c>
      <c r="X73" s="935"/>
      <c r="Y73" s="935"/>
      <c r="Z73" s="935"/>
      <c r="AA73" s="935"/>
    </row>
    <row r="74" ht="15.75" customHeight="1">
      <c r="A74" s="935"/>
      <c r="B74" s="970">
        <v>67.0</v>
      </c>
      <c r="C74" s="970" t="str">
        <f>if(isblank(E74),"",'FL5_POR_包裝對照表 (Mapping Table)'!$E$4)</f>
        <v>GFL (FL5)</v>
      </c>
      <c r="D74" s="970" t="str">
        <f t="array" ref="D74">IF(ISBLANK(E74),"",xlookup(E74,'FL5_POR_包裝對照表 (Mapping Table)'!E:E,'FL5_POR_包裝對照表 (Mapping Table)'!AZ:AZ,"",0,1))</f>
        <v>MP</v>
      </c>
      <c r="E74" s="971" t="s">
        <v>807</v>
      </c>
      <c r="F74" s="167" t="str">
        <f t="array" ref="F74">if(isblank(E74),"",xlookup(E74,'FL5_POR_包裝對照表 (Mapping Table)'!E:E,'FL5_POR_包裝對照表 (Mapping Table)'!F:F,"",0,1))</f>
        <v>GSTORE, US</v>
      </c>
      <c r="G74" s="972" t="str">
        <f t="array" ref="G74">if(isblank(E74),"",xlookup(E74,'FL5_POR_包裝對照表 (Mapping Table)'!E:E,'FL5_POR_包裝對照表 (Mapping Table)'!C:C,"",0,1))</f>
        <v>CLNR/FRU</v>
      </c>
      <c r="H74" s="973" t="str">
        <f t="array" ref="H74">if(isblank(E74),"",xlookup(E74,'FL5_POR_包裝對照表 (Mapping Table)'!E:E,'FL5_POR_包裝對照表 (Mapping Table)'!D:D,"",0,1))</f>
        <v>Bulk Pack</v>
      </c>
      <c r="I74" s="974" t="str">
        <f t="shared" si="2"/>
        <v>Close</v>
      </c>
      <c r="J74" s="975" t="str">
        <f t="array" ref="J74">if(isblank(E74),"",xlookup(E74,'FL5_POR_包裝對照表 (Mapping Table)'!E:E,'FL5_POR_包裝對照表 (Mapping Table)'!H:H,"",0,1))</f>
        <v>mmWave</v>
      </c>
      <c r="K74" s="972" t="str">
        <f t="array" ref="K74">if(isblank(E74),"",xlookup(E74,'FL5_POR_包裝對照表 (Mapping Table)'!E:E,'FL5_POR_包裝對照表 (Mapping Table)'!M:M,"",0,1))</f>
        <v>NA</v>
      </c>
      <c r="L74" s="972" t="str">
        <f t="array" ref="L74">if(isblank(E74),"",xlookup(E74,'FL5_POR_包裝對照表 (Mapping Table)'!E:E,'FL5_POR_包裝對照表 (Mapping Table)'!AN:AN,"",0,1))</f>
        <v>G950-15935-02</v>
      </c>
      <c r="M74" s="972" t="str">
        <f t="array" ref="M74">if(isblank(E74),"",xlookup(E74,'FL5_POR_包裝對照表 (Mapping Table)'!E:E,'FL5_POR_包裝對照表 (Mapping Table)'!J:J,"",0,1))</f>
        <v>Lemongrass</v>
      </c>
      <c r="N74" s="972" t="str">
        <f t="array" ref="N74">if(isblank(E74),"",xlookup(E74,'FL5_POR_包裝對照表 (Mapping Table)'!E:E,'FL5_POR_包裝對照表 (Mapping Table)'!K:K,"",0,1))</f>
        <v>YEL</v>
      </c>
      <c r="O74" s="976">
        <f t="array" ref="O74">xlookup(E74,'Ike 提供_20250505'!D:D,'Ike 提供_20250505'!N:N,"",0,1)</f>
        <v>446.03</v>
      </c>
      <c r="P74" s="976">
        <f t="array" ref="P74">xlookup(E74,'Ike 提供_20250505'!D:D,'Ike 提供_20250505'!O:O,"",0,1)</f>
        <v>439.05</v>
      </c>
      <c r="Q74" s="977">
        <f t="array" ref="Q74">xlookup(E74,'FL5_POR_包裝對照表 (Mapping Table)'!E:E,'FL5_POR_包裝對照表 (Mapping Table)'!BI:BI,"",0,1)</f>
        <v>45773</v>
      </c>
      <c r="R74" s="977">
        <v>45779.0</v>
      </c>
      <c r="S74" s="977">
        <f t="shared" si="3"/>
        <v>45785</v>
      </c>
      <c r="T74" s="977">
        <v>45782.0</v>
      </c>
      <c r="U74" s="978"/>
      <c r="V74" s="935"/>
      <c r="W74" s="978" t="str">
        <f t="array" ref="W74">if(isblank(E74),"",xlookup(E74,'FL5_POR_包裝對照表 (Mapping Table)'!E:E,'FL5_POR_包裝對照表 (Mapping Table)'!BM:BM,"",0,1))</f>
        <v>No demand</v>
      </c>
      <c r="X74" s="935"/>
      <c r="Y74" s="935"/>
      <c r="Z74" s="935"/>
      <c r="AA74" s="935"/>
    </row>
    <row r="75" ht="15.75" customHeight="1">
      <c r="A75" s="935"/>
      <c r="B75" s="970">
        <v>68.0</v>
      </c>
      <c r="C75" s="970" t="str">
        <f>if(isblank(E75),"",'FL5_POR_包裝對照表 (Mapping Table)'!$E$4)</f>
        <v>GFL (FL5)</v>
      </c>
      <c r="D75" s="970" t="str">
        <f t="array" ref="D75">IF(ISBLANK(E75),"",xlookup(E75,'FL5_POR_包裝對照表 (Mapping Table)'!E:E,'FL5_POR_包裝對照表 (Mapping Table)'!AZ:AZ,"",0,1))</f>
        <v>MP</v>
      </c>
      <c r="E75" s="971" t="s">
        <v>812</v>
      </c>
      <c r="F75" s="167" t="str">
        <f t="array" ref="F75">if(isblank(E75),"",xlookup(E75,'FL5_POR_包裝對照表 (Mapping Table)'!E:E,'FL5_POR_包裝對照表 (Mapping Table)'!F:F,"",0,1))</f>
        <v>GSTORE, US</v>
      </c>
      <c r="G75" s="972" t="str">
        <f t="array" ref="G75">if(isblank(E75),"",xlookup(E75,'FL5_POR_包裝對照表 (Mapping Table)'!E:E,'FL5_POR_包裝對照表 (Mapping Table)'!C:C,"",0,1))</f>
        <v>CLNR/FRU</v>
      </c>
      <c r="H75" s="973" t="str">
        <f t="array" ref="H75">if(isblank(E75),"",xlookup(E75,'FL5_POR_包裝對照表 (Mapping Table)'!E:E,'FL5_POR_包裝對照表 (Mapping Table)'!D:D,"",0,1))</f>
        <v>Bulk Pack</v>
      </c>
      <c r="I75" s="974" t="str">
        <f t="shared" si="2"/>
        <v>Close</v>
      </c>
      <c r="J75" s="975" t="str">
        <f t="array" ref="J75">if(isblank(E75),"",xlookup(E75,'FL5_POR_包裝對照表 (Mapping Table)'!E:E,'FL5_POR_包裝對照表 (Mapping Table)'!H:H,"",0,1))</f>
        <v>mmWave</v>
      </c>
      <c r="K75" s="972" t="str">
        <f t="array" ref="K75">if(isblank(E75),"",xlookup(E75,'FL5_POR_包裝對照表 (Mapping Table)'!E:E,'FL5_POR_包裝對照表 (Mapping Table)'!M:M,"",0,1))</f>
        <v>NA</v>
      </c>
      <c r="L75" s="972" t="str">
        <f t="array" ref="L75">if(isblank(E75),"",xlookup(E75,'FL5_POR_包裝對照表 (Mapping Table)'!E:E,'FL5_POR_包裝對照表 (Mapping Table)'!AN:AN,"",0,1))</f>
        <v>G950-15935-03</v>
      </c>
      <c r="M75" s="972" t="str">
        <f t="array" ref="M75">if(isblank(E75),"",xlookup(E75,'FL5_POR_包裝對照表 (Mapping Table)'!E:E,'FL5_POR_包裝對照表 (Mapping Table)'!J:J,"",0,1))</f>
        <v>Indigo</v>
      </c>
      <c r="N75" s="972" t="str">
        <f t="array" ref="N75">if(isblank(E75),"",xlookup(E75,'FL5_POR_包裝對照表 (Mapping Table)'!E:E,'FL5_POR_包裝對照表 (Mapping Table)'!K:K,"",0,1))</f>
        <v>BUE</v>
      </c>
      <c r="O75" s="976">
        <f t="array" ref="O75">xlookup(E75,'Ike 提供_20250505'!D:D,'Ike 提供_20250505'!N:N,"",0,1)</f>
        <v>446.03</v>
      </c>
      <c r="P75" s="976">
        <f t="array" ref="P75">xlookup(E75,'Ike 提供_20250505'!D:D,'Ike 提供_20250505'!O:O,"",0,1)</f>
        <v>439.05</v>
      </c>
      <c r="Q75" s="977">
        <f t="array" ref="Q75">xlookup(E75,'FL5_POR_包裝對照表 (Mapping Table)'!E:E,'FL5_POR_包裝對照表 (Mapping Table)'!BI:BI,"",0,1)</f>
        <v>45773</v>
      </c>
      <c r="R75" s="977">
        <v>45779.0</v>
      </c>
      <c r="S75" s="977">
        <f t="shared" si="3"/>
        <v>45785</v>
      </c>
      <c r="T75" s="977">
        <v>45782.0</v>
      </c>
      <c r="U75" s="978"/>
      <c r="V75" s="935"/>
      <c r="W75" s="978" t="str">
        <f t="array" ref="W75">if(isblank(E75),"",xlookup(E75,'FL5_POR_包裝對照表 (Mapping Table)'!E:E,'FL5_POR_包裝對照表 (Mapping Table)'!BM:BM,"",0,1))</f>
        <v>No demand</v>
      </c>
      <c r="X75" s="935"/>
      <c r="Y75" s="935"/>
      <c r="Z75" s="935"/>
      <c r="AA75" s="935"/>
    </row>
    <row r="76" ht="15.75" customHeight="1">
      <c r="A76" s="935"/>
      <c r="B76" s="970">
        <v>69.0</v>
      </c>
      <c r="C76" s="970" t="str">
        <f>if(isblank(E76),"",'FL5_POR_包裝對照表 (Mapping Table)'!$E$4)</f>
        <v>GFL (FL5)</v>
      </c>
      <c r="D76" s="970" t="str">
        <f t="array" ref="D76">IF(ISBLANK(E76),"",xlookup(E76,'FL5_POR_包裝對照表 (Mapping Table)'!E:E,'FL5_POR_包裝對照表 (Mapping Table)'!AZ:AZ,"",0,1))</f>
        <v>MP</v>
      </c>
      <c r="E76" s="981" t="s">
        <v>816</v>
      </c>
      <c r="F76" s="167" t="str">
        <f t="array" ref="F76">if(isblank(E76),"",xlookup(E76,'FL5_POR_包裝對照表 (Mapping Table)'!E:E,'FL5_POR_包裝對照表 (Mapping Table)'!F:F,"",0,1))</f>
        <v>CA/AU</v>
      </c>
      <c r="G76" s="972" t="str">
        <f t="array" ref="G76">if(isblank(E76),"",xlookup(E76,'FL5_POR_包裝對照表 (Mapping Table)'!E:E,'FL5_POR_包裝對照表 (Mapping Table)'!C:C,"",0,1))</f>
        <v>CLNR/FRU</v>
      </c>
      <c r="H76" s="973" t="str">
        <f t="array" ref="H76">if(isblank(E76),"",xlookup(E76,'FL5_POR_包裝對照表 (Mapping Table)'!E:E,'FL5_POR_包裝對照表 (Mapping Table)'!D:D,"",0,1))</f>
        <v>Bulk Pack</v>
      </c>
      <c r="I76" s="974" t="str">
        <f t="shared" si="2"/>
        <v>Close</v>
      </c>
      <c r="J76" s="975" t="str">
        <f t="array" ref="J76">if(isblank(E76),"",xlookup(E76,'FL5_POR_包裝對照表 (Mapping Table)'!E:E,'FL5_POR_包裝對照表 (Mapping Table)'!H:H,"",0,1))</f>
        <v>Sub6</v>
      </c>
      <c r="K76" s="972" t="str">
        <f t="array" ref="K76">if(isblank(E76),"",xlookup(E76,'FL5_POR_包裝對照表 (Mapping Table)'!E:E,'FL5_POR_包裝對照表 (Mapping Table)'!M:M,"",0,1))</f>
        <v>ROW</v>
      </c>
      <c r="L76" s="972" t="str">
        <f t="array" ref="L76">if(isblank(E76),"",xlookup(E76,'FL5_POR_包裝對照表 (Mapping Table)'!E:E,'FL5_POR_包裝對照表 (Mapping Table)'!AN:AN,"",0,1))</f>
        <v>G950-15935-10</v>
      </c>
      <c r="M76" s="972" t="str">
        <f t="array" ref="M76">if(isblank(E76),"",xlookup(E76,'FL5_POR_包裝對照表 (Mapping Table)'!E:E,'FL5_POR_包裝對照表 (Mapping Table)'!J:J,"",0,1))</f>
        <v>Obsidian</v>
      </c>
      <c r="N76" s="972" t="str">
        <f t="array" ref="N76">if(isblank(E76),"",xlookup(E76,'FL5_POR_包裝對照表 (Mapping Table)'!E:E,'FL5_POR_包裝對照表 (Mapping Table)'!K:K,"",0,1))</f>
        <v>BLK</v>
      </c>
      <c r="O76" s="976">
        <f t="array" ref="O76">xlookup(E76,'Ike 提供_20250505'!D:D,'Ike 提供_20250505'!N:N,"",0,1)</f>
        <v>428.17</v>
      </c>
      <c r="P76" s="976">
        <f t="array" ref="P76">xlookup(E76,'Ike 提供_20250505'!D:D,'Ike 提供_20250505'!O:O,"",0,1)</f>
        <v>421.19</v>
      </c>
      <c r="Q76" s="977">
        <f t="array" ref="Q76">xlookup(E76,'FL5_POR_包裝對照表 (Mapping Table)'!E:E,'FL5_POR_包裝對照表 (Mapping Table)'!BI:BI,"",0,1)</f>
        <v>45773</v>
      </c>
      <c r="R76" s="977">
        <v>45779.0</v>
      </c>
      <c r="S76" s="977">
        <f t="shared" si="3"/>
        <v>45785</v>
      </c>
      <c r="T76" s="977">
        <v>45782.0</v>
      </c>
      <c r="U76" s="978"/>
      <c r="V76" s="935"/>
      <c r="W76" s="978" t="str">
        <f t="array" ref="W76">if(isblank(E76),"",xlookup(E76,'FL5_POR_包裝對照表 (Mapping Table)'!E:E,'FL5_POR_包裝對照表 (Mapping Table)'!BM:BM,"",0,1))</f>
        <v>No demand</v>
      </c>
      <c r="X76" s="935"/>
      <c r="Y76" s="935"/>
      <c r="Z76" s="935"/>
      <c r="AA76" s="935"/>
    </row>
    <row r="77" ht="15.75" customHeight="1">
      <c r="A77" s="935"/>
      <c r="B77" s="970">
        <v>70.0</v>
      </c>
      <c r="C77" s="970" t="str">
        <f>if(isblank(E77),"",'FL5_POR_包裝對照表 (Mapping Table)'!$E$4)</f>
        <v>GFL (FL5)</v>
      </c>
      <c r="D77" s="970" t="str">
        <f t="array" ref="D77">IF(ISBLANK(E77),"",xlookup(E77,'FL5_POR_包裝對照表 (Mapping Table)'!E:E,'FL5_POR_包裝對照表 (Mapping Table)'!AZ:AZ,"",0,1))</f>
        <v>MP</v>
      </c>
      <c r="E77" s="981" t="s">
        <v>824</v>
      </c>
      <c r="F77" s="167" t="str">
        <f t="array" ref="F77">if(isblank(E77),"",xlookup(E77,'FL5_POR_包裝對照表 (Mapping Table)'!E:E,'FL5_POR_包裝對照表 (Mapping Table)'!F:F,"",0,1))</f>
        <v>CA/AU</v>
      </c>
      <c r="G77" s="972" t="str">
        <f t="array" ref="G77">if(isblank(E77),"",xlookup(E77,'FL5_POR_包裝對照表 (Mapping Table)'!E:E,'FL5_POR_包裝對照表 (Mapping Table)'!C:C,"",0,1))</f>
        <v>CLNR/FRU</v>
      </c>
      <c r="H77" s="973" t="str">
        <f t="array" ref="H77">if(isblank(E77),"",xlookup(E77,'FL5_POR_包裝對照表 (Mapping Table)'!E:E,'FL5_POR_包裝對照表 (Mapping Table)'!D:D,"",0,1))</f>
        <v>Bulk Pack</v>
      </c>
      <c r="I77" s="974" t="str">
        <f t="shared" si="2"/>
        <v>Close</v>
      </c>
      <c r="J77" s="975" t="str">
        <f t="array" ref="J77">if(isblank(E77),"",xlookup(E77,'FL5_POR_包裝對照表 (Mapping Table)'!E:E,'FL5_POR_包裝對照表 (Mapping Table)'!H:H,"",0,1))</f>
        <v>Sub6</v>
      </c>
      <c r="K77" s="972" t="str">
        <f t="array" ref="K77">if(isblank(E77),"",xlookup(E77,'FL5_POR_包裝對照表 (Mapping Table)'!E:E,'FL5_POR_包裝對照表 (Mapping Table)'!M:M,"",0,1))</f>
        <v>ROW</v>
      </c>
      <c r="L77" s="972" t="str">
        <f t="array" ref="L77">if(isblank(E77),"",xlookup(E77,'FL5_POR_包裝對照表 (Mapping Table)'!E:E,'FL5_POR_包裝對照表 (Mapping Table)'!AN:AN,"",0,1))</f>
        <v>G950-15935-11</v>
      </c>
      <c r="M77" s="972" t="str">
        <f t="array" ref="M77">if(isblank(E77),"",xlookup(E77,'FL5_POR_包裝對照表 (Mapping Table)'!E:E,'FL5_POR_包裝對照表 (Mapping Table)'!J:J,"",0,1))</f>
        <v>Frost</v>
      </c>
      <c r="N77" s="972" t="str">
        <f t="array" ref="N77">if(isblank(E77),"",xlookup(E77,'FL5_POR_包裝對照表 (Mapping Table)'!E:E,'FL5_POR_包裝對照表 (Mapping Table)'!K:K,"",0,1))</f>
        <v>PPL</v>
      </c>
      <c r="O77" s="976">
        <f t="array" ref="O77">xlookup(E77,'Ike 提供_20250505'!D:D,'Ike 提供_20250505'!N:N,"",0,1)</f>
        <v>428.47</v>
      </c>
      <c r="P77" s="976">
        <f t="array" ref="P77">xlookup(E77,'Ike 提供_20250505'!D:D,'Ike 提供_20250505'!O:O,"",0,1)</f>
        <v>421.49</v>
      </c>
      <c r="Q77" s="977">
        <f t="array" ref="Q77">xlookup(E77,'FL5_POR_包裝對照表 (Mapping Table)'!E:E,'FL5_POR_包裝對照表 (Mapping Table)'!BI:BI,"",0,1)</f>
        <v>45773</v>
      </c>
      <c r="R77" s="977">
        <v>45779.0</v>
      </c>
      <c r="S77" s="977">
        <f t="shared" si="3"/>
        <v>45785</v>
      </c>
      <c r="T77" s="977">
        <v>45782.0</v>
      </c>
      <c r="U77" s="978"/>
      <c r="V77" s="935"/>
      <c r="W77" s="978" t="str">
        <f t="array" ref="W77">if(isblank(E77),"",xlookup(E77,'FL5_POR_包裝對照表 (Mapping Table)'!E:E,'FL5_POR_包裝對照表 (Mapping Table)'!BM:BM,"",0,1))</f>
        <v>No demand</v>
      </c>
      <c r="X77" s="935"/>
      <c r="Y77" s="935"/>
      <c r="Z77" s="935"/>
      <c r="AA77" s="935"/>
    </row>
    <row r="78" ht="15.75" customHeight="1">
      <c r="A78" s="935"/>
      <c r="B78" s="970">
        <v>71.0</v>
      </c>
      <c r="C78" s="970" t="str">
        <f>if(isblank(E78),"",'FL5_POR_包裝對照表 (Mapping Table)'!$E$4)</f>
        <v>GFL (FL5)</v>
      </c>
      <c r="D78" s="970" t="str">
        <f t="array" ref="D78">IF(ISBLANK(E78),"",xlookup(E78,'FL5_POR_包裝對照表 (Mapping Table)'!E:E,'FL5_POR_包裝對照表 (Mapping Table)'!AZ:AZ,"",0,1))</f>
        <v>MP</v>
      </c>
      <c r="E78" s="981" t="s">
        <v>828</v>
      </c>
      <c r="F78" s="167" t="str">
        <f t="array" ref="F78">if(isblank(E78),"",xlookup(E78,'FL5_POR_包裝對照表 (Mapping Table)'!E:E,'FL5_POR_包裝對照表 (Mapping Table)'!F:F,"",0,1))</f>
        <v>CA/AU</v>
      </c>
      <c r="G78" s="972" t="str">
        <f t="array" ref="G78">if(isblank(E78),"",xlookup(E78,'FL5_POR_包裝對照表 (Mapping Table)'!E:E,'FL5_POR_包裝對照表 (Mapping Table)'!C:C,"",0,1))</f>
        <v>CLNR/FRU</v>
      </c>
      <c r="H78" s="973" t="str">
        <f t="array" ref="H78">if(isblank(E78),"",xlookup(E78,'FL5_POR_包裝對照表 (Mapping Table)'!E:E,'FL5_POR_包裝對照表 (Mapping Table)'!D:D,"",0,1))</f>
        <v>Bulk Pack</v>
      </c>
      <c r="I78" s="974" t="str">
        <f t="shared" si="2"/>
        <v>Close</v>
      </c>
      <c r="J78" s="975" t="str">
        <f t="array" ref="J78">if(isblank(E78),"",xlookup(E78,'FL5_POR_包裝對照表 (Mapping Table)'!E:E,'FL5_POR_包裝對照表 (Mapping Table)'!H:H,"",0,1))</f>
        <v>Sub6</v>
      </c>
      <c r="K78" s="972" t="str">
        <f t="array" ref="K78">if(isblank(E78),"",xlookup(E78,'FL5_POR_包裝對照表 (Mapping Table)'!E:E,'FL5_POR_包裝對照表 (Mapping Table)'!M:M,"",0,1))</f>
        <v>ROW</v>
      </c>
      <c r="L78" s="972" t="str">
        <f t="array" ref="L78">if(isblank(E78),"",xlookup(E78,'FL5_POR_包裝對照表 (Mapping Table)'!E:E,'FL5_POR_包裝對照表 (Mapping Table)'!AN:AN,"",0,1))</f>
        <v>G950-15935-12</v>
      </c>
      <c r="M78" s="972" t="str">
        <f t="array" ref="M78">if(isblank(E78),"",xlookup(E78,'FL5_POR_包裝對照表 (Mapping Table)'!E:E,'FL5_POR_包裝對照表 (Mapping Table)'!J:J,"",0,1))</f>
        <v>Lemongrass</v>
      </c>
      <c r="N78" s="972" t="str">
        <f t="array" ref="N78">if(isblank(E78),"",xlookup(E78,'FL5_POR_包裝對照表 (Mapping Table)'!E:E,'FL5_POR_包裝對照表 (Mapping Table)'!K:K,"",0,1))</f>
        <v>YEL</v>
      </c>
      <c r="O78" s="976">
        <f t="array" ref="O78">xlookup(E78,'Ike 提供_20250505'!D:D,'Ike 提供_20250505'!N:N,"",0,1)</f>
        <v>428.57</v>
      </c>
      <c r="P78" s="976">
        <f t="array" ref="P78">xlookup(E78,'Ike 提供_20250505'!D:D,'Ike 提供_20250505'!O:O,"",0,1)</f>
        <v>421.59</v>
      </c>
      <c r="Q78" s="977">
        <f t="array" ref="Q78">xlookup(E78,'FL5_POR_包裝對照表 (Mapping Table)'!E:E,'FL5_POR_包裝對照表 (Mapping Table)'!BI:BI,"",0,1)</f>
        <v>45773</v>
      </c>
      <c r="R78" s="977">
        <v>45779.0</v>
      </c>
      <c r="S78" s="977">
        <f t="shared" si="3"/>
        <v>45785</v>
      </c>
      <c r="T78" s="977">
        <v>45782.0</v>
      </c>
      <c r="U78" s="978"/>
      <c r="V78" s="935"/>
      <c r="W78" s="978" t="str">
        <f t="array" ref="W78">if(isblank(E78),"",xlookup(E78,'FL5_POR_包裝對照表 (Mapping Table)'!E:E,'FL5_POR_包裝對照表 (Mapping Table)'!BM:BM,"",0,1))</f>
        <v>No demand</v>
      </c>
      <c r="X78" s="935"/>
      <c r="Y78" s="935"/>
      <c r="Z78" s="935"/>
      <c r="AA78" s="935"/>
    </row>
    <row r="79" ht="15.75" customHeight="1">
      <c r="A79" s="935"/>
      <c r="B79" s="970">
        <v>72.0</v>
      </c>
      <c r="C79" s="970" t="str">
        <f>if(isblank(E79),"",'FL5_POR_包裝對照表 (Mapping Table)'!$E$4)</f>
        <v>GFL (FL5)</v>
      </c>
      <c r="D79" s="970" t="str">
        <f t="array" ref="D79">IF(ISBLANK(E79),"",xlookup(E79,'FL5_POR_包裝對照表 (Mapping Table)'!E:E,'FL5_POR_包裝對照表 (Mapping Table)'!AZ:AZ,"",0,1))</f>
        <v>MP</v>
      </c>
      <c r="E79" s="981" t="s">
        <v>832</v>
      </c>
      <c r="F79" s="167" t="str">
        <f t="array" ref="F79">if(isblank(E79),"",xlookup(E79,'FL5_POR_包裝對照表 (Mapping Table)'!E:E,'FL5_POR_包裝對照表 (Mapping Table)'!F:F,"",0,1))</f>
        <v>CA/AU</v>
      </c>
      <c r="G79" s="972" t="str">
        <f t="array" ref="G79">if(isblank(E79),"",xlookup(E79,'FL5_POR_包裝對照表 (Mapping Table)'!E:E,'FL5_POR_包裝對照表 (Mapping Table)'!C:C,"",0,1))</f>
        <v>CLNR/FRU</v>
      </c>
      <c r="H79" s="973" t="str">
        <f t="array" ref="H79">if(isblank(E79),"",xlookup(E79,'FL5_POR_包裝對照表 (Mapping Table)'!E:E,'FL5_POR_包裝對照表 (Mapping Table)'!D:D,"",0,1))</f>
        <v>Bulk Pack</v>
      </c>
      <c r="I79" s="974" t="str">
        <f t="shared" si="2"/>
        <v>Close</v>
      </c>
      <c r="J79" s="975" t="str">
        <f t="array" ref="J79">if(isblank(E79),"",xlookup(E79,'FL5_POR_包裝對照表 (Mapping Table)'!E:E,'FL5_POR_包裝對照表 (Mapping Table)'!H:H,"",0,1))</f>
        <v>Sub6</v>
      </c>
      <c r="K79" s="972" t="str">
        <f t="array" ref="K79">if(isblank(E79),"",xlookup(E79,'FL5_POR_包裝對照表 (Mapping Table)'!E:E,'FL5_POR_包裝對照表 (Mapping Table)'!M:M,"",0,1))</f>
        <v>ROW</v>
      </c>
      <c r="L79" s="972" t="str">
        <f t="array" ref="L79">if(isblank(E79),"",xlookup(E79,'FL5_POR_包裝對照表 (Mapping Table)'!E:E,'FL5_POR_包裝對照表 (Mapping Table)'!AN:AN,"",0,1))</f>
        <v>G950-15935-13</v>
      </c>
      <c r="M79" s="972" t="str">
        <f t="array" ref="M79">if(isblank(E79),"",xlookup(E79,'FL5_POR_包裝對照表 (Mapping Table)'!E:E,'FL5_POR_包裝對照表 (Mapping Table)'!J:J,"",0,1))</f>
        <v>Indigo</v>
      </c>
      <c r="N79" s="972" t="str">
        <f t="array" ref="N79">if(isblank(E79),"",xlookup(E79,'FL5_POR_包裝對照表 (Mapping Table)'!E:E,'FL5_POR_包裝對照表 (Mapping Table)'!K:K,"",0,1))</f>
        <v>BUE</v>
      </c>
      <c r="O79" s="976">
        <f t="array" ref="O79">xlookup(E79,'Ike 提供_20250505'!D:D,'Ike 提供_20250505'!N:N,"",0,1)</f>
        <v>428.57</v>
      </c>
      <c r="P79" s="976">
        <f t="array" ref="P79">xlookup(E79,'Ike 提供_20250505'!D:D,'Ike 提供_20250505'!O:O,"",0,1)</f>
        <v>421.59</v>
      </c>
      <c r="Q79" s="977">
        <f t="array" ref="Q79">xlookup(E79,'FL5_POR_包裝對照表 (Mapping Table)'!E:E,'FL5_POR_包裝對照表 (Mapping Table)'!BI:BI,"",0,1)</f>
        <v>45773</v>
      </c>
      <c r="R79" s="977">
        <v>45779.0</v>
      </c>
      <c r="S79" s="977">
        <f t="shared" si="3"/>
        <v>45785</v>
      </c>
      <c r="T79" s="977">
        <v>45782.0</v>
      </c>
      <c r="U79" s="978"/>
      <c r="V79" s="935"/>
      <c r="W79" s="978" t="str">
        <f t="array" ref="W79">if(isblank(E79),"",xlookup(E79,'FL5_POR_包裝對照表 (Mapping Table)'!E:E,'FL5_POR_包裝對照表 (Mapping Table)'!BM:BM,"",0,1))</f>
        <v>No demand</v>
      </c>
      <c r="X79" s="935"/>
      <c r="Y79" s="935"/>
      <c r="Z79" s="935"/>
      <c r="AA79" s="935"/>
    </row>
    <row r="80" ht="15.75" customHeight="1">
      <c r="A80" s="935"/>
      <c r="B80" s="970">
        <v>73.0</v>
      </c>
      <c r="C80" s="970" t="str">
        <f>if(isblank(E80),"",'FL5_POR_包裝對照表 (Mapping Table)'!$E$4)</f>
        <v>GFL (FL5)</v>
      </c>
      <c r="D80" s="970" t="str">
        <f t="array" ref="D80">IF(ISBLANK(E80),"",xlookup(E80,'FL5_POR_包裝對照表 (Mapping Table)'!E:E,'FL5_POR_包裝對照表 (Mapping Table)'!AZ:AZ,"",0,1))</f>
        <v>MP</v>
      </c>
      <c r="E80" s="971" t="s">
        <v>837</v>
      </c>
      <c r="F80" s="167" t="str">
        <f t="array" ref="F80">if(isblank(E80),"",xlookup(E80,'FL5_POR_包裝對照表 (Mapping Table)'!E:E,'FL5_POR_包裝對照表 (Mapping Table)'!F:F,"",0,1))</f>
        <v>UK/EU</v>
      </c>
      <c r="G80" s="972" t="str">
        <f t="array" ref="G80">if(isblank(E80),"",xlookup(E80,'FL5_POR_包裝對照表 (Mapping Table)'!E:E,'FL5_POR_包裝對照表 (Mapping Table)'!C:C,"",0,1))</f>
        <v>CLNR/FRU</v>
      </c>
      <c r="H80" s="973" t="str">
        <f t="array" ref="H80">if(isblank(E80),"",xlookup(E80,'FL5_POR_包裝對照表 (Mapping Table)'!E:E,'FL5_POR_包裝對照表 (Mapping Table)'!D:D,"",0,1))</f>
        <v>Bulk Pack</v>
      </c>
      <c r="I80" s="974" t="str">
        <f t="shared" si="2"/>
        <v>Close</v>
      </c>
      <c r="J80" s="975" t="str">
        <f t="array" ref="J80">if(isblank(E80),"",xlookup(E80,'FL5_POR_包裝對照表 (Mapping Table)'!E:E,'FL5_POR_包裝對照表 (Mapping Table)'!H:H,"",0,1))</f>
        <v>Sub6</v>
      </c>
      <c r="K80" s="972" t="str">
        <f t="array" ref="K80">if(isblank(E80),"",xlookup(E80,'FL5_POR_包裝對照表 (Mapping Table)'!E:E,'FL5_POR_包裝對照表 (Mapping Table)'!M:M,"",0,1))</f>
        <v>ROW</v>
      </c>
      <c r="L80" s="972" t="str">
        <f t="array" ref="L80">if(isblank(E80),"",xlookup(E80,'FL5_POR_包裝對照表 (Mapping Table)'!E:E,'FL5_POR_包裝對照表 (Mapping Table)'!AN:AN,"",0,1))</f>
        <v>G950-15935-10</v>
      </c>
      <c r="M80" s="972" t="str">
        <f t="array" ref="M80">if(isblank(E80),"",xlookup(E80,'FL5_POR_包裝對照表 (Mapping Table)'!E:E,'FL5_POR_包裝對照表 (Mapping Table)'!J:J,"",0,1))</f>
        <v>Obsidian</v>
      </c>
      <c r="N80" s="972" t="str">
        <f t="array" ref="N80">if(isblank(E80),"",xlookup(E80,'FL5_POR_包裝對照表 (Mapping Table)'!E:E,'FL5_POR_包裝對照表 (Mapping Table)'!K:K,"",0,1))</f>
        <v>BLK</v>
      </c>
      <c r="O80" s="976">
        <f t="array" ref="O80">xlookup(E80,'Ike 提供_20250505'!D:D,'Ike 提供_20250505'!N:N,"",0,1)</f>
        <v>428.17</v>
      </c>
      <c r="P80" s="976">
        <f t="array" ref="P80">xlookup(E80,'Ike 提供_20250505'!D:D,'Ike 提供_20250505'!O:O,"",0,1)</f>
        <v>421.19</v>
      </c>
      <c r="Q80" s="977">
        <f t="array" ref="Q80">xlookup(E80,'FL5_POR_包裝對照表 (Mapping Table)'!E:E,'FL5_POR_包裝對照表 (Mapping Table)'!BI:BI,"",0,1)</f>
        <v>45773</v>
      </c>
      <c r="R80" s="977">
        <v>45779.0</v>
      </c>
      <c r="S80" s="977">
        <f t="shared" si="3"/>
        <v>45785</v>
      </c>
      <c r="T80" s="977">
        <v>45782.0</v>
      </c>
      <c r="U80" s="978"/>
      <c r="V80" s="935"/>
      <c r="W80" s="978" t="str">
        <f t="array" ref="W80">if(isblank(E80),"",xlookup(E80,'FL5_POR_包裝對照表 (Mapping Table)'!E:E,'FL5_POR_包裝對照表 (Mapping Table)'!BM:BM,"",0,1))</f>
        <v>No demand</v>
      </c>
      <c r="X80" s="935"/>
      <c r="Y80" s="935"/>
      <c r="Z80" s="935"/>
      <c r="AA80" s="935"/>
    </row>
    <row r="81" ht="15.75" customHeight="1">
      <c r="A81" s="935"/>
      <c r="B81" s="970">
        <v>74.0</v>
      </c>
      <c r="C81" s="970" t="str">
        <f>if(isblank(E81),"",'FL5_POR_包裝對照表 (Mapping Table)'!$E$4)</f>
        <v>GFL (FL5)</v>
      </c>
      <c r="D81" s="970" t="str">
        <f t="array" ref="D81">IF(ISBLANK(E81),"",xlookup(E81,'FL5_POR_包裝對照表 (Mapping Table)'!E:E,'FL5_POR_包裝對照表 (Mapping Table)'!AZ:AZ,"",0,1))</f>
        <v>MP</v>
      </c>
      <c r="E81" s="971" t="s">
        <v>842</v>
      </c>
      <c r="F81" s="167" t="str">
        <f t="array" ref="F81">if(isblank(E81),"",xlookup(E81,'FL5_POR_包裝對照表 (Mapping Table)'!E:E,'FL5_POR_包裝對照表 (Mapping Table)'!F:F,"",0,1))</f>
        <v>UK/EU</v>
      </c>
      <c r="G81" s="972" t="str">
        <f t="array" ref="G81">if(isblank(E81),"",xlookup(E81,'FL5_POR_包裝對照表 (Mapping Table)'!E:E,'FL5_POR_包裝對照表 (Mapping Table)'!C:C,"",0,1))</f>
        <v>CLNR/FRU</v>
      </c>
      <c r="H81" s="973" t="str">
        <f t="array" ref="H81">if(isblank(E81),"",xlookup(E81,'FL5_POR_包裝對照表 (Mapping Table)'!E:E,'FL5_POR_包裝對照表 (Mapping Table)'!D:D,"",0,1))</f>
        <v>Bulk Pack</v>
      </c>
      <c r="I81" s="974" t="str">
        <f t="shared" si="2"/>
        <v>Close</v>
      </c>
      <c r="J81" s="975" t="str">
        <f t="array" ref="J81">if(isblank(E81),"",xlookup(E81,'FL5_POR_包裝對照表 (Mapping Table)'!E:E,'FL5_POR_包裝對照表 (Mapping Table)'!H:H,"",0,1))</f>
        <v>Sub6</v>
      </c>
      <c r="K81" s="972" t="str">
        <f t="array" ref="K81">if(isblank(E81),"",xlookup(E81,'FL5_POR_包裝對照表 (Mapping Table)'!E:E,'FL5_POR_包裝對照表 (Mapping Table)'!M:M,"",0,1))</f>
        <v>ROW</v>
      </c>
      <c r="L81" s="972" t="str">
        <f t="array" ref="L81">if(isblank(E81),"",xlookup(E81,'FL5_POR_包裝對照表 (Mapping Table)'!E:E,'FL5_POR_包裝對照表 (Mapping Table)'!AN:AN,"",0,1))</f>
        <v>G950-15935-11</v>
      </c>
      <c r="M81" s="972" t="str">
        <f t="array" ref="M81">if(isblank(E81),"",xlookup(E81,'FL5_POR_包裝對照表 (Mapping Table)'!E:E,'FL5_POR_包裝對照表 (Mapping Table)'!J:J,"",0,1))</f>
        <v>Frost</v>
      </c>
      <c r="N81" s="972" t="str">
        <f t="array" ref="N81">if(isblank(E81),"",xlookup(E81,'FL5_POR_包裝對照表 (Mapping Table)'!E:E,'FL5_POR_包裝對照表 (Mapping Table)'!K:K,"",0,1))</f>
        <v>PPL</v>
      </c>
      <c r="O81" s="976">
        <f t="array" ref="O81">xlookup(E81,'Ike 提供_20250505'!D:D,'Ike 提供_20250505'!N:N,"",0,1)</f>
        <v>428.47</v>
      </c>
      <c r="P81" s="976">
        <f t="array" ref="P81">xlookup(E81,'Ike 提供_20250505'!D:D,'Ike 提供_20250505'!O:O,"",0,1)</f>
        <v>421.49</v>
      </c>
      <c r="Q81" s="977">
        <f t="array" ref="Q81">xlookup(E81,'FL5_POR_包裝對照表 (Mapping Table)'!E:E,'FL5_POR_包裝對照表 (Mapping Table)'!BI:BI,"",0,1)</f>
        <v>45773</v>
      </c>
      <c r="R81" s="977">
        <v>45779.0</v>
      </c>
      <c r="S81" s="977">
        <f t="shared" si="3"/>
        <v>45785</v>
      </c>
      <c r="T81" s="977">
        <v>45782.0</v>
      </c>
      <c r="U81" s="978"/>
      <c r="V81" s="935"/>
      <c r="W81" s="978" t="str">
        <f t="array" ref="W81">if(isblank(E81),"",xlookup(E81,'FL5_POR_包裝對照表 (Mapping Table)'!E:E,'FL5_POR_包裝對照表 (Mapping Table)'!BM:BM,"",0,1))</f>
        <v>No demand</v>
      </c>
      <c r="X81" s="935"/>
      <c r="Y81" s="935"/>
      <c r="Z81" s="935"/>
      <c r="AA81" s="935"/>
    </row>
    <row r="82" ht="15.75" customHeight="1">
      <c r="A82" s="935"/>
      <c r="B82" s="970">
        <v>75.0</v>
      </c>
      <c r="C82" s="970" t="str">
        <f>if(isblank(E82),"",'FL5_POR_包裝對照表 (Mapping Table)'!$E$4)</f>
        <v>GFL (FL5)</v>
      </c>
      <c r="D82" s="970" t="str">
        <f t="array" ref="D82">IF(ISBLANK(E82),"",xlookup(E82,'FL5_POR_包裝對照表 (Mapping Table)'!E:E,'FL5_POR_包裝對照表 (Mapping Table)'!AZ:AZ,"",0,1))</f>
        <v>MP</v>
      </c>
      <c r="E82" s="971" t="s">
        <v>847</v>
      </c>
      <c r="F82" s="167" t="str">
        <f t="array" ref="F82">if(isblank(E82),"",xlookup(E82,'FL5_POR_包裝對照表 (Mapping Table)'!E:E,'FL5_POR_包裝對照表 (Mapping Table)'!F:F,"",0,1))</f>
        <v>UK/EU</v>
      </c>
      <c r="G82" s="972" t="str">
        <f t="array" ref="G82">if(isblank(E82),"",xlookup(E82,'FL5_POR_包裝對照表 (Mapping Table)'!E:E,'FL5_POR_包裝對照表 (Mapping Table)'!C:C,"",0,1))</f>
        <v>CLNR/FRU</v>
      </c>
      <c r="H82" s="973" t="str">
        <f t="array" ref="H82">if(isblank(E82),"",xlookup(E82,'FL5_POR_包裝對照表 (Mapping Table)'!E:E,'FL5_POR_包裝對照表 (Mapping Table)'!D:D,"",0,1))</f>
        <v>Bulk Pack</v>
      </c>
      <c r="I82" s="974" t="str">
        <f t="shared" si="2"/>
        <v>Close</v>
      </c>
      <c r="J82" s="975" t="str">
        <f t="array" ref="J82">if(isblank(E82),"",xlookup(E82,'FL5_POR_包裝對照表 (Mapping Table)'!E:E,'FL5_POR_包裝對照表 (Mapping Table)'!H:H,"",0,1))</f>
        <v>Sub6</v>
      </c>
      <c r="K82" s="972" t="str">
        <f t="array" ref="K82">if(isblank(E82),"",xlookup(E82,'FL5_POR_包裝對照表 (Mapping Table)'!E:E,'FL5_POR_包裝對照表 (Mapping Table)'!M:M,"",0,1))</f>
        <v>ROW</v>
      </c>
      <c r="L82" s="972" t="str">
        <f t="array" ref="L82">if(isblank(E82),"",xlookup(E82,'FL5_POR_包裝對照表 (Mapping Table)'!E:E,'FL5_POR_包裝對照表 (Mapping Table)'!AN:AN,"",0,1))</f>
        <v>G950-15935-12</v>
      </c>
      <c r="M82" s="972" t="str">
        <f t="array" ref="M82">if(isblank(E82),"",xlookup(E82,'FL5_POR_包裝對照表 (Mapping Table)'!E:E,'FL5_POR_包裝對照表 (Mapping Table)'!J:J,"",0,1))</f>
        <v>Lemongrass</v>
      </c>
      <c r="N82" s="972" t="str">
        <f t="array" ref="N82">if(isblank(E82),"",xlookup(E82,'FL5_POR_包裝對照表 (Mapping Table)'!E:E,'FL5_POR_包裝對照表 (Mapping Table)'!K:K,"",0,1))</f>
        <v>YEL</v>
      </c>
      <c r="O82" s="976">
        <f t="array" ref="O82">xlookup(E82,'Ike 提供_20250505'!D:D,'Ike 提供_20250505'!N:N,"",0,1)</f>
        <v>428.57</v>
      </c>
      <c r="P82" s="976">
        <f t="array" ref="P82">xlookup(E82,'Ike 提供_20250505'!D:D,'Ike 提供_20250505'!O:O,"",0,1)</f>
        <v>421.59</v>
      </c>
      <c r="Q82" s="977">
        <f t="array" ref="Q82">xlookup(E82,'FL5_POR_包裝對照表 (Mapping Table)'!E:E,'FL5_POR_包裝對照表 (Mapping Table)'!BI:BI,"",0,1)</f>
        <v>45773</v>
      </c>
      <c r="R82" s="977">
        <v>45779.0</v>
      </c>
      <c r="S82" s="977">
        <f t="shared" si="3"/>
        <v>45785</v>
      </c>
      <c r="T82" s="977">
        <v>45782.0</v>
      </c>
      <c r="U82" s="978"/>
      <c r="V82" s="935"/>
      <c r="W82" s="978" t="str">
        <f t="array" ref="W82">if(isblank(E82),"",xlookup(E82,'FL5_POR_包裝對照表 (Mapping Table)'!E:E,'FL5_POR_包裝對照表 (Mapping Table)'!BM:BM,"",0,1))</f>
        <v>No demand</v>
      </c>
      <c r="X82" s="935"/>
      <c r="Y82" s="935"/>
      <c r="Z82" s="935"/>
      <c r="AA82" s="935"/>
    </row>
    <row r="83" ht="15.75" customHeight="1">
      <c r="A83" s="935"/>
      <c r="B83" s="970">
        <v>76.0</v>
      </c>
      <c r="C83" s="970" t="str">
        <f>if(isblank(E83),"",'FL5_POR_包裝對照表 (Mapping Table)'!$E$4)</f>
        <v>GFL (FL5)</v>
      </c>
      <c r="D83" s="970" t="str">
        <f t="array" ref="D83">IF(ISBLANK(E83),"",xlookup(E83,'FL5_POR_包裝對照表 (Mapping Table)'!E:E,'FL5_POR_包裝對照表 (Mapping Table)'!AZ:AZ,"",0,1))</f>
        <v>MP</v>
      </c>
      <c r="E83" s="971" t="s">
        <v>852</v>
      </c>
      <c r="F83" s="167" t="str">
        <f t="array" ref="F83">if(isblank(E83),"",xlookup(E83,'FL5_POR_包裝對照表 (Mapping Table)'!E:E,'FL5_POR_包裝對照表 (Mapping Table)'!F:F,"",0,1))</f>
        <v>UK/EU</v>
      </c>
      <c r="G83" s="972" t="str">
        <f t="array" ref="G83">if(isblank(E83),"",xlookup(E83,'FL5_POR_包裝對照表 (Mapping Table)'!E:E,'FL5_POR_包裝對照表 (Mapping Table)'!C:C,"",0,1))</f>
        <v>CLNR/FRU</v>
      </c>
      <c r="H83" s="973" t="str">
        <f t="array" ref="H83">if(isblank(E83),"",xlookup(E83,'FL5_POR_包裝對照表 (Mapping Table)'!E:E,'FL5_POR_包裝對照表 (Mapping Table)'!D:D,"",0,1))</f>
        <v>Bulk Pack</v>
      </c>
      <c r="I83" s="974" t="str">
        <f t="shared" si="2"/>
        <v>Close</v>
      </c>
      <c r="J83" s="975" t="str">
        <f t="array" ref="J83">if(isblank(E83),"",xlookup(E83,'FL5_POR_包裝對照表 (Mapping Table)'!E:E,'FL5_POR_包裝對照表 (Mapping Table)'!H:H,"",0,1))</f>
        <v>Sub6</v>
      </c>
      <c r="K83" s="972" t="str">
        <f t="array" ref="K83">if(isblank(E83),"",xlookup(E83,'FL5_POR_包裝對照表 (Mapping Table)'!E:E,'FL5_POR_包裝對照表 (Mapping Table)'!M:M,"",0,1))</f>
        <v>ROW</v>
      </c>
      <c r="L83" s="972" t="str">
        <f t="array" ref="L83">if(isblank(E83),"",xlookup(E83,'FL5_POR_包裝對照表 (Mapping Table)'!E:E,'FL5_POR_包裝對照表 (Mapping Table)'!AN:AN,"",0,1))</f>
        <v>G950-15935-13</v>
      </c>
      <c r="M83" s="972" t="str">
        <f t="array" ref="M83">if(isblank(E83),"",xlookup(E83,'FL5_POR_包裝對照表 (Mapping Table)'!E:E,'FL5_POR_包裝對照表 (Mapping Table)'!J:J,"",0,1))</f>
        <v>Indigo</v>
      </c>
      <c r="N83" s="972" t="str">
        <f t="array" ref="N83">if(isblank(E83),"",xlookup(E83,'FL5_POR_包裝對照表 (Mapping Table)'!E:E,'FL5_POR_包裝對照表 (Mapping Table)'!K:K,"",0,1))</f>
        <v>BUE</v>
      </c>
      <c r="O83" s="976">
        <f t="array" ref="O83">xlookup(E83,'Ike 提供_20250505'!D:D,'Ike 提供_20250505'!N:N,"",0,1)</f>
        <v>428.57</v>
      </c>
      <c r="P83" s="976">
        <f t="array" ref="P83">xlookup(E83,'Ike 提供_20250505'!D:D,'Ike 提供_20250505'!O:O,"",0,1)</f>
        <v>421.59</v>
      </c>
      <c r="Q83" s="977">
        <f t="array" ref="Q83">xlookup(E83,'FL5_POR_包裝對照表 (Mapping Table)'!E:E,'FL5_POR_包裝對照表 (Mapping Table)'!BI:BI,"",0,1)</f>
        <v>45773</v>
      </c>
      <c r="R83" s="977">
        <v>45779.0</v>
      </c>
      <c r="S83" s="977">
        <f t="shared" si="3"/>
        <v>45785</v>
      </c>
      <c r="T83" s="977">
        <v>45782.0</v>
      </c>
      <c r="U83" s="978"/>
      <c r="V83" s="935"/>
      <c r="W83" s="978" t="str">
        <f t="array" ref="W83">if(isblank(E83),"",xlookup(E83,'FL5_POR_包裝對照表 (Mapping Table)'!E:E,'FL5_POR_包裝對照表 (Mapping Table)'!BM:BM,"",0,1))</f>
        <v>No demand</v>
      </c>
      <c r="X83" s="935"/>
      <c r="Y83" s="935"/>
      <c r="Z83" s="935"/>
      <c r="AA83" s="935"/>
    </row>
    <row r="84" ht="15.75" customHeight="1">
      <c r="A84" s="935"/>
      <c r="B84" s="970">
        <v>77.0</v>
      </c>
      <c r="C84" s="970" t="str">
        <f>if(isblank(E84),"",'FL5_POR_包裝對照表 (Mapping Table)'!$E$4)</f>
        <v>GFL (FL5)</v>
      </c>
      <c r="D84" s="970" t="str">
        <f t="array" ref="D84">IF(ISBLANK(E84),"",xlookup(E84,'FL5_POR_包裝對照表 (Mapping Table)'!E:E,'FL5_POR_包裝對照表 (Mapping Table)'!AZ:AZ,"",0,1))</f>
        <v>MP</v>
      </c>
      <c r="E84" s="971" t="s">
        <v>857</v>
      </c>
      <c r="F84" s="167" t="str">
        <f t="array" ref="F84">if(isblank(E84),"",xlookup(E84,'FL5_POR_包裝對照表 (Mapping Table)'!E:E,'FL5_POR_包裝對照表 (Mapping Table)'!F:F,"",0,1))</f>
        <v>VZW, US</v>
      </c>
      <c r="G84" s="972" t="str">
        <f t="array" ref="G84">if(isblank(E84),"",xlookup(E84,'FL5_POR_包裝對照表 (Mapping Table)'!E:E,'FL5_POR_包裝對照表 (Mapping Table)'!C:C,"",0,1))</f>
        <v>CLNR/FRU</v>
      </c>
      <c r="H84" s="973" t="str">
        <f t="array" ref="H84">if(isblank(E84),"",xlookup(E84,'FL5_POR_包裝對照表 (Mapping Table)'!E:E,'FL5_POR_包裝對照表 (Mapping Table)'!D:D,"",0,1))</f>
        <v>Bulk Pack</v>
      </c>
      <c r="I84" s="974" t="str">
        <f t="shared" si="2"/>
        <v>Close</v>
      </c>
      <c r="J84" s="975" t="str">
        <f t="array" ref="J84">if(isblank(E84),"",xlookup(E84,'FL5_POR_包裝對照表 (Mapping Table)'!E:E,'FL5_POR_包裝對照表 (Mapping Table)'!H:H,"",0,1))</f>
        <v>mmWave</v>
      </c>
      <c r="K84" s="972" t="str">
        <f t="array" ref="K84">if(isblank(E84),"",xlookup(E84,'FL5_POR_包裝對照表 (Mapping Table)'!E:E,'FL5_POR_包裝對照表 (Mapping Table)'!M:M,"",0,1))</f>
        <v>VZW</v>
      </c>
      <c r="L84" s="972" t="str">
        <f t="array" ref="L84">if(isblank(E84),"",xlookup(E84,'FL5_POR_包裝對照表 (Mapping Table)'!E:E,'FL5_POR_包裝對照表 (Mapping Table)'!AN:AN,"",0,1))</f>
        <v>G950-15935-04</v>
      </c>
      <c r="M84" s="972" t="str">
        <f t="array" ref="M84">if(isblank(E84),"",xlookup(E84,'FL5_POR_包裝對照表 (Mapping Table)'!E:E,'FL5_POR_包裝對照表 (Mapping Table)'!J:J,"",0,1))</f>
        <v>Obsidian</v>
      </c>
      <c r="N84" s="972" t="str">
        <f t="array" ref="N84">if(isblank(E84),"",xlookup(E84,'FL5_POR_包裝對照表 (Mapping Table)'!E:E,'FL5_POR_包裝對照表 (Mapping Table)'!K:K,"",0,1))</f>
        <v>BLK</v>
      </c>
      <c r="O84" s="976">
        <f t="array" ref="O84">xlookup(E84,'Ike 提供_20250505'!D:D,'Ike 提供_20250505'!N:N,"",0,1)</f>
        <v>451.42</v>
      </c>
      <c r="P84" s="976">
        <f t="array" ref="P84">xlookup(E84,'Ike 提供_20250505'!D:D,'Ike 提供_20250505'!O:O,"",0,1)</f>
        <v>444.44</v>
      </c>
      <c r="Q84" s="977">
        <f t="array" ref="Q84">xlookup(E84,'FL5_POR_包裝對照表 (Mapping Table)'!E:E,'FL5_POR_包裝對照表 (Mapping Table)'!BI:BI,"",0,1)</f>
        <v>45773</v>
      </c>
      <c r="R84" s="977">
        <v>45779.0</v>
      </c>
      <c r="S84" s="977">
        <f t="shared" si="3"/>
        <v>45785</v>
      </c>
      <c r="T84" s="977">
        <v>45782.0</v>
      </c>
      <c r="U84" s="978"/>
      <c r="V84" s="935"/>
      <c r="W84" s="978" t="str">
        <f t="array" ref="W84">if(isblank(E84),"",xlookup(E84,'FL5_POR_包裝對照表 (Mapping Table)'!E:E,'FL5_POR_包裝對照表 (Mapping Table)'!BM:BM,"",0,1))</f>
        <v>No demand</v>
      </c>
      <c r="X84" s="935"/>
      <c r="Y84" s="935"/>
      <c r="Z84" s="935"/>
      <c r="AA84" s="935"/>
    </row>
    <row r="85" ht="15.75" customHeight="1">
      <c r="A85" s="935"/>
      <c r="B85" s="970">
        <v>78.0</v>
      </c>
      <c r="C85" s="970" t="str">
        <f>if(isblank(E85),"",'FL5_POR_包裝對照表 (Mapping Table)'!$E$4)</f>
        <v>GFL (FL5)</v>
      </c>
      <c r="D85" s="970" t="str">
        <f t="array" ref="D85">IF(ISBLANK(E85),"",xlookup(E85,'FL5_POR_包裝對照表 (Mapping Table)'!E:E,'FL5_POR_包裝對照表 (Mapping Table)'!AZ:AZ,"",0,1))</f>
        <v>MP</v>
      </c>
      <c r="E85" s="971" t="s">
        <v>862</v>
      </c>
      <c r="F85" s="167" t="str">
        <f t="array" ref="F85">if(isblank(E85),"",xlookup(E85,'FL5_POR_包裝對照表 (Mapping Table)'!E:E,'FL5_POR_包裝對照表 (Mapping Table)'!F:F,"",0,1))</f>
        <v>VZW, US</v>
      </c>
      <c r="G85" s="972" t="str">
        <f t="array" ref="G85">if(isblank(E85),"",xlookup(E85,'FL5_POR_包裝對照表 (Mapping Table)'!E:E,'FL5_POR_包裝對照表 (Mapping Table)'!C:C,"",0,1))</f>
        <v>CLNR/FRU</v>
      </c>
      <c r="H85" s="973" t="str">
        <f t="array" ref="H85">if(isblank(E85),"",xlookup(E85,'FL5_POR_包裝對照表 (Mapping Table)'!E:E,'FL5_POR_包裝對照表 (Mapping Table)'!D:D,"",0,1))</f>
        <v>Bulk Pack</v>
      </c>
      <c r="I85" s="974" t="str">
        <f t="shared" si="2"/>
        <v>Close</v>
      </c>
      <c r="J85" s="975" t="str">
        <f t="array" ref="J85">if(isblank(E85),"",xlookup(E85,'FL5_POR_包裝對照表 (Mapping Table)'!E:E,'FL5_POR_包裝對照表 (Mapping Table)'!H:H,"",0,1))</f>
        <v>mmWave</v>
      </c>
      <c r="K85" s="972" t="str">
        <f t="array" ref="K85">if(isblank(E85),"",xlookup(E85,'FL5_POR_包裝對照表 (Mapping Table)'!E:E,'FL5_POR_包裝對照表 (Mapping Table)'!M:M,"",0,1))</f>
        <v>VZW</v>
      </c>
      <c r="L85" s="972" t="str">
        <f t="array" ref="L85">if(isblank(E85),"",xlookup(E85,'FL5_POR_包裝對照表 (Mapping Table)'!E:E,'FL5_POR_包裝對照表 (Mapping Table)'!AN:AN,"",0,1))</f>
        <v>G950-15935-07</v>
      </c>
      <c r="M85" s="972" t="str">
        <f t="array" ref="M85">if(isblank(E85),"",xlookup(E85,'FL5_POR_包裝對照表 (Mapping Table)'!E:E,'FL5_POR_包裝對照表 (Mapping Table)'!J:J,"",0,1))</f>
        <v>Indigo</v>
      </c>
      <c r="N85" s="972" t="str">
        <f t="array" ref="N85">if(isblank(E85),"",xlookup(E85,'FL5_POR_包裝對照表 (Mapping Table)'!E:E,'FL5_POR_包裝對照表 (Mapping Table)'!K:K,"",0,1))</f>
        <v>BUE</v>
      </c>
      <c r="O85" s="976">
        <f t="array" ref="O85">xlookup(E85,'Ike 提供_20250505'!D:D,'Ike 提供_20250505'!N:N,"",0,1)</f>
        <v>451.82</v>
      </c>
      <c r="P85" s="976">
        <f t="array" ref="P85">xlookup(E85,'Ike 提供_20250505'!D:D,'Ike 提供_20250505'!O:O,"",0,1)</f>
        <v>444.84</v>
      </c>
      <c r="Q85" s="977">
        <f t="array" ref="Q85">xlookup(E85,'FL5_POR_包裝對照表 (Mapping Table)'!E:E,'FL5_POR_包裝對照表 (Mapping Table)'!BI:BI,"",0,1)</f>
        <v>45773</v>
      </c>
      <c r="R85" s="977">
        <v>45779.0</v>
      </c>
      <c r="S85" s="977">
        <f t="shared" si="3"/>
        <v>45785</v>
      </c>
      <c r="T85" s="977">
        <v>45782.0</v>
      </c>
      <c r="U85" s="978"/>
      <c r="V85" s="935"/>
      <c r="W85" s="978" t="str">
        <f t="array" ref="W85">if(isblank(E85),"",xlookup(E85,'FL5_POR_包裝對照表 (Mapping Table)'!E:E,'FL5_POR_包裝對照表 (Mapping Table)'!BM:BM,"",0,1))</f>
        <v>No demand</v>
      </c>
      <c r="X85" s="935"/>
      <c r="Y85" s="935"/>
      <c r="Z85" s="935"/>
      <c r="AA85" s="935"/>
    </row>
    <row r="86" ht="15.75" customHeight="1">
      <c r="A86" s="935"/>
      <c r="B86" s="970">
        <v>79.0</v>
      </c>
      <c r="C86" s="970" t="str">
        <f>if(isblank(E86),"",'FL5_POR_包裝對照表 (Mapping Table)'!$E$4)</f>
        <v>GFL (FL5)</v>
      </c>
      <c r="D86" s="970" t="str">
        <f t="array" ref="D86">IF(ISBLANK(E86),"",xlookup(E86,'FL5_POR_包裝對照表 (Mapping Table)'!E:E,'FL5_POR_包裝對照表 (Mapping Table)'!AZ:AZ,"",0,1))</f>
        <v>MP</v>
      </c>
      <c r="E86" s="971" t="s">
        <v>867</v>
      </c>
      <c r="F86" s="167" t="str">
        <f t="array" ref="F86">if(isblank(E86),"",xlookup(E86,'FL5_POR_包裝對照表 (Mapping Table)'!E:E,'FL5_POR_包裝對照表 (Mapping Table)'!F:F,"",0,1))</f>
        <v>TMO, US</v>
      </c>
      <c r="G86" s="972" t="str">
        <f t="array" ref="G86">if(isblank(E86),"",xlookup(E86,'FL5_POR_包裝對照表 (Mapping Table)'!E:E,'FL5_POR_包裝對照表 (Mapping Table)'!C:C,"",0,1))</f>
        <v>CLNR/FRU</v>
      </c>
      <c r="H86" s="973" t="str">
        <f t="array" ref="H86">if(isblank(E86),"",xlookup(E86,'FL5_POR_包裝對照表 (Mapping Table)'!E:E,'FL5_POR_包裝對照表 (Mapping Table)'!D:D,"",0,1))</f>
        <v>Bulk Pack</v>
      </c>
      <c r="I86" s="974" t="str">
        <f t="shared" si="2"/>
        <v>Close</v>
      </c>
      <c r="J86" s="975" t="str">
        <f t="array" ref="J86">if(isblank(E86),"",xlookup(E86,'FL5_POR_包裝對照表 (Mapping Table)'!E:E,'FL5_POR_包裝對照表 (Mapping Table)'!H:H,"",0,1))</f>
        <v>mmWave</v>
      </c>
      <c r="K86" s="972" t="str">
        <f t="array" ref="K86">if(isblank(E86),"",xlookup(E86,'FL5_POR_包裝對照表 (Mapping Table)'!E:E,'FL5_POR_包裝對照表 (Mapping Table)'!M:M,"",0,1))</f>
        <v>TMO</v>
      </c>
      <c r="L86" s="972" t="str">
        <f t="array" ref="L86">if(isblank(E86),"",xlookup(E86,'FL5_POR_包裝對照表 (Mapping Table)'!E:E,'FL5_POR_包裝對照表 (Mapping Table)'!AN:AN,"",0,1))</f>
        <v>G950-15935-04</v>
      </c>
      <c r="M86" s="972" t="str">
        <f t="array" ref="M86">if(isblank(E86),"",xlookup(E86,'FL5_POR_包裝對照表 (Mapping Table)'!E:E,'FL5_POR_包裝對照表 (Mapping Table)'!J:J,"",0,1))</f>
        <v>Obsidian</v>
      </c>
      <c r="N86" s="972" t="str">
        <f t="array" ref="N86">if(isblank(E86),"",xlookup(E86,'FL5_POR_包裝對照表 (Mapping Table)'!E:E,'FL5_POR_包裝對照表 (Mapping Table)'!K:K,"",0,1))</f>
        <v>BLK</v>
      </c>
      <c r="O86" s="976">
        <f t="array" ref="O86">xlookup(E86,'Ike 提供_20250505'!D:D,'Ike 提供_20250505'!N:N,"",0,1)</f>
        <v>451.63</v>
      </c>
      <c r="P86" s="976">
        <f t="array" ref="P86">xlookup(E86,'Ike 提供_20250505'!D:D,'Ike 提供_20250505'!O:O,"",0,1)</f>
        <v>444.65</v>
      </c>
      <c r="Q86" s="977">
        <f t="array" ref="Q86">xlookup(E86,'FL5_POR_包裝對照表 (Mapping Table)'!E:E,'FL5_POR_包裝對照表 (Mapping Table)'!BI:BI,"",0,1)</f>
        <v>45773</v>
      </c>
      <c r="R86" s="977">
        <v>45779.0</v>
      </c>
      <c r="S86" s="977">
        <f t="shared" si="3"/>
        <v>45785</v>
      </c>
      <c r="T86" s="977">
        <v>45782.0</v>
      </c>
      <c r="U86" s="978"/>
      <c r="V86" s="935"/>
      <c r="W86" s="978" t="str">
        <f t="array" ref="W86">if(isblank(E86),"",xlookup(E86,'FL5_POR_包裝對照表 (Mapping Table)'!E:E,'FL5_POR_包裝對照表 (Mapping Table)'!BM:BM,"",0,1))</f>
        <v>No demand</v>
      </c>
      <c r="X86" s="935"/>
      <c r="Y86" s="935"/>
      <c r="Z86" s="935"/>
      <c r="AA86" s="935"/>
    </row>
    <row r="87" ht="15.75" customHeight="1">
      <c r="A87" s="935"/>
      <c r="B87" s="970">
        <v>80.0</v>
      </c>
      <c r="C87" s="970" t="str">
        <f>if(isblank(E87),"",'FL5_POR_包裝對照表 (Mapping Table)'!$E$4)</f>
        <v>GFL (FL5)</v>
      </c>
      <c r="D87" s="970" t="str">
        <f t="array" ref="D87">IF(ISBLANK(E87),"",xlookup(E87,'FL5_POR_包裝對照表 (Mapping Table)'!E:E,'FL5_POR_包裝對照表 (Mapping Table)'!AZ:AZ,"",0,1))</f>
        <v>MP</v>
      </c>
      <c r="E87" s="971" t="s">
        <v>872</v>
      </c>
      <c r="F87" s="167" t="str">
        <f t="array" ref="F87">if(isblank(E87),"",xlookup(E87,'FL5_POR_包裝對照表 (Mapping Table)'!E:E,'FL5_POR_包裝對照表 (Mapping Table)'!F:F,"",0,1))</f>
        <v>GSTORE, US</v>
      </c>
      <c r="G87" s="972" t="str">
        <f t="array" ref="G87">if(isblank(E87),"",xlookup(E87,'FL5_POR_包裝對照表 (Mapping Table)'!E:E,'FL5_POR_包裝對照表 (Mapping Table)'!C:C,"",0,1))</f>
        <v>CLNR/FRU</v>
      </c>
      <c r="H87" s="973" t="str">
        <f t="array" ref="H87">if(isblank(E87),"",xlookup(E87,'FL5_POR_包裝對照表 (Mapping Table)'!E:E,'FL5_POR_包裝對照表 (Mapping Table)'!D:D,"",0,1))</f>
        <v>Bulk Pack</v>
      </c>
      <c r="I87" s="974" t="str">
        <f t="shared" si="2"/>
        <v>Close</v>
      </c>
      <c r="J87" s="975" t="str">
        <f t="array" ref="J87">if(isblank(E87),"",xlookup(E87,'FL5_POR_包裝對照表 (Mapping Table)'!E:E,'FL5_POR_包裝對照表 (Mapping Table)'!H:H,"",0,1))</f>
        <v>mmWave</v>
      </c>
      <c r="K87" s="972" t="str">
        <f t="array" ref="K87">if(isblank(E87),"",xlookup(E87,'FL5_POR_包裝對照表 (Mapping Table)'!E:E,'FL5_POR_包裝對照表 (Mapping Table)'!M:M,"",0,1))</f>
        <v>NA</v>
      </c>
      <c r="L87" s="972" t="str">
        <f t="array" ref="L87">if(isblank(E87),"",xlookup(E87,'FL5_POR_包裝對照表 (Mapping Table)'!E:E,'FL5_POR_包裝對照表 (Mapping Table)'!AN:AN,"",0,1))</f>
        <v>G950-15935-04</v>
      </c>
      <c r="M87" s="972" t="str">
        <f t="array" ref="M87">if(isblank(E87),"",xlookup(E87,'FL5_POR_包裝對照表 (Mapping Table)'!E:E,'FL5_POR_包裝對照表 (Mapping Table)'!J:J,"",0,1))</f>
        <v>Obsidian</v>
      </c>
      <c r="N87" s="972" t="str">
        <f t="array" ref="N87">if(isblank(E87),"",xlookup(E87,'FL5_POR_包裝對照表 (Mapping Table)'!E:E,'FL5_POR_包裝對照表 (Mapping Table)'!K:K,"",0,1))</f>
        <v>BLK</v>
      </c>
      <c r="O87" s="976">
        <f t="array" ref="O87">xlookup(E87,'Ike 提供_20250505'!D:D,'Ike 提供_20250505'!N:N,"",0,1)</f>
        <v>451.63</v>
      </c>
      <c r="P87" s="976">
        <f t="array" ref="P87">xlookup(E87,'Ike 提供_20250505'!D:D,'Ike 提供_20250505'!O:O,"",0,1)</f>
        <v>444.65</v>
      </c>
      <c r="Q87" s="977">
        <f t="array" ref="Q87">xlookup(E87,'FL5_POR_包裝對照表 (Mapping Table)'!E:E,'FL5_POR_包裝對照表 (Mapping Table)'!BI:BI,"",0,1)</f>
        <v>45773</v>
      </c>
      <c r="R87" s="977">
        <v>45779.0</v>
      </c>
      <c r="S87" s="977">
        <f t="shared" si="3"/>
        <v>45785</v>
      </c>
      <c r="T87" s="977">
        <v>45782.0</v>
      </c>
      <c r="U87" s="978"/>
      <c r="V87" s="935"/>
      <c r="W87" s="978" t="str">
        <f t="array" ref="W87">if(isblank(E87),"",xlookup(E87,'FL5_POR_包裝對照表 (Mapping Table)'!E:E,'FL5_POR_包裝對照表 (Mapping Table)'!BM:BM,"",0,1))</f>
        <v>No demand</v>
      </c>
      <c r="X87" s="935"/>
      <c r="Y87" s="935"/>
      <c r="Z87" s="935"/>
      <c r="AA87" s="935"/>
    </row>
    <row r="88" ht="15.75" customHeight="1">
      <c r="A88" s="935"/>
      <c r="B88" s="970">
        <v>81.0</v>
      </c>
      <c r="C88" s="970" t="str">
        <f>if(isblank(E88),"",'FL5_POR_包裝對照表 (Mapping Table)'!$E$4)</f>
        <v>GFL (FL5)</v>
      </c>
      <c r="D88" s="970" t="str">
        <f t="array" ref="D88">IF(ISBLANK(E88),"",xlookup(E88,'FL5_POR_包裝對照表 (Mapping Table)'!E:E,'FL5_POR_包裝對照表 (Mapping Table)'!AZ:AZ,"",0,1))</f>
        <v>MP</v>
      </c>
      <c r="E88" s="971" t="s">
        <v>877</v>
      </c>
      <c r="F88" s="167" t="str">
        <f t="array" ref="F88">if(isblank(E88),"",xlookup(E88,'FL5_POR_包裝對照表 (Mapping Table)'!E:E,'FL5_POR_包裝對照表 (Mapping Table)'!F:F,"",0,1))</f>
        <v>GSTORE, US</v>
      </c>
      <c r="G88" s="972" t="str">
        <f t="array" ref="G88">if(isblank(E88),"",xlookup(E88,'FL5_POR_包裝對照表 (Mapping Table)'!E:E,'FL5_POR_包裝對照表 (Mapping Table)'!C:C,"",0,1))</f>
        <v>CLNR/FRU</v>
      </c>
      <c r="H88" s="973" t="str">
        <f t="array" ref="H88">if(isblank(E88),"",xlookup(E88,'FL5_POR_包裝對照表 (Mapping Table)'!E:E,'FL5_POR_包裝對照表 (Mapping Table)'!D:D,"",0,1))</f>
        <v>Bulk Pack</v>
      </c>
      <c r="I88" s="974" t="str">
        <f t="shared" si="2"/>
        <v>Close</v>
      </c>
      <c r="J88" s="975" t="str">
        <f t="array" ref="J88">if(isblank(E88),"",xlookup(E88,'FL5_POR_包裝對照表 (Mapping Table)'!E:E,'FL5_POR_包裝對照表 (Mapping Table)'!H:H,"",0,1))</f>
        <v>mmWave</v>
      </c>
      <c r="K88" s="972" t="str">
        <f t="array" ref="K88">if(isblank(E88),"",xlookup(E88,'FL5_POR_包裝對照表 (Mapping Table)'!E:E,'FL5_POR_包裝對照表 (Mapping Table)'!M:M,"",0,1))</f>
        <v>NA</v>
      </c>
      <c r="L88" s="972" t="str">
        <f t="array" ref="L88">if(isblank(E88),"",xlookup(E88,'FL5_POR_包裝對照表 (Mapping Table)'!E:E,'FL5_POR_包裝對照表 (Mapping Table)'!AN:AN,"",0,1))</f>
        <v>G950-15935-05</v>
      </c>
      <c r="M88" s="972" t="str">
        <f t="array" ref="M88">if(isblank(E88),"",xlookup(E88,'FL5_POR_包裝對照表 (Mapping Table)'!E:E,'FL5_POR_包裝對照表 (Mapping Table)'!J:J,"",0,1))</f>
        <v>Frost</v>
      </c>
      <c r="N88" s="972" t="str">
        <f t="array" ref="N88">if(isblank(E88),"",xlookup(E88,'FL5_POR_包裝對照表 (Mapping Table)'!E:E,'FL5_POR_包裝對照表 (Mapping Table)'!K:K,"",0,1))</f>
        <v>PPL</v>
      </c>
      <c r="O88" s="976">
        <f t="array" ref="O88">xlookup(E88,'Ike 提供_20250505'!D:D,'Ike 提供_20250505'!N:N,"",0,1)</f>
        <v>451.93</v>
      </c>
      <c r="P88" s="976">
        <f t="array" ref="P88">xlookup(E88,'Ike 提供_20250505'!D:D,'Ike 提供_20250505'!O:O,"",0,1)</f>
        <v>444.95</v>
      </c>
      <c r="Q88" s="977">
        <f t="array" ref="Q88">xlookup(E88,'FL5_POR_包裝對照表 (Mapping Table)'!E:E,'FL5_POR_包裝對照表 (Mapping Table)'!BI:BI,"",0,1)</f>
        <v>45773</v>
      </c>
      <c r="R88" s="977">
        <v>45779.0</v>
      </c>
      <c r="S88" s="977">
        <f t="shared" si="3"/>
        <v>45785</v>
      </c>
      <c r="T88" s="977">
        <v>45782.0</v>
      </c>
      <c r="U88" s="978"/>
      <c r="V88" s="935"/>
      <c r="W88" s="978" t="str">
        <f t="array" ref="W88">if(isblank(E88),"",xlookup(E88,'FL5_POR_包裝對照表 (Mapping Table)'!E:E,'FL5_POR_包裝對照表 (Mapping Table)'!BM:BM,"",0,1))</f>
        <v>No demand</v>
      </c>
      <c r="X88" s="935"/>
      <c r="Y88" s="935"/>
      <c r="Z88" s="935"/>
      <c r="AA88" s="935"/>
    </row>
    <row r="89" ht="15.75" customHeight="1">
      <c r="A89" s="935"/>
      <c r="B89" s="970">
        <v>82.0</v>
      </c>
      <c r="C89" s="970" t="str">
        <f>if(isblank(E89),"",'FL5_POR_包裝對照表 (Mapping Table)'!$E$4)</f>
        <v>GFL (FL5)</v>
      </c>
      <c r="D89" s="970" t="str">
        <f t="array" ref="D89">IF(ISBLANK(E89),"",xlookup(E89,'FL5_POR_包裝對照表 (Mapping Table)'!E:E,'FL5_POR_包裝對照表 (Mapping Table)'!AZ:AZ,"",0,1))</f>
        <v>MP</v>
      </c>
      <c r="E89" s="971" t="s">
        <v>882</v>
      </c>
      <c r="F89" s="167" t="str">
        <f t="array" ref="F89">if(isblank(E89),"",xlookup(E89,'FL5_POR_包裝對照表 (Mapping Table)'!E:E,'FL5_POR_包裝對照表 (Mapping Table)'!F:F,"",0,1))</f>
        <v>GSTORE, US</v>
      </c>
      <c r="G89" s="972" t="str">
        <f t="array" ref="G89">if(isblank(E89),"",xlookup(E89,'FL5_POR_包裝對照表 (Mapping Table)'!E:E,'FL5_POR_包裝對照表 (Mapping Table)'!C:C,"",0,1))</f>
        <v>CLNR/FRU</v>
      </c>
      <c r="H89" s="973" t="str">
        <f t="array" ref="H89">if(isblank(E89),"",xlookup(E89,'FL5_POR_包裝對照表 (Mapping Table)'!E:E,'FL5_POR_包裝對照表 (Mapping Table)'!D:D,"",0,1))</f>
        <v>Bulk Pack</v>
      </c>
      <c r="I89" s="974" t="str">
        <f t="shared" si="2"/>
        <v>Close</v>
      </c>
      <c r="J89" s="975" t="str">
        <f t="array" ref="J89">if(isblank(E89),"",xlookup(E89,'FL5_POR_包裝對照表 (Mapping Table)'!E:E,'FL5_POR_包裝對照表 (Mapping Table)'!H:H,"",0,1))</f>
        <v>mmWave</v>
      </c>
      <c r="K89" s="972" t="str">
        <f t="array" ref="K89">if(isblank(E89),"",xlookup(E89,'FL5_POR_包裝對照表 (Mapping Table)'!E:E,'FL5_POR_包裝對照表 (Mapping Table)'!M:M,"",0,1))</f>
        <v>NA</v>
      </c>
      <c r="L89" s="972" t="str">
        <f t="array" ref="L89">if(isblank(E89),"",xlookup(E89,'FL5_POR_包裝對照表 (Mapping Table)'!E:E,'FL5_POR_包裝對照表 (Mapping Table)'!AN:AN,"",0,1))</f>
        <v>G950-15935-06</v>
      </c>
      <c r="M89" s="972" t="str">
        <f t="array" ref="M89">if(isblank(E89),"",xlookup(E89,'FL5_POR_包裝對照表 (Mapping Table)'!E:E,'FL5_POR_包裝對照表 (Mapping Table)'!J:J,"",0,1))</f>
        <v>Lemongrass</v>
      </c>
      <c r="N89" s="972" t="str">
        <f t="array" ref="N89">if(isblank(E89),"",xlookup(E89,'FL5_POR_包裝對照表 (Mapping Table)'!E:E,'FL5_POR_包裝對照表 (Mapping Table)'!K:K,"",0,1))</f>
        <v>YEL</v>
      </c>
      <c r="O89" s="976">
        <f t="array" ref="O89">xlookup(E89,'Ike 提供_20250505'!D:D,'Ike 提供_20250505'!N:N,"",0,1)</f>
        <v>452.03</v>
      </c>
      <c r="P89" s="976">
        <f t="array" ref="P89">xlookup(E89,'Ike 提供_20250505'!D:D,'Ike 提供_20250505'!O:O,"",0,1)</f>
        <v>445.05</v>
      </c>
      <c r="Q89" s="977">
        <f t="array" ref="Q89">xlookup(E89,'FL5_POR_包裝對照表 (Mapping Table)'!E:E,'FL5_POR_包裝對照表 (Mapping Table)'!BI:BI,"",0,1)</f>
        <v>45773</v>
      </c>
      <c r="R89" s="977">
        <v>45779.0</v>
      </c>
      <c r="S89" s="977">
        <f t="shared" si="3"/>
        <v>45785</v>
      </c>
      <c r="T89" s="977">
        <v>45782.0</v>
      </c>
      <c r="U89" s="978"/>
      <c r="V89" s="935"/>
      <c r="W89" s="978" t="str">
        <f t="array" ref="W89">if(isblank(E89),"",xlookup(E89,'FL5_POR_包裝對照表 (Mapping Table)'!E:E,'FL5_POR_包裝對照表 (Mapping Table)'!BM:BM,"",0,1))</f>
        <v>No demand</v>
      </c>
      <c r="X89" s="935"/>
      <c r="Y89" s="935"/>
      <c r="Z89" s="935"/>
      <c r="AA89" s="935"/>
    </row>
    <row r="90" ht="15.75" customHeight="1">
      <c r="A90" s="935"/>
      <c r="B90" s="970">
        <v>83.0</v>
      </c>
      <c r="C90" s="970" t="str">
        <f>if(isblank(E90),"",'FL5_POR_包裝對照表 (Mapping Table)'!$E$4)</f>
        <v>GFL (FL5)</v>
      </c>
      <c r="D90" s="970" t="str">
        <f t="array" ref="D90">IF(ISBLANK(E90),"",xlookup(E90,'FL5_POR_包裝對照表 (Mapping Table)'!E:E,'FL5_POR_包裝對照表 (Mapping Table)'!AZ:AZ,"",0,1))</f>
        <v>MP</v>
      </c>
      <c r="E90" s="971" t="s">
        <v>887</v>
      </c>
      <c r="F90" s="167" t="str">
        <f t="array" ref="F90">if(isblank(E90),"",xlookup(E90,'FL5_POR_包裝對照表 (Mapping Table)'!E:E,'FL5_POR_包裝對照表 (Mapping Table)'!F:F,"",0,1))</f>
        <v>GSTORE, US</v>
      </c>
      <c r="G90" s="972" t="str">
        <f t="array" ref="G90">if(isblank(E90),"",xlookup(E90,'FL5_POR_包裝對照表 (Mapping Table)'!E:E,'FL5_POR_包裝對照表 (Mapping Table)'!C:C,"",0,1))</f>
        <v>CLNR/FRU</v>
      </c>
      <c r="H90" s="973" t="str">
        <f t="array" ref="H90">if(isblank(E90),"",xlookup(E90,'FL5_POR_包裝對照表 (Mapping Table)'!E:E,'FL5_POR_包裝對照表 (Mapping Table)'!D:D,"",0,1))</f>
        <v>Bulk Pack</v>
      </c>
      <c r="I90" s="974" t="str">
        <f t="shared" si="2"/>
        <v>Close</v>
      </c>
      <c r="J90" s="975" t="str">
        <f t="array" ref="J90">if(isblank(E90),"",xlookup(E90,'FL5_POR_包裝對照表 (Mapping Table)'!E:E,'FL5_POR_包裝對照表 (Mapping Table)'!H:H,"",0,1))</f>
        <v>mmWave</v>
      </c>
      <c r="K90" s="972" t="str">
        <f t="array" ref="K90">if(isblank(E90),"",xlookup(E90,'FL5_POR_包裝對照表 (Mapping Table)'!E:E,'FL5_POR_包裝對照表 (Mapping Table)'!M:M,"",0,1))</f>
        <v>NA</v>
      </c>
      <c r="L90" s="972" t="str">
        <f t="array" ref="L90">if(isblank(E90),"",xlookup(E90,'FL5_POR_包裝對照表 (Mapping Table)'!E:E,'FL5_POR_包裝對照表 (Mapping Table)'!AN:AN,"",0,1))</f>
        <v>G950-15935-07</v>
      </c>
      <c r="M90" s="972" t="str">
        <f t="array" ref="M90">if(isblank(E90),"",xlookup(E90,'FL5_POR_包裝對照表 (Mapping Table)'!E:E,'FL5_POR_包裝對照表 (Mapping Table)'!J:J,"",0,1))</f>
        <v>Indigo</v>
      </c>
      <c r="N90" s="972" t="str">
        <f t="array" ref="N90">if(isblank(E90),"",xlookup(E90,'FL5_POR_包裝對照表 (Mapping Table)'!E:E,'FL5_POR_包裝對照表 (Mapping Table)'!K:K,"",0,1))</f>
        <v>BUE</v>
      </c>
      <c r="O90" s="976">
        <f t="array" ref="O90">xlookup(E90,'Ike 提供_20250505'!D:D,'Ike 提供_20250505'!N:N,"",0,1)</f>
        <v>452.03</v>
      </c>
      <c r="P90" s="976">
        <f t="array" ref="P90">xlookup(E90,'Ike 提供_20250505'!D:D,'Ike 提供_20250505'!O:O,"",0,1)</f>
        <v>445.05</v>
      </c>
      <c r="Q90" s="977">
        <f t="array" ref="Q90">xlookup(E90,'FL5_POR_包裝對照表 (Mapping Table)'!E:E,'FL5_POR_包裝對照表 (Mapping Table)'!BI:BI,"",0,1)</f>
        <v>45773</v>
      </c>
      <c r="R90" s="977">
        <v>45779.0</v>
      </c>
      <c r="S90" s="977">
        <f t="shared" si="3"/>
        <v>45785</v>
      </c>
      <c r="T90" s="977">
        <v>45782.0</v>
      </c>
      <c r="U90" s="978"/>
      <c r="V90" s="935"/>
      <c r="W90" s="978" t="str">
        <f t="array" ref="W90">if(isblank(E90),"",xlookup(E90,'FL5_POR_包裝對照表 (Mapping Table)'!E:E,'FL5_POR_包裝對照表 (Mapping Table)'!BM:BM,"",0,1))</f>
        <v>No demand</v>
      </c>
      <c r="X90" s="935"/>
      <c r="Y90" s="935"/>
      <c r="Z90" s="935"/>
      <c r="AA90" s="935"/>
    </row>
    <row r="91" ht="15.75" customHeight="1">
      <c r="A91" s="935"/>
      <c r="B91" s="970">
        <v>84.0</v>
      </c>
      <c r="C91" s="970" t="str">
        <f>if(isblank(E91),"",'FL5_POR_包裝對照表 (Mapping Table)'!$E$4)</f>
        <v>GFL (FL5)</v>
      </c>
      <c r="D91" s="970" t="str">
        <f t="array" ref="D91">IF(ISBLANK(E91),"",xlookup(E91,'FL5_POR_包裝對照表 (Mapping Table)'!E:E,'FL5_POR_包裝對照表 (Mapping Table)'!AZ:AZ,"",0,1))</f>
        <v>MP</v>
      </c>
      <c r="E91" s="981" t="s">
        <v>891</v>
      </c>
      <c r="F91" s="167" t="str">
        <f t="array" ref="F91">if(isblank(E91),"",xlookup(E91,'FL5_POR_包裝對照表 (Mapping Table)'!E:E,'FL5_POR_包裝對照表 (Mapping Table)'!F:F,"",0,1))</f>
        <v>CA/AU</v>
      </c>
      <c r="G91" s="972" t="str">
        <f t="array" ref="G91">if(isblank(E91),"",xlookup(E91,'FL5_POR_包裝對照表 (Mapping Table)'!E:E,'FL5_POR_包裝對照表 (Mapping Table)'!C:C,"",0,1))</f>
        <v>CLNR/FRU</v>
      </c>
      <c r="H91" s="973" t="str">
        <f t="array" ref="H91">if(isblank(E91),"",xlookup(E91,'FL5_POR_包裝對照表 (Mapping Table)'!E:E,'FL5_POR_包裝對照表 (Mapping Table)'!D:D,"",0,1))</f>
        <v>Bulk Pack</v>
      </c>
      <c r="I91" s="974" t="str">
        <f t="shared" si="2"/>
        <v>Close</v>
      </c>
      <c r="J91" s="975" t="str">
        <f t="array" ref="J91">if(isblank(E91),"",xlookup(E91,'FL5_POR_包裝對照表 (Mapping Table)'!E:E,'FL5_POR_包裝對照表 (Mapping Table)'!H:H,"",0,1))</f>
        <v>Sub6</v>
      </c>
      <c r="K91" s="972" t="str">
        <f t="array" ref="K91">if(isblank(E91),"",xlookup(E91,'FL5_POR_包裝對照表 (Mapping Table)'!E:E,'FL5_POR_包裝對照表 (Mapping Table)'!M:M,"",0,1))</f>
        <v>ROW</v>
      </c>
      <c r="L91" s="972" t="str">
        <f t="array" ref="L91">if(isblank(E91),"",xlookup(E91,'FL5_POR_包裝對照表 (Mapping Table)'!E:E,'FL5_POR_包裝對照表 (Mapping Table)'!AN:AN,"",0,1))</f>
        <v>G950-15935-14</v>
      </c>
      <c r="M91" s="972" t="str">
        <f t="array" ref="M91">if(isblank(E91),"",xlookup(E91,'FL5_POR_包裝對照表 (Mapping Table)'!E:E,'FL5_POR_包裝對照表 (Mapping Table)'!J:J,"",0,1))</f>
        <v>Obsidian</v>
      </c>
      <c r="N91" s="972" t="str">
        <f t="array" ref="N91">if(isblank(E91),"",xlookup(E91,'FL5_POR_包裝對照表 (Mapping Table)'!E:E,'FL5_POR_包裝對照表 (Mapping Table)'!K:K,"",0,1))</f>
        <v>BLK</v>
      </c>
      <c r="O91" s="976">
        <f t="array" ref="O91">xlookup(E91,'Ike 提供_20250505'!D:D,'Ike 提供_20250505'!N:N,"",0,1)</f>
        <v>434.17</v>
      </c>
      <c r="P91" s="976">
        <f t="array" ref="P91">xlookup(E91,'Ike 提供_20250505'!D:D,'Ike 提供_20250505'!O:O,"",0,1)</f>
        <v>427.19</v>
      </c>
      <c r="Q91" s="977">
        <f t="array" ref="Q91">xlookup(E91,'FL5_POR_包裝對照表 (Mapping Table)'!E:E,'FL5_POR_包裝對照表 (Mapping Table)'!BI:BI,"",0,1)</f>
        <v>45773</v>
      </c>
      <c r="R91" s="977">
        <v>45779.0</v>
      </c>
      <c r="S91" s="977">
        <f t="shared" si="3"/>
        <v>45785</v>
      </c>
      <c r="T91" s="977">
        <v>45782.0</v>
      </c>
      <c r="U91" s="978"/>
      <c r="V91" s="935"/>
      <c r="W91" s="978" t="str">
        <f t="array" ref="W91">if(isblank(E91),"",xlookup(E91,'FL5_POR_包裝對照表 (Mapping Table)'!E:E,'FL5_POR_包裝對照表 (Mapping Table)'!BM:BM,"",0,1))</f>
        <v>No demand</v>
      </c>
      <c r="X91" s="935"/>
      <c r="Y91" s="935"/>
      <c r="Z91" s="935"/>
      <c r="AA91" s="935"/>
    </row>
    <row r="92" ht="15.75" customHeight="1">
      <c r="A92" s="935"/>
      <c r="B92" s="970">
        <v>85.0</v>
      </c>
      <c r="C92" s="970" t="str">
        <f>if(isblank(E92),"",'FL5_POR_包裝對照表 (Mapping Table)'!$E$4)</f>
        <v>GFL (FL5)</v>
      </c>
      <c r="D92" s="970" t="str">
        <f t="array" ref="D92">IF(ISBLANK(E92),"",xlookup(E92,'FL5_POR_包裝對照表 (Mapping Table)'!E:E,'FL5_POR_包裝對照表 (Mapping Table)'!AZ:AZ,"",0,1))</f>
        <v>MP</v>
      </c>
      <c r="E92" s="981" t="s">
        <v>896</v>
      </c>
      <c r="F92" s="167" t="str">
        <f t="array" ref="F92">if(isblank(E92),"",xlookup(E92,'FL5_POR_包裝對照表 (Mapping Table)'!E:E,'FL5_POR_包裝對照表 (Mapping Table)'!F:F,"",0,1))</f>
        <v>CA/AU</v>
      </c>
      <c r="G92" s="972" t="str">
        <f t="array" ref="G92">if(isblank(E92),"",xlookup(E92,'FL5_POR_包裝對照表 (Mapping Table)'!E:E,'FL5_POR_包裝對照表 (Mapping Table)'!C:C,"",0,1))</f>
        <v>CLNR/FRU</v>
      </c>
      <c r="H92" s="973" t="str">
        <f t="array" ref="H92">if(isblank(E92),"",xlookup(E92,'FL5_POR_包裝對照表 (Mapping Table)'!E:E,'FL5_POR_包裝對照表 (Mapping Table)'!D:D,"",0,1))</f>
        <v>Bulk Pack</v>
      </c>
      <c r="I92" s="974" t="str">
        <f t="shared" si="2"/>
        <v>Close</v>
      </c>
      <c r="J92" s="975" t="str">
        <f t="array" ref="J92">if(isblank(E92),"",xlookup(E92,'FL5_POR_包裝對照表 (Mapping Table)'!E:E,'FL5_POR_包裝對照表 (Mapping Table)'!H:H,"",0,1))</f>
        <v>Sub6</v>
      </c>
      <c r="K92" s="972" t="str">
        <f t="array" ref="K92">if(isblank(E92),"",xlookup(E92,'FL5_POR_包裝對照表 (Mapping Table)'!E:E,'FL5_POR_包裝對照表 (Mapping Table)'!M:M,"",0,1))</f>
        <v>ROW</v>
      </c>
      <c r="L92" s="972" t="str">
        <f t="array" ref="L92">if(isblank(E92),"",xlookup(E92,'FL5_POR_包裝對照表 (Mapping Table)'!E:E,'FL5_POR_包裝對照表 (Mapping Table)'!AN:AN,"",0,1))</f>
        <v>G950-15935-15</v>
      </c>
      <c r="M92" s="972" t="str">
        <f t="array" ref="M92">if(isblank(E92),"",xlookup(E92,'FL5_POR_包裝對照表 (Mapping Table)'!E:E,'FL5_POR_包裝對照表 (Mapping Table)'!J:J,"",0,1))</f>
        <v>Frost</v>
      </c>
      <c r="N92" s="972" t="str">
        <f t="array" ref="N92">if(isblank(E92),"",xlookup(E92,'FL5_POR_包裝對照表 (Mapping Table)'!E:E,'FL5_POR_包裝對照表 (Mapping Table)'!K:K,"",0,1))</f>
        <v>PPL</v>
      </c>
      <c r="O92" s="976">
        <f t="array" ref="O92">xlookup(E92,'Ike 提供_20250505'!D:D,'Ike 提供_20250505'!N:N,"",0,1)</f>
        <v>434.47</v>
      </c>
      <c r="P92" s="976">
        <f t="array" ref="P92">xlookup(E92,'Ike 提供_20250505'!D:D,'Ike 提供_20250505'!O:O,"",0,1)</f>
        <v>427.49</v>
      </c>
      <c r="Q92" s="977">
        <f t="array" ref="Q92">xlookup(E92,'FL5_POR_包裝對照表 (Mapping Table)'!E:E,'FL5_POR_包裝對照表 (Mapping Table)'!BI:BI,"",0,1)</f>
        <v>45773</v>
      </c>
      <c r="R92" s="977">
        <v>45779.0</v>
      </c>
      <c r="S92" s="977">
        <f t="shared" si="3"/>
        <v>45785</v>
      </c>
      <c r="T92" s="977">
        <v>45782.0</v>
      </c>
      <c r="U92" s="978"/>
      <c r="V92" s="935"/>
      <c r="W92" s="978" t="str">
        <f t="array" ref="W92">if(isblank(E92),"",xlookup(E92,'FL5_POR_包裝對照表 (Mapping Table)'!E:E,'FL5_POR_包裝對照表 (Mapping Table)'!BM:BM,"",0,1))</f>
        <v>No demand</v>
      </c>
      <c r="X92" s="935"/>
      <c r="Y92" s="935"/>
      <c r="Z92" s="935"/>
      <c r="AA92" s="935"/>
    </row>
    <row r="93" ht="15.75" customHeight="1">
      <c r="A93" s="935"/>
      <c r="B93" s="970">
        <v>86.0</v>
      </c>
      <c r="C93" s="970" t="str">
        <f>if(isblank(E93),"",'FL5_POR_包裝對照表 (Mapping Table)'!$E$4)</f>
        <v>GFL (FL5)</v>
      </c>
      <c r="D93" s="970" t="str">
        <f t="array" ref="D93">IF(ISBLANK(E93),"",xlookup(E93,'FL5_POR_包裝對照表 (Mapping Table)'!E:E,'FL5_POR_包裝對照表 (Mapping Table)'!AZ:AZ,"",0,1))</f>
        <v>MP</v>
      </c>
      <c r="E93" s="981" t="s">
        <v>901</v>
      </c>
      <c r="F93" s="167" t="str">
        <f t="array" ref="F93">if(isblank(E93),"",xlookup(E93,'FL5_POR_包裝對照表 (Mapping Table)'!E:E,'FL5_POR_包裝對照表 (Mapping Table)'!F:F,"",0,1))</f>
        <v>CA/AU</v>
      </c>
      <c r="G93" s="972" t="str">
        <f t="array" ref="G93">if(isblank(E93),"",xlookup(E93,'FL5_POR_包裝對照表 (Mapping Table)'!E:E,'FL5_POR_包裝對照表 (Mapping Table)'!C:C,"",0,1))</f>
        <v>CLNR/FRU</v>
      </c>
      <c r="H93" s="973" t="str">
        <f t="array" ref="H93">if(isblank(E93),"",xlookup(E93,'FL5_POR_包裝對照表 (Mapping Table)'!E:E,'FL5_POR_包裝對照表 (Mapping Table)'!D:D,"",0,1))</f>
        <v>Bulk Pack</v>
      </c>
      <c r="I93" s="974" t="str">
        <f t="shared" si="2"/>
        <v>Close</v>
      </c>
      <c r="J93" s="975" t="str">
        <f t="array" ref="J93">if(isblank(E93),"",xlookup(E93,'FL5_POR_包裝對照表 (Mapping Table)'!E:E,'FL5_POR_包裝對照表 (Mapping Table)'!H:H,"",0,1))</f>
        <v>Sub6</v>
      </c>
      <c r="K93" s="972" t="str">
        <f t="array" ref="K93">if(isblank(E93),"",xlookup(E93,'FL5_POR_包裝對照表 (Mapping Table)'!E:E,'FL5_POR_包裝對照表 (Mapping Table)'!M:M,"",0,1))</f>
        <v>ROW</v>
      </c>
      <c r="L93" s="972" t="str">
        <f t="array" ref="L93">if(isblank(E93),"",xlookup(E93,'FL5_POR_包裝對照表 (Mapping Table)'!E:E,'FL5_POR_包裝對照表 (Mapping Table)'!AN:AN,"",0,1))</f>
        <v>G950-15935-16</v>
      </c>
      <c r="M93" s="972" t="str">
        <f t="array" ref="M93">if(isblank(E93),"",xlookup(E93,'FL5_POR_包裝對照表 (Mapping Table)'!E:E,'FL5_POR_包裝對照表 (Mapping Table)'!J:J,"",0,1))</f>
        <v>Lemongrass</v>
      </c>
      <c r="N93" s="972" t="str">
        <f t="array" ref="N93">if(isblank(E93),"",xlookup(E93,'FL5_POR_包裝對照表 (Mapping Table)'!E:E,'FL5_POR_包裝對照表 (Mapping Table)'!K:K,"",0,1))</f>
        <v>YEL</v>
      </c>
      <c r="O93" s="976">
        <f t="array" ref="O93">xlookup(E93,'Ike 提供_20250505'!D:D,'Ike 提供_20250505'!N:N,"",0,1)</f>
        <v>434.57</v>
      </c>
      <c r="P93" s="976">
        <f t="array" ref="P93">xlookup(E93,'Ike 提供_20250505'!D:D,'Ike 提供_20250505'!O:O,"",0,1)</f>
        <v>427.59</v>
      </c>
      <c r="Q93" s="977">
        <f t="array" ref="Q93">xlookup(E93,'FL5_POR_包裝對照表 (Mapping Table)'!E:E,'FL5_POR_包裝對照表 (Mapping Table)'!BI:BI,"",0,1)</f>
        <v>45773</v>
      </c>
      <c r="R93" s="977">
        <v>45779.0</v>
      </c>
      <c r="S93" s="977">
        <f t="shared" si="3"/>
        <v>45785</v>
      </c>
      <c r="T93" s="977">
        <v>45782.0</v>
      </c>
      <c r="U93" s="978"/>
      <c r="V93" s="935"/>
      <c r="W93" s="978" t="str">
        <f t="array" ref="W93">if(isblank(E93),"",xlookup(E93,'FL5_POR_包裝對照表 (Mapping Table)'!E:E,'FL5_POR_包裝對照表 (Mapping Table)'!BM:BM,"",0,1))</f>
        <v>No demand</v>
      </c>
      <c r="X93" s="935"/>
      <c r="Y93" s="935"/>
      <c r="Z93" s="935"/>
      <c r="AA93" s="935"/>
    </row>
    <row r="94" ht="15.75" customHeight="1">
      <c r="A94" s="935"/>
      <c r="B94" s="970">
        <v>87.0</v>
      </c>
      <c r="C94" s="970" t="str">
        <f>if(isblank(E94),"",'FL5_POR_包裝對照表 (Mapping Table)'!$E$4)</f>
        <v>GFL (FL5)</v>
      </c>
      <c r="D94" s="970" t="str">
        <f t="array" ref="D94">IF(ISBLANK(E94),"",xlookup(E94,'FL5_POR_包裝對照表 (Mapping Table)'!E:E,'FL5_POR_包裝對照表 (Mapping Table)'!AZ:AZ,"",0,1))</f>
        <v>MP</v>
      </c>
      <c r="E94" s="981" t="s">
        <v>906</v>
      </c>
      <c r="F94" s="167" t="str">
        <f t="array" ref="F94">if(isblank(E94),"",xlookup(E94,'FL5_POR_包裝對照表 (Mapping Table)'!E:E,'FL5_POR_包裝對照表 (Mapping Table)'!F:F,"",0,1))</f>
        <v>CA/AU</v>
      </c>
      <c r="G94" s="972" t="str">
        <f t="array" ref="G94">if(isblank(E94),"",xlookup(E94,'FL5_POR_包裝對照表 (Mapping Table)'!E:E,'FL5_POR_包裝對照表 (Mapping Table)'!C:C,"",0,1))</f>
        <v>CLNR/FRU</v>
      </c>
      <c r="H94" s="973" t="str">
        <f t="array" ref="H94">if(isblank(E94),"",xlookup(E94,'FL5_POR_包裝對照表 (Mapping Table)'!E:E,'FL5_POR_包裝對照表 (Mapping Table)'!D:D,"",0,1))</f>
        <v>Bulk Pack</v>
      </c>
      <c r="I94" s="974" t="str">
        <f t="shared" si="2"/>
        <v>Close</v>
      </c>
      <c r="J94" s="975" t="str">
        <f t="array" ref="J94">if(isblank(E94),"",xlookup(E94,'FL5_POR_包裝對照表 (Mapping Table)'!E:E,'FL5_POR_包裝對照表 (Mapping Table)'!H:H,"",0,1))</f>
        <v>Sub6</v>
      </c>
      <c r="K94" s="972" t="str">
        <f t="array" ref="K94">if(isblank(E94),"",xlookup(E94,'FL5_POR_包裝對照表 (Mapping Table)'!E:E,'FL5_POR_包裝對照表 (Mapping Table)'!M:M,"",0,1))</f>
        <v>ROW</v>
      </c>
      <c r="L94" s="972" t="str">
        <f t="array" ref="L94">if(isblank(E94),"",xlookup(E94,'FL5_POR_包裝對照表 (Mapping Table)'!E:E,'FL5_POR_包裝對照表 (Mapping Table)'!AN:AN,"",0,1))</f>
        <v>G950-15935-17</v>
      </c>
      <c r="M94" s="972" t="str">
        <f t="array" ref="M94">if(isblank(E94),"",xlookup(E94,'FL5_POR_包裝對照表 (Mapping Table)'!E:E,'FL5_POR_包裝對照表 (Mapping Table)'!J:J,"",0,1))</f>
        <v>Indigo</v>
      </c>
      <c r="N94" s="972" t="str">
        <f t="array" ref="N94">if(isblank(E94),"",xlookup(E94,'FL5_POR_包裝對照表 (Mapping Table)'!E:E,'FL5_POR_包裝對照表 (Mapping Table)'!K:K,"",0,1))</f>
        <v>BUE</v>
      </c>
      <c r="O94" s="976">
        <f t="array" ref="O94">xlookup(E94,'Ike 提供_20250505'!D:D,'Ike 提供_20250505'!N:N,"",0,1)</f>
        <v>434.57</v>
      </c>
      <c r="P94" s="976">
        <f t="array" ref="P94">xlookup(E94,'Ike 提供_20250505'!D:D,'Ike 提供_20250505'!O:O,"",0,1)</f>
        <v>427.59</v>
      </c>
      <c r="Q94" s="977">
        <f t="array" ref="Q94">xlookup(E94,'FL5_POR_包裝對照表 (Mapping Table)'!E:E,'FL5_POR_包裝對照表 (Mapping Table)'!BI:BI,"",0,1)</f>
        <v>45773</v>
      </c>
      <c r="R94" s="977">
        <v>45779.0</v>
      </c>
      <c r="S94" s="977">
        <f t="shared" si="3"/>
        <v>45785</v>
      </c>
      <c r="T94" s="977">
        <v>45782.0</v>
      </c>
      <c r="U94" s="978"/>
      <c r="V94" s="935"/>
      <c r="W94" s="978" t="str">
        <f t="array" ref="W94">if(isblank(E94),"",xlookup(E94,'FL5_POR_包裝對照表 (Mapping Table)'!E:E,'FL5_POR_包裝對照表 (Mapping Table)'!BM:BM,"",0,1))</f>
        <v>No demand</v>
      </c>
      <c r="X94" s="935"/>
      <c r="Y94" s="935"/>
      <c r="Z94" s="935"/>
      <c r="AA94" s="935"/>
    </row>
    <row r="95" ht="15.75" customHeight="1">
      <c r="A95" s="935"/>
      <c r="B95" s="970">
        <v>88.0</v>
      </c>
      <c r="C95" s="970" t="str">
        <f>if(isblank(E95),"",'FL5_POR_包裝對照表 (Mapping Table)'!$E$4)</f>
        <v>GFL (FL5)</v>
      </c>
      <c r="D95" s="970" t="str">
        <f t="array" ref="D95">IF(ISBLANK(E95),"",xlookup(E95,'FL5_POR_包裝對照表 (Mapping Table)'!E:E,'FL5_POR_包裝對照表 (Mapping Table)'!AZ:AZ,"",0,1))</f>
        <v>MP</v>
      </c>
      <c r="E95" s="971" t="s">
        <v>911</v>
      </c>
      <c r="F95" s="167" t="str">
        <f t="array" ref="F95">if(isblank(E95),"",xlookup(E95,'FL5_POR_包裝對照表 (Mapping Table)'!E:E,'FL5_POR_包裝對照表 (Mapping Table)'!F:F,"",0,1))</f>
        <v>UK/EU</v>
      </c>
      <c r="G95" s="972" t="str">
        <f t="array" ref="G95">if(isblank(E95),"",xlookup(E95,'FL5_POR_包裝對照表 (Mapping Table)'!E:E,'FL5_POR_包裝對照表 (Mapping Table)'!C:C,"",0,1))</f>
        <v>CLNR/FRU</v>
      </c>
      <c r="H95" s="973" t="str">
        <f t="array" ref="H95">if(isblank(E95),"",xlookup(E95,'FL5_POR_包裝對照表 (Mapping Table)'!E:E,'FL5_POR_包裝對照表 (Mapping Table)'!D:D,"",0,1))</f>
        <v>Bulk Pack</v>
      </c>
      <c r="I95" s="974" t="str">
        <f t="shared" si="2"/>
        <v>Close</v>
      </c>
      <c r="J95" s="975" t="str">
        <f t="array" ref="J95">if(isblank(E95),"",xlookup(E95,'FL5_POR_包裝對照表 (Mapping Table)'!E:E,'FL5_POR_包裝對照表 (Mapping Table)'!H:H,"",0,1))</f>
        <v>Sub6</v>
      </c>
      <c r="K95" s="972" t="str">
        <f t="array" ref="K95">if(isblank(E95),"",xlookup(E95,'FL5_POR_包裝對照表 (Mapping Table)'!E:E,'FL5_POR_包裝對照表 (Mapping Table)'!M:M,"",0,1))</f>
        <v>ROW</v>
      </c>
      <c r="L95" s="972" t="str">
        <f t="array" ref="L95">if(isblank(E95),"",xlookup(E95,'FL5_POR_包裝對照表 (Mapping Table)'!E:E,'FL5_POR_包裝對照表 (Mapping Table)'!AN:AN,"",0,1))</f>
        <v>G950-15935-14</v>
      </c>
      <c r="M95" s="972" t="str">
        <f t="array" ref="M95">if(isblank(E95),"",xlookup(E95,'FL5_POR_包裝對照表 (Mapping Table)'!E:E,'FL5_POR_包裝對照表 (Mapping Table)'!J:J,"",0,1))</f>
        <v>Obsidian</v>
      </c>
      <c r="N95" s="972" t="str">
        <f t="array" ref="N95">if(isblank(E95),"",xlookup(E95,'FL5_POR_包裝對照表 (Mapping Table)'!E:E,'FL5_POR_包裝對照表 (Mapping Table)'!K:K,"",0,1))</f>
        <v>BLK</v>
      </c>
      <c r="O95" s="976">
        <f t="array" ref="O95">xlookup(E95,'Ike 提供_20250505'!D:D,'Ike 提供_20250505'!N:N,"",0,1)</f>
        <v>434.17</v>
      </c>
      <c r="P95" s="976">
        <f t="array" ref="P95">xlookup(E95,'Ike 提供_20250505'!D:D,'Ike 提供_20250505'!O:O,"",0,1)</f>
        <v>427.19</v>
      </c>
      <c r="Q95" s="977">
        <f t="array" ref="Q95">xlookup(E95,'FL5_POR_包裝對照表 (Mapping Table)'!E:E,'FL5_POR_包裝對照表 (Mapping Table)'!BI:BI,"",0,1)</f>
        <v>45773</v>
      </c>
      <c r="R95" s="977">
        <v>45779.0</v>
      </c>
      <c r="S95" s="977">
        <f t="shared" si="3"/>
        <v>45785</v>
      </c>
      <c r="T95" s="977">
        <v>45782.0</v>
      </c>
      <c r="U95" s="978"/>
      <c r="V95" s="935"/>
      <c r="W95" s="978" t="str">
        <f t="array" ref="W95">if(isblank(E95),"",xlookup(E95,'FL5_POR_包裝對照表 (Mapping Table)'!E:E,'FL5_POR_包裝對照表 (Mapping Table)'!BM:BM,"",0,1))</f>
        <v>No demand</v>
      </c>
      <c r="X95" s="935"/>
      <c r="Y95" s="935"/>
      <c r="Z95" s="935"/>
      <c r="AA95" s="935"/>
    </row>
    <row r="96" ht="15.75" customHeight="1">
      <c r="A96" s="935"/>
      <c r="B96" s="970">
        <v>89.0</v>
      </c>
      <c r="C96" s="970" t="str">
        <f>if(isblank(E96),"",'FL5_POR_包裝對照表 (Mapping Table)'!$E$4)</f>
        <v>GFL (FL5)</v>
      </c>
      <c r="D96" s="970" t="str">
        <f t="array" ref="D96">IF(ISBLANK(E96),"",xlookup(E96,'FL5_POR_包裝對照表 (Mapping Table)'!E:E,'FL5_POR_包裝對照表 (Mapping Table)'!AZ:AZ,"",0,1))</f>
        <v>MP</v>
      </c>
      <c r="E96" s="971" t="s">
        <v>916</v>
      </c>
      <c r="F96" s="167" t="str">
        <f t="array" ref="F96">if(isblank(E96),"",xlookup(E96,'FL5_POR_包裝對照表 (Mapping Table)'!E:E,'FL5_POR_包裝對照表 (Mapping Table)'!F:F,"",0,1))</f>
        <v>UK/EU</v>
      </c>
      <c r="G96" s="972" t="str">
        <f t="array" ref="G96">if(isblank(E96),"",xlookup(E96,'FL5_POR_包裝對照表 (Mapping Table)'!E:E,'FL5_POR_包裝對照表 (Mapping Table)'!C:C,"",0,1))</f>
        <v>CLNR/FRU</v>
      </c>
      <c r="H96" s="973" t="str">
        <f t="array" ref="H96">if(isblank(E96),"",xlookup(E96,'FL5_POR_包裝對照表 (Mapping Table)'!E:E,'FL5_POR_包裝對照表 (Mapping Table)'!D:D,"",0,1))</f>
        <v>Bulk Pack</v>
      </c>
      <c r="I96" s="974" t="str">
        <f t="shared" si="2"/>
        <v>Close</v>
      </c>
      <c r="J96" s="975" t="str">
        <f t="array" ref="J96">if(isblank(E96),"",xlookup(E96,'FL5_POR_包裝對照表 (Mapping Table)'!E:E,'FL5_POR_包裝對照表 (Mapping Table)'!H:H,"",0,1))</f>
        <v>Sub6</v>
      </c>
      <c r="K96" s="972" t="str">
        <f t="array" ref="K96">if(isblank(E96),"",xlookup(E96,'FL5_POR_包裝對照表 (Mapping Table)'!E:E,'FL5_POR_包裝對照表 (Mapping Table)'!M:M,"",0,1))</f>
        <v>ROW</v>
      </c>
      <c r="L96" s="972" t="str">
        <f t="array" ref="L96">if(isblank(E96),"",xlookup(E96,'FL5_POR_包裝對照表 (Mapping Table)'!E:E,'FL5_POR_包裝對照表 (Mapping Table)'!AN:AN,"",0,1))</f>
        <v>G950-15935-15</v>
      </c>
      <c r="M96" s="972" t="str">
        <f t="array" ref="M96">if(isblank(E96),"",xlookup(E96,'FL5_POR_包裝對照表 (Mapping Table)'!E:E,'FL5_POR_包裝對照表 (Mapping Table)'!J:J,"",0,1))</f>
        <v>Frost</v>
      </c>
      <c r="N96" s="972" t="str">
        <f t="array" ref="N96">if(isblank(E96),"",xlookup(E96,'FL5_POR_包裝對照表 (Mapping Table)'!E:E,'FL5_POR_包裝對照表 (Mapping Table)'!K:K,"",0,1))</f>
        <v>PPL</v>
      </c>
      <c r="O96" s="976">
        <f t="array" ref="O96">xlookup(E96,'Ike 提供_20250505'!D:D,'Ike 提供_20250505'!N:N,"",0,1)</f>
        <v>434.47</v>
      </c>
      <c r="P96" s="976">
        <f t="array" ref="P96">xlookup(E96,'Ike 提供_20250505'!D:D,'Ike 提供_20250505'!O:O,"",0,1)</f>
        <v>427.49</v>
      </c>
      <c r="Q96" s="977">
        <f t="array" ref="Q96">xlookup(E96,'FL5_POR_包裝對照表 (Mapping Table)'!E:E,'FL5_POR_包裝對照表 (Mapping Table)'!BI:BI,"",0,1)</f>
        <v>45773</v>
      </c>
      <c r="R96" s="977">
        <v>45779.0</v>
      </c>
      <c r="S96" s="977">
        <f t="shared" si="3"/>
        <v>45785</v>
      </c>
      <c r="T96" s="977">
        <v>45782.0</v>
      </c>
      <c r="U96" s="978"/>
      <c r="V96" s="935"/>
      <c r="W96" s="978" t="str">
        <f t="array" ref="W96">if(isblank(E96),"",xlookup(E96,'FL5_POR_包裝對照表 (Mapping Table)'!E:E,'FL5_POR_包裝對照表 (Mapping Table)'!BM:BM,"",0,1))</f>
        <v>No demand</v>
      </c>
      <c r="X96" s="935"/>
      <c r="Y96" s="935"/>
      <c r="Z96" s="935"/>
      <c r="AA96" s="935"/>
    </row>
    <row r="97" ht="15.75" customHeight="1">
      <c r="A97" s="935"/>
      <c r="B97" s="970">
        <v>90.0</v>
      </c>
      <c r="C97" s="970" t="str">
        <f>if(isblank(E97),"",'FL5_POR_包裝對照表 (Mapping Table)'!$E$4)</f>
        <v>GFL (FL5)</v>
      </c>
      <c r="D97" s="970" t="str">
        <f t="array" ref="D97">IF(ISBLANK(E97),"",xlookup(E97,'FL5_POR_包裝對照表 (Mapping Table)'!E:E,'FL5_POR_包裝對照表 (Mapping Table)'!AZ:AZ,"",0,1))</f>
        <v>MP</v>
      </c>
      <c r="E97" s="971" t="s">
        <v>921</v>
      </c>
      <c r="F97" s="167" t="str">
        <f t="array" ref="F97">if(isblank(E97),"",xlookup(E97,'FL5_POR_包裝對照表 (Mapping Table)'!E:E,'FL5_POR_包裝對照表 (Mapping Table)'!F:F,"",0,1))</f>
        <v>UK/EU</v>
      </c>
      <c r="G97" s="972" t="str">
        <f t="array" ref="G97">if(isblank(E97),"",xlookup(E97,'FL5_POR_包裝對照表 (Mapping Table)'!E:E,'FL5_POR_包裝對照表 (Mapping Table)'!C:C,"",0,1))</f>
        <v>CLNR/FRU</v>
      </c>
      <c r="H97" s="973" t="str">
        <f t="array" ref="H97">if(isblank(E97),"",xlookup(E97,'FL5_POR_包裝對照表 (Mapping Table)'!E:E,'FL5_POR_包裝對照表 (Mapping Table)'!D:D,"",0,1))</f>
        <v>Bulk Pack</v>
      </c>
      <c r="I97" s="974" t="str">
        <f t="shared" si="2"/>
        <v>Close</v>
      </c>
      <c r="J97" s="975" t="str">
        <f t="array" ref="J97">if(isblank(E97),"",xlookup(E97,'FL5_POR_包裝對照表 (Mapping Table)'!E:E,'FL5_POR_包裝對照表 (Mapping Table)'!H:H,"",0,1))</f>
        <v>Sub6</v>
      </c>
      <c r="K97" s="972" t="str">
        <f t="array" ref="K97">if(isblank(E97),"",xlookup(E97,'FL5_POR_包裝對照表 (Mapping Table)'!E:E,'FL5_POR_包裝對照表 (Mapping Table)'!M:M,"",0,1))</f>
        <v>ROW</v>
      </c>
      <c r="L97" s="972" t="str">
        <f t="array" ref="L97">if(isblank(E97),"",xlookup(E97,'FL5_POR_包裝對照表 (Mapping Table)'!E:E,'FL5_POR_包裝對照表 (Mapping Table)'!AN:AN,"",0,1))</f>
        <v>G950-15935-16</v>
      </c>
      <c r="M97" s="972" t="str">
        <f t="array" ref="M97">if(isblank(E97),"",xlookup(E97,'FL5_POR_包裝對照表 (Mapping Table)'!E:E,'FL5_POR_包裝對照表 (Mapping Table)'!J:J,"",0,1))</f>
        <v>Lemongrass</v>
      </c>
      <c r="N97" s="972" t="str">
        <f t="array" ref="N97">if(isblank(E97),"",xlookup(E97,'FL5_POR_包裝對照表 (Mapping Table)'!E:E,'FL5_POR_包裝對照表 (Mapping Table)'!K:K,"",0,1))</f>
        <v>YEL</v>
      </c>
      <c r="O97" s="976">
        <f t="array" ref="O97">xlookup(E97,'Ike 提供_20250505'!D:D,'Ike 提供_20250505'!N:N,"",0,1)</f>
        <v>434.57</v>
      </c>
      <c r="P97" s="976">
        <f t="array" ref="P97">xlookup(E97,'Ike 提供_20250505'!D:D,'Ike 提供_20250505'!O:O,"",0,1)</f>
        <v>427.59</v>
      </c>
      <c r="Q97" s="977">
        <f t="array" ref="Q97">xlookup(E97,'FL5_POR_包裝對照表 (Mapping Table)'!E:E,'FL5_POR_包裝對照表 (Mapping Table)'!BI:BI,"",0,1)</f>
        <v>45773</v>
      </c>
      <c r="R97" s="977">
        <v>45779.0</v>
      </c>
      <c r="S97" s="977">
        <f t="shared" si="3"/>
        <v>45785</v>
      </c>
      <c r="T97" s="977">
        <v>45782.0</v>
      </c>
      <c r="U97" s="978"/>
      <c r="V97" s="935"/>
      <c r="W97" s="978" t="str">
        <f t="array" ref="W97">if(isblank(E97),"",xlookup(E97,'FL5_POR_包裝對照表 (Mapping Table)'!E:E,'FL5_POR_包裝對照表 (Mapping Table)'!BM:BM,"",0,1))</f>
        <v>No demand</v>
      </c>
      <c r="X97" s="935"/>
      <c r="Y97" s="935"/>
      <c r="Z97" s="935"/>
      <c r="AA97" s="935"/>
    </row>
    <row r="98" ht="15.75" customHeight="1">
      <c r="A98" s="935"/>
      <c r="B98" s="970">
        <v>91.0</v>
      </c>
      <c r="C98" s="970" t="str">
        <f>if(isblank(E98),"",'FL5_POR_包裝對照表 (Mapping Table)'!$E$4)</f>
        <v>GFL (FL5)</v>
      </c>
      <c r="D98" s="970" t="str">
        <f t="array" ref="D98">IF(ISBLANK(E98),"",xlookup(E98,'FL5_POR_包裝對照表 (Mapping Table)'!E:E,'FL5_POR_包裝對照表 (Mapping Table)'!AZ:AZ,"",0,1))</f>
        <v>MP</v>
      </c>
      <c r="E98" s="971" t="s">
        <v>926</v>
      </c>
      <c r="F98" s="167" t="str">
        <f t="array" ref="F98">if(isblank(E98),"",xlookup(E98,'FL5_POR_包裝對照表 (Mapping Table)'!E:E,'FL5_POR_包裝對照表 (Mapping Table)'!F:F,"",0,1))</f>
        <v>UK/EU</v>
      </c>
      <c r="G98" s="972" t="str">
        <f t="array" ref="G98">if(isblank(E98),"",xlookup(E98,'FL5_POR_包裝對照表 (Mapping Table)'!E:E,'FL5_POR_包裝對照表 (Mapping Table)'!C:C,"",0,1))</f>
        <v>CLNR/FRU</v>
      </c>
      <c r="H98" s="973" t="str">
        <f t="array" ref="H98">if(isblank(E98),"",xlookup(E98,'FL5_POR_包裝對照表 (Mapping Table)'!E:E,'FL5_POR_包裝對照表 (Mapping Table)'!D:D,"",0,1))</f>
        <v>Bulk Pack</v>
      </c>
      <c r="I98" s="974" t="str">
        <f t="shared" si="2"/>
        <v>Close</v>
      </c>
      <c r="J98" s="975" t="str">
        <f t="array" ref="J98">if(isblank(E98),"",xlookup(E98,'FL5_POR_包裝對照表 (Mapping Table)'!E:E,'FL5_POR_包裝對照表 (Mapping Table)'!H:H,"",0,1))</f>
        <v>Sub6</v>
      </c>
      <c r="K98" s="972" t="str">
        <f t="array" ref="K98">if(isblank(E98),"",xlookup(E98,'FL5_POR_包裝對照表 (Mapping Table)'!E:E,'FL5_POR_包裝對照表 (Mapping Table)'!M:M,"",0,1))</f>
        <v>ROW</v>
      </c>
      <c r="L98" s="972" t="str">
        <f t="array" ref="L98">if(isblank(E98),"",xlookup(E98,'FL5_POR_包裝對照表 (Mapping Table)'!E:E,'FL5_POR_包裝對照表 (Mapping Table)'!AN:AN,"",0,1))</f>
        <v>G950-15935-17</v>
      </c>
      <c r="M98" s="972" t="str">
        <f t="array" ref="M98">if(isblank(E98),"",xlookup(E98,'FL5_POR_包裝對照表 (Mapping Table)'!E:E,'FL5_POR_包裝對照表 (Mapping Table)'!J:J,"",0,1))</f>
        <v>Indigo</v>
      </c>
      <c r="N98" s="972" t="str">
        <f t="array" ref="N98">if(isblank(E98),"",xlookup(E98,'FL5_POR_包裝對照表 (Mapping Table)'!E:E,'FL5_POR_包裝對照表 (Mapping Table)'!K:K,"",0,1))</f>
        <v>BUE</v>
      </c>
      <c r="O98" s="976">
        <f t="array" ref="O98">xlookup(E98,'Ike 提供_20250505'!D:D,'Ike 提供_20250505'!N:N,"",0,1)</f>
        <v>434.57</v>
      </c>
      <c r="P98" s="976">
        <f t="array" ref="P98">xlookup(E98,'Ike 提供_20250505'!D:D,'Ike 提供_20250505'!O:O,"",0,1)</f>
        <v>427.59</v>
      </c>
      <c r="Q98" s="977">
        <f t="array" ref="Q98">xlookup(E98,'FL5_POR_包裝對照表 (Mapping Table)'!E:E,'FL5_POR_包裝對照表 (Mapping Table)'!BI:BI,"",0,1)</f>
        <v>45773</v>
      </c>
      <c r="R98" s="977">
        <v>45779.0</v>
      </c>
      <c r="S98" s="977">
        <f t="shared" si="3"/>
        <v>45785</v>
      </c>
      <c r="T98" s="977">
        <v>45782.0</v>
      </c>
      <c r="U98" s="978"/>
      <c r="V98" s="935"/>
      <c r="W98" s="978" t="str">
        <f t="array" ref="W98">if(isblank(E98),"",xlookup(E98,'FL5_POR_包裝對照表 (Mapping Table)'!E:E,'FL5_POR_包裝對照表 (Mapping Table)'!BM:BM,"",0,1))</f>
        <v>No demand</v>
      </c>
      <c r="X98" s="935"/>
      <c r="Y98" s="935"/>
      <c r="Z98" s="935"/>
      <c r="AA98" s="935"/>
    </row>
    <row r="99" ht="15.75" customHeight="1">
      <c r="A99" s="935"/>
      <c r="B99" s="970">
        <v>92.0</v>
      </c>
      <c r="C99" s="970" t="str">
        <f>if(isblank(E99),"",'FL5_POR_包裝對照表 (Mapping Table)'!$E$4)</f>
        <v>GFL (FL5)</v>
      </c>
      <c r="D99" s="970" t="str">
        <f t="array" ref="D99">IF(ISBLANK(E99),"",xlookup(E99,'FL5_POR_包裝對照表 (Mapping Table)'!E:E,'FL5_POR_包裝對照表 (Mapping Table)'!AZ:AZ,"",0,1))</f>
        <v>MP</v>
      </c>
      <c r="E99" s="971" t="s">
        <v>931</v>
      </c>
      <c r="F99" s="167" t="str">
        <f t="array" ref="F99">if(isblank(E99),"",xlookup(E99,'FL5_POR_包裝對照表 (Mapping Table)'!E:E,'FL5_POR_包裝對照表 (Mapping Table)'!F:F,"",0,1))</f>
        <v>GSTORE, US</v>
      </c>
      <c r="G99" s="972" t="str">
        <f t="array" ref="G99">if(isblank(E99),"",xlookup(E99,'FL5_POR_包裝對照表 (Mapping Table)'!E:E,'FL5_POR_包裝對照表 (Mapping Table)'!C:C,"",0,1))</f>
        <v>Press- N (MKG)</v>
      </c>
      <c r="H99" s="973" t="str">
        <f t="array" ref="H99">if(isblank(E99),"",xlookup(E99,'FL5_POR_包裝對照表 (Mapping Table)'!E:E,'FL5_POR_包裝對照表 (Mapping Table)'!D:D,"",0,1))</f>
        <v>Retail Pack</v>
      </c>
      <c r="I99" s="974" t="str">
        <f t="shared" si="2"/>
        <v>Close</v>
      </c>
      <c r="J99" s="975" t="str">
        <f t="array" ref="J99">if(isblank(E99),"",xlookup(E99,'FL5_POR_包裝對照表 (Mapping Table)'!E:E,'FL5_POR_包裝對照表 (Mapping Table)'!H:H,"",0,1))</f>
        <v>mmWave</v>
      </c>
      <c r="K99" s="972" t="str">
        <f t="array" ref="K99">if(isblank(E99),"",xlookup(E99,'FL5_POR_包裝對照表 (Mapping Table)'!E:E,'FL5_POR_包裝對照表 (Mapping Table)'!M:M,"",0,1))</f>
        <v>NA</v>
      </c>
      <c r="L99" s="972" t="str">
        <f t="array" ref="L99">if(isblank(E99),"",xlookup(E99,'FL5_POR_包裝對照表 (Mapping Table)'!E:E,'FL5_POR_包裝對照表 (Mapping Table)'!AN:AN,"",0,1))</f>
        <v>G950-15935-00</v>
      </c>
      <c r="M99" s="972" t="str">
        <f t="array" ref="M99">if(isblank(E99),"",xlookup(E99,'FL5_POR_包裝對照表 (Mapping Table)'!E:E,'FL5_POR_包裝對照表 (Mapping Table)'!J:J,"",0,1))</f>
        <v>Obsidian</v>
      </c>
      <c r="N99" s="972" t="str">
        <f t="array" ref="N99">if(isblank(E99),"",xlookup(E99,'FL5_POR_包裝對照表 (Mapping Table)'!E:E,'FL5_POR_包裝對照表 (Mapping Table)'!K:K,"",0,1))</f>
        <v>BLK</v>
      </c>
      <c r="O99" s="976">
        <f t="array" ref="O99">xlookup(E99,'Ike 提供_20250505'!D:D,'Ike 提供_20250505'!N:N,"",0,1)</f>
        <v>464.81</v>
      </c>
      <c r="P99" s="976">
        <f t="array" ref="P99">xlookup(E99,'Ike 提供_20250505'!D:D,'Ike 提供_20250505'!O:O,"",0,1)</f>
        <v>440.09</v>
      </c>
      <c r="Q99" s="977">
        <f t="array" ref="Q99">xlookup(E99,'FL5_POR_包裝對照表 (Mapping Table)'!E:E,'FL5_POR_包裝對照表 (Mapping Table)'!BI:BI,"",0,1)</f>
        <v>45782</v>
      </c>
      <c r="R99" s="977">
        <v>45779.0</v>
      </c>
      <c r="S99" s="977">
        <f t="shared" si="3"/>
        <v>45785</v>
      </c>
      <c r="T99" s="977">
        <v>45782.0</v>
      </c>
      <c r="U99" s="978"/>
      <c r="V99" s="935"/>
      <c r="W99" s="978" t="str">
        <f t="array" ref="W99">if(isblank(E99),"",xlookup(E99,'FL5_POR_包裝對照表 (Mapping Table)'!E:E,'FL5_POR_包裝對照表 (Mapping Table)'!BM:BM,"",0,1))</f>
        <v>No demand</v>
      </c>
      <c r="X99" s="935"/>
      <c r="Y99" s="935"/>
      <c r="Z99" s="935"/>
      <c r="AA99" s="935"/>
    </row>
    <row r="100" ht="15.75" customHeight="1">
      <c r="A100" s="935"/>
      <c r="B100" s="970">
        <v>93.0</v>
      </c>
      <c r="C100" s="970" t="str">
        <f>if(isblank(E100),"",'FL5_POR_包裝對照表 (Mapping Table)'!$E$4)</f>
        <v>GFL (FL5)</v>
      </c>
      <c r="D100" s="970" t="str">
        <f t="array" ref="D100">IF(ISBLANK(E100),"",xlookup(E100,'FL5_POR_包裝對照表 (Mapping Table)'!E:E,'FL5_POR_包裝對照表 (Mapping Table)'!AZ:AZ,"",0,1))</f>
        <v>MP</v>
      </c>
      <c r="E100" s="971" t="s">
        <v>936</v>
      </c>
      <c r="F100" s="167" t="str">
        <f t="array" ref="F100">if(isblank(E100),"",xlookup(E100,'FL5_POR_包裝對照表 (Mapping Table)'!E:E,'FL5_POR_包裝對照表 (Mapping Table)'!F:F,"",0,1))</f>
        <v>GSTORE, US</v>
      </c>
      <c r="G100" s="972" t="str">
        <f t="array" ref="G100">if(isblank(E100),"",xlookup(E100,'FL5_POR_包裝對照表 (Mapping Table)'!E:E,'FL5_POR_包裝對照表 (Mapping Table)'!C:C,"",0,1))</f>
        <v>Press- N (MKG)</v>
      </c>
      <c r="H100" s="973" t="str">
        <f t="array" ref="H100">if(isblank(E100),"",xlookup(E100,'FL5_POR_包裝對照表 (Mapping Table)'!E:E,'FL5_POR_包裝對照表 (Mapping Table)'!D:D,"",0,1))</f>
        <v>Retail Pack</v>
      </c>
      <c r="I100" s="974" t="str">
        <f t="shared" si="2"/>
        <v>Close</v>
      </c>
      <c r="J100" s="975" t="str">
        <f t="array" ref="J100">if(isblank(E100),"",xlookup(E100,'FL5_POR_包裝對照表 (Mapping Table)'!E:E,'FL5_POR_包裝對照表 (Mapping Table)'!H:H,"",0,1))</f>
        <v>mmWave</v>
      </c>
      <c r="K100" s="972" t="str">
        <f t="array" ref="K100">if(isblank(E100),"",xlookup(E100,'FL5_POR_包裝對照表 (Mapping Table)'!E:E,'FL5_POR_包裝對照表 (Mapping Table)'!M:M,"",0,1))</f>
        <v>NA</v>
      </c>
      <c r="L100" s="972" t="str">
        <f t="array" ref="L100">if(isblank(E100),"",xlookup(E100,'FL5_POR_包裝對照表 (Mapping Table)'!E:E,'FL5_POR_包裝對照表 (Mapping Table)'!AN:AN,"",0,1))</f>
        <v>G950-15935-01</v>
      </c>
      <c r="M100" s="972" t="str">
        <f t="array" ref="M100">if(isblank(E100),"",xlookup(E100,'FL5_POR_包裝對照表 (Mapping Table)'!E:E,'FL5_POR_包裝對照表 (Mapping Table)'!J:J,"",0,1))</f>
        <v>Frost</v>
      </c>
      <c r="N100" s="972" t="str">
        <f t="array" ref="N100">if(isblank(E100),"",xlookup(E100,'FL5_POR_包裝對照表 (Mapping Table)'!E:E,'FL5_POR_包裝對照表 (Mapping Table)'!K:K,"",0,1))</f>
        <v>PPL</v>
      </c>
      <c r="O100" s="976">
        <f t="array" ref="O100">xlookup(E100,'Ike 提供_20250505'!D:D,'Ike 提供_20250505'!N:N,"",0,1)</f>
        <v>460.98</v>
      </c>
      <c r="P100" s="976">
        <f t="array" ref="P100">xlookup(E100,'Ike 提供_20250505'!D:D,'Ike 提供_20250505'!O:O,"",0,1)</f>
        <v>440.39</v>
      </c>
      <c r="Q100" s="977">
        <f t="array" ref="Q100">xlookup(E100,'FL5_POR_包裝對照表 (Mapping Table)'!E:E,'FL5_POR_包裝對照表 (Mapping Table)'!BI:BI,"",0,1)</f>
        <v>45782</v>
      </c>
      <c r="R100" s="977">
        <v>45779.0</v>
      </c>
      <c r="S100" s="977">
        <f t="shared" si="3"/>
        <v>45785</v>
      </c>
      <c r="T100" s="977">
        <v>45782.0</v>
      </c>
      <c r="U100" s="978"/>
      <c r="V100" s="935"/>
      <c r="W100" s="978" t="str">
        <f t="array" ref="W100">if(isblank(E100),"",xlookup(E100,'FL5_POR_包裝對照表 (Mapping Table)'!E:E,'FL5_POR_包裝對照表 (Mapping Table)'!BM:BM,"",0,1))</f>
        <v>No demand</v>
      </c>
      <c r="X100" s="935"/>
      <c r="Y100" s="935"/>
      <c r="Z100" s="935"/>
      <c r="AA100" s="935"/>
    </row>
    <row r="101" ht="15.75" customHeight="1">
      <c r="A101" s="935"/>
      <c r="B101" s="970">
        <v>94.0</v>
      </c>
      <c r="C101" s="970" t="str">
        <f>if(isblank(E101),"",'FL5_POR_包裝對照表 (Mapping Table)'!$E$4)</f>
        <v>GFL (FL5)</v>
      </c>
      <c r="D101" s="970" t="str">
        <f t="array" ref="D101">IF(ISBLANK(E101),"",xlookup(E101,'FL5_POR_包裝對照表 (Mapping Table)'!E:E,'FL5_POR_包裝對照表 (Mapping Table)'!AZ:AZ,"",0,1))</f>
        <v>MP</v>
      </c>
      <c r="E101" s="971" t="s">
        <v>941</v>
      </c>
      <c r="F101" s="167" t="str">
        <f t="array" ref="F101">if(isblank(E101),"",xlookup(E101,'FL5_POR_包裝對照表 (Mapping Table)'!E:E,'FL5_POR_包裝對照表 (Mapping Table)'!F:F,"",0,1))</f>
        <v>GSTORE, US</v>
      </c>
      <c r="G101" s="972" t="str">
        <f t="array" ref="G101">if(isblank(E101),"",xlookup(E101,'FL5_POR_包裝對照表 (Mapping Table)'!E:E,'FL5_POR_包裝對照表 (Mapping Table)'!C:C,"",0,1))</f>
        <v>Press- N (MKG)</v>
      </c>
      <c r="H101" s="973" t="str">
        <f t="array" ref="H101">if(isblank(E101),"",xlookup(E101,'FL5_POR_包裝對照表 (Mapping Table)'!E:E,'FL5_POR_包裝對照表 (Mapping Table)'!D:D,"",0,1))</f>
        <v>Retail Pack</v>
      </c>
      <c r="I101" s="974" t="str">
        <f t="shared" si="2"/>
        <v>Close</v>
      </c>
      <c r="J101" s="975" t="str">
        <f t="array" ref="J101">if(isblank(E101),"",xlookup(E101,'FL5_POR_包裝對照表 (Mapping Table)'!E:E,'FL5_POR_包裝對照表 (Mapping Table)'!H:H,"",0,1))</f>
        <v>mmWave</v>
      </c>
      <c r="K101" s="972" t="str">
        <f t="array" ref="K101">if(isblank(E101),"",xlookup(E101,'FL5_POR_包裝對照表 (Mapping Table)'!E:E,'FL5_POR_包裝對照表 (Mapping Table)'!M:M,"",0,1))</f>
        <v>NA</v>
      </c>
      <c r="L101" s="972" t="str">
        <f t="array" ref="L101">if(isblank(E101),"",xlookup(E101,'FL5_POR_包裝對照表 (Mapping Table)'!E:E,'FL5_POR_包裝對照表 (Mapping Table)'!AN:AN,"",0,1))</f>
        <v>G950-15935-02</v>
      </c>
      <c r="M101" s="972" t="str">
        <f t="array" ref="M101">if(isblank(E101),"",xlookup(E101,'FL5_POR_包裝對照表 (Mapping Table)'!E:E,'FL5_POR_包裝對照表 (Mapping Table)'!J:J,"",0,1))</f>
        <v>Lemongrass</v>
      </c>
      <c r="N101" s="972" t="str">
        <f t="array" ref="N101">if(isblank(E101),"",xlookup(E101,'FL5_POR_包裝對照表 (Mapping Table)'!E:E,'FL5_POR_包裝對照表 (Mapping Table)'!K:K,"",0,1))</f>
        <v>YEL</v>
      </c>
      <c r="O101" s="976">
        <f t="array" ref="O101">xlookup(E101,'Ike 提供_20250505'!D:D,'Ike 提供_20250505'!N:N,"",0,1)</f>
        <v>426.51</v>
      </c>
      <c r="P101" s="976">
        <f t="array" ref="P101">xlookup(E101,'Ike 提供_20250505'!D:D,'Ike 提供_20250505'!O:O,"",0,1)</f>
        <v>440.49</v>
      </c>
      <c r="Q101" s="977">
        <f t="array" ref="Q101">xlookup(E101,'FL5_POR_包裝對照表 (Mapping Table)'!E:E,'FL5_POR_包裝對照表 (Mapping Table)'!BI:BI,"",0,1)</f>
        <v>45782</v>
      </c>
      <c r="R101" s="977">
        <v>45779.0</v>
      </c>
      <c r="S101" s="977">
        <f t="shared" si="3"/>
        <v>45785</v>
      </c>
      <c r="T101" s="977">
        <v>45782.0</v>
      </c>
      <c r="U101" s="978"/>
      <c r="V101" s="935"/>
      <c r="W101" s="978" t="str">
        <f t="array" ref="W101">if(isblank(E101),"",xlookup(E101,'FL5_POR_包裝對照表 (Mapping Table)'!E:E,'FL5_POR_包裝對照表 (Mapping Table)'!BM:BM,"",0,1))</f>
        <v>No demand</v>
      </c>
      <c r="X101" s="935"/>
      <c r="Y101" s="935"/>
      <c r="Z101" s="935"/>
      <c r="AA101" s="935"/>
    </row>
    <row r="102" ht="15.75" customHeight="1">
      <c r="A102" s="935"/>
      <c r="B102" s="970">
        <v>95.0</v>
      </c>
      <c r="C102" s="970" t="str">
        <f>if(isblank(E102),"",'FL5_POR_包裝對照表 (Mapping Table)'!$E$4)</f>
        <v>GFL (FL5)</v>
      </c>
      <c r="D102" s="970" t="str">
        <f t="array" ref="D102">IF(ISBLANK(E102),"",xlookup(E102,'FL5_POR_包裝對照表 (Mapping Table)'!E:E,'FL5_POR_包裝對照表 (Mapping Table)'!AZ:AZ,"",0,1))</f>
        <v>MP</v>
      </c>
      <c r="E102" s="971" t="s">
        <v>946</v>
      </c>
      <c r="F102" s="167" t="str">
        <f t="array" ref="F102">if(isblank(E102),"",xlookup(E102,'FL5_POR_包裝對照表 (Mapping Table)'!E:E,'FL5_POR_包裝對照表 (Mapping Table)'!F:F,"",0,1))</f>
        <v>GSTORE, US</v>
      </c>
      <c r="G102" s="972" t="str">
        <f t="array" ref="G102">if(isblank(E102),"",xlookup(E102,'FL5_POR_包裝對照表 (Mapping Table)'!E:E,'FL5_POR_包裝對照表 (Mapping Table)'!C:C,"",0,1))</f>
        <v>Press- N (MKG)</v>
      </c>
      <c r="H102" s="973" t="str">
        <f t="array" ref="H102">if(isblank(E102),"",xlookup(E102,'FL5_POR_包裝對照表 (Mapping Table)'!E:E,'FL5_POR_包裝對照表 (Mapping Table)'!D:D,"",0,1))</f>
        <v>Retail Pack</v>
      </c>
      <c r="I102" s="974" t="str">
        <f t="shared" si="2"/>
        <v>Close</v>
      </c>
      <c r="J102" s="975" t="str">
        <f t="array" ref="J102">if(isblank(E102),"",xlookup(E102,'FL5_POR_包裝對照表 (Mapping Table)'!E:E,'FL5_POR_包裝對照表 (Mapping Table)'!H:H,"",0,1))</f>
        <v>mmWave</v>
      </c>
      <c r="K102" s="972" t="str">
        <f t="array" ref="K102">if(isblank(E102),"",xlookup(E102,'FL5_POR_包裝對照表 (Mapping Table)'!E:E,'FL5_POR_包裝對照表 (Mapping Table)'!M:M,"",0,1))</f>
        <v>NA</v>
      </c>
      <c r="L102" s="972" t="str">
        <f t="array" ref="L102">if(isblank(E102),"",xlookup(E102,'FL5_POR_包裝對照表 (Mapping Table)'!E:E,'FL5_POR_包裝對照表 (Mapping Table)'!AN:AN,"",0,1))</f>
        <v>G950-15935-03</v>
      </c>
      <c r="M102" s="972" t="str">
        <f t="array" ref="M102">if(isblank(E102),"",xlookup(E102,'FL5_POR_包裝對照表 (Mapping Table)'!E:E,'FL5_POR_包裝對照表 (Mapping Table)'!J:J,"",0,1))</f>
        <v>Indigo</v>
      </c>
      <c r="N102" s="972" t="str">
        <f t="array" ref="N102">if(isblank(E102),"",xlookup(E102,'FL5_POR_包裝對照表 (Mapping Table)'!E:E,'FL5_POR_包裝對照表 (Mapping Table)'!K:K,"",0,1))</f>
        <v>BUE</v>
      </c>
      <c r="O102" s="976">
        <f t="array" ref="O102">xlookup(E102,'Ike 提供_20250505'!D:D,'Ike 提供_20250505'!N:N,"",0,1)</f>
        <v>426.51</v>
      </c>
      <c r="P102" s="976">
        <f t="array" ref="P102">xlookup(E102,'Ike 提供_20250505'!D:D,'Ike 提供_20250505'!O:O,"",0,1)</f>
        <v>440.49</v>
      </c>
      <c r="Q102" s="977">
        <f t="array" ref="Q102">xlookup(E102,'FL5_POR_包裝對照表 (Mapping Table)'!E:E,'FL5_POR_包裝對照表 (Mapping Table)'!BI:BI,"",0,1)</f>
        <v>45782</v>
      </c>
      <c r="R102" s="977">
        <v>45779.0</v>
      </c>
      <c r="S102" s="977">
        <f t="shared" si="3"/>
        <v>45785</v>
      </c>
      <c r="T102" s="977">
        <v>45782.0</v>
      </c>
      <c r="U102" s="978"/>
      <c r="V102" s="935"/>
      <c r="W102" s="978" t="str">
        <f t="array" ref="W102">if(isblank(E102),"",xlookup(E102,'FL5_POR_包裝對照表 (Mapping Table)'!E:E,'FL5_POR_包裝對照表 (Mapping Table)'!BM:BM,"",0,1))</f>
        <v>No demand</v>
      </c>
      <c r="X102" s="935"/>
      <c r="Y102" s="935"/>
      <c r="Z102" s="935"/>
      <c r="AA102" s="935"/>
    </row>
    <row r="103" ht="15.75" customHeight="1">
      <c r="A103" s="935"/>
      <c r="B103" s="970">
        <v>96.0</v>
      </c>
      <c r="C103" s="970" t="str">
        <f>if(isblank(E103),"",'FL5_POR_包裝對照表 (Mapping Table)'!$E$4)</f>
        <v>GFL (FL5)</v>
      </c>
      <c r="D103" s="970" t="str">
        <f t="array" ref="D103">IF(ISBLANK(E103),"",xlookup(E103,'FL5_POR_包裝對照表 (Mapping Table)'!E:E,'FL5_POR_包裝對照表 (Mapping Table)'!AZ:AZ,"",0,1))</f>
        <v>MP</v>
      </c>
      <c r="E103" s="971" t="s">
        <v>951</v>
      </c>
      <c r="F103" s="167" t="str">
        <f t="array" ref="F103">if(isblank(E103),"",xlookup(E103,'FL5_POR_包裝對照表 (Mapping Table)'!E:E,'FL5_POR_包裝對照表 (Mapping Table)'!F:F,"",0,1))</f>
        <v>JP</v>
      </c>
      <c r="G103" s="972" t="str">
        <f t="array" ref="G103">if(isblank(E103),"",xlookup(E103,'FL5_POR_包裝對照表 (Mapping Table)'!E:E,'FL5_POR_包裝對照表 (Mapping Table)'!C:C,"",0,1))</f>
        <v>Press- N (MKG)</v>
      </c>
      <c r="H103" s="973" t="str">
        <f t="array" ref="H103">if(isblank(E103),"",xlookup(E103,'FL5_POR_包裝對照表 (Mapping Table)'!E:E,'FL5_POR_包裝對照表 (Mapping Table)'!D:D,"",0,1))</f>
        <v>Retail Pack</v>
      </c>
      <c r="I103" s="974" t="str">
        <f t="shared" si="2"/>
        <v>Close</v>
      </c>
      <c r="J103" s="975" t="str">
        <f t="array" ref="J103">if(isblank(E103),"",xlookup(E103,'FL5_POR_包裝對照表 (Mapping Table)'!E:E,'FL5_POR_包裝對照表 (Mapping Table)'!H:H,"",0,1))</f>
        <v>JPN</v>
      </c>
      <c r="K103" s="972" t="str">
        <f t="array" ref="K103">if(isblank(E103),"",xlookup(E103,'FL5_POR_包裝對照表 (Mapping Table)'!E:E,'FL5_POR_包裝對照表 (Mapping Table)'!M:M,"",0,1))</f>
        <v>JPN</v>
      </c>
      <c r="L103" s="972" t="str">
        <f t="array" ref="L103">if(isblank(E103),"",xlookup(E103,'FL5_POR_包裝對照表 (Mapping Table)'!E:E,'FL5_POR_包裝對照表 (Mapping Table)'!AN:AN,"",0,1))</f>
        <v>G950-15935-10</v>
      </c>
      <c r="M103" s="972" t="str">
        <f t="array" ref="M103">if(isblank(E103),"",xlookup(E103,'FL5_POR_包裝對照表 (Mapping Table)'!E:E,'FL5_POR_包裝對照表 (Mapping Table)'!J:J,"",0,1))</f>
        <v>Obsidian</v>
      </c>
      <c r="N103" s="972" t="str">
        <f t="array" ref="N103">if(isblank(E103),"",xlookup(E103,'FL5_POR_包裝對照表 (Mapping Table)'!E:E,'FL5_POR_包裝對照表 (Mapping Table)'!K:K,"",0,1))</f>
        <v>BLK</v>
      </c>
      <c r="O103" s="976">
        <f t="array" ref="O103">xlookup(E103,'Ike 提供_20250505'!D:D,'Ike 提供_20250505'!N:N,"",0,1)</f>
        <v>427.55</v>
      </c>
      <c r="P103" s="976">
        <f t="array" ref="P103">xlookup(E103,'Ike 提供_20250505'!D:D,'Ike 提供_20250505'!O:O,"",0,1)</f>
        <v>422.69</v>
      </c>
      <c r="Q103" s="977">
        <f t="array" ref="Q103">xlookup(E103,'FL5_POR_包裝對照表 (Mapping Table)'!E:E,'FL5_POR_包裝對照表 (Mapping Table)'!BI:BI,"",0,1)</f>
        <v>45782</v>
      </c>
      <c r="R103" s="977">
        <v>45779.0</v>
      </c>
      <c r="S103" s="977">
        <f t="shared" si="3"/>
        <v>45785</v>
      </c>
      <c r="T103" s="977">
        <v>45782.0</v>
      </c>
      <c r="U103" s="978"/>
      <c r="V103" s="935"/>
      <c r="W103" s="978" t="str">
        <f t="array" ref="W103">if(isblank(E103),"",xlookup(E103,'FL5_POR_包裝對照表 (Mapping Table)'!E:E,'FL5_POR_包裝對照表 (Mapping Table)'!BM:BM,"",0,1))</f>
        <v>No demand</v>
      </c>
      <c r="X103" s="935"/>
      <c r="Y103" s="935"/>
      <c r="Z103" s="935"/>
      <c r="AA103" s="935"/>
    </row>
    <row r="104" ht="15.75" customHeight="1">
      <c r="A104" s="935"/>
      <c r="B104" s="970">
        <v>97.0</v>
      </c>
      <c r="C104" s="970" t="str">
        <f>if(isblank(E104),"",'FL5_POR_包裝對照表 (Mapping Table)'!$E$4)</f>
        <v>GFL (FL5)</v>
      </c>
      <c r="D104" s="970" t="str">
        <f t="array" ref="D104">IF(ISBLANK(E104),"",xlookup(E104,'FL5_POR_包裝對照表 (Mapping Table)'!E:E,'FL5_POR_包裝對照表 (Mapping Table)'!AZ:AZ,"",0,1))</f>
        <v>MP</v>
      </c>
      <c r="E104" s="971" t="s">
        <v>956</v>
      </c>
      <c r="F104" s="167" t="str">
        <f t="array" ref="F104">if(isblank(E104),"",xlookup(E104,'FL5_POR_包裝對照表 (Mapping Table)'!E:E,'FL5_POR_包裝對照表 (Mapping Table)'!F:F,"",0,1))</f>
        <v>JP</v>
      </c>
      <c r="G104" s="972" t="str">
        <f t="array" ref="G104">if(isblank(E104),"",xlookup(E104,'FL5_POR_包裝對照表 (Mapping Table)'!E:E,'FL5_POR_包裝對照表 (Mapping Table)'!C:C,"",0,1))</f>
        <v>Press- N (MKG)</v>
      </c>
      <c r="H104" s="973" t="str">
        <f t="array" ref="H104">if(isblank(E104),"",xlookup(E104,'FL5_POR_包裝對照表 (Mapping Table)'!E:E,'FL5_POR_包裝對照表 (Mapping Table)'!D:D,"",0,1))</f>
        <v>Retail Pack</v>
      </c>
      <c r="I104" s="974" t="str">
        <f t="shared" si="2"/>
        <v>Close</v>
      </c>
      <c r="J104" s="975" t="str">
        <f t="array" ref="J104">if(isblank(E104),"",xlookup(E104,'FL5_POR_包裝對照表 (Mapping Table)'!E:E,'FL5_POR_包裝對照表 (Mapping Table)'!H:H,"",0,1))</f>
        <v>JPN</v>
      </c>
      <c r="K104" s="972" t="str">
        <f t="array" ref="K104">if(isblank(E104),"",xlookup(E104,'FL5_POR_包裝對照表 (Mapping Table)'!E:E,'FL5_POR_包裝對照表 (Mapping Table)'!M:M,"",0,1))</f>
        <v>JPN</v>
      </c>
      <c r="L104" s="972" t="str">
        <f t="array" ref="L104">if(isblank(E104),"",xlookup(E104,'FL5_POR_包裝對照表 (Mapping Table)'!E:E,'FL5_POR_包裝對照表 (Mapping Table)'!AN:AN,"",0,1))</f>
        <v>G950-15935-11</v>
      </c>
      <c r="M104" s="972" t="str">
        <f t="array" ref="M104">if(isblank(E104),"",xlookup(E104,'FL5_POR_包裝對照表 (Mapping Table)'!E:E,'FL5_POR_包裝對照表 (Mapping Table)'!J:J,"",0,1))</f>
        <v>Frost</v>
      </c>
      <c r="N104" s="972" t="str">
        <f t="array" ref="N104">if(isblank(E104),"",xlookup(E104,'FL5_POR_包裝對照表 (Mapping Table)'!E:E,'FL5_POR_包裝對照表 (Mapping Table)'!K:K,"",0,1))</f>
        <v>PPL</v>
      </c>
      <c r="O104" s="976">
        <f t="array" ref="O104">xlookup(E104,'Ike 提供_20250505'!D:D,'Ike 提供_20250505'!N:N,"",0,1)</f>
        <v>441.69</v>
      </c>
      <c r="P104" s="976">
        <f t="array" ref="P104">xlookup(E104,'Ike 提供_20250505'!D:D,'Ike 提供_20250505'!O:O,"",0,1)</f>
        <v>422.99</v>
      </c>
      <c r="Q104" s="977">
        <f t="array" ref="Q104">xlookup(E104,'FL5_POR_包裝對照表 (Mapping Table)'!E:E,'FL5_POR_包裝對照表 (Mapping Table)'!BI:BI,"",0,1)</f>
        <v>45782</v>
      </c>
      <c r="R104" s="977">
        <v>45779.0</v>
      </c>
      <c r="S104" s="977">
        <f t="shared" si="3"/>
        <v>45785</v>
      </c>
      <c r="T104" s="977">
        <v>45782.0</v>
      </c>
      <c r="U104" s="978"/>
      <c r="V104" s="935"/>
      <c r="W104" s="978" t="str">
        <f t="array" ref="W104">if(isblank(E104),"",xlookup(E104,'FL5_POR_包裝對照表 (Mapping Table)'!E:E,'FL5_POR_包裝對照表 (Mapping Table)'!BM:BM,"",0,1))</f>
        <v>No demand</v>
      </c>
      <c r="X104" s="935"/>
      <c r="Y104" s="935"/>
      <c r="Z104" s="935"/>
      <c r="AA104" s="935"/>
    </row>
    <row r="105" ht="15.75" customHeight="1">
      <c r="A105" s="935"/>
      <c r="B105" s="970">
        <v>98.0</v>
      </c>
      <c r="C105" s="970" t="str">
        <f>if(isblank(E105),"",'FL5_POR_包裝對照表 (Mapping Table)'!$E$4)</f>
        <v>GFL (FL5)</v>
      </c>
      <c r="D105" s="970" t="str">
        <f t="array" ref="D105">IF(ISBLANK(E105),"",xlookup(E105,'FL5_POR_包裝對照表 (Mapping Table)'!E:E,'FL5_POR_包裝對照表 (Mapping Table)'!AZ:AZ,"",0,1))</f>
        <v>MP</v>
      </c>
      <c r="E105" s="971" t="s">
        <v>961</v>
      </c>
      <c r="F105" s="167" t="str">
        <f t="array" ref="F105">if(isblank(E105),"",xlookup(E105,'FL5_POR_包裝對照表 (Mapping Table)'!E:E,'FL5_POR_包裝對照表 (Mapping Table)'!F:F,"",0,1))</f>
        <v>JP</v>
      </c>
      <c r="G105" s="972" t="str">
        <f t="array" ref="G105">if(isblank(E105),"",xlookup(E105,'FL5_POR_包裝對照表 (Mapping Table)'!E:E,'FL5_POR_包裝對照表 (Mapping Table)'!C:C,"",0,1))</f>
        <v>Press- N (MKG)</v>
      </c>
      <c r="H105" s="973" t="str">
        <f t="array" ref="H105">if(isblank(E105),"",xlookup(E105,'FL5_POR_包裝對照表 (Mapping Table)'!E:E,'FL5_POR_包裝對照表 (Mapping Table)'!D:D,"",0,1))</f>
        <v>Retail Pack</v>
      </c>
      <c r="I105" s="974" t="str">
        <f t="shared" si="2"/>
        <v>Close</v>
      </c>
      <c r="J105" s="975" t="str">
        <f t="array" ref="J105">if(isblank(E105),"",xlookup(E105,'FL5_POR_包裝對照表 (Mapping Table)'!E:E,'FL5_POR_包裝對照表 (Mapping Table)'!H:H,"",0,1))</f>
        <v>JPN</v>
      </c>
      <c r="K105" s="972" t="str">
        <f t="array" ref="K105">if(isblank(E105),"",xlookup(E105,'FL5_POR_包裝對照表 (Mapping Table)'!E:E,'FL5_POR_包裝對照表 (Mapping Table)'!M:M,"",0,1))</f>
        <v>JPN</v>
      </c>
      <c r="L105" s="972" t="str">
        <f t="array" ref="L105">if(isblank(E105),"",xlookup(E105,'FL5_POR_包裝對照表 (Mapping Table)'!E:E,'FL5_POR_包裝對照表 (Mapping Table)'!AN:AN,"",0,1))</f>
        <v>G950-15935-12</v>
      </c>
      <c r="M105" s="972" t="str">
        <f t="array" ref="M105">if(isblank(E105),"",xlookup(E105,'FL5_POR_包裝對照表 (Mapping Table)'!E:E,'FL5_POR_包裝對照表 (Mapping Table)'!J:J,"",0,1))</f>
        <v>Lemongrass</v>
      </c>
      <c r="N105" s="972" t="str">
        <f t="array" ref="N105">if(isblank(E105),"",xlookup(E105,'FL5_POR_包裝對照表 (Mapping Table)'!E:E,'FL5_POR_包裝對照表 (Mapping Table)'!K:K,"",0,1))</f>
        <v>YEL</v>
      </c>
      <c r="O105" s="976">
        <f t="array" ref="O105">xlookup(E105,'Ike 提供_20250505'!D:D,'Ike 提供_20250505'!N:N,"",0,1)</f>
        <v>445.62</v>
      </c>
      <c r="P105" s="976">
        <f t="array" ref="P105">xlookup(E105,'Ike 提供_20250505'!D:D,'Ike 提供_20250505'!O:O,"",0,1)</f>
        <v>423.09</v>
      </c>
      <c r="Q105" s="977">
        <f t="array" ref="Q105">xlookup(E105,'FL5_POR_包裝對照表 (Mapping Table)'!E:E,'FL5_POR_包裝對照表 (Mapping Table)'!BI:BI,"",0,1)</f>
        <v>45782</v>
      </c>
      <c r="R105" s="977">
        <v>45779.0</v>
      </c>
      <c r="S105" s="977">
        <f t="shared" si="3"/>
        <v>45785</v>
      </c>
      <c r="T105" s="977">
        <v>45782.0</v>
      </c>
      <c r="U105" s="978"/>
      <c r="V105" s="935"/>
      <c r="W105" s="978" t="str">
        <f t="array" ref="W105">if(isblank(E105),"",xlookup(E105,'FL5_POR_包裝對照表 (Mapping Table)'!E:E,'FL5_POR_包裝對照表 (Mapping Table)'!BM:BM,"",0,1))</f>
        <v>No demand</v>
      </c>
      <c r="X105" s="935"/>
      <c r="Y105" s="935"/>
      <c r="Z105" s="935"/>
      <c r="AA105" s="935"/>
    </row>
    <row r="106" ht="15.75" customHeight="1">
      <c r="A106" s="935"/>
      <c r="B106" s="970">
        <v>99.0</v>
      </c>
      <c r="C106" s="970" t="str">
        <f>if(isblank(E106),"",'FL5_POR_包裝對照表 (Mapping Table)'!$E$4)</f>
        <v>GFL (FL5)</v>
      </c>
      <c r="D106" s="970" t="str">
        <f t="array" ref="D106">IF(ISBLANK(E106),"",xlookup(E106,'FL5_POR_包裝對照表 (Mapping Table)'!E:E,'FL5_POR_包裝對照表 (Mapping Table)'!AZ:AZ,"",0,1))</f>
        <v>MP</v>
      </c>
      <c r="E106" s="971" t="s">
        <v>966</v>
      </c>
      <c r="F106" s="167" t="str">
        <f t="array" ref="F106">if(isblank(E106),"",xlookup(E106,'FL5_POR_包裝對照表 (Mapping Table)'!E:E,'FL5_POR_包裝對照表 (Mapping Table)'!F:F,"",0,1))</f>
        <v>JP</v>
      </c>
      <c r="G106" s="972" t="str">
        <f t="array" ref="G106">if(isblank(E106),"",xlookup(E106,'FL5_POR_包裝對照表 (Mapping Table)'!E:E,'FL5_POR_包裝對照表 (Mapping Table)'!C:C,"",0,1))</f>
        <v>Press- N (MKG)</v>
      </c>
      <c r="H106" s="973" t="str">
        <f t="array" ref="H106">if(isblank(E106),"",xlookup(E106,'FL5_POR_包裝對照表 (Mapping Table)'!E:E,'FL5_POR_包裝對照表 (Mapping Table)'!D:D,"",0,1))</f>
        <v>Retail Pack</v>
      </c>
      <c r="I106" s="974" t="str">
        <f t="shared" si="2"/>
        <v>Close</v>
      </c>
      <c r="J106" s="975" t="str">
        <f t="array" ref="J106">if(isblank(E106),"",xlookup(E106,'FL5_POR_包裝對照表 (Mapping Table)'!E:E,'FL5_POR_包裝對照表 (Mapping Table)'!H:H,"",0,1))</f>
        <v>JPN</v>
      </c>
      <c r="K106" s="972" t="str">
        <f t="array" ref="K106">if(isblank(E106),"",xlookup(E106,'FL5_POR_包裝對照表 (Mapping Table)'!E:E,'FL5_POR_包裝對照表 (Mapping Table)'!M:M,"",0,1))</f>
        <v>JPN</v>
      </c>
      <c r="L106" s="972" t="str">
        <f t="array" ref="L106">if(isblank(E106),"",xlookup(E106,'FL5_POR_包裝對照表 (Mapping Table)'!E:E,'FL5_POR_包裝對照表 (Mapping Table)'!AN:AN,"",0,1))</f>
        <v>G950-15935-13</v>
      </c>
      <c r="M106" s="972" t="str">
        <f t="array" ref="M106">if(isblank(E106),"",xlookup(E106,'FL5_POR_包裝對照表 (Mapping Table)'!E:E,'FL5_POR_包裝對照表 (Mapping Table)'!J:J,"",0,1))</f>
        <v>Indigo</v>
      </c>
      <c r="N106" s="972" t="str">
        <f t="array" ref="N106">if(isblank(E106),"",xlookup(E106,'FL5_POR_包裝對照表 (Mapping Table)'!E:E,'FL5_POR_包裝對照表 (Mapping Table)'!K:K,"",0,1))</f>
        <v>BUE</v>
      </c>
      <c r="O106" s="976">
        <f t="array" ref="O106">xlookup(E106,'Ike 提供_20250505'!D:D,'Ike 提供_20250505'!N:N,"",0,1)</f>
        <v>441.46</v>
      </c>
      <c r="P106" s="976">
        <f t="array" ref="P106">xlookup(E106,'Ike 提供_20250505'!D:D,'Ike 提供_20250505'!O:O,"",0,1)</f>
        <v>423.09</v>
      </c>
      <c r="Q106" s="977">
        <f t="array" ref="Q106">xlookup(E106,'FL5_POR_包裝對照表 (Mapping Table)'!E:E,'FL5_POR_包裝對照表 (Mapping Table)'!BI:BI,"",0,1)</f>
        <v>45782</v>
      </c>
      <c r="R106" s="977">
        <v>45779.0</v>
      </c>
      <c r="S106" s="977">
        <f t="shared" si="3"/>
        <v>45785</v>
      </c>
      <c r="T106" s="977">
        <v>45782.0</v>
      </c>
      <c r="U106" s="978"/>
      <c r="V106" s="935"/>
      <c r="W106" s="978" t="str">
        <f t="array" ref="W106">if(isblank(E106),"",xlookup(E106,'FL5_POR_包裝對照表 (Mapping Table)'!E:E,'FL5_POR_包裝對照表 (Mapping Table)'!BM:BM,"",0,1))</f>
        <v>No demand</v>
      </c>
      <c r="X106" s="935"/>
      <c r="Y106" s="935"/>
      <c r="Z106" s="935"/>
      <c r="AA106" s="935"/>
    </row>
    <row r="107" ht="15.75" customHeight="1">
      <c r="A107" s="935"/>
      <c r="B107" s="970">
        <v>100.0</v>
      </c>
      <c r="C107" s="970" t="str">
        <f>if(isblank(E107),"",'FL5_POR_包裝對照表 (Mapping Table)'!$E$4)</f>
        <v>GFL (FL5)</v>
      </c>
      <c r="D107" s="970" t="str">
        <f t="array" ref="D107">IF(ISBLANK(E107),"",xlookup(E107,'FL5_POR_包裝對照表 (Mapping Table)'!E:E,'FL5_POR_包裝對照表 (Mapping Table)'!AZ:AZ,"",0,1))</f>
        <v>MP</v>
      </c>
      <c r="E107" s="971" t="s">
        <v>971</v>
      </c>
      <c r="F107" s="167" t="str">
        <f t="array" ref="F107">if(isblank(E107),"",xlookup(E107,'FL5_POR_包裝對照表 (Mapping Table)'!E:E,'FL5_POR_包裝對照表 (Mapping Table)'!F:F,"",0,1))</f>
        <v>CA/TW/SG/MY/AU/MX</v>
      </c>
      <c r="G107" s="972" t="str">
        <f t="array" ref="G107">if(isblank(E107),"",xlookup(E107,'FL5_POR_包裝對照表 (Mapping Table)'!E:E,'FL5_POR_包裝對照表 (Mapping Table)'!C:C,"",0,1))</f>
        <v>Press- N (MKG)</v>
      </c>
      <c r="H107" s="973" t="str">
        <f t="array" ref="H107">if(isblank(E107),"",xlookup(E107,'FL5_POR_包裝對照表 (Mapping Table)'!E:E,'FL5_POR_包裝對照表 (Mapping Table)'!D:D,"",0,1))</f>
        <v>Retail Pack</v>
      </c>
      <c r="I107" s="974" t="str">
        <f t="shared" si="2"/>
        <v>Close</v>
      </c>
      <c r="J107" s="975" t="str">
        <f t="array" ref="J107">if(isblank(E107),"",xlookup(E107,'FL5_POR_包裝對照表 (Mapping Table)'!E:E,'FL5_POR_包裝對照表 (Mapping Table)'!H:H,"",0,1))</f>
        <v>Sub6</v>
      </c>
      <c r="K107" s="972" t="str">
        <f t="array" ref="K107">if(isblank(E107),"",xlookup(E107,'FL5_POR_包裝對照表 (Mapping Table)'!E:E,'FL5_POR_包裝對照表 (Mapping Table)'!M:M,"",0,1))</f>
        <v>ROW</v>
      </c>
      <c r="L107" s="972" t="str">
        <f t="array" ref="L107">if(isblank(E107),"",xlookup(E107,'FL5_POR_包裝對照表 (Mapping Table)'!E:E,'FL5_POR_包裝對照表 (Mapping Table)'!AN:AN,"",0,1))</f>
        <v>G950-15935-10</v>
      </c>
      <c r="M107" s="972" t="str">
        <f t="array" ref="M107">if(isblank(E107),"",xlookup(E107,'FL5_POR_包裝對照表 (Mapping Table)'!E:E,'FL5_POR_包裝對照表 (Mapping Table)'!J:J,"",0,1))</f>
        <v>Obsidian</v>
      </c>
      <c r="N107" s="972" t="str">
        <f t="array" ref="N107">if(isblank(E107),"",xlookup(E107,'FL5_POR_包裝對照表 (Mapping Table)'!E:E,'FL5_POR_包裝對照表 (Mapping Table)'!K:K,"",0,1))</f>
        <v>BLK</v>
      </c>
      <c r="O107" s="976">
        <f t="array" ref="O107">xlookup(E107,'Ike 提供_20250505'!D:D,'Ike 提供_20250505'!N:N,"",0,1)</f>
        <v>427.23</v>
      </c>
      <c r="P107" s="976">
        <f t="array" ref="P107">xlookup(E107,'Ike 提供_20250505'!D:D,'Ike 提供_20250505'!O:O,"",0,1)</f>
        <v>422.71</v>
      </c>
      <c r="Q107" s="977">
        <f t="array" ref="Q107">xlookup(E107,'FL5_POR_包裝對照表 (Mapping Table)'!E:E,'FL5_POR_包裝對照表 (Mapping Table)'!BI:BI,"",0,1)</f>
        <v>45782</v>
      </c>
      <c r="R107" s="977">
        <v>45779.0</v>
      </c>
      <c r="S107" s="977">
        <f t="shared" si="3"/>
        <v>45785</v>
      </c>
      <c r="T107" s="977">
        <v>45782.0</v>
      </c>
      <c r="U107" s="978"/>
      <c r="V107" s="935"/>
      <c r="W107" s="978" t="str">
        <f t="array" ref="W107">if(isblank(E107),"",xlookup(E107,'FL5_POR_包裝對照表 (Mapping Table)'!E:E,'FL5_POR_包裝對照表 (Mapping Table)'!BM:BM,"",0,1))</f>
        <v>No demand</v>
      </c>
      <c r="X107" s="935"/>
      <c r="Y107" s="935"/>
      <c r="Z107" s="935"/>
      <c r="AA107" s="935"/>
    </row>
    <row r="108" ht="15.75" customHeight="1">
      <c r="A108" s="935"/>
      <c r="B108" s="970">
        <v>101.0</v>
      </c>
      <c r="C108" s="970" t="str">
        <f>if(isblank(E108),"",'FL5_POR_包裝對照表 (Mapping Table)'!$E$4)</f>
        <v>GFL (FL5)</v>
      </c>
      <c r="D108" s="970" t="str">
        <f t="array" ref="D108">IF(ISBLANK(E108),"",xlookup(E108,'FL5_POR_包裝對照表 (Mapping Table)'!E:E,'FL5_POR_包裝對照表 (Mapping Table)'!AZ:AZ,"",0,1))</f>
        <v>MP</v>
      </c>
      <c r="E108" s="971" t="s">
        <v>976</v>
      </c>
      <c r="F108" s="167" t="str">
        <f t="array" ref="F108">if(isblank(E108),"",xlookup(E108,'FL5_POR_包裝對照表 (Mapping Table)'!E:E,'FL5_POR_包裝對照表 (Mapping Table)'!F:F,"",0,1))</f>
        <v>CA/TW/SG/MY/AU/MX</v>
      </c>
      <c r="G108" s="972" t="str">
        <f t="array" ref="G108">if(isblank(E108),"",xlookup(E108,'FL5_POR_包裝對照表 (Mapping Table)'!E:E,'FL5_POR_包裝對照表 (Mapping Table)'!C:C,"",0,1))</f>
        <v>Press- N (MKG)</v>
      </c>
      <c r="H108" s="973" t="str">
        <f t="array" ref="H108">if(isblank(E108),"",xlookup(E108,'FL5_POR_包裝對照表 (Mapping Table)'!E:E,'FL5_POR_包裝對照表 (Mapping Table)'!D:D,"",0,1))</f>
        <v>Retail Pack</v>
      </c>
      <c r="I108" s="974" t="str">
        <f t="shared" si="2"/>
        <v>Close</v>
      </c>
      <c r="J108" s="975" t="str">
        <f t="array" ref="J108">if(isblank(E108),"",xlookup(E108,'FL5_POR_包裝對照表 (Mapping Table)'!E:E,'FL5_POR_包裝對照表 (Mapping Table)'!H:H,"",0,1))</f>
        <v>Sub6</v>
      </c>
      <c r="K108" s="972" t="str">
        <f t="array" ref="K108">if(isblank(E108),"",xlookup(E108,'FL5_POR_包裝對照表 (Mapping Table)'!E:E,'FL5_POR_包裝對照表 (Mapping Table)'!M:M,"",0,1))</f>
        <v>ROW</v>
      </c>
      <c r="L108" s="972" t="str">
        <f t="array" ref="L108">if(isblank(E108),"",xlookup(E108,'FL5_POR_包裝對照表 (Mapping Table)'!E:E,'FL5_POR_包裝對照表 (Mapping Table)'!AN:AN,"",0,1))</f>
        <v>G950-15935-11</v>
      </c>
      <c r="M108" s="972" t="str">
        <f t="array" ref="M108">if(isblank(E108),"",xlookup(E108,'FL5_POR_包裝對照表 (Mapping Table)'!E:E,'FL5_POR_包裝對照表 (Mapping Table)'!J:J,"",0,1))</f>
        <v>Frost</v>
      </c>
      <c r="N108" s="972" t="str">
        <f t="array" ref="N108">if(isblank(E108),"",xlookup(E108,'FL5_POR_包裝對照表 (Mapping Table)'!E:E,'FL5_POR_包裝對照表 (Mapping Table)'!K:K,"",0,1))</f>
        <v>PPL</v>
      </c>
      <c r="O108" s="976">
        <f t="array" ref="O108">xlookup(E108,'Ike 提供_20250505'!D:D,'Ike 提供_20250505'!N:N,"",0,1)</f>
        <v>441.37</v>
      </c>
      <c r="P108" s="976">
        <f t="array" ref="P108">xlookup(E108,'Ike 提供_20250505'!D:D,'Ike 提供_20250505'!O:O,"",0,1)</f>
        <v>423.01</v>
      </c>
      <c r="Q108" s="977">
        <f t="array" ref="Q108">xlookup(E108,'FL5_POR_包裝對照表 (Mapping Table)'!E:E,'FL5_POR_包裝對照表 (Mapping Table)'!BI:BI,"",0,1)</f>
        <v>45782</v>
      </c>
      <c r="R108" s="977">
        <v>45779.0</v>
      </c>
      <c r="S108" s="977">
        <f t="shared" si="3"/>
        <v>45785</v>
      </c>
      <c r="T108" s="977">
        <v>45782.0</v>
      </c>
      <c r="U108" s="978"/>
      <c r="V108" s="935"/>
      <c r="W108" s="978" t="str">
        <f t="array" ref="W108">if(isblank(E108),"",xlookup(E108,'FL5_POR_包裝對照表 (Mapping Table)'!E:E,'FL5_POR_包裝對照表 (Mapping Table)'!BM:BM,"",0,1))</f>
        <v>No demand</v>
      </c>
      <c r="X108" s="935"/>
      <c r="Y108" s="935"/>
      <c r="Z108" s="935"/>
      <c r="AA108" s="935"/>
    </row>
    <row r="109" ht="15.75" customHeight="1">
      <c r="A109" s="935"/>
      <c r="B109" s="970">
        <v>102.0</v>
      </c>
      <c r="C109" s="970" t="str">
        <f>if(isblank(E109),"",'FL5_POR_包裝對照表 (Mapping Table)'!$E$4)</f>
        <v>GFL (FL5)</v>
      </c>
      <c r="D109" s="970" t="str">
        <f t="array" ref="D109">IF(ISBLANK(E109),"",xlookup(E109,'FL5_POR_包裝對照表 (Mapping Table)'!E:E,'FL5_POR_包裝對照表 (Mapping Table)'!AZ:AZ,"",0,1))</f>
        <v>MP</v>
      </c>
      <c r="E109" s="971" t="s">
        <v>981</v>
      </c>
      <c r="F109" s="167" t="str">
        <f t="array" ref="F109">if(isblank(E109),"",xlookup(E109,'FL5_POR_包裝對照表 (Mapping Table)'!E:E,'FL5_POR_包裝對照表 (Mapping Table)'!F:F,"",0,1))</f>
        <v>CA/TW/SG/MY/AU/MX</v>
      </c>
      <c r="G109" s="972" t="str">
        <f t="array" ref="G109">if(isblank(E109),"",xlookup(E109,'FL5_POR_包裝對照表 (Mapping Table)'!E:E,'FL5_POR_包裝對照表 (Mapping Table)'!C:C,"",0,1))</f>
        <v>Press- N (MKG)</v>
      </c>
      <c r="H109" s="973" t="str">
        <f t="array" ref="H109">if(isblank(E109),"",xlookup(E109,'FL5_POR_包裝對照表 (Mapping Table)'!E:E,'FL5_POR_包裝對照表 (Mapping Table)'!D:D,"",0,1))</f>
        <v>Retail Pack</v>
      </c>
      <c r="I109" s="974" t="str">
        <f t="shared" si="2"/>
        <v>Close</v>
      </c>
      <c r="J109" s="975" t="str">
        <f t="array" ref="J109">if(isblank(E109),"",xlookup(E109,'FL5_POR_包裝對照表 (Mapping Table)'!E:E,'FL5_POR_包裝對照表 (Mapping Table)'!H:H,"",0,1))</f>
        <v>Sub6</v>
      </c>
      <c r="K109" s="972" t="str">
        <f t="array" ref="K109">if(isblank(E109),"",xlookup(E109,'FL5_POR_包裝對照表 (Mapping Table)'!E:E,'FL5_POR_包裝對照表 (Mapping Table)'!M:M,"",0,1))</f>
        <v>ROW</v>
      </c>
      <c r="L109" s="972" t="str">
        <f t="array" ref="L109">if(isblank(E109),"",xlookup(E109,'FL5_POR_包裝對照表 (Mapping Table)'!E:E,'FL5_POR_包裝對照表 (Mapping Table)'!AN:AN,"",0,1))</f>
        <v>G950-15935-12</v>
      </c>
      <c r="M109" s="972" t="str">
        <f t="array" ref="M109">if(isblank(E109),"",xlookup(E109,'FL5_POR_包裝對照表 (Mapping Table)'!E:E,'FL5_POR_包裝對照表 (Mapping Table)'!J:J,"",0,1))</f>
        <v>Lemongrass</v>
      </c>
      <c r="N109" s="972" t="str">
        <f t="array" ref="N109">if(isblank(E109),"",xlookup(E109,'FL5_POR_包裝對照表 (Mapping Table)'!E:E,'FL5_POR_包裝對照表 (Mapping Table)'!K:K,"",0,1))</f>
        <v>YEL</v>
      </c>
      <c r="O109" s="976">
        <f t="array" ref="O109">xlookup(E109,'Ike 提供_20250505'!D:D,'Ike 提供_20250505'!N:N,"",0,1)</f>
        <v>445.06</v>
      </c>
      <c r="P109" s="976">
        <f t="array" ref="P109">xlookup(E109,'Ike 提供_20250505'!D:D,'Ike 提供_20250505'!O:O,"",0,1)</f>
        <v>423.11</v>
      </c>
      <c r="Q109" s="977">
        <f t="array" ref="Q109">xlookup(E109,'FL5_POR_包裝對照表 (Mapping Table)'!E:E,'FL5_POR_包裝對照表 (Mapping Table)'!BI:BI,"",0,1)</f>
        <v>45782</v>
      </c>
      <c r="R109" s="977">
        <v>45779.0</v>
      </c>
      <c r="S109" s="977">
        <f t="shared" si="3"/>
        <v>45785</v>
      </c>
      <c r="T109" s="977">
        <v>45782.0</v>
      </c>
      <c r="U109" s="978"/>
      <c r="V109" s="935"/>
      <c r="W109" s="978" t="str">
        <f t="array" ref="W109">if(isblank(E109),"",xlookup(E109,'FL5_POR_包裝對照表 (Mapping Table)'!E:E,'FL5_POR_包裝對照表 (Mapping Table)'!BM:BM,"",0,1))</f>
        <v>No demand</v>
      </c>
      <c r="X109" s="935"/>
      <c r="Y109" s="935"/>
      <c r="Z109" s="935"/>
      <c r="AA109" s="935"/>
    </row>
    <row r="110" ht="15.75" customHeight="1">
      <c r="A110" s="935"/>
      <c r="B110" s="970">
        <v>103.0</v>
      </c>
      <c r="C110" s="970" t="str">
        <f>if(isblank(E110),"",'FL5_POR_包裝對照表 (Mapping Table)'!$E$4)</f>
        <v>GFL (FL5)</v>
      </c>
      <c r="D110" s="970" t="str">
        <f t="array" ref="D110">IF(ISBLANK(E110),"",xlookup(E110,'FL5_POR_包裝對照表 (Mapping Table)'!E:E,'FL5_POR_包裝對照表 (Mapping Table)'!AZ:AZ,"",0,1))</f>
        <v>MP</v>
      </c>
      <c r="E110" s="971" t="s">
        <v>986</v>
      </c>
      <c r="F110" s="167" t="str">
        <f t="array" ref="F110">if(isblank(E110),"",xlookup(E110,'FL5_POR_包裝對照表 (Mapping Table)'!E:E,'FL5_POR_包裝對照表 (Mapping Table)'!F:F,"",0,1))</f>
        <v>CA/TW/SG/MY/AU/MX</v>
      </c>
      <c r="G110" s="972" t="str">
        <f t="array" ref="G110">if(isblank(E110),"",xlookup(E110,'FL5_POR_包裝對照表 (Mapping Table)'!E:E,'FL5_POR_包裝對照表 (Mapping Table)'!C:C,"",0,1))</f>
        <v>Press- N (MKG)</v>
      </c>
      <c r="H110" s="973" t="str">
        <f t="array" ref="H110">if(isblank(E110),"",xlookup(E110,'FL5_POR_包裝對照表 (Mapping Table)'!E:E,'FL5_POR_包裝對照表 (Mapping Table)'!D:D,"",0,1))</f>
        <v>Retail Pack</v>
      </c>
      <c r="I110" s="974" t="str">
        <f t="shared" si="2"/>
        <v>Close</v>
      </c>
      <c r="J110" s="975" t="str">
        <f t="array" ref="J110">if(isblank(E110),"",xlookup(E110,'FL5_POR_包裝對照表 (Mapping Table)'!E:E,'FL5_POR_包裝對照表 (Mapping Table)'!H:H,"",0,1))</f>
        <v>Sub6</v>
      </c>
      <c r="K110" s="972" t="str">
        <f t="array" ref="K110">if(isblank(E110),"",xlookup(E110,'FL5_POR_包裝對照表 (Mapping Table)'!E:E,'FL5_POR_包裝對照表 (Mapping Table)'!M:M,"",0,1))</f>
        <v>ROW</v>
      </c>
      <c r="L110" s="972" t="str">
        <f t="array" ref="L110">if(isblank(E110),"",xlookup(E110,'FL5_POR_包裝對照表 (Mapping Table)'!E:E,'FL5_POR_包裝對照表 (Mapping Table)'!AN:AN,"",0,1))</f>
        <v>G950-15935-13</v>
      </c>
      <c r="M110" s="972" t="str">
        <f t="array" ref="M110">if(isblank(E110),"",xlookup(E110,'FL5_POR_包裝對照表 (Mapping Table)'!E:E,'FL5_POR_包裝對照表 (Mapping Table)'!J:J,"",0,1))</f>
        <v>Indigo</v>
      </c>
      <c r="N110" s="972" t="str">
        <f t="array" ref="N110">if(isblank(E110),"",xlookup(E110,'FL5_POR_包裝對照表 (Mapping Table)'!E:E,'FL5_POR_包裝對照表 (Mapping Table)'!K:K,"",0,1))</f>
        <v>BUE</v>
      </c>
      <c r="O110" s="976">
        <f t="array" ref="O110">xlookup(E110,'Ike 提供_20250505'!D:D,'Ike 提供_20250505'!N:N,"",0,1)</f>
        <v>441.14</v>
      </c>
      <c r="P110" s="976">
        <f t="array" ref="P110">xlookup(E110,'Ike 提供_20250505'!D:D,'Ike 提供_20250505'!O:O,"",0,1)</f>
        <v>423.11</v>
      </c>
      <c r="Q110" s="977">
        <f t="array" ref="Q110">xlookup(E110,'FL5_POR_包裝對照表 (Mapping Table)'!E:E,'FL5_POR_包裝對照表 (Mapping Table)'!BI:BI,"",0,1)</f>
        <v>45782</v>
      </c>
      <c r="R110" s="977">
        <v>45779.0</v>
      </c>
      <c r="S110" s="977">
        <f t="shared" si="3"/>
        <v>45785</v>
      </c>
      <c r="T110" s="977">
        <v>45782.0</v>
      </c>
      <c r="U110" s="978"/>
      <c r="V110" s="935"/>
      <c r="W110" s="978" t="str">
        <f t="array" ref="W110">if(isblank(E110),"",xlookup(E110,'FL5_POR_包裝對照表 (Mapping Table)'!E:E,'FL5_POR_包裝對照表 (Mapping Table)'!BM:BM,"",0,1))</f>
        <v>No demand</v>
      </c>
      <c r="X110" s="935"/>
      <c r="Y110" s="935"/>
      <c r="Z110" s="935"/>
      <c r="AA110" s="935"/>
    </row>
    <row r="111" ht="15.75" customHeight="1">
      <c r="A111" s="935"/>
      <c r="B111" s="970">
        <v>104.0</v>
      </c>
      <c r="C111" s="970" t="str">
        <f>if(isblank(E111),"",'FL5_POR_包裝對照表 (Mapping Table)'!$E$4)</f>
        <v>GFL (FL5)</v>
      </c>
      <c r="D111" s="970" t="str">
        <f t="array" ref="D111">IF(ISBLANK(E111),"",xlookup(E111,'FL5_POR_包裝對照表 (Mapping Table)'!E:E,'FL5_POR_包裝對照表 (Mapping Table)'!AZ:AZ,"",0,1))</f>
        <v>MP</v>
      </c>
      <c r="E111" s="971" t="s">
        <v>991</v>
      </c>
      <c r="F111" s="167" t="str">
        <f t="array" ref="F111">if(isblank(E111),"",xlookup(E111,'FL5_POR_包裝對照表 (Mapping Table)'!E:E,'FL5_POR_包裝對照表 (Mapping Table)'!F:F,"",0,1))</f>
        <v>GB, DE, IT, ES, IE, FR, NL, BE, AT, CH, PT, PL, CZ, HU, RO, SI, LV, LT, EE, FI, NO, SE, DK, SK</v>
      </c>
      <c r="G111" s="972" t="str">
        <f t="array" ref="G111">if(isblank(E111),"",xlookup(E111,'FL5_POR_包裝對照表 (Mapping Table)'!E:E,'FL5_POR_包裝對照表 (Mapping Table)'!C:C,"",0,1))</f>
        <v>Press- N (MKG)</v>
      </c>
      <c r="H111" s="973" t="str">
        <f t="array" ref="H111">if(isblank(E111),"",xlookup(E111,'FL5_POR_包裝對照表 (Mapping Table)'!E:E,'FL5_POR_包裝對照表 (Mapping Table)'!D:D,"",0,1))</f>
        <v>Retail Pack</v>
      </c>
      <c r="I111" s="974" t="str">
        <f t="shared" si="2"/>
        <v>Close</v>
      </c>
      <c r="J111" s="975" t="str">
        <f t="array" ref="J111">if(isblank(E111),"",xlookup(E111,'FL5_POR_包裝對照表 (Mapping Table)'!E:E,'FL5_POR_包裝對照表 (Mapping Table)'!H:H,"",0,1))</f>
        <v>Sub6</v>
      </c>
      <c r="K111" s="972" t="str">
        <f t="array" ref="K111">if(isblank(E111),"",xlookup(E111,'FL5_POR_包裝對照表 (Mapping Table)'!E:E,'FL5_POR_包裝對照表 (Mapping Table)'!M:M,"",0,1))</f>
        <v>ROW</v>
      </c>
      <c r="L111" s="972" t="str">
        <f t="array" ref="L111">if(isblank(E111),"",xlookup(E111,'FL5_POR_包裝對照表 (Mapping Table)'!E:E,'FL5_POR_包裝對照表 (Mapping Table)'!AN:AN,"",0,1))</f>
        <v>G950-15935-10</v>
      </c>
      <c r="M111" s="972" t="str">
        <f t="array" ref="M111">if(isblank(E111),"",xlookup(E111,'FL5_POR_包裝對照表 (Mapping Table)'!E:E,'FL5_POR_包裝對照表 (Mapping Table)'!J:J,"",0,1))</f>
        <v>Obsidian</v>
      </c>
      <c r="N111" s="972" t="str">
        <f t="array" ref="N111">if(isblank(E111),"",xlookup(E111,'FL5_POR_包裝對照表 (Mapping Table)'!E:E,'FL5_POR_包裝對照表 (Mapping Table)'!K:K,"",0,1))</f>
        <v>BLK</v>
      </c>
      <c r="O111" s="976">
        <f t="array" ref="O111">xlookup(E111,'Ike 提供_20250505'!D:D,'Ike 提供_20250505'!N:N,"",0,1)</f>
        <v>430.2</v>
      </c>
      <c r="P111" s="976">
        <f t="array" ref="P111">xlookup(E111,'Ike 提供_20250505'!D:D,'Ike 提供_20250505'!O:O,"",0,1)</f>
        <v>423.22</v>
      </c>
      <c r="Q111" s="977">
        <f t="array" ref="Q111">xlookup(E111,'FL5_POR_包裝對照表 (Mapping Table)'!E:E,'FL5_POR_包裝對照表 (Mapping Table)'!BI:BI,"",0,1)</f>
        <v>45782</v>
      </c>
      <c r="R111" s="977">
        <v>45779.0</v>
      </c>
      <c r="S111" s="977">
        <f t="shared" si="3"/>
        <v>45785</v>
      </c>
      <c r="T111" s="977">
        <v>45782.0</v>
      </c>
      <c r="U111" s="978"/>
      <c r="V111" s="935"/>
      <c r="W111" s="978" t="str">
        <f t="array" ref="W111">if(isblank(E111),"",xlookup(E111,'FL5_POR_包裝對照表 (Mapping Table)'!E:E,'FL5_POR_包裝對照表 (Mapping Table)'!BM:BM,"",0,1))</f>
        <v>No demand</v>
      </c>
      <c r="X111" s="935"/>
      <c r="Y111" s="935"/>
      <c r="Z111" s="935"/>
      <c r="AA111" s="935"/>
    </row>
    <row r="112" ht="15.75" customHeight="1">
      <c r="A112" s="935"/>
      <c r="B112" s="970">
        <v>105.0</v>
      </c>
      <c r="C112" s="970" t="str">
        <f>if(isblank(E112),"",'FL5_POR_包裝對照表 (Mapping Table)'!$E$4)</f>
        <v>GFL (FL5)</v>
      </c>
      <c r="D112" s="970" t="str">
        <f t="array" ref="D112">IF(ISBLANK(E112),"",xlookup(E112,'FL5_POR_包裝對照表 (Mapping Table)'!E:E,'FL5_POR_包裝對照表 (Mapping Table)'!AZ:AZ,"",0,1))</f>
        <v>MP</v>
      </c>
      <c r="E112" s="971" t="s">
        <v>997</v>
      </c>
      <c r="F112" s="167" t="str">
        <f t="array" ref="F112">if(isblank(E112),"",xlookup(E112,'FL5_POR_包裝對照表 (Mapping Table)'!E:E,'FL5_POR_包裝對照表 (Mapping Table)'!F:F,"",0,1))</f>
        <v>GB, DE, IT, ES, IE, FR, NL, BE, AT, CH, PT, PL, CZ, HU, RO, SI, LV, LT, EE, FI, NO, SE, DK, SK</v>
      </c>
      <c r="G112" s="972" t="str">
        <f t="array" ref="G112">if(isblank(E112),"",xlookup(E112,'FL5_POR_包裝對照表 (Mapping Table)'!E:E,'FL5_POR_包裝對照表 (Mapping Table)'!C:C,"",0,1))</f>
        <v>Press- N (MKG)</v>
      </c>
      <c r="H112" s="973" t="str">
        <f t="array" ref="H112">if(isblank(E112),"",xlookup(E112,'FL5_POR_包裝對照表 (Mapping Table)'!E:E,'FL5_POR_包裝對照表 (Mapping Table)'!D:D,"",0,1))</f>
        <v>Retail Pack</v>
      </c>
      <c r="I112" s="974" t="str">
        <f t="shared" si="2"/>
        <v>Close</v>
      </c>
      <c r="J112" s="975" t="str">
        <f t="array" ref="J112">if(isblank(E112),"",xlookup(E112,'FL5_POR_包裝對照表 (Mapping Table)'!E:E,'FL5_POR_包裝對照表 (Mapping Table)'!H:H,"",0,1))</f>
        <v>Sub6</v>
      </c>
      <c r="K112" s="972" t="str">
        <f t="array" ref="K112">if(isblank(E112),"",xlookup(E112,'FL5_POR_包裝對照表 (Mapping Table)'!E:E,'FL5_POR_包裝對照表 (Mapping Table)'!M:M,"",0,1))</f>
        <v>ROW</v>
      </c>
      <c r="L112" s="972" t="str">
        <f t="array" ref="L112">if(isblank(E112),"",xlookup(E112,'FL5_POR_包裝對照表 (Mapping Table)'!E:E,'FL5_POR_包裝對照表 (Mapping Table)'!AN:AN,"",0,1))</f>
        <v>G950-15935-11</v>
      </c>
      <c r="M112" s="972" t="str">
        <f t="array" ref="M112">if(isblank(E112),"",xlookup(E112,'FL5_POR_包裝對照表 (Mapping Table)'!E:E,'FL5_POR_包裝對照表 (Mapping Table)'!J:J,"",0,1))</f>
        <v>Frost</v>
      </c>
      <c r="N112" s="972" t="str">
        <f t="array" ref="N112">if(isblank(E112),"",xlookup(E112,'FL5_POR_包裝對照表 (Mapping Table)'!E:E,'FL5_POR_包裝對照表 (Mapping Table)'!K:K,"",0,1))</f>
        <v>PPL</v>
      </c>
      <c r="O112" s="976">
        <f t="array" ref="O112">xlookup(E112,'Ike 提供_20250505'!D:D,'Ike 提供_20250505'!N:N,"",0,1)</f>
        <v>430.5</v>
      </c>
      <c r="P112" s="976">
        <f t="array" ref="P112">xlookup(E112,'Ike 提供_20250505'!D:D,'Ike 提供_20250505'!O:O,"",0,1)</f>
        <v>423.52</v>
      </c>
      <c r="Q112" s="977">
        <f t="array" ref="Q112">xlookup(E112,'FL5_POR_包裝對照表 (Mapping Table)'!E:E,'FL5_POR_包裝對照表 (Mapping Table)'!BI:BI,"",0,1)</f>
        <v>45782</v>
      </c>
      <c r="R112" s="977">
        <v>45779.0</v>
      </c>
      <c r="S112" s="977">
        <f t="shared" si="3"/>
        <v>45785</v>
      </c>
      <c r="T112" s="977">
        <v>45782.0</v>
      </c>
      <c r="U112" s="978"/>
      <c r="V112" s="935"/>
      <c r="W112" s="978" t="str">
        <f t="array" ref="W112">if(isblank(E112),"",xlookup(E112,'FL5_POR_包裝對照表 (Mapping Table)'!E:E,'FL5_POR_包裝對照表 (Mapping Table)'!BM:BM,"",0,1))</f>
        <v>No demand</v>
      </c>
      <c r="X112" s="935"/>
      <c r="Y112" s="935"/>
      <c r="Z112" s="935"/>
      <c r="AA112" s="935"/>
    </row>
    <row r="113" ht="15.75" customHeight="1">
      <c r="A113" s="935"/>
      <c r="B113" s="970">
        <v>106.0</v>
      </c>
      <c r="C113" s="970" t="str">
        <f>if(isblank(E113),"",'FL5_POR_包裝對照表 (Mapping Table)'!$E$4)</f>
        <v>GFL (FL5)</v>
      </c>
      <c r="D113" s="970" t="str">
        <f t="array" ref="D113">IF(ISBLANK(E113),"",xlookup(E113,'FL5_POR_包裝對照表 (Mapping Table)'!E:E,'FL5_POR_包裝對照表 (Mapping Table)'!AZ:AZ,"",0,1))</f>
        <v>MP</v>
      </c>
      <c r="E113" s="971" t="s">
        <v>1002</v>
      </c>
      <c r="F113" s="167" t="str">
        <f t="array" ref="F113">if(isblank(E113),"",xlookup(E113,'FL5_POR_包裝對照表 (Mapping Table)'!E:E,'FL5_POR_包裝對照表 (Mapping Table)'!F:F,"",0,1))</f>
        <v>GB, DE, IT, ES, IE, FR, NL, BE, AT, CH, PT, PL, CZ, HU, RO, SI, LV, LT, EE, FI, NO, SE, DK, SK</v>
      </c>
      <c r="G113" s="972" t="str">
        <f t="array" ref="G113">if(isblank(E113),"",xlookup(E113,'FL5_POR_包裝對照表 (Mapping Table)'!E:E,'FL5_POR_包裝對照表 (Mapping Table)'!C:C,"",0,1))</f>
        <v>Press- N (MKG)</v>
      </c>
      <c r="H113" s="973" t="str">
        <f t="array" ref="H113">if(isblank(E113),"",xlookup(E113,'FL5_POR_包裝對照表 (Mapping Table)'!E:E,'FL5_POR_包裝對照表 (Mapping Table)'!D:D,"",0,1))</f>
        <v>Retail Pack</v>
      </c>
      <c r="I113" s="974" t="str">
        <f t="shared" si="2"/>
        <v>Close</v>
      </c>
      <c r="J113" s="975" t="str">
        <f t="array" ref="J113">if(isblank(E113),"",xlookup(E113,'FL5_POR_包裝對照表 (Mapping Table)'!E:E,'FL5_POR_包裝對照表 (Mapping Table)'!H:H,"",0,1))</f>
        <v>Sub6</v>
      </c>
      <c r="K113" s="972" t="str">
        <f t="array" ref="K113">if(isblank(E113),"",xlookup(E113,'FL5_POR_包裝對照表 (Mapping Table)'!E:E,'FL5_POR_包裝對照表 (Mapping Table)'!M:M,"",0,1))</f>
        <v>ROW</v>
      </c>
      <c r="L113" s="972" t="str">
        <f t="array" ref="L113">if(isblank(E113),"",xlookup(E113,'FL5_POR_包裝對照表 (Mapping Table)'!E:E,'FL5_POR_包裝對照表 (Mapping Table)'!AN:AN,"",0,1))</f>
        <v>G950-15935-12</v>
      </c>
      <c r="M113" s="972" t="str">
        <f t="array" ref="M113">if(isblank(E113),"",xlookup(E113,'FL5_POR_包裝對照表 (Mapping Table)'!E:E,'FL5_POR_包裝對照表 (Mapping Table)'!J:J,"",0,1))</f>
        <v>Lemongrass</v>
      </c>
      <c r="N113" s="972" t="str">
        <f t="array" ref="N113">if(isblank(E113),"",xlookup(E113,'FL5_POR_包裝對照表 (Mapping Table)'!E:E,'FL5_POR_包裝對照表 (Mapping Table)'!K:K,"",0,1))</f>
        <v>YEL</v>
      </c>
      <c r="O113" s="976">
        <f t="array" ref="O113">xlookup(E113,'Ike 提供_20250505'!D:D,'Ike 提供_20250505'!N:N,"",0,1)</f>
        <v>430.6</v>
      </c>
      <c r="P113" s="976">
        <f t="array" ref="P113">xlookup(E113,'Ike 提供_20250505'!D:D,'Ike 提供_20250505'!O:O,"",0,1)</f>
        <v>423.62</v>
      </c>
      <c r="Q113" s="977">
        <f t="array" ref="Q113">xlookup(E113,'FL5_POR_包裝對照表 (Mapping Table)'!E:E,'FL5_POR_包裝對照表 (Mapping Table)'!BI:BI,"",0,1)</f>
        <v>45782</v>
      </c>
      <c r="R113" s="977">
        <v>45779.0</v>
      </c>
      <c r="S113" s="977">
        <f t="shared" si="3"/>
        <v>45785</v>
      </c>
      <c r="T113" s="977">
        <v>45782.0</v>
      </c>
      <c r="U113" s="978"/>
      <c r="V113" s="935"/>
      <c r="W113" s="978" t="str">
        <f t="array" ref="W113">if(isblank(E113),"",xlookup(E113,'FL5_POR_包裝對照表 (Mapping Table)'!E:E,'FL5_POR_包裝對照表 (Mapping Table)'!BM:BM,"",0,1))</f>
        <v>No demand</v>
      </c>
      <c r="X113" s="935"/>
      <c r="Y113" s="935"/>
      <c r="Z113" s="935"/>
      <c r="AA113" s="935"/>
    </row>
    <row r="114" ht="15.75" customHeight="1">
      <c r="A114" s="935"/>
      <c r="B114" s="970">
        <v>107.0</v>
      </c>
      <c r="C114" s="970" t="str">
        <f>if(isblank(E114),"",'FL5_POR_包裝對照表 (Mapping Table)'!$E$4)</f>
        <v>GFL (FL5)</v>
      </c>
      <c r="D114" s="970" t="str">
        <f t="array" ref="D114">IF(ISBLANK(E114),"",xlookup(E114,'FL5_POR_包裝對照表 (Mapping Table)'!E:E,'FL5_POR_包裝對照表 (Mapping Table)'!AZ:AZ,"",0,1))</f>
        <v>MP</v>
      </c>
      <c r="E114" s="971" t="s">
        <v>1007</v>
      </c>
      <c r="F114" s="167" t="str">
        <f t="array" ref="F114">if(isblank(E114),"",xlookup(E114,'FL5_POR_包裝對照表 (Mapping Table)'!E:E,'FL5_POR_包裝對照表 (Mapping Table)'!F:F,"",0,1))</f>
        <v>GB, DE, IT, ES, IE, FR, NL, BE, AT, CH, PT, PL, CZ, HU, RO, SI, LV, LT, EE, FI, NO, SE, DK, SK</v>
      </c>
      <c r="G114" s="972" t="str">
        <f t="array" ref="G114">if(isblank(E114),"",xlookup(E114,'FL5_POR_包裝對照表 (Mapping Table)'!E:E,'FL5_POR_包裝對照表 (Mapping Table)'!C:C,"",0,1))</f>
        <v>Press- N (MKG)</v>
      </c>
      <c r="H114" s="973" t="str">
        <f t="array" ref="H114">if(isblank(E114),"",xlookup(E114,'FL5_POR_包裝對照表 (Mapping Table)'!E:E,'FL5_POR_包裝對照表 (Mapping Table)'!D:D,"",0,1))</f>
        <v>Retail Pack</v>
      </c>
      <c r="I114" s="974" t="str">
        <f t="shared" si="2"/>
        <v>Close</v>
      </c>
      <c r="J114" s="975" t="str">
        <f t="array" ref="J114">if(isblank(E114),"",xlookup(E114,'FL5_POR_包裝對照表 (Mapping Table)'!E:E,'FL5_POR_包裝對照表 (Mapping Table)'!H:H,"",0,1))</f>
        <v>Sub6</v>
      </c>
      <c r="K114" s="972" t="str">
        <f t="array" ref="K114">if(isblank(E114),"",xlookup(E114,'FL5_POR_包裝對照表 (Mapping Table)'!E:E,'FL5_POR_包裝對照表 (Mapping Table)'!M:M,"",0,1))</f>
        <v>ROW</v>
      </c>
      <c r="L114" s="972" t="str">
        <f t="array" ref="L114">if(isblank(E114),"",xlookup(E114,'FL5_POR_包裝對照表 (Mapping Table)'!E:E,'FL5_POR_包裝對照表 (Mapping Table)'!AN:AN,"",0,1))</f>
        <v>G950-15935-13</v>
      </c>
      <c r="M114" s="972" t="str">
        <f t="array" ref="M114">if(isblank(E114),"",xlookup(E114,'FL5_POR_包裝對照表 (Mapping Table)'!E:E,'FL5_POR_包裝對照表 (Mapping Table)'!J:J,"",0,1))</f>
        <v>Indigo</v>
      </c>
      <c r="N114" s="972" t="str">
        <f t="array" ref="N114">if(isblank(E114),"",xlookup(E114,'FL5_POR_包裝對照表 (Mapping Table)'!E:E,'FL5_POR_包裝對照表 (Mapping Table)'!K:K,"",0,1))</f>
        <v>BUE</v>
      </c>
      <c r="O114" s="976">
        <f t="array" ref="O114">xlookup(E114,'Ike 提供_20250505'!D:D,'Ike 提供_20250505'!N:N,"",0,1)</f>
        <v>430.6</v>
      </c>
      <c r="P114" s="976">
        <f t="array" ref="P114">xlookup(E114,'Ike 提供_20250505'!D:D,'Ike 提供_20250505'!O:O,"",0,1)</f>
        <v>423.62</v>
      </c>
      <c r="Q114" s="977">
        <f t="array" ref="Q114">xlookup(E114,'FL5_POR_包裝對照表 (Mapping Table)'!E:E,'FL5_POR_包裝對照表 (Mapping Table)'!BI:BI,"",0,1)</f>
        <v>45782</v>
      </c>
      <c r="R114" s="977">
        <v>45779.0</v>
      </c>
      <c r="S114" s="977">
        <f t="shared" si="3"/>
        <v>45785</v>
      </c>
      <c r="T114" s="977">
        <v>45782.0</v>
      </c>
      <c r="U114" s="978"/>
      <c r="V114" s="935"/>
      <c r="W114" s="978" t="str">
        <f t="array" ref="W114">if(isblank(E114),"",xlookup(E114,'FL5_POR_包裝對照表 (Mapping Table)'!E:E,'FL5_POR_包裝對照表 (Mapping Table)'!BM:BM,"",0,1))</f>
        <v>No demand</v>
      </c>
      <c r="X114" s="935"/>
      <c r="Y114" s="935"/>
      <c r="Z114" s="935"/>
      <c r="AA114" s="935"/>
    </row>
    <row r="115" ht="15.75" customHeight="1">
      <c r="A115" s="935"/>
      <c r="B115" s="970">
        <v>108.0</v>
      </c>
      <c r="C115" s="970" t="str">
        <f>if(isblank(E115),"",'FL5_POR_包裝對照表 (Mapping Table)'!$E$4)</f>
        <v>GFL (FL5)</v>
      </c>
      <c r="D115" s="970" t="str">
        <f t="array" ref="D115">IF(ISBLANK(E115),"",xlookup(E115,'FL5_POR_包裝對照表 (Mapping Table)'!E:E,'FL5_POR_包裝對照表 (Mapping Table)'!AZ:AZ,"",0,1))</f>
        <v>MP</v>
      </c>
      <c r="E115" s="971" t="s">
        <v>1012</v>
      </c>
      <c r="F115" s="167" t="str">
        <f t="array" ref="F115">if(isblank(E115),"",xlookup(E115,'FL5_POR_包裝對照表 (Mapping Table)'!E:E,'FL5_POR_包裝對照表 (Mapping Table)'!F:F,"",0,1))</f>
        <v>TMO, US</v>
      </c>
      <c r="G115" s="972" t="str">
        <f t="array" ref="G115">if(isblank(E115),"",xlookup(E115,'FL5_POR_包裝對照表 (Mapping Table)'!E:E,'FL5_POR_包裝對照表 (Mapping Table)'!C:C,"",0,1))</f>
        <v>DEMO</v>
      </c>
      <c r="H115" s="973" t="str">
        <f t="array" ref="H115">if(isblank(E115),"",xlookup(E115,'FL5_POR_包裝對照表 (Mapping Table)'!E:E,'FL5_POR_包裝對照表 (Mapping Table)'!D:D,"",0,1))</f>
        <v>Retail Pack</v>
      </c>
      <c r="I115" s="974" t="str">
        <f t="shared" si="2"/>
        <v>Close</v>
      </c>
      <c r="J115" s="975" t="str">
        <f t="array" ref="J115">if(isblank(E115),"",xlookup(E115,'FL5_POR_包裝對照表 (Mapping Table)'!E:E,'FL5_POR_包裝對照表 (Mapping Table)'!H:H,"",0,1))</f>
        <v>mmWave</v>
      </c>
      <c r="K115" s="972" t="str">
        <f t="array" ref="K115">if(isblank(E115),"",xlookup(E115,'FL5_POR_包裝對照表 (Mapping Table)'!E:E,'FL5_POR_包裝對照表 (Mapping Table)'!M:M,"",0,1))</f>
        <v>TMO</v>
      </c>
      <c r="L115" s="972" t="str">
        <f t="array" ref="L115">if(isblank(E115),"",xlookup(E115,'FL5_POR_包裝對照表 (Mapping Table)'!E:E,'FL5_POR_包裝對照表 (Mapping Table)'!AN:AN,"",0,1))</f>
        <v>G950-15935-00</v>
      </c>
      <c r="M115" s="972" t="str">
        <f t="array" ref="M115">if(isblank(E115),"",xlookup(E115,'FL5_POR_包裝對照表 (Mapping Table)'!E:E,'FL5_POR_包裝對照表 (Mapping Table)'!J:J,"",0,1))</f>
        <v>Obsidian</v>
      </c>
      <c r="N115" s="972" t="str">
        <f t="array" ref="N115">if(isblank(E115),"",xlookup(E115,'FL5_POR_包裝對照表 (Mapping Table)'!E:E,'FL5_POR_包裝對照表 (Mapping Table)'!K:K,"",0,1))</f>
        <v>BLK</v>
      </c>
      <c r="O115" s="976">
        <f t="array" ref="O115">xlookup(E115,'Ike 提供_20250505'!D:D,'Ike 提供_20250505'!N:N,"",0,1)</f>
        <v>447.04</v>
      </c>
      <c r="P115" s="976">
        <f t="array" ref="P115">xlookup(E115,'Ike 提供_20250505'!D:D,'Ike 提供_20250505'!O:O,"",0,1)</f>
        <v>440.06</v>
      </c>
      <c r="Q115" s="977">
        <f t="array" ref="Q115">xlookup(E115,'FL5_POR_包裝對照表 (Mapping Table)'!E:E,'FL5_POR_包裝對照表 (Mapping Table)'!BI:BI,"",0,1)</f>
        <v>45782</v>
      </c>
      <c r="R115" s="977">
        <v>45779.0</v>
      </c>
      <c r="S115" s="977">
        <f t="shared" si="3"/>
        <v>45785</v>
      </c>
      <c r="T115" s="977">
        <v>45782.0</v>
      </c>
      <c r="U115" s="978"/>
      <c r="V115" s="935"/>
      <c r="W115" s="978" t="str">
        <f t="array" ref="W115">if(isblank(E115),"",xlookup(E115,'FL5_POR_包裝對照表 (Mapping Table)'!E:E,'FL5_POR_包裝對照表 (Mapping Table)'!BM:BM,"",0,1))</f>
        <v>No demand</v>
      </c>
      <c r="X115" s="935"/>
      <c r="Y115" s="935"/>
      <c r="Z115" s="935"/>
      <c r="AA115" s="935"/>
    </row>
    <row r="116" ht="15.75" customHeight="1">
      <c r="A116" s="935"/>
      <c r="B116" s="970">
        <v>109.0</v>
      </c>
      <c r="C116" s="970" t="str">
        <f>if(isblank(E116),"",'FL5_POR_包裝對照表 (Mapping Table)'!$E$4)</f>
        <v>GFL (FL5)</v>
      </c>
      <c r="D116" s="970" t="str">
        <f t="array" ref="D116">IF(ISBLANK(E116),"",xlookup(E116,'FL5_POR_包裝對照表 (Mapping Table)'!E:E,'FL5_POR_包裝對照表 (Mapping Table)'!AZ:AZ,"",0,1))</f>
        <v>MP</v>
      </c>
      <c r="E116" s="971" t="s">
        <v>1017</v>
      </c>
      <c r="F116" s="167" t="str">
        <f t="array" ref="F116">if(isblank(E116),"",xlookup(E116,'FL5_POR_包裝對照表 (Mapping Table)'!E:E,'FL5_POR_包裝對照表 (Mapping Table)'!F:F,"",0,1))</f>
        <v>TMO, US</v>
      </c>
      <c r="G116" s="972" t="str">
        <f t="array" ref="G116">if(isblank(E116),"",xlookup(E116,'FL5_POR_包裝對照表 (Mapping Table)'!E:E,'FL5_POR_包裝對照表 (Mapping Table)'!C:C,"",0,1))</f>
        <v>DEMO</v>
      </c>
      <c r="H116" s="973" t="str">
        <f t="array" ref="H116">if(isblank(E116),"",xlookup(E116,'FL5_POR_包裝對照表 (Mapping Table)'!E:E,'FL5_POR_包裝對照表 (Mapping Table)'!D:D,"",0,1))</f>
        <v>Retail Pack</v>
      </c>
      <c r="I116" s="974" t="str">
        <f t="shared" si="2"/>
        <v>Close</v>
      </c>
      <c r="J116" s="975" t="str">
        <f t="array" ref="J116">if(isblank(E116),"",xlookup(E116,'FL5_POR_包裝對照表 (Mapping Table)'!E:E,'FL5_POR_包裝對照表 (Mapping Table)'!H:H,"",0,1))</f>
        <v>mmWave</v>
      </c>
      <c r="K116" s="972" t="str">
        <f t="array" ref="K116">if(isblank(E116),"",xlookup(E116,'FL5_POR_包裝對照表 (Mapping Table)'!E:E,'FL5_POR_包裝對照表 (Mapping Table)'!M:M,"",0,1))</f>
        <v>TMO</v>
      </c>
      <c r="L116" s="972" t="str">
        <f t="array" ref="L116">if(isblank(E116),"",xlookup(E116,'FL5_POR_包裝對照表 (Mapping Table)'!E:E,'FL5_POR_包裝對照表 (Mapping Table)'!AN:AN,"",0,1))</f>
        <v>G950-15935-03</v>
      </c>
      <c r="M116" s="972" t="str">
        <f t="array" ref="M116">if(isblank(E116),"",xlookup(E116,'FL5_POR_包裝對照表 (Mapping Table)'!E:E,'FL5_POR_包裝對照表 (Mapping Table)'!J:J,"",0,1))</f>
        <v>Indigo</v>
      </c>
      <c r="N116" s="972" t="str">
        <f t="array" ref="N116">if(isblank(E116),"",xlookup(E116,'FL5_POR_包裝對照表 (Mapping Table)'!E:E,'FL5_POR_包裝對照表 (Mapping Table)'!K:K,"",0,1))</f>
        <v>BUE</v>
      </c>
      <c r="O116" s="976">
        <f t="array" ref="O116">xlookup(E116,'Ike 提供_20250505'!D:D,'Ike 提供_20250505'!N:N,"",0,1)</f>
        <v>447.44</v>
      </c>
      <c r="P116" s="976">
        <f t="array" ref="P116">xlookup(E116,'Ike 提供_20250505'!D:D,'Ike 提供_20250505'!O:O,"",0,1)</f>
        <v>440.46</v>
      </c>
      <c r="Q116" s="977">
        <f t="array" ref="Q116">xlookup(E116,'FL5_POR_包裝對照表 (Mapping Table)'!E:E,'FL5_POR_包裝對照表 (Mapping Table)'!BI:BI,"",0,1)</f>
        <v>45782</v>
      </c>
      <c r="R116" s="977">
        <v>45779.0</v>
      </c>
      <c r="S116" s="977">
        <f t="shared" si="3"/>
        <v>45785</v>
      </c>
      <c r="T116" s="977">
        <v>45782.0</v>
      </c>
      <c r="U116" s="978"/>
      <c r="V116" s="935"/>
      <c r="W116" s="978" t="str">
        <f t="array" ref="W116">if(isblank(E116),"",xlookup(E116,'FL5_POR_包裝對照表 (Mapping Table)'!E:E,'FL5_POR_包裝對照表 (Mapping Table)'!BM:BM,"",0,1))</f>
        <v>No demand</v>
      </c>
      <c r="X116" s="935"/>
      <c r="Y116" s="935"/>
      <c r="Z116" s="935"/>
      <c r="AA116" s="935"/>
    </row>
    <row r="117" ht="15.75" customHeight="1">
      <c r="A117" s="935"/>
      <c r="B117" s="970">
        <v>110.0</v>
      </c>
      <c r="C117" s="970" t="str">
        <f>if(isblank(E117),"",'FL5_POR_包裝對照表 (Mapping Table)'!$E$4)</f>
        <v>GFL (FL5)</v>
      </c>
      <c r="D117" s="970" t="str">
        <f t="array" ref="D117">IF(ISBLANK(E117),"",xlookup(E117,'FL5_POR_包裝對照表 (Mapping Table)'!E:E,'FL5_POR_包裝對照表 (Mapping Table)'!AZ:AZ,"",0,1))</f>
        <v>MP</v>
      </c>
      <c r="E117" s="971" t="s">
        <v>1022</v>
      </c>
      <c r="F117" s="167" t="str">
        <f t="array" ref="F117">if(isblank(E117),"",xlookup(E117,'FL5_POR_包裝對照表 (Mapping Table)'!E:E,'FL5_POR_包裝對照表 (Mapping Table)'!F:F,"",0,1))</f>
        <v>ATT, US</v>
      </c>
      <c r="G117" s="972" t="str">
        <f t="array" ref="G117">if(isblank(E117),"",xlookup(E117,'FL5_POR_包裝對照表 (Mapping Table)'!E:E,'FL5_POR_包裝對照表 (Mapping Table)'!C:C,"",0,1))</f>
        <v>DEMO</v>
      </c>
      <c r="H117" s="973" t="str">
        <f t="array" ref="H117">if(isblank(E117),"",xlookup(E117,'FL5_POR_包裝對照表 (Mapping Table)'!E:E,'FL5_POR_包裝對照表 (Mapping Table)'!D:D,"",0,1))</f>
        <v>Retail Pack</v>
      </c>
      <c r="I117" s="974" t="str">
        <f t="shared" si="2"/>
        <v>Close</v>
      </c>
      <c r="J117" s="975" t="str">
        <f t="array" ref="J117">if(isblank(E117),"",xlookup(E117,'FL5_POR_包裝對照表 (Mapping Table)'!E:E,'FL5_POR_包裝對照表 (Mapping Table)'!H:H,"",0,1))</f>
        <v>mmWave</v>
      </c>
      <c r="K117" s="972" t="str">
        <f t="array" ref="K117">if(isblank(E117),"",xlookup(E117,'FL5_POR_包裝對照表 (Mapping Table)'!E:E,'FL5_POR_包裝對照表 (Mapping Table)'!M:M,"",0,1))</f>
        <v>ATT</v>
      </c>
      <c r="L117" s="972" t="str">
        <f t="array" ref="L117">if(isblank(E117),"",xlookup(E117,'FL5_POR_包裝對照表 (Mapping Table)'!E:E,'FL5_POR_包裝對照表 (Mapping Table)'!AN:AN,"",0,1))</f>
        <v>G950-15935-00</v>
      </c>
      <c r="M117" s="972" t="str">
        <f t="array" ref="M117">if(isblank(E117),"",xlookup(E117,'FL5_POR_包裝對照表 (Mapping Table)'!E:E,'FL5_POR_包裝對照表 (Mapping Table)'!J:J,"",0,1))</f>
        <v>Obsidian</v>
      </c>
      <c r="N117" s="972" t="str">
        <f t="array" ref="N117">if(isblank(E117),"",xlookup(E117,'FL5_POR_包裝對照表 (Mapping Table)'!E:E,'FL5_POR_包裝對照表 (Mapping Table)'!K:K,"",0,1))</f>
        <v>BLK</v>
      </c>
      <c r="O117" s="976">
        <f t="array" ref="O117">xlookup(E117,'Ike 提供_20250505'!D:D,'Ike 提供_20250505'!N:N,"",0,1)</f>
        <v>447.04</v>
      </c>
      <c r="P117" s="976">
        <f t="array" ref="P117">xlookup(E117,'Ike 提供_20250505'!D:D,'Ike 提供_20250505'!O:O,"",0,1)</f>
        <v>440.06</v>
      </c>
      <c r="Q117" s="977">
        <f t="array" ref="Q117">xlookup(E117,'FL5_POR_包裝對照表 (Mapping Table)'!E:E,'FL5_POR_包裝對照表 (Mapping Table)'!BI:BI,"",0,1)</f>
        <v>45782</v>
      </c>
      <c r="R117" s="977">
        <v>45779.0</v>
      </c>
      <c r="S117" s="977">
        <f t="shared" si="3"/>
        <v>45785</v>
      </c>
      <c r="T117" s="977">
        <v>45782.0</v>
      </c>
      <c r="U117" s="978"/>
      <c r="V117" s="935"/>
      <c r="W117" s="978" t="str">
        <f t="array" ref="W117">if(isblank(E117),"",xlookup(E117,'FL5_POR_包裝對照表 (Mapping Table)'!E:E,'FL5_POR_包裝對照表 (Mapping Table)'!BM:BM,"",0,1))</f>
        <v>No demand</v>
      </c>
      <c r="X117" s="935"/>
      <c r="Y117" s="935"/>
      <c r="Z117" s="935"/>
      <c r="AA117" s="935"/>
    </row>
    <row r="118" ht="15.75" customHeight="1">
      <c r="A118" s="935"/>
      <c r="B118" s="970">
        <v>111.0</v>
      </c>
      <c r="C118" s="970" t="str">
        <f>if(isblank(E118),"",'FL5_POR_包裝對照表 (Mapping Table)'!$E$4)</f>
        <v>GFL (FL5)</v>
      </c>
      <c r="D118" s="970" t="str">
        <f t="array" ref="D118">IF(ISBLANK(E118),"",xlookup(E118,'FL5_POR_包裝對照表 (Mapping Table)'!E:E,'FL5_POR_包裝對照表 (Mapping Table)'!AZ:AZ,"",0,1))</f>
        <v>MP</v>
      </c>
      <c r="E118" s="971" t="s">
        <v>1028</v>
      </c>
      <c r="F118" s="167" t="str">
        <f t="array" ref="F118">if(isblank(E118),"",xlookup(E118,'FL5_POR_包裝對照表 (Mapping Table)'!E:E,'FL5_POR_包裝對照表 (Mapping Table)'!F:F,"",0,1))</f>
        <v>ATT, US</v>
      </c>
      <c r="G118" s="972" t="str">
        <f t="array" ref="G118">if(isblank(E118),"",xlookup(E118,'FL5_POR_包裝對照表 (Mapping Table)'!E:E,'FL5_POR_包裝對照表 (Mapping Table)'!C:C,"",0,1))</f>
        <v>DEMO</v>
      </c>
      <c r="H118" s="973" t="str">
        <f t="array" ref="H118">if(isblank(E118),"",xlookup(E118,'FL5_POR_包裝對照表 (Mapping Table)'!E:E,'FL5_POR_包裝對照表 (Mapping Table)'!D:D,"",0,1))</f>
        <v>Retail Pack</v>
      </c>
      <c r="I118" s="974" t="str">
        <f t="shared" si="2"/>
        <v>Close</v>
      </c>
      <c r="J118" s="975" t="str">
        <f t="array" ref="J118">if(isblank(E118),"",xlookup(E118,'FL5_POR_包裝對照表 (Mapping Table)'!E:E,'FL5_POR_包裝對照表 (Mapping Table)'!H:H,"",0,1))</f>
        <v>mmWave</v>
      </c>
      <c r="K118" s="972" t="str">
        <f t="array" ref="K118">if(isblank(E118),"",xlookup(E118,'FL5_POR_包裝對照表 (Mapping Table)'!E:E,'FL5_POR_包裝對照表 (Mapping Table)'!M:M,"",0,1))</f>
        <v>ATT</v>
      </c>
      <c r="L118" s="972" t="str">
        <f t="array" ref="L118">if(isblank(E118),"",xlookup(E118,'FL5_POR_包裝對照表 (Mapping Table)'!E:E,'FL5_POR_包裝對照表 (Mapping Table)'!AN:AN,"",0,1))</f>
        <v>G950-15935-03</v>
      </c>
      <c r="M118" s="972" t="str">
        <f t="array" ref="M118">if(isblank(E118),"",xlookup(E118,'FL5_POR_包裝對照表 (Mapping Table)'!E:E,'FL5_POR_包裝對照表 (Mapping Table)'!J:J,"",0,1))</f>
        <v>Indigo</v>
      </c>
      <c r="N118" s="972" t="str">
        <f t="array" ref="N118">if(isblank(E118),"",xlookup(E118,'FL5_POR_包裝對照表 (Mapping Table)'!E:E,'FL5_POR_包裝對照表 (Mapping Table)'!K:K,"",0,1))</f>
        <v>BUE</v>
      </c>
      <c r="O118" s="976">
        <f t="array" ref="O118">xlookup(E118,'Ike 提供_20250505'!D:D,'Ike 提供_20250505'!N:N,"",0,1)</f>
        <v>447.44</v>
      </c>
      <c r="P118" s="976">
        <f t="array" ref="P118">xlookup(E118,'Ike 提供_20250505'!D:D,'Ike 提供_20250505'!O:O,"",0,1)</f>
        <v>440.46</v>
      </c>
      <c r="Q118" s="977">
        <f t="array" ref="Q118">xlookup(E118,'FL5_POR_包裝對照表 (Mapping Table)'!E:E,'FL5_POR_包裝對照表 (Mapping Table)'!BI:BI,"",0,1)</f>
        <v>45782</v>
      </c>
      <c r="R118" s="977">
        <v>45779.0</v>
      </c>
      <c r="S118" s="977">
        <f t="shared" si="3"/>
        <v>45785</v>
      </c>
      <c r="T118" s="977">
        <v>45782.0</v>
      </c>
      <c r="U118" s="978"/>
      <c r="V118" s="935"/>
      <c r="W118" s="978" t="str">
        <f t="array" ref="W118">if(isblank(E118),"",xlookup(E118,'FL5_POR_包裝對照表 (Mapping Table)'!E:E,'FL5_POR_包裝對照表 (Mapping Table)'!BM:BM,"",0,1))</f>
        <v>No demand</v>
      </c>
      <c r="X118" s="935"/>
      <c r="Y118" s="935"/>
      <c r="Z118" s="935"/>
      <c r="AA118" s="935"/>
    </row>
    <row r="119" ht="15.75" customHeight="1">
      <c r="A119" s="935"/>
      <c r="B119" s="970">
        <v>112.0</v>
      </c>
      <c r="C119" s="970" t="str">
        <f>if(isblank(E119),"",'FL5_POR_包裝對照表 (Mapping Table)'!$E$4)</f>
        <v>GFL (FL5)</v>
      </c>
      <c r="D119" s="970" t="str">
        <f t="array" ref="D119">IF(ISBLANK(E119),"",xlookup(E119,'FL5_POR_包裝對照表 (Mapping Table)'!E:E,'FL5_POR_包裝對照表 (Mapping Table)'!AZ:AZ,"",0,1))</f>
        <v>MP</v>
      </c>
      <c r="E119" s="971" t="s">
        <v>1034</v>
      </c>
      <c r="F119" s="167" t="str">
        <f t="array" ref="F119">if(isblank(E119),"",xlookup(E119,'FL5_POR_包裝對照表 (Mapping Table)'!E:E,'FL5_POR_包裝對照表 (Mapping Table)'!F:F,"",0,1))</f>
        <v>GSTORE, US</v>
      </c>
      <c r="G119" s="972" t="str">
        <f t="array" ref="G119">if(isblank(E119),"",xlookup(E119,'FL5_POR_包裝對照表 (Mapping Table)'!E:E,'FL5_POR_包裝對照表 (Mapping Table)'!C:C,"",0,1))</f>
        <v>DEMO</v>
      </c>
      <c r="H119" s="973" t="str">
        <f t="array" ref="H119">if(isblank(E119),"",xlookup(E119,'FL5_POR_包裝對照表 (Mapping Table)'!E:E,'FL5_POR_包裝對照表 (Mapping Table)'!D:D,"",0,1))</f>
        <v>Retail Pack</v>
      </c>
      <c r="I119" s="974" t="str">
        <f t="shared" si="2"/>
        <v>Close</v>
      </c>
      <c r="J119" s="975" t="str">
        <f t="array" ref="J119">if(isblank(E119),"",xlookup(E119,'FL5_POR_包裝對照表 (Mapping Table)'!E:E,'FL5_POR_包裝對照表 (Mapping Table)'!H:H,"",0,1))</f>
        <v>mmWave</v>
      </c>
      <c r="K119" s="972" t="str">
        <f t="array" ref="K119">if(isblank(E119),"",xlookup(E119,'FL5_POR_包裝對照表 (Mapping Table)'!E:E,'FL5_POR_包裝對照表 (Mapping Table)'!M:M,"",0,1))</f>
        <v>NA</v>
      </c>
      <c r="L119" s="972" t="str">
        <f t="array" ref="L119">if(isblank(E119),"",xlookup(E119,'FL5_POR_包裝對照表 (Mapping Table)'!E:E,'FL5_POR_包裝對照表 (Mapping Table)'!AN:AN,"",0,1))</f>
        <v>G950-15935-00</v>
      </c>
      <c r="M119" s="972" t="str">
        <f t="array" ref="M119">if(isblank(E119),"",xlookup(E119,'FL5_POR_包裝對照表 (Mapping Table)'!E:E,'FL5_POR_包裝對照表 (Mapping Table)'!J:J,"",0,1))</f>
        <v>Obsidian</v>
      </c>
      <c r="N119" s="972" t="str">
        <f t="array" ref="N119">if(isblank(E119),"",xlookup(E119,'FL5_POR_包裝對照表 (Mapping Table)'!E:E,'FL5_POR_包裝對照表 (Mapping Table)'!K:K,"",0,1))</f>
        <v>BLK</v>
      </c>
      <c r="O119" s="976">
        <f t="array" ref="O119">xlookup(E119,'Ike 提供_20250505'!D:D,'Ike 提供_20250505'!N:N,"",0,1)</f>
        <v>429.59</v>
      </c>
      <c r="P119" s="976">
        <f t="array" ref="P119">xlookup(E119,'Ike 提供_20250505'!D:D,'Ike 提供_20250505'!O:O,"",0,1)</f>
        <v>422.61</v>
      </c>
      <c r="Q119" s="977">
        <f t="array" ref="Q119">xlookup(E119,'FL5_POR_包裝對照表 (Mapping Table)'!E:E,'FL5_POR_包裝對照表 (Mapping Table)'!BI:BI,"",0,1)</f>
        <v>45782</v>
      </c>
      <c r="R119" s="977">
        <v>45779.0</v>
      </c>
      <c r="S119" s="977">
        <f t="shared" si="3"/>
        <v>45785</v>
      </c>
      <c r="T119" s="977">
        <v>45782.0</v>
      </c>
      <c r="U119" s="978"/>
      <c r="V119" s="935"/>
      <c r="W119" s="978" t="str">
        <f t="array" ref="W119">if(isblank(E119),"",xlookup(E119,'FL5_POR_包裝對照表 (Mapping Table)'!E:E,'FL5_POR_包裝對照表 (Mapping Table)'!BM:BM,"",0,1))</f>
        <v>No demand</v>
      </c>
      <c r="X119" s="935"/>
      <c r="Y119" s="935"/>
      <c r="Z119" s="935"/>
      <c r="AA119" s="935"/>
    </row>
    <row r="120" ht="15.75" customHeight="1">
      <c r="A120" s="935"/>
      <c r="B120" s="970">
        <v>113.0</v>
      </c>
      <c r="C120" s="970" t="str">
        <f>if(isblank(E120),"",'FL5_POR_包裝對照表 (Mapping Table)'!$E$4)</f>
        <v>GFL (FL5)</v>
      </c>
      <c r="D120" s="970" t="str">
        <f t="array" ref="D120">IF(ISBLANK(E120),"",xlookup(E120,'FL5_POR_包裝對照表 (Mapping Table)'!E:E,'FL5_POR_包裝對照表 (Mapping Table)'!AZ:AZ,"",0,1))</f>
        <v>MP</v>
      </c>
      <c r="E120" s="971" t="s">
        <v>1039</v>
      </c>
      <c r="F120" s="167" t="str">
        <f t="array" ref="F120">if(isblank(E120),"",xlookup(E120,'FL5_POR_包裝對照表 (Mapping Table)'!E:E,'FL5_POR_包裝對照表 (Mapping Table)'!F:F,"",0,1))</f>
        <v>GSTORE, US</v>
      </c>
      <c r="G120" s="972" t="str">
        <f t="array" ref="G120">if(isblank(E120),"",xlookup(E120,'FL5_POR_包裝對照表 (Mapping Table)'!E:E,'FL5_POR_包裝對照表 (Mapping Table)'!C:C,"",0,1))</f>
        <v>DEMO</v>
      </c>
      <c r="H120" s="973" t="str">
        <f t="array" ref="H120">if(isblank(E120),"",xlookup(E120,'FL5_POR_包裝對照表 (Mapping Table)'!E:E,'FL5_POR_包裝對照表 (Mapping Table)'!D:D,"",0,1))</f>
        <v>Retail Pack</v>
      </c>
      <c r="I120" s="974" t="str">
        <f t="shared" si="2"/>
        <v>Close</v>
      </c>
      <c r="J120" s="975" t="str">
        <f t="array" ref="J120">if(isblank(E120),"",xlookup(E120,'FL5_POR_包裝對照表 (Mapping Table)'!E:E,'FL5_POR_包裝對照表 (Mapping Table)'!H:H,"",0,1))</f>
        <v>mmWave</v>
      </c>
      <c r="K120" s="972" t="str">
        <f t="array" ref="K120">if(isblank(E120),"",xlookup(E120,'FL5_POR_包裝對照表 (Mapping Table)'!E:E,'FL5_POR_包裝對照表 (Mapping Table)'!M:M,"",0,1))</f>
        <v>NA</v>
      </c>
      <c r="L120" s="972" t="str">
        <f t="array" ref="L120">if(isblank(E120),"",xlookup(E120,'FL5_POR_包裝對照表 (Mapping Table)'!E:E,'FL5_POR_包裝對照表 (Mapping Table)'!AN:AN,"",0,1))</f>
        <v>G950-15935-03</v>
      </c>
      <c r="M120" s="972" t="str">
        <f t="array" ref="M120">if(isblank(E120),"",xlookup(E120,'FL5_POR_包裝對照表 (Mapping Table)'!E:E,'FL5_POR_包裝對照表 (Mapping Table)'!J:J,"",0,1))</f>
        <v>Indigo</v>
      </c>
      <c r="N120" s="972" t="str">
        <f t="array" ref="N120">if(isblank(E120),"",xlookup(E120,'FL5_POR_包裝對照表 (Mapping Table)'!E:E,'FL5_POR_包裝對照表 (Mapping Table)'!K:K,"",0,1))</f>
        <v>BUE</v>
      </c>
      <c r="O120" s="976">
        <f t="array" ref="O120">xlookup(E120,'Ike 提供_20250505'!D:D,'Ike 提供_20250505'!N:N,"",0,1)</f>
        <v>447.44</v>
      </c>
      <c r="P120" s="976">
        <f t="array" ref="P120">xlookup(E120,'Ike 提供_20250505'!D:D,'Ike 提供_20250505'!O:O,"",0,1)</f>
        <v>440.46</v>
      </c>
      <c r="Q120" s="977">
        <f t="array" ref="Q120">xlookup(E120,'FL5_POR_包裝對照表 (Mapping Table)'!E:E,'FL5_POR_包裝對照表 (Mapping Table)'!BI:BI,"",0,1)</f>
        <v>45782</v>
      </c>
      <c r="R120" s="977">
        <v>45779.0</v>
      </c>
      <c r="S120" s="977">
        <f t="shared" si="3"/>
        <v>45785</v>
      </c>
      <c r="T120" s="977">
        <v>45782.0</v>
      </c>
      <c r="U120" s="978"/>
      <c r="V120" s="935"/>
      <c r="W120" s="978" t="str">
        <f t="array" ref="W120">if(isblank(E120),"",xlookup(E120,'FL5_POR_包裝對照表 (Mapping Table)'!E:E,'FL5_POR_包裝對照表 (Mapping Table)'!BM:BM,"",0,1))</f>
        <v>No demand</v>
      </c>
      <c r="X120" s="935"/>
      <c r="Y120" s="935"/>
      <c r="Z120" s="935"/>
      <c r="AA120" s="935"/>
    </row>
    <row r="121" ht="15.75" customHeight="1">
      <c r="A121" s="935"/>
      <c r="B121" s="970">
        <v>114.0</v>
      </c>
      <c r="C121" s="970" t="str">
        <f>if(isblank(E121),"",'FL5_POR_包裝對照表 (Mapping Table)'!$E$4)</f>
        <v>GFL (FL5)</v>
      </c>
      <c r="D121" s="970" t="str">
        <f t="array" ref="D121">IF(ISBLANK(E121),"",xlookup(E121,'FL5_POR_包裝對照表 (Mapping Table)'!E:E,'FL5_POR_包裝對照表 (Mapping Table)'!AZ:AZ,"",0,1))</f>
        <v>MP</v>
      </c>
      <c r="E121" s="971" t="s">
        <v>1044</v>
      </c>
      <c r="F121" s="167" t="str">
        <f t="array" ref="F121">if(isblank(E121),"",xlookup(E121,'FL5_POR_包裝對照表 (Mapping Table)'!E:E,'FL5_POR_包裝對照表 (Mapping Table)'!F:F,"",0,1))</f>
        <v>JP</v>
      </c>
      <c r="G121" s="972" t="str">
        <f t="array" ref="G121">if(isblank(E121),"",xlookup(E121,'FL5_POR_包裝對照表 (Mapping Table)'!E:E,'FL5_POR_包裝對照表 (Mapping Table)'!C:C,"",0,1))</f>
        <v>DEMO</v>
      </c>
      <c r="H121" s="973" t="str">
        <f t="array" ref="H121">if(isblank(E121),"",xlookup(E121,'FL5_POR_包裝對照表 (Mapping Table)'!E:E,'FL5_POR_包裝對照表 (Mapping Table)'!D:D,"",0,1))</f>
        <v>Retail Pack</v>
      </c>
      <c r="I121" s="974" t="str">
        <f t="shared" si="2"/>
        <v>Close</v>
      </c>
      <c r="J121" s="975" t="str">
        <f t="array" ref="J121">if(isblank(E121),"",xlookup(E121,'FL5_POR_包裝對照表 (Mapping Table)'!E:E,'FL5_POR_包裝對照表 (Mapping Table)'!H:H,"",0,1))</f>
        <v>JPN</v>
      </c>
      <c r="K121" s="972" t="str">
        <f t="array" ref="K121">if(isblank(E121),"",xlookup(E121,'FL5_POR_包裝對照表 (Mapping Table)'!E:E,'FL5_POR_包裝對照表 (Mapping Table)'!M:M,"",0,1))</f>
        <v>JPN</v>
      </c>
      <c r="L121" s="972" t="str">
        <f t="array" ref="L121">if(isblank(E121),"",xlookup(E121,'FL5_POR_包裝對照表 (Mapping Table)'!E:E,'FL5_POR_包裝對照表 (Mapping Table)'!AN:AN,"",0,1))</f>
        <v>G950-15935-10</v>
      </c>
      <c r="M121" s="972" t="str">
        <f t="array" ref="M121">if(isblank(E121),"",xlookup(E121,'FL5_POR_包裝對照表 (Mapping Table)'!E:E,'FL5_POR_包裝對照表 (Mapping Table)'!J:J,"",0,1))</f>
        <v>Obsidian</v>
      </c>
      <c r="N121" s="972" t="str">
        <f t="array" ref="N121">if(isblank(E121),"",xlookup(E121,'FL5_POR_包裝對照表 (Mapping Table)'!E:E,'FL5_POR_包裝對照表 (Mapping Table)'!K:K,"",0,1))</f>
        <v>BLK</v>
      </c>
      <c r="O121" s="976">
        <f t="array" ref="O121">xlookup(E121,'Ike 提供_20250505'!D:D,'Ike 提供_20250505'!N:N,"",0,1)</f>
        <v>429.63</v>
      </c>
      <c r="P121" s="976">
        <f t="array" ref="P121">xlookup(E121,'Ike 提供_20250505'!D:D,'Ike 提供_20250505'!O:O,"",0,1)</f>
        <v>422.65</v>
      </c>
      <c r="Q121" s="977">
        <f t="array" ref="Q121">xlookup(E121,'FL5_POR_包裝對照表 (Mapping Table)'!E:E,'FL5_POR_包裝對照表 (Mapping Table)'!BI:BI,"",0,1)</f>
        <v>45782</v>
      </c>
      <c r="R121" s="977">
        <v>45779.0</v>
      </c>
      <c r="S121" s="977">
        <f t="shared" si="3"/>
        <v>45785</v>
      </c>
      <c r="T121" s="977">
        <v>45782.0</v>
      </c>
      <c r="U121" s="978"/>
      <c r="V121" s="935"/>
      <c r="W121" s="978" t="str">
        <f t="array" ref="W121">if(isblank(E121),"",xlookup(E121,'FL5_POR_包裝對照表 (Mapping Table)'!E:E,'FL5_POR_包裝對照表 (Mapping Table)'!BM:BM,"",0,1))</f>
        <v>No demand</v>
      </c>
      <c r="X121" s="935"/>
      <c r="Y121" s="935"/>
      <c r="Z121" s="935"/>
      <c r="AA121" s="935"/>
    </row>
    <row r="122" ht="15.75" customHeight="1">
      <c r="A122" s="935"/>
      <c r="B122" s="970">
        <v>115.0</v>
      </c>
      <c r="C122" s="970" t="str">
        <f>if(isblank(E122),"",'FL5_POR_包裝對照表 (Mapping Table)'!$E$4)</f>
        <v>GFL (FL5)</v>
      </c>
      <c r="D122" s="970" t="str">
        <f t="array" ref="D122">IF(ISBLANK(E122),"",xlookup(E122,'FL5_POR_包裝對照表 (Mapping Table)'!E:E,'FL5_POR_包裝對照表 (Mapping Table)'!AZ:AZ,"",0,1))</f>
        <v>MP</v>
      </c>
      <c r="E122" s="971" t="s">
        <v>1050</v>
      </c>
      <c r="F122" s="167" t="str">
        <f t="array" ref="F122">if(isblank(E122),"",xlookup(E122,'FL5_POR_包裝對照表 (Mapping Table)'!E:E,'FL5_POR_包裝對照表 (Mapping Table)'!F:F,"",0,1))</f>
        <v>JP</v>
      </c>
      <c r="G122" s="972" t="str">
        <f t="array" ref="G122">if(isblank(E122),"",xlookup(E122,'FL5_POR_包裝對照表 (Mapping Table)'!E:E,'FL5_POR_包裝對照表 (Mapping Table)'!C:C,"",0,1))</f>
        <v>DEMO</v>
      </c>
      <c r="H122" s="973" t="str">
        <f t="array" ref="H122">if(isblank(E122),"",xlookup(E122,'FL5_POR_包裝對照表 (Mapping Table)'!E:E,'FL5_POR_包裝對照表 (Mapping Table)'!D:D,"",0,1))</f>
        <v>Retail Pack</v>
      </c>
      <c r="I122" s="974" t="str">
        <f t="shared" si="2"/>
        <v>Close</v>
      </c>
      <c r="J122" s="975" t="str">
        <f t="array" ref="J122">if(isblank(E122),"",xlookup(E122,'FL5_POR_包裝對照表 (Mapping Table)'!E:E,'FL5_POR_包裝對照表 (Mapping Table)'!H:H,"",0,1))</f>
        <v>JPN</v>
      </c>
      <c r="K122" s="972" t="str">
        <f t="array" ref="K122">if(isblank(E122),"",xlookup(E122,'FL5_POR_包裝對照表 (Mapping Table)'!E:E,'FL5_POR_包裝對照表 (Mapping Table)'!M:M,"",0,1))</f>
        <v>JPN</v>
      </c>
      <c r="L122" s="972" t="str">
        <f t="array" ref="L122">if(isblank(E122),"",xlookup(E122,'FL5_POR_包裝對照表 (Mapping Table)'!E:E,'FL5_POR_包裝對照表 (Mapping Table)'!AN:AN,"",0,1))</f>
        <v>G950-15935-13</v>
      </c>
      <c r="M122" s="972" t="str">
        <f t="array" ref="M122">if(isblank(E122),"",xlookup(E122,'FL5_POR_包裝對照表 (Mapping Table)'!E:E,'FL5_POR_包裝對照表 (Mapping Table)'!J:J,"",0,1))</f>
        <v>Indigo</v>
      </c>
      <c r="N122" s="972" t="str">
        <f t="array" ref="N122">if(isblank(E122),"",xlookup(E122,'FL5_POR_包裝對照表 (Mapping Table)'!E:E,'FL5_POR_包裝對照表 (Mapping Table)'!K:K,"",0,1))</f>
        <v>BUE</v>
      </c>
      <c r="O122" s="976">
        <f t="array" ref="O122">xlookup(E122,'Ike 提供_20250505'!D:D,'Ike 提供_20250505'!N:N,"",0,1)</f>
        <v>430.03</v>
      </c>
      <c r="P122" s="976">
        <f t="array" ref="P122">xlookup(E122,'Ike 提供_20250505'!D:D,'Ike 提供_20250505'!O:O,"",0,1)</f>
        <v>423.05</v>
      </c>
      <c r="Q122" s="977">
        <f t="array" ref="Q122">xlookup(E122,'FL5_POR_包裝對照表 (Mapping Table)'!E:E,'FL5_POR_包裝對照表 (Mapping Table)'!BI:BI,"",0,1)</f>
        <v>45782</v>
      </c>
      <c r="R122" s="977">
        <v>45779.0</v>
      </c>
      <c r="S122" s="977">
        <f t="shared" si="3"/>
        <v>45785</v>
      </c>
      <c r="T122" s="977">
        <v>45782.0</v>
      </c>
      <c r="U122" s="978"/>
      <c r="V122" s="935"/>
      <c r="W122" s="978" t="str">
        <f t="array" ref="W122">if(isblank(E122),"",xlookup(E122,'FL5_POR_包裝對照表 (Mapping Table)'!E:E,'FL5_POR_包裝對照表 (Mapping Table)'!BM:BM,"",0,1))</f>
        <v>No demand</v>
      </c>
      <c r="X122" s="935"/>
      <c r="Y122" s="935"/>
      <c r="Z122" s="935"/>
      <c r="AA122" s="935"/>
    </row>
    <row r="123" ht="15.75" customHeight="1">
      <c r="A123" s="935"/>
      <c r="B123" s="970">
        <v>116.0</v>
      </c>
      <c r="C123" s="970" t="str">
        <f>if(isblank(E123),"",'FL5_POR_包裝對照表 (Mapping Table)'!$E$4)</f>
        <v>GFL (FL5)</v>
      </c>
      <c r="D123" s="970" t="str">
        <f t="array" ref="D123">IF(ISBLANK(E123),"",xlookup(E123,'FL5_POR_包裝對照表 (Mapping Table)'!E:E,'FL5_POR_包裝對照表 (Mapping Table)'!AZ:AZ,"",0,1))</f>
        <v>MP</v>
      </c>
      <c r="E123" s="971" t="s">
        <v>1055</v>
      </c>
      <c r="F123" s="167" t="str">
        <f t="array" ref="F123">if(isblank(E123),"",xlookup(E123,'FL5_POR_包裝對照表 (Mapping Table)'!E:E,'FL5_POR_包裝對照表 (Mapping Table)'!F:F,"",0,1))</f>
        <v>CA/TW/SG/MY/AU/MX</v>
      </c>
      <c r="G123" s="972" t="str">
        <f t="array" ref="G123">if(isblank(E123),"",xlookup(E123,'FL5_POR_包裝對照表 (Mapping Table)'!E:E,'FL5_POR_包裝對照表 (Mapping Table)'!C:C,"",0,1))</f>
        <v>DEMO</v>
      </c>
      <c r="H123" s="973" t="str">
        <f t="array" ref="H123">if(isblank(E123),"",xlookup(E123,'FL5_POR_包裝對照表 (Mapping Table)'!E:E,'FL5_POR_包裝對照表 (Mapping Table)'!D:D,"",0,1))</f>
        <v>Retail Pack</v>
      </c>
      <c r="I123" s="974" t="str">
        <f t="shared" si="2"/>
        <v>Close</v>
      </c>
      <c r="J123" s="975" t="str">
        <f t="array" ref="J123">if(isblank(E123),"",xlookup(E123,'FL5_POR_包裝對照表 (Mapping Table)'!E:E,'FL5_POR_包裝對照表 (Mapping Table)'!H:H,"",0,1))</f>
        <v>Sub6</v>
      </c>
      <c r="K123" s="972" t="str">
        <f t="array" ref="K123">if(isblank(E123),"",xlookup(E123,'FL5_POR_包裝對照表 (Mapping Table)'!E:E,'FL5_POR_包裝對照表 (Mapping Table)'!M:M,"",0,1))</f>
        <v>ROW</v>
      </c>
      <c r="L123" s="972" t="str">
        <f t="array" ref="L123">if(isblank(E123),"",xlookup(E123,'FL5_POR_包裝對照表 (Mapping Table)'!E:E,'FL5_POR_包裝對照表 (Mapping Table)'!AN:AN,"",0,1))</f>
        <v>G950-15935-10</v>
      </c>
      <c r="M123" s="972" t="str">
        <f t="array" ref="M123">if(isblank(E123),"",xlookup(E123,'FL5_POR_包裝對照表 (Mapping Table)'!E:E,'FL5_POR_包裝對照表 (Mapping Table)'!J:J,"",0,1))</f>
        <v>Obsidian</v>
      </c>
      <c r="N123" s="972" t="str">
        <f t="array" ref="N123">if(isblank(E123),"",xlookup(E123,'FL5_POR_包裝對照表 (Mapping Table)'!E:E,'FL5_POR_包裝對照表 (Mapping Table)'!K:K,"",0,1))</f>
        <v>BLK</v>
      </c>
      <c r="O123" s="976">
        <f t="array" ref="O123">xlookup(E123,'Ike 提供_20250505'!D:D,'Ike 提供_20250505'!N:N,"",0,1)</f>
        <v>429.66</v>
      </c>
      <c r="P123" s="976">
        <f t="array" ref="P123">xlookup(E123,'Ike 提供_20250505'!D:D,'Ike 提供_20250505'!O:O,"",0,1)</f>
        <v>422.68</v>
      </c>
      <c r="Q123" s="977">
        <f t="array" ref="Q123">xlookup(E123,'FL5_POR_包裝對照表 (Mapping Table)'!E:E,'FL5_POR_包裝對照表 (Mapping Table)'!BI:BI,"",0,1)</f>
        <v>45782</v>
      </c>
      <c r="R123" s="977">
        <v>45779.0</v>
      </c>
      <c r="S123" s="977">
        <f t="shared" si="3"/>
        <v>45785</v>
      </c>
      <c r="T123" s="977">
        <v>45782.0</v>
      </c>
      <c r="U123" s="978"/>
      <c r="V123" s="935"/>
      <c r="W123" s="978" t="str">
        <f t="array" ref="W123">if(isblank(E123),"",xlookup(E123,'FL5_POR_包裝對照表 (Mapping Table)'!E:E,'FL5_POR_包裝對照表 (Mapping Table)'!BM:BM,"",0,1))</f>
        <v>No demand</v>
      </c>
      <c r="X123" s="935"/>
      <c r="Y123" s="935"/>
      <c r="Z123" s="935"/>
      <c r="AA123" s="935"/>
    </row>
    <row r="124" ht="15.75" customHeight="1">
      <c r="A124" s="935"/>
      <c r="B124" s="970">
        <v>117.0</v>
      </c>
      <c r="C124" s="970" t="str">
        <f>if(isblank(E124),"",'FL5_POR_包裝對照表 (Mapping Table)'!$E$4)</f>
        <v>GFL (FL5)</v>
      </c>
      <c r="D124" s="970" t="str">
        <f t="array" ref="D124">IF(ISBLANK(E124),"",xlookup(E124,'FL5_POR_包裝對照表 (Mapping Table)'!E:E,'FL5_POR_包裝對照表 (Mapping Table)'!AZ:AZ,"",0,1))</f>
        <v>MP</v>
      </c>
      <c r="E124" s="971" t="s">
        <v>1061</v>
      </c>
      <c r="F124" s="167" t="str">
        <f t="array" ref="F124">if(isblank(E124),"",xlookup(E124,'FL5_POR_包裝對照表 (Mapping Table)'!E:E,'FL5_POR_包裝對照表 (Mapping Table)'!F:F,"",0,1))</f>
        <v>CA/TW/SG/MY/AU/MX</v>
      </c>
      <c r="G124" s="972" t="str">
        <f t="array" ref="G124">if(isblank(E124),"",xlookup(E124,'FL5_POR_包裝對照表 (Mapping Table)'!E:E,'FL5_POR_包裝對照表 (Mapping Table)'!C:C,"",0,1))</f>
        <v>DEMO</v>
      </c>
      <c r="H124" s="973" t="str">
        <f t="array" ref="H124">if(isblank(E124),"",xlookup(E124,'FL5_POR_包裝對照表 (Mapping Table)'!E:E,'FL5_POR_包裝對照表 (Mapping Table)'!D:D,"",0,1))</f>
        <v>Retail Pack</v>
      </c>
      <c r="I124" s="974" t="str">
        <f t="shared" si="2"/>
        <v>Close</v>
      </c>
      <c r="J124" s="975" t="str">
        <f t="array" ref="J124">if(isblank(E124),"",xlookup(E124,'FL5_POR_包裝對照表 (Mapping Table)'!E:E,'FL5_POR_包裝對照表 (Mapping Table)'!H:H,"",0,1))</f>
        <v>Sub6</v>
      </c>
      <c r="K124" s="972" t="str">
        <f t="array" ref="K124">if(isblank(E124),"",xlookup(E124,'FL5_POR_包裝對照表 (Mapping Table)'!E:E,'FL5_POR_包裝對照表 (Mapping Table)'!M:M,"",0,1))</f>
        <v>ROW</v>
      </c>
      <c r="L124" s="972" t="str">
        <f t="array" ref="L124">if(isblank(E124),"",xlookup(E124,'FL5_POR_包裝對照表 (Mapping Table)'!E:E,'FL5_POR_包裝對照表 (Mapping Table)'!AN:AN,"",0,1))</f>
        <v>G950-15935-13</v>
      </c>
      <c r="M124" s="972" t="str">
        <f t="array" ref="M124">if(isblank(E124),"",xlookup(E124,'FL5_POR_包裝對照表 (Mapping Table)'!E:E,'FL5_POR_包裝對照表 (Mapping Table)'!J:J,"",0,1))</f>
        <v>Indigo</v>
      </c>
      <c r="N124" s="972" t="str">
        <f t="array" ref="N124">if(isblank(E124),"",xlookup(E124,'FL5_POR_包裝對照表 (Mapping Table)'!E:E,'FL5_POR_包裝對照表 (Mapping Table)'!K:K,"",0,1))</f>
        <v>BUE</v>
      </c>
      <c r="O124" s="976">
        <f t="array" ref="O124">xlookup(E124,'Ike 提供_20250505'!D:D,'Ike 提供_20250505'!N:N,"",0,1)</f>
        <v>430.06</v>
      </c>
      <c r="P124" s="976">
        <f t="array" ref="P124">xlookup(E124,'Ike 提供_20250505'!D:D,'Ike 提供_20250505'!O:O,"",0,1)</f>
        <v>423.08</v>
      </c>
      <c r="Q124" s="977">
        <f t="array" ref="Q124">xlookup(E124,'FL5_POR_包裝對照表 (Mapping Table)'!E:E,'FL5_POR_包裝對照表 (Mapping Table)'!BI:BI,"",0,1)</f>
        <v>45782</v>
      </c>
      <c r="R124" s="977">
        <v>45779.0</v>
      </c>
      <c r="S124" s="977">
        <f t="shared" si="3"/>
        <v>45785</v>
      </c>
      <c r="T124" s="977">
        <v>45782.0</v>
      </c>
      <c r="U124" s="978"/>
      <c r="V124" s="935"/>
      <c r="W124" s="978" t="str">
        <f t="array" ref="W124">if(isblank(E124),"",xlookup(E124,'FL5_POR_包裝對照表 (Mapping Table)'!E:E,'FL5_POR_包裝對照表 (Mapping Table)'!BM:BM,"",0,1))</f>
        <v>No demand</v>
      </c>
      <c r="X124" s="935"/>
      <c r="Y124" s="935"/>
      <c r="Z124" s="935"/>
      <c r="AA124" s="935"/>
    </row>
    <row r="125" ht="15.75" customHeight="1">
      <c r="A125" s="935"/>
      <c r="B125" s="970">
        <v>118.0</v>
      </c>
      <c r="C125" s="970" t="str">
        <f>if(isblank(E125),"",'FL5_POR_包裝對照表 (Mapping Table)'!$E$4)</f>
        <v>GFL (FL5)</v>
      </c>
      <c r="D125" s="970" t="str">
        <f t="array" ref="D125">IF(ISBLANK(E125),"",xlookup(E125,'FL5_POR_包裝對照表 (Mapping Table)'!E:E,'FL5_POR_包裝對照表 (Mapping Table)'!AZ:AZ,"",0,1))</f>
        <v>MP</v>
      </c>
      <c r="E125" s="971" t="s">
        <v>1066</v>
      </c>
      <c r="F125" s="167" t="str">
        <f t="array" ref="F125">if(isblank(E125),"",xlookup(E125,'FL5_POR_包裝對照表 (Mapping Table)'!E:E,'FL5_POR_包裝對照表 (Mapping Table)'!F:F,"",0,1))</f>
        <v>GB, DE, IT, ES, IE, FR, NL, BE, AT, CH, PT, PL, CZ, HU, RO, SI, LV, LT, EE, FI, NO, SE, DK, SK</v>
      </c>
      <c r="G125" s="972" t="str">
        <f t="array" ref="G125">if(isblank(E125),"",xlookup(E125,'FL5_POR_包裝對照表 (Mapping Table)'!E:E,'FL5_POR_包裝對照表 (Mapping Table)'!C:C,"",0,1))</f>
        <v>DEMO</v>
      </c>
      <c r="H125" s="973" t="str">
        <f t="array" ref="H125">if(isblank(E125),"",xlookup(E125,'FL5_POR_包裝對照表 (Mapping Table)'!E:E,'FL5_POR_包裝對照表 (Mapping Table)'!D:D,"",0,1))</f>
        <v>Retail Pack</v>
      </c>
      <c r="I125" s="974" t="str">
        <f t="shared" si="2"/>
        <v>Close</v>
      </c>
      <c r="J125" s="975" t="str">
        <f t="array" ref="J125">if(isblank(E125),"",xlookup(E125,'FL5_POR_包裝對照表 (Mapping Table)'!E:E,'FL5_POR_包裝對照表 (Mapping Table)'!H:H,"",0,1))</f>
        <v>Sub6</v>
      </c>
      <c r="K125" s="972" t="str">
        <f t="array" ref="K125">if(isblank(E125),"",xlookup(E125,'FL5_POR_包裝對照表 (Mapping Table)'!E:E,'FL5_POR_包裝對照表 (Mapping Table)'!M:M,"",0,1))</f>
        <v>ROW</v>
      </c>
      <c r="L125" s="972" t="str">
        <f t="array" ref="L125">if(isblank(E125),"",xlookup(E125,'FL5_POR_包裝對照表 (Mapping Table)'!E:E,'FL5_POR_包裝對照表 (Mapping Table)'!AN:AN,"",0,1))</f>
        <v>G950-15935-10</v>
      </c>
      <c r="M125" s="972" t="str">
        <f t="array" ref="M125">if(isblank(E125),"",xlookup(E125,'FL5_POR_包裝對照表 (Mapping Table)'!E:E,'FL5_POR_包裝對照表 (Mapping Table)'!J:J,"",0,1))</f>
        <v>Obsidian</v>
      </c>
      <c r="N125" s="972" t="str">
        <f t="array" ref="N125">if(isblank(E125),"",xlookup(E125,'FL5_POR_包裝對照表 (Mapping Table)'!E:E,'FL5_POR_包裝對照表 (Mapping Table)'!K:K,"",0,1))</f>
        <v>BLK</v>
      </c>
      <c r="O125" s="976">
        <f t="array" ref="O125">xlookup(E125,'Ike 提供_20250505'!D:D,'Ike 提供_20250505'!N:N,"",0,1)</f>
        <v>430.17</v>
      </c>
      <c r="P125" s="976">
        <f t="array" ref="P125">xlookup(E125,'Ike 提供_20250505'!D:D,'Ike 提供_20250505'!O:O,"",0,1)</f>
        <v>423.19</v>
      </c>
      <c r="Q125" s="977">
        <f t="array" ref="Q125">xlookup(E125,'FL5_POR_包裝對照表 (Mapping Table)'!E:E,'FL5_POR_包裝對照表 (Mapping Table)'!BI:BI,"",0,1)</f>
        <v>45782</v>
      </c>
      <c r="R125" s="977">
        <v>45779.0</v>
      </c>
      <c r="S125" s="977">
        <f t="shared" si="3"/>
        <v>45785</v>
      </c>
      <c r="T125" s="977">
        <v>45782.0</v>
      </c>
      <c r="U125" s="978"/>
      <c r="V125" s="935"/>
      <c r="W125" s="978" t="str">
        <f t="array" ref="W125">if(isblank(E125),"",xlookup(E125,'FL5_POR_包裝對照表 (Mapping Table)'!E:E,'FL5_POR_包裝對照表 (Mapping Table)'!BM:BM,"",0,1))</f>
        <v>No demand</v>
      </c>
      <c r="X125" s="935"/>
      <c r="Y125" s="935"/>
      <c r="Z125" s="935"/>
      <c r="AA125" s="935"/>
    </row>
    <row r="126" ht="15.75" customHeight="1">
      <c r="A126" s="935"/>
      <c r="B126" s="970">
        <v>119.0</v>
      </c>
      <c r="C126" s="970" t="str">
        <f>if(isblank(E126),"",'FL5_POR_包裝對照表 (Mapping Table)'!$E$4)</f>
        <v>GFL (FL5)</v>
      </c>
      <c r="D126" s="970" t="str">
        <f t="array" ref="D126">IF(ISBLANK(E126),"",xlookup(E126,'FL5_POR_包裝對照表 (Mapping Table)'!E:E,'FL5_POR_包裝對照表 (Mapping Table)'!AZ:AZ,"",0,1))</f>
        <v>MP</v>
      </c>
      <c r="E126" s="971" t="s">
        <v>1071</v>
      </c>
      <c r="F126" s="167" t="str">
        <f t="array" ref="F126">if(isblank(E126),"",xlookup(E126,'FL5_POR_包裝對照表 (Mapping Table)'!E:E,'FL5_POR_包裝對照表 (Mapping Table)'!F:F,"",0,1))</f>
        <v>GB, DE, IT, ES, IE, FR, NL, BE, AT, CH, PT, PL, CZ, HU, RO, SI, LV, LT, EE, FI, NO, SE, DK, SK</v>
      </c>
      <c r="G126" s="972" t="str">
        <f t="array" ref="G126">if(isblank(E126),"",xlookup(E126,'FL5_POR_包裝對照表 (Mapping Table)'!E:E,'FL5_POR_包裝對照表 (Mapping Table)'!C:C,"",0,1))</f>
        <v>DEMO</v>
      </c>
      <c r="H126" s="973" t="str">
        <f t="array" ref="H126">if(isblank(E126),"",xlookup(E126,'FL5_POR_包裝對照表 (Mapping Table)'!E:E,'FL5_POR_包裝對照表 (Mapping Table)'!D:D,"",0,1))</f>
        <v>Retail Pack</v>
      </c>
      <c r="I126" s="974" t="str">
        <f t="shared" si="2"/>
        <v>Close</v>
      </c>
      <c r="J126" s="975" t="str">
        <f t="array" ref="J126">if(isblank(E126),"",xlookup(E126,'FL5_POR_包裝對照表 (Mapping Table)'!E:E,'FL5_POR_包裝對照表 (Mapping Table)'!H:H,"",0,1))</f>
        <v>Sub6</v>
      </c>
      <c r="K126" s="972" t="str">
        <f t="array" ref="K126">if(isblank(E126),"",xlookup(E126,'FL5_POR_包裝對照表 (Mapping Table)'!E:E,'FL5_POR_包裝對照表 (Mapping Table)'!M:M,"",0,1))</f>
        <v>ROW</v>
      </c>
      <c r="L126" s="972" t="str">
        <f t="array" ref="L126">if(isblank(E126),"",xlookup(E126,'FL5_POR_包裝對照表 (Mapping Table)'!E:E,'FL5_POR_包裝對照表 (Mapping Table)'!AN:AN,"",0,1))</f>
        <v>G950-15935-13</v>
      </c>
      <c r="M126" s="972" t="str">
        <f t="array" ref="M126">if(isblank(E126),"",xlookup(E126,'FL5_POR_包裝對照表 (Mapping Table)'!E:E,'FL5_POR_包裝對照表 (Mapping Table)'!J:J,"",0,1))</f>
        <v>Indigo</v>
      </c>
      <c r="N126" s="972" t="str">
        <f t="array" ref="N126">if(isblank(E126),"",xlookup(E126,'FL5_POR_包裝對照表 (Mapping Table)'!E:E,'FL5_POR_包裝對照表 (Mapping Table)'!K:K,"",0,1))</f>
        <v>BUE</v>
      </c>
      <c r="O126" s="976">
        <f t="array" ref="O126">xlookup(E126,'Ike 提供_20250505'!D:D,'Ike 提供_20250505'!N:N,"",0,1)</f>
        <v>430.57</v>
      </c>
      <c r="P126" s="976">
        <f t="array" ref="P126">xlookup(E126,'Ike 提供_20250505'!D:D,'Ike 提供_20250505'!O:O,"",0,1)</f>
        <v>423.59</v>
      </c>
      <c r="Q126" s="977">
        <f t="array" ref="Q126">xlookup(E126,'FL5_POR_包裝對照表 (Mapping Table)'!E:E,'FL5_POR_包裝對照表 (Mapping Table)'!BI:BI,"",0,1)</f>
        <v>45782</v>
      </c>
      <c r="R126" s="977">
        <v>45779.0</v>
      </c>
      <c r="S126" s="977">
        <f t="shared" si="3"/>
        <v>45785</v>
      </c>
      <c r="T126" s="977">
        <v>45782.0</v>
      </c>
      <c r="U126" s="978"/>
      <c r="V126" s="935"/>
      <c r="W126" s="978" t="str">
        <f t="array" ref="W126">if(isblank(E126),"",xlookup(E126,'FL5_POR_包裝對照表 (Mapping Table)'!E:E,'FL5_POR_包裝對照表 (Mapping Table)'!BM:BM,"",0,1))</f>
        <v>No demand</v>
      </c>
      <c r="X126" s="935"/>
      <c r="Y126" s="935"/>
      <c r="Z126" s="935"/>
      <c r="AA126" s="935"/>
    </row>
    <row r="127" ht="15.75" customHeight="1">
      <c r="A127" s="935"/>
      <c r="B127" s="970">
        <v>120.0</v>
      </c>
      <c r="C127" s="970" t="str">
        <f>if(isblank(E127),"",'FL5_POR_包裝對照表 (Mapping Table)'!$E$4)</f>
        <v>GFL (FL5)</v>
      </c>
      <c r="D127" s="970" t="str">
        <f t="array" ref="D127">IF(ISBLANK(E127),"",xlookup(E127,'FL5_POR_包裝對照表 (Mapping Table)'!E:E,'FL5_POR_包裝對照表 (Mapping Table)'!AZ:AZ,"",0,1))</f>
        <v>MP</v>
      </c>
      <c r="E127" s="971" t="s">
        <v>1076</v>
      </c>
      <c r="F127" s="167" t="str">
        <f t="array" ref="F127">if(isblank(E127),"",xlookup(E127,'FL5_POR_包裝對照表 (Mapping Table)'!E:E,'FL5_POR_包裝對照表 (Mapping Table)'!F:F,"",0,1))</f>
        <v>IN</v>
      </c>
      <c r="G127" s="972" t="str">
        <f t="array" ref="G127">if(isblank(E127),"",xlookup(E127,'FL5_POR_包裝對照表 (Mapping Table)'!E:E,'FL5_POR_包裝對照表 (Mapping Table)'!C:C,"",0,1))</f>
        <v>DEMO</v>
      </c>
      <c r="H127" s="973" t="str">
        <f t="array" ref="H127">if(isblank(E127),"",xlookup(E127,'FL5_POR_包裝對照表 (Mapping Table)'!E:E,'FL5_POR_包裝對照表 (Mapping Table)'!D:D,"",0,1))</f>
        <v>Retail Pack</v>
      </c>
      <c r="I127" s="974" t="str">
        <f t="shared" si="2"/>
        <v>Close</v>
      </c>
      <c r="J127" s="975" t="str">
        <f t="array" ref="J127">if(isblank(E127),"",xlookup(E127,'FL5_POR_包裝對照表 (Mapping Table)'!E:E,'FL5_POR_包裝對照表 (Mapping Table)'!H:H,"",0,1))</f>
        <v>Sub6</v>
      </c>
      <c r="K127" s="972" t="str">
        <f t="array" ref="K127">if(isblank(E127),"",xlookup(E127,'FL5_POR_包裝對照表 (Mapping Table)'!E:E,'FL5_POR_包裝對照表 (Mapping Table)'!M:M,"",0,1))</f>
        <v>ROW</v>
      </c>
      <c r="L127" s="972" t="str">
        <f t="array" ref="L127">if(isblank(E127),"",xlookup(E127,'FL5_POR_包裝對照表 (Mapping Table)'!E:E,'FL5_POR_包裝對照表 (Mapping Table)'!AN:AN,"",0,1))</f>
        <v>G950-15935-14</v>
      </c>
      <c r="M127" s="972" t="str">
        <f t="array" ref="M127">if(isblank(E127),"",xlookup(E127,'FL5_POR_包裝對照表 (Mapping Table)'!E:E,'FL5_POR_包裝對照表 (Mapping Table)'!J:J,"",0,1))</f>
        <v>Obsidian</v>
      </c>
      <c r="N127" s="972" t="str">
        <f t="array" ref="N127">if(isblank(E127),"",xlookup(E127,'FL5_POR_包裝對照表 (Mapping Table)'!E:E,'FL5_POR_包裝對照表 (Mapping Table)'!K:K,"",0,1))</f>
        <v>BLK</v>
      </c>
      <c r="O127" s="976">
        <f t="array" ref="O127">xlookup(E127,'Ike 提供_20250505'!D:D,'Ike 提供_20250505'!N:N,"",0,1)</f>
        <v>435.64</v>
      </c>
      <c r="P127" s="976">
        <f t="array" ref="P127">xlookup(E127,'Ike 提供_20250505'!D:D,'Ike 提供_20250505'!O:O,"",0,1)</f>
        <v>428.66</v>
      </c>
      <c r="Q127" s="977">
        <f t="array" ref="Q127">xlookup(E127,'FL5_POR_包裝對照表 (Mapping Table)'!E:E,'FL5_POR_包裝對照表 (Mapping Table)'!BI:BI,"",0,1)</f>
        <v>45782</v>
      </c>
      <c r="R127" s="977">
        <v>45779.0</v>
      </c>
      <c r="S127" s="977">
        <f t="shared" si="3"/>
        <v>45785</v>
      </c>
      <c r="T127" s="977">
        <v>45782.0</v>
      </c>
      <c r="U127" s="978"/>
      <c r="V127" s="935"/>
      <c r="W127" s="978" t="str">
        <f t="array" ref="W127">if(isblank(E127),"",xlookup(E127,'FL5_POR_包裝對照表 (Mapping Table)'!E:E,'FL5_POR_包裝對照表 (Mapping Table)'!BM:BM,"",0,1))</f>
        <v>No demand</v>
      </c>
      <c r="X127" s="935"/>
      <c r="Y127" s="935"/>
      <c r="Z127" s="935"/>
      <c r="AA127" s="935"/>
    </row>
    <row r="128" ht="15.75" customHeight="1">
      <c r="A128" s="935"/>
      <c r="B128" s="970">
        <v>121.0</v>
      </c>
      <c r="C128" s="970" t="str">
        <f>if(isblank(E128),"",'FL5_POR_包裝對照表 (Mapping Table)'!$E$4)</f>
        <v>GFL (FL5)</v>
      </c>
      <c r="D128" s="970" t="str">
        <f t="array" ref="D128">IF(ISBLANK(E128),"",xlookup(E128,'FL5_POR_包裝對照表 (Mapping Table)'!E:E,'FL5_POR_包裝對照表 (Mapping Table)'!AZ:AZ,"",0,1))</f>
        <v>MP</v>
      </c>
      <c r="E128" s="971" t="s">
        <v>1081</v>
      </c>
      <c r="F128" s="167" t="str">
        <f t="array" ref="F128">if(isblank(E128),"",xlookup(E128,'FL5_POR_包裝對照表 (Mapping Table)'!E:E,'FL5_POR_包裝對照表 (Mapping Table)'!F:F,"",0,1))</f>
        <v>IN</v>
      </c>
      <c r="G128" s="972" t="str">
        <f t="array" ref="G128">if(isblank(E128),"",xlookup(E128,'FL5_POR_包裝對照表 (Mapping Table)'!E:E,'FL5_POR_包裝對照表 (Mapping Table)'!C:C,"",0,1))</f>
        <v>DEMO</v>
      </c>
      <c r="H128" s="973" t="str">
        <f t="array" ref="H128">if(isblank(E128),"",xlookup(E128,'FL5_POR_包裝對照表 (Mapping Table)'!E:E,'FL5_POR_包裝對照表 (Mapping Table)'!D:D,"",0,1))</f>
        <v>Retail Pack</v>
      </c>
      <c r="I128" s="974" t="str">
        <f t="shared" si="2"/>
        <v>Close</v>
      </c>
      <c r="J128" s="975" t="str">
        <f t="array" ref="J128">if(isblank(E128),"",xlookup(E128,'FL5_POR_包裝對照表 (Mapping Table)'!E:E,'FL5_POR_包裝對照表 (Mapping Table)'!H:H,"",0,1))</f>
        <v>Sub6</v>
      </c>
      <c r="K128" s="972" t="str">
        <f t="array" ref="K128">if(isblank(E128),"",xlookup(E128,'FL5_POR_包裝對照表 (Mapping Table)'!E:E,'FL5_POR_包裝對照表 (Mapping Table)'!M:M,"",0,1))</f>
        <v>ROW</v>
      </c>
      <c r="L128" s="972" t="str">
        <f t="array" ref="L128">if(isblank(E128),"",xlookup(E128,'FL5_POR_包裝對照表 (Mapping Table)'!E:E,'FL5_POR_包裝對照表 (Mapping Table)'!AN:AN,"",0,1))</f>
        <v>G950-15935-17</v>
      </c>
      <c r="M128" s="972" t="str">
        <f t="array" ref="M128">if(isblank(E128),"",xlookup(E128,'FL5_POR_包裝對照表 (Mapping Table)'!E:E,'FL5_POR_包裝對照表 (Mapping Table)'!J:J,"",0,1))</f>
        <v>Indigo</v>
      </c>
      <c r="N128" s="972" t="str">
        <f t="array" ref="N128">if(isblank(E128),"",xlookup(E128,'FL5_POR_包裝對照表 (Mapping Table)'!E:E,'FL5_POR_包裝對照表 (Mapping Table)'!K:K,"",0,1))</f>
        <v>BUE</v>
      </c>
      <c r="O128" s="976">
        <f t="array" ref="O128">xlookup(E128,'Ike 提供_20250505'!D:D,'Ike 提供_20250505'!N:N,"",0,1)</f>
        <v>436.04</v>
      </c>
      <c r="P128" s="976">
        <f t="array" ref="P128">xlookup(E128,'Ike 提供_20250505'!D:D,'Ike 提供_20250505'!O:O,"",0,1)</f>
        <v>429.06</v>
      </c>
      <c r="Q128" s="977">
        <f t="array" ref="Q128">xlookup(E128,'FL5_POR_包裝對照表 (Mapping Table)'!E:E,'FL5_POR_包裝對照表 (Mapping Table)'!BI:BI,"",0,1)</f>
        <v>45782</v>
      </c>
      <c r="R128" s="977">
        <v>45779.0</v>
      </c>
      <c r="S128" s="977">
        <f t="shared" si="3"/>
        <v>45785</v>
      </c>
      <c r="T128" s="977">
        <v>45782.0</v>
      </c>
      <c r="U128" s="978"/>
      <c r="V128" s="935"/>
      <c r="W128" s="978" t="str">
        <f t="array" ref="W128">if(isblank(E128),"",xlookup(E128,'FL5_POR_包裝對照表 (Mapping Table)'!E:E,'FL5_POR_包裝對照表 (Mapping Table)'!BM:BM,"",0,1))</f>
        <v>No demand</v>
      </c>
      <c r="X128" s="935"/>
      <c r="Y128" s="935"/>
      <c r="Z128" s="935"/>
      <c r="AA128" s="935"/>
    </row>
    <row r="129" ht="15.75" hidden="1" customHeight="1">
      <c r="A129" s="935"/>
      <c r="B129" s="970">
        <v>122.0</v>
      </c>
      <c r="C129" s="970" t="str">
        <f>if(isblank(E129),"",'FL5_POR_包裝對照表 (Mapping Table)'!$E$4)</f>
        <v>GFL (FL5)</v>
      </c>
      <c r="D129" s="970" t="str">
        <f t="array" ref="D129">IF(ISBLANK(E129),"",xlookup(E129,'FL5_POR_包裝對照表 (Mapping Table)'!E:E,'FL5_POR_包裝對照表 (Mapping Table)'!AZ:AZ,"",0,1))</f>
        <v>MP</v>
      </c>
      <c r="E129" s="971" t="s">
        <v>1086</v>
      </c>
      <c r="F129" s="167" t="str">
        <f t="array" ref="F129">if(isblank(E129),"",xlookup(E129,'FL5_POR_包裝對照表 (Mapping Table)'!E:E,'FL5_POR_包裝對照表 (Mapping Table)'!F:F,"",0,1))</f>
        <v>TMO</v>
      </c>
      <c r="G129" s="972" t="str">
        <f t="array" ref="G129">if(isblank(E129),"",xlookup(E129,'FL5_POR_包裝對照表 (Mapping Table)'!E:E,'FL5_POR_包裝對照表 (Mapping Table)'!C:C,"",0,1))</f>
        <v>NFU</v>
      </c>
      <c r="H129" s="973" t="str">
        <f t="array" ref="H129">if(isblank(E129),"",xlookup(E129,'FL5_POR_包裝對照表 (Mapping Table)'!E:E,'FL5_POR_包裝對照表 (Mapping Table)'!D:D,"",0,1))</f>
        <v>Retail Pack</v>
      </c>
      <c r="I129" s="974" t="str">
        <f t="shared" si="2"/>
        <v>Close</v>
      </c>
      <c r="J129" s="975" t="str">
        <f t="array" ref="J129">if(isblank(E129),"",xlookup(E129,'FL5_POR_包裝對照表 (Mapping Table)'!E:E,'FL5_POR_包裝對照表 (Mapping Table)'!H:H,"",0,1))</f>
        <v>mmWave</v>
      </c>
      <c r="K129" s="972" t="str">
        <f t="array" ref="K129">if(isblank(E129),"",xlookup(E129,'FL5_POR_包裝對照表 (Mapping Table)'!E:E,'FL5_POR_包裝對照表 (Mapping Table)'!M:M,"",0,1))</f>
        <v>TMO</v>
      </c>
      <c r="L129" s="972" t="str">
        <f t="array" ref="L129">if(isblank(E129),"",xlookup(E129,'FL5_POR_包裝對照表 (Mapping Table)'!E:E,'FL5_POR_包裝對照表 (Mapping Table)'!AN:AN,"",0,1))</f>
        <v>TBD</v>
      </c>
      <c r="M129" s="972" t="str">
        <f t="array" ref="M129">if(isblank(E129),"",xlookup(E129,'FL5_POR_包裝對照表 (Mapping Table)'!E:E,'FL5_POR_包裝對照表 (Mapping Table)'!J:J,"",0,1))</f>
        <v>Obsidian</v>
      </c>
      <c r="N129" s="972" t="str">
        <f t="array" ref="N129">if(isblank(E129),"",xlookup(E129,'FL5_POR_包裝對照表 (Mapping Table)'!E:E,'FL5_POR_包裝對照表 (Mapping Table)'!K:K,"",0,1))</f>
        <v>BLK</v>
      </c>
      <c r="O129" s="976" t="str">
        <f t="array" ref="O129">xlookup(E129,'Ike 提供_20250505'!D:D,'Ike 提供_20250505'!N:N,"",0,1)</f>
        <v>#N/A</v>
      </c>
      <c r="P129" s="976" t="str">
        <f t="array" ref="P129">xlookup(E129,'Ike 提供_20250505'!D:D,'Ike 提供_20250505'!O:O,"",0,1)</f>
        <v>#N/A</v>
      </c>
      <c r="Q129" s="977" t="str">
        <f t="array" ref="Q129">xlookup(E129,'FL5_POR_包裝對照表 (Mapping Table)'!E:E,'FL5_POR_包裝對照表 (Mapping Table)'!BI:BI,"",0,1)</f>
        <v>PE 說不需建BOM</v>
      </c>
      <c r="R129" s="977">
        <v>45779.0</v>
      </c>
      <c r="S129" s="977">
        <f t="shared" si="3"/>
        <v>45785</v>
      </c>
      <c r="T129" s="977">
        <v>45782.0</v>
      </c>
      <c r="U129" s="978"/>
      <c r="V129" s="935"/>
      <c r="W129" s="978" t="str">
        <f t="array" ref="W129">if(isblank(E129),"",xlookup(E129,'FL5_POR_包裝對照表 (Mapping Table)'!E:E,'FL5_POR_包裝對照表 (Mapping Table)'!BM:BM,"",0,1))</f>
        <v>No demand</v>
      </c>
      <c r="X129" s="935"/>
      <c r="Y129" s="935"/>
      <c r="Z129" s="935"/>
      <c r="AA129" s="935"/>
    </row>
    <row r="130" ht="15.75" hidden="1" customHeight="1">
      <c r="A130" s="935"/>
      <c r="B130" s="970">
        <v>123.0</v>
      </c>
      <c r="C130" s="970" t="str">
        <f>if(isblank(E130),"",'FL5_POR_包裝對照表 (Mapping Table)'!$E$4)</f>
        <v>GFL (FL5)</v>
      </c>
      <c r="D130" s="970" t="str">
        <f t="array" ref="D130">IF(ISBLANK(E130),"",xlookup(E130,'FL5_POR_包裝對照表 (Mapping Table)'!E:E,'FL5_POR_包裝對照表 (Mapping Table)'!AZ:AZ,"",0,1))</f>
        <v>MP</v>
      </c>
      <c r="E130" s="971" t="s">
        <v>1092</v>
      </c>
      <c r="F130" s="167" t="str">
        <f t="array" ref="F130">if(isblank(E130),"",xlookup(E130,'FL5_POR_包裝對照表 (Mapping Table)'!E:E,'FL5_POR_包裝對照表 (Mapping Table)'!F:F,"",0,1))</f>
        <v>TMO</v>
      </c>
      <c r="G130" s="972" t="str">
        <f t="array" ref="G130">if(isblank(E130),"",xlookup(E130,'FL5_POR_包裝對照表 (Mapping Table)'!E:E,'FL5_POR_包裝對照表 (Mapping Table)'!C:C,"",0,1))</f>
        <v>NFU</v>
      </c>
      <c r="H130" s="973" t="str">
        <f t="array" ref="H130">if(isblank(E130),"",xlookup(E130,'FL5_POR_包裝對照表 (Mapping Table)'!E:E,'FL5_POR_包裝對照表 (Mapping Table)'!D:D,"",0,1))</f>
        <v>Retail Pack</v>
      </c>
      <c r="I130" s="974" t="str">
        <f t="shared" si="2"/>
        <v>Close</v>
      </c>
      <c r="J130" s="975" t="str">
        <f t="array" ref="J130">if(isblank(E130),"",xlookup(E130,'FL5_POR_包裝對照表 (Mapping Table)'!E:E,'FL5_POR_包裝對照表 (Mapping Table)'!H:H,"",0,1))</f>
        <v>mmWave</v>
      </c>
      <c r="K130" s="972" t="str">
        <f t="array" ref="K130">if(isblank(E130),"",xlookup(E130,'FL5_POR_包裝對照表 (Mapping Table)'!E:E,'FL5_POR_包裝對照表 (Mapping Table)'!M:M,"",0,1))</f>
        <v>TMO</v>
      </c>
      <c r="L130" s="972" t="str">
        <f t="array" ref="L130">if(isblank(E130),"",xlookup(E130,'FL5_POR_包裝對照表 (Mapping Table)'!E:E,'FL5_POR_包裝對照表 (Mapping Table)'!AN:AN,"",0,1))</f>
        <v>TBD</v>
      </c>
      <c r="M130" s="972" t="str">
        <f t="array" ref="M130">if(isblank(E130),"",xlookup(E130,'FL5_POR_包裝對照表 (Mapping Table)'!E:E,'FL5_POR_包裝對照表 (Mapping Table)'!J:J,"",0,1))</f>
        <v>Indigo</v>
      </c>
      <c r="N130" s="972" t="str">
        <f t="array" ref="N130">if(isblank(E130),"",xlookup(E130,'FL5_POR_包裝對照表 (Mapping Table)'!E:E,'FL5_POR_包裝對照表 (Mapping Table)'!K:K,"",0,1))</f>
        <v>BUE</v>
      </c>
      <c r="O130" s="976" t="str">
        <f t="array" ref="O130">xlookup(E130,'Ike 提供_20250505'!D:D,'Ike 提供_20250505'!N:N,"",0,1)</f>
        <v>#N/A</v>
      </c>
      <c r="P130" s="976" t="str">
        <f t="array" ref="P130">xlookup(E130,'Ike 提供_20250505'!D:D,'Ike 提供_20250505'!O:O,"",0,1)</f>
        <v>#N/A</v>
      </c>
      <c r="Q130" s="977" t="str">
        <f t="array" ref="Q130">xlookup(E130,'FL5_POR_包裝對照表 (Mapping Table)'!E:E,'FL5_POR_包裝對照表 (Mapping Table)'!BI:BI,"",0,1)</f>
        <v>PE 說不需建BOM</v>
      </c>
      <c r="R130" s="977">
        <v>45779.0</v>
      </c>
      <c r="S130" s="977">
        <f t="shared" si="3"/>
        <v>45785</v>
      </c>
      <c r="T130" s="977">
        <v>45782.0</v>
      </c>
      <c r="U130" s="978"/>
      <c r="V130" s="935"/>
      <c r="W130" s="978" t="str">
        <f t="array" ref="W130">if(isblank(E130),"",xlookup(E130,'FL5_POR_包裝對照表 (Mapping Table)'!E:E,'FL5_POR_包裝對照表 (Mapping Table)'!BM:BM,"",0,1))</f>
        <v>No demand</v>
      </c>
      <c r="X130" s="935"/>
      <c r="Y130" s="935"/>
      <c r="Z130" s="935"/>
      <c r="AA130" s="935"/>
    </row>
    <row r="131" ht="15.75" hidden="1" customHeight="1">
      <c r="A131" s="935"/>
      <c r="B131" s="970">
        <v>124.0</v>
      </c>
      <c r="C131" s="970" t="str">
        <f>if(isblank(E131),"",'FL5_POR_包裝對照表 (Mapping Table)'!$E$4)</f>
        <v>GFL (FL5)</v>
      </c>
      <c r="D131" s="970" t="str">
        <f t="array" ref="D131">IF(ISBLANK(E131),"",xlookup(E131,'FL5_POR_包裝對照表 (Mapping Table)'!E:E,'FL5_POR_包裝對照表 (Mapping Table)'!AZ:AZ,"",0,1))</f>
        <v>MP</v>
      </c>
      <c r="E131" s="971" t="s">
        <v>1096</v>
      </c>
      <c r="F131" s="167" t="str">
        <f t="array" ref="F131">if(isblank(E131),"",xlookup(E131,'FL5_POR_包裝對照表 (Mapping Table)'!E:E,'FL5_POR_包裝對照表 (Mapping Table)'!F:F,"",0,1))</f>
        <v>VZW</v>
      </c>
      <c r="G131" s="972" t="str">
        <f t="array" ref="G131">if(isblank(E131),"",xlookup(E131,'FL5_POR_包裝對照表 (Mapping Table)'!E:E,'FL5_POR_包裝對照表 (Mapping Table)'!C:C,"",0,1))</f>
        <v>NFU</v>
      </c>
      <c r="H131" s="973" t="str">
        <f t="array" ref="H131">if(isblank(E131),"",xlookup(E131,'FL5_POR_包裝對照表 (Mapping Table)'!E:E,'FL5_POR_包裝對照表 (Mapping Table)'!D:D,"",0,1))</f>
        <v>Retail Pack</v>
      </c>
      <c r="I131" s="974" t="str">
        <f t="shared" si="2"/>
        <v>Close</v>
      </c>
      <c r="J131" s="975" t="str">
        <f t="array" ref="J131">if(isblank(E131),"",xlookup(E131,'FL5_POR_包裝對照表 (Mapping Table)'!E:E,'FL5_POR_包裝對照表 (Mapping Table)'!H:H,"",0,1))</f>
        <v>mmWave</v>
      </c>
      <c r="K131" s="972" t="str">
        <f t="array" ref="K131">if(isblank(E131),"",xlookup(E131,'FL5_POR_包裝對照表 (Mapping Table)'!E:E,'FL5_POR_包裝對照表 (Mapping Table)'!M:M,"",0,1))</f>
        <v>VZW</v>
      </c>
      <c r="L131" s="972" t="str">
        <f t="array" ref="L131">if(isblank(E131),"",xlookup(E131,'FL5_POR_包裝對照表 (Mapping Table)'!E:E,'FL5_POR_包裝對照表 (Mapping Table)'!AN:AN,"",0,1))</f>
        <v>TBD</v>
      </c>
      <c r="M131" s="972" t="str">
        <f t="array" ref="M131">if(isblank(E131),"",xlookup(E131,'FL5_POR_包裝對照表 (Mapping Table)'!E:E,'FL5_POR_包裝對照表 (Mapping Table)'!J:J,"",0,1))</f>
        <v>Obsidian</v>
      </c>
      <c r="N131" s="972" t="str">
        <f t="array" ref="N131">if(isblank(E131),"",xlookup(E131,'FL5_POR_包裝對照表 (Mapping Table)'!E:E,'FL5_POR_包裝對照表 (Mapping Table)'!K:K,"",0,1))</f>
        <v>BLK</v>
      </c>
      <c r="O131" s="976" t="str">
        <f t="array" ref="O131">xlookup(E131,'Ike 提供_20250505'!D:D,'Ike 提供_20250505'!N:N,"",0,1)</f>
        <v>#N/A</v>
      </c>
      <c r="P131" s="976" t="str">
        <f t="array" ref="P131">xlookup(E131,'Ike 提供_20250505'!D:D,'Ike 提供_20250505'!O:O,"",0,1)</f>
        <v>#N/A</v>
      </c>
      <c r="Q131" s="977" t="str">
        <f t="array" ref="Q131">xlookup(E131,'FL5_POR_包裝對照表 (Mapping Table)'!E:E,'FL5_POR_包裝對照表 (Mapping Table)'!BI:BI,"",0,1)</f>
        <v>PE 說不需建BOM</v>
      </c>
      <c r="R131" s="977">
        <v>45779.0</v>
      </c>
      <c r="S131" s="977">
        <f t="shared" si="3"/>
        <v>45785</v>
      </c>
      <c r="T131" s="977">
        <v>45782.0</v>
      </c>
      <c r="U131" s="978"/>
      <c r="V131" s="935"/>
      <c r="W131" s="978" t="str">
        <f t="array" ref="W131">if(isblank(E131),"",xlookup(E131,'FL5_POR_包裝對照表 (Mapping Table)'!E:E,'FL5_POR_包裝對照表 (Mapping Table)'!BM:BM,"",0,1))</f>
        <v>No demand</v>
      </c>
      <c r="X131" s="935"/>
      <c r="Y131" s="935"/>
      <c r="Z131" s="935"/>
      <c r="AA131" s="935"/>
    </row>
    <row r="132" ht="15.75" hidden="1" customHeight="1">
      <c r="A132" s="935"/>
      <c r="B132" s="970">
        <v>125.0</v>
      </c>
      <c r="C132" s="970" t="str">
        <f>if(isblank(E132),"",'FL5_POR_包裝對照表 (Mapping Table)'!$E$4)</f>
        <v>GFL (FL5)</v>
      </c>
      <c r="D132" s="970" t="str">
        <f t="array" ref="D132">IF(ISBLANK(E132),"",xlookup(E132,'FL5_POR_包裝對照表 (Mapping Table)'!E:E,'FL5_POR_包裝對照表 (Mapping Table)'!AZ:AZ,"",0,1))</f>
        <v>MP</v>
      </c>
      <c r="E132" s="971" t="s">
        <v>1101</v>
      </c>
      <c r="F132" s="167" t="str">
        <f t="array" ref="F132">if(isblank(E132),"",xlookup(E132,'FL5_POR_包裝對照表 (Mapping Table)'!E:E,'FL5_POR_包裝對照表 (Mapping Table)'!F:F,"",0,1))</f>
        <v>VZW</v>
      </c>
      <c r="G132" s="972" t="str">
        <f t="array" ref="G132">if(isblank(E132),"",xlookup(E132,'FL5_POR_包裝對照表 (Mapping Table)'!E:E,'FL5_POR_包裝對照表 (Mapping Table)'!C:C,"",0,1))</f>
        <v>NFU</v>
      </c>
      <c r="H132" s="973" t="str">
        <f t="array" ref="H132">if(isblank(E132),"",xlookup(E132,'FL5_POR_包裝對照表 (Mapping Table)'!E:E,'FL5_POR_包裝對照表 (Mapping Table)'!D:D,"",0,1))</f>
        <v>Retail Pack</v>
      </c>
      <c r="I132" s="974" t="str">
        <f t="shared" si="2"/>
        <v>Close</v>
      </c>
      <c r="J132" s="975" t="str">
        <f t="array" ref="J132">if(isblank(E132),"",xlookup(E132,'FL5_POR_包裝對照表 (Mapping Table)'!E:E,'FL5_POR_包裝對照表 (Mapping Table)'!H:H,"",0,1))</f>
        <v>mmWave</v>
      </c>
      <c r="K132" s="972" t="str">
        <f t="array" ref="K132">if(isblank(E132),"",xlookup(E132,'FL5_POR_包裝對照表 (Mapping Table)'!E:E,'FL5_POR_包裝對照表 (Mapping Table)'!M:M,"",0,1))</f>
        <v>VZW</v>
      </c>
      <c r="L132" s="972" t="str">
        <f t="array" ref="L132">if(isblank(E132),"",xlookup(E132,'FL5_POR_包裝對照表 (Mapping Table)'!E:E,'FL5_POR_包裝對照表 (Mapping Table)'!AN:AN,"",0,1))</f>
        <v>TBD</v>
      </c>
      <c r="M132" s="972" t="str">
        <f t="array" ref="M132">if(isblank(E132),"",xlookup(E132,'FL5_POR_包裝對照表 (Mapping Table)'!E:E,'FL5_POR_包裝對照表 (Mapping Table)'!J:J,"",0,1))</f>
        <v>Frost</v>
      </c>
      <c r="N132" s="972" t="str">
        <f t="array" ref="N132">if(isblank(E132),"",xlookup(E132,'FL5_POR_包裝對照表 (Mapping Table)'!E:E,'FL5_POR_包裝對照表 (Mapping Table)'!K:K,"",0,1))</f>
        <v>PPL</v>
      </c>
      <c r="O132" s="976" t="str">
        <f t="array" ref="O132">xlookup(E132,'Ike 提供_20250505'!D:D,'Ike 提供_20250505'!N:N,"",0,1)</f>
        <v>#N/A</v>
      </c>
      <c r="P132" s="976" t="str">
        <f t="array" ref="P132">xlookup(E132,'Ike 提供_20250505'!D:D,'Ike 提供_20250505'!O:O,"",0,1)</f>
        <v>#N/A</v>
      </c>
      <c r="Q132" s="977" t="str">
        <f t="array" ref="Q132">xlookup(E132,'FL5_POR_包裝對照表 (Mapping Table)'!E:E,'FL5_POR_包裝對照表 (Mapping Table)'!BI:BI,"",0,1)</f>
        <v>PE 說不需建BOM</v>
      </c>
      <c r="R132" s="977">
        <v>45779.0</v>
      </c>
      <c r="S132" s="977">
        <f t="shared" si="3"/>
        <v>45785</v>
      </c>
      <c r="T132" s="977">
        <v>45782.0</v>
      </c>
      <c r="U132" s="978"/>
      <c r="V132" s="935"/>
      <c r="W132" s="978" t="str">
        <f t="array" ref="W132">if(isblank(E132),"",xlookup(E132,'FL5_POR_包裝對照表 (Mapping Table)'!E:E,'FL5_POR_包裝對照表 (Mapping Table)'!BM:BM,"",0,1))</f>
        <v>No demand</v>
      </c>
      <c r="X132" s="935"/>
      <c r="Y132" s="935"/>
      <c r="Z132" s="935"/>
      <c r="AA132" s="935"/>
    </row>
    <row r="133" ht="15.75" hidden="1" customHeight="1">
      <c r="A133" s="935"/>
      <c r="B133" s="970">
        <v>126.0</v>
      </c>
      <c r="C133" s="970" t="str">
        <f>if(isblank(E133),"",'FL5_POR_包裝對照表 (Mapping Table)'!$E$4)</f>
        <v>GFL (FL5)</v>
      </c>
      <c r="D133" s="970" t="str">
        <f t="array" ref="D133">IF(ISBLANK(E133),"",xlookup(E133,'FL5_POR_包裝對照表 (Mapping Table)'!E:E,'FL5_POR_包裝對照表 (Mapping Table)'!AZ:AZ,"",0,1))</f>
        <v>MP</v>
      </c>
      <c r="E133" s="971" t="s">
        <v>1105</v>
      </c>
      <c r="F133" s="167" t="str">
        <f t="array" ref="F133">if(isblank(E133),"",xlookup(E133,'FL5_POR_包裝對照表 (Mapping Table)'!E:E,'FL5_POR_包裝對照表 (Mapping Table)'!F:F,"",0,1))</f>
        <v>VZW</v>
      </c>
      <c r="G133" s="972" t="str">
        <f t="array" ref="G133">if(isblank(E133),"",xlookup(E133,'FL5_POR_包裝對照表 (Mapping Table)'!E:E,'FL5_POR_包裝對照表 (Mapping Table)'!C:C,"",0,1))</f>
        <v>NFU</v>
      </c>
      <c r="H133" s="973" t="str">
        <f t="array" ref="H133">if(isblank(E133),"",xlookup(E133,'FL5_POR_包裝對照表 (Mapping Table)'!E:E,'FL5_POR_包裝對照表 (Mapping Table)'!D:D,"",0,1))</f>
        <v>Retail Pack</v>
      </c>
      <c r="I133" s="974" t="str">
        <f t="shared" si="2"/>
        <v>Close</v>
      </c>
      <c r="J133" s="975" t="str">
        <f t="array" ref="J133">if(isblank(E133),"",xlookup(E133,'FL5_POR_包裝對照表 (Mapping Table)'!E:E,'FL5_POR_包裝對照表 (Mapping Table)'!H:H,"",0,1))</f>
        <v>mmWave</v>
      </c>
      <c r="K133" s="972" t="str">
        <f t="array" ref="K133">if(isblank(E133),"",xlookup(E133,'FL5_POR_包裝對照表 (Mapping Table)'!E:E,'FL5_POR_包裝對照表 (Mapping Table)'!M:M,"",0,1))</f>
        <v>VZW</v>
      </c>
      <c r="L133" s="972" t="str">
        <f t="array" ref="L133">if(isblank(E133),"",xlookup(E133,'FL5_POR_包裝對照表 (Mapping Table)'!E:E,'FL5_POR_包裝對照表 (Mapping Table)'!AN:AN,"",0,1))</f>
        <v>TBD</v>
      </c>
      <c r="M133" s="972" t="str">
        <f t="array" ref="M133">if(isblank(E133),"",xlookup(E133,'FL5_POR_包裝對照表 (Mapping Table)'!E:E,'FL5_POR_包裝對照表 (Mapping Table)'!J:J,"",0,1))</f>
        <v>Lemongrass</v>
      </c>
      <c r="N133" s="972" t="str">
        <f t="array" ref="N133">if(isblank(E133),"",xlookup(E133,'FL5_POR_包裝對照表 (Mapping Table)'!E:E,'FL5_POR_包裝對照表 (Mapping Table)'!K:K,"",0,1))</f>
        <v>YEL</v>
      </c>
      <c r="O133" s="976" t="str">
        <f t="array" ref="O133">xlookup(E133,'Ike 提供_20250505'!D:D,'Ike 提供_20250505'!N:N,"",0,1)</f>
        <v>#N/A</v>
      </c>
      <c r="P133" s="976" t="str">
        <f t="array" ref="P133">xlookup(E133,'Ike 提供_20250505'!D:D,'Ike 提供_20250505'!O:O,"",0,1)</f>
        <v>#N/A</v>
      </c>
      <c r="Q133" s="977" t="str">
        <f t="array" ref="Q133">xlookup(E133,'FL5_POR_包裝對照表 (Mapping Table)'!E:E,'FL5_POR_包裝對照表 (Mapping Table)'!BI:BI,"",0,1)</f>
        <v>PE 說不需建BOM</v>
      </c>
      <c r="R133" s="977">
        <v>45779.0</v>
      </c>
      <c r="S133" s="977">
        <f t="shared" si="3"/>
        <v>45785</v>
      </c>
      <c r="T133" s="977">
        <v>45782.0</v>
      </c>
      <c r="U133" s="978"/>
      <c r="V133" s="935"/>
      <c r="W133" s="978" t="str">
        <f t="array" ref="W133">if(isblank(E133),"",xlookup(E133,'FL5_POR_包裝對照表 (Mapping Table)'!E:E,'FL5_POR_包裝對照表 (Mapping Table)'!BM:BM,"",0,1))</f>
        <v>No demand</v>
      </c>
      <c r="X133" s="935"/>
      <c r="Y133" s="935"/>
      <c r="Z133" s="935"/>
      <c r="AA133" s="935"/>
    </row>
    <row r="134" ht="15.75" hidden="1" customHeight="1">
      <c r="A134" s="935"/>
      <c r="B134" s="970">
        <v>127.0</v>
      </c>
      <c r="C134" s="970" t="str">
        <f>if(isblank(E134),"",'FL5_POR_包裝對照表 (Mapping Table)'!$E$4)</f>
        <v>GFL (FL5)</v>
      </c>
      <c r="D134" s="970" t="str">
        <f t="array" ref="D134">IF(ISBLANK(E134),"",xlookup(E134,'FL5_POR_包裝對照表 (Mapping Table)'!E:E,'FL5_POR_包裝對照表 (Mapping Table)'!AZ:AZ,"",0,1))</f>
        <v>MP</v>
      </c>
      <c r="E134" s="971" t="s">
        <v>1109</v>
      </c>
      <c r="F134" s="167" t="str">
        <f t="array" ref="F134">if(isblank(E134),"",xlookup(E134,'FL5_POR_包裝對照表 (Mapping Table)'!E:E,'FL5_POR_包裝對照表 (Mapping Table)'!F:F,"",0,1))</f>
        <v>VZW</v>
      </c>
      <c r="G134" s="972" t="str">
        <f t="array" ref="G134">if(isblank(E134),"",xlookup(E134,'FL5_POR_包裝對照表 (Mapping Table)'!E:E,'FL5_POR_包裝對照表 (Mapping Table)'!C:C,"",0,1))</f>
        <v>NFU</v>
      </c>
      <c r="H134" s="973" t="str">
        <f t="array" ref="H134">if(isblank(E134),"",xlookup(E134,'FL5_POR_包裝對照表 (Mapping Table)'!E:E,'FL5_POR_包裝對照表 (Mapping Table)'!D:D,"",0,1))</f>
        <v>Retail Pack</v>
      </c>
      <c r="I134" s="974" t="str">
        <f t="shared" si="2"/>
        <v>Close</v>
      </c>
      <c r="J134" s="975" t="str">
        <f t="array" ref="J134">if(isblank(E134),"",xlookup(E134,'FL5_POR_包裝對照表 (Mapping Table)'!E:E,'FL5_POR_包裝對照表 (Mapping Table)'!H:H,"",0,1))</f>
        <v>mmWave</v>
      </c>
      <c r="K134" s="972" t="str">
        <f t="array" ref="K134">if(isblank(E134),"",xlookup(E134,'FL5_POR_包裝對照表 (Mapping Table)'!E:E,'FL5_POR_包裝對照表 (Mapping Table)'!M:M,"",0,1))</f>
        <v>VZW</v>
      </c>
      <c r="L134" s="972" t="str">
        <f t="array" ref="L134">if(isblank(E134),"",xlookup(E134,'FL5_POR_包裝對照表 (Mapping Table)'!E:E,'FL5_POR_包裝對照表 (Mapping Table)'!AN:AN,"",0,1))</f>
        <v>TBD</v>
      </c>
      <c r="M134" s="972" t="str">
        <f t="array" ref="M134">if(isblank(E134),"",xlookup(E134,'FL5_POR_包裝對照表 (Mapping Table)'!E:E,'FL5_POR_包裝對照表 (Mapping Table)'!J:J,"",0,1))</f>
        <v>Indigo</v>
      </c>
      <c r="N134" s="972" t="str">
        <f t="array" ref="N134">if(isblank(E134),"",xlookup(E134,'FL5_POR_包裝對照表 (Mapping Table)'!E:E,'FL5_POR_包裝對照表 (Mapping Table)'!K:K,"",0,1))</f>
        <v>BUE</v>
      </c>
      <c r="O134" s="976" t="str">
        <f t="array" ref="O134">xlookup(E134,'Ike 提供_20250505'!D:D,'Ike 提供_20250505'!N:N,"",0,1)</f>
        <v>#N/A</v>
      </c>
      <c r="P134" s="976" t="str">
        <f t="array" ref="P134">xlookup(E134,'Ike 提供_20250505'!D:D,'Ike 提供_20250505'!O:O,"",0,1)</f>
        <v>#N/A</v>
      </c>
      <c r="Q134" s="977" t="str">
        <f t="array" ref="Q134">xlookup(E134,'FL5_POR_包裝對照表 (Mapping Table)'!E:E,'FL5_POR_包裝對照表 (Mapping Table)'!BI:BI,"",0,1)</f>
        <v>PE 說不需建BOM</v>
      </c>
      <c r="R134" s="977">
        <v>45779.0</v>
      </c>
      <c r="S134" s="977">
        <f t="shared" si="3"/>
        <v>45785</v>
      </c>
      <c r="T134" s="977">
        <v>45782.0</v>
      </c>
      <c r="U134" s="978"/>
      <c r="V134" s="935"/>
      <c r="W134" s="978" t="str">
        <f t="array" ref="W134">if(isblank(E134),"",xlookup(E134,'FL5_POR_包裝對照表 (Mapping Table)'!E:E,'FL5_POR_包裝對照表 (Mapping Table)'!BM:BM,"",0,1))</f>
        <v>No demand</v>
      </c>
      <c r="X134" s="935"/>
      <c r="Y134" s="935"/>
      <c r="Z134" s="935"/>
      <c r="AA134" s="935"/>
    </row>
    <row r="135" ht="15.75" hidden="1" customHeight="1">
      <c r="A135" s="935"/>
      <c r="B135" s="970">
        <v>128.0</v>
      </c>
      <c r="C135" s="970" t="str">
        <f>if(isblank(E135),"",'FL5_POR_包裝對照表 (Mapping Table)'!$E$4)</f>
        <v>GFL (FL5)</v>
      </c>
      <c r="D135" s="970" t="str">
        <f t="array" ref="D135">IF(ISBLANK(E135),"",xlookup(E135,'FL5_POR_包裝對照表 (Mapping Table)'!E:E,'FL5_POR_包裝對照表 (Mapping Table)'!AZ:AZ,"",0,1))</f>
        <v>MP</v>
      </c>
      <c r="E135" s="971" t="s">
        <v>1113</v>
      </c>
      <c r="F135" s="167" t="str">
        <f t="array" ref="F135">if(isblank(E135),"",xlookup(E135,'FL5_POR_包裝對照表 (Mapping Table)'!E:E,'FL5_POR_包裝對照表 (Mapping Table)'!F:F,"",0,1))</f>
        <v>ATT</v>
      </c>
      <c r="G135" s="972" t="str">
        <f t="array" ref="G135">if(isblank(E135),"",xlookup(E135,'FL5_POR_包裝對照表 (Mapping Table)'!E:E,'FL5_POR_包裝對照表 (Mapping Table)'!C:C,"",0,1))</f>
        <v>NFU</v>
      </c>
      <c r="H135" s="973" t="str">
        <f t="array" ref="H135">if(isblank(E135),"",xlookup(E135,'FL5_POR_包裝對照表 (Mapping Table)'!E:E,'FL5_POR_包裝對照表 (Mapping Table)'!D:D,"",0,1))</f>
        <v>Retail Pack</v>
      </c>
      <c r="I135" s="974" t="str">
        <f t="shared" si="2"/>
        <v>Close</v>
      </c>
      <c r="J135" s="975" t="str">
        <f t="array" ref="J135">if(isblank(E135),"",xlookup(E135,'FL5_POR_包裝對照表 (Mapping Table)'!E:E,'FL5_POR_包裝對照表 (Mapping Table)'!H:H,"",0,1))</f>
        <v>mmWave</v>
      </c>
      <c r="K135" s="972" t="str">
        <f t="array" ref="K135">if(isblank(E135),"",xlookup(E135,'FL5_POR_包裝對照表 (Mapping Table)'!E:E,'FL5_POR_包裝對照表 (Mapping Table)'!M:M,"",0,1))</f>
        <v>ATT</v>
      </c>
      <c r="L135" s="972" t="str">
        <f t="array" ref="L135">if(isblank(E135),"",xlookup(E135,'FL5_POR_包裝對照表 (Mapping Table)'!E:E,'FL5_POR_包裝對照表 (Mapping Table)'!AN:AN,"",0,1))</f>
        <v>TBD</v>
      </c>
      <c r="M135" s="972" t="str">
        <f t="array" ref="M135">if(isblank(E135),"",xlookup(E135,'FL5_POR_包裝對照表 (Mapping Table)'!E:E,'FL5_POR_包裝對照表 (Mapping Table)'!J:J,"",0,1))</f>
        <v>Obsidian</v>
      </c>
      <c r="N135" s="972" t="str">
        <f t="array" ref="N135">if(isblank(E135),"",xlookup(E135,'FL5_POR_包裝對照表 (Mapping Table)'!E:E,'FL5_POR_包裝對照表 (Mapping Table)'!K:K,"",0,1))</f>
        <v>BLK</v>
      </c>
      <c r="O135" s="976" t="str">
        <f t="array" ref="O135">xlookup(E135,'Ike 提供_20250505'!D:D,'Ike 提供_20250505'!N:N,"",0,1)</f>
        <v>#N/A</v>
      </c>
      <c r="P135" s="976" t="str">
        <f t="array" ref="P135">xlookup(E135,'Ike 提供_20250505'!D:D,'Ike 提供_20250505'!O:O,"",0,1)</f>
        <v>#N/A</v>
      </c>
      <c r="Q135" s="977" t="str">
        <f t="array" ref="Q135">xlookup(E135,'FL5_POR_包裝對照表 (Mapping Table)'!E:E,'FL5_POR_包裝對照表 (Mapping Table)'!BI:BI,"",0,1)</f>
        <v>PE 說不需建BOM</v>
      </c>
      <c r="R135" s="977">
        <v>45779.0</v>
      </c>
      <c r="S135" s="977">
        <f t="shared" si="3"/>
        <v>45785</v>
      </c>
      <c r="T135" s="977">
        <v>45782.0</v>
      </c>
      <c r="U135" s="978"/>
      <c r="V135" s="935"/>
      <c r="W135" s="978" t="str">
        <f t="array" ref="W135">if(isblank(E135),"",xlookup(E135,'FL5_POR_包裝對照表 (Mapping Table)'!E:E,'FL5_POR_包裝對照表 (Mapping Table)'!BM:BM,"",0,1))</f>
        <v>No demand</v>
      </c>
      <c r="X135" s="935"/>
      <c r="Y135" s="935"/>
      <c r="Z135" s="935"/>
      <c r="AA135" s="935"/>
    </row>
    <row r="136" ht="15.75" hidden="1" customHeight="1">
      <c r="A136" s="935"/>
      <c r="B136" s="970">
        <v>129.0</v>
      </c>
      <c r="C136" s="970" t="str">
        <f>if(isblank(E136),"",'FL5_POR_包裝對照表 (Mapping Table)'!$E$4)</f>
        <v>GFL (FL5)</v>
      </c>
      <c r="D136" s="970" t="str">
        <f t="array" ref="D136">IF(ISBLANK(E136),"",xlookup(E136,'FL5_POR_包裝對照表 (Mapping Table)'!E:E,'FL5_POR_包裝對照表 (Mapping Table)'!AZ:AZ,"",0,1))</f>
        <v>MP</v>
      </c>
      <c r="E136" s="971" t="s">
        <v>1117</v>
      </c>
      <c r="F136" s="167" t="str">
        <f t="array" ref="F136">if(isblank(E136),"",xlookup(E136,'FL5_POR_包裝對照表 (Mapping Table)'!E:E,'FL5_POR_包裝對照表 (Mapping Table)'!F:F,"",0,1))</f>
        <v>ATT</v>
      </c>
      <c r="G136" s="972" t="str">
        <f t="array" ref="G136">if(isblank(E136),"",xlookup(E136,'FL5_POR_包裝對照表 (Mapping Table)'!E:E,'FL5_POR_包裝對照表 (Mapping Table)'!C:C,"",0,1))</f>
        <v>NFU</v>
      </c>
      <c r="H136" s="973" t="str">
        <f t="array" ref="H136">if(isblank(E136),"",xlookup(E136,'FL5_POR_包裝對照表 (Mapping Table)'!E:E,'FL5_POR_包裝對照表 (Mapping Table)'!D:D,"",0,1))</f>
        <v>Retail Pack</v>
      </c>
      <c r="I136" s="974" t="str">
        <f t="shared" si="2"/>
        <v>Close</v>
      </c>
      <c r="J136" s="975" t="str">
        <f t="array" ref="J136">if(isblank(E136),"",xlookup(E136,'FL5_POR_包裝對照表 (Mapping Table)'!E:E,'FL5_POR_包裝對照表 (Mapping Table)'!H:H,"",0,1))</f>
        <v>mmWave</v>
      </c>
      <c r="K136" s="972" t="str">
        <f t="array" ref="K136">if(isblank(E136),"",xlookup(E136,'FL5_POR_包裝對照表 (Mapping Table)'!E:E,'FL5_POR_包裝對照表 (Mapping Table)'!M:M,"",0,1))</f>
        <v>ATT</v>
      </c>
      <c r="L136" s="972" t="str">
        <f t="array" ref="L136">if(isblank(E136),"",xlookup(E136,'FL5_POR_包裝對照表 (Mapping Table)'!E:E,'FL5_POR_包裝對照表 (Mapping Table)'!AN:AN,"",0,1))</f>
        <v>TBD</v>
      </c>
      <c r="M136" s="972" t="str">
        <f t="array" ref="M136">if(isblank(E136),"",xlookup(E136,'FL5_POR_包裝對照表 (Mapping Table)'!E:E,'FL5_POR_包裝對照表 (Mapping Table)'!J:J,"",0,1))</f>
        <v>Indigo</v>
      </c>
      <c r="N136" s="972" t="str">
        <f t="array" ref="N136">if(isblank(E136),"",xlookup(E136,'FL5_POR_包裝對照表 (Mapping Table)'!E:E,'FL5_POR_包裝對照表 (Mapping Table)'!K:K,"",0,1))</f>
        <v>BUE</v>
      </c>
      <c r="O136" s="976" t="str">
        <f t="array" ref="O136">xlookup(E136,'Ike 提供_20250505'!D:D,'Ike 提供_20250505'!N:N,"",0,1)</f>
        <v>#N/A</v>
      </c>
      <c r="P136" s="976" t="str">
        <f t="array" ref="P136">xlookup(E136,'Ike 提供_20250505'!D:D,'Ike 提供_20250505'!O:O,"",0,1)</f>
        <v>#N/A</v>
      </c>
      <c r="Q136" s="977" t="str">
        <f t="array" ref="Q136">xlookup(E136,'FL5_POR_包裝對照表 (Mapping Table)'!E:E,'FL5_POR_包裝對照表 (Mapping Table)'!BI:BI,"",0,1)</f>
        <v>PE 說不需建BOM</v>
      </c>
      <c r="R136" s="977">
        <v>45779.0</v>
      </c>
      <c r="S136" s="977">
        <f t="shared" si="3"/>
        <v>45785</v>
      </c>
      <c r="T136" s="977">
        <v>45782.0</v>
      </c>
      <c r="U136" s="978"/>
      <c r="V136" s="935"/>
      <c r="W136" s="978" t="str">
        <f t="array" ref="W136">if(isblank(E136),"",xlookup(E136,'FL5_POR_包裝對照表 (Mapping Table)'!E:E,'FL5_POR_包裝對照表 (Mapping Table)'!BM:BM,"",0,1))</f>
        <v>No demand</v>
      </c>
      <c r="X136" s="935"/>
      <c r="Y136" s="935"/>
      <c r="Z136" s="935"/>
      <c r="AA136" s="935"/>
    </row>
    <row r="137" ht="15.75" hidden="1" customHeight="1">
      <c r="A137" s="935"/>
      <c r="B137" s="970">
        <v>130.0</v>
      </c>
      <c r="C137" s="970" t="str">
        <f>if(isblank(E137),"",'FL5_POR_包裝對照表 (Mapping Table)'!$E$4)</f>
        <v>GFL (FL5)</v>
      </c>
      <c r="D137" s="970" t="str">
        <f t="array" ref="D137">IF(ISBLANK(E137),"",xlookup(E137,'FL5_POR_包裝對照表 (Mapping Table)'!E:E,'FL5_POR_包裝對照表 (Mapping Table)'!AZ:AZ,"",0,1))</f>
        <v>MP</v>
      </c>
      <c r="E137" s="971" t="s">
        <v>1121</v>
      </c>
      <c r="F137" s="167" t="str">
        <f t="array" ref="F137">if(isblank(E137),"",xlookup(E137,'FL5_POR_包裝對照表 (Mapping Table)'!E:E,'FL5_POR_包裝對照表 (Mapping Table)'!F:F,"",0,1))</f>
        <v>US</v>
      </c>
      <c r="G137" s="972" t="str">
        <f t="array" ref="G137">if(isblank(E137),"",xlookup(E137,'FL5_POR_包裝對照表 (Mapping Table)'!E:E,'FL5_POR_包裝對照表 (Mapping Table)'!C:C,"",0,1))</f>
        <v>NFU</v>
      </c>
      <c r="H137" s="973" t="str">
        <f t="array" ref="H137">if(isblank(E137),"",xlookup(E137,'FL5_POR_包裝對照表 (Mapping Table)'!E:E,'FL5_POR_包裝對照表 (Mapping Table)'!D:D,"",0,1))</f>
        <v>Retail Pack</v>
      </c>
      <c r="I137" s="974" t="str">
        <f t="shared" si="2"/>
        <v>Close</v>
      </c>
      <c r="J137" s="975" t="str">
        <f t="array" ref="J137">if(isblank(E137),"",xlookup(E137,'FL5_POR_包裝對照表 (Mapping Table)'!E:E,'FL5_POR_包裝對照表 (Mapping Table)'!H:H,"",0,1))</f>
        <v>mmWave</v>
      </c>
      <c r="K137" s="972" t="str">
        <f t="array" ref="K137">if(isblank(E137),"",xlookup(E137,'FL5_POR_包裝對照表 (Mapping Table)'!E:E,'FL5_POR_包裝對照表 (Mapping Table)'!M:M,"",0,1))</f>
        <v>NA</v>
      </c>
      <c r="L137" s="972" t="str">
        <f t="array" ref="L137">if(isblank(E137),"",xlookup(E137,'FL5_POR_包裝對照表 (Mapping Table)'!E:E,'FL5_POR_包裝對照表 (Mapping Table)'!AN:AN,"",0,1))</f>
        <v>TBD</v>
      </c>
      <c r="M137" s="972" t="str">
        <f t="array" ref="M137">if(isblank(E137),"",xlookup(E137,'FL5_POR_包裝對照表 (Mapping Table)'!E:E,'FL5_POR_包裝對照表 (Mapping Table)'!J:J,"",0,1))</f>
        <v>Obsidian</v>
      </c>
      <c r="N137" s="972" t="str">
        <f t="array" ref="N137">if(isblank(E137),"",xlookup(E137,'FL5_POR_包裝對照表 (Mapping Table)'!E:E,'FL5_POR_包裝對照表 (Mapping Table)'!K:K,"",0,1))</f>
        <v>BLK</v>
      </c>
      <c r="O137" s="976" t="str">
        <f t="array" ref="O137">xlookup(E137,'Ike 提供_20250505'!D:D,'Ike 提供_20250505'!N:N,"",0,1)</f>
        <v>#N/A</v>
      </c>
      <c r="P137" s="976" t="str">
        <f t="array" ref="P137">xlookup(E137,'Ike 提供_20250505'!D:D,'Ike 提供_20250505'!O:O,"",0,1)</f>
        <v>#N/A</v>
      </c>
      <c r="Q137" s="977" t="str">
        <f t="array" ref="Q137">xlookup(E137,'FL5_POR_包裝對照表 (Mapping Table)'!E:E,'FL5_POR_包裝對照表 (Mapping Table)'!BI:BI,"",0,1)</f>
        <v>PE 說不需建BOM</v>
      </c>
      <c r="R137" s="977">
        <v>45779.0</v>
      </c>
      <c r="S137" s="977">
        <f t="shared" si="3"/>
        <v>45785</v>
      </c>
      <c r="T137" s="977">
        <v>45782.0</v>
      </c>
      <c r="U137" s="978"/>
      <c r="V137" s="935"/>
      <c r="W137" s="978" t="str">
        <f t="array" ref="W137">if(isblank(E137),"",xlookup(E137,'FL5_POR_包裝對照表 (Mapping Table)'!E:E,'FL5_POR_包裝對照表 (Mapping Table)'!BM:BM,"",0,1))</f>
        <v>No demand</v>
      </c>
      <c r="X137" s="935"/>
      <c r="Y137" s="935"/>
      <c r="Z137" s="935"/>
      <c r="AA137" s="935"/>
    </row>
    <row r="138" ht="15.75" hidden="1" customHeight="1">
      <c r="A138" s="935"/>
      <c r="B138" s="970">
        <v>131.0</v>
      </c>
      <c r="C138" s="970" t="str">
        <f>if(isblank(E138),"",'FL5_POR_包裝對照表 (Mapping Table)'!$E$4)</f>
        <v>GFL (FL5)</v>
      </c>
      <c r="D138" s="970" t="str">
        <f t="array" ref="D138">IF(ISBLANK(E138),"",xlookup(E138,'FL5_POR_包裝對照表 (Mapping Table)'!E:E,'FL5_POR_包裝對照表 (Mapping Table)'!AZ:AZ,"",0,1))</f>
        <v>MP</v>
      </c>
      <c r="E138" s="971" t="s">
        <v>1126</v>
      </c>
      <c r="F138" s="167" t="str">
        <f t="array" ref="F138">if(isblank(E138),"",xlookup(E138,'FL5_POR_包裝對照表 (Mapping Table)'!E:E,'FL5_POR_包裝對照表 (Mapping Table)'!F:F,"",0,1))</f>
        <v>US</v>
      </c>
      <c r="G138" s="972" t="str">
        <f t="array" ref="G138">if(isblank(E138),"",xlookup(E138,'FL5_POR_包裝對照表 (Mapping Table)'!E:E,'FL5_POR_包裝對照表 (Mapping Table)'!C:C,"",0,1))</f>
        <v>NFU</v>
      </c>
      <c r="H138" s="973" t="str">
        <f t="array" ref="H138">if(isblank(E138),"",xlookup(E138,'FL5_POR_包裝對照表 (Mapping Table)'!E:E,'FL5_POR_包裝對照表 (Mapping Table)'!D:D,"",0,1))</f>
        <v>Retail Pack</v>
      </c>
      <c r="I138" s="974" t="str">
        <f t="shared" si="2"/>
        <v>Close</v>
      </c>
      <c r="J138" s="975" t="str">
        <f t="array" ref="J138">if(isblank(E138),"",xlookup(E138,'FL5_POR_包裝對照表 (Mapping Table)'!E:E,'FL5_POR_包裝對照表 (Mapping Table)'!H:H,"",0,1))</f>
        <v>mmWave</v>
      </c>
      <c r="K138" s="972" t="str">
        <f t="array" ref="K138">if(isblank(E138),"",xlookup(E138,'FL5_POR_包裝對照表 (Mapping Table)'!E:E,'FL5_POR_包裝對照表 (Mapping Table)'!M:M,"",0,1))</f>
        <v>NA</v>
      </c>
      <c r="L138" s="972" t="str">
        <f t="array" ref="L138">if(isblank(E138),"",xlookup(E138,'FL5_POR_包裝對照表 (Mapping Table)'!E:E,'FL5_POR_包裝對照表 (Mapping Table)'!AN:AN,"",0,1))</f>
        <v>TBD</v>
      </c>
      <c r="M138" s="972" t="str">
        <f t="array" ref="M138">if(isblank(E138),"",xlookup(E138,'FL5_POR_包裝對照表 (Mapping Table)'!E:E,'FL5_POR_包裝對照表 (Mapping Table)'!J:J,"",0,1))</f>
        <v>Frost</v>
      </c>
      <c r="N138" s="972" t="str">
        <f t="array" ref="N138">if(isblank(E138),"",xlookup(E138,'FL5_POR_包裝對照表 (Mapping Table)'!E:E,'FL5_POR_包裝對照表 (Mapping Table)'!K:K,"",0,1))</f>
        <v>PPL</v>
      </c>
      <c r="O138" s="976" t="str">
        <f t="array" ref="O138">xlookup(E138,'Ike 提供_20250505'!D:D,'Ike 提供_20250505'!N:N,"",0,1)</f>
        <v>#N/A</v>
      </c>
      <c r="P138" s="976" t="str">
        <f t="array" ref="P138">xlookup(E138,'Ike 提供_20250505'!D:D,'Ike 提供_20250505'!O:O,"",0,1)</f>
        <v>#N/A</v>
      </c>
      <c r="Q138" s="977" t="str">
        <f t="array" ref="Q138">xlookup(E138,'FL5_POR_包裝對照表 (Mapping Table)'!E:E,'FL5_POR_包裝對照表 (Mapping Table)'!BI:BI,"",0,1)</f>
        <v>PE 說不需建BOM</v>
      </c>
      <c r="R138" s="977">
        <v>45779.0</v>
      </c>
      <c r="S138" s="977">
        <f t="shared" si="3"/>
        <v>45785</v>
      </c>
      <c r="T138" s="977">
        <v>45782.0</v>
      </c>
      <c r="U138" s="978"/>
      <c r="V138" s="935"/>
      <c r="W138" s="978" t="str">
        <f t="array" ref="W138">if(isblank(E138),"",xlookup(E138,'FL5_POR_包裝對照表 (Mapping Table)'!E:E,'FL5_POR_包裝對照表 (Mapping Table)'!BM:BM,"",0,1))</f>
        <v>No demand</v>
      </c>
      <c r="X138" s="935"/>
      <c r="Y138" s="935"/>
      <c r="Z138" s="935"/>
      <c r="AA138" s="935"/>
    </row>
    <row r="139" ht="15.75" hidden="1" customHeight="1">
      <c r="A139" s="935"/>
      <c r="B139" s="970">
        <v>132.0</v>
      </c>
      <c r="C139" s="970" t="str">
        <f>if(isblank(E139),"",'FL5_POR_包裝對照表 (Mapping Table)'!$E$4)</f>
        <v>GFL (FL5)</v>
      </c>
      <c r="D139" s="970" t="str">
        <f t="array" ref="D139">IF(ISBLANK(E139),"",xlookup(E139,'FL5_POR_包裝對照表 (Mapping Table)'!E:E,'FL5_POR_包裝對照表 (Mapping Table)'!AZ:AZ,"",0,1))</f>
        <v>MP</v>
      </c>
      <c r="E139" s="971" t="s">
        <v>1130</v>
      </c>
      <c r="F139" s="167" t="str">
        <f t="array" ref="F139">if(isblank(E139),"",xlookup(E139,'FL5_POR_包裝對照表 (Mapping Table)'!E:E,'FL5_POR_包裝對照表 (Mapping Table)'!F:F,"",0,1))</f>
        <v>US</v>
      </c>
      <c r="G139" s="972" t="str">
        <f t="array" ref="G139">if(isblank(E139),"",xlookup(E139,'FL5_POR_包裝對照表 (Mapping Table)'!E:E,'FL5_POR_包裝對照表 (Mapping Table)'!C:C,"",0,1))</f>
        <v>NFU</v>
      </c>
      <c r="H139" s="973" t="str">
        <f t="array" ref="H139">if(isblank(E139),"",xlookup(E139,'FL5_POR_包裝對照表 (Mapping Table)'!E:E,'FL5_POR_包裝對照表 (Mapping Table)'!D:D,"",0,1))</f>
        <v>Retail Pack</v>
      </c>
      <c r="I139" s="974" t="str">
        <f t="shared" si="2"/>
        <v>Close</v>
      </c>
      <c r="J139" s="975" t="str">
        <f t="array" ref="J139">if(isblank(E139),"",xlookup(E139,'FL5_POR_包裝對照表 (Mapping Table)'!E:E,'FL5_POR_包裝對照表 (Mapping Table)'!H:H,"",0,1))</f>
        <v>mmWave</v>
      </c>
      <c r="K139" s="972" t="str">
        <f t="array" ref="K139">if(isblank(E139),"",xlookup(E139,'FL5_POR_包裝對照表 (Mapping Table)'!E:E,'FL5_POR_包裝對照表 (Mapping Table)'!M:M,"",0,1))</f>
        <v>NA</v>
      </c>
      <c r="L139" s="972" t="str">
        <f t="array" ref="L139">if(isblank(E139),"",xlookup(E139,'FL5_POR_包裝對照表 (Mapping Table)'!E:E,'FL5_POR_包裝對照表 (Mapping Table)'!AN:AN,"",0,1))</f>
        <v>TBD</v>
      </c>
      <c r="M139" s="972" t="str">
        <f t="array" ref="M139">if(isblank(E139),"",xlookup(E139,'FL5_POR_包裝對照表 (Mapping Table)'!E:E,'FL5_POR_包裝對照表 (Mapping Table)'!J:J,"",0,1))</f>
        <v>Lemongrass</v>
      </c>
      <c r="N139" s="972" t="str">
        <f t="array" ref="N139">if(isblank(E139),"",xlookup(E139,'FL5_POR_包裝對照表 (Mapping Table)'!E:E,'FL5_POR_包裝對照表 (Mapping Table)'!K:K,"",0,1))</f>
        <v>YEL</v>
      </c>
      <c r="O139" s="976" t="str">
        <f t="array" ref="O139">xlookup(E139,'Ike 提供_20250505'!D:D,'Ike 提供_20250505'!N:N,"",0,1)</f>
        <v>#N/A</v>
      </c>
      <c r="P139" s="976" t="str">
        <f t="array" ref="P139">xlookup(E139,'Ike 提供_20250505'!D:D,'Ike 提供_20250505'!O:O,"",0,1)</f>
        <v>#N/A</v>
      </c>
      <c r="Q139" s="977" t="str">
        <f t="array" ref="Q139">xlookup(E139,'FL5_POR_包裝對照表 (Mapping Table)'!E:E,'FL5_POR_包裝對照表 (Mapping Table)'!BI:BI,"",0,1)</f>
        <v>PE 說不需建BOM</v>
      </c>
      <c r="R139" s="977">
        <v>45779.0</v>
      </c>
      <c r="S139" s="977">
        <f t="shared" si="3"/>
        <v>45785</v>
      </c>
      <c r="T139" s="977">
        <v>45782.0</v>
      </c>
      <c r="U139" s="978"/>
      <c r="V139" s="935"/>
      <c r="W139" s="978" t="str">
        <f t="array" ref="W139">if(isblank(E139),"",xlookup(E139,'FL5_POR_包裝對照表 (Mapping Table)'!E:E,'FL5_POR_包裝對照表 (Mapping Table)'!BM:BM,"",0,1))</f>
        <v>No demand</v>
      </c>
      <c r="X139" s="935"/>
      <c r="Y139" s="935"/>
      <c r="Z139" s="935"/>
      <c r="AA139" s="935"/>
    </row>
    <row r="140" ht="15.75" hidden="1" customHeight="1">
      <c r="A140" s="935"/>
      <c r="B140" s="970">
        <v>133.0</v>
      </c>
      <c r="C140" s="970" t="str">
        <f>if(isblank(E140),"",'FL5_POR_包裝對照表 (Mapping Table)'!$E$4)</f>
        <v>GFL (FL5)</v>
      </c>
      <c r="D140" s="970" t="str">
        <f t="array" ref="D140">IF(ISBLANK(E140),"",xlookup(E140,'FL5_POR_包裝對照表 (Mapping Table)'!E:E,'FL5_POR_包裝對照表 (Mapping Table)'!AZ:AZ,"",0,1))</f>
        <v>MP</v>
      </c>
      <c r="E140" s="971" t="s">
        <v>1134</v>
      </c>
      <c r="F140" s="167" t="str">
        <f t="array" ref="F140">if(isblank(E140),"",xlookup(E140,'FL5_POR_包裝對照表 (Mapping Table)'!E:E,'FL5_POR_包裝對照表 (Mapping Table)'!F:F,"",0,1))</f>
        <v>US</v>
      </c>
      <c r="G140" s="972" t="str">
        <f t="array" ref="G140">if(isblank(E140),"",xlookup(E140,'FL5_POR_包裝對照表 (Mapping Table)'!E:E,'FL5_POR_包裝對照表 (Mapping Table)'!C:C,"",0,1))</f>
        <v>NFU</v>
      </c>
      <c r="H140" s="973" t="str">
        <f t="array" ref="H140">if(isblank(E140),"",xlookup(E140,'FL5_POR_包裝對照表 (Mapping Table)'!E:E,'FL5_POR_包裝對照表 (Mapping Table)'!D:D,"",0,1))</f>
        <v>Retail Pack</v>
      </c>
      <c r="I140" s="974" t="str">
        <f t="shared" si="2"/>
        <v>Close</v>
      </c>
      <c r="J140" s="975" t="str">
        <f t="array" ref="J140">if(isblank(E140),"",xlookup(E140,'FL5_POR_包裝對照表 (Mapping Table)'!E:E,'FL5_POR_包裝對照表 (Mapping Table)'!H:H,"",0,1))</f>
        <v>mmWave</v>
      </c>
      <c r="K140" s="972" t="str">
        <f t="array" ref="K140">if(isblank(E140),"",xlookup(E140,'FL5_POR_包裝對照表 (Mapping Table)'!E:E,'FL5_POR_包裝對照表 (Mapping Table)'!M:M,"",0,1))</f>
        <v>NA</v>
      </c>
      <c r="L140" s="972" t="str">
        <f t="array" ref="L140">if(isblank(E140),"",xlookup(E140,'FL5_POR_包裝對照表 (Mapping Table)'!E:E,'FL5_POR_包裝對照表 (Mapping Table)'!AN:AN,"",0,1))</f>
        <v>TBD</v>
      </c>
      <c r="M140" s="972" t="str">
        <f t="array" ref="M140">if(isblank(E140),"",xlookup(E140,'FL5_POR_包裝對照表 (Mapping Table)'!E:E,'FL5_POR_包裝對照表 (Mapping Table)'!J:J,"",0,1))</f>
        <v>Indigo</v>
      </c>
      <c r="N140" s="972" t="str">
        <f t="array" ref="N140">if(isblank(E140),"",xlookup(E140,'FL5_POR_包裝對照表 (Mapping Table)'!E:E,'FL5_POR_包裝對照表 (Mapping Table)'!K:K,"",0,1))</f>
        <v>BUE</v>
      </c>
      <c r="O140" s="976" t="str">
        <f t="array" ref="O140">xlookup(E140,'Ike 提供_20250505'!D:D,'Ike 提供_20250505'!N:N,"",0,1)</f>
        <v>#N/A</v>
      </c>
      <c r="P140" s="976" t="str">
        <f t="array" ref="P140">xlookup(E140,'Ike 提供_20250505'!D:D,'Ike 提供_20250505'!O:O,"",0,1)</f>
        <v>#N/A</v>
      </c>
      <c r="Q140" s="977" t="str">
        <f t="array" ref="Q140">xlookup(E140,'FL5_POR_包裝對照表 (Mapping Table)'!E:E,'FL5_POR_包裝對照表 (Mapping Table)'!BI:BI,"",0,1)</f>
        <v>PE 說不需建BOM</v>
      </c>
      <c r="R140" s="977">
        <v>45779.0</v>
      </c>
      <c r="S140" s="977">
        <f t="shared" si="3"/>
        <v>45785</v>
      </c>
      <c r="T140" s="977">
        <v>45782.0</v>
      </c>
      <c r="U140" s="978"/>
      <c r="V140" s="935"/>
      <c r="W140" s="978" t="str">
        <f t="array" ref="W140">if(isblank(E140),"",xlookup(E140,'FL5_POR_包裝對照表 (Mapping Table)'!E:E,'FL5_POR_包裝對照表 (Mapping Table)'!BM:BM,"",0,1))</f>
        <v>No demand</v>
      </c>
      <c r="X140" s="935"/>
      <c r="Y140" s="935"/>
      <c r="Z140" s="935"/>
      <c r="AA140" s="935"/>
    </row>
    <row r="141" ht="15.75" hidden="1" customHeight="1">
      <c r="A141" s="935"/>
      <c r="B141" s="970">
        <v>134.0</v>
      </c>
      <c r="C141" s="970" t="str">
        <f>if(isblank(E141),"",'FL5_POR_包裝對照表 (Mapping Table)'!$E$4)</f>
        <v>GFL (FL5)</v>
      </c>
      <c r="D141" s="970" t="str">
        <f t="array" ref="D141">IF(ISBLANK(E141),"",xlookup(E141,'FL5_POR_包裝對照表 (Mapping Table)'!E:E,'FL5_POR_包裝對照表 (Mapping Table)'!AZ:AZ,"",0,1))</f>
        <v>MP</v>
      </c>
      <c r="E141" s="971" t="s">
        <v>1138</v>
      </c>
      <c r="F141" s="167" t="str">
        <f t="array" ref="F141">if(isblank(E141),"",xlookup(E141,'FL5_POR_包裝對照表 (Mapping Table)'!E:E,'FL5_POR_包裝對照表 (Mapping Table)'!F:F,"",0,1))</f>
        <v>JP</v>
      </c>
      <c r="G141" s="972" t="str">
        <f t="array" ref="G141">if(isblank(E141),"",xlookup(E141,'FL5_POR_包裝對照表 (Mapping Table)'!E:E,'FL5_POR_包裝對照表 (Mapping Table)'!C:C,"",0,1))</f>
        <v>NFU</v>
      </c>
      <c r="H141" s="973" t="str">
        <f t="array" ref="H141">if(isblank(E141),"",xlookup(E141,'FL5_POR_包裝對照表 (Mapping Table)'!E:E,'FL5_POR_包裝對照表 (Mapping Table)'!D:D,"",0,1))</f>
        <v>Retail Pack</v>
      </c>
      <c r="I141" s="974" t="str">
        <f t="shared" si="2"/>
        <v>Close</v>
      </c>
      <c r="J141" s="975" t="str">
        <f t="array" ref="J141">if(isblank(E141),"",xlookup(E141,'FL5_POR_包裝對照表 (Mapping Table)'!E:E,'FL5_POR_包裝對照表 (Mapping Table)'!H:H,"",0,1))</f>
        <v>JPN</v>
      </c>
      <c r="K141" s="972" t="str">
        <f t="array" ref="K141">if(isblank(E141),"",xlookup(E141,'FL5_POR_包裝對照表 (Mapping Table)'!E:E,'FL5_POR_包裝對照表 (Mapping Table)'!M:M,"",0,1))</f>
        <v>JPN</v>
      </c>
      <c r="L141" s="972" t="str">
        <f t="array" ref="L141">if(isblank(E141),"",xlookup(E141,'FL5_POR_包裝對照表 (Mapping Table)'!E:E,'FL5_POR_包裝對照表 (Mapping Table)'!AN:AN,"",0,1))</f>
        <v>TBD</v>
      </c>
      <c r="M141" s="972" t="str">
        <f t="array" ref="M141">if(isblank(E141),"",xlookup(E141,'FL5_POR_包裝對照表 (Mapping Table)'!E:E,'FL5_POR_包裝對照表 (Mapping Table)'!J:J,"",0,1))</f>
        <v>Obsidian</v>
      </c>
      <c r="N141" s="972" t="str">
        <f t="array" ref="N141">if(isblank(E141),"",xlookup(E141,'FL5_POR_包裝對照表 (Mapping Table)'!E:E,'FL5_POR_包裝對照表 (Mapping Table)'!K:K,"",0,1))</f>
        <v>BLK</v>
      </c>
      <c r="O141" s="976" t="str">
        <f t="array" ref="O141">xlookup(E141,'Ike 提供_20250505'!D:D,'Ike 提供_20250505'!N:N,"",0,1)</f>
        <v>#N/A</v>
      </c>
      <c r="P141" s="976" t="str">
        <f t="array" ref="P141">xlookup(E141,'Ike 提供_20250505'!D:D,'Ike 提供_20250505'!O:O,"",0,1)</f>
        <v>#N/A</v>
      </c>
      <c r="Q141" s="977" t="str">
        <f t="array" ref="Q141">xlookup(E141,'FL5_POR_包裝對照表 (Mapping Table)'!E:E,'FL5_POR_包裝對照表 (Mapping Table)'!BI:BI,"",0,1)</f>
        <v>PE 說不需建BOM</v>
      </c>
      <c r="R141" s="977">
        <v>45779.0</v>
      </c>
      <c r="S141" s="977">
        <f t="shared" si="3"/>
        <v>45785</v>
      </c>
      <c r="T141" s="977">
        <v>45782.0</v>
      </c>
      <c r="U141" s="978"/>
      <c r="V141" s="935"/>
      <c r="W141" s="978" t="str">
        <f t="array" ref="W141">if(isblank(E141),"",xlookup(E141,'FL5_POR_包裝對照表 (Mapping Table)'!E:E,'FL5_POR_包裝對照表 (Mapping Table)'!BM:BM,"",0,1))</f>
        <v>No demand</v>
      </c>
      <c r="X141" s="935"/>
      <c r="Y141" s="935"/>
      <c r="Z141" s="935"/>
      <c r="AA141" s="935"/>
    </row>
    <row r="142" ht="15.75" hidden="1" customHeight="1">
      <c r="A142" s="935"/>
      <c r="B142" s="970">
        <v>135.0</v>
      </c>
      <c r="C142" s="970" t="str">
        <f>if(isblank(E142),"",'FL5_POR_包裝對照表 (Mapping Table)'!$E$4)</f>
        <v>GFL (FL5)</v>
      </c>
      <c r="D142" s="970" t="str">
        <f t="array" ref="D142">IF(ISBLANK(E142),"",xlookup(E142,'FL5_POR_包裝對照表 (Mapping Table)'!E:E,'FL5_POR_包裝對照表 (Mapping Table)'!AZ:AZ,"",0,1))</f>
        <v>MP</v>
      </c>
      <c r="E142" s="971" t="s">
        <v>1143</v>
      </c>
      <c r="F142" s="167" t="str">
        <f t="array" ref="F142">if(isblank(E142),"",xlookup(E142,'FL5_POR_包裝對照表 (Mapping Table)'!E:E,'FL5_POR_包裝對照表 (Mapping Table)'!F:F,"",0,1))</f>
        <v>JP</v>
      </c>
      <c r="G142" s="972" t="str">
        <f t="array" ref="G142">if(isblank(E142),"",xlookup(E142,'FL5_POR_包裝對照表 (Mapping Table)'!E:E,'FL5_POR_包裝對照表 (Mapping Table)'!C:C,"",0,1))</f>
        <v>NFU</v>
      </c>
      <c r="H142" s="973" t="str">
        <f t="array" ref="H142">if(isblank(E142),"",xlookup(E142,'FL5_POR_包裝對照表 (Mapping Table)'!E:E,'FL5_POR_包裝對照表 (Mapping Table)'!D:D,"",0,1))</f>
        <v>Retail Pack</v>
      </c>
      <c r="I142" s="974" t="str">
        <f t="shared" si="2"/>
        <v>Close</v>
      </c>
      <c r="J142" s="975" t="str">
        <f t="array" ref="J142">if(isblank(E142),"",xlookup(E142,'FL5_POR_包裝對照表 (Mapping Table)'!E:E,'FL5_POR_包裝對照表 (Mapping Table)'!H:H,"",0,1))</f>
        <v>JPN</v>
      </c>
      <c r="K142" s="972" t="str">
        <f t="array" ref="K142">if(isblank(E142),"",xlookup(E142,'FL5_POR_包裝對照表 (Mapping Table)'!E:E,'FL5_POR_包裝對照表 (Mapping Table)'!M:M,"",0,1))</f>
        <v>JPN</v>
      </c>
      <c r="L142" s="972" t="str">
        <f t="array" ref="L142">if(isblank(E142),"",xlookup(E142,'FL5_POR_包裝對照表 (Mapping Table)'!E:E,'FL5_POR_包裝對照表 (Mapping Table)'!AN:AN,"",0,1))</f>
        <v>TBD</v>
      </c>
      <c r="M142" s="972" t="str">
        <f t="array" ref="M142">if(isblank(E142),"",xlookup(E142,'FL5_POR_包裝對照表 (Mapping Table)'!E:E,'FL5_POR_包裝對照表 (Mapping Table)'!J:J,"",0,1))</f>
        <v>Frost</v>
      </c>
      <c r="N142" s="972" t="str">
        <f t="array" ref="N142">if(isblank(E142),"",xlookup(E142,'FL5_POR_包裝對照表 (Mapping Table)'!E:E,'FL5_POR_包裝對照表 (Mapping Table)'!K:K,"",0,1))</f>
        <v>PPL</v>
      </c>
      <c r="O142" s="976" t="str">
        <f t="array" ref="O142">xlookup(E142,'Ike 提供_20250505'!D:D,'Ike 提供_20250505'!N:N,"",0,1)</f>
        <v>#N/A</v>
      </c>
      <c r="P142" s="976" t="str">
        <f t="array" ref="P142">xlookup(E142,'Ike 提供_20250505'!D:D,'Ike 提供_20250505'!O:O,"",0,1)</f>
        <v>#N/A</v>
      </c>
      <c r="Q142" s="977" t="str">
        <f t="array" ref="Q142">xlookup(E142,'FL5_POR_包裝對照表 (Mapping Table)'!E:E,'FL5_POR_包裝對照表 (Mapping Table)'!BI:BI,"",0,1)</f>
        <v>PE 說不需建BOM</v>
      </c>
      <c r="R142" s="977">
        <v>45779.0</v>
      </c>
      <c r="S142" s="977">
        <f t="shared" si="3"/>
        <v>45785</v>
      </c>
      <c r="T142" s="977">
        <v>45782.0</v>
      </c>
      <c r="U142" s="978"/>
      <c r="V142" s="935"/>
      <c r="W142" s="978" t="str">
        <f t="array" ref="W142">if(isblank(E142),"",xlookup(E142,'FL5_POR_包裝對照表 (Mapping Table)'!E:E,'FL5_POR_包裝對照表 (Mapping Table)'!BM:BM,"",0,1))</f>
        <v>No demand</v>
      </c>
      <c r="X142" s="935"/>
      <c r="Y142" s="935"/>
      <c r="Z142" s="935"/>
      <c r="AA142" s="935"/>
    </row>
    <row r="143" ht="15.75" hidden="1" customHeight="1">
      <c r="A143" s="935"/>
      <c r="B143" s="970">
        <v>136.0</v>
      </c>
      <c r="C143" s="970" t="str">
        <f>if(isblank(E143),"",'FL5_POR_包裝對照表 (Mapping Table)'!$E$4)</f>
        <v>GFL (FL5)</v>
      </c>
      <c r="D143" s="970" t="str">
        <f t="array" ref="D143">IF(ISBLANK(E143),"",xlookup(E143,'FL5_POR_包裝對照表 (Mapping Table)'!E:E,'FL5_POR_包裝對照表 (Mapping Table)'!AZ:AZ,"",0,1))</f>
        <v>MP</v>
      </c>
      <c r="E143" s="971" t="s">
        <v>1147</v>
      </c>
      <c r="F143" s="167" t="str">
        <f t="array" ref="F143">if(isblank(E143),"",xlookup(E143,'FL5_POR_包裝對照表 (Mapping Table)'!E:E,'FL5_POR_包裝對照表 (Mapping Table)'!F:F,"",0,1))</f>
        <v>JP</v>
      </c>
      <c r="G143" s="972" t="str">
        <f t="array" ref="G143">if(isblank(E143),"",xlookup(E143,'FL5_POR_包裝對照表 (Mapping Table)'!E:E,'FL5_POR_包裝對照表 (Mapping Table)'!C:C,"",0,1))</f>
        <v>NFU</v>
      </c>
      <c r="H143" s="973" t="str">
        <f t="array" ref="H143">if(isblank(E143),"",xlookup(E143,'FL5_POR_包裝對照表 (Mapping Table)'!E:E,'FL5_POR_包裝對照表 (Mapping Table)'!D:D,"",0,1))</f>
        <v>Retail Pack</v>
      </c>
      <c r="I143" s="974" t="str">
        <f t="shared" si="2"/>
        <v>Close</v>
      </c>
      <c r="J143" s="975" t="str">
        <f t="array" ref="J143">if(isblank(E143),"",xlookup(E143,'FL5_POR_包裝對照表 (Mapping Table)'!E:E,'FL5_POR_包裝對照表 (Mapping Table)'!H:H,"",0,1))</f>
        <v>JPN</v>
      </c>
      <c r="K143" s="972" t="str">
        <f t="array" ref="K143">if(isblank(E143),"",xlookup(E143,'FL5_POR_包裝對照表 (Mapping Table)'!E:E,'FL5_POR_包裝對照表 (Mapping Table)'!M:M,"",0,1))</f>
        <v>JPN</v>
      </c>
      <c r="L143" s="972" t="str">
        <f t="array" ref="L143">if(isblank(E143),"",xlookup(E143,'FL5_POR_包裝對照表 (Mapping Table)'!E:E,'FL5_POR_包裝對照表 (Mapping Table)'!AN:AN,"",0,1))</f>
        <v>TBD</v>
      </c>
      <c r="M143" s="972" t="str">
        <f t="array" ref="M143">if(isblank(E143),"",xlookup(E143,'FL5_POR_包裝對照表 (Mapping Table)'!E:E,'FL5_POR_包裝對照表 (Mapping Table)'!J:J,"",0,1))</f>
        <v>Lemongrass</v>
      </c>
      <c r="N143" s="972" t="str">
        <f t="array" ref="N143">if(isblank(E143),"",xlookup(E143,'FL5_POR_包裝對照表 (Mapping Table)'!E:E,'FL5_POR_包裝對照表 (Mapping Table)'!K:K,"",0,1))</f>
        <v>YEL</v>
      </c>
      <c r="O143" s="976" t="str">
        <f t="array" ref="O143">xlookup(E143,'Ike 提供_20250505'!D:D,'Ike 提供_20250505'!N:N,"",0,1)</f>
        <v>#N/A</v>
      </c>
      <c r="P143" s="976" t="str">
        <f t="array" ref="P143">xlookup(E143,'Ike 提供_20250505'!D:D,'Ike 提供_20250505'!O:O,"",0,1)</f>
        <v>#N/A</v>
      </c>
      <c r="Q143" s="977" t="str">
        <f t="array" ref="Q143">xlookup(E143,'FL5_POR_包裝對照表 (Mapping Table)'!E:E,'FL5_POR_包裝對照表 (Mapping Table)'!BI:BI,"",0,1)</f>
        <v>PE 說不需建BOM</v>
      </c>
      <c r="R143" s="977">
        <v>45779.0</v>
      </c>
      <c r="S143" s="977">
        <f t="shared" si="3"/>
        <v>45785</v>
      </c>
      <c r="T143" s="977">
        <v>45782.0</v>
      </c>
      <c r="U143" s="978"/>
      <c r="V143" s="935"/>
      <c r="W143" s="978" t="str">
        <f t="array" ref="W143">if(isblank(E143),"",xlookup(E143,'FL5_POR_包裝對照表 (Mapping Table)'!E:E,'FL5_POR_包裝對照表 (Mapping Table)'!BM:BM,"",0,1))</f>
        <v>No demand</v>
      </c>
      <c r="X143" s="935"/>
      <c r="Y143" s="935"/>
      <c r="Z143" s="935"/>
      <c r="AA143" s="935"/>
    </row>
    <row r="144" ht="15.75" hidden="1" customHeight="1">
      <c r="A144" s="935"/>
      <c r="B144" s="970">
        <v>137.0</v>
      </c>
      <c r="C144" s="970" t="str">
        <f>if(isblank(E144),"",'FL5_POR_包裝對照表 (Mapping Table)'!$E$4)</f>
        <v>GFL (FL5)</v>
      </c>
      <c r="D144" s="970" t="str">
        <f t="array" ref="D144">IF(ISBLANK(E144),"",xlookup(E144,'FL5_POR_包裝對照表 (Mapping Table)'!E:E,'FL5_POR_包裝對照表 (Mapping Table)'!AZ:AZ,"",0,1))</f>
        <v>MP</v>
      </c>
      <c r="E144" s="971" t="s">
        <v>1151</v>
      </c>
      <c r="F144" s="167" t="str">
        <f t="array" ref="F144">if(isblank(E144),"",xlookup(E144,'FL5_POR_包裝對照表 (Mapping Table)'!E:E,'FL5_POR_包裝對照表 (Mapping Table)'!F:F,"",0,1))</f>
        <v>JP</v>
      </c>
      <c r="G144" s="972" t="str">
        <f t="array" ref="G144">if(isblank(E144),"",xlookup(E144,'FL5_POR_包裝對照表 (Mapping Table)'!E:E,'FL5_POR_包裝對照表 (Mapping Table)'!C:C,"",0,1))</f>
        <v>NFU</v>
      </c>
      <c r="H144" s="973" t="str">
        <f t="array" ref="H144">if(isblank(E144),"",xlookup(E144,'FL5_POR_包裝對照表 (Mapping Table)'!E:E,'FL5_POR_包裝對照表 (Mapping Table)'!D:D,"",0,1))</f>
        <v>Retail Pack</v>
      </c>
      <c r="I144" s="974" t="str">
        <f t="shared" si="2"/>
        <v>Close</v>
      </c>
      <c r="J144" s="975" t="str">
        <f t="array" ref="J144">if(isblank(E144),"",xlookup(E144,'FL5_POR_包裝對照表 (Mapping Table)'!E:E,'FL5_POR_包裝對照表 (Mapping Table)'!H:H,"",0,1))</f>
        <v>JPN</v>
      </c>
      <c r="K144" s="972" t="str">
        <f t="array" ref="K144">if(isblank(E144),"",xlookup(E144,'FL5_POR_包裝對照表 (Mapping Table)'!E:E,'FL5_POR_包裝對照表 (Mapping Table)'!M:M,"",0,1))</f>
        <v>JPN</v>
      </c>
      <c r="L144" s="972" t="str">
        <f t="array" ref="L144">if(isblank(E144),"",xlookup(E144,'FL5_POR_包裝對照表 (Mapping Table)'!E:E,'FL5_POR_包裝對照表 (Mapping Table)'!AN:AN,"",0,1))</f>
        <v>TBD</v>
      </c>
      <c r="M144" s="972" t="str">
        <f t="array" ref="M144">if(isblank(E144),"",xlookup(E144,'FL5_POR_包裝對照表 (Mapping Table)'!E:E,'FL5_POR_包裝對照表 (Mapping Table)'!J:J,"",0,1))</f>
        <v>Indigo</v>
      </c>
      <c r="N144" s="972" t="str">
        <f t="array" ref="N144">if(isblank(E144),"",xlookup(E144,'FL5_POR_包裝對照表 (Mapping Table)'!E:E,'FL5_POR_包裝對照表 (Mapping Table)'!K:K,"",0,1))</f>
        <v>BUE</v>
      </c>
      <c r="O144" s="976" t="str">
        <f t="array" ref="O144">xlookup(E144,'Ike 提供_20250505'!D:D,'Ike 提供_20250505'!N:N,"",0,1)</f>
        <v>#N/A</v>
      </c>
      <c r="P144" s="976" t="str">
        <f t="array" ref="P144">xlookup(E144,'Ike 提供_20250505'!D:D,'Ike 提供_20250505'!O:O,"",0,1)</f>
        <v>#N/A</v>
      </c>
      <c r="Q144" s="977" t="str">
        <f t="array" ref="Q144">xlookup(E144,'FL5_POR_包裝對照表 (Mapping Table)'!E:E,'FL5_POR_包裝對照表 (Mapping Table)'!BI:BI,"",0,1)</f>
        <v>PE 說不需建BOM</v>
      </c>
      <c r="R144" s="977">
        <v>45779.0</v>
      </c>
      <c r="S144" s="977">
        <f t="shared" si="3"/>
        <v>45785</v>
      </c>
      <c r="T144" s="977">
        <v>45782.0</v>
      </c>
      <c r="U144" s="978"/>
      <c r="V144" s="935"/>
      <c r="W144" s="978" t="str">
        <f t="array" ref="W144">if(isblank(E144),"",xlookup(E144,'FL5_POR_包裝對照表 (Mapping Table)'!E:E,'FL5_POR_包裝對照表 (Mapping Table)'!BM:BM,"",0,1))</f>
        <v>No demand</v>
      </c>
      <c r="X144" s="935"/>
      <c r="Y144" s="935"/>
      <c r="Z144" s="935"/>
      <c r="AA144" s="935"/>
    </row>
    <row r="145" ht="15.75" hidden="1" customHeight="1">
      <c r="A145" s="935"/>
      <c r="B145" s="970">
        <v>138.0</v>
      </c>
      <c r="C145" s="970" t="str">
        <f>if(isblank(E145),"",'FL5_POR_包裝對照表 (Mapping Table)'!$E$4)</f>
        <v>GFL (FL5)</v>
      </c>
      <c r="D145" s="970" t="str">
        <f t="array" ref="D145">IF(ISBLANK(E145),"",xlookup(E145,'FL5_POR_包裝對照表 (Mapping Table)'!E:E,'FL5_POR_包裝對照表 (Mapping Table)'!AZ:AZ,"",0,1))</f>
        <v>MP</v>
      </c>
      <c r="E145" s="971" t="s">
        <v>1155</v>
      </c>
      <c r="F145" s="167" t="str">
        <f t="array" ref="F145">if(isblank(E145),"",xlookup(E145,'FL5_POR_包裝對照表 (Mapping Table)'!E:E,'FL5_POR_包裝對照表 (Mapping Table)'!F:F,"",0,1))</f>
        <v>GB, DE, IT, ES, IE, FR, NL, BE, AT, CH, PT, PL, CEE ( CZ, HU, RO, SI, LV, LT, EE, FI), NO,SE,DK, SK, CA/TW/SG/AU/MY/MX
</v>
      </c>
      <c r="G145" s="972" t="str">
        <f t="array" ref="G145">if(isblank(E145),"",xlookup(E145,'FL5_POR_包裝對照表 (Mapping Table)'!E:E,'FL5_POR_包裝對照表 (Mapping Table)'!C:C,"",0,1))</f>
        <v>NFU</v>
      </c>
      <c r="H145" s="973" t="str">
        <f t="array" ref="H145">if(isblank(E145),"",xlookup(E145,'FL5_POR_包裝對照表 (Mapping Table)'!E:E,'FL5_POR_包裝對照表 (Mapping Table)'!D:D,"",0,1))</f>
        <v>Retail Pack</v>
      </c>
      <c r="I145" s="974" t="str">
        <f t="shared" si="2"/>
        <v>Close</v>
      </c>
      <c r="J145" s="975" t="str">
        <f t="array" ref="J145">if(isblank(E145),"",xlookup(E145,'FL5_POR_包裝對照表 (Mapping Table)'!E:E,'FL5_POR_包裝對照表 (Mapping Table)'!H:H,"",0,1))</f>
        <v>Sub6</v>
      </c>
      <c r="K145" s="972" t="str">
        <f t="array" ref="K145">if(isblank(E145),"",xlookup(E145,'FL5_POR_包裝對照表 (Mapping Table)'!E:E,'FL5_POR_包裝對照表 (Mapping Table)'!M:M,"",0,1))</f>
        <v>ROW</v>
      </c>
      <c r="L145" s="972" t="str">
        <f t="array" ref="L145">if(isblank(E145),"",xlookup(E145,'FL5_POR_包裝對照表 (Mapping Table)'!E:E,'FL5_POR_包裝對照表 (Mapping Table)'!AN:AN,"",0,1))</f>
        <v>TBD</v>
      </c>
      <c r="M145" s="972" t="str">
        <f t="array" ref="M145">if(isblank(E145),"",xlookup(E145,'FL5_POR_包裝對照表 (Mapping Table)'!E:E,'FL5_POR_包裝對照表 (Mapping Table)'!J:J,"",0,1))</f>
        <v>Obsidian</v>
      </c>
      <c r="N145" s="972" t="str">
        <f t="array" ref="N145">if(isblank(E145),"",xlookup(E145,'FL5_POR_包裝對照表 (Mapping Table)'!E:E,'FL5_POR_包裝對照表 (Mapping Table)'!K:K,"",0,1))</f>
        <v>BLK</v>
      </c>
      <c r="O145" s="976" t="str">
        <f t="array" ref="O145">xlookup(E145,'Ike 提供_20250505'!D:D,'Ike 提供_20250505'!N:N,"",0,1)</f>
        <v>#N/A</v>
      </c>
      <c r="P145" s="976" t="str">
        <f t="array" ref="P145">xlookup(E145,'Ike 提供_20250505'!D:D,'Ike 提供_20250505'!O:O,"",0,1)</f>
        <v>#N/A</v>
      </c>
      <c r="Q145" s="977" t="str">
        <f t="array" ref="Q145">xlookup(E145,'FL5_POR_包裝對照表 (Mapping Table)'!E:E,'FL5_POR_包裝對照表 (Mapping Table)'!BI:BI,"",0,1)</f>
        <v>PE 說不需建BOM</v>
      </c>
      <c r="R145" s="977">
        <v>45779.0</v>
      </c>
      <c r="S145" s="977">
        <f t="shared" si="3"/>
        <v>45785</v>
      </c>
      <c r="T145" s="977">
        <v>45782.0</v>
      </c>
      <c r="U145" s="978"/>
      <c r="V145" s="935"/>
      <c r="W145" s="978" t="str">
        <f t="array" ref="W145">if(isblank(E145),"",xlookup(E145,'FL5_POR_包裝對照表 (Mapping Table)'!E:E,'FL5_POR_包裝對照表 (Mapping Table)'!BM:BM,"",0,1))</f>
        <v>No demand</v>
      </c>
      <c r="X145" s="935"/>
      <c r="Y145" s="935"/>
      <c r="Z145" s="935"/>
      <c r="AA145" s="935"/>
    </row>
    <row r="146" ht="15.75" hidden="1" customHeight="1">
      <c r="A146" s="935"/>
      <c r="B146" s="970">
        <v>139.0</v>
      </c>
      <c r="C146" s="970" t="str">
        <f>if(isblank(E146),"",'FL5_POR_包裝對照表 (Mapping Table)'!$E$4)</f>
        <v>GFL (FL5)</v>
      </c>
      <c r="D146" s="970" t="str">
        <f t="array" ref="D146">IF(ISBLANK(E146),"",xlookup(E146,'FL5_POR_包裝對照表 (Mapping Table)'!E:E,'FL5_POR_包裝對照表 (Mapping Table)'!AZ:AZ,"",0,1))</f>
        <v>MP</v>
      </c>
      <c r="E146" s="971" t="s">
        <v>1160</v>
      </c>
      <c r="F146" s="167" t="str">
        <f t="array" ref="F146">if(isblank(E146),"",xlookup(E146,'FL5_POR_包裝對照表 (Mapping Table)'!E:E,'FL5_POR_包裝對照表 (Mapping Table)'!F:F,"",0,1))</f>
        <v>GB, DE, IT, ES, IE, FR, NL, BE, AT, CH, PT, PL, CEE ( CZ, HU, RO, SI, LV, LT, EE, FI), NO,SE,DK, SK, CA/TW/SG/AU/MY/MX
</v>
      </c>
      <c r="G146" s="972" t="str">
        <f t="array" ref="G146">if(isblank(E146),"",xlookup(E146,'FL5_POR_包裝對照表 (Mapping Table)'!E:E,'FL5_POR_包裝對照表 (Mapping Table)'!C:C,"",0,1))</f>
        <v>NFU</v>
      </c>
      <c r="H146" s="973" t="str">
        <f t="array" ref="H146">if(isblank(E146),"",xlookup(E146,'FL5_POR_包裝對照表 (Mapping Table)'!E:E,'FL5_POR_包裝對照表 (Mapping Table)'!D:D,"",0,1))</f>
        <v>Retail Pack</v>
      </c>
      <c r="I146" s="974" t="str">
        <f t="shared" si="2"/>
        <v>Close</v>
      </c>
      <c r="J146" s="975" t="str">
        <f t="array" ref="J146">if(isblank(E146),"",xlookup(E146,'FL5_POR_包裝對照表 (Mapping Table)'!E:E,'FL5_POR_包裝對照表 (Mapping Table)'!H:H,"",0,1))</f>
        <v>Sub6</v>
      </c>
      <c r="K146" s="972" t="str">
        <f t="array" ref="K146">if(isblank(E146),"",xlookup(E146,'FL5_POR_包裝對照表 (Mapping Table)'!E:E,'FL5_POR_包裝對照表 (Mapping Table)'!M:M,"",0,1))</f>
        <v>ROW</v>
      </c>
      <c r="L146" s="972" t="str">
        <f t="array" ref="L146">if(isblank(E146),"",xlookup(E146,'FL5_POR_包裝對照表 (Mapping Table)'!E:E,'FL5_POR_包裝對照表 (Mapping Table)'!AN:AN,"",0,1))</f>
        <v>TBD</v>
      </c>
      <c r="M146" s="972" t="str">
        <f t="array" ref="M146">if(isblank(E146),"",xlookup(E146,'FL5_POR_包裝對照表 (Mapping Table)'!E:E,'FL5_POR_包裝對照表 (Mapping Table)'!J:J,"",0,1))</f>
        <v>Frost</v>
      </c>
      <c r="N146" s="972" t="str">
        <f t="array" ref="N146">if(isblank(E146),"",xlookup(E146,'FL5_POR_包裝對照表 (Mapping Table)'!E:E,'FL5_POR_包裝對照表 (Mapping Table)'!K:K,"",0,1))</f>
        <v>PPL</v>
      </c>
      <c r="O146" s="976" t="str">
        <f t="array" ref="O146">xlookup(E146,'Ike 提供_20250505'!D:D,'Ike 提供_20250505'!N:N,"",0,1)</f>
        <v>#N/A</v>
      </c>
      <c r="P146" s="976" t="str">
        <f t="array" ref="P146">xlookup(E146,'Ike 提供_20250505'!D:D,'Ike 提供_20250505'!O:O,"",0,1)</f>
        <v>#N/A</v>
      </c>
      <c r="Q146" s="977" t="str">
        <f t="array" ref="Q146">xlookup(E146,'FL5_POR_包裝對照表 (Mapping Table)'!E:E,'FL5_POR_包裝對照表 (Mapping Table)'!BI:BI,"",0,1)</f>
        <v>PE 說不需建BOM</v>
      </c>
      <c r="R146" s="977">
        <v>45779.0</v>
      </c>
      <c r="S146" s="977">
        <f t="shared" si="3"/>
        <v>45785</v>
      </c>
      <c r="T146" s="977">
        <v>45782.0</v>
      </c>
      <c r="U146" s="978"/>
      <c r="V146" s="935"/>
      <c r="W146" s="978" t="str">
        <f t="array" ref="W146">if(isblank(E146),"",xlookup(E146,'FL5_POR_包裝對照表 (Mapping Table)'!E:E,'FL5_POR_包裝對照表 (Mapping Table)'!BM:BM,"",0,1))</f>
        <v>No demand</v>
      </c>
      <c r="X146" s="935"/>
      <c r="Y146" s="935"/>
      <c r="Z146" s="935"/>
      <c r="AA146" s="935"/>
    </row>
    <row r="147" ht="15.75" hidden="1" customHeight="1">
      <c r="A147" s="935"/>
      <c r="B147" s="970">
        <v>140.0</v>
      </c>
      <c r="C147" s="970" t="str">
        <f>if(isblank(E147),"",'FL5_POR_包裝對照表 (Mapping Table)'!$E$4)</f>
        <v>GFL (FL5)</v>
      </c>
      <c r="D147" s="970" t="str">
        <f t="array" ref="D147">IF(ISBLANK(E147),"",xlookup(E147,'FL5_POR_包裝對照表 (Mapping Table)'!E:E,'FL5_POR_包裝對照表 (Mapping Table)'!AZ:AZ,"",0,1))</f>
        <v>MP</v>
      </c>
      <c r="E147" s="971" t="s">
        <v>1164</v>
      </c>
      <c r="F147" s="167" t="str">
        <f t="array" ref="F147">if(isblank(E147),"",xlookup(E147,'FL5_POR_包裝對照表 (Mapping Table)'!E:E,'FL5_POR_包裝對照表 (Mapping Table)'!F:F,"",0,1))</f>
        <v>GB, DE, IT, ES, IE, FR, NL, BE, AT, CH, PT, PL, CEE ( CZ, HU, RO, SI, LV, LT, EE, FI), NO,SE,DK, SK, CA/TW/SG/AU/MY/MX
</v>
      </c>
      <c r="G147" s="972" t="str">
        <f t="array" ref="G147">if(isblank(E147),"",xlookup(E147,'FL5_POR_包裝對照表 (Mapping Table)'!E:E,'FL5_POR_包裝對照表 (Mapping Table)'!C:C,"",0,1))</f>
        <v>NFU</v>
      </c>
      <c r="H147" s="973" t="str">
        <f t="array" ref="H147">if(isblank(E147),"",xlookup(E147,'FL5_POR_包裝對照表 (Mapping Table)'!E:E,'FL5_POR_包裝對照表 (Mapping Table)'!D:D,"",0,1))</f>
        <v>Retail Pack</v>
      </c>
      <c r="I147" s="974" t="str">
        <f t="shared" si="2"/>
        <v>Close</v>
      </c>
      <c r="J147" s="975" t="str">
        <f t="array" ref="J147">if(isblank(E147),"",xlookup(E147,'FL5_POR_包裝對照表 (Mapping Table)'!E:E,'FL5_POR_包裝對照表 (Mapping Table)'!H:H,"",0,1))</f>
        <v>Sub6</v>
      </c>
      <c r="K147" s="972" t="str">
        <f t="array" ref="K147">if(isblank(E147),"",xlookup(E147,'FL5_POR_包裝對照表 (Mapping Table)'!E:E,'FL5_POR_包裝對照表 (Mapping Table)'!M:M,"",0,1))</f>
        <v>ROW</v>
      </c>
      <c r="L147" s="972" t="str">
        <f t="array" ref="L147">if(isblank(E147),"",xlookup(E147,'FL5_POR_包裝對照表 (Mapping Table)'!E:E,'FL5_POR_包裝對照表 (Mapping Table)'!AN:AN,"",0,1))</f>
        <v>TBD</v>
      </c>
      <c r="M147" s="972" t="str">
        <f t="array" ref="M147">if(isblank(E147),"",xlookup(E147,'FL5_POR_包裝對照表 (Mapping Table)'!E:E,'FL5_POR_包裝對照表 (Mapping Table)'!J:J,"",0,1))</f>
        <v>Lemongrass</v>
      </c>
      <c r="N147" s="972" t="str">
        <f t="array" ref="N147">if(isblank(E147),"",xlookup(E147,'FL5_POR_包裝對照表 (Mapping Table)'!E:E,'FL5_POR_包裝對照表 (Mapping Table)'!K:K,"",0,1))</f>
        <v>YEL</v>
      </c>
      <c r="O147" s="976" t="str">
        <f t="array" ref="O147">xlookup(E147,'Ike 提供_20250505'!D:D,'Ike 提供_20250505'!N:N,"",0,1)</f>
        <v>#N/A</v>
      </c>
      <c r="P147" s="976" t="str">
        <f t="array" ref="P147">xlookup(E147,'Ike 提供_20250505'!D:D,'Ike 提供_20250505'!O:O,"",0,1)</f>
        <v>#N/A</v>
      </c>
      <c r="Q147" s="977" t="str">
        <f t="array" ref="Q147">xlookup(E147,'FL5_POR_包裝對照表 (Mapping Table)'!E:E,'FL5_POR_包裝對照表 (Mapping Table)'!BI:BI,"",0,1)</f>
        <v>PE 說不需建BOM</v>
      </c>
      <c r="R147" s="977">
        <v>45779.0</v>
      </c>
      <c r="S147" s="977">
        <f t="shared" si="3"/>
        <v>45785</v>
      </c>
      <c r="T147" s="977">
        <v>45782.0</v>
      </c>
      <c r="U147" s="978"/>
      <c r="V147" s="935"/>
      <c r="W147" s="978" t="str">
        <f t="array" ref="W147">if(isblank(E147),"",xlookup(E147,'FL5_POR_包裝對照表 (Mapping Table)'!E:E,'FL5_POR_包裝對照表 (Mapping Table)'!BM:BM,"",0,1))</f>
        <v>No demand</v>
      </c>
      <c r="X147" s="935"/>
      <c r="Y147" s="935"/>
      <c r="Z147" s="935"/>
      <c r="AA147" s="935"/>
    </row>
    <row r="148" ht="15.75" hidden="1" customHeight="1">
      <c r="A148" s="935"/>
      <c r="B148" s="970">
        <v>141.0</v>
      </c>
      <c r="C148" s="970" t="str">
        <f>if(isblank(E148),"",'FL5_POR_包裝對照表 (Mapping Table)'!$E$4)</f>
        <v>GFL (FL5)</v>
      </c>
      <c r="D148" s="970" t="str">
        <f t="array" ref="D148">IF(ISBLANK(E148),"",xlookup(E148,'FL5_POR_包裝對照表 (Mapping Table)'!E:E,'FL5_POR_包裝對照表 (Mapping Table)'!AZ:AZ,"",0,1))</f>
        <v>MP</v>
      </c>
      <c r="E148" s="971" t="s">
        <v>1168</v>
      </c>
      <c r="F148" s="167" t="str">
        <f t="array" ref="F148">if(isblank(E148),"",xlookup(E148,'FL5_POR_包裝對照表 (Mapping Table)'!E:E,'FL5_POR_包裝對照表 (Mapping Table)'!F:F,"",0,1))</f>
        <v>GB, DE, IT, ES, IE, FR, NL, BE, AT, CH, PT, PL, CEE ( CZ, HU, RO, SI, LV, LT, EE, FI), NO,SE,DK, SK, CA/TW/SG/AU/MY/MX
</v>
      </c>
      <c r="G148" s="972" t="str">
        <f t="array" ref="G148">if(isblank(E148),"",xlookup(E148,'FL5_POR_包裝對照表 (Mapping Table)'!E:E,'FL5_POR_包裝對照表 (Mapping Table)'!C:C,"",0,1))</f>
        <v>NFU</v>
      </c>
      <c r="H148" s="973" t="str">
        <f t="array" ref="H148">if(isblank(E148),"",xlookup(E148,'FL5_POR_包裝對照表 (Mapping Table)'!E:E,'FL5_POR_包裝對照表 (Mapping Table)'!D:D,"",0,1))</f>
        <v>Retail Pack</v>
      </c>
      <c r="I148" s="974" t="str">
        <f t="shared" si="2"/>
        <v>Close</v>
      </c>
      <c r="J148" s="975" t="str">
        <f t="array" ref="J148">if(isblank(E148),"",xlookup(E148,'FL5_POR_包裝對照表 (Mapping Table)'!E:E,'FL5_POR_包裝對照表 (Mapping Table)'!H:H,"",0,1))</f>
        <v>Sub6</v>
      </c>
      <c r="K148" s="972" t="str">
        <f t="array" ref="K148">if(isblank(E148),"",xlookup(E148,'FL5_POR_包裝對照表 (Mapping Table)'!E:E,'FL5_POR_包裝對照表 (Mapping Table)'!M:M,"",0,1))</f>
        <v>ROW</v>
      </c>
      <c r="L148" s="972" t="str">
        <f t="array" ref="L148">if(isblank(E148),"",xlookup(E148,'FL5_POR_包裝對照表 (Mapping Table)'!E:E,'FL5_POR_包裝對照表 (Mapping Table)'!AN:AN,"",0,1))</f>
        <v>TBD</v>
      </c>
      <c r="M148" s="972" t="str">
        <f t="array" ref="M148">if(isblank(E148),"",xlookup(E148,'FL5_POR_包裝對照表 (Mapping Table)'!E:E,'FL5_POR_包裝對照表 (Mapping Table)'!J:J,"",0,1))</f>
        <v>Indigo</v>
      </c>
      <c r="N148" s="972" t="str">
        <f t="array" ref="N148">if(isblank(E148),"",xlookup(E148,'FL5_POR_包裝對照表 (Mapping Table)'!E:E,'FL5_POR_包裝對照表 (Mapping Table)'!K:K,"",0,1))</f>
        <v>BUE</v>
      </c>
      <c r="O148" s="976" t="str">
        <f t="array" ref="O148">xlookup(E148,'Ike 提供_20250505'!D:D,'Ike 提供_20250505'!N:N,"",0,1)</f>
        <v>#N/A</v>
      </c>
      <c r="P148" s="976" t="str">
        <f t="array" ref="P148">xlookup(E148,'Ike 提供_20250505'!D:D,'Ike 提供_20250505'!O:O,"",0,1)</f>
        <v>#N/A</v>
      </c>
      <c r="Q148" s="977" t="str">
        <f t="array" ref="Q148">xlookup(E148,'FL5_POR_包裝對照表 (Mapping Table)'!E:E,'FL5_POR_包裝對照表 (Mapping Table)'!BI:BI,"",0,1)</f>
        <v>PE 說不需建BOM</v>
      </c>
      <c r="R148" s="977">
        <v>45779.0</v>
      </c>
      <c r="S148" s="977">
        <f t="shared" si="3"/>
        <v>45785</v>
      </c>
      <c r="T148" s="977">
        <v>45782.0</v>
      </c>
      <c r="U148" s="978"/>
      <c r="V148" s="935"/>
      <c r="W148" s="978" t="str">
        <f t="array" ref="W148">if(isblank(E148),"",xlookup(E148,'FL5_POR_包裝對照表 (Mapping Table)'!E:E,'FL5_POR_包裝對照表 (Mapping Table)'!BM:BM,"",0,1))</f>
        <v>No demand</v>
      </c>
      <c r="X148" s="935"/>
      <c r="Y148" s="935"/>
      <c r="Z148" s="935"/>
      <c r="AA148" s="935"/>
    </row>
    <row r="149" ht="15.75" customHeight="1">
      <c r="A149" s="935"/>
      <c r="B149" s="970">
        <v>142.0</v>
      </c>
      <c r="C149" s="970" t="str">
        <f>if(isblank(E149),"",'FL5_POR_包裝對照表 (Mapping Table)'!$E$4)</f>
        <v>GFL (FL5)</v>
      </c>
      <c r="D149" s="970" t="str">
        <f t="array" ref="D149">IF(ISBLANK(E149),"",xlookup(E149,'FL5_POR_包裝對照表 (Mapping Table)'!E:E,'FL5_POR_包裝對照表 (Mapping Table)'!AZ:AZ,"",0,1))</f>
        <v>MP</v>
      </c>
      <c r="E149" s="971" t="s">
        <v>1172</v>
      </c>
      <c r="F149" s="167" t="str">
        <f t="array" ref="F149">if(isblank(E149),"",xlookup(E149,'FL5_POR_包裝對照表 (Mapping Table)'!E:E,'FL5_POR_包裝對照表 (Mapping Table)'!F:F,"",0,1))</f>
        <v>US-VZW</v>
      </c>
      <c r="G149" s="972" t="str">
        <f t="array" ref="G149">if(isblank(E149),"",xlookup(E149,'FL5_POR_包裝對照表 (Mapping Table)'!E:E,'FL5_POR_包裝對照表 (Mapping Table)'!C:C,"",0,1))</f>
        <v>Refurb</v>
      </c>
      <c r="H149" s="973" t="str">
        <f t="array" ref="H149">if(isblank(E149),"",xlookup(E149,'FL5_POR_包裝對照表 (Mapping Table)'!E:E,'FL5_POR_包裝對照表 (Mapping Table)'!D:D,"",0,1))</f>
        <v>Retail Pack</v>
      </c>
      <c r="I149" s="974" t="str">
        <f t="shared" si="2"/>
        <v>Close</v>
      </c>
      <c r="J149" s="975" t="str">
        <f t="array" ref="J149">if(isblank(E149),"",xlookup(E149,'FL5_POR_包裝對照表 (Mapping Table)'!E:E,'FL5_POR_包裝對照表 (Mapping Table)'!H:H,"",0,1))</f>
        <v>mmWave</v>
      </c>
      <c r="K149" s="972" t="str">
        <f t="array" ref="K149">if(isblank(E149),"",xlookup(E149,'FL5_POR_包裝對照表 (Mapping Table)'!E:E,'FL5_POR_包裝對照表 (Mapping Table)'!M:M,"",0,1))</f>
        <v>VZW</v>
      </c>
      <c r="L149" s="972" t="str">
        <f t="array" ref="L149">if(isblank(E149),"",xlookup(E149,'FL5_POR_包裝對照表 (Mapping Table)'!E:E,'FL5_POR_包裝對照表 (Mapping Table)'!AN:AN,"",0,1))</f>
        <v>TBD</v>
      </c>
      <c r="M149" s="972" t="str">
        <f t="array" ref="M149">if(isblank(E149),"",xlookup(E149,'FL5_POR_包裝對照表 (Mapping Table)'!E:E,'FL5_POR_包裝對照表 (Mapping Table)'!J:J,"",0,1))</f>
        <v>Obsidian</v>
      </c>
      <c r="N149" s="972" t="str">
        <f t="array" ref="N149">if(isblank(E149),"",xlookup(E149,'FL5_POR_包裝對照表 (Mapping Table)'!E:E,'FL5_POR_包裝對照表 (Mapping Table)'!K:K,"",0,1))</f>
        <v>BLK</v>
      </c>
      <c r="O149" s="976">
        <f t="array" ref="O149">xlookup(E149,'Ike 提供_20250505'!D:D,'Ike 提供_20250505'!N:N,"",0,1)</f>
        <v>447.07</v>
      </c>
      <c r="P149" s="976">
        <f t="array" ref="P149">xlookup(E149,'Ike 提供_20250505'!D:D,'Ike 提供_20250505'!O:O,"",0,1)</f>
        <v>440.09</v>
      </c>
      <c r="Q149" s="977" t="str">
        <f t="array" ref="Q149">xlookup(E149,'FL5_POR_包裝對照表 (Mapping Table)'!E:E,'FL5_POR_包裝對照表 (Mapping Table)'!BI:BI,"",0,1)</f>
        <v>PE 說不需建BOM</v>
      </c>
      <c r="R149" s="977">
        <v>45779.0</v>
      </c>
      <c r="S149" s="977">
        <f t="shared" si="3"/>
        <v>45785</v>
      </c>
      <c r="T149" s="977">
        <v>45782.0</v>
      </c>
      <c r="U149" s="978"/>
      <c r="V149" s="935"/>
      <c r="W149" s="978" t="str">
        <f t="array" ref="W149">if(isblank(E149),"",xlookup(E149,'FL5_POR_包裝對照表 (Mapping Table)'!E:E,'FL5_POR_包裝對照表 (Mapping Table)'!BM:BM,"",0,1))</f>
        <v>No demand</v>
      </c>
      <c r="X149" s="935"/>
      <c r="Y149" s="935"/>
      <c r="Z149" s="935"/>
      <c r="AA149" s="935"/>
    </row>
    <row r="150" ht="15.75" customHeight="1">
      <c r="A150" s="935"/>
      <c r="B150" s="970">
        <v>143.0</v>
      </c>
      <c r="C150" s="970" t="str">
        <f>if(isblank(E150),"",'FL5_POR_包裝對照表 (Mapping Table)'!$E$4)</f>
        <v>GFL (FL5)</v>
      </c>
      <c r="D150" s="970" t="str">
        <f t="array" ref="D150">IF(ISBLANK(E150),"",xlookup(E150,'FL5_POR_包裝對照表 (Mapping Table)'!E:E,'FL5_POR_包裝對照表 (Mapping Table)'!AZ:AZ,"",0,1))</f>
        <v>MP</v>
      </c>
      <c r="E150" s="971" t="s">
        <v>1178</v>
      </c>
      <c r="F150" s="167" t="str">
        <f t="array" ref="F150">if(isblank(E150),"",xlookup(E150,'FL5_POR_包裝對照表 (Mapping Table)'!E:E,'FL5_POR_包裝對照表 (Mapping Table)'!F:F,"",0,1))</f>
        <v>US-VZW</v>
      </c>
      <c r="G150" s="972" t="str">
        <f t="array" ref="G150">if(isblank(E150),"",xlookup(E150,'FL5_POR_包裝對照表 (Mapping Table)'!E:E,'FL5_POR_包裝對照表 (Mapping Table)'!C:C,"",0,1))</f>
        <v>Refurb</v>
      </c>
      <c r="H150" s="973" t="str">
        <f t="array" ref="H150">if(isblank(E150),"",xlookup(E150,'FL5_POR_包裝對照表 (Mapping Table)'!E:E,'FL5_POR_包裝對照表 (Mapping Table)'!D:D,"",0,1))</f>
        <v>Retail Pack</v>
      </c>
      <c r="I150" s="974" t="str">
        <f t="shared" si="2"/>
        <v>Close</v>
      </c>
      <c r="J150" s="975" t="str">
        <f t="array" ref="J150">if(isblank(E150),"",xlookup(E150,'FL5_POR_包裝對照表 (Mapping Table)'!E:E,'FL5_POR_包裝對照表 (Mapping Table)'!H:H,"",0,1))</f>
        <v>mmWave</v>
      </c>
      <c r="K150" s="972" t="str">
        <f t="array" ref="K150">if(isblank(E150),"",xlookup(E150,'FL5_POR_包裝對照表 (Mapping Table)'!E:E,'FL5_POR_包裝對照表 (Mapping Table)'!M:M,"",0,1))</f>
        <v>VZW</v>
      </c>
      <c r="L150" s="972" t="str">
        <f t="array" ref="L150">if(isblank(E150),"",xlookup(E150,'FL5_POR_包裝對照表 (Mapping Table)'!E:E,'FL5_POR_包裝對照表 (Mapping Table)'!AN:AN,"",0,1))</f>
        <v>TBD</v>
      </c>
      <c r="M150" s="972" t="str">
        <f t="array" ref="M150">if(isblank(E150),"",xlookup(E150,'FL5_POR_包裝對照表 (Mapping Table)'!E:E,'FL5_POR_包裝對照表 (Mapping Table)'!J:J,"",0,1))</f>
        <v>Frost</v>
      </c>
      <c r="N150" s="972" t="str">
        <f t="array" ref="N150">if(isblank(E150),"",xlookup(E150,'FL5_POR_包裝對照表 (Mapping Table)'!E:E,'FL5_POR_包裝對照表 (Mapping Table)'!K:K,"",0,1))</f>
        <v>PPL</v>
      </c>
      <c r="O150" s="976">
        <f t="array" ref="O150">xlookup(E150,'Ike 提供_20250505'!D:D,'Ike 提供_20250505'!N:N,"",0,1)</f>
        <v>426.41</v>
      </c>
      <c r="P150" s="976">
        <f t="array" ref="P150">xlookup(E150,'Ike 提供_20250505'!D:D,'Ike 提供_20250505'!O:O,"",0,1)</f>
        <v>440.39</v>
      </c>
      <c r="Q150" s="977" t="str">
        <f t="array" ref="Q150">xlookup(E150,'FL5_POR_包裝對照表 (Mapping Table)'!E:E,'FL5_POR_包裝對照表 (Mapping Table)'!BI:BI,"",0,1)</f>
        <v>PE 說不需建BOM</v>
      </c>
      <c r="R150" s="977">
        <v>45779.0</v>
      </c>
      <c r="S150" s="977">
        <f t="shared" si="3"/>
        <v>45785</v>
      </c>
      <c r="T150" s="977">
        <v>45782.0</v>
      </c>
      <c r="U150" s="978"/>
      <c r="V150" s="935"/>
      <c r="W150" s="978" t="str">
        <f t="array" ref="W150">if(isblank(E150),"",xlookup(E150,'FL5_POR_包裝對照表 (Mapping Table)'!E:E,'FL5_POR_包裝對照表 (Mapping Table)'!BM:BM,"",0,1))</f>
        <v>No demand</v>
      </c>
      <c r="X150" s="935"/>
      <c r="Y150" s="935"/>
      <c r="Z150" s="935"/>
      <c r="AA150" s="935"/>
    </row>
    <row r="151" ht="15.75" customHeight="1">
      <c r="A151" s="935"/>
      <c r="B151" s="970">
        <v>144.0</v>
      </c>
      <c r="C151" s="970" t="str">
        <f>if(isblank(E151),"",'FL5_POR_包裝對照表 (Mapping Table)'!$E$4)</f>
        <v>GFL (FL5)</v>
      </c>
      <c r="D151" s="970" t="str">
        <f t="array" ref="D151">IF(ISBLANK(E151),"",xlookup(E151,'FL5_POR_包裝對照表 (Mapping Table)'!E:E,'FL5_POR_包裝對照表 (Mapping Table)'!AZ:AZ,"",0,1))</f>
        <v>MP</v>
      </c>
      <c r="E151" s="971" t="s">
        <v>1182</v>
      </c>
      <c r="F151" s="167" t="str">
        <f t="array" ref="F151">if(isblank(E151),"",xlookup(E151,'FL5_POR_包裝對照表 (Mapping Table)'!E:E,'FL5_POR_包裝對照表 (Mapping Table)'!F:F,"",0,1))</f>
        <v>US-VZW</v>
      </c>
      <c r="G151" s="972" t="str">
        <f t="array" ref="G151">if(isblank(E151),"",xlookup(E151,'FL5_POR_包裝對照表 (Mapping Table)'!E:E,'FL5_POR_包裝對照表 (Mapping Table)'!C:C,"",0,1))</f>
        <v>Refurb</v>
      </c>
      <c r="H151" s="973" t="str">
        <f t="array" ref="H151">if(isblank(E151),"",xlookup(E151,'FL5_POR_包裝對照表 (Mapping Table)'!E:E,'FL5_POR_包裝對照表 (Mapping Table)'!D:D,"",0,1))</f>
        <v>Retail Pack</v>
      </c>
      <c r="I151" s="974" t="str">
        <f t="shared" si="2"/>
        <v>Close</v>
      </c>
      <c r="J151" s="975" t="str">
        <f t="array" ref="J151">if(isblank(E151),"",xlookup(E151,'FL5_POR_包裝對照表 (Mapping Table)'!E:E,'FL5_POR_包裝對照表 (Mapping Table)'!H:H,"",0,1))</f>
        <v>mmWave</v>
      </c>
      <c r="K151" s="972" t="str">
        <f t="array" ref="K151">if(isblank(E151),"",xlookup(E151,'FL5_POR_包裝對照表 (Mapping Table)'!E:E,'FL5_POR_包裝對照表 (Mapping Table)'!M:M,"",0,1))</f>
        <v>VZW</v>
      </c>
      <c r="L151" s="972" t="str">
        <f t="array" ref="L151">if(isblank(E151),"",xlookup(E151,'FL5_POR_包裝對照表 (Mapping Table)'!E:E,'FL5_POR_包裝對照表 (Mapping Table)'!AN:AN,"",0,1))</f>
        <v>TBD</v>
      </c>
      <c r="M151" s="972" t="str">
        <f t="array" ref="M151">if(isblank(E151),"",xlookup(E151,'FL5_POR_包裝對照表 (Mapping Table)'!E:E,'FL5_POR_包裝對照表 (Mapping Table)'!J:J,"",0,1))</f>
        <v>Lemongrass</v>
      </c>
      <c r="N151" s="972" t="str">
        <f t="array" ref="N151">if(isblank(E151),"",xlookup(E151,'FL5_POR_包裝對照表 (Mapping Table)'!E:E,'FL5_POR_包裝對照表 (Mapping Table)'!K:K,"",0,1))</f>
        <v>YEL</v>
      </c>
      <c r="O151" s="976">
        <f t="array" ref="O151">xlookup(E151,'Ike 提供_20250505'!D:D,'Ike 提供_20250505'!N:N,"",0,1)</f>
        <v>464.65</v>
      </c>
      <c r="P151" s="976">
        <f t="array" ref="P151">xlookup(E151,'Ike 提供_20250505'!D:D,'Ike 提供_20250505'!O:O,"",0,1)</f>
        <v>440.49</v>
      </c>
      <c r="Q151" s="977" t="str">
        <f t="array" ref="Q151">xlookup(E151,'FL5_POR_包裝對照表 (Mapping Table)'!E:E,'FL5_POR_包裝對照表 (Mapping Table)'!BI:BI,"",0,1)</f>
        <v>PE 說不需建BOM</v>
      </c>
      <c r="R151" s="977">
        <v>45779.0</v>
      </c>
      <c r="S151" s="977">
        <f t="shared" si="3"/>
        <v>45785</v>
      </c>
      <c r="T151" s="977">
        <v>45782.0</v>
      </c>
      <c r="U151" s="978"/>
      <c r="V151" s="935"/>
      <c r="W151" s="978" t="str">
        <f t="array" ref="W151">if(isblank(E151),"",xlookup(E151,'FL5_POR_包裝對照表 (Mapping Table)'!E:E,'FL5_POR_包裝對照表 (Mapping Table)'!BM:BM,"",0,1))</f>
        <v>No demand</v>
      </c>
      <c r="X151" s="935"/>
      <c r="Y151" s="935"/>
      <c r="Z151" s="935"/>
      <c r="AA151" s="935"/>
    </row>
    <row r="152" ht="15.75" customHeight="1">
      <c r="A152" s="935"/>
      <c r="B152" s="970">
        <v>145.0</v>
      </c>
      <c r="C152" s="970" t="str">
        <f>if(isblank(E152),"",'FL5_POR_包裝對照表 (Mapping Table)'!$E$4)</f>
        <v>GFL (FL5)</v>
      </c>
      <c r="D152" s="970" t="str">
        <f t="array" ref="D152">IF(ISBLANK(E152),"",xlookup(E152,'FL5_POR_包裝對照表 (Mapping Table)'!E:E,'FL5_POR_包裝對照表 (Mapping Table)'!AZ:AZ,"",0,1))</f>
        <v>MP</v>
      </c>
      <c r="E152" s="971" t="s">
        <v>1186</v>
      </c>
      <c r="F152" s="167" t="str">
        <f t="array" ref="F152">if(isblank(E152),"",xlookup(E152,'FL5_POR_包裝對照表 (Mapping Table)'!E:E,'FL5_POR_包裝對照表 (Mapping Table)'!F:F,"",0,1))</f>
        <v>US-VZW</v>
      </c>
      <c r="G152" s="972" t="str">
        <f t="array" ref="G152">if(isblank(E152),"",xlookup(E152,'FL5_POR_包裝對照表 (Mapping Table)'!E:E,'FL5_POR_包裝對照表 (Mapping Table)'!C:C,"",0,1))</f>
        <v>Refurb</v>
      </c>
      <c r="H152" s="973" t="str">
        <f t="array" ref="H152">if(isblank(E152),"",xlookup(E152,'FL5_POR_包裝對照表 (Mapping Table)'!E:E,'FL5_POR_包裝對照表 (Mapping Table)'!D:D,"",0,1))</f>
        <v>Retail Pack</v>
      </c>
      <c r="I152" s="974" t="str">
        <f t="shared" si="2"/>
        <v>Close</v>
      </c>
      <c r="J152" s="975" t="str">
        <f t="array" ref="J152">if(isblank(E152),"",xlookup(E152,'FL5_POR_包裝對照表 (Mapping Table)'!E:E,'FL5_POR_包裝對照表 (Mapping Table)'!H:H,"",0,1))</f>
        <v>mmWave</v>
      </c>
      <c r="K152" s="972" t="str">
        <f t="array" ref="K152">if(isblank(E152),"",xlookup(E152,'FL5_POR_包裝對照表 (Mapping Table)'!E:E,'FL5_POR_包裝對照表 (Mapping Table)'!M:M,"",0,1))</f>
        <v>VZW</v>
      </c>
      <c r="L152" s="972" t="str">
        <f t="array" ref="L152">if(isblank(E152),"",xlookup(E152,'FL5_POR_包裝對照表 (Mapping Table)'!E:E,'FL5_POR_包裝對照表 (Mapping Table)'!AN:AN,"",0,1))</f>
        <v>TBD</v>
      </c>
      <c r="M152" s="972" t="str">
        <f t="array" ref="M152">if(isblank(E152),"",xlookup(E152,'FL5_POR_包裝對照表 (Mapping Table)'!E:E,'FL5_POR_包裝對照表 (Mapping Table)'!J:J,"",0,1))</f>
        <v>Indigo</v>
      </c>
      <c r="N152" s="972" t="str">
        <f t="array" ref="N152">if(isblank(E152),"",xlookup(E152,'FL5_POR_包裝對照表 (Mapping Table)'!E:E,'FL5_POR_包裝對照表 (Mapping Table)'!K:K,"",0,1))</f>
        <v>BUE</v>
      </c>
      <c r="O152" s="976">
        <f t="array" ref="O152">xlookup(E152,'Ike 提供_20250505'!D:D,'Ike 提供_20250505'!N:N,"",0,1)</f>
        <v>461.76</v>
      </c>
      <c r="P152" s="976">
        <f t="array" ref="P152">xlookup(E152,'Ike 提供_20250505'!D:D,'Ike 提供_20250505'!O:O,"",0,1)</f>
        <v>440.49</v>
      </c>
      <c r="Q152" s="977" t="str">
        <f t="array" ref="Q152">xlookup(E152,'FL5_POR_包裝對照表 (Mapping Table)'!E:E,'FL5_POR_包裝對照表 (Mapping Table)'!BI:BI,"",0,1)</f>
        <v>PE 說不需建BOM</v>
      </c>
      <c r="R152" s="977">
        <v>45779.0</v>
      </c>
      <c r="S152" s="977">
        <f t="shared" si="3"/>
        <v>45785</v>
      </c>
      <c r="T152" s="977">
        <v>45782.0</v>
      </c>
      <c r="U152" s="978"/>
      <c r="V152" s="935"/>
      <c r="W152" s="978" t="str">
        <f t="array" ref="W152">if(isblank(E152),"",xlookup(E152,'FL5_POR_包裝對照表 (Mapping Table)'!E:E,'FL5_POR_包裝對照表 (Mapping Table)'!BM:BM,"",0,1))</f>
        <v>No demand</v>
      </c>
      <c r="X152" s="935"/>
      <c r="Y152" s="935"/>
      <c r="Z152" s="935"/>
      <c r="AA152" s="935"/>
    </row>
    <row r="153" ht="15.75" customHeight="1">
      <c r="A153" s="935"/>
      <c r="B153" s="970">
        <v>146.0</v>
      </c>
      <c r="C153" s="970" t="str">
        <f>if(isblank(E153),"",'FL5_POR_包裝對照表 (Mapping Table)'!$E$4)</f>
        <v>GFL (FL5)</v>
      </c>
      <c r="D153" s="970" t="str">
        <f t="array" ref="D153">IF(ISBLANK(E153),"",xlookup(E153,'FL5_POR_包裝對照表 (Mapping Table)'!E:E,'FL5_POR_包裝對照表 (Mapping Table)'!AZ:AZ,"",0,1))</f>
        <v>MP</v>
      </c>
      <c r="E153" s="971" t="s">
        <v>1190</v>
      </c>
      <c r="F153" s="167" t="str">
        <f t="array" ref="F153">if(isblank(E153),"",xlookup(E153,'FL5_POR_包裝對照表 (Mapping Table)'!E:E,'FL5_POR_包裝對照表 (Mapping Table)'!F:F,"",0,1))</f>
        <v>US -AT&amp;T</v>
      </c>
      <c r="G153" s="972" t="str">
        <f t="array" ref="G153">if(isblank(E153),"",xlookup(E153,'FL5_POR_包裝對照表 (Mapping Table)'!E:E,'FL5_POR_包裝對照表 (Mapping Table)'!C:C,"",0,1))</f>
        <v>Refurb</v>
      </c>
      <c r="H153" s="973" t="str">
        <f t="array" ref="H153">if(isblank(E153),"",xlookup(E153,'FL5_POR_包裝對照表 (Mapping Table)'!E:E,'FL5_POR_包裝對照表 (Mapping Table)'!D:D,"",0,1))</f>
        <v>Retail Pack</v>
      </c>
      <c r="I153" s="974" t="str">
        <f t="shared" si="2"/>
        <v>Close</v>
      </c>
      <c r="J153" s="975" t="str">
        <f t="array" ref="J153">if(isblank(E153),"",xlookup(E153,'FL5_POR_包裝對照表 (Mapping Table)'!E:E,'FL5_POR_包裝對照表 (Mapping Table)'!H:H,"",0,1))</f>
        <v>mmWave</v>
      </c>
      <c r="K153" s="972" t="str">
        <f t="array" ref="K153">if(isblank(E153),"",xlookup(E153,'FL5_POR_包裝對照表 (Mapping Table)'!E:E,'FL5_POR_包裝對照表 (Mapping Table)'!M:M,"",0,1))</f>
        <v>ATT</v>
      </c>
      <c r="L153" s="972" t="str">
        <f t="array" ref="L153">if(isblank(E153),"",xlookup(E153,'FL5_POR_包裝對照表 (Mapping Table)'!E:E,'FL5_POR_包裝對照表 (Mapping Table)'!AN:AN,"",0,1))</f>
        <v>TBD</v>
      </c>
      <c r="M153" s="972" t="str">
        <f t="array" ref="M153">if(isblank(E153),"",xlookup(E153,'FL5_POR_包裝對照表 (Mapping Table)'!E:E,'FL5_POR_包裝對照表 (Mapping Table)'!J:J,"",0,1))</f>
        <v>Obsidian</v>
      </c>
      <c r="N153" s="972" t="str">
        <f t="array" ref="N153">if(isblank(E153),"",xlookup(E153,'FL5_POR_包裝對照表 (Mapping Table)'!E:E,'FL5_POR_包裝對照表 (Mapping Table)'!K:K,"",0,1))</f>
        <v>BLK</v>
      </c>
      <c r="O153" s="976">
        <f t="array" ref="O153">xlookup(E153,'Ike 提供_20250505'!D:D,'Ike 提供_20250505'!N:N,"",0,1)</f>
        <v>464.63</v>
      </c>
      <c r="P153" s="976">
        <f t="array" ref="P153">xlookup(E153,'Ike 提供_20250505'!D:D,'Ike 提供_20250505'!O:O,"",0,1)</f>
        <v>440.09</v>
      </c>
      <c r="Q153" s="977" t="str">
        <f t="array" ref="Q153">xlookup(E153,'FL5_POR_包裝對照表 (Mapping Table)'!E:E,'FL5_POR_包裝對照表 (Mapping Table)'!BI:BI,"",0,1)</f>
        <v>PE 說不需建BOM</v>
      </c>
      <c r="R153" s="977">
        <v>45779.0</v>
      </c>
      <c r="S153" s="977">
        <f t="shared" si="3"/>
        <v>45785</v>
      </c>
      <c r="T153" s="977">
        <v>45782.0</v>
      </c>
      <c r="U153" s="978"/>
      <c r="V153" s="935"/>
      <c r="W153" s="978" t="str">
        <f t="array" ref="W153">if(isblank(E153),"",xlookup(E153,'FL5_POR_包裝對照表 (Mapping Table)'!E:E,'FL5_POR_包裝對照表 (Mapping Table)'!BM:BM,"",0,1))</f>
        <v>No demand</v>
      </c>
      <c r="X153" s="935"/>
      <c r="Y153" s="935"/>
      <c r="Z153" s="935"/>
      <c r="AA153" s="935"/>
    </row>
    <row r="154" ht="15.75" customHeight="1">
      <c r="A154" s="935"/>
      <c r="B154" s="970">
        <v>147.0</v>
      </c>
      <c r="C154" s="970" t="str">
        <f>if(isblank(E154),"",'FL5_POR_包裝對照表 (Mapping Table)'!$E$4)</f>
        <v>GFL (FL5)</v>
      </c>
      <c r="D154" s="970" t="str">
        <f t="array" ref="D154">IF(ISBLANK(E154),"",xlookup(E154,'FL5_POR_包裝對照表 (Mapping Table)'!E:E,'FL5_POR_包裝對照表 (Mapping Table)'!AZ:AZ,"",0,1))</f>
        <v>MP</v>
      </c>
      <c r="E154" s="971" t="s">
        <v>1195</v>
      </c>
      <c r="F154" s="167" t="str">
        <f t="array" ref="F154">if(isblank(E154),"",xlookup(E154,'FL5_POR_包裝對照表 (Mapping Table)'!E:E,'FL5_POR_包裝對照表 (Mapping Table)'!F:F,"",0,1))</f>
        <v>US -AT&amp;T</v>
      </c>
      <c r="G154" s="972" t="str">
        <f t="array" ref="G154">if(isblank(E154),"",xlookup(E154,'FL5_POR_包裝對照表 (Mapping Table)'!E:E,'FL5_POR_包裝對照表 (Mapping Table)'!C:C,"",0,1))</f>
        <v>Refurb</v>
      </c>
      <c r="H154" s="973" t="str">
        <f t="array" ref="H154">if(isblank(E154),"",xlookup(E154,'FL5_POR_包裝對照表 (Mapping Table)'!E:E,'FL5_POR_包裝對照表 (Mapping Table)'!D:D,"",0,1))</f>
        <v>Retail Pack</v>
      </c>
      <c r="I154" s="974" t="str">
        <f t="shared" si="2"/>
        <v>Close</v>
      </c>
      <c r="J154" s="975" t="str">
        <f t="array" ref="J154">if(isblank(E154),"",xlookup(E154,'FL5_POR_包裝對照表 (Mapping Table)'!E:E,'FL5_POR_包裝對照表 (Mapping Table)'!H:H,"",0,1))</f>
        <v>mmWave</v>
      </c>
      <c r="K154" s="972" t="str">
        <f t="array" ref="K154">if(isblank(E154),"",xlookup(E154,'FL5_POR_包裝對照表 (Mapping Table)'!E:E,'FL5_POR_包裝對照表 (Mapping Table)'!M:M,"",0,1))</f>
        <v>ATT</v>
      </c>
      <c r="L154" s="972" t="str">
        <f t="array" ref="L154">if(isblank(E154),"",xlookup(E154,'FL5_POR_包裝對照表 (Mapping Table)'!E:E,'FL5_POR_包裝對照表 (Mapping Table)'!AN:AN,"",0,1))</f>
        <v>TBD</v>
      </c>
      <c r="M154" s="972" t="str">
        <f t="array" ref="M154">if(isblank(E154),"",xlookup(E154,'FL5_POR_包裝對照表 (Mapping Table)'!E:E,'FL5_POR_包裝對照表 (Mapping Table)'!J:J,"",0,1))</f>
        <v>Indigo</v>
      </c>
      <c r="N154" s="972" t="str">
        <f t="array" ref="N154">if(isblank(E154),"",xlookup(E154,'FL5_POR_包裝對照表 (Mapping Table)'!E:E,'FL5_POR_包裝對照表 (Mapping Table)'!K:K,"",0,1))</f>
        <v>BUE</v>
      </c>
      <c r="O154" s="976">
        <f t="array" ref="O154">xlookup(E154,'Ike 提供_20250505'!D:D,'Ike 提供_20250505'!N:N,"",0,1)</f>
        <v>426.51</v>
      </c>
      <c r="P154" s="976">
        <f t="array" ref="P154">xlookup(E154,'Ike 提供_20250505'!D:D,'Ike 提供_20250505'!O:O,"",0,1)</f>
        <v>440.49</v>
      </c>
      <c r="Q154" s="977" t="str">
        <f t="array" ref="Q154">xlookup(E154,'FL5_POR_包裝對照表 (Mapping Table)'!E:E,'FL5_POR_包裝對照表 (Mapping Table)'!BI:BI,"",0,1)</f>
        <v>PE 說不需建BOM</v>
      </c>
      <c r="R154" s="977">
        <v>45779.0</v>
      </c>
      <c r="S154" s="977">
        <f t="shared" si="3"/>
        <v>45785</v>
      </c>
      <c r="T154" s="977">
        <v>45782.0</v>
      </c>
      <c r="U154" s="978"/>
      <c r="V154" s="935"/>
      <c r="W154" s="978" t="str">
        <f t="array" ref="W154">if(isblank(E154),"",xlookup(E154,'FL5_POR_包裝對照表 (Mapping Table)'!E:E,'FL5_POR_包裝對照表 (Mapping Table)'!BM:BM,"",0,1))</f>
        <v>No demand</v>
      </c>
      <c r="X154" s="935"/>
      <c r="Y154" s="935"/>
      <c r="Z154" s="935"/>
      <c r="AA154" s="935"/>
    </row>
    <row r="155" ht="15.75" customHeight="1">
      <c r="A155" s="935"/>
      <c r="B155" s="970">
        <v>148.0</v>
      </c>
      <c r="C155" s="970" t="str">
        <f>if(isblank(E155),"",'FL5_POR_包裝對照表 (Mapping Table)'!$E$4)</f>
        <v>GFL (FL5)</v>
      </c>
      <c r="D155" s="970" t="str">
        <f t="array" ref="D155">IF(ISBLANK(E155),"",xlookup(E155,'FL5_POR_包裝對照表 (Mapping Table)'!E:E,'FL5_POR_包裝對照表 (Mapping Table)'!AZ:AZ,"",0,1))</f>
        <v>MP</v>
      </c>
      <c r="E155" s="971" t="s">
        <v>1199</v>
      </c>
      <c r="F155" s="167" t="str">
        <f t="array" ref="F155">if(isblank(E155),"",xlookup(E155,'FL5_POR_包裝對照表 (Mapping Table)'!E:E,'FL5_POR_包裝對照表 (Mapping Table)'!F:F,"",0,1))</f>
        <v>US-Tmobile </v>
      </c>
      <c r="G155" s="972" t="str">
        <f t="array" ref="G155">if(isblank(E155),"",xlookup(E155,'FL5_POR_包裝對照表 (Mapping Table)'!E:E,'FL5_POR_包裝對照表 (Mapping Table)'!C:C,"",0,1))</f>
        <v>Refurb</v>
      </c>
      <c r="H155" s="973" t="str">
        <f t="array" ref="H155">if(isblank(E155),"",xlookup(E155,'FL5_POR_包裝對照表 (Mapping Table)'!E:E,'FL5_POR_包裝對照表 (Mapping Table)'!D:D,"",0,1))</f>
        <v>Retail Pack</v>
      </c>
      <c r="I155" s="974" t="str">
        <f t="shared" si="2"/>
        <v>Close</v>
      </c>
      <c r="J155" s="975" t="str">
        <f t="array" ref="J155">if(isblank(E155),"",xlookup(E155,'FL5_POR_包裝對照表 (Mapping Table)'!E:E,'FL5_POR_包裝對照表 (Mapping Table)'!H:H,"",0,1))</f>
        <v>mmWave</v>
      </c>
      <c r="K155" s="972" t="str">
        <f t="array" ref="K155">if(isblank(E155),"",xlookup(E155,'FL5_POR_包裝對照表 (Mapping Table)'!E:E,'FL5_POR_包裝對照表 (Mapping Table)'!M:M,"",0,1))</f>
        <v>TMO</v>
      </c>
      <c r="L155" s="972" t="str">
        <f t="array" ref="L155">if(isblank(E155),"",xlookup(E155,'FL5_POR_包裝對照表 (Mapping Table)'!E:E,'FL5_POR_包裝對照表 (Mapping Table)'!AN:AN,"",0,1))</f>
        <v>TBD</v>
      </c>
      <c r="M155" s="972" t="str">
        <f t="array" ref="M155">if(isblank(E155),"",xlookup(E155,'FL5_POR_包裝對照表 (Mapping Table)'!E:E,'FL5_POR_包裝對照表 (Mapping Table)'!J:J,"",0,1))</f>
        <v>Obsidian</v>
      </c>
      <c r="N155" s="972" t="str">
        <f t="array" ref="N155">if(isblank(E155),"",xlookup(E155,'FL5_POR_包裝對照表 (Mapping Table)'!E:E,'FL5_POR_包裝對照表 (Mapping Table)'!K:K,"",0,1))</f>
        <v>BLK</v>
      </c>
      <c r="O155" s="976">
        <f t="array" ref="O155">xlookup(E155,'Ike 提供_20250505'!D:D,'Ike 提供_20250505'!N:N,"",0,1)</f>
        <v>464.63</v>
      </c>
      <c r="P155" s="976">
        <f t="array" ref="P155">xlookup(E155,'Ike 提供_20250505'!D:D,'Ike 提供_20250505'!O:O,"",0,1)</f>
        <v>440.09</v>
      </c>
      <c r="Q155" s="977" t="str">
        <f t="array" ref="Q155">xlookup(E155,'FL5_POR_包裝對照表 (Mapping Table)'!E:E,'FL5_POR_包裝對照表 (Mapping Table)'!BI:BI,"",0,1)</f>
        <v>PE 說不需建BOM</v>
      </c>
      <c r="R155" s="977">
        <v>45779.0</v>
      </c>
      <c r="S155" s="977">
        <f t="shared" si="3"/>
        <v>45785</v>
      </c>
      <c r="T155" s="977">
        <v>45782.0</v>
      </c>
      <c r="U155" s="978"/>
      <c r="V155" s="935"/>
      <c r="W155" s="978" t="str">
        <f t="array" ref="W155">if(isblank(E155),"",xlookup(E155,'FL5_POR_包裝對照表 (Mapping Table)'!E:E,'FL5_POR_包裝對照表 (Mapping Table)'!BM:BM,"",0,1))</f>
        <v>No demand</v>
      </c>
      <c r="X155" s="935"/>
      <c r="Y155" s="935"/>
      <c r="Z155" s="935"/>
      <c r="AA155" s="935"/>
    </row>
    <row r="156" ht="15.75" customHeight="1">
      <c r="A156" s="935"/>
      <c r="B156" s="970">
        <v>149.0</v>
      </c>
      <c r="C156" s="970" t="str">
        <f>if(isblank(E156),"",'FL5_POR_包裝對照表 (Mapping Table)'!$E$4)</f>
        <v>GFL (FL5)</v>
      </c>
      <c r="D156" s="970" t="str">
        <f t="array" ref="D156">IF(ISBLANK(E156),"",xlookup(E156,'FL5_POR_包裝對照表 (Mapping Table)'!E:E,'FL5_POR_包裝對照表 (Mapping Table)'!AZ:AZ,"",0,1))</f>
        <v>MP</v>
      </c>
      <c r="E156" s="971" t="s">
        <v>1204</v>
      </c>
      <c r="F156" s="167" t="str">
        <f t="array" ref="F156">if(isblank(E156),"",xlookup(E156,'FL5_POR_包裝對照表 (Mapping Table)'!E:E,'FL5_POR_包裝對照表 (Mapping Table)'!F:F,"",0,1))</f>
        <v>US-Tmobile </v>
      </c>
      <c r="G156" s="972" t="str">
        <f t="array" ref="G156">if(isblank(E156),"",xlookup(E156,'FL5_POR_包裝對照表 (Mapping Table)'!E:E,'FL5_POR_包裝對照表 (Mapping Table)'!C:C,"",0,1))</f>
        <v>Refurb</v>
      </c>
      <c r="H156" s="973" t="str">
        <f t="array" ref="H156">if(isblank(E156),"",xlookup(E156,'FL5_POR_包裝對照表 (Mapping Table)'!E:E,'FL5_POR_包裝對照表 (Mapping Table)'!D:D,"",0,1))</f>
        <v>Retail Pack</v>
      </c>
      <c r="I156" s="974" t="str">
        <f t="shared" si="2"/>
        <v>Close</v>
      </c>
      <c r="J156" s="975" t="str">
        <f t="array" ref="J156">if(isblank(E156),"",xlookup(E156,'FL5_POR_包裝對照表 (Mapping Table)'!E:E,'FL5_POR_包裝對照表 (Mapping Table)'!H:H,"",0,1))</f>
        <v>mmWave</v>
      </c>
      <c r="K156" s="972" t="str">
        <f t="array" ref="K156">if(isblank(E156),"",xlookup(E156,'FL5_POR_包裝對照表 (Mapping Table)'!E:E,'FL5_POR_包裝對照表 (Mapping Table)'!M:M,"",0,1))</f>
        <v>TMO</v>
      </c>
      <c r="L156" s="972" t="str">
        <f t="array" ref="L156">if(isblank(E156),"",xlookup(E156,'FL5_POR_包裝對照表 (Mapping Table)'!E:E,'FL5_POR_包裝對照表 (Mapping Table)'!AN:AN,"",0,1))</f>
        <v>TBD</v>
      </c>
      <c r="M156" s="972" t="str">
        <f t="array" ref="M156">if(isblank(E156),"",xlookup(E156,'FL5_POR_包裝對照表 (Mapping Table)'!E:E,'FL5_POR_包裝對照表 (Mapping Table)'!J:J,"",0,1))</f>
        <v>Indigo</v>
      </c>
      <c r="N156" s="972" t="str">
        <f t="array" ref="N156">if(isblank(E156),"",xlookup(E156,'FL5_POR_包裝對照表 (Mapping Table)'!E:E,'FL5_POR_包裝對照表 (Mapping Table)'!K:K,"",0,1))</f>
        <v>BUE</v>
      </c>
      <c r="O156" s="976">
        <f t="array" ref="O156">xlookup(E156,'Ike 提供_20250505'!D:D,'Ike 提供_20250505'!N:N,"",0,1)</f>
        <v>426.51</v>
      </c>
      <c r="P156" s="976">
        <f t="array" ref="P156">xlookup(E156,'Ike 提供_20250505'!D:D,'Ike 提供_20250505'!O:O,"",0,1)</f>
        <v>440.49</v>
      </c>
      <c r="Q156" s="977" t="str">
        <f t="array" ref="Q156">xlookup(E156,'FL5_POR_包裝對照表 (Mapping Table)'!E:E,'FL5_POR_包裝對照表 (Mapping Table)'!BI:BI,"",0,1)</f>
        <v>PE 說不需建BOM</v>
      </c>
      <c r="R156" s="977">
        <v>45779.0</v>
      </c>
      <c r="S156" s="977">
        <f t="shared" si="3"/>
        <v>45785</v>
      </c>
      <c r="T156" s="977">
        <v>45782.0</v>
      </c>
      <c r="U156" s="978"/>
      <c r="V156" s="935"/>
      <c r="W156" s="978" t="str">
        <f t="array" ref="W156">if(isblank(E156),"",xlookup(E156,'FL5_POR_包裝對照表 (Mapping Table)'!E:E,'FL5_POR_包裝對照表 (Mapping Table)'!BM:BM,"",0,1))</f>
        <v>No demand</v>
      </c>
      <c r="X156" s="935"/>
      <c r="Y156" s="935"/>
      <c r="Z156" s="935"/>
      <c r="AA156" s="935"/>
    </row>
    <row r="157" ht="15.75" customHeight="1">
      <c r="A157" s="935"/>
      <c r="B157" s="970">
        <v>150.0</v>
      </c>
      <c r="C157" s="970" t="str">
        <f>if(isblank(E157),"",'FL5_POR_包裝對照表 (Mapping Table)'!$E$4)</f>
        <v>GFL (FL5)</v>
      </c>
      <c r="D157" s="970" t="str">
        <f t="array" ref="D157">IF(ISBLANK(E157),"",xlookup(E157,'FL5_POR_包裝對照表 (Mapping Table)'!E:E,'FL5_POR_包裝對照表 (Mapping Table)'!AZ:AZ,"",0,1))</f>
        <v>MP</v>
      </c>
      <c r="E157" s="971" t="s">
        <v>1208</v>
      </c>
      <c r="F157" s="167" t="str">
        <f t="array" ref="F157">if(isblank(E157),"",xlookup(E157,'FL5_POR_包裝對照表 (Mapping Table)'!E:E,'FL5_POR_包裝對照表 (Mapping Table)'!F:F,"",0,1))</f>
        <v>US GStore</v>
      </c>
      <c r="G157" s="972" t="str">
        <f t="array" ref="G157">if(isblank(E157),"",xlookup(E157,'FL5_POR_包裝對照表 (Mapping Table)'!E:E,'FL5_POR_包裝對照表 (Mapping Table)'!C:C,"",0,1))</f>
        <v>Refurb</v>
      </c>
      <c r="H157" s="973" t="str">
        <f t="array" ref="H157">if(isblank(E157),"",xlookup(E157,'FL5_POR_包裝對照表 (Mapping Table)'!E:E,'FL5_POR_包裝對照表 (Mapping Table)'!D:D,"",0,1))</f>
        <v>Retail Pack</v>
      </c>
      <c r="I157" s="974" t="str">
        <f t="shared" si="2"/>
        <v>Close</v>
      </c>
      <c r="J157" s="975" t="str">
        <f t="array" ref="J157">if(isblank(E157),"",xlookup(E157,'FL5_POR_包裝對照表 (Mapping Table)'!E:E,'FL5_POR_包裝對照表 (Mapping Table)'!H:H,"",0,1))</f>
        <v>mmWave</v>
      </c>
      <c r="K157" s="972" t="str">
        <f t="array" ref="K157">if(isblank(E157),"",xlookup(E157,'FL5_POR_包裝對照表 (Mapping Table)'!E:E,'FL5_POR_包裝對照表 (Mapping Table)'!M:M,"",0,1))</f>
        <v>NA</v>
      </c>
      <c r="L157" s="972" t="str">
        <f t="array" ref="L157">if(isblank(E157),"",xlookup(E157,'FL5_POR_包裝對照表 (Mapping Table)'!E:E,'FL5_POR_包裝對照表 (Mapping Table)'!AN:AN,"",0,1))</f>
        <v>TBD</v>
      </c>
      <c r="M157" s="972" t="str">
        <f t="array" ref="M157">if(isblank(E157),"",xlookup(E157,'FL5_POR_包裝對照表 (Mapping Table)'!E:E,'FL5_POR_包裝對照表 (Mapping Table)'!J:J,"",0,1))</f>
        <v>Obsidian</v>
      </c>
      <c r="N157" s="972" t="str">
        <f t="array" ref="N157">if(isblank(E157),"",xlookup(E157,'FL5_POR_包裝對照表 (Mapping Table)'!E:E,'FL5_POR_包裝對照表 (Mapping Table)'!K:K,"",0,1))</f>
        <v>BLK</v>
      </c>
      <c r="O157" s="976">
        <f t="array" ref="O157">xlookup(E157,'Ike 提供_20250505'!D:D,'Ike 提供_20250505'!N:N,"",0,1)</f>
        <v>464.81</v>
      </c>
      <c r="P157" s="976">
        <f t="array" ref="P157">xlookup(E157,'Ike 提供_20250505'!D:D,'Ike 提供_20250505'!O:O,"",0,1)</f>
        <v>440.09</v>
      </c>
      <c r="Q157" s="977" t="str">
        <f t="array" ref="Q157">xlookup(E157,'FL5_POR_包裝對照表 (Mapping Table)'!E:E,'FL5_POR_包裝對照表 (Mapping Table)'!BI:BI,"",0,1)</f>
        <v>PE 說不需建BOM</v>
      </c>
      <c r="R157" s="977">
        <v>45779.0</v>
      </c>
      <c r="S157" s="977">
        <f t="shared" si="3"/>
        <v>45785</v>
      </c>
      <c r="T157" s="977">
        <v>45782.0</v>
      </c>
      <c r="U157" s="978"/>
      <c r="V157" s="935"/>
      <c r="W157" s="978" t="str">
        <f t="array" ref="W157">if(isblank(E157),"",xlookup(E157,'FL5_POR_包裝對照表 (Mapping Table)'!E:E,'FL5_POR_包裝對照表 (Mapping Table)'!BM:BM,"",0,1))</f>
        <v>No demand</v>
      </c>
      <c r="X157" s="935"/>
      <c r="Y157" s="935"/>
      <c r="Z157" s="935"/>
      <c r="AA157" s="935"/>
    </row>
    <row r="158" ht="15.75" customHeight="1">
      <c r="A158" s="935"/>
      <c r="B158" s="970">
        <v>151.0</v>
      </c>
      <c r="C158" s="970" t="str">
        <f>if(isblank(E158),"",'FL5_POR_包裝對照表 (Mapping Table)'!$E$4)</f>
        <v>GFL (FL5)</v>
      </c>
      <c r="D158" s="970" t="str">
        <f t="array" ref="D158">IF(ISBLANK(E158),"",xlookup(E158,'FL5_POR_包裝對照表 (Mapping Table)'!E:E,'FL5_POR_包裝對照表 (Mapping Table)'!AZ:AZ,"",0,1))</f>
        <v>MP</v>
      </c>
      <c r="E158" s="971" t="s">
        <v>1213</v>
      </c>
      <c r="F158" s="167" t="str">
        <f t="array" ref="F158">if(isblank(E158),"",xlookup(E158,'FL5_POR_包裝對照表 (Mapping Table)'!E:E,'FL5_POR_包裝對照表 (Mapping Table)'!F:F,"",0,1))</f>
        <v>US GStore</v>
      </c>
      <c r="G158" s="972" t="str">
        <f t="array" ref="G158">if(isblank(E158),"",xlookup(E158,'FL5_POR_包裝對照表 (Mapping Table)'!E:E,'FL5_POR_包裝對照表 (Mapping Table)'!C:C,"",0,1))</f>
        <v>Refurb</v>
      </c>
      <c r="H158" s="973" t="str">
        <f t="array" ref="H158">if(isblank(E158),"",xlookup(E158,'FL5_POR_包裝對照表 (Mapping Table)'!E:E,'FL5_POR_包裝對照表 (Mapping Table)'!D:D,"",0,1))</f>
        <v>Retail Pack</v>
      </c>
      <c r="I158" s="974" t="str">
        <f t="shared" si="2"/>
        <v>Close</v>
      </c>
      <c r="J158" s="975" t="str">
        <f t="array" ref="J158">if(isblank(E158),"",xlookup(E158,'FL5_POR_包裝對照表 (Mapping Table)'!E:E,'FL5_POR_包裝對照表 (Mapping Table)'!H:H,"",0,1))</f>
        <v>mmWave</v>
      </c>
      <c r="K158" s="972" t="str">
        <f t="array" ref="K158">if(isblank(E158),"",xlookup(E158,'FL5_POR_包裝對照表 (Mapping Table)'!E:E,'FL5_POR_包裝對照表 (Mapping Table)'!M:M,"",0,1))</f>
        <v>NA</v>
      </c>
      <c r="L158" s="972" t="str">
        <f t="array" ref="L158">if(isblank(E158),"",xlookup(E158,'FL5_POR_包裝對照表 (Mapping Table)'!E:E,'FL5_POR_包裝對照表 (Mapping Table)'!AN:AN,"",0,1))</f>
        <v>TBD</v>
      </c>
      <c r="M158" s="972" t="str">
        <f t="array" ref="M158">if(isblank(E158),"",xlookup(E158,'FL5_POR_包裝對照表 (Mapping Table)'!E:E,'FL5_POR_包裝對照表 (Mapping Table)'!J:J,"",0,1))</f>
        <v>Frost</v>
      </c>
      <c r="N158" s="972" t="str">
        <f t="array" ref="N158">if(isblank(E158),"",xlookup(E158,'FL5_POR_包裝對照表 (Mapping Table)'!E:E,'FL5_POR_包裝對照表 (Mapping Table)'!K:K,"",0,1))</f>
        <v>PPL</v>
      </c>
      <c r="O158" s="976">
        <f t="array" ref="O158">xlookup(E158,'Ike 提供_20250505'!D:D,'Ike 提供_20250505'!N:N,"",0,1)</f>
        <v>460.98</v>
      </c>
      <c r="P158" s="976">
        <f t="array" ref="P158">xlookup(E158,'Ike 提供_20250505'!D:D,'Ike 提供_20250505'!O:O,"",0,1)</f>
        <v>440.39</v>
      </c>
      <c r="Q158" s="977" t="str">
        <f t="array" ref="Q158">xlookup(E158,'FL5_POR_包裝對照表 (Mapping Table)'!E:E,'FL5_POR_包裝對照表 (Mapping Table)'!BI:BI,"",0,1)</f>
        <v>PE 說不需建BOM</v>
      </c>
      <c r="R158" s="977">
        <v>45779.0</v>
      </c>
      <c r="S158" s="977">
        <f t="shared" si="3"/>
        <v>45785</v>
      </c>
      <c r="T158" s="977">
        <v>45782.0</v>
      </c>
      <c r="U158" s="978"/>
      <c r="V158" s="935"/>
      <c r="W158" s="978" t="str">
        <f t="array" ref="W158">if(isblank(E158),"",xlookup(E158,'FL5_POR_包裝對照表 (Mapping Table)'!E:E,'FL5_POR_包裝對照表 (Mapping Table)'!BM:BM,"",0,1))</f>
        <v>No demand</v>
      </c>
      <c r="X158" s="935"/>
      <c r="Y158" s="935"/>
      <c r="Z158" s="935"/>
      <c r="AA158" s="935"/>
    </row>
    <row r="159" ht="15.75" customHeight="1">
      <c r="A159" s="935"/>
      <c r="B159" s="970">
        <v>152.0</v>
      </c>
      <c r="C159" s="970" t="str">
        <f>if(isblank(E159),"",'FL5_POR_包裝對照表 (Mapping Table)'!$E$4)</f>
        <v>GFL (FL5)</v>
      </c>
      <c r="D159" s="970" t="str">
        <f t="array" ref="D159">IF(ISBLANK(E159),"",xlookup(E159,'FL5_POR_包裝對照表 (Mapping Table)'!E:E,'FL5_POR_包裝對照表 (Mapping Table)'!AZ:AZ,"",0,1))</f>
        <v>MP</v>
      </c>
      <c r="E159" s="971" t="s">
        <v>1217</v>
      </c>
      <c r="F159" s="167" t="str">
        <f t="array" ref="F159">if(isblank(E159),"",xlookup(E159,'FL5_POR_包裝對照表 (Mapping Table)'!E:E,'FL5_POR_包裝對照表 (Mapping Table)'!F:F,"",0,1))</f>
        <v>US GStore</v>
      </c>
      <c r="G159" s="972" t="str">
        <f t="array" ref="G159">if(isblank(E159),"",xlookup(E159,'FL5_POR_包裝對照表 (Mapping Table)'!E:E,'FL5_POR_包裝對照表 (Mapping Table)'!C:C,"",0,1))</f>
        <v>Refurb</v>
      </c>
      <c r="H159" s="973" t="str">
        <f t="array" ref="H159">if(isblank(E159),"",xlookup(E159,'FL5_POR_包裝對照表 (Mapping Table)'!E:E,'FL5_POR_包裝對照表 (Mapping Table)'!D:D,"",0,1))</f>
        <v>Retail Pack</v>
      </c>
      <c r="I159" s="974" t="str">
        <f t="shared" si="2"/>
        <v>Close</v>
      </c>
      <c r="J159" s="975" t="str">
        <f t="array" ref="J159">if(isblank(E159),"",xlookup(E159,'FL5_POR_包裝對照表 (Mapping Table)'!E:E,'FL5_POR_包裝對照表 (Mapping Table)'!H:H,"",0,1))</f>
        <v>mmWave</v>
      </c>
      <c r="K159" s="972" t="str">
        <f t="array" ref="K159">if(isblank(E159),"",xlookup(E159,'FL5_POR_包裝對照表 (Mapping Table)'!E:E,'FL5_POR_包裝對照表 (Mapping Table)'!M:M,"",0,1))</f>
        <v>NA</v>
      </c>
      <c r="L159" s="972" t="str">
        <f t="array" ref="L159">if(isblank(E159),"",xlookup(E159,'FL5_POR_包裝對照表 (Mapping Table)'!E:E,'FL5_POR_包裝對照表 (Mapping Table)'!AN:AN,"",0,1))</f>
        <v>TBD</v>
      </c>
      <c r="M159" s="972" t="str">
        <f t="array" ref="M159">if(isblank(E159),"",xlookup(E159,'FL5_POR_包裝對照表 (Mapping Table)'!E:E,'FL5_POR_包裝對照表 (Mapping Table)'!J:J,"",0,1))</f>
        <v>Lemongrass</v>
      </c>
      <c r="N159" s="972" t="str">
        <f t="array" ref="N159">if(isblank(E159),"",xlookup(E159,'FL5_POR_包裝對照表 (Mapping Table)'!E:E,'FL5_POR_包裝對照表 (Mapping Table)'!K:K,"",0,1))</f>
        <v>YEL</v>
      </c>
      <c r="O159" s="976">
        <f t="array" ref="O159">xlookup(E159,'Ike 提供_20250505'!D:D,'Ike 提供_20250505'!N:N,"",0,1)</f>
        <v>426.51</v>
      </c>
      <c r="P159" s="976">
        <f t="array" ref="P159">xlookup(E159,'Ike 提供_20250505'!D:D,'Ike 提供_20250505'!O:O,"",0,1)</f>
        <v>440.49</v>
      </c>
      <c r="Q159" s="977" t="str">
        <f t="array" ref="Q159">xlookup(E159,'FL5_POR_包裝對照表 (Mapping Table)'!E:E,'FL5_POR_包裝對照表 (Mapping Table)'!BI:BI,"",0,1)</f>
        <v>PE 說不需建BOM</v>
      </c>
      <c r="R159" s="977">
        <v>45779.0</v>
      </c>
      <c r="S159" s="977">
        <f t="shared" si="3"/>
        <v>45785</v>
      </c>
      <c r="T159" s="977">
        <v>45782.0</v>
      </c>
      <c r="U159" s="978"/>
      <c r="V159" s="935"/>
      <c r="W159" s="978" t="str">
        <f t="array" ref="W159">if(isblank(E159),"",xlookup(E159,'FL5_POR_包裝對照表 (Mapping Table)'!E:E,'FL5_POR_包裝對照表 (Mapping Table)'!BM:BM,"",0,1))</f>
        <v>No demand</v>
      </c>
      <c r="X159" s="935"/>
      <c r="Y159" s="935"/>
      <c r="Z159" s="935"/>
      <c r="AA159" s="935"/>
    </row>
    <row r="160" ht="15.75" customHeight="1">
      <c r="A160" s="935"/>
      <c r="B160" s="970">
        <v>153.0</v>
      </c>
      <c r="C160" s="970" t="str">
        <f>if(isblank(E160),"",'FL5_POR_包裝對照表 (Mapping Table)'!$E$4)</f>
        <v>GFL (FL5)</v>
      </c>
      <c r="D160" s="970" t="str">
        <f t="array" ref="D160">IF(ISBLANK(E160),"",xlookup(E160,'FL5_POR_包裝對照表 (Mapping Table)'!E:E,'FL5_POR_包裝對照表 (Mapping Table)'!AZ:AZ,"",0,1))</f>
        <v>MP</v>
      </c>
      <c r="E160" s="971" t="s">
        <v>1221</v>
      </c>
      <c r="F160" s="167" t="str">
        <f t="array" ref="F160">if(isblank(E160),"",xlookup(E160,'FL5_POR_包裝對照表 (Mapping Table)'!E:E,'FL5_POR_包裝對照表 (Mapping Table)'!F:F,"",0,1))</f>
        <v>US GStore</v>
      </c>
      <c r="G160" s="972" t="str">
        <f t="array" ref="G160">if(isblank(E160),"",xlookup(E160,'FL5_POR_包裝對照表 (Mapping Table)'!E:E,'FL5_POR_包裝對照表 (Mapping Table)'!C:C,"",0,1))</f>
        <v>Refurb</v>
      </c>
      <c r="H160" s="973" t="str">
        <f t="array" ref="H160">if(isblank(E160),"",xlookup(E160,'FL5_POR_包裝對照表 (Mapping Table)'!E:E,'FL5_POR_包裝對照表 (Mapping Table)'!D:D,"",0,1))</f>
        <v>Retail Pack</v>
      </c>
      <c r="I160" s="974" t="str">
        <f t="shared" si="2"/>
        <v>Close</v>
      </c>
      <c r="J160" s="975" t="str">
        <f t="array" ref="J160">if(isblank(E160),"",xlookup(E160,'FL5_POR_包裝對照表 (Mapping Table)'!E:E,'FL5_POR_包裝對照表 (Mapping Table)'!H:H,"",0,1))</f>
        <v>mmWave</v>
      </c>
      <c r="K160" s="972" t="str">
        <f t="array" ref="K160">if(isblank(E160),"",xlookup(E160,'FL5_POR_包裝對照表 (Mapping Table)'!E:E,'FL5_POR_包裝對照表 (Mapping Table)'!M:M,"",0,1))</f>
        <v>NA</v>
      </c>
      <c r="L160" s="972" t="str">
        <f t="array" ref="L160">if(isblank(E160),"",xlookup(E160,'FL5_POR_包裝對照表 (Mapping Table)'!E:E,'FL5_POR_包裝對照表 (Mapping Table)'!AN:AN,"",0,1))</f>
        <v>TBD</v>
      </c>
      <c r="M160" s="972" t="str">
        <f t="array" ref="M160">if(isblank(E160),"",xlookup(E160,'FL5_POR_包裝對照表 (Mapping Table)'!E:E,'FL5_POR_包裝對照表 (Mapping Table)'!J:J,"",0,1))</f>
        <v>Indigo</v>
      </c>
      <c r="N160" s="972" t="str">
        <f t="array" ref="N160">if(isblank(E160),"",xlookup(E160,'FL5_POR_包裝對照表 (Mapping Table)'!E:E,'FL5_POR_包裝對照表 (Mapping Table)'!K:K,"",0,1))</f>
        <v>BUE</v>
      </c>
      <c r="O160" s="976">
        <f t="array" ref="O160">xlookup(E160,'Ike 提供_20250505'!D:D,'Ike 提供_20250505'!N:N,"",0,1)</f>
        <v>426.51</v>
      </c>
      <c r="P160" s="976">
        <f t="array" ref="P160">xlookup(E160,'Ike 提供_20250505'!D:D,'Ike 提供_20250505'!O:O,"",0,1)</f>
        <v>440.49</v>
      </c>
      <c r="Q160" s="977" t="str">
        <f t="array" ref="Q160">xlookup(E160,'FL5_POR_包裝對照表 (Mapping Table)'!E:E,'FL5_POR_包裝對照表 (Mapping Table)'!BI:BI,"",0,1)</f>
        <v>PE 說不需建BOM</v>
      </c>
      <c r="R160" s="977">
        <v>45779.0</v>
      </c>
      <c r="S160" s="977">
        <f t="shared" si="3"/>
        <v>45785</v>
      </c>
      <c r="T160" s="977">
        <v>45782.0</v>
      </c>
      <c r="U160" s="978"/>
      <c r="V160" s="935"/>
      <c r="W160" s="978" t="str">
        <f t="array" ref="W160">if(isblank(E160),"",xlookup(E160,'FL5_POR_包裝對照表 (Mapping Table)'!E:E,'FL5_POR_包裝對照表 (Mapping Table)'!BM:BM,"",0,1))</f>
        <v>No demand</v>
      </c>
      <c r="X160" s="935"/>
      <c r="Y160" s="935"/>
      <c r="Z160" s="935"/>
      <c r="AA160" s="935"/>
    </row>
    <row r="161" ht="15.75" customHeight="1">
      <c r="A161" s="935"/>
      <c r="B161" s="970">
        <v>154.0</v>
      </c>
      <c r="C161" s="970" t="str">
        <f>if(isblank(E161),"",'FL5_POR_包裝對照表 (Mapping Table)'!$E$4)</f>
        <v>GFL (FL5)</v>
      </c>
      <c r="D161" s="970" t="str">
        <f t="array" ref="D161">IF(ISBLANK(E161),"",xlookup(E161,'FL5_POR_包裝對照表 (Mapping Table)'!E:E,'FL5_POR_包裝對照表 (Mapping Table)'!AZ:AZ,"",0,1))</f>
        <v>MP</v>
      </c>
      <c r="E161" s="971" t="s">
        <v>1225</v>
      </c>
      <c r="F161" s="167" t="str">
        <f t="array" ref="F161">if(isblank(E161),"",xlookup(E161,'FL5_POR_包裝對照表 (Mapping Table)'!E:E,'FL5_POR_包裝對照表 (Mapping Table)'!F:F,"",0,1))</f>
        <v>CA/TW/SG/MY/AU/MX</v>
      </c>
      <c r="G161" s="972" t="str">
        <f t="array" ref="G161">if(isblank(E161),"",xlookup(E161,'FL5_POR_包裝對照表 (Mapping Table)'!E:E,'FL5_POR_包裝對照表 (Mapping Table)'!C:C,"",0,1))</f>
        <v>Refurb</v>
      </c>
      <c r="H161" s="973" t="str">
        <f t="array" ref="H161">if(isblank(E161),"",xlookup(E161,'FL5_POR_包裝對照表 (Mapping Table)'!E:E,'FL5_POR_包裝對照表 (Mapping Table)'!D:D,"",0,1))</f>
        <v>Retail Pack</v>
      </c>
      <c r="I161" s="974" t="str">
        <f t="shared" si="2"/>
        <v>Close</v>
      </c>
      <c r="J161" s="975" t="str">
        <f t="array" ref="J161">if(isblank(E161),"",xlookup(E161,'FL5_POR_包裝對照表 (Mapping Table)'!E:E,'FL5_POR_包裝對照表 (Mapping Table)'!H:H,"",0,1))</f>
        <v>Sub6</v>
      </c>
      <c r="K161" s="972" t="str">
        <f t="array" ref="K161">if(isblank(E161),"",xlookup(E161,'FL5_POR_包裝對照表 (Mapping Table)'!E:E,'FL5_POR_包裝對照表 (Mapping Table)'!M:M,"",0,1))</f>
        <v>ROW</v>
      </c>
      <c r="L161" s="972" t="str">
        <f t="array" ref="L161">if(isblank(E161),"",xlookup(E161,'FL5_POR_包裝對照表 (Mapping Table)'!E:E,'FL5_POR_包裝對照表 (Mapping Table)'!AN:AN,"",0,1))</f>
        <v>TBD</v>
      </c>
      <c r="M161" s="972" t="str">
        <f t="array" ref="M161">if(isblank(E161),"",xlookup(E161,'FL5_POR_包裝對照表 (Mapping Table)'!E:E,'FL5_POR_包裝對照表 (Mapping Table)'!J:J,"",0,1))</f>
        <v>Obsidian</v>
      </c>
      <c r="N161" s="972" t="str">
        <f t="array" ref="N161">if(isblank(E161),"",xlookup(E161,'FL5_POR_包裝對照表 (Mapping Table)'!E:E,'FL5_POR_包裝對照表 (Mapping Table)'!K:K,"",0,1))</f>
        <v>BLK</v>
      </c>
      <c r="O161" s="976">
        <f t="array" ref="O161">xlookup(E161,'Ike 提供_20250505'!D:D,'Ike 提供_20250505'!N:N,"",0,1)</f>
        <v>427.23</v>
      </c>
      <c r="P161" s="976">
        <f t="array" ref="P161">xlookup(E161,'Ike 提供_20250505'!D:D,'Ike 提供_20250505'!O:O,"",0,1)</f>
        <v>422.71</v>
      </c>
      <c r="Q161" s="977" t="str">
        <f t="array" ref="Q161">xlookup(E161,'FL5_POR_包裝對照表 (Mapping Table)'!E:E,'FL5_POR_包裝對照表 (Mapping Table)'!BI:BI,"",0,1)</f>
        <v>PE 說不需建BOM</v>
      </c>
      <c r="R161" s="977">
        <v>45779.0</v>
      </c>
      <c r="S161" s="977">
        <f t="shared" si="3"/>
        <v>45785</v>
      </c>
      <c r="T161" s="977">
        <v>45782.0</v>
      </c>
      <c r="U161" s="978"/>
      <c r="V161" s="935"/>
      <c r="W161" s="978" t="str">
        <f t="array" ref="W161">if(isblank(E161),"",xlookup(E161,'FL5_POR_包裝對照表 (Mapping Table)'!E:E,'FL5_POR_包裝對照表 (Mapping Table)'!BM:BM,"",0,1))</f>
        <v>No demand</v>
      </c>
      <c r="X161" s="935"/>
      <c r="Y161" s="935"/>
      <c r="Z161" s="935"/>
      <c r="AA161" s="935"/>
    </row>
    <row r="162" ht="15.75" customHeight="1">
      <c r="A162" s="935"/>
      <c r="B162" s="970">
        <v>155.0</v>
      </c>
      <c r="C162" s="970" t="str">
        <f>if(isblank(E162),"",'FL5_POR_包裝對照表 (Mapping Table)'!$E$4)</f>
        <v>GFL (FL5)</v>
      </c>
      <c r="D162" s="970" t="str">
        <f t="array" ref="D162">IF(ISBLANK(E162),"",xlookup(E162,'FL5_POR_包裝對照表 (Mapping Table)'!E:E,'FL5_POR_包裝對照表 (Mapping Table)'!AZ:AZ,"",0,1))</f>
        <v>MP</v>
      </c>
      <c r="E162" s="971" t="s">
        <v>1229</v>
      </c>
      <c r="F162" s="167" t="str">
        <f t="array" ref="F162">if(isblank(E162),"",xlookup(E162,'FL5_POR_包裝對照表 (Mapping Table)'!E:E,'FL5_POR_包裝對照表 (Mapping Table)'!F:F,"",0,1))</f>
        <v>CA/TW/SG/MY/AU/MX</v>
      </c>
      <c r="G162" s="972" t="str">
        <f t="array" ref="G162">if(isblank(E162),"",xlookup(E162,'FL5_POR_包裝對照表 (Mapping Table)'!E:E,'FL5_POR_包裝對照表 (Mapping Table)'!C:C,"",0,1))</f>
        <v>Refurb</v>
      </c>
      <c r="H162" s="973" t="str">
        <f t="array" ref="H162">if(isblank(E162),"",xlookup(E162,'FL5_POR_包裝對照表 (Mapping Table)'!E:E,'FL5_POR_包裝對照表 (Mapping Table)'!D:D,"",0,1))</f>
        <v>Retail Pack</v>
      </c>
      <c r="I162" s="974" t="str">
        <f t="shared" si="2"/>
        <v>Close</v>
      </c>
      <c r="J162" s="975" t="str">
        <f t="array" ref="J162">if(isblank(E162),"",xlookup(E162,'FL5_POR_包裝對照表 (Mapping Table)'!E:E,'FL5_POR_包裝對照表 (Mapping Table)'!H:H,"",0,1))</f>
        <v>Sub6</v>
      </c>
      <c r="K162" s="972" t="str">
        <f t="array" ref="K162">if(isblank(E162),"",xlookup(E162,'FL5_POR_包裝對照表 (Mapping Table)'!E:E,'FL5_POR_包裝對照表 (Mapping Table)'!M:M,"",0,1))</f>
        <v>ROW</v>
      </c>
      <c r="L162" s="972" t="str">
        <f t="array" ref="L162">if(isblank(E162),"",xlookup(E162,'FL5_POR_包裝對照表 (Mapping Table)'!E:E,'FL5_POR_包裝對照表 (Mapping Table)'!AN:AN,"",0,1))</f>
        <v>TBD</v>
      </c>
      <c r="M162" s="972" t="str">
        <f t="array" ref="M162">if(isblank(E162),"",xlookup(E162,'FL5_POR_包裝對照表 (Mapping Table)'!E:E,'FL5_POR_包裝對照表 (Mapping Table)'!J:J,"",0,1))</f>
        <v>Frost</v>
      </c>
      <c r="N162" s="972" t="str">
        <f t="array" ref="N162">if(isblank(E162),"",xlookup(E162,'FL5_POR_包裝對照表 (Mapping Table)'!E:E,'FL5_POR_包裝對照表 (Mapping Table)'!K:K,"",0,1))</f>
        <v>PPL</v>
      </c>
      <c r="O162" s="976">
        <f t="array" ref="O162">xlookup(E162,'Ike 提供_20250505'!D:D,'Ike 提供_20250505'!N:N,"",0,1)</f>
        <v>441.37</v>
      </c>
      <c r="P162" s="976">
        <f t="array" ref="P162">xlookup(E162,'Ike 提供_20250505'!D:D,'Ike 提供_20250505'!O:O,"",0,1)</f>
        <v>423.01</v>
      </c>
      <c r="Q162" s="977" t="str">
        <f t="array" ref="Q162">xlookup(E162,'FL5_POR_包裝對照表 (Mapping Table)'!E:E,'FL5_POR_包裝對照表 (Mapping Table)'!BI:BI,"",0,1)</f>
        <v>PE 說不需建BOM</v>
      </c>
      <c r="R162" s="977">
        <v>45779.0</v>
      </c>
      <c r="S162" s="977">
        <f t="shared" si="3"/>
        <v>45785</v>
      </c>
      <c r="T162" s="977">
        <v>45782.0</v>
      </c>
      <c r="U162" s="978"/>
      <c r="V162" s="935"/>
      <c r="W162" s="978" t="str">
        <f t="array" ref="W162">if(isblank(E162),"",xlookup(E162,'FL5_POR_包裝對照表 (Mapping Table)'!E:E,'FL5_POR_包裝對照表 (Mapping Table)'!BM:BM,"",0,1))</f>
        <v>No demand</v>
      </c>
      <c r="X162" s="935"/>
      <c r="Y162" s="935"/>
      <c r="Z162" s="935"/>
      <c r="AA162" s="935"/>
    </row>
    <row r="163" ht="15.75" customHeight="1">
      <c r="A163" s="935"/>
      <c r="B163" s="970">
        <v>156.0</v>
      </c>
      <c r="C163" s="970" t="str">
        <f>if(isblank(E163),"",'FL5_POR_包裝對照表 (Mapping Table)'!$E$4)</f>
        <v>GFL (FL5)</v>
      </c>
      <c r="D163" s="970" t="str">
        <f t="array" ref="D163">IF(ISBLANK(E163),"",xlookup(E163,'FL5_POR_包裝對照表 (Mapping Table)'!E:E,'FL5_POR_包裝對照表 (Mapping Table)'!AZ:AZ,"",0,1))</f>
        <v>MP</v>
      </c>
      <c r="E163" s="971" t="s">
        <v>1233</v>
      </c>
      <c r="F163" s="167" t="str">
        <f t="array" ref="F163">if(isblank(E163),"",xlookup(E163,'FL5_POR_包裝對照表 (Mapping Table)'!E:E,'FL5_POR_包裝對照表 (Mapping Table)'!F:F,"",0,1))</f>
        <v>CA/TW/SG/MY/AU/MX</v>
      </c>
      <c r="G163" s="972" t="str">
        <f t="array" ref="G163">if(isblank(E163),"",xlookup(E163,'FL5_POR_包裝對照表 (Mapping Table)'!E:E,'FL5_POR_包裝對照表 (Mapping Table)'!C:C,"",0,1))</f>
        <v>Refurb</v>
      </c>
      <c r="H163" s="973" t="str">
        <f t="array" ref="H163">if(isblank(E163),"",xlookup(E163,'FL5_POR_包裝對照表 (Mapping Table)'!E:E,'FL5_POR_包裝對照表 (Mapping Table)'!D:D,"",0,1))</f>
        <v>Retail Pack</v>
      </c>
      <c r="I163" s="974" t="str">
        <f t="shared" si="2"/>
        <v>Close</v>
      </c>
      <c r="J163" s="975" t="str">
        <f t="array" ref="J163">if(isblank(E163),"",xlookup(E163,'FL5_POR_包裝對照表 (Mapping Table)'!E:E,'FL5_POR_包裝對照表 (Mapping Table)'!H:H,"",0,1))</f>
        <v>Sub6</v>
      </c>
      <c r="K163" s="972" t="str">
        <f t="array" ref="K163">if(isblank(E163),"",xlookup(E163,'FL5_POR_包裝對照表 (Mapping Table)'!E:E,'FL5_POR_包裝對照表 (Mapping Table)'!M:M,"",0,1))</f>
        <v>ROW</v>
      </c>
      <c r="L163" s="972" t="str">
        <f t="array" ref="L163">if(isblank(E163),"",xlookup(E163,'FL5_POR_包裝對照表 (Mapping Table)'!E:E,'FL5_POR_包裝對照表 (Mapping Table)'!AN:AN,"",0,1))</f>
        <v>TBD</v>
      </c>
      <c r="M163" s="972" t="str">
        <f t="array" ref="M163">if(isblank(E163),"",xlookup(E163,'FL5_POR_包裝對照表 (Mapping Table)'!E:E,'FL5_POR_包裝對照表 (Mapping Table)'!J:J,"",0,1))</f>
        <v>Lemongrass</v>
      </c>
      <c r="N163" s="972" t="str">
        <f t="array" ref="N163">if(isblank(E163),"",xlookup(E163,'FL5_POR_包裝對照表 (Mapping Table)'!E:E,'FL5_POR_包裝對照表 (Mapping Table)'!K:K,"",0,1))</f>
        <v>YEL</v>
      </c>
      <c r="O163" s="976">
        <f t="array" ref="O163">xlookup(E163,'Ike 提供_20250505'!D:D,'Ike 提供_20250505'!N:N,"",0,1)</f>
        <v>445.06</v>
      </c>
      <c r="P163" s="976">
        <f t="array" ref="P163">xlookup(E163,'Ike 提供_20250505'!D:D,'Ike 提供_20250505'!O:O,"",0,1)</f>
        <v>423.11</v>
      </c>
      <c r="Q163" s="977" t="str">
        <f t="array" ref="Q163">xlookup(E163,'FL5_POR_包裝對照表 (Mapping Table)'!E:E,'FL5_POR_包裝對照表 (Mapping Table)'!BI:BI,"",0,1)</f>
        <v>PE 說不需建BOM</v>
      </c>
      <c r="R163" s="977">
        <v>45779.0</v>
      </c>
      <c r="S163" s="977">
        <f t="shared" si="3"/>
        <v>45785</v>
      </c>
      <c r="T163" s="977">
        <v>45782.0</v>
      </c>
      <c r="U163" s="978"/>
      <c r="V163" s="935"/>
      <c r="W163" s="978" t="str">
        <f t="array" ref="W163">if(isblank(E163),"",xlookup(E163,'FL5_POR_包裝對照表 (Mapping Table)'!E:E,'FL5_POR_包裝對照表 (Mapping Table)'!BM:BM,"",0,1))</f>
        <v>No demand</v>
      </c>
      <c r="X163" s="935"/>
      <c r="Y163" s="935"/>
      <c r="Z163" s="935"/>
      <c r="AA163" s="935"/>
    </row>
    <row r="164" ht="15.75" customHeight="1">
      <c r="A164" s="935"/>
      <c r="B164" s="970">
        <v>157.0</v>
      </c>
      <c r="C164" s="970" t="str">
        <f>if(isblank(E164),"",'FL5_POR_包裝對照表 (Mapping Table)'!$E$4)</f>
        <v>GFL (FL5)</v>
      </c>
      <c r="D164" s="970" t="str">
        <f t="array" ref="D164">IF(ISBLANK(E164),"",xlookup(E164,'FL5_POR_包裝對照表 (Mapping Table)'!E:E,'FL5_POR_包裝對照表 (Mapping Table)'!AZ:AZ,"",0,1))</f>
        <v>MP</v>
      </c>
      <c r="E164" s="971" t="s">
        <v>1237</v>
      </c>
      <c r="F164" s="167" t="str">
        <f t="array" ref="F164">if(isblank(E164),"",xlookup(E164,'FL5_POR_包裝對照表 (Mapping Table)'!E:E,'FL5_POR_包裝對照表 (Mapping Table)'!F:F,"",0,1))</f>
        <v>CA/TW/SG/MY/AU/MX</v>
      </c>
      <c r="G164" s="972" t="str">
        <f t="array" ref="G164">if(isblank(E164),"",xlookup(E164,'FL5_POR_包裝對照表 (Mapping Table)'!E:E,'FL5_POR_包裝對照表 (Mapping Table)'!C:C,"",0,1))</f>
        <v>Refurb</v>
      </c>
      <c r="H164" s="973" t="str">
        <f t="array" ref="H164">if(isblank(E164),"",xlookup(E164,'FL5_POR_包裝對照表 (Mapping Table)'!E:E,'FL5_POR_包裝對照表 (Mapping Table)'!D:D,"",0,1))</f>
        <v>Retail Pack</v>
      </c>
      <c r="I164" s="974" t="str">
        <f t="shared" si="2"/>
        <v>Close</v>
      </c>
      <c r="J164" s="975" t="str">
        <f t="array" ref="J164">if(isblank(E164),"",xlookup(E164,'FL5_POR_包裝對照表 (Mapping Table)'!E:E,'FL5_POR_包裝對照表 (Mapping Table)'!H:H,"",0,1))</f>
        <v>Sub6</v>
      </c>
      <c r="K164" s="972" t="str">
        <f t="array" ref="K164">if(isblank(E164),"",xlookup(E164,'FL5_POR_包裝對照表 (Mapping Table)'!E:E,'FL5_POR_包裝對照表 (Mapping Table)'!M:M,"",0,1))</f>
        <v>ROW</v>
      </c>
      <c r="L164" s="972" t="str">
        <f t="array" ref="L164">if(isblank(E164),"",xlookup(E164,'FL5_POR_包裝對照表 (Mapping Table)'!E:E,'FL5_POR_包裝對照表 (Mapping Table)'!AN:AN,"",0,1))</f>
        <v>TBD</v>
      </c>
      <c r="M164" s="972" t="str">
        <f t="array" ref="M164">if(isblank(E164),"",xlookup(E164,'FL5_POR_包裝對照表 (Mapping Table)'!E:E,'FL5_POR_包裝對照表 (Mapping Table)'!J:J,"",0,1))</f>
        <v>Indigo</v>
      </c>
      <c r="N164" s="972" t="str">
        <f t="array" ref="N164">if(isblank(E164),"",xlookup(E164,'FL5_POR_包裝對照表 (Mapping Table)'!E:E,'FL5_POR_包裝對照表 (Mapping Table)'!K:K,"",0,1))</f>
        <v>BUE</v>
      </c>
      <c r="O164" s="976">
        <f t="array" ref="O164">xlookup(E164,'Ike 提供_20250505'!D:D,'Ike 提供_20250505'!N:N,"",0,1)</f>
        <v>441.14</v>
      </c>
      <c r="P164" s="976">
        <f t="array" ref="P164">xlookup(E164,'Ike 提供_20250505'!D:D,'Ike 提供_20250505'!O:O,"",0,1)</f>
        <v>423.11</v>
      </c>
      <c r="Q164" s="977" t="str">
        <f t="array" ref="Q164">xlookup(E164,'FL5_POR_包裝對照表 (Mapping Table)'!E:E,'FL5_POR_包裝對照表 (Mapping Table)'!BI:BI,"",0,1)</f>
        <v>PE 說不需建BOM</v>
      </c>
      <c r="R164" s="977">
        <v>45779.0</v>
      </c>
      <c r="S164" s="977">
        <f t="shared" si="3"/>
        <v>45785</v>
      </c>
      <c r="T164" s="977">
        <v>45782.0</v>
      </c>
      <c r="U164" s="978"/>
      <c r="V164" s="935"/>
      <c r="W164" s="978" t="str">
        <f t="array" ref="W164">if(isblank(E164),"",xlookup(E164,'FL5_POR_包裝對照表 (Mapping Table)'!E:E,'FL5_POR_包裝對照表 (Mapping Table)'!BM:BM,"",0,1))</f>
        <v>No demand</v>
      </c>
      <c r="X164" s="935"/>
      <c r="Y164" s="935"/>
      <c r="Z164" s="935"/>
      <c r="AA164" s="935"/>
    </row>
    <row r="165" ht="15.75" customHeight="1">
      <c r="A165" s="935"/>
      <c r="B165" s="970">
        <v>158.0</v>
      </c>
      <c r="C165" s="970" t="str">
        <f>if(isblank(E165),"",'FL5_POR_包裝對照表 (Mapping Table)'!$E$4)</f>
        <v>GFL (FL5)</v>
      </c>
      <c r="D165" s="970" t="str">
        <f t="array" ref="D165">IF(ISBLANK(E165),"",xlookup(E165,'FL5_POR_包裝對照表 (Mapping Table)'!E:E,'FL5_POR_包裝對照表 (Mapping Table)'!AZ:AZ,"",0,1))</f>
        <v>MP</v>
      </c>
      <c r="E165" s="971" t="s">
        <v>1241</v>
      </c>
      <c r="F165" s="167" t="str">
        <f t="array" ref="F165">if(isblank(E165),"",xlookup(E165,'FL5_POR_包裝對照表 (Mapping Table)'!E:E,'FL5_POR_包裝對照表 (Mapping Table)'!F:F,"",0,1))</f>
        <v>UK,DE, IT, ES, IE,FR, NO,SE,DK,NL, BE, AT, CH, PT, PL, SK,
CEE (CZ, RO, HU, SI, LV, LT, EE, FI)</v>
      </c>
      <c r="G165" s="972" t="str">
        <f t="array" ref="G165">if(isblank(E165),"",xlookup(E165,'FL5_POR_包裝對照表 (Mapping Table)'!E:E,'FL5_POR_包裝對照表 (Mapping Table)'!C:C,"",0,1))</f>
        <v>Refurb</v>
      </c>
      <c r="H165" s="973" t="str">
        <f t="array" ref="H165">if(isblank(E165),"",xlookup(E165,'FL5_POR_包裝對照表 (Mapping Table)'!E:E,'FL5_POR_包裝對照表 (Mapping Table)'!D:D,"",0,1))</f>
        <v>Retail Pack</v>
      </c>
      <c r="I165" s="974" t="str">
        <f t="shared" si="2"/>
        <v>Close</v>
      </c>
      <c r="J165" s="975" t="str">
        <f t="array" ref="J165">if(isblank(E165),"",xlookup(E165,'FL5_POR_包裝對照表 (Mapping Table)'!E:E,'FL5_POR_包裝對照表 (Mapping Table)'!H:H,"",0,1))</f>
        <v>Sub6</v>
      </c>
      <c r="K165" s="972" t="str">
        <f t="array" ref="K165">if(isblank(E165),"",xlookup(E165,'FL5_POR_包裝對照表 (Mapping Table)'!E:E,'FL5_POR_包裝對照表 (Mapping Table)'!M:M,"",0,1))</f>
        <v>ROW</v>
      </c>
      <c r="L165" s="972" t="str">
        <f t="array" ref="L165">if(isblank(E165),"",xlookup(E165,'FL5_POR_包裝對照表 (Mapping Table)'!E:E,'FL5_POR_包裝對照表 (Mapping Table)'!AN:AN,"",0,1))</f>
        <v>TBD</v>
      </c>
      <c r="M165" s="972" t="str">
        <f t="array" ref="M165">if(isblank(E165),"",xlookup(E165,'FL5_POR_包裝對照表 (Mapping Table)'!E:E,'FL5_POR_包裝對照表 (Mapping Table)'!J:J,"",0,1))</f>
        <v>Obsidian</v>
      </c>
      <c r="N165" s="972" t="str">
        <f t="array" ref="N165">if(isblank(E165),"",xlookup(E165,'FL5_POR_包裝對照表 (Mapping Table)'!E:E,'FL5_POR_包裝對照表 (Mapping Table)'!K:K,"",0,1))</f>
        <v>BLK</v>
      </c>
      <c r="O165" s="976">
        <f t="array" ref="O165">xlookup(E165,'Ike 提供_20250505'!D:D,'Ike 提供_20250505'!N:N,"",0,1)</f>
        <v>430.2</v>
      </c>
      <c r="P165" s="976">
        <f t="array" ref="P165">xlookup(E165,'Ike 提供_20250505'!D:D,'Ike 提供_20250505'!O:O,"",0,1)</f>
        <v>423.22</v>
      </c>
      <c r="Q165" s="977" t="str">
        <f t="array" ref="Q165">xlookup(E165,'FL5_POR_包裝對照表 (Mapping Table)'!E:E,'FL5_POR_包裝對照表 (Mapping Table)'!BI:BI,"",0,1)</f>
        <v>PE 說不需建BOM</v>
      </c>
      <c r="R165" s="977">
        <v>45779.0</v>
      </c>
      <c r="S165" s="977">
        <f t="shared" si="3"/>
        <v>45785</v>
      </c>
      <c r="T165" s="977">
        <v>45782.0</v>
      </c>
      <c r="U165" s="978"/>
      <c r="V165" s="935"/>
      <c r="W165" s="978" t="str">
        <f t="array" ref="W165">if(isblank(E165),"",xlookup(E165,'FL5_POR_包裝對照表 (Mapping Table)'!E:E,'FL5_POR_包裝對照表 (Mapping Table)'!BM:BM,"",0,1))</f>
        <v>No demand</v>
      </c>
      <c r="X165" s="935"/>
      <c r="Y165" s="935"/>
      <c r="Z165" s="935"/>
      <c r="AA165" s="935"/>
    </row>
    <row r="166" ht="15.75" customHeight="1">
      <c r="A166" s="935"/>
      <c r="B166" s="970">
        <v>159.0</v>
      </c>
      <c r="C166" s="970" t="str">
        <f>if(isblank(E166),"",'FL5_POR_包裝對照表 (Mapping Table)'!$E$4)</f>
        <v>GFL (FL5)</v>
      </c>
      <c r="D166" s="970" t="str">
        <f t="array" ref="D166">IF(ISBLANK(E166),"",xlookup(E166,'FL5_POR_包裝對照表 (Mapping Table)'!E:E,'FL5_POR_包裝對照表 (Mapping Table)'!AZ:AZ,"",0,1))</f>
        <v>MP</v>
      </c>
      <c r="E166" s="971" t="s">
        <v>1246</v>
      </c>
      <c r="F166" s="167" t="str">
        <f t="array" ref="F166">if(isblank(E166),"",xlookup(E166,'FL5_POR_包裝對照表 (Mapping Table)'!E:E,'FL5_POR_包裝對照表 (Mapping Table)'!F:F,"",0,1))</f>
        <v>UK,DE, IT, ES, IE,FR, NO,SE,DK,NL, BE, AT, CH, PT, PL, SK,
CEE (CZ, RO, HU, SI, LV, LT, EE, FI)</v>
      </c>
      <c r="G166" s="972" t="str">
        <f t="array" ref="G166">if(isblank(E166),"",xlookup(E166,'FL5_POR_包裝對照表 (Mapping Table)'!E:E,'FL5_POR_包裝對照表 (Mapping Table)'!C:C,"",0,1))</f>
        <v>Refurb</v>
      </c>
      <c r="H166" s="973" t="str">
        <f t="array" ref="H166">if(isblank(E166),"",xlookup(E166,'FL5_POR_包裝對照表 (Mapping Table)'!E:E,'FL5_POR_包裝對照表 (Mapping Table)'!D:D,"",0,1))</f>
        <v>Retail Pack</v>
      </c>
      <c r="I166" s="974" t="str">
        <f t="shared" si="2"/>
        <v>Close</v>
      </c>
      <c r="J166" s="975" t="str">
        <f t="array" ref="J166">if(isblank(E166),"",xlookup(E166,'FL5_POR_包裝對照表 (Mapping Table)'!E:E,'FL5_POR_包裝對照表 (Mapping Table)'!H:H,"",0,1))</f>
        <v>Sub6</v>
      </c>
      <c r="K166" s="972" t="str">
        <f t="array" ref="K166">if(isblank(E166),"",xlookup(E166,'FL5_POR_包裝對照表 (Mapping Table)'!E:E,'FL5_POR_包裝對照表 (Mapping Table)'!M:M,"",0,1))</f>
        <v>ROW</v>
      </c>
      <c r="L166" s="972" t="str">
        <f t="array" ref="L166">if(isblank(E166),"",xlookup(E166,'FL5_POR_包裝對照表 (Mapping Table)'!E:E,'FL5_POR_包裝對照表 (Mapping Table)'!AN:AN,"",0,1))</f>
        <v>TBD</v>
      </c>
      <c r="M166" s="972" t="str">
        <f t="array" ref="M166">if(isblank(E166),"",xlookup(E166,'FL5_POR_包裝對照表 (Mapping Table)'!E:E,'FL5_POR_包裝對照表 (Mapping Table)'!J:J,"",0,1))</f>
        <v>Frost</v>
      </c>
      <c r="N166" s="972" t="str">
        <f t="array" ref="N166">if(isblank(E166),"",xlookup(E166,'FL5_POR_包裝對照表 (Mapping Table)'!E:E,'FL5_POR_包裝對照表 (Mapping Table)'!K:K,"",0,1))</f>
        <v>PPL</v>
      </c>
      <c r="O166" s="976">
        <f t="array" ref="O166">xlookup(E166,'Ike 提供_20250505'!D:D,'Ike 提供_20250505'!N:N,"",0,1)</f>
        <v>430.5</v>
      </c>
      <c r="P166" s="976">
        <f t="array" ref="P166">xlookup(E166,'Ike 提供_20250505'!D:D,'Ike 提供_20250505'!O:O,"",0,1)</f>
        <v>423.52</v>
      </c>
      <c r="Q166" s="977" t="str">
        <f t="array" ref="Q166">xlookup(E166,'FL5_POR_包裝對照表 (Mapping Table)'!E:E,'FL5_POR_包裝對照表 (Mapping Table)'!BI:BI,"",0,1)</f>
        <v>PE 說不需建BOM</v>
      </c>
      <c r="R166" s="977">
        <v>45779.0</v>
      </c>
      <c r="S166" s="977">
        <f t="shared" si="3"/>
        <v>45785</v>
      </c>
      <c r="T166" s="977">
        <v>45782.0</v>
      </c>
      <c r="U166" s="978"/>
      <c r="V166" s="935"/>
      <c r="W166" s="978" t="str">
        <f t="array" ref="W166">if(isblank(E166),"",xlookup(E166,'FL5_POR_包裝對照表 (Mapping Table)'!E:E,'FL5_POR_包裝對照表 (Mapping Table)'!BM:BM,"",0,1))</f>
        <v>No demand</v>
      </c>
      <c r="X166" s="935"/>
      <c r="Y166" s="935"/>
      <c r="Z166" s="935"/>
      <c r="AA166" s="935"/>
    </row>
    <row r="167" ht="15.75" customHeight="1">
      <c r="A167" s="935"/>
      <c r="B167" s="970">
        <v>160.0</v>
      </c>
      <c r="C167" s="970" t="str">
        <f>if(isblank(E167),"",'FL5_POR_包裝對照表 (Mapping Table)'!$E$4)</f>
        <v>GFL (FL5)</v>
      </c>
      <c r="D167" s="970" t="str">
        <f t="array" ref="D167">IF(ISBLANK(E167),"",xlookup(E167,'FL5_POR_包裝對照表 (Mapping Table)'!E:E,'FL5_POR_包裝對照表 (Mapping Table)'!AZ:AZ,"",0,1))</f>
        <v>MP</v>
      </c>
      <c r="E167" s="971" t="s">
        <v>1250</v>
      </c>
      <c r="F167" s="167" t="str">
        <f t="array" ref="F167">if(isblank(E167),"",xlookup(E167,'FL5_POR_包裝對照表 (Mapping Table)'!E:E,'FL5_POR_包裝對照表 (Mapping Table)'!F:F,"",0,1))</f>
        <v>UK,DE, IT, ES, IE,FR, NO,SE,DK,NL, BE, AT, CH, PT, PL, SK,
CEE (CZ, RO, HU, SI, LV, LT, EE, FI)</v>
      </c>
      <c r="G167" s="972" t="str">
        <f t="array" ref="G167">if(isblank(E167),"",xlookup(E167,'FL5_POR_包裝對照表 (Mapping Table)'!E:E,'FL5_POR_包裝對照表 (Mapping Table)'!C:C,"",0,1))</f>
        <v>Refurb</v>
      </c>
      <c r="H167" s="973" t="str">
        <f t="array" ref="H167">if(isblank(E167),"",xlookup(E167,'FL5_POR_包裝對照表 (Mapping Table)'!E:E,'FL5_POR_包裝對照表 (Mapping Table)'!D:D,"",0,1))</f>
        <v>Retail Pack</v>
      </c>
      <c r="I167" s="974" t="str">
        <f t="shared" si="2"/>
        <v>Close</v>
      </c>
      <c r="J167" s="975" t="str">
        <f t="array" ref="J167">if(isblank(E167),"",xlookup(E167,'FL5_POR_包裝對照表 (Mapping Table)'!E:E,'FL5_POR_包裝對照表 (Mapping Table)'!H:H,"",0,1))</f>
        <v>Sub6</v>
      </c>
      <c r="K167" s="972" t="str">
        <f t="array" ref="K167">if(isblank(E167),"",xlookup(E167,'FL5_POR_包裝對照表 (Mapping Table)'!E:E,'FL5_POR_包裝對照表 (Mapping Table)'!M:M,"",0,1))</f>
        <v>ROW</v>
      </c>
      <c r="L167" s="972" t="str">
        <f t="array" ref="L167">if(isblank(E167),"",xlookup(E167,'FL5_POR_包裝對照表 (Mapping Table)'!E:E,'FL5_POR_包裝對照表 (Mapping Table)'!AN:AN,"",0,1))</f>
        <v>TBD</v>
      </c>
      <c r="M167" s="972" t="str">
        <f t="array" ref="M167">if(isblank(E167),"",xlookup(E167,'FL5_POR_包裝對照表 (Mapping Table)'!E:E,'FL5_POR_包裝對照表 (Mapping Table)'!J:J,"",0,1))</f>
        <v>Lemongrass</v>
      </c>
      <c r="N167" s="972" t="str">
        <f t="array" ref="N167">if(isblank(E167),"",xlookup(E167,'FL5_POR_包裝對照表 (Mapping Table)'!E:E,'FL5_POR_包裝對照表 (Mapping Table)'!K:K,"",0,1))</f>
        <v>YEL</v>
      </c>
      <c r="O167" s="976">
        <f t="array" ref="O167">xlookup(E167,'Ike 提供_20250505'!D:D,'Ike 提供_20250505'!N:N,"",0,1)</f>
        <v>430.6</v>
      </c>
      <c r="P167" s="976">
        <f t="array" ref="P167">xlookup(E167,'Ike 提供_20250505'!D:D,'Ike 提供_20250505'!O:O,"",0,1)</f>
        <v>423.62</v>
      </c>
      <c r="Q167" s="977" t="str">
        <f t="array" ref="Q167">xlookup(E167,'FL5_POR_包裝對照表 (Mapping Table)'!E:E,'FL5_POR_包裝對照表 (Mapping Table)'!BI:BI,"",0,1)</f>
        <v>PE 說不需建BOM</v>
      </c>
      <c r="R167" s="977">
        <v>45779.0</v>
      </c>
      <c r="S167" s="977">
        <f t="shared" si="3"/>
        <v>45785</v>
      </c>
      <c r="T167" s="977">
        <v>45782.0</v>
      </c>
      <c r="U167" s="978"/>
      <c r="V167" s="935"/>
      <c r="W167" s="978" t="str">
        <f t="array" ref="W167">if(isblank(E167),"",xlookup(E167,'FL5_POR_包裝對照表 (Mapping Table)'!E:E,'FL5_POR_包裝對照表 (Mapping Table)'!BM:BM,"",0,1))</f>
        <v>No demand</v>
      </c>
      <c r="X167" s="935"/>
      <c r="Y167" s="935"/>
      <c r="Z167" s="935"/>
      <c r="AA167" s="935"/>
    </row>
    <row r="168" ht="15.75" customHeight="1">
      <c r="A168" s="935"/>
      <c r="B168" s="970">
        <v>161.0</v>
      </c>
      <c r="C168" s="970" t="str">
        <f>if(isblank(E168),"",'FL5_POR_包裝對照表 (Mapping Table)'!$E$4)</f>
        <v>GFL (FL5)</v>
      </c>
      <c r="D168" s="970" t="str">
        <f t="array" ref="D168">IF(ISBLANK(E168),"",xlookup(E168,'FL5_POR_包裝對照表 (Mapping Table)'!E:E,'FL5_POR_包裝對照表 (Mapping Table)'!AZ:AZ,"",0,1))</f>
        <v>MP</v>
      </c>
      <c r="E168" s="971" t="s">
        <v>1254</v>
      </c>
      <c r="F168" s="167" t="str">
        <f t="array" ref="F168">if(isblank(E168),"",xlookup(E168,'FL5_POR_包裝對照表 (Mapping Table)'!E:E,'FL5_POR_包裝對照表 (Mapping Table)'!F:F,"",0,1))</f>
        <v>UK,DE, IT, ES, IE,FR, NO,SE,DK,NL, BE, AT, CH, PT, PL, SK,
CEE (CZ, RO, HU, SI, LV, LT, EE, FI)</v>
      </c>
      <c r="G168" s="972" t="str">
        <f t="array" ref="G168">if(isblank(E168),"",xlookup(E168,'FL5_POR_包裝對照表 (Mapping Table)'!E:E,'FL5_POR_包裝對照表 (Mapping Table)'!C:C,"",0,1))</f>
        <v>Refurb</v>
      </c>
      <c r="H168" s="973" t="str">
        <f t="array" ref="H168">if(isblank(E168),"",xlookup(E168,'FL5_POR_包裝對照表 (Mapping Table)'!E:E,'FL5_POR_包裝對照表 (Mapping Table)'!D:D,"",0,1))</f>
        <v>Retail Pack</v>
      </c>
      <c r="I168" s="974" t="str">
        <f t="shared" si="2"/>
        <v>Close</v>
      </c>
      <c r="J168" s="975" t="str">
        <f t="array" ref="J168">if(isblank(E168),"",xlookup(E168,'FL5_POR_包裝對照表 (Mapping Table)'!E:E,'FL5_POR_包裝對照表 (Mapping Table)'!H:H,"",0,1))</f>
        <v>Sub6</v>
      </c>
      <c r="K168" s="972" t="str">
        <f t="array" ref="K168">if(isblank(E168),"",xlookup(E168,'FL5_POR_包裝對照表 (Mapping Table)'!E:E,'FL5_POR_包裝對照表 (Mapping Table)'!M:M,"",0,1))</f>
        <v>ROW</v>
      </c>
      <c r="L168" s="972" t="str">
        <f t="array" ref="L168">if(isblank(E168),"",xlookup(E168,'FL5_POR_包裝對照表 (Mapping Table)'!E:E,'FL5_POR_包裝對照表 (Mapping Table)'!AN:AN,"",0,1))</f>
        <v>TBD</v>
      </c>
      <c r="M168" s="972" t="str">
        <f t="array" ref="M168">if(isblank(E168),"",xlookup(E168,'FL5_POR_包裝對照表 (Mapping Table)'!E:E,'FL5_POR_包裝對照表 (Mapping Table)'!J:J,"",0,1))</f>
        <v>Indigo</v>
      </c>
      <c r="N168" s="972" t="str">
        <f t="array" ref="N168">if(isblank(E168),"",xlookup(E168,'FL5_POR_包裝對照表 (Mapping Table)'!E:E,'FL5_POR_包裝對照表 (Mapping Table)'!K:K,"",0,1))</f>
        <v>BUE</v>
      </c>
      <c r="O168" s="976">
        <f t="array" ref="O168">xlookup(E168,'Ike 提供_20250505'!D:D,'Ike 提供_20250505'!N:N,"",0,1)</f>
        <v>430.6</v>
      </c>
      <c r="P168" s="976">
        <f t="array" ref="P168">xlookup(E168,'Ike 提供_20250505'!D:D,'Ike 提供_20250505'!O:O,"",0,1)</f>
        <v>423.62</v>
      </c>
      <c r="Q168" s="977" t="str">
        <f t="array" ref="Q168">xlookup(E168,'FL5_POR_包裝對照表 (Mapping Table)'!E:E,'FL5_POR_包裝對照表 (Mapping Table)'!BI:BI,"",0,1)</f>
        <v>PE 說不需建BOM</v>
      </c>
      <c r="R168" s="977">
        <v>45779.0</v>
      </c>
      <c r="S168" s="977">
        <f t="shared" si="3"/>
        <v>45785</v>
      </c>
      <c r="T168" s="977">
        <v>45782.0</v>
      </c>
      <c r="U168" s="978"/>
      <c r="V168" s="935"/>
      <c r="W168" s="978" t="str">
        <f t="array" ref="W168">if(isblank(E168),"",xlookup(E168,'FL5_POR_包裝對照表 (Mapping Table)'!E:E,'FL5_POR_包裝對照表 (Mapping Table)'!BM:BM,"",0,1))</f>
        <v>No demand</v>
      </c>
      <c r="X168" s="935"/>
      <c r="Y168" s="935"/>
      <c r="Z168" s="935"/>
      <c r="AA168" s="935"/>
    </row>
    <row r="169" ht="15.75" customHeight="1">
      <c r="A169" s="935"/>
      <c r="B169" s="970">
        <v>162.0</v>
      </c>
      <c r="C169" s="970" t="str">
        <f>if(isblank(E169),"",'FL5_POR_包裝對照表 (Mapping Table)'!$E$4)</f>
        <v>GFL (FL5)</v>
      </c>
      <c r="D169" s="970" t="str">
        <f t="array" ref="D169">IF(ISBLANK(E169),"",xlookup(E169,'FL5_POR_包裝對照表 (Mapping Table)'!E:E,'FL5_POR_包裝對照表 (Mapping Table)'!AZ:AZ,"",0,1))</f>
        <v>MP</v>
      </c>
      <c r="E169" s="980" t="s">
        <v>1258</v>
      </c>
      <c r="F169" s="167" t="str">
        <f t="array" ref="F169">if(isblank(E169),"",xlookup(E169,'FL5_POR_包裝對照表 (Mapping Table)'!E:E,'FL5_POR_包裝對照表 (Mapping Table)'!F:F,"",0,1))</f>
        <v>JP</v>
      </c>
      <c r="G169" s="972" t="str">
        <f t="array" ref="G169">if(isblank(E169),"",xlookup(E169,'FL5_POR_包裝對照表 (Mapping Table)'!E:E,'FL5_POR_包裝對照表 (Mapping Table)'!C:C,"",0,1))</f>
        <v>Refurb</v>
      </c>
      <c r="H169" s="973" t="str">
        <f t="array" ref="H169">if(isblank(E169),"",xlookup(E169,'FL5_POR_包裝對照表 (Mapping Table)'!E:E,'FL5_POR_包裝對照表 (Mapping Table)'!D:D,"",0,1))</f>
        <v>Retail Pack</v>
      </c>
      <c r="I169" s="974" t="str">
        <f t="shared" si="2"/>
        <v>Close</v>
      </c>
      <c r="J169" s="975" t="str">
        <f t="array" ref="J169">if(isblank(E169),"",xlookup(E169,'FL5_POR_包裝對照表 (Mapping Table)'!E:E,'FL5_POR_包裝對照表 (Mapping Table)'!H:H,"",0,1))</f>
        <v>JPN</v>
      </c>
      <c r="K169" s="972" t="str">
        <f t="array" ref="K169">if(isblank(E169),"",xlookup(E169,'FL5_POR_包裝對照表 (Mapping Table)'!E:E,'FL5_POR_包裝對照表 (Mapping Table)'!M:M,"",0,1))</f>
        <v>JPN</v>
      </c>
      <c r="L169" s="972" t="str">
        <f t="array" ref="L169">if(isblank(E169),"",xlookup(E169,'FL5_POR_包裝對照表 (Mapping Table)'!E:E,'FL5_POR_包裝對照表 (Mapping Table)'!AN:AN,"",0,1))</f>
        <v>TBD</v>
      </c>
      <c r="M169" s="972" t="str">
        <f t="array" ref="M169">if(isblank(E169),"",xlookup(E169,'FL5_POR_包裝對照表 (Mapping Table)'!E:E,'FL5_POR_包裝對照表 (Mapping Table)'!J:J,"",0,1))</f>
        <v>Obsidian</v>
      </c>
      <c r="N169" s="972" t="str">
        <f t="array" ref="N169">if(isblank(E169),"",xlookup(E169,'FL5_POR_包裝對照表 (Mapping Table)'!E:E,'FL5_POR_包裝對照表 (Mapping Table)'!K:K,"",0,1))</f>
        <v>BLK</v>
      </c>
      <c r="O169" s="976">
        <f t="array" ref="O169">xlookup(E169,'Ike 提供_20250505'!D:D,'Ike 提供_20250505'!N:N,"",0,1)</f>
        <v>427.55</v>
      </c>
      <c r="P169" s="976">
        <f t="array" ref="P169">xlookup(E169,'Ike 提供_20250505'!D:D,'Ike 提供_20250505'!O:O,"",0,1)</f>
        <v>422.69</v>
      </c>
      <c r="Q169" s="977" t="str">
        <f t="array" ref="Q169">xlookup(E169,'FL5_POR_包裝對照表 (Mapping Table)'!E:E,'FL5_POR_包裝對照表 (Mapping Table)'!BI:BI,"",0,1)</f>
        <v>PE 說不需建BOM</v>
      </c>
      <c r="R169" s="977">
        <v>45779.0</v>
      </c>
      <c r="S169" s="977">
        <f t="shared" si="3"/>
        <v>45785</v>
      </c>
      <c r="T169" s="977">
        <v>45782.0</v>
      </c>
      <c r="U169" s="978"/>
      <c r="V169" s="935"/>
      <c r="W169" s="978" t="str">
        <f t="array" ref="W169">if(isblank(E169),"",xlookup(E169,'FL5_POR_包裝對照表 (Mapping Table)'!E:E,'FL5_POR_包裝對照表 (Mapping Table)'!BM:BM,"",0,1))</f>
        <v>No demand</v>
      </c>
      <c r="X169" s="935"/>
      <c r="Y169" s="935"/>
      <c r="Z169" s="935"/>
      <c r="AA169" s="935"/>
    </row>
    <row r="170" ht="15.75" customHeight="1">
      <c r="A170" s="935"/>
      <c r="B170" s="970">
        <v>163.0</v>
      </c>
      <c r="C170" s="970" t="str">
        <f>if(isblank(E170),"",'FL5_POR_包裝對照表 (Mapping Table)'!$E$4)</f>
        <v>GFL (FL5)</v>
      </c>
      <c r="D170" s="970" t="str">
        <f t="array" ref="D170">IF(ISBLANK(E170),"",xlookup(E170,'FL5_POR_包裝對照表 (Mapping Table)'!E:E,'FL5_POR_包裝對照表 (Mapping Table)'!AZ:AZ,"",0,1))</f>
        <v>MP</v>
      </c>
      <c r="E170" s="971" t="s">
        <v>1262</v>
      </c>
      <c r="F170" s="167" t="str">
        <f t="array" ref="F170">if(isblank(E170),"",xlookup(E170,'FL5_POR_包裝對照表 (Mapping Table)'!E:E,'FL5_POR_包裝對照表 (Mapping Table)'!F:F,"",0,1))</f>
        <v>JP</v>
      </c>
      <c r="G170" s="972" t="str">
        <f t="array" ref="G170">if(isblank(E170),"",xlookup(E170,'FL5_POR_包裝對照表 (Mapping Table)'!E:E,'FL5_POR_包裝對照表 (Mapping Table)'!C:C,"",0,1))</f>
        <v>Refurb</v>
      </c>
      <c r="H170" s="973" t="str">
        <f t="array" ref="H170">if(isblank(E170),"",xlookup(E170,'FL5_POR_包裝對照表 (Mapping Table)'!E:E,'FL5_POR_包裝對照表 (Mapping Table)'!D:D,"",0,1))</f>
        <v>Retail Pack</v>
      </c>
      <c r="I170" s="974" t="str">
        <f t="shared" si="2"/>
        <v>Close</v>
      </c>
      <c r="J170" s="975" t="str">
        <f t="array" ref="J170">if(isblank(E170),"",xlookup(E170,'FL5_POR_包裝對照表 (Mapping Table)'!E:E,'FL5_POR_包裝對照表 (Mapping Table)'!H:H,"",0,1))</f>
        <v>JPN</v>
      </c>
      <c r="K170" s="972" t="str">
        <f t="array" ref="K170">if(isblank(E170),"",xlookup(E170,'FL5_POR_包裝對照表 (Mapping Table)'!E:E,'FL5_POR_包裝對照表 (Mapping Table)'!M:M,"",0,1))</f>
        <v>JPN</v>
      </c>
      <c r="L170" s="972" t="str">
        <f t="array" ref="L170">if(isblank(E170),"",xlookup(E170,'FL5_POR_包裝對照表 (Mapping Table)'!E:E,'FL5_POR_包裝對照表 (Mapping Table)'!AN:AN,"",0,1))</f>
        <v>TBD</v>
      </c>
      <c r="M170" s="972" t="str">
        <f t="array" ref="M170">if(isblank(E170),"",xlookup(E170,'FL5_POR_包裝對照表 (Mapping Table)'!E:E,'FL5_POR_包裝對照表 (Mapping Table)'!J:J,"",0,1))</f>
        <v>Frost</v>
      </c>
      <c r="N170" s="972" t="str">
        <f t="array" ref="N170">if(isblank(E170),"",xlookup(E170,'FL5_POR_包裝對照表 (Mapping Table)'!E:E,'FL5_POR_包裝對照表 (Mapping Table)'!K:K,"",0,1))</f>
        <v>PPL</v>
      </c>
      <c r="O170" s="976">
        <f t="array" ref="O170">xlookup(E170,'Ike 提供_20250505'!D:D,'Ike 提供_20250505'!N:N,"",0,1)</f>
        <v>441.69</v>
      </c>
      <c r="P170" s="976">
        <f t="array" ref="P170">xlookup(E170,'Ike 提供_20250505'!D:D,'Ike 提供_20250505'!O:O,"",0,1)</f>
        <v>422.99</v>
      </c>
      <c r="Q170" s="977" t="str">
        <f t="array" ref="Q170">xlookup(E170,'FL5_POR_包裝對照表 (Mapping Table)'!E:E,'FL5_POR_包裝對照表 (Mapping Table)'!BI:BI,"",0,1)</f>
        <v>PE 說不需建BOM</v>
      </c>
      <c r="R170" s="977">
        <v>45779.0</v>
      </c>
      <c r="S170" s="977">
        <f t="shared" si="3"/>
        <v>45785</v>
      </c>
      <c r="T170" s="977">
        <v>45782.0</v>
      </c>
      <c r="U170" s="978"/>
      <c r="V170" s="935"/>
      <c r="W170" s="978" t="str">
        <f t="array" ref="W170">if(isblank(E170),"",xlookup(E170,'FL5_POR_包裝對照表 (Mapping Table)'!E:E,'FL5_POR_包裝對照表 (Mapping Table)'!BM:BM,"",0,1))</f>
        <v>No demand</v>
      </c>
      <c r="X170" s="935"/>
      <c r="Y170" s="935"/>
      <c r="Z170" s="935"/>
      <c r="AA170" s="935"/>
    </row>
    <row r="171" ht="15.75" customHeight="1">
      <c r="A171" s="935"/>
      <c r="B171" s="970">
        <v>164.0</v>
      </c>
      <c r="C171" s="970" t="str">
        <f>if(isblank(E171),"",'FL5_POR_包裝對照表 (Mapping Table)'!$E$4)</f>
        <v>GFL (FL5)</v>
      </c>
      <c r="D171" s="970" t="str">
        <f t="array" ref="D171">IF(ISBLANK(E171),"",xlookup(E171,'FL5_POR_包裝對照表 (Mapping Table)'!E:E,'FL5_POR_包裝對照表 (Mapping Table)'!AZ:AZ,"",0,1))</f>
        <v>MP</v>
      </c>
      <c r="E171" s="971" t="s">
        <v>1266</v>
      </c>
      <c r="F171" s="167" t="str">
        <f t="array" ref="F171">if(isblank(E171),"",xlookup(E171,'FL5_POR_包裝對照表 (Mapping Table)'!E:E,'FL5_POR_包裝對照表 (Mapping Table)'!F:F,"",0,1))</f>
        <v>JP</v>
      </c>
      <c r="G171" s="972" t="str">
        <f t="array" ref="G171">if(isblank(E171),"",xlookup(E171,'FL5_POR_包裝對照表 (Mapping Table)'!E:E,'FL5_POR_包裝對照表 (Mapping Table)'!C:C,"",0,1))</f>
        <v>Refurb</v>
      </c>
      <c r="H171" s="973" t="str">
        <f t="array" ref="H171">if(isblank(E171),"",xlookup(E171,'FL5_POR_包裝對照表 (Mapping Table)'!E:E,'FL5_POR_包裝對照表 (Mapping Table)'!D:D,"",0,1))</f>
        <v>Retail Pack</v>
      </c>
      <c r="I171" s="974" t="str">
        <f t="shared" si="2"/>
        <v>Close</v>
      </c>
      <c r="J171" s="975" t="str">
        <f t="array" ref="J171">if(isblank(E171),"",xlookup(E171,'FL5_POR_包裝對照表 (Mapping Table)'!E:E,'FL5_POR_包裝對照表 (Mapping Table)'!H:H,"",0,1))</f>
        <v>JPN</v>
      </c>
      <c r="K171" s="972" t="str">
        <f t="array" ref="K171">if(isblank(E171),"",xlookup(E171,'FL5_POR_包裝對照表 (Mapping Table)'!E:E,'FL5_POR_包裝對照表 (Mapping Table)'!M:M,"",0,1))</f>
        <v>JPN</v>
      </c>
      <c r="L171" s="972" t="str">
        <f t="array" ref="L171">if(isblank(E171),"",xlookup(E171,'FL5_POR_包裝對照表 (Mapping Table)'!E:E,'FL5_POR_包裝對照表 (Mapping Table)'!AN:AN,"",0,1))</f>
        <v>TBD</v>
      </c>
      <c r="M171" s="972" t="str">
        <f t="array" ref="M171">if(isblank(E171),"",xlookup(E171,'FL5_POR_包裝對照表 (Mapping Table)'!E:E,'FL5_POR_包裝對照表 (Mapping Table)'!J:J,"",0,1))</f>
        <v>Lemongrass</v>
      </c>
      <c r="N171" s="972" t="str">
        <f t="array" ref="N171">if(isblank(E171),"",xlookup(E171,'FL5_POR_包裝對照表 (Mapping Table)'!E:E,'FL5_POR_包裝對照表 (Mapping Table)'!K:K,"",0,1))</f>
        <v>YEL</v>
      </c>
      <c r="O171" s="976">
        <f t="array" ref="O171">xlookup(E171,'Ike 提供_20250505'!D:D,'Ike 提供_20250505'!N:N,"",0,1)</f>
        <v>445.62</v>
      </c>
      <c r="P171" s="976">
        <f t="array" ref="P171">xlookup(E171,'Ike 提供_20250505'!D:D,'Ike 提供_20250505'!O:O,"",0,1)</f>
        <v>423.09</v>
      </c>
      <c r="Q171" s="977" t="str">
        <f t="array" ref="Q171">xlookup(E171,'FL5_POR_包裝對照表 (Mapping Table)'!E:E,'FL5_POR_包裝對照表 (Mapping Table)'!BI:BI,"",0,1)</f>
        <v>PE 說不需建BOM</v>
      </c>
      <c r="R171" s="977">
        <v>45779.0</v>
      </c>
      <c r="S171" s="977">
        <f t="shared" si="3"/>
        <v>45785</v>
      </c>
      <c r="T171" s="977">
        <v>45782.0</v>
      </c>
      <c r="U171" s="978"/>
      <c r="V171" s="935"/>
      <c r="W171" s="978" t="str">
        <f t="array" ref="W171">if(isblank(E171),"",xlookup(E171,'FL5_POR_包裝對照表 (Mapping Table)'!E:E,'FL5_POR_包裝對照表 (Mapping Table)'!BM:BM,"",0,1))</f>
        <v>No demand</v>
      </c>
      <c r="X171" s="935"/>
      <c r="Y171" s="935"/>
      <c r="Z171" s="935"/>
      <c r="AA171" s="935"/>
    </row>
    <row r="172" ht="15.75" customHeight="1">
      <c r="A172" s="935"/>
      <c r="B172" s="970">
        <v>165.0</v>
      </c>
      <c r="C172" s="970" t="str">
        <f>if(isblank(E172),"",'FL5_POR_包裝對照表 (Mapping Table)'!$E$4)</f>
        <v>GFL (FL5)</v>
      </c>
      <c r="D172" s="970" t="str">
        <f t="array" ref="D172">IF(ISBLANK(E172),"",xlookup(E172,'FL5_POR_包裝對照表 (Mapping Table)'!E:E,'FL5_POR_包裝對照表 (Mapping Table)'!AZ:AZ,"",0,1))</f>
        <v>MP</v>
      </c>
      <c r="E172" s="971" t="s">
        <v>1270</v>
      </c>
      <c r="F172" s="167" t="str">
        <f t="array" ref="F172">if(isblank(E172),"",xlookup(E172,'FL5_POR_包裝對照表 (Mapping Table)'!E:E,'FL5_POR_包裝對照表 (Mapping Table)'!F:F,"",0,1))</f>
        <v>JP</v>
      </c>
      <c r="G172" s="972" t="str">
        <f t="array" ref="G172">if(isblank(E172),"",xlookup(E172,'FL5_POR_包裝對照表 (Mapping Table)'!E:E,'FL5_POR_包裝對照表 (Mapping Table)'!C:C,"",0,1))</f>
        <v>Refurb</v>
      </c>
      <c r="H172" s="973" t="str">
        <f t="array" ref="H172">if(isblank(E172),"",xlookup(E172,'FL5_POR_包裝對照表 (Mapping Table)'!E:E,'FL5_POR_包裝對照表 (Mapping Table)'!D:D,"",0,1))</f>
        <v>Retail Pack</v>
      </c>
      <c r="I172" s="974" t="str">
        <f t="shared" si="2"/>
        <v>Close</v>
      </c>
      <c r="J172" s="975" t="str">
        <f t="array" ref="J172">if(isblank(E172),"",xlookup(E172,'FL5_POR_包裝對照表 (Mapping Table)'!E:E,'FL5_POR_包裝對照表 (Mapping Table)'!H:H,"",0,1))</f>
        <v>JPN</v>
      </c>
      <c r="K172" s="972" t="str">
        <f t="array" ref="K172">if(isblank(E172),"",xlookup(E172,'FL5_POR_包裝對照表 (Mapping Table)'!E:E,'FL5_POR_包裝對照表 (Mapping Table)'!M:M,"",0,1))</f>
        <v>JPN</v>
      </c>
      <c r="L172" s="972" t="str">
        <f t="array" ref="L172">if(isblank(E172),"",xlookup(E172,'FL5_POR_包裝對照表 (Mapping Table)'!E:E,'FL5_POR_包裝對照表 (Mapping Table)'!AN:AN,"",0,1))</f>
        <v>TBD</v>
      </c>
      <c r="M172" s="972" t="str">
        <f t="array" ref="M172">if(isblank(E172),"",xlookup(E172,'FL5_POR_包裝對照表 (Mapping Table)'!E:E,'FL5_POR_包裝對照表 (Mapping Table)'!J:J,"",0,1))</f>
        <v>Indigo</v>
      </c>
      <c r="N172" s="972" t="str">
        <f t="array" ref="N172">if(isblank(E172),"",xlookup(E172,'FL5_POR_包裝對照表 (Mapping Table)'!E:E,'FL5_POR_包裝對照表 (Mapping Table)'!K:K,"",0,1))</f>
        <v>BUE</v>
      </c>
      <c r="O172" s="976">
        <f t="array" ref="O172">xlookup(E172,'Ike 提供_20250505'!D:D,'Ike 提供_20250505'!N:N,"",0,1)</f>
        <v>441.46</v>
      </c>
      <c r="P172" s="976">
        <f t="array" ref="P172">xlookup(E172,'Ike 提供_20250505'!D:D,'Ike 提供_20250505'!O:O,"",0,1)</f>
        <v>423.09</v>
      </c>
      <c r="Q172" s="977" t="str">
        <f t="array" ref="Q172">xlookup(E172,'FL5_POR_包裝對照表 (Mapping Table)'!E:E,'FL5_POR_包裝對照表 (Mapping Table)'!BI:BI,"",0,1)</f>
        <v>PE 說不需建BOM</v>
      </c>
      <c r="R172" s="977">
        <v>45779.0</v>
      </c>
      <c r="S172" s="977">
        <f t="shared" si="3"/>
        <v>45785</v>
      </c>
      <c r="T172" s="977">
        <v>45782.0</v>
      </c>
      <c r="U172" s="978"/>
      <c r="V172" s="935"/>
      <c r="W172" s="978" t="str">
        <f t="array" ref="W172">if(isblank(E172),"",xlookup(E172,'FL5_POR_包裝對照表 (Mapping Table)'!E:E,'FL5_POR_包裝對照表 (Mapping Table)'!BM:BM,"",0,1))</f>
        <v>No demand</v>
      </c>
      <c r="X172" s="935"/>
      <c r="Y172" s="935"/>
      <c r="Z172" s="935"/>
      <c r="AA172" s="935"/>
    </row>
    <row r="173" ht="15.75" hidden="1" customHeight="1">
      <c r="A173" s="935"/>
      <c r="B173" s="970">
        <v>166.0</v>
      </c>
      <c r="C173" s="970" t="str">
        <f>if(isblank(E173),"",'FL5_POR_包裝對照表 (Mapping Table)'!$E$4)</f>
        <v>GFL (FL5)</v>
      </c>
      <c r="D173" s="970" t="str">
        <f t="array" ref="D173">IF(ISBLANK(E173),"",xlookup(E173,'FL5_POR_包裝對照表 (Mapping Table)'!E:E,'FL5_POR_包裝對照表 (Mapping Table)'!AZ:AZ,"",0,1))</f>
        <v>MP</v>
      </c>
      <c r="E173" s="980" t="s">
        <v>1274</v>
      </c>
      <c r="F173" s="167" t="str">
        <f t="array" ref="F173">if(isblank(E173),"",xlookup(E173,'FL5_POR_包裝對照表 (Mapping Table)'!E:E,'FL5_POR_包裝對照表 (Mapping Table)'!F:F,"",0,1))</f>
        <v>IN</v>
      </c>
      <c r="G173" s="972" t="str">
        <f t="array" ref="G173">if(isblank(E173),"",xlookup(E173,'FL5_POR_包裝對照表 (Mapping Table)'!E:E,'FL5_POR_包裝對照表 (Mapping Table)'!C:C,"",0,1))</f>
        <v>Refurb</v>
      </c>
      <c r="H173" s="973" t="str">
        <f t="array" ref="H173">if(isblank(E173),"",xlookup(E173,'FL5_POR_包裝對照表 (Mapping Table)'!E:E,'FL5_POR_包裝對照表 (Mapping Table)'!D:D,"",0,1))</f>
        <v>Cancel</v>
      </c>
      <c r="I173" s="974" t="str">
        <f t="shared" si="2"/>
        <v>Cancel</v>
      </c>
      <c r="J173" s="975" t="str">
        <f t="array" ref="J173">if(isblank(E173),"",xlookup(E173,'FL5_POR_包裝對照表 (Mapping Table)'!E:E,'FL5_POR_包裝對照表 (Mapping Table)'!H:H,"",0,1))</f>
        <v>Sub6</v>
      </c>
      <c r="K173" s="972" t="str">
        <f t="array" ref="K173">if(isblank(E173),"",xlookup(E173,'FL5_POR_包裝對照表 (Mapping Table)'!E:E,'FL5_POR_包裝對照表 (Mapping Table)'!M:M,"",0,1))</f>
        <v>ROW</v>
      </c>
      <c r="L173" s="972" t="str">
        <f t="array" ref="L173">if(isblank(E173),"",xlookup(E173,'FL5_POR_包裝對照表 (Mapping Table)'!E:E,'FL5_POR_包裝對照表 (Mapping Table)'!AN:AN,"",0,1))</f>
        <v>TBD</v>
      </c>
      <c r="M173" s="972" t="str">
        <f t="array" ref="M173">if(isblank(E173),"",xlookup(E173,'FL5_POR_包裝對照表 (Mapping Table)'!E:E,'FL5_POR_包裝對照表 (Mapping Table)'!J:J,"",0,1))</f>
        <v>Obsidian</v>
      </c>
      <c r="N173" s="972" t="str">
        <f t="array" ref="N173">if(isblank(E173),"",xlookup(E173,'FL5_POR_包裝對照表 (Mapping Table)'!E:E,'FL5_POR_包裝對照表 (Mapping Table)'!K:K,"",0,1))</f>
        <v>BLK</v>
      </c>
      <c r="O173" s="976" t="str">
        <f t="array" ref="O173">xlookup(E173,'Ike 提供_20250505'!D:D,'Ike 提供_20250505'!N:N,"",0,1)</f>
        <v/>
      </c>
      <c r="P173" s="976" t="str">
        <f t="array" ref="P173">xlookup(E173,'Ike 提供_20250505'!D:D,'Ike 提供_20250505'!O:O,"",0,1)</f>
        <v/>
      </c>
      <c r="Q173" s="977" t="str">
        <f t="array" ref="Q173">xlookup(E173,'FL5_POR_包裝對照表 (Mapping Table)'!E:E,'FL5_POR_包裝對照表 (Mapping Table)'!BI:BI,"",0,1)</f>
        <v/>
      </c>
      <c r="R173" s="978"/>
      <c r="S173" s="977" t="str">
        <f t="shared" si="3"/>
        <v/>
      </c>
      <c r="T173" s="978"/>
      <c r="U173" s="978"/>
      <c r="V173" s="935"/>
      <c r="W173" s="978" t="str">
        <f t="array" ref="W173">if(isblank(E173),"",xlookup(E173,'FL5_POR_包裝對照表 (Mapping Table)'!E:E,'FL5_POR_包裝對照表 (Mapping Table)'!BM:BM,"",0,1))</f>
        <v>No demand</v>
      </c>
      <c r="X173" s="935"/>
      <c r="Y173" s="935"/>
      <c r="Z173" s="935"/>
      <c r="AA173" s="935"/>
    </row>
    <row r="174" ht="15.75" hidden="1" customHeight="1">
      <c r="A174" s="935"/>
      <c r="B174" s="970">
        <v>167.0</v>
      </c>
      <c r="C174" s="970" t="str">
        <f>if(isblank(E174),"",'FL5_POR_包裝對照表 (Mapping Table)'!$E$4)</f>
        <v>GFL (FL5)</v>
      </c>
      <c r="D174" s="970" t="str">
        <f t="array" ref="D174">IF(ISBLANK(E174),"",xlookup(E174,'FL5_POR_包裝對照表 (Mapping Table)'!E:E,'FL5_POR_包裝對照表 (Mapping Table)'!AZ:AZ,"",0,1))</f>
        <v>MP</v>
      </c>
      <c r="E174" s="980" t="s">
        <v>1276</v>
      </c>
      <c r="F174" s="167" t="str">
        <f t="array" ref="F174">if(isblank(E174),"",xlookup(E174,'FL5_POR_包裝對照表 (Mapping Table)'!E:E,'FL5_POR_包裝對照表 (Mapping Table)'!F:F,"",0,1))</f>
        <v>IN</v>
      </c>
      <c r="G174" s="972" t="str">
        <f t="array" ref="G174">if(isblank(E174),"",xlookup(E174,'FL5_POR_包裝對照表 (Mapping Table)'!E:E,'FL5_POR_包裝對照表 (Mapping Table)'!C:C,"",0,1))</f>
        <v>Refurb</v>
      </c>
      <c r="H174" s="973" t="str">
        <f t="array" ref="H174">if(isblank(E174),"",xlookup(E174,'FL5_POR_包裝對照表 (Mapping Table)'!E:E,'FL5_POR_包裝對照表 (Mapping Table)'!D:D,"",0,1))</f>
        <v>Cancel</v>
      </c>
      <c r="I174" s="974" t="str">
        <f t="shared" si="2"/>
        <v>Cancel</v>
      </c>
      <c r="J174" s="975" t="str">
        <f t="array" ref="J174">if(isblank(E174),"",xlookup(E174,'FL5_POR_包裝對照表 (Mapping Table)'!E:E,'FL5_POR_包裝對照表 (Mapping Table)'!H:H,"",0,1))</f>
        <v>Sub6</v>
      </c>
      <c r="K174" s="972" t="str">
        <f t="array" ref="K174">if(isblank(E174),"",xlookup(E174,'FL5_POR_包裝對照表 (Mapping Table)'!E:E,'FL5_POR_包裝對照表 (Mapping Table)'!M:M,"",0,1))</f>
        <v>ROW</v>
      </c>
      <c r="L174" s="972" t="str">
        <f t="array" ref="L174">if(isblank(E174),"",xlookup(E174,'FL5_POR_包裝對照表 (Mapping Table)'!E:E,'FL5_POR_包裝對照表 (Mapping Table)'!AN:AN,"",0,1))</f>
        <v>TBD</v>
      </c>
      <c r="M174" s="972" t="str">
        <f t="array" ref="M174">if(isblank(E174),"",xlookup(E174,'FL5_POR_包裝對照表 (Mapping Table)'!E:E,'FL5_POR_包裝對照表 (Mapping Table)'!J:J,"",0,1))</f>
        <v>Frost</v>
      </c>
      <c r="N174" s="972" t="str">
        <f t="array" ref="N174">if(isblank(E174),"",xlookup(E174,'FL5_POR_包裝對照表 (Mapping Table)'!E:E,'FL5_POR_包裝對照表 (Mapping Table)'!K:K,"",0,1))</f>
        <v>PPL</v>
      </c>
      <c r="O174" s="976" t="str">
        <f t="array" ref="O174">xlookup(E174,'Ike 提供_20250505'!D:D,'Ike 提供_20250505'!N:N,"",0,1)</f>
        <v/>
      </c>
      <c r="P174" s="976" t="str">
        <f t="array" ref="P174">xlookup(E174,'Ike 提供_20250505'!D:D,'Ike 提供_20250505'!O:O,"",0,1)</f>
        <v/>
      </c>
      <c r="Q174" s="977" t="str">
        <f t="array" ref="Q174">xlookup(E174,'FL5_POR_包裝對照表 (Mapping Table)'!E:E,'FL5_POR_包裝對照表 (Mapping Table)'!BI:BI,"",0,1)</f>
        <v/>
      </c>
      <c r="R174" s="978"/>
      <c r="S174" s="977" t="str">
        <f t="shared" si="3"/>
        <v/>
      </c>
      <c r="T174" s="978"/>
      <c r="U174" s="978"/>
      <c r="V174" s="935"/>
      <c r="W174" s="978" t="str">
        <f t="array" ref="W174">if(isblank(E174),"",xlookup(E174,'FL5_POR_包裝對照表 (Mapping Table)'!E:E,'FL5_POR_包裝對照表 (Mapping Table)'!BM:BM,"",0,1))</f>
        <v>No demand</v>
      </c>
      <c r="X174" s="935"/>
      <c r="Y174" s="935"/>
      <c r="Z174" s="935"/>
      <c r="AA174" s="935"/>
    </row>
    <row r="175" ht="15.75" hidden="1" customHeight="1">
      <c r="A175" s="935"/>
      <c r="B175" s="970">
        <v>168.0</v>
      </c>
      <c r="C175" s="970" t="str">
        <f>if(isblank(E175),"",'FL5_POR_包裝對照表 (Mapping Table)'!$E$4)</f>
        <v>GFL (FL5)</v>
      </c>
      <c r="D175" s="970" t="str">
        <f t="array" ref="D175">IF(ISBLANK(E175),"",xlookup(E175,'FL5_POR_包裝對照表 (Mapping Table)'!E:E,'FL5_POR_包裝對照表 (Mapping Table)'!AZ:AZ,"",0,1))</f>
        <v>MP</v>
      </c>
      <c r="E175" s="980" t="s">
        <v>1278</v>
      </c>
      <c r="F175" s="167" t="str">
        <f t="array" ref="F175">if(isblank(E175),"",xlookup(E175,'FL5_POR_包裝對照表 (Mapping Table)'!E:E,'FL5_POR_包裝對照表 (Mapping Table)'!F:F,"",0,1))</f>
        <v>IN</v>
      </c>
      <c r="G175" s="972" t="str">
        <f t="array" ref="G175">if(isblank(E175),"",xlookup(E175,'FL5_POR_包裝對照表 (Mapping Table)'!E:E,'FL5_POR_包裝對照表 (Mapping Table)'!C:C,"",0,1))</f>
        <v>Refurb</v>
      </c>
      <c r="H175" s="973" t="str">
        <f t="array" ref="H175">if(isblank(E175),"",xlookup(E175,'FL5_POR_包裝對照表 (Mapping Table)'!E:E,'FL5_POR_包裝對照表 (Mapping Table)'!D:D,"",0,1))</f>
        <v>Cancel</v>
      </c>
      <c r="I175" s="974" t="str">
        <f t="shared" si="2"/>
        <v>Cancel</v>
      </c>
      <c r="J175" s="975" t="str">
        <f t="array" ref="J175">if(isblank(E175),"",xlookup(E175,'FL5_POR_包裝對照表 (Mapping Table)'!E:E,'FL5_POR_包裝對照表 (Mapping Table)'!H:H,"",0,1))</f>
        <v>Sub6</v>
      </c>
      <c r="K175" s="972" t="str">
        <f t="array" ref="K175">if(isblank(E175),"",xlookup(E175,'FL5_POR_包裝對照表 (Mapping Table)'!E:E,'FL5_POR_包裝對照表 (Mapping Table)'!M:M,"",0,1))</f>
        <v>ROW</v>
      </c>
      <c r="L175" s="972" t="str">
        <f t="array" ref="L175">if(isblank(E175),"",xlookup(E175,'FL5_POR_包裝對照表 (Mapping Table)'!E:E,'FL5_POR_包裝對照表 (Mapping Table)'!AN:AN,"",0,1))</f>
        <v>TBD</v>
      </c>
      <c r="M175" s="972" t="str">
        <f t="array" ref="M175">if(isblank(E175),"",xlookup(E175,'FL5_POR_包裝對照表 (Mapping Table)'!E:E,'FL5_POR_包裝對照表 (Mapping Table)'!J:J,"",0,1))</f>
        <v>Lemongrass</v>
      </c>
      <c r="N175" s="972" t="str">
        <f t="array" ref="N175">if(isblank(E175),"",xlookup(E175,'FL5_POR_包裝對照表 (Mapping Table)'!E:E,'FL5_POR_包裝對照表 (Mapping Table)'!K:K,"",0,1))</f>
        <v>YEL</v>
      </c>
      <c r="O175" s="976" t="str">
        <f t="array" ref="O175">xlookup(E175,'Ike 提供_20250505'!D:D,'Ike 提供_20250505'!N:N,"",0,1)</f>
        <v/>
      </c>
      <c r="P175" s="976" t="str">
        <f t="array" ref="P175">xlookup(E175,'Ike 提供_20250505'!D:D,'Ike 提供_20250505'!O:O,"",0,1)</f>
        <v/>
      </c>
      <c r="Q175" s="977" t="str">
        <f t="array" ref="Q175">xlookup(E175,'FL5_POR_包裝對照表 (Mapping Table)'!E:E,'FL5_POR_包裝對照表 (Mapping Table)'!BI:BI,"",0,1)</f>
        <v/>
      </c>
      <c r="R175" s="978"/>
      <c r="S175" s="977" t="str">
        <f t="shared" si="3"/>
        <v/>
      </c>
      <c r="T175" s="978"/>
      <c r="U175" s="978"/>
      <c r="V175" s="935"/>
      <c r="W175" s="978" t="str">
        <f t="array" ref="W175">if(isblank(E175),"",xlookup(E175,'FL5_POR_包裝對照表 (Mapping Table)'!E:E,'FL5_POR_包裝對照表 (Mapping Table)'!BM:BM,"",0,1))</f>
        <v>No demand</v>
      </c>
      <c r="X175" s="935"/>
      <c r="Y175" s="935"/>
      <c r="Z175" s="935"/>
      <c r="AA175" s="935"/>
    </row>
    <row r="176" ht="15.75" hidden="1" customHeight="1">
      <c r="A176" s="935"/>
      <c r="B176" s="970">
        <v>169.0</v>
      </c>
      <c r="C176" s="970" t="str">
        <f>if(isblank(E176),"",'FL5_POR_包裝對照表 (Mapping Table)'!$E$4)</f>
        <v>GFL (FL5)</v>
      </c>
      <c r="D176" s="970" t="str">
        <f t="array" ref="D176">IF(ISBLANK(E176),"",xlookup(E176,'FL5_POR_包裝對照表 (Mapping Table)'!E:E,'FL5_POR_包裝對照表 (Mapping Table)'!AZ:AZ,"",0,1))</f>
        <v>MP</v>
      </c>
      <c r="E176" s="980" t="s">
        <v>1280</v>
      </c>
      <c r="F176" s="167" t="str">
        <f t="array" ref="F176">if(isblank(E176),"",xlookup(E176,'FL5_POR_包裝對照表 (Mapping Table)'!E:E,'FL5_POR_包裝對照表 (Mapping Table)'!F:F,"",0,1))</f>
        <v>IN</v>
      </c>
      <c r="G176" s="972" t="str">
        <f t="array" ref="G176">if(isblank(E176),"",xlookup(E176,'FL5_POR_包裝對照表 (Mapping Table)'!E:E,'FL5_POR_包裝對照表 (Mapping Table)'!C:C,"",0,1))</f>
        <v>Refurb</v>
      </c>
      <c r="H176" s="973" t="str">
        <f t="array" ref="H176">if(isblank(E176),"",xlookup(E176,'FL5_POR_包裝對照表 (Mapping Table)'!E:E,'FL5_POR_包裝對照表 (Mapping Table)'!D:D,"",0,1))</f>
        <v>Cancel</v>
      </c>
      <c r="I176" s="974" t="str">
        <f t="shared" si="2"/>
        <v>Cancel</v>
      </c>
      <c r="J176" s="975" t="str">
        <f t="array" ref="J176">if(isblank(E176),"",xlookup(E176,'FL5_POR_包裝對照表 (Mapping Table)'!E:E,'FL5_POR_包裝對照表 (Mapping Table)'!H:H,"",0,1))</f>
        <v>Sub6</v>
      </c>
      <c r="K176" s="972" t="str">
        <f t="array" ref="K176">if(isblank(E176),"",xlookup(E176,'FL5_POR_包裝對照表 (Mapping Table)'!E:E,'FL5_POR_包裝對照表 (Mapping Table)'!M:M,"",0,1))</f>
        <v>ROW</v>
      </c>
      <c r="L176" s="972" t="str">
        <f t="array" ref="L176">if(isblank(E176),"",xlookup(E176,'FL5_POR_包裝對照表 (Mapping Table)'!E:E,'FL5_POR_包裝對照表 (Mapping Table)'!AN:AN,"",0,1))</f>
        <v>TBD</v>
      </c>
      <c r="M176" s="972" t="str">
        <f t="array" ref="M176">if(isblank(E176),"",xlookup(E176,'FL5_POR_包裝對照表 (Mapping Table)'!E:E,'FL5_POR_包裝對照表 (Mapping Table)'!J:J,"",0,1))</f>
        <v>Indigo</v>
      </c>
      <c r="N176" s="972" t="str">
        <f t="array" ref="N176">if(isblank(E176),"",xlookup(E176,'FL5_POR_包裝對照表 (Mapping Table)'!E:E,'FL5_POR_包裝對照表 (Mapping Table)'!K:K,"",0,1))</f>
        <v>BUE</v>
      </c>
      <c r="O176" s="976" t="str">
        <f t="array" ref="O176">xlookup(E176,'Ike 提供_20250505'!D:D,'Ike 提供_20250505'!N:N,"",0,1)</f>
        <v/>
      </c>
      <c r="P176" s="976" t="str">
        <f t="array" ref="P176">xlookup(E176,'Ike 提供_20250505'!D:D,'Ike 提供_20250505'!O:O,"",0,1)</f>
        <v/>
      </c>
      <c r="Q176" s="977" t="str">
        <f t="array" ref="Q176">xlookup(E176,'FL5_POR_包裝對照表 (Mapping Table)'!E:E,'FL5_POR_包裝對照表 (Mapping Table)'!BI:BI,"",0,1)</f>
        <v/>
      </c>
      <c r="R176" s="978"/>
      <c r="S176" s="977" t="str">
        <f t="shared" si="3"/>
        <v/>
      </c>
      <c r="T176" s="978"/>
      <c r="U176" s="978"/>
      <c r="V176" s="935"/>
      <c r="W176" s="978" t="str">
        <f t="array" ref="W176">if(isblank(E176),"",xlookup(E176,'FL5_POR_包裝對照表 (Mapping Table)'!E:E,'FL5_POR_包裝對照表 (Mapping Table)'!BM:BM,"",0,1))</f>
        <v>No demand</v>
      </c>
      <c r="X176" s="935"/>
      <c r="Y176" s="935"/>
      <c r="Z176" s="935"/>
      <c r="AA176" s="935"/>
    </row>
    <row r="177" ht="15.75" customHeight="1">
      <c r="A177" s="935"/>
      <c r="B177" s="970">
        <v>170.0</v>
      </c>
      <c r="C177" s="970" t="str">
        <f>if(isblank(E177),"",'FL5_POR_包裝對照表 (Mapping Table)'!$E$4)</f>
        <v>GFL (FL5)</v>
      </c>
      <c r="D177" s="970" t="str">
        <f t="array" ref="D177">IF(ISBLANK(E177),"",xlookup(E177,'FL5_POR_包裝對照表 (Mapping Table)'!E:E,'FL5_POR_包裝對照表 (Mapping Table)'!AZ:AZ,"",0,1))</f>
        <v>MP</v>
      </c>
      <c r="E177" s="971" t="s">
        <v>1282</v>
      </c>
      <c r="F177" s="167" t="str">
        <f t="array" ref="F177">if(isblank(E177),"",xlookup(E177,'FL5_POR_包裝對照表 (Mapping Table)'!E:E,'FL5_POR_包裝對照表 (Mapping Table)'!F:F,"",0,1))</f>
        <v>US-VZW</v>
      </c>
      <c r="G177" s="972" t="str">
        <f t="array" ref="G177">if(isblank(E177),"",xlookup(E177,'FL5_POR_包裝對照表 (Mapping Table)'!E:E,'FL5_POR_包裝對照表 (Mapping Table)'!C:C,"",0,1))</f>
        <v>Refurb</v>
      </c>
      <c r="H177" s="973" t="str">
        <f t="array" ref="H177">if(isblank(E177),"",xlookup(E177,'FL5_POR_包裝對照表 (Mapping Table)'!E:E,'FL5_POR_包裝對照表 (Mapping Table)'!D:D,"",0,1))</f>
        <v>Retail Pack</v>
      </c>
      <c r="I177" s="974" t="str">
        <f t="shared" si="2"/>
        <v>Close</v>
      </c>
      <c r="J177" s="975" t="str">
        <f t="array" ref="J177">if(isblank(E177),"",xlookup(E177,'FL5_POR_包裝對照表 (Mapping Table)'!E:E,'FL5_POR_包裝對照表 (Mapping Table)'!H:H,"",0,1))</f>
        <v>mmWave</v>
      </c>
      <c r="K177" s="972" t="str">
        <f t="array" ref="K177">if(isblank(E177),"",xlookup(E177,'FL5_POR_包裝對照表 (Mapping Table)'!E:E,'FL5_POR_包裝對照表 (Mapping Table)'!M:M,"",0,1))</f>
        <v>VZW</v>
      </c>
      <c r="L177" s="972" t="str">
        <f t="array" ref="L177">if(isblank(E177),"",xlookup(E177,'FL5_POR_包裝對照表 (Mapping Table)'!E:E,'FL5_POR_包裝對照表 (Mapping Table)'!AN:AN,"",0,1))</f>
        <v>TBD</v>
      </c>
      <c r="M177" s="972" t="str">
        <f t="array" ref="M177">if(isblank(E177),"",xlookup(E177,'FL5_POR_包裝對照表 (Mapping Table)'!E:E,'FL5_POR_包裝對照表 (Mapping Table)'!J:J,"",0,1))</f>
        <v>Obsidian</v>
      </c>
      <c r="N177" s="972" t="str">
        <f t="array" ref="N177">if(isblank(E177),"",xlookup(E177,'FL5_POR_包裝對照表 (Mapping Table)'!E:E,'FL5_POR_包裝對照表 (Mapping Table)'!K:K,"",0,1))</f>
        <v>BLK</v>
      </c>
      <c r="O177" s="976">
        <f t="array" ref="O177">xlookup(E177,'Ike 提供_20250505'!D:D,'Ike 提供_20250505'!N:N,"",0,1)</f>
        <v>453.07</v>
      </c>
      <c r="P177" s="976">
        <f t="array" ref="P177">xlookup(E177,'Ike 提供_20250505'!D:D,'Ike 提供_20250505'!O:O,"",0,1)</f>
        <v>446.09</v>
      </c>
      <c r="Q177" s="977" t="str">
        <f t="array" ref="Q177">xlookup(E177,'FL5_POR_包裝對照表 (Mapping Table)'!E:E,'FL5_POR_包裝對照表 (Mapping Table)'!BI:BI,"",0,1)</f>
        <v>PE 說不需建BOM</v>
      </c>
      <c r="R177" s="977">
        <v>45779.0</v>
      </c>
      <c r="S177" s="977">
        <f t="shared" si="3"/>
        <v>45785</v>
      </c>
      <c r="T177" s="977">
        <v>45782.0</v>
      </c>
      <c r="U177" s="978"/>
      <c r="V177" s="935"/>
      <c r="W177" s="978" t="str">
        <f t="array" ref="W177">if(isblank(E177),"",xlookup(E177,'FL5_POR_包裝對照表 (Mapping Table)'!E:E,'FL5_POR_包裝對照表 (Mapping Table)'!BM:BM,"",0,1))</f>
        <v>No demand</v>
      </c>
      <c r="X177" s="935"/>
      <c r="Y177" s="935"/>
      <c r="Z177" s="935"/>
      <c r="AA177" s="935"/>
    </row>
    <row r="178" ht="15.75" customHeight="1">
      <c r="A178" s="935"/>
      <c r="B178" s="970">
        <v>171.0</v>
      </c>
      <c r="C178" s="970" t="str">
        <f>if(isblank(E178),"",'FL5_POR_包裝對照表 (Mapping Table)'!$E$4)</f>
        <v>GFL (FL5)</v>
      </c>
      <c r="D178" s="970" t="str">
        <f t="array" ref="D178">IF(ISBLANK(E178),"",xlookup(E178,'FL5_POR_包裝對照表 (Mapping Table)'!E:E,'FL5_POR_包裝對照表 (Mapping Table)'!AZ:AZ,"",0,1))</f>
        <v>MP</v>
      </c>
      <c r="E178" s="971" t="s">
        <v>1286</v>
      </c>
      <c r="F178" s="167" t="str">
        <f t="array" ref="F178">if(isblank(E178),"",xlookup(E178,'FL5_POR_包裝對照表 (Mapping Table)'!E:E,'FL5_POR_包裝對照表 (Mapping Table)'!F:F,"",0,1))</f>
        <v>US-VZW</v>
      </c>
      <c r="G178" s="972" t="str">
        <f t="array" ref="G178">if(isblank(E178),"",xlookup(E178,'FL5_POR_包裝對照表 (Mapping Table)'!E:E,'FL5_POR_包裝對照表 (Mapping Table)'!C:C,"",0,1))</f>
        <v>Refurb</v>
      </c>
      <c r="H178" s="973" t="str">
        <f t="array" ref="H178">if(isblank(E178),"",xlookup(E178,'FL5_POR_包裝對照表 (Mapping Table)'!E:E,'FL5_POR_包裝對照表 (Mapping Table)'!D:D,"",0,1))</f>
        <v>Retail Pack</v>
      </c>
      <c r="I178" s="974" t="str">
        <f t="shared" si="2"/>
        <v>Close</v>
      </c>
      <c r="J178" s="975" t="str">
        <f t="array" ref="J178">if(isblank(E178),"",xlookup(E178,'FL5_POR_包裝對照表 (Mapping Table)'!E:E,'FL5_POR_包裝對照表 (Mapping Table)'!H:H,"",0,1))</f>
        <v>mmWave</v>
      </c>
      <c r="K178" s="972" t="str">
        <f t="array" ref="K178">if(isblank(E178),"",xlookup(E178,'FL5_POR_包裝對照表 (Mapping Table)'!E:E,'FL5_POR_包裝對照表 (Mapping Table)'!M:M,"",0,1))</f>
        <v>VZW</v>
      </c>
      <c r="L178" s="972" t="str">
        <f t="array" ref="L178">if(isblank(E178),"",xlookup(E178,'FL5_POR_包裝對照表 (Mapping Table)'!E:E,'FL5_POR_包裝對照表 (Mapping Table)'!AN:AN,"",0,1))</f>
        <v>TBD</v>
      </c>
      <c r="M178" s="972" t="str">
        <f t="array" ref="M178">if(isblank(E178),"",xlookup(E178,'FL5_POR_包裝對照表 (Mapping Table)'!E:E,'FL5_POR_包裝對照表 (Mapping Table)'!J:J,"",0,1))</f>
        <v>Indigo</v>
      </c>
      <c r="N178" s="972" t="str">
        <f t="array" ref="N178">if(isblank(E178),"",xlookup(E178,'FL5_POR_包裝對照表 (Mapping Table)'!E:E,'FL5_POR_包裝對照表 (Mapping Table)'!K:K,"",0,1))</f>
        <v>BUE</v>
      </c>
      <c r="O178" s="976">
        <f t="array" ref="O178">xlookup(E178,'Ike 提供_20250505'!D:D,'Ike 提供_20250505'!N:N,"",0,1)</f>
        <v>453.47</v>
      </c>
      <c r="P178" s="976">
        <f t="array" ref="P178">xlookup(E178,'Ike 提供_20250505'!D:D,'Ike 提供_20250505'!O:O,"",0,1)</f>
        <v>446.49</v>
      </c>
      <c r="Q178" s="977" t="str">
        <f t="array" ref="Q178">xlookup(E178,'FL5_POR_包裝對照表 (Mapping Table)'!E:E,'FL5_POR_包裝對照表 (Mapping Table)'!BI:BI,"",0,1)</f>
        <v>PE 說不需建BOM</v>
      </c>
      <c r="R178" s="977">
        <v>45779.0</v>
      </c>
      <c r="S178" s="977">
        <f t="shared" si="3"/>
        <v>45785</v>
      </c>
      <c r="T178" s="977">
        <v>45782.0</v>
      </c>
      <c r="U178" s="978"/>
      <c r="V178" s="935"/>
      <c r="W178" s="978" t="str">
        <f t="array" ref="W178">if(isblank(E178),"",xlookup(E178,'FL5_POR_包裝對照表 (Mapping Table)'!E:E,'FL5_POR_包裝對照表 (Mapping Table)'!BM:BM,"",0,1))</f>
        <v>No demand</v>
      </c>
      <c r="X178" s="935"/>
      <c r="Y178" s="935"/>
      <c r="Z178" s="935"/>
      <c r="AA178" s="935"/>
    </row>
    <row r="179" ht="15.75" customHeight="1">
      <c r="A179" s="935"/>
      <c r="B179" s="970">
        <v>172.0</v>
      </c>
      <c r="C179" s="970" t="str">
        <f>if(isblank(E179),"",'FL5_POR_包裝對照表 (Mapping Table)'!$E$4)</f>
        <v>GFL (FL5)</v>
      </c>
      <c r="D179" s="970" t="str">
        <f t="array" ref="D179">IF(ISBLANK(E179),"",xlookup(E179,'FL5_POR_包裝對照表 (Mapping Table)'!E:E,'FL5_POR_包裝對照表 (Mapping Table)'!AZ:AZ,"",0,1))</f>
        <v>MP</v>
      </c>
      <c r="E179" s="971" t="s">
        <v>1290</v>
      </c>
      <c r="F179" s="167" t="str">
        <f t="array" ref="F179">if(isblank(E179),"",xlookup(E179,'FL5_POR_包裝對照表 (Mapping Table)'!E:E,'FL5_POR_包裝對照表 (Mapping Table)'!F:F,"",0,1))</f>
        <v>US-Tmobile </v>
      </c>
      <c r="G179" s="972" t="str">
        <f t="array" ref="G179">if(isblank(E179),"",xlookup(E179,'FL5_POR_包裝對照表 (Mapping Table)'!E:E,'FL5_POR_包裝對照表 (Mapping Table)'!C:C,"",0,1))</f>
        <v>Refurb</v>
      </c>
      <c r="H179" s="973" t="str">
        <f t="array" ref="H179">if(isblank(E179),"",xlookup(E179,'FL5_POR_包裝對照表 (Mapping Table)'!E:E,'FL5_POR_包裝對照表 (Mapping Table)'!D:D,"",0,1))</f>
        <v>Retail Pack</v>
      </c>
      <c r="I179" s="974" t="str">
        <f t="shared" si="2"/>
        <v>Close</v>
      </c>
      <c r="J179" s="975" t="str">
        <f t="array" ref="J179">if(isblank(E179),"",xlookup(E179,'FL5_POR_包裝對照表 (Mapping Table)'!E:E,'FL5_POR_包裝對照表 (Mapping Table)'!H:H,"",0,1))</f>
        <v>mmWave</v>
      </c>
      <c r="K179" s="972" t="str">
        <f t="array" ref="K179">if(isblank(E179),"",xlookup(E179,'FL5_POR_包裝對照表 (Mapping Table)'!E:E,'FL5_POR_包裝對照表 (Mapping Table)'!M:M,"",0,1))</f>
        <v>TMO</v>
      </c>
      <c r="L179" s="972" t="str">
        <f t="array" ref="L179">if(isblank(E179),"",xlookup(E179,'FL5_POR_包裝對照表 (Mapping Table)'!E:E,'FL5_POR_包裝對照表 (Mapping Table)'!AN:AN,"",0,1))</f>
        <v>TBD</v>
      </c>
      <c r="M179" s="972" t="str">
        <f t="array" ref="M179">if(isblank(E179),"",xlookup(E179,'FL5_POR_包裝對照表 (Mapping Table)'!E:E,'FL5_POR_包裝對照表 (Mapping Table)'!J:J,"",0,1))</f>
        <v>Obsidian</v>
      </c>
      <c r="N179" s="972" t="str">
        <f t="array" ref="N179">if(isblank(E179),"",xlookup(E179,'FL5_POR_包裝對照表 (Mapping Table)'!E:E,'FL5_POR_包裝對照表 (Mapping Table)'!K:K,"",0,1))</f>
        <v>BLK</v>
      </c>
      <c r="O179" s="976">
        <f t="array" ref="O179">xlookup(E179,'Ike 提供_20250505'!D:D,'Ike 提供_20250505'!N:N,"",0,1)</f>
        <v>453.07</v>
      </c>
      <c r="P179" s="976">
        <f t="array" ref="P179">xlookup(E179,'Ike 提供_20250505'!D:D,'Ike 提供_20250505'!O:O,"",0,1)</f>
        <v>446.09</v>
      </c>
      <c r="Q179" s="977" t="str">
        <f t="array" ref="Q179">xlookup(E179,'FL5_POR_包裝對照表 (Mapping Table)'!E:E,'FL5_POR_包裝對照表 (Mapping Table)'!BI:BI,"",0,1)</f>
        <v>PE 說不需建BOM</v>
      </c>
      <c r="R179" s="977">
        <v>45779.0</v>
      </c>
      <c r="S179" s="977">
        <f t="shared" si="3"/>
        <v>45785</v>
      </c>
      <c r="T179" s="977">
        <v>45782.0</v>
      </c>
      <c r="U179" s="978"/>
      <c r="V179" s="935"/>
      <c r="W179" s="978" t="str">
        <f t="array" ref="W179">if(isblank(E179),"",xlookup(E179,'FL5_POR_包裝對照表 (Mapping Table)'!E:E,'FL5_POR_包裝對照表 (Mapping Table)'!BM:BM,"",0,1))</f>
        <v>No demand</v>
      </c>
      <c r="X179" s="935"/>
      <c r="Y179" s="935"/>
      <c r="Z179" s="935"/>
      <c r="AA179" s="935"/>
    </row>
    <row r="180" ht="15.75" customHeight="1">
      <c r="A180" s="935"/>
      <c r="B180" s="970">
        <v>173.0</v>
      </c>
      <c r="C180" s="970" t="str">
        <f>if(isblank(E180),"",'FL5_POR_包裝對照表 (Mapping Table)'!$E$4)</f>
        <v>GFL (FL5)</v>
      </c>
      <c r="D180" s="970" t="str">
        <f t="array" ref="D180">IF(ISBLANK(E180),"",xlookup(E180,'FL5_POR_包裝對照表 (Mapping Table)'!E:E,'FL5_POR_包裝對照表 (Mapping Table)'!AZ:AZ,"",0,1))</f>
        <v>MP</v>
      </c>
      <c r="E180" s="971" t="s">
        <v>1294</v>
      </c>
      <c r="F180" s="167" t="str">
        <f t="array" ref="F180">if(isblank(E180),"",xlookup(E180,'FL5_POR_包裝對照表 (Mapping Table)'!E:E,'FL5_POR_包裝對照表 (Mapping Table)'!F:F,"",0,1))</f>
        <v>US GStore</v>
      </c>
      <c r="G180" s="972" t="str">
        <f t="array" ref="G180">if(isblank(E180),"",xlookup(E180,'FL5_POR_包裝對照表 (Mapping Table)'!E:E,'FL5_POR_包裝對照表 (Mapping Table)'!C:C,"",0,1))</f>
        <v>Refurb</v>
      </c>
      <c r="H180" s="973" t="str">
        <f t="array" ref="H180">if(isblank(E180),"",xlookup(E180,'FL5_POR_包裝對照表 (Mapping Table)'!E:E,'FL5_POR_包裝對照表 (Mapping Table)'!D:D,"",0,1))</f>
        <v>Retail Pack</v>
      </c>
      <c r="I180" s="974" t="str">
        <f t="shared" si="2"/>
        <v>Close</v>
      </c>
      <c r="J180" s="975" t="str">
        <f t="array" ref="J180">if(isblank(E180),"",xlookup(E180,'FL5_POR_包裝對照表 (Mapping Table)'!E:E,'FL5_POR_包裝對照表 (Mapping Table)'!H:H,"",0,1))</f>
        <v>mmWave</v>
      </c>
      <c r="K180" s="972" t="str">
        <f t="array" ref="K180">if(isblank(E180),"",xlookup(E180,'FL5_POR_包裝對照表 (Mapping Table)'!E:E,'FL5_POR_包裝對照表 (Mapping Table)'!M:M,"",0,1))</f>
        <v>NA</v>
      </c>
      <c r="L180" s="972" t="str">
        <f t="array" ref="L180">if(isblank(E180),"",xlookup(E180,'FL5_POR_包裝對照表 (Mapping Table)'!E:E,'FL5_POR_包裝對照表 (Mapping Table)'!AN:AN,"",0,1))</f>
        <v>TBD</v>
      </c>
      <c r="M180" s="972" t="str">
        <f t="array" ref="M180">if(isblank(E180),"",xlookup(E180,'FL5_POR_包裝對照表 (Mapping Table)'!E:E,'FL5_POR_包裝對照表 (Mapping Table)'!J:J,"",0,1))</f>
        <v>Obsidian</v>
      </c>
      <c r="N180" s="972" t="str">
        <f t="array" ref="N180">if(isblank(E180),"",xlookup(E180,'FL5_POR_包裝對照表 (Mapping Table)'!E:E,'FL5_POR_包裝對照表 (Mapping Table)'!K:K,"",0,1))</f>
        <v>BLK</v>
      </c>
      <c r="O180" s="976">
        <f t="array" ref="O180">xlookup(E180,'Ike 提供_20250505'!D:D,'Ike 提供_20250505'!N:N,"",0,1)</f>
        <v>453.07</v>
      </c>
      <c r="P180" s="976">
        <f t="array" ref="P180">xlookup(E180,'Ike 提供_20250505'!D:D,'Ike 提供_20250505'!O:O,"",0,1)</f>
        <v>446.09</v>
      </c>
      <c r="Q180" s="977" t="str">
        <f t="array" ref="Q180">xlookup(E180,'FL5_POR_包裝對照表 (Mapping Table)'!E:E,'FL5_POR_包裝對照表 (Mapping Table)'!BI:BI,"",0,1)</f>
        <v>PE 說不需建BOM</v>
      </c>
      <c r="R180" s="977">
        <v>45779.0</v>
      </c>
      <c r="S180" s="977">
        <f t="shared" si="3"/>
        <v>45785</v>
      </c>
      <c r="T180" s="977">
        <v>45782.0</v>
      </c>
      <c r="U180" s="978"/>
      <c r="V180" s="935"/>
      <c r="W180" s="978" t="str">
        <f t="array" ref="W180">if(isblank(E180),"",xlookup(E180,'FL5_POR_包裝對照表 (Mapping Table)'!E:E,'FL5_POR_包裝對照表 (Mapping Table)'!BM:BM,"",0,1))</f>
        <v>No demand</v>
      </c>
      <c r="X180" s="935"/>
      <c r="Y180" s="935"/>
      <c r="Z180" s="935"/>
      <c r="AA180" s="935"/>
    </row>
    <row r="181" ht="15.75" customHeight="1">
      <c r="A181" s="935"/>
      <c r="B181" s="970">
        <v>174.0</v>
      </c>
      <c r="C181" s="970" t="str">
        <f>if(isblank(E181),"",'FL5_POR_包裝對照表 (Mapping Table)'!$E$4)</f>
        <v>GFL (FL5)</v>
      </c>
      <c r="D181" s="970" t="str">
        <f t="array" ref="D181">IF(ISBLANK(E181),"",xlookup(E181,'FL5_POR_包裝對照表 (Mapping Table)'!E:E,'FL5_POR_包裝對照表 (Mapping Table)'!AZ:AZ,"",0,1))</f>
        <v>MP</v>
      </c>
      <c r="E181" s="971" t="s">
        <v>1298</v>
      </c>
      <c r="F181" s="167" t="str">
        <f t="array" ref="F181">if(isblank(E181),"",xlookup(E181,'FL5_POR_包裝對照表 (Mapping Table)'!E:E,'FL5_POR_包裝對照表 (Mapping Table)'!F:F,"",0,1))</f>
        <v>US GStore</v>
      </c>
      <c r="G181" s="972" t="str">
        <f t="array" ref="G181">if(isblank(E181),"",xlookup(E181,'FL5_POR_包裝對照表 (Mapping Table)'!E:E,'FL5_POR_包裝對照表 (Mapping Table)'!C:C,"",0,1))</f>
        <v>Refurb</v>
      </c>
      <c r="H181" s="973" t="str">
        <f t="array" ref="H181">if(isblank(E181),"",xlookup(E181,'FL5_POR_包裝對照表 (Mapping Table)'!E:E,'FL5_POR_包裝對照表 (Mapping Table)'!D:D,"",0,1))</f>
        <v>Retail Pack</v>
      </c>
      <c r="I181" s="974" t="str">
        <f t="shared" si="2"/>
        <v>Close</v>
      </c>
      <c r="J181" s="975" t="str">
        <f t="array" ref="J181">if(isblank(E181),"",xlookup(E181,'FL5_POR_包裝對照表 (Mapping Table)'!E:E,'FL5_POR_包裝對照表 (Mapping Table)'!H:H,"",0,1))</f>
        <v>mmWave</v>
      </c>
      <c r="K181" s="972" t="str">
        <f t="array" ref="K181">if(isblank(E181),"",xlookup(E181,'FL5_POR_包裝對照表 (Mapping Table)'!E:E,'FL5_POR_包裝對照表 (Mapping Table)'!M:M,"",0,1))</f>
        <v>NA</v>
      </c>
      <c r="L181" s="972" t="str">
        <f t="array" ref="L181">if(isblank(E181),"",xlookup(E181,'FL5_POR_包裝對照表 (Mapping Table)'!E:E,'FL5_POR_包裝對照表 (Mapping Table)'!AN:AN,"",0,1))</f>
        <v>TBD</v>
      </c>
      <c r="M181" s="972" t="str">
        <f t="array" ref="M181">if(isblank(E181),"",xlookup(E181,'FL5_POR_包裝對照表 (Mapping Table)'!E:E,'FL5_POR_包裝對照表 (Mapping Table)'!J:J,"",0,1))</f>
        <v>Frost</v>
      </c>
      <c r="N181" s="972" t="str">
        <f t="array" ref="N181">if(isblank(E181),"",xlookup(E181,'FL5_POR_包裝對照表 (Mapping Table)'!E:E,'FL5_POR_包裝對照表 (Mapping Table)'!K:K,"",0,1))</f>
        <v>PPL</v>
      </c>
      <c r="O181" s="976">
        <f t="array" ref="O181">xlookup(E181,'Ike 提供_20250505'!D:D,'Ike 提供_20250505'!N:N,"",0,1)</f>
        <v>453.37</v>
      </c>
      <c r="P181" s="976">
        <f t="array" ref="P181">xlookup(E181,'Ike 提供_20250505'!D:D,'Ike 提供_20250505'!O:O,"",0,1)</f>
        <v>446.39</v>
      </c>
      <c r="Q181" s="977" t="str">
        <f t="array" ref="Q181">xlookup(E181,'FL5_POR_包裝對照表 (Mapping Table)'!E:E,'FL5_POR_包裝對照表 (Mapping Table)'!BI:BI,"",0,1)</f>
        <v>PE 說不需建BOM</v>
      </c>
      <c r="R181" s="977">
        <v>45779.0</v>
      </c>
      <c r="S181" s="977">
        <f t="shared" si="3"/>
        <v>45785</v>
      </c>
      <c r="T181" s="977">
        <v>45782.0</v>
      </c>
      <c r="U181" s="978"/>
      <c r="V181" s="935"/>
      <c r="W181" s="978" t="str">
        <f t="array" ref="W181">if(isblank(E181),"",xlookup(E181,'FL5_POR_包裝對照表 (Mapping Table)'!E:E,'FL5_POR_包裝對照表 (Mapping Table)'!BM:BM,"",0,1))</f>
        <v>No demand</v>
      </c>
      <c r="X181" s="935"/>
      <c r="Y181" s="935"/>
      <c r="Z181" s="935"/>
      <c r="AA181" s="935"/>
    </row>
    <row r="182" ht="15.75" customHeight="1">
      <c r="A182" s="935"/>
      <c r="B182" s="970">
        <v>175.0</v>
      </c>
      <c r="C182" s="970" t="str">
        <f>if(isblank(E182),"",'FL5_POR_包裝對照表 (Mapping Table)'!$E$4)</f>
        <v>GFL (FL5)</v>
      </c>
      <c r="D182" s="970" t="str">
        <f t="array" ref="D182">IF(ISBLANK(E182),"",xlookup(E182,'FL5_POR_包裝對照表 (Mapping Table)'!E:E,'FL5_POR_包裝對照表 (Mapping Table)'!AZ:AZ,"",0,1))</f>
        <v>MP</v>
      </c>
      <c r="E182" s="971" t="s">
        <v>1300</v>
      </c>
      <c r="F182" s="167" t="str">
        <f t="array" ref="F182">if(isblank(E182),"",xlookup(E182,'FL5_POR_包裝對照表 (Mapping Table)'!E:E,'FL5_POR_包裝對照表 (Mapping Table)'!F:F,"",0,1))</f>
        <v>US GStore</v>
      </c>
      <c r="G182" s="972" t="str">
        <f t="array" ref="G182">if(isblank(E182),"",xlookup(E182,'FL5_POR_包裝對照表 (Mapping Table)'!E:E,'FL5_POR_包裝對照表 (Mapping Table)'!C:C,"",0,1))</f>
        <v>Refurb</v>
      </c>
      <c r="H182" s="973" t="str">
        <f t="array" ref="H182">if(isblank(E182),"",xlookup(E182,'FL5_POR_包裝對照表 (Mapping Table)'!E:E,'FL5_POR_包裝對照表 (Mapping Table)'!D:D,"",0,1))</f>
        <v>Retail Pack</v>
      </c>
      <c r="I182" s="974" t="str">
        <f t="shared" si="2"/>
        <v>Close</v>
      </c>
      <c r="J182" s="975" t="str">
        <f t="array" ref="J182">if(isblank(E182),"",xlookup(E182,'FL5_POR_包裝對照表 (Mapping Table)'!E:E,'FL5_POR_包裝對照表 (Mapping Table)'!H:H,"",0,1))</f>
        <v>mmWave</v>
      </c>
      <c r="K182" s="972" t="str">
        <f t="array" ref="K182">if(isblank(E182),"",xlookup(E182,'FL5_POR_包裝對照表 (Mapping Table)'!E:E,'FL5_POR_包裝對照表 (Mapping Table)'!M:M,"",0,1))</f>
        <v>NA</v>
      </c>
      <c r="L182" s="972" t="str">
        <f t="array" ref="L182">if(isblank(E182),"",xlookup(E182,'FL5_POR_包裝對照表 (Mapping Table)'!E:E,'FL5_POR_包裝對照表 (Mapping Table)'!AN:AN,"",0,1))</f>
        <v>TBD</v>
      </c>
      <c r="M182" s="972" t="str">
        <f t="array" ref="M182">if(isblank(E182),"",xlookup(E182,'FL5_POR_包裝對照表 (Mapping Table)'!E:E,'FL5_POR_包裝對照表 (Mapping Table)'!J:J,"",0,1))</f>
        <v>Lemongrass</v>
      </c>
      <c r="N182" s="972" t="str">
        <f t="array" ref="N182">if(isblank(E182),"",xlookup(E182,'FL5_POR_包裝對照表 (Mapping Table)'!E:E,'FL5_POR_包裝對照表 (Mapping Table)'!K:K,"",0,1))</f>
        <v>YEL</v>
      </c>
      <c r="O182" s="976">
        <f t="array" ref="O182">xlookup(E182,'Ike 提供_20250505'!D:D,'Ike 提供_20250505'!N:N,"",0,1)</f>
        <v>453.47</v>
      </c>
      <c r="P182" s="976">
        <f t="array" ref="P182">xlookup(E182,'Ike 提供_20250505'!D:D,'Ike 提供_20250505'!O:O,"",0,1)</f>
        <v>446.49</v>
      </c>
      <c r="Q182" s="977" t="str">
        <f t="array" ref="Q182">xlookup(E182,'FL5_POR_包裝對照表 (Mapping Table)'!E:E,'FL5_POR_包裝對照表 (Mapping Table)'!BI:BI,"",0,1)</f>
        <v>PE 說不需建BOM</v>
      </c>
      <c r="R182" s="977">
        <v>45779.0</v>
      </c>
      <c r="S182" s="977">
        <f t="shared" si="3"/>
        <v>45785</v>
      </c>
      <c r="T182" s="977">
        <v>45782.0</v>
      </c>
      <c r="U182" s="978"/>
      <c r="V182" s="935"/>
      <c r="W182" s="978" t="str">
        <f t="array" ref="W182">if(isblank(E182),"",xlookup(E182,'FL5_POR_包裝對照表 (Mapping Table)'!E:E,'FL5_POR_包裝對照表 (Mapping Table)'!BM:BM,"",0,1))</f>
        <v>No demand</v>
      </c>
      <c r="X182" s="935"/>
      <c r="Y182" s="935"/>
      <c r="Z182" s="935"/>
      <c r="AA182" s="935"/>
    </row>
    <row r="183" ht="15.75" customHeight="1">
      <c r="A183" s="935"/>
      <c r="B183" s="970">
        <v>176.0</v>
      </c>
      <c r="C183" s="970" t="str">
        <f>if(isblank(E183),"",'FL5_POR_包裝對照表 (Mapping Table)'!$E$4)</f>
        <v>GFL (FL5)</v>
      </c>
      <c r="D183" s="970" t="str">
        <f t="array" ref="D183">IF(ISBLANK(E183),"",xlookup(E183,'FL5_POR_包裝對照表 (Mapping Table)'!E:E,'FL5_POR_包裝對照表 (Mapping Table)'!AZ:AZ,"",0,1))</f>
        <v>MP</v>
      </c>
      <c r="E183" s="971" t="s">
        <v>1302</v>
      </c>
      <c r="F183" s="167" t="str">
        <f t="array" ref="F183">if(isblank(E183),"",xlookup(E183,'FL5_POR_包裝對照表 (Mapping Table)'!E:E,'FL5_POR_包裝對照表 (Mapping Table)'!F:F,"",0,1))</f>
        <v>US GStore</v>
      </c>
      <c r="G183" s="972" t="str">
        <f t="array" ref="G183">if(isblank(E183),"",xlookup(E183,'FL5_POR_包裝對照表 (Mapping Table)'!E:E,'FL5_POR_包裝對照表 (Mapping Table)'!C:C,"",0,1))</f>
        <v>Refurb</v>
      </c>
      <c r="H183" s="973" t="str">
        <f t="array" ref="H183">if(isblank(E183),"",xlookup(E183,'FL5_POR_包裝對照表 (Mapping Table)'!E:E,'FL5_POR_包裝對照表 (Mapping Table)'!D:D,"",0,1))</f>
        <v>Retail Pack</v>
      </c>
      <c r="I183" s="974" t="str">
        <f t="shared" si="2"/>
        <v>Close</v>
      </c>
      <c r="J183" s="975" t="str">
        <f t="array" ref="J183">if(isblank(E183),"",xlookup(E183,'FL5_POR_包裝對照表 (Mapping Table)'!E:E,'FL5_POR_包裝對照表 (Mapping Table)'!H:H,"",0,1))</f>
        <v>mmWave</v>
      </c>
      <c r="K183" s="972" t="str">
        <f t="array" ref="K183">if(isblank(E183),"",xlookup(E183,'FL5_POR_包裝對照表 (Mapping Table)'!E:E,'FL5_POR_包裝對照表 (Mapping Table)'!M:M,"",0,1))</f>
        <v>NA</v>
      </c>
      <c r="L183" s="972" t="str">
        <f t="array" ref="L183">if(isblank(E183),"",xlookup(E183,'FL5_POR_包裝對照表 (Mapping Table)'!E:E,'FL5_POR_包裝對照表 (Mapping Table)'!AN:AN,"",0,1))</f>
        <v>TBD</v>
      </c>
      <c r="M183" s="972" t="str">
        <f t="array" ref="M183">if(isblank(E183),"",xlookup(E183,'FL5_POR_包裝對照表 (Mapping Table)'!E:E,'FL5_POR_包裝對照表 (Mapping Table)'!J:J,"",0,1))</f>
        <v>Indigo</v>
      </c>
      <c r="N183" s="972" t="str">
        <f t="array" ref="N183">if(isblank(E183),"",xlookup(E183,'FL5_POR_包裝對照表 (Mapping Table)'!E:E,'FL5_POR_包裝對照表 (Mapping Table)'!K:K,"",0,1))</f>
        <v>BUE</v>
      </c>
      <c r="O183" s="976">
        <f t="array" ref="O183">xlookup(E183,'Ike 提供_20250505'!D:D,'Ike 提供_20250505'!N:N,"",0,1)</f>
        <v>453.47</v>
      </c>
      <c r="P183" s="976">
        <f t="array" ref="P183">xlookup(E183,'Ike 提供_20250505'!D:D,'Ike 提供_20250505'!O:O,"",0,1)</f>
        <v>446.49</v>
      </c>
      <c r="Q183" s="977" t="str">
        <f t="array" ref="Q183">xlookup(E183,'FL5_POR_包裝對照表 (Mapping Table)'!E:E,'FL5_POR_包裝對照表 (Mapping Table)'!BI:BI,"",0,1)</f>
        <v>PE 說不需建BOM</v>
      </c>
      <c r="R183" s="977">
        <v>45779.0</v>
      </c>
      <c r="S183" s="977">
        <f t="shared" si="3"/>
        <v>45785</v>
      </c>
      <c r="T183" s="977">
        <v>45782.0</v>
      </c>
      <c r="U183" s="978"/>
      <c r="V183" s="935"/>
      <c r="W183" s="978" t="str">
        <f t="array" ref="W183">if(isblank(E183),"",xlookup(E183,'FL5_POR_包裝對照表 (Mapping Table)'!E:E,'FL5_POR_包裝對照表 (Mapping Table)'!BM:BM,"",0,1))</f>
        <v>No demand</v>
      </c>
      <c r="X183" s="935"/>
      <c r="Y183" s="935"/>
      <c r="Z183" s="935"/>
      <c r="AA183" s="935"/>
    </row>
    <row r="184" ht="15.75" customHeight="1">
      <c r="A184" s="935"/>
      <c r="B184" s="970">
        <v>177.0</v>
      </c>
      <c r="C184" s="970" t="str">
        <f>if(isblank(E184),"",'FL5_POR_包裝對照表 (Mapping Table)'!$E$4)</f>
        <v>GFL (FL5)</v>
      </c>
      <c r="D184" s="970" t="str">
        <f t="array" ref="D184">IF(ISBLANK(E184),"",xlookup(E184,'FL5_POR_包裝對照表 (Mapping Table)'!E:E,'FL5_POR_包裝對照表 (Mapping Table)'!AZ:AZ,"",0,1))</f>
        <v>MP</v>
      </c>
      <c r="E184" s="971" t="s">
        <v>1304</v>
      </c>
      <c r="F184" s="167" t="str">
        <f t="array" ref="F184">if(isblank(E184),"",xlookup(E184,'FL5_POR_包裝對照表 (Mapping Table)'!E:E,'FL5_POR_包裝對照表 (Mapping Table)'!F:F,"",0,1))</f>
        <v>CA/TW/SG/MY/AU/MX</v>
      </c>
      <c r="G184" s="972" t="str">
        <f t="array" ref="G184">if(isblank(E184),"",xlookup(E184,'FL5_POR_包裝對照表 (Mapping Table)'!E:E,'FL5_POR_包裝對照表 (Mapping Table)'!C:C,"",0,1))</f>
        <v>Refurb</v>
      </c>
      <c r="H184" s="973" t="str">
        <f t="array" ref="H184">if(isblank(E184),"",xlookup(E184,'FL5_POR_包裝對照表 (Mapping Table)'!E:E,'FL5_POR_包裝對照表 (Mapping Table)'!D:D,"",0,1))</f>
        <v>Retail Pack</v>
      </c>
      <c r="I184" s="974" t="str">
        <f t="shared" si="2"/>
        <v>Close</v>
      </c>
      <c r="J184" s="975" t="str">
        <f t="array" ref="J184">if(isblank(E184),"",xlookup(E184,'FL5_POR_包裝對照表 (Mapping Table)'!E:E,'FL5_POR_包裝對照表 (Mapping Table)'!H:H,"",0,1))</f>
        <v>Sub6</v>
      </c>
      <c r="K184" s="972" t="str">
        <f t="array" ref="K184">if(isblank(E184),"",xlookup(E184,'FL5_POR_包裝對照表 (Mapping Table)'!E:E,'FL5_POR_包裝對照表 (Mapping Table)'!M:M,"",0,1))</f>
        <v>ROW</v>
      </c>
      <c r="L184" s="972" t="str">
        <f t="array" ref="L184">if(isblank(E184),"",xlookup(E184,'FL5_POR_包裝對照表 (Mapping Table)'!E:E,'FL5_POR_包裝對照表 (Mapping Table)'!AN:AN,"",0,1))</f>
        <v>TBD</v>
      </c>
      <c r="M184" s="972" t="str">
        <f t="array" ref="M184">if(isblank(E184),"",xlookup(E184,'FL5_POR_包裝對照表 (Mapping Table)'!E:E,'FL5_POR_包裝對照表 (Mapping Table)'!J:J,"",0,1))</f>
        <v>Obsidian</v>
      </c>
      <c r="N184" s="972" t="str">
        <f t="array" ref="N184">if(isblank(E184),"",xlookup(E184,'FL5_POR_包裝對照表 (Mapping Table)'!E:E,'FL5_POR_包裝對照表 (Mapping Table)'!K:K,"",0,1))</f>
        <v>BLK</v>
      </c>
      <c r="O184" s="976">
        <f t="array" ref="O184">xlookup(E184,'Ike 提供_20250505'!D:D,'Ike 提供_20250505'!N:N,"",0,1)</f>
        <v>435.69</v>
      </c>
      <c r="P184" s="976">
        <f t="array" ref="P184">xlookup(E184,'Ike 提供_20250505'!D:D,'Ike 提供_20250505'!O:O,"",0,1)</f>
        <v>428.71</v>
      </c>
      <c r="Q184" s="977" t="str">
        <f t="array" ref="Q184">xlookup(E184,'FL5_POR_包裝對照表 (Mapping Table)'!E:E,'FL5_POR_包裝對照表 (Mapping Table)'!BI:BI,"",0,1)</f>
        <v>PE 說不需建BOM</v>
      </c>
      <c r="R184" s="977">
        <v>45779.0</v>
      </c>
      <c r="S184" s="977">
        <f t="shared" si="3"/>
        <v>45785</v>
      </c>
      <c r="T184" s="977">
        <v>45782.0</v>
      </c>
      <c r="U184" s="978"/>
      <c r="V184" s="935"/>
      <c r="W184" s="978" t="str">
        <f t="array" ref="W184">if(isblank(E184),"",xlookup(E184,'FL5_POR_包裝對照表 (Mapping Table)'!E:E,'FL5_POR_包裝對照表 (Mapping Table)'!BM:BM,"",0,1))</f>
        <v>No demand</v>
      </c>
      <c r="X184" s="935"/>
      <c r="Y184" s="935"/>
      <c r="Z184" s="935"/>
      <c r="AA184" s="935"/>
    </row>
    <row r="185" ht="15.75" customHeight="1">
      <c r="A185" s="935"/>
      <c r="B185" s="970">
        <v>178.0</v>
      </c>
      <c r="C185" s="970" t="str">
        <f>if(isblank(E185),"",'FL5_POR_包裝對照表 (Mapping Table)'!$E$4)</f>
        <v>GFL (FL5)</v>
      </c>
      <c r="D185" s="970" t="str">
        <f t="array" ref="D185">IF(ISBLANK(E185),"",xlookup(E185,'FL5_POR_包裝對照表 (Mapping Table)'!E:E,'FL5_POR_包裝對照表 (Mapping Table)'!AZ:AZ,"",0,1))</f>
        <v>MP</v>
      </c>
      <c r="E185" s="971" t="s">
        <v>1306</v>
      </c>
      <c r="F185" s="167" t="str">
        <f t="array" ref="F185">if(isblank(E185),"",xlookup(E185,'FL5_POR_包裝對照表 (Mapping Table)'!E:E,'FL5_POR_包裝對照表 (Mapping Table)'!F:F,"",0,1))</f>
        <v>CA/TW/SG/MY/AU/MX</v>
      </c>
      <c r="G185" s="972" t="str">
        <f t="array" ref="G185">if(isblank(E185),"",xlookup(E185,'FL5_POR_包裝對照表 (Mapping Table)'!E:E,'FL5_POR_包裝對照表 (Mapping Table)'!C:C,"",0,1))</f>
        <v>Refurb</v>
      </c>
      <c r="H185" s="973" t="str">
        <f t="array" ref="H185">if(isblank(E185),"",xlookup(E185,'FL5_POR_包裝對照表 (Mapping Table)'!E:E,'FL5_POR_包裝對照表 (Mapping Table)'!D:D,"",0,1))</f>
        <v>Retail Pack</v>
      </c>
      <c r="I185" s="974" t="str">
        <f t="shared" si="2"/>
        <v>Close</v>
      </c>
      <c r="J185" s="975" t="str">
        <f t="array" ref="J185">if(isblank(E185),"",xlookup(E185,'FL5_POR_包裝對照表 (Mapping Table)'!E:E,'FL5_POR_包裝對照表 (Mapping Table)'!H:H,"",0,1))</f>
        <v>Sub6</v>
      </c>
      <c r="K185" s="972" t="str">
        <f t="array" ref="K185">if(isblank(E185),"",xlookup(E185,'FL5_POR_包裝對照表 (Mapping Table)'!E:E,'FL5_POR_包裝對照表 (Mapping Table)'!M:M,"",0,1))</f>
        <v>ROW</v>
      </c>
      <c r="L185" s="972" t="str">
        <f t="array" ref="L185">if(isblank(E185),"",xlookup(E185,'FL5_POR_包裝對照表 (Mapping Table)'!E:E,'FL5_POR_包裝對照表 (Mapping Table)'!AN:AN,"",0,1))</f>
        <v>TBD</v>
      </c>
      <c r="M185" s="972" t="str">
        <f t="array" ref="M185">if(isblank(E185),"",xlookup(E185,'FL5_POR_包裝對照表 (Mapping Table)'!E:E,'FL5_POR_包裝對照表 (Mapping Table)'!J:J,"",0,1))</f>
        <v>Frost</v>
      </c>
      <c r="N185" s="972" t="str">
        <f t="array" ref="N185">if(isblank(E185),"",xlookup(E185,'FL5_POR_包裝對照表 (Mapping Table)'!E:E,'FL5_POR_包裝對照表 (Mapping Table)'!K:K,"",0,1))</f>
        <v>PPL</v>
      </c>
      <c r="O185" s="976">
        <f t="array" ref="O185">xlookup(E185,'Ike 提供_20250505'!D:D,'Ike 提供_20250505'!N:N,"",0,1)</f>
        <v>435.99</v>
      </c>
      <c r="P185" s="976">
        <f t="array" ref="P185">xlookup(E185,'Ike 提供_20250505'!D:D,'Ike 提供_20250505'!O:O,"",0,1)</f>
        <v>429.01</v>
      </c>
      <c r="Q185" s="977" t="str">
        <f t="array" ref="Q185">xlookup(E185,'FL5_POR_包裝對照表 (Mapping Table)'!E:E,'FL5_POR_包裝對照表 (Mapping Table)'!BI:BI,"",0,1)</f>
        <v>PE 說不需建BOM</v>
      </c>
      <c r="R185" s="977">
        <v>45779.0</v>
      </c>
      <c r="S185" s="977">
        <f t="shared" si="3"/>
        <v>45785</v>
      </c>
      <c r="T185" s="977">
        <v>45782.0</v>
      </c>
      <c r="U185" s="978"/>
      <c r="V185" s="935"/>
      <c r="W185" s="978" t="str">
        <f t="array" ref="W185">if(isblank(E185),"",xlookup(E185,'FL5_POR_包裝對照表 (Mapping Table)'!E:E,'FL5_POR_包裝對照表 (Mapping Table)'!BM:BM,"",0,1))</f>
        <v>No demand</v>
      </c>
      <c r="X185" s="935"/>
      <c r="Y185" s="935"/>
      <c r="Z185" s="935"/>
      <c r="AA185" s="935"/>
    </row>
    <row r="186" ht="15.75" customHeight="1">
      <c r="A186" s="935"/>
      <c r="B186" s="970">
        <v>179.0</v>
      </c>
      <c r="C186" s="970" t="str">
        <f>if(isblank(E186),"",'FL5_POR_包裝對照表 (Mapping Table)'!$E$4)</f>
        <v>GFL (FL5)</v>
      </c>
      <c r="D186" s="970" t="str">
        <f t="array" ref="D186">IF(ISBLANK(E186),"",xlookup(E186,'FL5_POR_包裝對照表 (Mapping Table)'!E:E,'FL5_POR_包裝對照表 (Mapping Table)'!AZ:AZ,"",0,1))</f>
        <v>MP</v>
      </c>
      <c r="E186" s="971" t="s">
        <v>1308</v>
      </c>
      <c r="F186" s="167" t="str">
        <f t="array" ref="F186">if(isblank(E186),"",xlookup(E186,'FL5_POR_包裝對照表 (Mapping Table)'!E:E,'FL5_POR_包裝對照表 (Mapping Table)'!F:F,"",0,1))</f>
        <v>CA/TW/SG/MY/AU/MX</v>
      </c>
      <c r="G186" s="972" t="str">
        <f t="array" ref="G186">if(isblank(E186),"",xlookup(E186,'FL5_POR_包裝對照表 (Mapping Table)'!E:E,'FL5_POR_包裝對照表 (Mapping Table)'!C:C,"",0,1))</f>
        <v>Refurb</v>
      </c>
      <c r="H186" s="973" t="str">
        <f t="array" ref="H186">if(isblank(E186),"",xlookup(E186,'FL5_POR_包裝對照表 (Mapping Table)'!E:E,'FL5_POR_包裝對照表 (Mapping Table)'!D:D,"",0,1))</f>
        <v>Retail Pack</v>
      </c>
      <c r="I186" s="974" t="str">
        <f t="shared" si="2"/>
        <v>Close</v>
      </c>
      <c r="J186" s="975" t="str">
        <f t="array" ref="J186">if(isblank(E186),"",xlookup(E186,'FL5_POR_包裝對照表 (Mapping Table)'!E:E,'FL5_POR_包裝對照表 (Mapping Table)'!H:H,"",0,1))</f>
        <v>Sub6</v>
      </c>
      <c r="K186" s="972" t="str">
        <f t="array" ref="K186">if(isblank(E186),"",xlookup(E186,'FL5_POR_包裝對照表 (Mapping Table)'!E:E,'FL5_POR_包裝對照表 (Mapping Table)'!M:M,"",0,1))</f>
        <v>ROW</v>
      </c>
      <c r="L186" s="972" t="str">
        <f t="array" ref="L186">if(isblank(E186),"",xlookup(E186,'FL5_POR_包裝對照表 (Mapping Table)'!E:E,'FL5_POR_包裝對照表 (Mapping Table)'!AN:AN,"",0,1))</f>
        <v>TBD</v>
      </c>
      <c r="M186" s="972" t="str">
        <f t="array" ref="M186">if(isblank(E186),"",xlookup(E186,'FL5_POR_包裝對照表 (Mapping Table)'!E:E,'FL5_POR_包裝對照表 (Mapping Table)'!J:J,"",0,1))</f>
        <v>Lemongrass</v>
      </c>
      <c r="N186" s="972" t="str">
        <f t="array" ref="N186">if(isblank(E186),"",xlookup(E186,'FL5_POR_包裝對照表 (Mapping Table)'!E:E,'FL5_POR_包裝對照表 (Mapping Table)'!K:K,"",0,1))</f>
        <v>YEL</v>
      </c>
      <c r="O186" s="976">
        <f t="array" ref="O186">xlookup(E186,'Ike 提供_20250505'!D:D,'Ike 提供_20250505'!N:N,"",0,1)</f>
        <v>436.09</v>
      </c>
      <c r="P186" s="976">
        <f t="array" ref="P186">xlookup(E186,'Ike 提供_20250505'!D:D,'Ike 提供_20250505'!O:O,"",0,1)</f>
        <v>429.11</v>
      </c>
      <c r="Q186" s="977" t="str">
        <f t="array" ref="Q186">xlookup(E186,'FL5_POR_包裝對照表 (Mapping Table)'!E:E,'FL5_POR_包裝對照表 (Mapping Table)'!BI:BI,"",0,1)</f>
        <v>PE 說不需建BOM</v>
      </c>
      <c r="R186" s="977">
        <v>45779.0</v>
      </c>
      <c r="S186" s="977">
        <f t="shared" si="3"/>
        <v>45785</v>
      </c>
      <c r="T186" s="977">
        <v>45782.0</v>
      </c>
      <c r="U186" s="978"/>
      <c r="V186" s="935"/>
      <c r="W186" s="978" t="str">
        <f t="array" ref="W186">if(isblank(E186),"",xlookup(E186,'FL5_POR_包裝對照表 (Mapping Table)'!E:E,'FL5_POR_包裝對照表 (Mapping Table)'!BM:BM,"",0,1))</f>
        <v>No demand</v>
      </c>
      <c r="X186" s="935"/>
      <c r="Y186" s="935"/>
      <c r="Z186" s="935"/>
      <c r="AA186" s="935"/>
    </row>
    <row r="187" ht="15.75" customHeight="1">
      <c r="A187" s="935"/>
      <c r="B187" s="970">
        <v>180.0</v>
      </c>
      <c r="C187" s="970" t="str">
        <f>if(isblank(E187),"",'FL5_POR_包裝對照表 (Mapping Table)'!$E$4)</f>
        <v>GFL (FL5)</v>
      </c>
      <c r="D187" s="970" t="str">
        <f t="array" ref="D187">IF(ISBLANK(E187),"",xlookup(E187,'FL5_POR_包裝對照表 (Mapping Table)'!E:E,'FL5_POR_包裝對照表 (Mapping Table)'!AZ:AZ,"",0,1))</f>
        <v>MP</v>
      </c>
      <c r="E187" s="971" t="s">
        <v>1310</v>
      </c>
      <c r="F187" s="167" t="str">
        <f t="array" ref="F187">if(isblank(E187),"",xlookup(E187,'FL5_POR_包裝對照表 (Mapping Table)'!E:E,'FL5_POR_包裝對照表 (Mapping Table)'!F:F,"",0,1))</f>
        <v>CA/TW/SG/MY/AU/MX</v>
      </c>
      <c r="G187" s="972" t="str">
        <f t="array" ref="G187">if(isblank(E187),"",xlookup(E187,'FL5_POR_包裝對照表 (Mapping Table)'!E:E,'FL5_POR_包裝對照表 (Mapping Table)'!C:C,"",0,1))</f>
        <v>Refurb</v>
      </c>
      <c r="H187" s="973" t="str">
        <f t="array" ref="H187">if(isblank(E187),"",xlookup(E187,'FL5_POR_包裝對照表 (Mapping Table)'!E:E,'FL5_POR_包裝對照表 (Mapping Table)'!D:D,"",0,1))</f>
        <v>Retail Pack</v>
      </c>
      <c r="I187" s="974" t="str">
        <f t="shared" si="2"/>
        <v>Close</v>
      </c>
      <c r="J187" s="975" t="str">
        <f t="array" ref="J187">if(isblank(E187),"",xlookup(E187,'FL5_POR_包裝對照表 (Mapping Table)'!E:E,'FL5_POR_包裝對照表 (Mapping Table)'!H:H,"",0,1))</f>
        <v>Sub6</v>
      </c>
      <c r="K187" s="972" t="str">
        <f t="array" ref="K187">if(isblank(E187),"",xlookup(E187,'FL5_POR_包裝對照表 (Mapping Table)'!E:E,'FL5_POR_包裝對照表 (Mapping Table)'!M:M,"",0,1))</f>
        <v>ROW</v>
      </c>
      <c r="L187" s="972" t="str">
        <f t="array" ref="L187">if(isblank(E187),"",xlookup(E187,'FL5_POR_包裝對照表 (Mapping Table)'!E:E,'FL5_POR_包裝對照表 (Mapping Table)'!AN:AN,"",0,1))</f>
        <v>TBD</v>
      </c>
      <c r="M187" s="972" t="str">
        <f t="array" ref="M187">if(isblank(E187),"",xlookup(E187,'FL5_POR_包裝對照表 (Mapping Table)'!E:E,'FL5_POR_包裝對照表 (Mapping Table)'!J:J,"",0,1))</f>
        <v>Indigo</v>
      </c>
      <c r="N187" s="972" t="str">
        <f t="array" ref="N187">if(isblank(E187),"",xlookup(E187,'FL5_POR_包裝對照表 (Mapping Table)'!E:E,'FL5_POR_包裝對照表 (Mapping Table)'!K:K,"",0,1))</f>
        <v>BUE</v>
      </c>
      <c r="O187" s="976">
        <f t="array" ref="O187">xlookup(E187,'Ike 提供_20250505'!D:D,'Ike 提供_20250505'!N:N,"",0,1)</f>
        <v>436.09</v>
      </c>
      <c r="P187" s="976">
        <f t="array" ref="P187">xlookup(E187,'Ike 提供_20250505'!D:D,'Ike 提供_20250505'!O:O,"",0,1)</f>
        <v>429.11</v>
      </c>
      <c r="Q187" s="977" t="str">
        <f t="array" ref="Q187">xlookup(E187,'FL5_POR_包裝對照表 (Mapping Table)'!E:E,'FL5_POR_包裝對照表 (Mapping Table)'!BI:BI,"",0,1)</f>
        <v>PE 說不需建BOM</v>
      </c>
      <c r="R187" s="977">
        <v>45779.0</v>
      </c>
      <c r="S187" s="977">
        <f t="shared" si="3"/>
        <v>45785</v>
      </c>
      <c r="T187" s="977">
        <v>45782.0</v>
      </c>
      <c r="U187" s="978"/>
      <c r="V187" s="935"/>
      <c r="W187" s="978" t="str">
        <f t="array" ref="W187">if(isblank(E187),"",xlookup(E187,'FL5_POR_包裝對照表 (Mapping Table)'!E:E,'FL5_POR_包裝對照表 (Mapping Table)'!BM:BM,"",0,1))</f>
        <v>No demand</v>
      </c>
      <c r="X187" s="935"/>
      <c r="Y187" s="935"/>
      <c r="Z187" s="935"/>
      <c r="AA187" s="935"/>
    </row>
    <row r="188" ht="15.75" customHeight="1">
      <c r="A188" s="935"/>
      <c r="B188" s="970">
        <v>181.0</v>
      </c>
      <c r="C188" s="970" t="str">
        <f>if(isblank(E188),"",'FL5_POR_包裝對照表 (Mapping Table)'!$E$4)</f>
        <v>GFL (FL5)</v>
      </c>
      <c r="D188" s="970" t="str">
        <f t="array" ref="D188">IF(ISBLANK(E188),"",xlookup(E188,'FL5_POR_包裝對照表 (Mapping Table)'!E:E,'FL5_POR_包裝對照表 (Mapping Table)'!AZ:AZ,"",0,1))</f>
        <v>MP</v>
      </c>
      <c r="E188" s="971" t="s">
        <v>1312</v>
      </c>
      <c r="F188" s="167" t="str">
        <f t="array" ref="F188">if(isblank(E188),"",xlookup(E188,'FL5_POR_包裝對照表 (Mapping Table)'!E:E,'FL5_POR_包裝對照表 (Mapping Table)'!F:F,"",0,1))</f>
        <v>UK,DE, IT, ES, IE,FR, NO,SE,DK,NL, BE, AT, CH, PT, PL, SK,
CEE (CZ, RO, HU, SI, LV, LT, EE, FI)</v>
      </c>
      <c r="G188" s="972" t="str">
        <f t="array" ref="G188">if(isblank(E188),"",xlookup(E188,'FL5_POR_包裝對照表 (Mapping Table)'!E:E,'FL5_POR_包裝對照表 (Mapping Table)'!C:C,"",0,1))</f>
        <v>Refurb</v>
      </c>
      <c r="H188" s="973" t="str">
        <f t="array" ref="H188">if(isblank(E188),"",xlookup(E188,'FL5_POR_包裝對照表 (Mapping Table)'!E:E,'FL5_POR_包裝對照表 (Mapping Table)'!D:D,"",0,1))</f>
        <v>Retail Pack</v>
      </c>
      <c r="I188" s="974" t="str">
        <f t="shared" si="2"/>
        <v>Close</v>
      </c>
      <c r="J188" s="975" t="str">
        <f t="array" ref="J188">if(isblank(E188),"",xlookup(E188,'FL5_POR_包裝對照表 (Mapping Table)'!E:E,'FL5_POR_包裝對照表 (Mapping Table)'!H:H,"",0,1))</f>
        <v>Sub6</v>
      </c>
      <c r="K188" s="972" t="str">
        <f t="array" ref="K188">if(isblank(E188),"",xlookup(E188,'FL5_POR_包裝對照表 (Mapping Table)'!E:E,'FL5_POR_包裝對照表 (Mapping Table)'!M:M,"",0,1))</f>
        <v>ROW</v>
      </c>
      <c r="L188" s="972" t="str">
        <f t="array" ref="L188">if(isblank(E188),"",xlookup(E188,'FL5_POR_包裝對照表 (Mapping Table)'!E:E,'FL5_POR_包裝對照表 (Mapping Table)'!AN:AN,"",0,1))</f>
        <v>TBD</v>
      </c>
      <c r="M188" s="972" t="str">
        <f t="array" ref="M188">if(isblank(E188),"",xlookup(E188,'FL5_POR_包裝對照表 (Mapping Table)'!E:E,'FL5_POR_包裝對照表 (Mapping Table)'!J:J,"",0,1))</f>
        <v>Obsidian</v>
      </c>
      <c r="N188" s="972" t="str">
        <f t="array" ref="N188">if(isblank(E188),"",xlookup(E188,'FL5_POR_包裝對照表 (Mapping Table)'!E:E,'FL5_POR_包裝對照表 (Mapping Table)'!K:K,"",0,1))</f>
        <v>BLK</v>
      </c>
      <c r="O188" s="976">
        <f t="array" ref="O188">xlookup(E188,'Ike 提供_20250505'!D:D,'Ike 提供_20250505'!N:N,"",0,1)</f>
        <v>450.55</v>
      </c>
      <c r="P188" s="976">
        <f t="array" ref="P188">xlookup(E188,'Ike 提供_20250505'!D:D,'Ike 提供_20250505'!O:O,"",0,1)</f>
        <v>429.22</v>
      </c>
      <c r="Q188" s="977" t="str">
        <f t="array" ref="Q188">xlookup(E188,'FL5_POR_包裝對照表 (Mapping Table)'!E:E,'FL5_POR_包裝對照表 (Mapping Table)'!BI:BI,"",0,1)</f>
        <v>PE 說不需建BOM</v>
      </c>
      <c r="R188" s="977">
        <v>45779.0</v>
      </c>
      <c r="S188" s="977">
        <f t="shared" si="3"/>
        <v>45785</v>
      </c>
      <c r="T188" s="977">
        <v>45782.0</v>
      </c>
      <c r="U188" s="978"/>
      <c r="V188" s="935"/>
      <c r="W188" s="978" t="str">
        <f t="array" ref="W188">if(isblank(E188),"",xlookup(E188,'FL5_POR_包裝對照表 (Mapping Table)'!E:E,'FL5_POR_包裝對照表 (Mapping Table)'!BM:BM,"",0,1))</f>
        <v>No demand</v>
      </c>
      <c r="X188" s="935"/>
      <c r="Y188" s="935"/>
      <c r="Z188" s="935"/>
      <c r="AA188" s="935"/>
    </row>
    <row r="189" ht="15.75" customHeight="1">
      <c r="A189" s="935"/>
      <c r="B189" s="970">
        <v>182.0</v>
      </c>
      <c r="C189" s="970" t="str">
        <f>if(isblank(E189),"",'FL5_POR_包裝對照表 (Mapping Table)'!$E$4)</f>
        <v>GFL (FL5)</v>
      </c>
      <c r="D189" s="970" t="str">
        <f t="array" ref="D189">IF(ISBLANK(E189),"",xlookup(E189,'FL5_POR_包裝對照表 (Mapping Table)'!E:E,'FL5_POR_包裝對照表 (Mapping Table)'!AZ:AZ,"",0,1))</f>
        <v>MP</v>
      </c>
      <c r="E189" s="971" t="s">
        <v>1314</v>
      </c>
      <c r="F189" s="167" t="str">
        <f t="array" ref="F189">if(isblank(E189),"",xlookup(E189,'FL5_POR_包裝對照表 (Mapping Table)'!E:E,'FL5_POR_包裝對照表 (Mapping Table)'!F:F,"",0,1))</f>
        <v>UK,DE, IT, ES, IE,FR, NO,SE,DK,NL, BE, AT, CH, PT, PL, SK,
CEE (CZ, RO, HU, SI, LV, LT, EE, FI)</v>
      </c>
      <c r="G189" s="972" t="str">
        <f t="array" ref="G189">if(isblank(E189),"",xlookup(E189,'FL5_POR_包裝對照表 (Mapping Table)'!E:E,'FL5_POR_包裝對照表 (Mapping Table)'!C:C,"",0,1))</f>
        <v>Refurb</v>
      </c>
      <c r="H189" s="973" t="str">
        <f t="array" ref="H189">if(isblank(E189),"",xlookup(E189,'FL5_POR_包裝對照表 (Mapping Table)'!E:E,'FL5_POR_包裝對照表 (Mapping Table)'!D:D,"",0,1))</f>
        <v>Retail Pack</v>
      </c>
      <c r="I189" s="974" t="str">
        <f t="shared" si="2"/>
        <v>Close</v>
      </c>
      <c r="J189" s="975" t="str">
        <f t="array" ref="J189">if(isblank(E189),"",xlookup(E189,'FL5_POR_包裝對照表 (Mapping Table)'!E:E,'FL5_POR_包裝對照表 (Mapping Table)'!H:H,"",0,1))</f>
        <v>Sub6</v>
      </c>
      <c r="K189" s="972" t="str">
        <f t="array" ref="K189">if(isblank(E189),"",xlookup(E189,'FL5_POR_包裝對照表 (Mapping Table)'!E:E,'FL5_POR_包裝對照表 (Mapping Table)'!M:M,"",0,1))</f>
        <v>ROW</v>
      </c>
      <c r="L189" s="972" t="str">
        <f t="array" ref="L189">if(isblank(E189),"",xlookup(E189,'FL5_POR_包裝對照表 (Mapping Table)'!E:E,'FL5_POR_包裝對照表 (Mapping Table)'!AN:AN,"",0,1))</f>
        <v>TBD</v>
      </c>
      <c r="M189" s="972" t="str">
        <f t="array" ref="M189">if(isblank(E189),"",xlookup(E189,'FL5_POR_包裝對照表 (Mapping Table)'!E:E,'FL5_POR_包裝對照表 (Mapping Table)'!J:J,"",0,1))</f>
        <v>Frost</v>
      </c>
      <c r="N189" s="972" t="str">
        <f t="array" ref="N189">if(isblank(E189),"",xlookup(E189,'FL5_POR_包裝對照表 (Mapping Table)'!E:E,'FL5_POR_包裝對照表 (Mapping Table)'!K:K,"",0,1))</f>
        <v>PPL</v>
      </c>
      <c r="O189" s="976">
        <f t="array" ref="O189">xlookup(E189,'Ike 提供_20250505'!D:D,'Ike 提供_20250505'!N:N,"",0,1)</f>
        <v>447.91</v>
      </c>
      <c r="P189" s="976">
        <f t="array" ref="P189">xlookup(E189,'Ike 提供_20250505'!D:D,'Ike 提供_20250505'!O:O,"",0,1)</f>
        <v>429.52</v>
      </c>
      <c r="Q189" s="977" t="str">
        <f t="array" ref="Q189">xlookup(E189,'FL5_POR_包裝對照表 (Mapping Table)'!E:E,'FL5_POR_包裝對照表 (Mapping Table)'!BI:BI,"",0,1)</f>
        <v>PE 說不需建BOM</v>
      </c>
      <c r="R189" s="977">
        <v>45779.0</v>
      </c>
      <c r="S189" s="977">
        <f t="shared" si="3"/>
        <v>45785</v>
      </c>
      <c r="T189" s="977">
        <v>45782.0</v>
      </c>
      <c r="U189" s="978"/>
      <c r="V189" s="935"/>
      <c r="W189" s="978" t="str">
        <f t="array" ref="W189">if(isblank(E189),"",xlookup(E189,'FL5_POR_包裝對照表 (Mapping Table)'!E:E,'FL5_POR_包裝對照表 (Mapping Table)'!BM:BM,"",0,1))</f>
        <v>No demand</v>
      </c>
      <c r="X189" s="935"/>
      <c r="Y189" s="935"/>
      <c r="Z189" s="935"/>
      <c r="AA189" s="935"/>
    </row>
    <row r="190" ht="15.75" customHeight="1">
      <c r="A190" s="935"/>
      <c r="B190" s="970">
        <v>183.0</v>
      </c>
      <c r="C190" s="970" t="str">
        <f>if(isblank(E190),"",'FL5_POR_包裝對照表 (Mapping Table)'!$E$4)</f>
        <v>GFL (FL5)</v>
      </c>
      <c r="D190" s="970" t="str">
        <f t="array" ref="D190">IF(ISBLANK(E190),"",xlookup(E190,'FL5_POR_包裝對照表 (Mapping Table)'!E:E,'FL5_POR_包裝對照表 (Mapping Table)'!AZ:AZ,"",0,1))</f>
        <v>MP</v>
      </c>
      <c r="E190" s="971" t="s">
        <v>1316</v>
      </c>
      <c r="F190" s="167" t="str">
        <f t="array" ref="F190">if(isblank(E190),"",xlookup(E190,'FL5_POR_包裝對照表 (Mapping Table)'!E:E,'FL5_POR_包裝對照表 (Mapping Table)'!F:F,"",0,1))</f>
        <v>UK,DE, IT, ES, IE,FR, NO,SE,DK,NL, BE, AT, CH, PT, PL, SK,
CEE (CZ, RO, HU, SI, LV, LT, EE, FI)</v>
      </c>
      <c r="G190" s="972" t="str">
        <f t="array" ref="G190">if(isblank(E190),"",xlookup(E190,'FL5_POR_包裝對照表 (Mapping Table)'!E:E,'FL5_POR_包裝對照表 (Mapping Table)'!C:C,"",0,1))</f>
        <v>Refurb</v>
      </c>
      <c r="H190" s="973" t="str">
        <f t="array" ref="H190">if(isblank(E190),"",xlookup(E190,'FL5_POR_包裝對照表 (Mapping Table)'!E:E,'FL5_POR_包裝對照表 (Mapping Table)'!D:D,"",0,1))</f>
        <v>Retail Pack</v>
      </c>
      <c r="I190" s="974" t="str">
        <f t="shared" si="2"/>
        <v>Close</v>
      </c>
      <c r="J190" s="975" t="str">
        <f t="array" ref="J190">if(isblank(E190),"",xlookup(E190,'FL5_POR_包裝對照表 (Mapping Table)'!E:E,'FL5_POR_包裝對照表 (Mapping Table)'!H:H,"",0,1))</f>
        <v>Sub6</v>
      </c>
      <c r="K190" s="972" t="str">
        <f t="array" ref="K190">if(isblank(E190),"",xlookup(E190,'FL5_POR_包裝對照表 (Mapping Table)'!E:E,'FL5_POR_包裝對照表 (Mapping Table)'!M:M,"",0,1))</f>
        <v>ROW</v>
      </c>
      <c r="L190" s="972" t="str">
        <f t="array" ref="L190">if(isblank(E190),"",xlookup(E190,'FL5_POR_包裝對照表 (Mapping Table)'!E:E,'FL5_POR_包裝對照表 (Mapping Table)'!AN:AN,"",0,1))</f>
        <v>TBD</v>
      </c>
      <c r="M190" s="972" t="str">
        <f t="array" ref="M190">if(isblank(E190),"",xlookup(E190,'FL5_POR_包裝對照表 (Mapping Table)'!E:E,'FL5_POR_包裝對照表 (Mapping Table)'!J:J,"",0,1))</f>
        <v>Lemongrass</v>
      </c>
      <c r="N190" s="972" t="str">
        <f t="array" ref="N190">if(isblank(E190),"",xlookup(E190,'FL5_POR_包裝對照表 (Mapping Table)'!E:E,'FL5_POR_包裝對照表 (Mapping Table)'!K:K,"",0,1))</f>
        <v>YEL</v>
      </c>
      <c r="O190" s="976">
        <f t="array" ref="O190">xlookup(E190,'Ike 提供_20250505'!D:D,'Ike 提供_20250505'!N:N,"",0,1)</f>
        <v>436.6</v>
      </c>
      <c r="P190" s="976">
        <f t="array" ref="P190">xlookup(E190,'Ike 提供_20250505'!D:D,'Ike 提供_20250505'!O:O,"",0,1)</f>
        <v>429.62</v>
      </c>
      <c r="Q190" s="977" t="str">
        <f t="array" ref="Q190">xlookup(E190,'FL5_POR_包裝對照表 (Mapping Table)'!E:E,'FL5_POR_包裝對照表 (Mapping Table)'!BI:BI,"",0,1)</f>
        <v>PE 說不需建BOM</v>
      </c>
      <c r="R190" s="977">
        <v>45779.0</v>
      </c>
      <c r="S190" s="977">
        <f t="shared" si="3"/>
        <v>45785</v>
      </c>
      <c r="T190" s="977">
        <v>45782.0</v>
      </c>
      <c r="U190" s="978"/>
      <c r="V190" s="935"/>
      <c r="W190" s="978" t="str">
        <f t="array" ref="W190">if(isblank(E190),"",xlookup(E190,'FL5_POR_包裝對照表 (Mapping Table)'!E:E,'FL5_POR_包裝對照表 (Mapping Table)'!BM:BM,"",0,1))</f>
        <v>No demand</v>
      </c>
      <c r="X190" s="935"/>
      <c r="Y190" s="935"/>
      <c r="Z190" s="935"/>
      <c r="AA190" s="935"/>
    </row>
    <row r="191" ht="15.75" customHeight="1">
      <c r="A191" s="935"/>
      <c r="B191" s="970">
        <v>184.0</v>
      </c>
      <c r="C191" s="970" t="str">
        <f>if(isblank(E191),"",'FL5_POR_包裝對照表 (Mapping Table)'!$E$4)</f>
        <v>GFL (FL5)</v>
      </c>
      <c r="D191" s="970" t="str">
        <f t="array" ref="D191">IF(ISBLANK(E191),"",xlookup(E191,'FL5_POR_包裝對照表 (Mapping Table)'!E:E,'FL5_POR_包裝對照表 (Mapping Table)'!AZ:AZ,"",0,1))</f>
        <v>MP</v>
      </c>
      <c r="E191" s="971" t="s">
        <v>1318</v>
      </c>
      <c r="F191" s="167" t="str">
        <f t="array" ref="F191">if(isblank(E191),"",xlookup(E191,'FL5_POR_包裝對照表 (Mapping Table)'!E:E,'FL5_POR_包裝對照表 (Mapping Table)'!F:F,"",0,1))</f>
        <v>UK,DE, IT, ES, IE,FR, NO,SE,DK,NL, BE, AT, CH, PT, PL, SK,
CEE (CZ, RO, HU, SI, LV, LT, EE, FI)</v>
      </c>
      <c r="G191" s="972" t="str">
        <f t="array" ref="G191">if(isblank(E191),"",xlookup(E191,'FL5_POR_包裝對照表 (Mapping Table)'!E:E,'FL5_POR_包裝對照表 (Mapping Table)'!C:C,"",0,1))</f>
        <v>Refurb</v>
      </c>
      <c r="H191" s="973" t="str">
        <f t="array" ref="H191">if(isblank(E191),"",xlookup(E191,'FL5_POR_包裝對照表 (Mapping Table)'!E:E,'FL5_POR_包裝對照表 (Mapping Table)'!D:D,"",0,1))</f>
        <v>Retail Pack</v>
      </c>
      <c r="I191" s="974" t="str">
        <f t="shared" si="2"/>
        <v>Close</v>
      </c>
      <c r="J191" s="975" t="str">
        <f t="array" ref="J191">if(isblank(E191),"",xlookup(E191,'FL5_POR_包裝對照表 (Mapping Table)'!E:E,'FL5_POR_包裝對照表 (Mapping Table)'!H:H,"",0,1))</f>
        <v>Sub6</v>
      </c>
      <c r="K191" s="972" t="str">
        <f t="array" ref="K191">if(isblank(E191),"",xlookup(E191,'FL5_POR_包裝對照表 (Mapping Table)'!E:E,'FL5_POR_包裝對照表 (Mapping Table)'!M:M,"",0,1))</f>
        <v>ROW</v>
      </c>
      <c r="L191" s="972" t="str">
        <f t="array" ref="L191">if(isblank(E191),"",xlookup(E191,'FL5_POR_包裝對照表 (Mapping Table)'!E:E,'FL5_POR_包裝對照表 (Mapping Table)'!AN:AN,"",0,1))</f>
        <v>TBD</v>
      </c>
      <c r="M191" s="972" t="str">
        <f t="array" ref="M191">if(isblank(E191),"",xlookup(E191,'FL5_POR_包裝對照表 (Mapping Table)'!E:E,'FL5_POR_包裝對照表 (Mapping Table)'!J:J,"",0,1))</f>
        <v>Indigo</v>
      </c>
      <c r="N191" s="972" t="str">
        <f t="array" ref="N191">if(isblank(E191),"",xlookup(E191,'FL5_POR_包裝對照表 (Mapping Table)'!E:E,'FL5_POR_包裝對照表 (Mapping Table)'!K:K,"",0,1))</f>
        <v>BUE</v>
      </c>
      <c r="O191" s="976">
        <f t="array" ref="O191">xlookup(E191,'Ike 提供_20250505'!D:D,'Ike 提供_20250505'!N:N,"",0,1)</f>
        <v>436.6</v>
      </c>
      <c r="P191" s="976">
        <f t="array" ref="P191">xlookup(E191,'Ike 提供_20250505'!D:D,'Ike 提供_20250505'!O:O,"",0,1)</f>
        <v>429.62</v>
      </c>
      <c r="Q191" s="977" t="str">
        <f t="array" ref="Q191">xlookup(E191,'FL5_POR_包裝對照表 (Mapping Table)'!E:E,'FL5_POR_包裝對照表 (Mapping Table)'!BI:BI,"",0,1)</f>
        <v>PE 說不需建BOM</v>
      </c>
      <c r="R191" s="977">
        <v>45779.0</v>
      </c>
      <c r="S191" s="977">
        <f t="shared" si="3"/>
        <v>45785</v>
      </c>
      <c r="T191" s="977">
        <v>45782.0</v>
      </c>
      <c r="U191" s="978"/>
      <c r="V191" s="935"/>
      <c r="W191" s="978" t="str">
        <f t="array" ref="W191">if(isblank(E191),"",xlookup(E191,'FL5_POR_包裝對照表 (Mapping Table)'!E:E,'FL5_POR_包裝對照表 (Mapping Table)'!BM:BM,"",0,1))</f>
        <v>No demand</v>
      </c>
      <c r="X191" s="935"/>
      <c r="Y191" s="935"/>
      <c r="Z191" s="935"/>
      <c r="AA191" s="935"/>
    </row>
    <row r="192" ht="15.75" customHeight="1">
      <c r="A192" s="935"/>
      <c r="B192" s="970">
        <v>185.0</v>
      </c>
      <c r="C192" s="970" t="str">
        <f>if(isblank(E192),"",'FL5_POR_包裝對照表 (Mapping Table)'!$E$4)</f>
        <v>GFL (FL5)</v>
      </c>
      <c r="D192" s="970" t="str">
        <f t="array" ref="D192">IF(ISBLANK(E192),"",xlookup(E192,'FL5_POR_包裝對照表 (Mapping Table)'!E:E,'FL5_POR_包裝對照表 (Mapping Table)'!AZ:AZ,"",0,1))</f>
        <v>MP</v>
      </c>
      <c r="E192" s="971" t="s">
        <v>1320</v>
      </c>
      <c r="F192" s="167" t="str">
        <f t="array" ref="F192">if(isblank(E192),"",xlookup(E192,'FL5_POR_包裝對照表 (Mapping Table)'!E:E,'FL5_POR_包裝對照表 (Mapping Table)'!F:F,"",0,1))</f>
        <v>IN</v>
      </c>
      <c r="G192" s="972" t="str">
        <f t="array" ref="G192">if(isblank(E192),"",xlookup(E192,'FL5_POR_包裝對照表 (Mapping Table)'!E:E,'FL5_POR_包裝對照表 (Mapping Table)'!C:C,"",0,1))</f>
        <v>Refurb</v>
      </c>
      <c r="H192" s="973" t="str">
        <f t="array" ref="H192">if(isblank(E192),"",xlookup(E192,'FL5_POR_包裝對照表 (Mapping Table)'!E:E,'FL5_POR_包裝對照表 (Mapping Table)'!D:D,"",0,1))</f>
        <v>Retail Pack</v>
      </c>
      <c r="I192" s="974" t="str">
        <f t="shared" si="2"/>
        <v>Close</v>
      </c>
      <c r="J192" s="975" t="str">
        <f t="array" ref="J192">if(isblank(E192),"",xlookup(E192,'FL5_POR_包裝對照表 (Mapping Table)'!E:E,'FL5_POR_包裝對照表 (Mapping Table)'!H:H,"",0,1))</f>
        <v>Sub6</v>
      </c>
      <c r="K192" s="972" t="str">
        <f t="array" ref="K192">if(isblank(E192),"",xlookup(E192,'FL5_POR_包裝對照表 (Mapping Table)'!E:E,'FL5_POR_包裝對照表 (Mapping Table)'!M:M,"",0,1))</f>
        <v>ROW</v>
      </c>
      <c r="L192" s="972" t="str">
        <f t="array" ref="L192">if(isblank(E192),"",xlookup(E192,'FL5_POR_包裝對照表 (Mapping Table)'!E:E,'FL5_POR_包裝對照表 (Mapping Table)'!AN:AN,"",0,1))</f>
        <v>TBD</v>
      </c>
      <c r="M192" s="972" t="str">
        <f t="array" ref="M192">if(isblank(E192),"",xlookup(E192,'FL5_POR_包裝對照表 (Mapping Table)'!E:E,'FL5_POR_包裝對照表 (Mapping Table)'!J:J,"",0,1))</f>
        <v>Obsidian</v>
      </c>
      <c r="N192" s="972" t="str">
        <f t="array" ref="N192">if(isblank(E192),"",xlookup(E192,'FL5_POR_包裝對照表 (Mapping Table)'!E:E,'FL5_POR_包裝對照表 (Mapping Table)'!K:K,"",0,1))</f>
        <v>BLK</v>
      </c>
      <c r="O192" s="976">
        <f t="array" ref="O192">xlookup(E192,'Ike 提供_20250505'!D:D,'Ike 提供_20250505'!N:N,"",0,1)</f>
        <v>450.04</v>
      </c>
      <c r="P192" s="976">
        <f t="array" ref="P192">xlookup(E192,'Ike 提供_20250505'!D:D,'Ike 提供_20250505'!O:O,"",0,1)</f>
        <v>428.7</v>
      </c>
      <c r="Q192" s="977" t="str">
        <f t="array" ref="Q192">xlookup(E192,'FL5_POR_包裝對照表 (Mapping Table)'!E:E,'FL5_POR_包裝對照表 (Mapping Table)'!BI:BI,"",0,1)</f>
        <v>PE 說不需建BOM</v>
      </c>
      <c r="R192" s="977">
        <v>45779.0</v>
      </c>
      <c r="S192" s="977">
        <f t="shared" si="3"/>
        <v>45785</v>
      </c>
      <c r="T192" s="977">
        <v>45782.0</v>
      </c>
      <c r="U192" s="978"/>
      <c r="V192" s="935"/>
      <c r="W192" s="978" t="str">
        <f t="array" ref="W192">if(isblank(E192),"",xlookup(E192,'FL5_POR_包裝對照表 (Mapping Table)'!E:E,'FL5_POR_包裝對照表 (Mapping Table)'!BM:BM,"",0,1))</f>
        <v>No demand</v>
      </c>
      <c r="X192" s="935"/>
      <c r="Y192" s="935"/>
      <c r="Z192" s="935"/>
      <c r="AA192" s="935"/>
    </row>
    <row r="193" ht="15.75" customHeight="1">
      <c r="A193" s="935"/>
      <c r="B193" s="970">
        <v>186.0</v>
      </c>
      <c r="C193" s="970" t="str">
        <f>if(isblank(E193),"",'FL5_POR_包裝對照表 (Mapping Table)'!$E$4)</f>
        <v>GFL (FL5)</v>
      </c>
      <c r="D193" s="970" t="str">
        <f t="array" ref="D193">IF(ISBLANK(E193),"",xlookup(E193,'FL5_POR_包裝對照表 (Mapping Table)'!E:E,'FL5_POR_包裝對照表 (Mapping Table)'!AZ:AZ,"",0,1))</f>
        <v>MP</v>
      </c>
      <c r="E193" s="971" t="s">
        <v>1322</v>
      </c>
      <c r="F193" s="167" t="str">
        <f t="array" ref="F193">if(isblank(E193),"",xlookup(E193,'FL5_POR_包裝對照表 (Mapping Table)'!E:E,'FL5_POR_包裝對照表 (Mapping Table)'!F:F,"",0,1))</f>
        <v>IN</v>
      </c>
      <c r="G193" s="972" t="str">
        <f t="array" ref="G193">if(isblank(E193),"",xlookup(E193,'FL5_POR_包裝對照表 (Mapping Table)'!E:E,'FL5_POR_包裝對照表 (Mapping Table)'!C:C,"",0,1))</f>
        <v>Refurb</v>
      </c>
      <c r="H193" s="973" t="str">
        <f t="array" ref="H193">if(isblank(E193),"",xlookup(E193,'FL5_POR_包裝對照表 (Mapping Table)'!E:E,'FL5_POR_包裝對照表 (Mapping Table)'!D:D,"",0,1))</f>
        <v>Retail Pack</v>
      </c>
      <c r="I193" s="974" t="str">
        <f t="shared" si="2"/>
        <v>Close</v>
      </c>
      <c r="J193" s="975" t="str">
        <f t="array" ref="J193">if(isblank(E193),"",xlookup(E193,'FL5_POR_包裝對照表 (Mapping Table)'!E:E,'FL5_POR_包裝對照表 (Mapping Table)'!H:H,"",0,1))</f>
        <v>Sub6</v>
      </c>
      <c r="K193" s="972" t="str">
        <f t="array" ref="K193">if(isblank(E193),"",xlookup(E193,'FL5_POR_包裝對照表 (Mapping Table)'!E:E,'FL5_POR_包裝對照表 (Mapping Table)'!M:M,"",0,1))</f>
        <v>ROW</v>
      </c>
      <c r="L193" s="972" t="str">
        <f t="array" ref="L193">if(isblank(E193),"",xlookup(E193,'FL5_POR_包裝對照表 (Mapping Table)'!E:E,'FL5_POR_包裝對照表 (Mapping Table)'!AN:AN,"",0,1))</f>
        <v>TBD</v>
      </c>
      <c r="M193" s="972" t="str">
        <f t="array" ref="M193">if(isblank(E193),"",xlookup(E193,'FL5_POR_包裝對照表 (Mapping Table)'!E:E,'FL5_POR_包裝對照表 (Mapping Table)'!J:J,"",0,1))</f>
        <v>Frost</v>
      </c>
      <c r="N193" s="972" t="str">
        <f t="array" ref="N193">if(isblank(E193),"",xlookup(E193,'FL5_POR_包裝對照表 (Mapping Table)'!E:E,'FL5_POR_包裝對照表 (Mapping Table)'!K:K,"",0,1))</f>
        <v>PPL</v>
      </c>
      <c r="O193" s="976">
        <f t="array" ref="O193">xlookup(E193,'Ike 提供_20250505'!D:D,'Ike 提供_20250505'!N:N,"",0,1)</f>
        <v>435.98</v>
      </c>
      <c r="P193" s="976">
        <f t="array" ref="P193">xlookup(E193,'Ike 提供_20250505'!D:D,'Ike 提供_20250505'!O:O,"",0,1)</f>
        <v>429</v>
      </c>
      <c r="Q193" s="977" t="str">
        <f t="array" ref="Q193">xlookup(E193,'FL5_POR_包裝對照表 (Mapping Table)'!E:E,'FL5_POR_包裝對照表 (Mapping Table)'!BI:BI,"",0,1)</f>
        <v>PE 說不需建BOM</v>
      </c>
      <c r="R193" s="977">
        <v>45779.0</v>
      </c>
      <c r="S193" s="977">
        <f t="shared" si="3"/>
        <v>45785</v>
      </c>
      <c r="T193" s="977">
        <v>45782.0</v>
      </c>
      <c r="U193" s="978"/>
      <c r="V193" s="935"/>
      <c r="W193" s="978" t="str">
        <f t="array" ref="W193">if(isblank(E193),"",xlookup(E193,'FL5_POR_包裝對照表 (Mapping Table)'!E:E,'FL5_POR_包裝對照表 (Mapping Table)'!BM:BM,"",0,1))</f>
        <v>No demand</v>
      </c>
      <c r="X193" s="935"/>
      <c r="Y193" s="935"/>
      <c r="Z193" s="935"/>
      <c r="AA193" s="935"/>
    </row>
    <row r="194" ht="15.75" customHeight="1">
      <c r="A194" s="935"/>
      <c r="B194" s="970">
        <v>187.0</v>
      </c>
      <c r="C194" s="970" t="str">
        <f>if(isblank(E194),"",'FL5_POR_包裝對照表 (Mapping Table)'!$E$4)</f>
        <v>GFL (FL5)</v>
      </c>
      <c r="D194" s="970" t="str">
        <f t="array" ref="D194">IF(ISBLANK(E194),"",xlookup(E194,'FL5_POR_包裝對照表 (Mapping Table)'!E:E,'FL5_POR_包裝對照表 (Mapping Table)'!AZ:AZ,"",0,1))</f>
        <v>MP</v>
      </c>
      <c r="E194" s="971" t="s">
        <v>1324</v>
      </c>
      <c r="F194" s="167" t="str">
        <f t="array" ref="F194">if(isblank(E194),"",xlookup(E194,'FL5_POR_包裝對照表 (Mapping Table)'!E:E,'FL5_POR_包裝對照表 (Mapping Table)'!F:F,"",0,1))</f>
        <v>IN</v>
      </c>
      <c r="G194" s="972" t="str">
        <f t="array" ref="G194">if(isblank(E194),"",xlookup(E194,'FL5_POR_包裝對照表 (Mapping Table)'!E:E,'FL5_POR_包裝對照表 (Mapping Table)'!C:C,"",0,1))</f>
        <v>Refurb</v>
      </c>
      <c r="H194" s="973" t="str">
        <f t="array" ref="H194">if(isblank(E194),"",xlookup(E194,'FL5_POR_包裝對照表 (Mapping Table)'!E:E,'FL5_POR_包裝對照表 (Mapping Table)'!D:D,"",0,1))</f>
        <v>Retail Pack</v>
      </c>
      <c r="I194" s="974" t="str">
        <f t="shared" si="2"/>
        <v>Close</v>
      </c>
      <c r="J194" s="975" t="str">
        <f t="array" ref="J194">if(isblank(E194),"",xlookup(E194,'FL5_POR_包裝對照表 (Mapping Table)'!E:E,'FL5_POR_包裝對照表 (Mapping Table)'!H:H,"",0,1))</f>
        <v>Sub6</v>
      </c>
      <c r="K194" s="972" t="str">
        <f t="array" ref="K194">if(isblank(E194),"",xlookup(E194,'FL5_POR_包裝對照表 (Mapping Table)'!E:E,'FL5_POR_包裝對照表 (Mapping Table)'!M:M,"",0,1))</f>
        <v>ROW</v>
      </c>
      <c r="L194" s="972" t="str">
        <f t="array" ref="L194">if(isblank(E194),"",xlookup(E194,'FL5_POR_包裝對照表 (Mapping Table)'!E:E,'FL5_POR_包裝對照表 (Mapping Table)'!AN:AN,"",0,1))</f>
        <v>TBD</v>
      </c>
      <c r="M194" s="972" t="str">
        <f t="array" ref="M194">if(isblank(E194),"",xlookup(E194,'FL5_POR_包裝對照表 (Mapping Table)'!E:E,'FL5_POR_包裝對照表 (Mapping Table)'!J:J,"",0,1))</f>
        <v>Lemongrass</v>
      </c>
      <c r="N194" s="972" t="str">
        <f t="array" ref="N194">if(isblank(E194),"",xlookup(E194,'FL5_POR_包裝對照表 (Mapping Table)'!E:E,'FL5_POR_包裝對照表 (Mapping Table)'!K:K,"",0,1))</f>
        <v>YEL</v>
      </c>
      <c r="O194" s="976">
        <f t="array" ref="O194">xlookup(E194,'Ike 提供_20250505'!D:D,'Ike 提供_20250505'!N:N,"",0,1)</f>
        <v>451.09</v>
      </c>
      <c r="P194" s="976">
        <f t="array" ref="P194">xlookup(E194,'Ike 提供_20250505'!D:D,'Ike 提供_20250505'!O:O,"",0,1)</f>
        <v>429.1</v>
      </c>
      <c r="Q194" s="977" t="str">
        <f t="array" ref="Q194">xlookup(E194,'FL5_POR_包裝對照表 (Mapping Table)'!E:E,'FL5_POR_包裝對照表 (Mapping Table)'!BI:BI,"",0,1)</f>
        <v>PE 說不需建BOM</v>
      </c>
      <c r="R194" s="977">
        <v>45779.0</v>
      </c>
      <c r="S194" s="977">
        <f t="shared" si="3"/>
        <v>45785</v>
      </c>
      <c r="T194" s="977">
        <v>45782.0</v>
      </c>
      <c r="U194" s="978"/>
      <c r="V194" s="935"/>
      <c r="W194" s="978" t="str">
        <f t="array" ref="W194">if(isblank(E194),"",xlookup(E194,'FL5_POR_包裝對照表 (Mapping Table)'!E:E,'FL5_POR_包裝對照表 (Mapping Table)'!BM:BM,"",0,1))</f>
        <v>No demand</v>
      </c>
      <c r="X194" s="935"/>
      <c r="Y194" s="935"/>
      <c r="Z194" s="935"/>
      <c r="AA194" s="935"/>
    </row>
    <row r="195" ht="15.75" customHeight="1">
      <c r="A195" s="935"/>
      <c r="B195" s="970">
        <v>188.0</v>
      </c>
      <c r="C195" s="970" t="str">
        <f>if(isblank(E195),"",'FL5_POR_包裝對照表 (Mapping Table)'!$E$4)</f>
        <v>GFL (FL5)</v>
      </c>
      <c r="D195" s="970" t="str">
        <f t="array" ref="D195">IF(ISBLANK(E195),"",xlookup(E195,'FL5_POR_包裝對照表 (Mapping Table)'!E:E,'FL5_POR_包裝對照表 (Mapping Table)'!AZ:AZ,"",0,1))</f>
        <v>MP</v>
      </c>
      <c r="E195" s="971" t="s">
        <v>1326</v>
      </c>
      <c r="F195" s="167" t="str">
        <f t="array" ref="F195">if(isblank(E195),"",xlookup(E195,'FL5_POR_包裝對照表 (Mapping Table)'!E:E,'FL5_POR_包裝對照表 (Mapping Table)'!F:F,"",0,1))</f>
        <v>IN</v>
      </c>
      <c r="G195" s="972" t="str">
        <f t="array" ref="G195">if(isblank(E195),"",xlookup(E195,'FL5_POR_包裝對照表 (Mapping Table)'!E:E,'FL5_POR_包裝對照表 (Mapping Table)'!C:C,"",0,1))</f>
        <v>Refurb</v>
      </c>
      <c r="H195" s="973" t="str">
        <f t="array" ref="H195">if(isblank(E195),"",xlookup(E195,'FL5_POR_包裝對照表 (Mapping Table)'!E:E,'FL5_POR_包裝對照表 (Mapping Table)'!D:D,"",0,1))</f>
        <v>Retail Pack</v>
      </c>
      <c r="I195" s="974" t="str">
        <f t="shared" si="2"/>
        <v>Close</v>
      </c>
      <c r="J195" s="975" t="str">
        <f t="array" ref="J195">if(isblank(E195),"",xlookup(E195,'FL5_POR_包裝對照表 (Mapping Table)'!E:E,'FL5_POR_包裝對照表 (Mapping Table)'!H:H,"",0,1))</f>
        <v>Sub6</v>
      </c>
      <c r="K195" s="972" t="str">
        <f t="array" ref="K195">if(isblank(E195),"",xlookup(E195,'FL5_POR_包裝對照表 (Mapping Table)'!E:E,'FL5_POR_包裝對照表 (Mapping Table)'!M:M,"",0,1))</f>
        <v>ROW</v>
      </c>
      <c r="L195" s="972" t="str">
        <f t="array" ref="L195">if(isblank(E195),"",xlookup(E195,'FL5_POR_包裝對照表 (Mapping Table)'!E:E,'FL5_POR_包裝對照表 (Mapping Table)'!AN:AN,"",0,1))</f>
        <v>TBD</v>
      </c>
      <c r="M195" s="972" t="str">
        <f t="array" ref="M195">if(isblank(E195),"",xlookup(E195,'FL5_POR_包裝對照表 (Mapping Table)'!E:E,'FL5_POR_包裝對照表 (Mapping Table)'!J:J,"",0,1))</f>
        <v>Indigo</v>
      </c>
      <c r="N195" s="972" t="str">
        <f t="array" ref="N195">if(isblank(E195),"",xlookup(E195,'FL5_POR_包裝對照表 (Mapping Table)'!E:E,'FL5_POR_包裝對照表 (Mapping Table)'!K:K,"",0,1))</f>
        <v>BUE</v>
      </c>
      <c r="O195" s="976">
        <f t="array" ref="O195">xlookup(E195,'Ike 提供_20250505'!D:D,'Ike 提供_20250505'!N:N,"",0,1)</f>
        <v>436.08</v>
      </c>
      <c r="P195" s="976">
        <f t="array" ref="P195">xlookup(E195,'Ike 提供_20250505'!D:D,'Ike 提供_20250505'!O:O,"",0,1)</f>
        <v>429.1</v>
      </c>
      <c r="Q195" s="977" t="str">
        <f t="array" ref="Q195">xlookup(E195,'FL5_POR_包裝對照表 (Mapping Table)'!E:E,'FL5_POR_包裝對照表 (Mapping Table)'!BI:BI,"",0,1)</f>
        <v>PE 說不需建BOM</v>
      </c>
      <c r="R195" s="977">
        <v>45779.0</v>
      </c>
      <c r="S195" s="977">
        <f t="shared" si="3"/>
        <v>45785</v>
      </c>
      <c r="T195" s="977">
        <v>45782.0</v>
      </c>
      <c r="U195" s="978"/>
      <c r="V195" s="935"/>
      <c r="W195" s="978" t="str">
        <f t="array" ref="W195">if(isblank(E195),"",xlookup(E195,'FL5_POR_包裝對照表 (Mapping Table)'!E:E,'FL5_POR_包裝對照表 (Mapping Table)'!BM:BM,"",0,1))</f>
        <v>No demand</v>
      </c>
      <c r="X195" s="935"/>
      <c r="Y195" s="935"/>
      <c r="Z195" s="935"/>
      <c r="AA195" s="935"/>
    </row>
    <row r="196" ht="15.75" customHeight="1">
      <c r="A196" s="935"/>
      <c r="B196" s="970">
        <v>189.0</v>
      </c>
      <c r="C196" s="970" t="str">
        <f>if(isblank(E196),"",'FL5_POR_包裝對照表 (Mapping Table)'!$E$4)</f>
        <v>GFL (FL5)</v>
      </c>
      <c r="D196" s="970" t="str">
        <f t="array" ref="D196">IF(ISBLANK(E196),"",xlookup(E196,'FL5_POR_包裝對照表 (Mapping Table)'!E:E,'FL5_POR_包裝對照表 (Mapping Table)'!AZ:AZ,"",0,1))</f>
        <v>MP</v>
      </c>
      <c r="E196" s="971" t="s">
        <v>1328</v>
      </c>
      <c r="F196" s="167" t="str">
        <f t="array" ref="F196">if(isblank(E196),"",xlookup(E196,'FL5_POR_包裝對照表 (Mapping Table)'!E:E,'FL5_POR_包裝對照表 (Mapping Table)'!F:F,"",0,1))</f>
        <v>JP</v>
      </c>
      <c r="G196" s="972" t="str">
        <f t="array" ref="G196">if(isblank(E196),"",xlookup(E196,'FL5_POR_包裝對照表 (Mapping Table)'!E:E,'FL5_POR_包裝對照表 (Mapping Table)'!C:C,"",0,1))</f>
        <v>Refurb</v>
      </c>
      <c r="H196" s="973" t="str">
        <f t="array" ref="H196">if(isblank(E196),"",xlookup(E196,'FL5_POR_包裝對照表 (Mapping Table)'!E:E,'FL5_POR_包裝對照表 (Mapping Table)'!D:D,"",0,1))</f>
        <v>Retail Pack</v>
      </c>
      <c r="I196" s="974" t="str">
        <f t="shared" si="2"/>
        <v>Close</v>
      </c>
      <c r="J196" s="975" t="str">
        <f t="array" ref="J196">if(isblank(E196),"",xlookup(E196,'FL5_POR_包裝對照表 (Mapping Table)'!E:E,'FL5_POR_包裝對照表 (Mapping Table)'!H:H,"",0,1))</f>
        <v>JPN</v>
      </c>
      <c r="K196" s="972" t="str">
        <f t="array" ref="K196">if(isblank(E196),"",xlookup(E196,'FL5_POR_包裝對照表 (Mapping Table)'!E:E,'FL5_POR_包裝對照表 (Mapping Table)'!M:M,"",0,1))</f>
        <v>JPN</v>
      </c>
      <c r="L196" s="972" t="str">
        <f t="array" ref="L196">if(isblank(E196),"",xlookup(E196,'FL5_POR_包裝對照表 (Mapping Table)'!E:E,'FL5_POR_包裝對照表 (Mapping Table)'!AN:AN,"",0,1))</f>
        <v>TBD</v>
      </c>
      <c r="M196" s="972" t="str">
        <f t="array" ref="M196">if(isblank(E196),"",xlookup(E196,'FL5_POR_包裝對照表 (Mapping Table)'!E:E,'FL5_POR_包裝對照表 (Mapping Table)'!J:J,"",0,1))</f>
        <v>Obsidian</v>
      </c>
      <c r="N196" s="972" t="str">
        <f t="array" ref="N196">if(isblank(E196),"",xlookup(E196,'FL5_POR_包裝對照表 (Mapping Table)'!E:E,'FL5_POR_包裝對照表 (Mapping Table)'!K:K,"",0,1))</f>
        <v>BLK</v>
      </c>
      <c r="O196" s="976">
        <f t="array" ref="O196">xlookup(E196,'Ike 提供_20250505'!D:D,'Ike 提供_20250505'!N:N,"",0,1)</f>
        <v>435.67</v>
      </c>
      <c r="P196" s="976">
        <f t="array" ref="P196">xlookup(E196,'Ike 提供_20250505'!D:D,'Ike 提供_20250505'!O:O,"",0,1)</f>
        <v>428.69</v>
      </c>
      <c r="Q196" s="977" t="str">
        <f t="array" ref="Q196">xlookup(E196,'FL5_POR_包裝對照表 (Mapping Table)'!E:E,'FL5_POR_包裝對照表 (Mapping Table)'!BI:BI,"",0,1)</f>
        <v>PE 說不需建BOM</v>
      </c>
      <c r="R196" s="977">
        <v>45779.0</v>
      </c>
      <c r="S196" s="977">
        <f t="shared" si="3"/>
        <v>45785</v>
      </c>
      <c r="T196" s="977">
        <v>45782.0</v>
      </c>
      <c r="U196" s="978"/>
      <c r="V196" s="935"/>
      <c r="W196" s="978" t="str">
        <f t="array" ref="W196">if(isblank(E196),"",xlookup(E196,'FL5_POR_包裝對照表 (Mapping Table)'!E:E,'FL5_POR_包裝對照表 (Mapping Table)'!BM:BM,"",0,1))</f>
        <v>No demand</v>
      </c>
      <c r="X196" s="935"/>
      <c r="Y196" s="935"/>
      <c r="Z196" s="935"/>
      <c r="AA196" s="935"/>
    </row>
    <row r="197" ht="15.75" customHeight="1">
      <c r="A197" s="935"/>
      <c r="B197" s="970">
        <v>190.0</v>
      </c>
      <c r="C197" s="970" t="str">
        <f>if(isblank(E197),"",'FL5_POR_包裝對照表 (Mapping Table)'!$E$4)</f>
        <v>GFL (FL5)</v>
      </c>
      <c r="D197" s="970" t="str">
        <f t="array" ref="D197">IF(ISBLANK(E197),"",xlookup(E197,'FL5_POR_包裝對照表 (Mapping Table)'!E:E,'FL5_POR_包裝對照表 (Mapping Table)'!AZ:AZ,"",0,1))</f>
        <v>MP</v>
      </c>
      <c r="E197" s="971" t="s">
        <v>1330</v>
      </c>
      <c r="F197" s="167" t="str">
        <f t="array" ref="F197">if(isblank(E197),"",xlookup(E197,'FL5_POR_包裝對照表 (Mapping Table)'!E:E,'FL5_POR_包裝對照表 (Mapping Table)'!F:F,"",0,1))</f>
        <v>JP</v>
      </c>
      <c r="G197" s="972" t="str">
        <f t="array" ref="G197">if(isblank(E197),"",xlookup(E197,'FL5_POR_包裝對照表 (Mapping Table)'!E:E,'FL5_POR_包裝對照表 (Mapping Table)'!C:C,"",0,1))</f>
        <v>Refurb</v>
      </c>
      <c r="H197" s="973" t="str">
        <f t="array" ref="H197">if(isblank(E197),"",xlookup(E197,'FL5_POR_包裝對照表 (Mapping Table)'!E:E,'FL5_POR_包裝對照表 (Mapping Table)'!D:D,"",0,1))</f>
        <v>Retail Pack</v>
      </c>
      <c r="I197" s="974" t="str">
        <f t="shared" si="2"/>
        <v>Close</v>
      </c>
      <c r="J197" s="975" t="str">
        <f t="array" ref="J197">if(isblank(E197),"",xlookup(E197,'FL5_POR_包裝對照表 (Mapping Table)'!E:E,'FL5_POR_包裝對照表 (Mapping Table)'!H:H,"",0,1))</f>
        <v>JPN</v>
      </c>
      <c r="K197" s="972" t="str">
        <f t="array" ref="K197">if(isblank(E197),"",xlookup(E197,'FL5_POR_包裝對照表 (Mapping Table)'!E:E,'FL5_POR_包裝對照表 (Mapping Table)'!M:M,"",0,1))</f>
        <v>JPN</v>
      </c>
      <c r="L197" s="972" t="str">
        <f t="array" ref="L197">if(isblank(E197),"",xlookup(E197,'FL5_POR_包裝對照表 (Mapping Table)'!E:E,'FL5_POR_包裝對照表 (Mapping Table)'!AN:AN,"",0,1))</f>
        <v>TBD</v>
      </c>
      <c r="M197" s="972" t="str">
        <f t="array" ref="M197">if(isblank(E197),"",xlookup(E197,'FL5_POR_包裝對照表 (Mapping Table)'!E:E,'FL5_POR_包裝對照表 (Mapping Table)'!J:J,"",0,1))</f>
        <v>Frost</v>
      </c>
      <c r="N197" s="972" t="str">
        <f t="array" ref="N197">if(isblank(E197),"",xlookup(E197,'FL5_POR_包裝對照表 (Mapping Table)'!E:E,'FL5_POR_包裝對照表 (Mapping Table)'!K:K,"",0,1))</f>
        <v>PPL</v>
      </c>
      <c r="O197" s="976">
        <f t="array" ref="O197">xlookup(E197,'Ike 提供_20250505'!D:D,'Ike 提供_20250505'!N:N,"",0,1)</f>
        <v>435.97</v>
      </c>
      <c r="P197" s="976">
        <f t="array" ref="P197">xlookup(E197,'Ike 提供_20250505'!D:D,'Ike 提供_20250505'!O:O,"",0,1)</f>
        <v>428.99</v>
      </c>
      <c r="Q197" s="977" t="str">
        <f t="array" ref="Q197">xlookup(E197,'FL5_POR_包裝對照表 (Mapping Table)'!E:E,'FL5_POR_包裝對照表 (Mapping Table)'!BI:BI,"",0,1)</f>
        <v>PE 說不需建BOM</v>
      </c>
      <c r="R197" s="977">
        <v>45779.0</v>
      </c>
      <c r="S197" s="977">
        <f t="shared" si="3"/>
        <v>45785</v>
      </c>
      <c r="T197" s="977">
        <v>45782.0</v>
      </c>
      <c r="U197" s="978"/>
      <c r="V197" s="935"/>
      <c r="W197" s="978" t="str">
        <f t="array" ref="W197">if(isblank(E197),"",xlookup(E197,'FL5_POR_包裝對照表 (Mapping Table)'!E:E,'FL5_POR_包裝對照表 (Mapping Table)'!BM:BM,"",0,1))</f>
        <v>No demand</v>
      </c>
      <c r="X197" s="935"/>
      <c r="Y197" s="935"/>
      <c r="Z197" s="935"/>
      <c r="AA197" s="935"/>
    </row>
    <row r="198" ht="15.75" customHeight="1">
      <c r="A198" s="935"/>
      <c r="B198" s="970">
        <v>191.0</v>
      </c>
      <c r="C198" s="970" t="str">
        <f>if(isblank(E198),"",'FL5_POR_包裝對照表 (Mapping Table)'!$E$4)</f>
        <v>GFL (FL5)</v>
      </c>
      <c r="D198" s="970" t="str">
        <f t="array" ref="D198">IF(ISBLANK(E198),"",xlookup(E198,'FL5_POR_包裝對照表 (Mapping Table)'!E:E,'FL5_POR_包裝對照表 (Mapping Table)'!AZ:AZ,"",0,1))</f>
        <v>MP</v>
      </c>
      <c r="E198" s="971" t="s">
        <v>1332</v>
      </c>
      <c r="F198" s="167" t="str">
        <f t="array" ref="F198">if(isblank(E198),"",xlookup(E198,'FL5_POR_包裝對照表 (Mapping Table)'!E:E,'FL5_POR_包裝對照表 (Mapping Table)'!F:F,"",0,1))</f>
        <v>JP</v>
      </c>
      <c r="G198" s="972" t="str">
        <f t="array" ref="G198">if(isblank(E198),"",xlookup(E198,'FL5_POR_包裝對照表 (Mapping Table)'!E:E,'FL5_POR_包裝對照表 (Mapping Table)'!C:C,"",0,1))</f>
        <v>Refurb</v>
      </c>
      <c r="H198" s="973" t="str">
        <f t="array" ref="H198">if(isblank(E198),"",xlookup(E198,'FL5_POR_包裝對照表 (Mapping Table)'!E:E,'FL5_POR_包裝對照表 (Mapping Table)'!D:D,"",0,1))</f>
        <v>Retail Pack</v>
      </c>
      <c r="I198" s="974" t="str">
        <f t="shared" si="2"/>
        <v>Close</v>
      </c>
      <c r="J198" s="975" t="str">
        <f t="array" ref="J198">if(isblank(E198),"",xlookup(E198,'FL5_POR_包裝對照表 (Mapping Table)'!E:E,'FL5_POR_包裝對照表 (Mapping Table)'!H:H,"",0,1))</f>
        <v>JPN</v>
      </c>
      <c r="K198" s="972" t="str">
        <f t="array" ref="K198">if(isblank(E198),"",xlookup(E198,'FL5_POR_包裝對照表 (Mapping Table)'!E:E,'FL5_POR_包裝對照表 (Mapping Table)'!M:M,"",0,1))</f>
        <v>JPN</v>
      </c>
      <c r="L198" s="972" t="str">
        <f t="array" ref="L198">if(isblank(E198),"",xlookup(E198,'FL5_POR_包裝對照表 (Mapping Table)'!E:E,'FL5_POR_包裝對照表 (Mapping Table)'!AN:AN,"",0,1))</f>
        <v>TBD</v>
      </c>
      <c r="M198" s="972" t="str">
        <f t="array" ref="M198">if(isblank(E198),"",xlookup(E198,'FL5_POR_包裝對照表 (Mapping Table)'!E:E,'FL5_POR_包裝對照表 (Mapping Table)'!J:J,"",0,1))</f>
        <v>Lemongrass</v>
      </c>
      <c r="N198" s="972" t="str">
        <f t="array" ref="N198">if(isblank(E198),"",xlookup(E198,'FL5_POR_包裝對照表 (Mapping Table)'!E:E,'FL5_POR_包裝對照表 (Mapping Table)'!K:K,"",0,1))</f>
        <v>YEL</v>
      </c>
      <c r="O198" s="976">
        <f t="array" ref="O198">xlookup(E198,'Ike 提供_20250505'!D:D,'Ike 提供_20250505'!N:N,"",0,1)</f>
        <v>436.07</v>
      </c>
      <c r="P198" s="976">
        <f t="array" ref="P198">xlookup(E198,'Ike 提供_20250505'!D:D,'Ike 提供_20250505'!O:O,"",0,1)</f>
        <v>429.09</v>
      </c>
      <c r="Q198" s="977" t="str">
        <f t="array" ref="Q198">xlookup(E198,'FL5_POR_包裝對照表 (Mapping Table)'!E:E,'FL5_POR_包裝對照表 (Mapping Table)'!BI:BI,"",0,1)</f>
        <v>PE 說不需建BOM</v>
      </c>
      <c r="R198" s="977">
        <v>45779.0</v>
      </c>
      <c r="S198" s="977">
        <f t="shared" si="3"/>
        <v>45785</v>
      </c>
      <c r="T198" s="977">
        <v>45782.0</v>
      </c>
      <c r="U198" s="978"/>
      <c r="V198" s="935"/>
      <c r="W198" s="978" t="str">
        <f t="array" ref="W198">if(isblank(E198),"",xlookup(E198,'FL5_POR_包裝對照表 (Mapping Table)'!E:E,'FL5_POR_包裝對照表 (Mapping Table)'!BM:BM,"",0,1))</f>
        <v>No demand</v>
      </c>
      <c r="X198" s="935"/>
      <c r="Y198" s="935"/>
      <c r="Z198" s="935"/>
      <c r="AA198" s="935"/>
    </row>
    <row r="199" ht="15.75" customHeight="1">
      <c r="A199" s="935"/>
      <c r="B199" s="970">
        <v>192.0</v>
      </c>
      <c r="C199" s="970" t="str">
        <f>if(isblank(E199),"",'FL5_POR_包裝對照表 (Mapping Table)'!$E$4)</f>
        <v>GFL (FL5)</v>
      </c>
      <c r="D199" s="970" t="str">
        <f t="array" ref="D199">IF(ISBLANK(E199),"",xlookup(E199,'FL5_POR_包裝對照表 (Mapping Table)'!E:E,'FL5_POR_包裝對照表 (Mapping Table)'!AZ:AZ,"",0,1))</f>
        <v>MP</v>
      </c>
      <c r="E199" s="971" t="s">
        <v>1334</v>
      </c>
      <c r="F199" s="167" t="str">
        <f t="array" ref="F199">if(isblank(E199),"",xlookup(E199,'FL5_POR_包裝對照表 (Mapping Table)'!E:E,'FL5_POR_包裝對照表 (Mapping Table)'!F:F,"",0,1))</f>
        <v>JP</v>
      </c>
      <c r="G199" s="972" t="str">
        <f t="array" ref="G199">if(isblank(E199),"",xlookup(E199,'FL5_POR_包裝對照表 (Mapping Table)'!E:E,'FL5_POR_包裝對照表 (Mapping Table)'!C:C,"",0,1))</f>
        <v>Refurb</v>
      </c>
      <c r="H199" s="973" t="str">
        <f t="array" ref="H199">if(isblank(E199),"",xlookup(E199,'FL5_POR_包裝對照表 (Mapping Table)'!E:E,'FL5_POR_包裝對照表 (Mapping Table)'!D:D,"",0,1))</f>
        <v>Retail Pack</v>
      </c>
      <c r="I199" s="974" t="str">
        <f t="shared" si="2"/>
        <v>Close</v>
      </c>
      <c r="J199" s="975" t="str">
        <f t="array" ref="J199">if(isblank(E199),"",xlookup(E199,'FL5_POR_包裝對照表 (Mapping Table)'!E:E,'FL5_POR_包裝對照表 (Mapping Table)'!H:H,"",0,1))</f>
        <v>JPN</v>
      </c>
      <c r="K199" s="972" t="str">
        <f t="array" ref="K199">if(isblank(E199),"",xlookup(E199,'FL5_POR_包裝對照表 (Mapping Table)'!E:E,'FL5_POR_包裝對照表 (Mapping Table)'!M:M,"",0,1))</f>
        <v>JPN</v>
      </c>
      <c r="L199" s="972" t="str">
        <f t="array" ref="L199">if(isblank(E199),"",xlookup(E199,'FL5_POR_包裝對照表 (Mapping Table)'!E:E,'FL5_POR_包裝對照表 (Mapping Table)'!AN:AN,"",0,1))</f>
        <v>TBD</v>
      </c>
      <c r="M199" s="972" t="str">
        <f t="array" ref="M199">if(isblank(E199),"",xlookup(E199,'FL5_POR_包裝對照表 (Mapping Table)'!E:E,'FL5_POR_包裝對照表 (Mapping Table)'!J:J,"",0,1))</f>
        <v>Indigo</v>
      </c>
      <c r="N199" s="972" t="str">
        <f t="array" ref="N199">if(isblank(E199),"",xlookup(E199,'FL5_POR_包裝對照表 (Mapping Table)'!E:E,'FL5_POR_包裝對照表 (Mapping Table)'!K:K,"",0,1))</f>
        <v>BUE</v>
      </c>
      <c r="O199" s="976">
        <f t="array" ref="O199">xlookup(E199,'Ike 提供_20250505'!D:D,'Ike 提供_20250505'!N:N,"",0,1)</f>
        <v>436.07</v>
      </c>
      <c r="P199" s="976">
        <f t="array" ref="P199">xlookup(E199,'Ike 提供_20250505'!D:D,'Ike 提供_20250505'!O:O,"",0,1)</f>
        <v>429.09</v>
      </c>
      <c r="Q199" s="977" t="str">
        <f t="array" ref="Q199">xlookup(E199,'FL5_POR_包裝對照表 (Mapping Table)'!E:E,'FL5_POR_包裝對照表 (Mapping Table)'!BI:BI,"",0,1)</f>
        <v>PE 說不需建BOM</v>
      </c>
      <c r="R199" s="977">
        <v>45779.0</v>
      </c>
      <c r="S199" s="977">
        <f t="shared" si="3"/>
        <v>45785</v>
      </c>
      <c r="T199" s="977">
        <v>45782.0</v>
      </c>
      <c r="U199" s="978"/>
      <c r="V199" s="935"/>
      <c r="W199" s="978" t="str">
        <f t="array" ref="W199">if(isblank(E199),"",xlookup(E199,'FL5_POR_包裝對照表 (Mapping Table)'!E:E,'FL5_POR_包裝對照表 (Mapping Table)'!BM:BM,"",0,1))</f>
        <v>No demand</v>
      </c>
      <c r="X199" s="935"/>
      <c r="Y199" s="935"/>
      <c r="Z199" s="935"/>
      <c r="AA199" s="935"/>
    </row>
    <row r="200" ht="15.75" customHeight="1">
      <c r="A200" s="935"/>
      <c r="B200" s="970">
        <v>193.0</v>
      </c>
      <c r="C200" s="970" t="str">
        <f>if(isblank(E200),"",'FL5_POR_包裝對照表 (Mapping Table)'!$E$4)</f>
        <v>GFL (FL5)</v>
      </c>
      <c r="D200" s="970" t="s">
        <v>278</v>
      </c>
      <c r="E200" s="980" t="s">
        <v>2081</v>
      </c>
      <c r="F200" s="154" t="s">
        <v>2082</v>
      </c>
      <c r="G200" s="970" t="s">
        <v>2192</v>
      </c>
      <c r="H200" s="982" t="s">
        <v>764</v>
      </c>
      <c r="I200" s="974" t="str">
        <f t="shared" si="2"/>
        <v>Close</v>
      </c>
      <c r="J200" s="975"/>
      <c r="K200" s="972" t="str">
        <f t="array" ref="K200">if(isblank(E200),"",xlookup(E200,'FL5_POR_包裝對照表 (Mapping Table)'!E:E,'FL5_POR_包裝對照表 (Mapping Table)'!M:M,"",0,1))</f>
        <v/>
      </c>
      <c r="L200" s="972" t="str">
        <f t="array" ref="L200">if(isblank(E200),"",xlookup(E200,'FL5_POR_包裝對照表 (Mapping Table)'!E:E,'FL5_POR_包裝對照表 (Mapping Table)'!AN:AN,"",0,1))</f>
        <v/>
      </c>
      <c r="M200" s="972" t="str">
        <f t="array" ref="M200">if(isblank(E200),"",xlookup(E200,'FL5_POR_包裝對照表 (Mapping Table)'!E:E,'FL5_POR_包裝對照表 (Mapping Table)'!J:J,"",0,1))</f>
        <v/>
      </c>
      <c r="N200" s="970" t="s">
        <v>1367</v>
      </c>
      <c r="O200" s="976">
        <f t="array" ref="O200">xlookup(E200,'Ike 提供_20250505'!D:D,'Ike 提供_20250505'!N:N,"",0,1)</f>
        <v>22.27</v>
      </c>
      <c r="P200" s="976" t="str">
        <f t="array" ref="P200">xlookup(E200,'Ike 提供_20250505'!D:D,'Ike 提供_20250505'!O:O,"",0,1)</f>
        <v>NA</v>
      </c>
      <c r="Q200" s="977" t="str">
        <f t="array" ref="Q200">xlookup(E200,'FL5_POR_包裝對照表 (Mapping Table)'!E:E,'FL5_POR_包裝對照表 (Mapping Table)'!BI:BI,"",0,1)</f>
        <v/>
      </c>
      <c r="R200" s="983">
        <v>45789.0</v>
      </c>
      <c r="S200" s="983">
        <v>45790.0</v>
      </c>
      <c r="T200" s="983">
        <v>45791.0</v>
      </c>
      <c r="U200" s="978"/>
      <c r="V200" s="935"/>
      <c r="W200" s="972" t="str">
        <f t="array" ref="W200">if(isblank(E200),"",xlookup(E200,'FL5_POR_包裝對照表 (Mapping Table)'!E:E,'FL5_POR_包裝對照表 (Mapping Table)'!BM:BM,"",0,1))</f>
        <v/>
      </c>
      <c r="X200" s="935"/>
      <c r="Y200" s="935"/>
      <c r="Z200" s="935"/>
      <c r="AA200" s="935"/>
    </row>
    <row r="201" ht="15.75" customHeight="1">
      <c r="A201" s="935"/>
      <c r="B201" s="970">
        <v>194.0</v>
      </c>
      <c r="C201" s="970" t="str">
        <f>if(isblank(E201),"",'FL5_POR_包裝對照表 (Mapping Table)'!$E$4)</f>
        <v>GFL (FL5)</v>
      </c>
      <c r="D201" s="970" t="s">
        <v>278</v>
      </c>
      <c r="E201" s="980" t="s">
        <v>2084</v>
      </c>
      <c r="F201" s="154" t="s">
        <v>2082</v>
      </c>
      <c r="G201" s="970" t="s">
        <v>2192</v>
      </c>
      <c r="H201" s="982" t="s">
        <v>764</v>
      </c>
      <c r="I201" s="974" t="str">
        <f t="shared" si="2"/>
        <v>Close</v>
      </c>
      <c r="J201" s="975"/>
      <c r="K201" s="972" t="str">
        <f t="array" ref="K201">if(isblank(E201),"",xlookup(E201,'FL5_POR_包裝對照表 (Mapping Table)'!E:E,'FL5_POR_包裝對照表 (Mapping Table)'!M:M,"",0,1))</f>
        <v/>
      </c>
      <c r="L201" s="972" t="str">
        <f t="array" ref="L201">if(isblank(E201),"",xlookup(E201,'FL5_POR_包裝對照表 (Mapping Table)'!E:E,'FL5_POR_包裝對照表 (Mapping Table)'!AN:AN,"",0,1))</f>
        <v/>
      </c>
      <c r="M201" s="972" t="str">
        <f t="array" ref="M201">if(isblank(E201),"",xlookup(E201,'FL5_POR_包裝對照表 (Mapping Table)'!E:E,'FL5_POR_包裝對照表 (Mapping Table)'!J:J,"",0,1))</f>
        <v/>
      </c>
      <c r="N201" s="970" t="s">
        <v>1594</v>
      </c>
      <c r="O201" s="976">
        <f t="array" ref="O201">xlookup(E201,'Ike 提供_20250505'!D:D,'Ike 提供_20250505'!N:N,"",0,1)</f>
        <v>22.57</v>
      </c>
      <c r="P201" s="976" t="str">
        <f t="array" ref="P201">xlookup(E201,'Ike 提供_20250505'!D:D,'Ike 提供_20250505'!O:O,"",0,1)</f>
        <v>NA</v>
      </c>
      <c r="Q201" s="977" t="str">
        <f t="array" ref="Q201">xlookup(E201,'FL5_POR_包裝對照表 (Mapping Table)'!E:E,'FL5_POR_包裝對照表 (Mapping Table)'!BI:BI,"",0,1)</f>
        <v/>
      </c>
      <c r="R201" s="983">
        <v>45789.0</v>
      </c>
      <c r="S201" s="983">
        <v>45790.0</v>
      </c>
      <c r="T201" s="983">
        <v>45791.0</v>
      </c>
      <c r="U201" s="978"/>
      <c r="V201" s="935"/>
      <c r="W201" s="972" t="str">
        <f t="array" ref="W201">if(isblank(E201),"",xlookup(E201,'FL5_POR_包裝對照表 (Mapping Table)'!E:E,'FL5_POR_包裝對照表 (Mapping Table)'!BM:BM,"",0,1))</f>
        <v/>
      </c>
      <c r="X201" s="935"/>
      <c r="Y201" s="935"/>
      <c r="Z201" s="935"/>
      <c r="AA201" s="935"/>
    </row>
    <row r="202" ht="15.75" customHeight="1">
      <c r="A202" s="935"/>
      <c r="B202" s="970">
        <v>195.0</v>
      </c>
      <c r="C202" s="970" t="str">
        <f>if(isblank(E202),"",'FL5_POR_包裝對照表 (Mapping Table)'!$E$4)</f>
        <v>GFL (FL5)</v>
      </c>
      <c r="D202" s="970" t="s">
        <v>278</v>
      </c>
      <c r="E202" s="980" t="s">
        <v>2086</v>
      </c>
      <c r="F202" s="154" t="s">
        <v>2082</v>
      </c>
      <c r="G202" s="970" t="s">
        <v>2192</v>
      </c>
      <c r="H202" s="982" t="s">
        <v>764</v>
      </c>
      <c r="I202" s="974" t="str">
        <f t="shared" si="2"/>
        <v>Close</v>
      </c>
      <c r="J202" s="975"/>
      <c r="K202" s="972" t="str">
        <f t="array" ref="K202">if(isblank(E202),"",xlookup(E202,'FL5_POR_包裝對照表 (Mapping Table)'!E:E,'FL5_POR_包裝對照表 (Mapping Table)'!M:M,"",0,1))</f>
        <v/>
      </c>
      <c r="L202" s="972" t="str">
        <f t="array" ref="L202">if(isblank(E202),"",xlookup(E202,'FL5_POR_包裝對照表 (Mapping Table)'!E:E,'FL5_POR_包裝對照表 (Mapping Table)'!AN:AN,"",0,1))</f>
        <v/>
      </c>
      <c r="M202" s="972" t="str">
        <f t="array" ref="M202">if(isblank(E202),"",xlookup(E202,'FL5_POR_包裝對照表 (Mapping Table)'!E:E,'FL5_POR_包裝對照表 (Mapping Table)'!J:J,"",0,1))</f>
        <v/>
      </c>
      <c r="N202" s="970" t="s">
        <v>1604</v>
      </c>
      <c r="O202" s="976">
        <f t="array" ref="O202">xlookup(E202,'Ike 提供_20250505'!D:D,'Ike 提供_20250505'!N:N,"",0,1)</f>
        <v>22.67</v>
      </c>
      <c r="P202" s="976" t="str">
        <f t="array" ref="P202">xlookup(E202,'Ike 提供_20250505'!D:D,'Ike 提供_20250505'!O:O,"",0,1)</f>
        <v>NA</v>
      </c>
      <c r="Q202" s="977" t="str">
        <f t="array" ref="Q202">xlookup(E202,'FL5_POR_包裝對照表 (Mapping Table)'!E:E,'FL5_POR_包裝對照表 (Mapping Table)'!BI:BI,"",0,1)</f>
        <v/>
      </c>
      <c r="R202" s="983">
        <v>45789.0</v>
      </c>
      <c r="S202" s="983">
        <v>45790.0</v>
      </c>
      <c r="T202" s="983">
        <v>45791.0</v>
      </c>
      <c r="U202" s="978"/>
      <c r="V202" s="935"/>
      <c r="W202" s="972" t="str">
        <f t="array" ref="W202">if(isblank(E202),"",xlookup(E202,'FL5_POR_包裝對照表 (Mapping Table)'!E:E,'FL5_POR_包裝對照表 (Mapping Table)'!BM:BM,"",0,1))</f>
        <v/>
      </c>
      <c r="X202" s="935"/>
      <c r="Y202" s="935"/>
      <c r="Z202" s="935"/>
      <c r="AA202" s="935"/>
    </row>
    <row r="203" ht="15.75" customHeight="1">
      <c r="A203" s="935"/>
      <c r="B203" s="970">
        <v>196.0</v>
      </c>
      <c r="C203" s="970" t="str">
        <f>if(isblank(E203),"",'FL5_POR_包裝對照表 (Mapping Table)'!$E$4)</f>
        <v>GFL (FL5)</v>
      </c>
      <c r="D203" s="970" t="s">
        <v>278</v>
      </c>
      <c r="E203" s="980" t="s">
        <v>2088</v>
      </c>
      <c r="F203" s="154" t="s">
        <v>2082</v>
      </c>
      <c r="G203" s="970" t="s">
        <v>2192</v>
      </c>
      <c r="H203" s="982" t="s">
        <v>764</v>
      </c>
      <c r="I203" s="974" t="str">
        <f t="shared" si="2"/>
        <v>Close</v>
      </c>
      <c r="J203" s="975"/>
      <c r="K203" s="972" t="str">
        <f t="array" ref="K203">if(isblank(E203),"",xlookup(E203,'FL5_POR_包裝對照表 (Mapping Table)'!E:E,'FL5_POR_包裝對照表 (Mapping Table)'!M:M,"",0,1))</f>
        <v/>
      </c>
      <c r="L203" s="972" t="str">
        <f t="array" ref="L203">if(isblank(E203),"",xlookup(E203,'FL5_POR_包裝對照表 (Mapping Table)'!E:E,'FL5_POR_包裝對照表 (Mapping Table)'!AN:AN,"",0,1))</f>
        <v/>
      </c>
      <c r="M203" s="972" t="str">
        <f t="array" ref="M203">if(isblank(E203),"",xlookup(E203,'FL5_POR_包裝對照表 (Mapping Table)'!E:E,'FL5_POR_包裝對照表 (Mapping Table)'!J:J,"",0,1))</f>
        <v/>
      </c>
      <c r="N203" s="970" t="s">
        <v>1339</v>
      </c>
      <c r="O203" s="976">
        <f t="array" ref="O203">xlookup(E203,'Ike 提供_20250505'!D:D,'Ike 提供_20250505'!N:N,"",0,1)</f>
        <v>22.67</v>
      </c>
      <c r="P203" s="976" t="str">
        <f t="array" ref="P203">xlookup(E203,'Ike 提供_20250505'!D:D,'Ike 提供_20250505'!O:O,"",0,1)</f>
        <v>NA</v>
      </c>
      <c r="Q203" s="977" t="str">
        <f t="array" ref="Q203">xlookup(E203,'FL5_POR_包裝對照表 (Mapping Table)'!E:E,'FL5_POR_包裝對照表 (Mapping Table)'!BI:BI,"",0,1)</f>
        <v/>
      </c>
      <c r="R203" s="983">
        <v>45789.0</v>
      </c>
      <c r="S203" s="983">
        <v>45790.0</v>
      </c>
      <c r="T203" s="983">
        <v>45791.0</v>
      </c>
      <c r="U203" s="978"/>
      <c r="V203" s="935"/>
      <c r="W203" s="972" t="str">
        <f t="array" ref="W203">if(isblank(E203),"",xlookup(E203,'FL5_POR_包裝對照表 (Mapping Table)'!E:E,'FL5_POR_包裝對照表 (Mapping Table)'!BM:BM,"",0,1))</f>
        <v/>
      </c>
      <c r="X203" s="935"/>
      <c r="Y203" s="935"/>
      <c r="Z203" s="935"/>
      <c r="AA203" s="935"/>
    </row>
    <row r="204" ht="15.75" customHeight="1">
      <c r="A204" s="935"/>
      <c r="B204" s="970">
        <v>197.0</v>
      </c>
      <c r="C204" s="970" t="str">
        <f>if(isblank(E204),"",'FL5_POR_包裝對照表 (Mapping Table)'!$E$4)</f>
        <v>GFL (FL5)</v>
      </c>
      <c r="D204" s="970" t="s">
        <v>278</v>
      </c>
      <c r="E204" s="980" t="s">
        <v>2090</v>
      </c>
      <c r="F204" s="154" t="s">
        <v>2091</v>
      </c>
      <c r="G204" s="970" t="s">
        <v>2193</v>
      </c>
      <c r="H204" s="982" t="s">
        <v>764</v>
      </c>
      <c r="I204" s="974" t="str">
        <f t="shared" si="2"/>
        <v>Close</v>
      </c>
      <c r="J204" s="975"/>
      <c r="K204" s="972" t="str">
        <f t="array" ref="K204">if(isblank(E204),"",xlookup(E204,'FL5_POR_包裝對照表 (Mapping Table)'!E:E,'FL5_POR_包裝對照表 (Mapping Table)'!M:M,"",0,1))</f>
        <v/>
      </c>
      <c r="L204" s="972" t="str">
        <f t="array" ref="L204">if(isblank(E204),"",xlookup(E204,'FL5_POR_包裝對照表 (Mapping Table)'!E:E,'FL5_POR_包裝對照表 (Mapping Table)'!AN:AN,"",0,1))</f>
        <v/>
      </c>
      <c r="M204" s="972" t="str">
        <f t="array" ref="M204">if(isblank(E204),"",xlookup(E204,'FL5_POR_包裝對照表 (Mapping Table)'!E:E,'FL5_POR_包裝對照表 (Mapping Table)'!J:J,"",0,1))</f>
        <v/>
      </c>
      <c r="N204" s="970" t="s">
        <v>1367</v>
      </c>
      <c r="O204" s="976">
        <f t="array" ref="O204">xlookup(E204,'Ike 提供_20250505'!D:D,'Ike 提供_20250505'!N:N,"",0,1)</f>
        <v>4.55</v>
      </c>
      <c r="P204" s="976" t="str">
        <f t="array" ref="P204">xlookup(E204,'Ike 提供_20250505'!D:D,'Ike 提供_20250505'!O:O,"",0,1)</f>
        <v>NA</v>
      </c>
      <c r="Q204" s="977" t="str">
        <f t="array" ref="Q204">xlookup(E204,'FL5_POR_包裝對照表 (Mapping Table)'!E:E,'FL5_POR_包裝對照表 (Mapping Table)'!BI:BI,"",0,1)</f>
        <v/>
      </c>
      <c r="R204" s="983">
        <v>45789.0</v>
      </c>
      <c r="S204" s="983">
        <v>45790.0</v>
      </c>
      <c r="T204" s="983">
        <v>45791.0</v>
      </c>
      <c r="U204" s="978"/>
      <c r="V204" s="935"/>
      <c r="W204" s="972" t="str">
        <f t="array" ref="W204">if(isblank(E204),"",xlookup(E204,'FL5_POR_包裝對照表 (Mapping Table)'!E:E,'FL5_POR_包裝對照表 (Mapping Table)'!BM:BM,"",0,1))</f>
        <v/>
      </c>
      <c r="X204" s="935"/>
      <c r="Y204" s="935"/>
      <c r="Z204" s="935"/>
      <c r="AA204" s="935"/>
    </row>
    <row r="205" ht="15.75" customHeight="1">
      <c r="A205" s="935"/>
      <c r="B205" s="970">
        <v>198.0</v>
      </c>
      <c r="C205" s="970" t="str">
        <f>if(isblank(E205),"",'FL5_POR_包裝對照表 (Mapping Table)'!$E$4)</f>
        <v>GFL (FL5)</v>
      </c>
      <c r="D205" s="970" t="s">
        <v>278</v>
      </c>
      <c r="E205" s="980" t="s">
        <v>2094</v>
      </c>
      <c r="F205" s="154" t="s">
        <v>2091</v>
      </c>
      <c r="G205" s="970" t="s">
        <v>2193</v>
      </c>
      <c r="H205" s="982" t="s">
        <v>764</v>
      </c>
      <c r="I205" s="974" t="str">
        <f t="shared" si="2"/>
        <v>Close</v>
      </c>
      <c r="J205" s="975"/>
      <c r="K205" s="972" t="str">
        <f t="array" ref="K205">if(isblank(E205),"",xlookup(E205,'FL5_POR_包裝對照表 (Mapping Table)'!E:E,'FL5_POR_包裝對照表 (Mapping Table)'!M:M,"",0,1))</f>
        <v/>
      </c>
      <c r="L205" s="972" t="str">
        <f t="array" ref="L205">if(isblank(E205),"",xlookup(E205,'FL5_POR_包裝對照表 (Mapping Table)'!E:E,'FL5_POR_包裝對照表 (Mapping Table)'!AN:AN,"",0,1))</f>
        <v/>
      </c>
      <c r="M205" s="972" t="str">
        <f t="array" ref="M205">if(isblank(E205),"",xlookup(E205,'FL5_POR_包裝對照表 (Mapping Table)'!E:E,'FL5_POR_包裝對照表 (Mapping Table)'!J:J,"",0,1))</f>
        <v/>
      </c>
      <c r="N205" s="970" t="s">
        <v>1594</v>
      </c>
      <c r="O205" s="976">
        <f t="array" ref="O205">xlookup(E205,'Ike 提供_20250505'!D:D,'Ike 提供_20250505'!N:N,"",0,1)</f>
        <v>4.85</v>
      </c>
      <c r="P205" s="976" t="str">
        <f t="array" ref="P205">xlookup(E205,'Ike 提供_20250505'!D:D,'Ike 提供_20250505'!O:O,"",0,1)</f>
        <v>NA</v>
      </c>
      <c r="Q205" s="977" t="str">
        <f t="array" ref="Q205">xlookup(E205,'FL5_POR_包裝對照表 (Mapping Table)'!E:E,'FL5_POR_包裝對照表 (Mapping Table)'!BI:BI,"",0,1)</f>
        <v/>
      </c>
      <c r="R205" s="983">
        <v>45789.0</v>
      </c>
      <c r="S205" s="983">
        <v>45790.0</v>
      </c>
      <c r="T205" s="983">
        <v>45791.0</v>
      </c>
      <c r="U205" s="978"/>
      <c r="V205" s="935"/>
      <c r="W205" s="972" t="str">
        <f t="array" ref="W205">if(isblank(E205),"",xlookup(E205,'FL5_POR_包裝對照表 (Mapping Table)'!E:E,'FL5_POR_包裝對照表 (Mapping Table)'!BM:BM,"",0,1))</f>
        <v/>
      </c>
      <c r="X205" s="935"/>
      <c r="Y205" s="935"/>
      <c r="Z205" s="935"/>
      <c r="AA205" s="935"/>
    </row>
    <row r="206" ht="15.75" customHeight="1">
      <c r="A206" s="935"/>
      <c r="B206" s="970">
        <v>199.0</v>
      </c>
      <c r="C206" s="970" t="str">
        <f>if(isblank(E206),"",'FL5_POR_包裝對照表 (Mapping Table)'!$E$4)</f>
        <v>GFL (FL5)</v>
      </c>
      <c r="D206" s="970" t="s">
        <v>278</v>
      </c>
      <c r="E206" s="980" t="s">
        <v>2096</v>
      </c>
      <c r="F206" s="154" t="s">
        <v>2091</v>
      </c>
      <c r="G206" s="970" t="s">
        <v>2193</v>
      </c>
      <c r="H206" s="982" t="s">
        <v>764</v>
      </c>
      <c r="I206" s="974" t="str">
        <f t="shared" si="2"/>
        <v>Close</v>
      </c>
      <c r="J206" s="975"/>
      <c r="K206" s="972" t="str">
        <f t="array" ref="K206">if(isblank(E206),"",xlookup(E206,'FL5_POR_包裝對照表 (Mapping Table)'!E:E,'FL5_POR_包裝對照表 (Mapping Table)'!M:M,"",0,1))</f>
        <v/>
      </c>
      <c r="L206" s="972" t="str">
        <f t="array" ref="L206">if(isblank(E206),"",xlookup(E206,'FL5_POR_包裝對照表 (Mapping Table)'!E:E,'FL5_POR_包裝對照表 (Mapping Table)'!AN:AN,"",0,1))</f>
        <v/>
      </c>
      <c r="M206" s="972" t="str">
        <f t="array" ref="M206">if(isblank(E206),"",xlookup(E206,'FL5_POR_包裝對照表 (Mapping Table)'!E:E,'FL5_POR_包裝對照表 (Mapping Table)'!J:J,"",0,1))</f>
        <v/>
      </c>
      <c r="N206" s="970" t="s">
        <v>1604</v>
      </c>
      <c r="O206" s="976">
        <f t="array" ref="O206">xlookup(E206,'Ike 提供_20250505'!D:D,'Ike 提供_20250505'!N:N,"",0,1)</f>
        <v>4.95</v>
      </c>
      <c r="P206" s="976" t="str">
        <f t="array" ref="P206">xlookup(E206,'Ike 提供_20250505'!D:D,'Ike 提供_20250505'!O:O,"",0,1)</f>
        <v>NA</v>
      </c>
      <c r="Q206" s="977" t="str">
        <f t="array" ref="Q206">xlookup(E206,'FL5_POR_包裝對照表 (Mapping Table)'!E:E,'FL5_POR_包裝對照表 (Mapping Table)'!BI:BI,"",0,1)</f>
        <v/>
      </c>
      <c r="R206" s="983">
        <v>45789.0</v>
      </c>
      <c r="S206" s="983">
        <v>45790.0</v>
      </c>
      <c r="T206" s="983">
        <v>45791.0</v>
      </c>
      <c r="U206" s="978"/>
      <c r="V206" s="935"/>
      <c r="W206" s="972" t="str">
        <f t="array" ref="W206">if(isblank(E206),"",xlookup(E206,'FL5_POR_包裝對照表 (Mapping Table)'!E:E,'FL5_POR_包裝對照表 (Mapping Table)'!BM:BM,"",0,1))</f>
        <v/>
      </c>
      <c r="X206" s="935"/>
      <c r="Y206" s="935"/>
      <c r="Z206" s="935"/>
      <c r="AA206" s="935"/>
    </row>
    <row r="207" ht="15.75" customHeight="1">
      <c r="A207" s="935"/>
      <c r="B207" s="970">
        <v>200.0</v>
      </c>
      <c r="C207" s="970" t="str">
        <f>if(isblank(E207),"",'FL5_POR_包裝對照表 (Mapping Table)'!$E$4)</f>
        <v>GFL (FL5)</v>
      </c>
      <c r="D207" s="970" t="s">
        <v>278</v>
      </c>
      <c r="E207" s="980" t="s">
        <v>2098</v>
      </c>
      <c r="F207" s="154" t="s">
        <v>2091</v>
      </c>
      <c r="G207" s="970" t="s">
        <v>2193</v>
      </c>
      <c r="H207" s="982" t="s">
        <v>764</v>
      </c>
      <c r="I207" s="974" t="str">
        <f t="shared" si="2"/>
        <v>Close</v>
      </c>
      <c r="J207" s="975"/>
      <c r="K207" s="972" t="str">
        <f t="array" ref="K207">if(isblank(E207),"",xlookup(E207,'FL5_POR_包裝對照表 (Mapping Table)'!E:E,'FL5_POR_包裝對照表 (Mapping Table)'!M:M,"",0,1))</f>
        <v/>
      </c>
      <c r="L207" s="972" t="str">
        <f t="array" ref="L207">if(isblank(E207),"",xlookup(E207,'FL5_POR_包裝對照表 (Mapping Table)'!E:E,'FL5_POR_包裝對照表 (Mapping Table)'!AN:AN,"",0,1))</f>
        <v/>
      </c>
      <c r="M207" s="972" t="str">
        <f t="array" ref="M207">if(isblank(E207),"",xlookup(E207,'FL5_POR_包裝對照表 (Mapping Table)'!E:E,'FL5_POR_包裝對照表 (Mapping Table)'!J:J,"",0,1))</f>
        <v/>
      </c>
      <c r="N207" s="970" t="s">
        <v>1339</v>
      </c>
      <c r="O207" s="976">
        <f t="array" ref="O207">xlookup(E207,'Ike 提供_20250505'!D:D,'Ike 提供_20250505'!N:N,"",0,1)</f>
        <v>4.95</v>
      </c>
      <c r="P207" s="976" t="str">
        <f t="array" ref="P207">xlookup(E207,'Ike 提供_20250505'!D:D,'Ike 提供_20250505'!O:O,"",0,1)</f>
        <v>NA</v>
      </c>
      <c r="Q207" s="977" t="str">
        <f t="array" ref="Q207">xlookup(E207,'FL5_POR_包裝對照表 (Mapping Table)'!E:E,'FL5_POR_包裝對照表 (Mapping Table)'!BI:BI,"",0,1)</f>
        <v/>
      </c>
      <c r="R207" s="983">
        <v>45789.0</v>
      </c>
      <c r="S207" s="983">
        <v>45790.0</v>
      </c>
      <c r="T207" s="983">
        <v>45791.0</v>
      </c>
      <c r="U207" s="978"/>
      <c r="V207" s="935"/>
      <c r="W207" s="972" t="str">
        <f t="array" ref="W207">if(isblank(E207),"",xlookup(E207,'FL5_POR_包裝對照表 (Mapping Table)'!E:E,'FL5_POR_包裝對照表 (Mapping Table)'!BM:BM,"",0,1))</f>
        <v/>
      </c>
      <c r="X207" s="935"/>
      <c r="Y207" s="935"/>
      <c r="Z207" s="935"/>
      <c r="AA207" s="935"/>
    </row>
    <row r="208" ht="15.75" customHeight="1">
      <c r="A208" s="935"/>
      <c r="B208" s="970">
        <v>201.0</v>
      </c>
      <c r="C208" s="970" t="str">
        <f>if(isblank(E208),"",'FL5_POR_包裝對照表 (Mapping Table)'!$E$4)</f>
        <v>GFL (FL5)</v>
      </c>
      <c r="D208" s="970" t="s">
        <v>278</v>
      </c>
      <c r="E208" s="980" t="s">
        <v>2100</v>
      </c>
      <c r="F208" s="154" t="s">
        <v>2101</v>
      </c>
      <c r="G208" s="970" t="s">
        <v>2194</v>
      </c>
      <c r="H208" s="982" t="s">
        <v>764</v>
      </c>
      <c r="I208" s="974" t="str">
        <f t="shared" si="2"/>
        <v>Close</v>
      </c>
      <c r="J208" s="975"/>
      <c r="K208" s="972" t="str">
        <f t="array" ref="K208">if(isblank(E208),"",xlookup(E208,'FL5_POR_包裝對照表 (Mapping Table)'!E:E,'FL5_POR_包裝對照表 (Mapping Table)'!M:M,"",0,1))</f>
        <v/>
      </c>
      <c r="L208" s="972" t="str">
        <f t="array" ref="L208">if(isblank(E208),"",xlookup(E208,'FL5_POR_包裝對照表 (Mapping Table)'!E:E,'FL5_POR_包裝對照表 (Mapping Table)'!AN:AN,"",0,1))</f>
        <v/>
      </c>
      <c r="M208" s="972" t="str">
        <f t="array" ref="M208">if(isblank(E208),"",xlookup(E208,'FL5_POR_包裝對照表 (Mapping Table)'!E:E,'FL5_POR_包裝對照表 (Mapping Table)'!J:J,"",0,1))</f>
        <v/>
      </c>
      <c r="N208" s="972"/>
      <c r="O208" s="976">
        <f t="array" ref="O208">xlookup(E208,'Ike 提供_20250505'!D:D,'Ike 提供_20250505'!N:N,"",0,1)</f>
        <v>19.84</v>
      </c>
      <c r="P208" s="976" t="str">
        <f t="array" ref="P208">xlookup(E208,'Ike 提供_20250505'!D:D,'Ike 提供_20250505'!O:O,"",0,1)</f>
        <v>NA</v>
      </c>
      <c r="Q208" s="977" t="str">
        <f t="array" ref="Q208">xlookup(E208,'FL5_POR_包裝對照表 (Mapping Table)'!E:E,'FL5_POR_包裝對照表 (Mapping Table)'!BI:BI,"",0,1)</f>
        <v/>
      </c>
      <c r="R208" s="983">
        <v>45813.0</v>
      </c>
      <c r="S208" s="983">
        <v>45814.0</v>
      </c>
      <c r="T208" s="983">
        <v>45817.0</v>
      </c>
      <c r="U208" s="978"/>
      <c r="V208" s="935"/>
      <c r="W208" s="972" t="str">
        <f t="array" ref="W208">if(isblank(E208),"",xlookup(E208,'FL5_POR_包裝對照表 (Mapping Table)'!E:E,'FL5_POR_包裝對照表 (Mapping Table)'!BM:BM,"",0,1))</f>
        <v/>
      </c>
      <c r="X208" s="935"/>
      <c r="Y208" s="935"/>
      <c r="Z208" s="935"/>
      <c r="AA208" s="935"/>
    </row>
    <row r="209" ht="15.75" customHeight="1">
      <c r="A209" s="935"/>
      <c r="B209" s="970">
        <v>202.0</v>
      </c>
      <c r="C209" s="970" t="str">
        <f>if(isblank(E209),"",'FL5_POR_包裝對照表 (Mapping Table)'!$E$4)</f>
        <v>GFL (FL5)</v>
      </c>
      <c r="D209" s="970" t="s">
        <v>278</v>
      </c>
      <c r="E209" s="980" t="s">
        <v>2103</v>
      </c>
      <c r="F209" s="154" t="s">
        <v>2104</v>
      </c>
      <c r="G209" s="970" t="s">
        <v>2192</v>
      </c>
      <c r="H209" s="982" t="s">
        <v>764</v>
      </c>
      <c r="I209" s="974" t="str">
        <f t="shared" si="2"/>
        <v>Close</v>
      </c>
      <c r="J209" s="975"/>
      <c r="K209" s="972" t="str">
        <f t="array" ref="K209">if(isblank(E209),"",xlookup(E209,'FL5_POR_包裝對照表 (Mapping Table)'!E:E,'FL5_POR_包裝對照表 (Mapping Table)'!M:M,"",0,1))</f>
        <v/>
      </c>
      <c r="L209" s="972" t="str">
        <f t="array" ref="L209">if(isblank(E209),"",xlookup(E209,'FL5_POR_包裝對照表 (Mapping Table)'!E:E,'FL5_POR_包裝對照表 (Mapping Table)'!AN:AN,"",0,1))</f>
        <v/>
      </c>
      <c r="M209" s="972" t="str">
        <f t="array" ref="M209">if(isblank(E209),"",xlookup(E209,'FL5_POR_包裝對照表 (Mapping Table)'!E:E,'FL5_POR_包裝對照表 (Mapping Table)'!J:J,"",0,1))</f>
        <v/>
      </c>
      <c r="N209" s="970" t="s">
        <v>1367</v>
      </c>
      <c r="O209" s="976">
        <f t="array" ref="O209">xlookup(E209,'Ike 提供_20250505'!D:D,'Ike 提供_20250505'!N:N,"",0,1)</f>
        <v>23.42</v>
      </c>
      <c r="P209" s="976" t="str">
        <f t="array" ref="P209">xlookup(E209,'Ike 提供_20250505'!D:D,'Ike 提供_20250505'!O:O,"",0,1)</f>
        <v>NA</v>
      </c>
      <c r="Q209" s="977" t="str">
        <f t="array" ref="Q209">xlookup(E209,'FL5_POR_包裝對照表 (Mapping Table)'!E:E,'FL5_POR_包裝對照表 (Mapping Table)'!BI:BI,"",0,1)</f>
        <v/>
      </c>
      <c r="R209" s="983">
        <v>45813.0</v>
      </c>
      <c r="S209" s="983">
        <v>45814.0</v>
      </c>
      <c r="T209" s="983">
        <v>45817.0</v>
      </c>
      <c r="U209" s="978"/>
      <c r="V209" s="935"/>
      <c r="W209" s="972" t="str">
        <f t="array" ref="W209">if(isblank(E209),"",xlookup(E209,'FL5_POR_包裝對照表 (Mapping Table)'!E:E,'FL5_POR_包裝對照表 (Mapping Table)'!BM:BM,"",0,1))</f>
        <v/>
      </c>
      <c r="X209" s="935"/>
      <c r="Y209" s="935"/>
      <c r="Z209" s="935"/>
      <c r="AA209" s="935"/>
    </row>
    <row r="210" ht="15.75" customHeight="1">
      <c r="A210" s="935"/>
      <c r="B210" s="970">
        <v>203.0</v>
      </c>
      <c r="C210" s="970" t="str">
        <f>if(isblank(E210),"",'FL5_POR_包裝對照表 (Mapping Table)'!$E$4)</f>
        <v>GFL (FL5)</v>
      </c>
      <c r="D210" s="970" t="s">
        <v>278</v>
      </c>
      <c r="E210" s="980" t="s">
        <v>2106</v>
      </c>
      <c r="F210" s="154" t="s">
        <v>2104</v>
      </c>
      <c r="G210" s="970" t="s">
        <v>2192</v>
      </c>
      <c r="H210" s="982" t="s">
        <v>764</v>
      </c>
      <c r="I210" s="974" t="str">
        <f t="shared" si="2"/>
        <v>Close</v>
      </c>
      <c r="J210" s="975"/>
      <c r="K210" s="972" t="str">
        <f t="array" ref="K210">if(isblank(E210),"",xlookup(E210,'FL5_POR_包裝對照表 (Mapping Table)'!E:E,'FL5_POR_包裝對照表 (Mapping Table)'!M:M,"",0,1))</f>
        <v/>
      </c>
      <c r="L210" s="972" t="str">
        <f t="array" ref="L210">if(isblank(E210),"",xlookup(E210,'FL5_POR_包裝對照表 (Mapping Table)'!E:E,'FL5_POR_包裝對照表 (Mapping Table)'!AN:AN,"",0,1))</f>
        <v/>
      </c>
      <c r="M210" s="972" t="str">
        <f t="array" ref="M210">if(isblank(E210),"",xlookup(E210,'FL5_POR_包裝對照表 (Mapping Table)'!E:E,'FL5_POR_包裝對照表 (Mapping Table)'!J:J,"",0,1))</f>
        <v/>
      </c>
      <c r="N210" s="970" t="s">
        <v>1594</v>
      </c>
      <c r="O210" s="976">
        <f t="array" ref="O210">xlookup(E210,'Ike 提供_20250505'!D:D,'Ike 提供_20250505'!N:N,"",0,1)</f>
        <v>23.88</v>
      </c>
      <c r="P210" s="976" t="str">
        <f t="array" ref="P210">xlookup(E210,'Ike 提供_20250505'!D:D,'Ike 提供_20250505'!O:O,"",0,1)</f>
        <v>NA</v>
      </c>
      <c r="Q210" s="977" t="str">
        <f t="array" ref="Q210">xlookup(E210,'FL5_POR_包裝對照表 (Mapping Table)'!E:E,'FL5_POR_包裝對照表 (Mapping Table)'!BI:BI,"",0,1)</f>
        <v/>
      </c>
      <c r="R210" s="983">
        <v>45813.0</v>
      </c>
      <c r="S210" s="983">
        <v>45814.0</v>
      </c>
      <c r="T210" s="983">
        <v>45817.0</v>
      </c>
      <c r="U210" s="978"/>
      <c r="V210" s="935"/>
      <c r="W210" s="972" t="str">
        <f t="array" ref="W210">if(isblank(E210),"",xlookup(E210,'FL5_POR_包裝對照表 (Mapping Table)'!E:E,'FL5_POR_包裝對照表 (Mapping Table)'!BM:BM,"",0,1))</f>
        <v/>
      </c>
      <c r="X210" s="935"/>
      <c r="Y210" s="935"/>
      <c r="Z210" s="935"/>
      <c r="AA210" s="935"/>
    </row>
    <row r="211" ht="15.75" customHeight="1">
      <c r="A211" s="935"/>
      <c r="B211" s="970">
        <v>204.0</v>
      </c>
      <c r="C211" s="970" t="str">
        <f>if(isblank(E211),"",'FL5_POR_包裝對照表 (Mapping Table)'!$E$4)</f>
        <v>GFL (FL5)</v>
      </c>
      <c r="D211" s="970" t="s">
        <v>278</v>
      </c>
      <c r="E211" s="980" t="s">
        <v>2107</v>
      </c>
      <c r="F211" s="154" t="s">
        <v>2104</v>
      </c>
      <c r="G211" s="970" t="s">
        <v>2192</v>
      </c>
      <c r="H211" s="982" t="s">
        <v>764</v>
      </c>
      <c r="I211" s="974" t="str">
        <f t="shared" si="2"/>
        <v>Close</v>
      </c>
      <c r="J211" s="975"/>
      <c r="K211" s="972" t="str">
        <f t="array" ref="K211">if(isblank(E211),"",xlookup(E211,'FL5_POR_包裝對照表 (Mapping Table)'!E:E,'FL5_POR_包裝對照表 (Mapping Table)'!M:M,"",0,1))</f>
        <v/>
      </c>
      <c r="L211" s="972" t="str">
        <f t="array" ref="L211">if(isblank(E211),"",xlookup(E211,'FL5_POR_包裝對照表 (Mapping Table)'!E:E,'FL5_POR_包裝對照表 (Mapping Table)'!AN:AN,"",0,1))</f>
        <v/>
      </c>
      <c r="M211" s="972" t="str">
        <f t="array" ref="M211">if(isblank(E211),"",xlookup(E211,'FL5_POR_包裝對照表 (Mapping Table)'!E:E,'FL5_POR_包裝對照表 (Mapping Table)'!J:J,"",0,1))</f>
        <v/>
      </c>
      <c r="N211" s="970" t="s">
        <v>1604</v>
      </c>
      <c r="O211" s="976">
        <f t="array" ref="O211">xlookup(E211,'Ike 提供_20250505'!D:D,'Ike 提供_20250505'!N:N,"",0,1)</f>
        <v>23.66</v>
      </c>
      <c r="P211" s="976" t="str">
        <f t="array" ref="P211">xlookup(E211,'Ike 提供_20250505'!D:D,'Ike 提供_20250505'!O:O,"",0,1)</f>
        <v>NA</v>
      </c>
      <c r="Q211" s="977" t="str">
        <f t="array" ref="Q211">xlookup(E211,'FL5_POR_包裝對照表 (Mapping Table)'!E:E,'FL5_POR_包裝對照表 (Mapping Table)'!BI:BI,"",0,1)</f>
        <v/>
      </c>
      <c r="R211" s="983">
        <v>45813.0</v>
      </c>
      <c r="S211" s="983">
        <v>45814.0</v>
      </c>
      <c r="T211" s="983">
        <v>45817.0</v>
      </c>
      <c r="U211" s="978"/>
      <c r="V211" s="935"/>
      <c r="W211" s="972" t="str">
        <f t="array" ref="W211">if(isblank(E211),"",xlookup(E211,'FL5_POR_包裝對照表 (Mapping Table)'!E:E,'FL5_POR_包裝對照表 (Mapping Table)'!BM:BM,"",0,1))</f>
        <v/>
      </c>
      <c r="X211" s="935"/>
      <c r="Y211" s="935"/>
      <c r="Z211" s="935"/>
      <c r="AA211" s="935"/>
    </row>
    <row r="212" ht="15.75" customHeight="1">
      <c r="A212" s="935"/>
      <c r="B212" s="970">
        <v>205.0</v>
      </c>
      <c r="C212" s="970" t="str">
        <f>if(isblank(E212),"",'FL5_POR_包裝對照表 (Mapping Table)'!$E$4)</f>
        <v>GFL (FL5)</v>
      </c>
      <c r="D212" s="970" t="s">
        <v>278</v>
      </c>
      <c r="E212" s="980" t="s">
        <v>2108</v>
      </c>
      <c r="F212" s="154" t="s">
        <v>2104</v>
      </c>
      <c r="G212" s="970" t="s">
        <v>2192</v>
      </c>
      <c r="H212" s="982" t="s">
        <v>764</v>
      </c>
      <c r="I212" s="974" t="str">
        <f t="shared" si="2"/>
        <v>Close</v>
      </c>
      <c r="J212" s="975"/>
      <c r="K212" s="972" t="str">
        <f t="array" ref="K212">if(isblank(E212),"",xlookup(E212,'FL5_POR_包裝對照表 (Mapping Table)'!E:E,'FL5_POR_包裝對照表 (Mapping Table)'!M:M,"",0,1))</f>
        <v/>
      </c>
      <c r="L212" s="972" t="str">
        <f t="array" ref="L212">if(isblank(E212),"",xlookup(E212,'FL5_POR_包裝對照表 (Mapping Table)'!E:E,'FL5_POR_包裝對照表 (Mapping Table)'!AN:AN,"",0,1))</f>
        <v/>
      </c>
      <c r="M212" s="972" t="str">
        <f t="array" ref="M212">if(isblank(E212),"",xlookup(E212,'FL5_POR_包裝對照表 (Mapping Table)'!E:E,'FL5_POR_包裝對照表 (Mapping Table)'!J:J,"",0,1))</f>
        <v/>
      </c>
      <c r="N212" s="970" t="s">
        <v>1339</v>
      </c>
      <c r="O212" s="976">
        <f t="array" ref="O212">xlookup(E212,'Ike 提供_20250505'!D:D,'Ike 提供_20250505'!N:N,"",0,1)</f>
        <v>23.98</v>
      </c>
      <c r="P212" s="976" t="str">
        <f t="array" ref="P212">xlookup(E212,'Ike 提供_20250505'!D:D,'Ike 提供_20250505'!O:O,"",0,1)</f>
        <v>NA</v>
      </c>
      <c r="Q212" s="977" t="str">
        <f t="array" ref="Q212">xlookup(E212,'FL5_POR_包裝對照表 (Mapping Table)'!E:E,'FL5_POR_包裝對照表 (Mapping Table)'!BI:BI,"",0,1)</f>
        <v/>
      </c>
      <c r="R212" s="983">
        <v>45813.0</v>
      </c>
      <c r="S212" s="983">
        <v>45814.0</v>
      </c>
      <c r="T212" s="983">
        <v>45817.0</v>
      </c>
      <c r="U212" s="978"/>
      <c r="V212" s="935"/>
      <c r="W212" s="972" t="str">
        <f t="array" ref="W212">if(isblank(E212),"",xlookup(E212,'FL5_POR_包裝對照表 (Mapping Table)'!E:E,'FL5_POR_包裝對照表 (Mapping Table)'!BM:BM,"",0,1))</f>
        <v/>
      </c>
      <c r="X212" s="935"/>
      <c r="Y212" s="935"/>
      <c r="Z212" s="935"/>
      <c r="AA212" s="935"/>
    </row>
    <row r="213">
      <c r="A213" s="935"/>
      <c r="B213" s="970">
        <v>206.0</v>
      </c>
      <c r="C213" s="970" t="str">
        <f>if(isblank(E213),"",'FL5_POR_包裝對照表 (Mapping Table)'!$E$4)</f>
        <v>GFL (FL5)</v>
      </c>
      <c r="D213" s="970" t="s">
        <v>278</v>
      </c>
      <c r="E213" s="980" t="s">
        <v>2173</v>
      </c>
      <c r="F213" s="154" t="s">
        <v>52</v>
      </c>
      <c r="G213" s="970" t="s">
        <v>2195</v>
      </c>
      <c r="H213" s="982" t="s">
        <v>764</v>
      </c>
      <c r="I213" s="974" t="str">
        <f t="shared" si="2"/>
        <v>Close</v>
      </c>
      <c r="J213" s="984" t="s">
        <v>1337</v>
      </c>
      <c r="K213" s="972" t="str">
        <f t="array" ref="K213">if(isblank(E213),"",xlookup(E213,'FL5_POR_包裝對照表 (Mapping Table)'!E:E,'FL5_POR_包裝對照表 (Mapping Table)'!M:M,"",0,1))</f>
        <v/>
      </c>
      <c r="L213" s="972" t="str">
        <f t="array" ref="L213">if(isblank(E213),"",xlookup(E213,'FL5_POR_包裝對照表 (Mapping Table)'!E:E,'FL5_POR_包裝對照表 (Mapping Table)'!AN:AN,"",0,1))</f>
        <v/>
      </c>
      <c r="M213" s="972" t="str">
        <f t="array" ref="M213">if(isblank(E213),"",xlookup(E213,'FL5_POR_包裝對照表 (Mapping Table)'!E:E,'FL5_POR_包裝對照表 (Mapping Table)'!J:J,"",0,1))</f>
        <v/>
      </c>
      <c r="N213" s="970" t="s">
        <v>1594</v>
      </c>
      <c r="O213" s="976">
        <f t="array" ref="O213">xlookup(E213,'Ike 提供_20250505'!D:D,'Ike 提供_20250505'!N:N,"",0,1)</f>
        <v>439.03</v>
      </c>
      <c r="P213" s="976" t="str">
        <f t="array" ref="P213">xlookup(E213,'Ike 提供_20250505'!D:D,'Ike 提供_20250505'!O:O,"",0,1)</f>
        <v>NA</v>
      </c>
      <c r="Q213" s="977" t="str">
        <f t="array" ref="Q213">xlookup(E213,'FL5_POR_包裝對照表 (Mapping Table)'!E:E,'FL5_POR_包裝對照表 (Mapping Table)'!BI:BI,"",0,1)</f>
        <v/>
      </c>
      <c r="R213" s="983">
        <v>45813.0</v>
      </c>
      <c r="S213" s="983">
        <v>45814.0</v>
      </c>
      <c r="T213" s="983">
        <v>45817.0</v>
      </c>
      <c r="U213" s="978"/>
      <c r="V213" s="935"/>
      <c r="W213" s="978"/>
      <c r="X213" s="935"/>
      <c r="Y213" s="935"/>
      <c r="Z213" s="935"/>
      <c r="AA213" s="935"/>
    </row>
    <row r="214">
      <c r="A214" s="935"/>
      <c r="B214" s="970">
        <v>207.0</v>
      </c>
      <c r="C214" s="970" t="str">
        <f>if(isblank(E214),"",'FL5_POR_包裝對照表 (Mapping Table)'!$E$4)</f>
        <v>GFL (FL5)</v>
      </c>
      <c r="D214" s="970" t="s">
        <v>278</v>
      </c>
      <c r="E214" s="980" t="s">
        <v>2175</v>
      </c>
      <c r="F214" s="154" t="s">
        <v>52</v>
      </c>
      <c r="G214" s="970" t="s">
        <v>2195</v>
      </c>
      <c r="H214" s="982" t="s">
        <v>764</v>
      </c>
      <c r="I214" s="974" t="str">
        <f t="shared" si="2"/>
        <v>Close</v>
      </c>
      <c r="J214" s="984" t="s">
        <v>1337</v>
      </c>
      <c r="K214" s="972" t="str">
        <f t="array" ref="K214">if(isblank(E214),"",xlookup(E214,'FL5_POR_包裝對照表 (Mapping Table)'!E:E,'FL5_POR_包裝對照表 (Mapping Table)'!M:M,"",0,1))</f>
        <v/>
      </c>
      <c r="L214" s="972" t="str">
        <f t="array" ref="L214">if(isblank(E214),"",xlookup(E214,'FL5_POR_包裝對照表 (Mapping Table)'!E:E,'FL5_POR_包裝對照表 (Mapping Table)'!AN:AN,"",0,1))</f>
        <v/>
      </c>
      <c r="M214" s="972" t="str">
        <f t="array" ref="M214">if(isblank(E214),"",xlookup(E214,'FL5_POR_包裝對照表 (Mapping Table)'!E:E,'FL5_POR_包裝對照表 (Mapping Table)'!J:J,"",0,1))</f>
        <v/>
      </c>
      <c r="N214" s="970" t="s">
        <v>1604</v>
      </c>
      <c r="O214" s="976">
        <f t="array" ref="O214">xlookup(E214,'Ike 提供_20250505'!D:D,'Ike 提供_20250505'!N:N,"",0,1)</f>
        <v>439.53</v>
      </c>
      <c r="P214" s="976" t="str">
        <f t="array" ref="P214">xlookup(E214,'Ike 提供_20250505'!D:D,'Ike 提供_20250505'!O:O,"",0,1)</f>
        <v>NA</v>
      </c>
      <c r="Q214" s="977" t="str">
        <f t="array" ref="Q214">xlookup(E214,'FL5_POR_包裝對照表 (Mapping Table)'!E:E,'FL5_POR_包裝對照表 (Mapping Table)'!BI:BI,"",0,1)</f>
        <v/>
      </c>
      <c r="R214" s="983">
        <v>45813.0</v>
      </c>
      <c r="S214" s="983">
        <v>45814.0</v>
      </c>
      <c r="T214" s="983">
        <v>45817.0</v>
      </c>
      <c r="U214" s="978"/>
      <c r="V214" s="935"/>
      <c r="W214" s="972"/>
      <c r="X214" s="935"/>
      <c r="Y214" s="935"/>
      <c r="Z214" s="935"/>
      <c r="AA214" s="935"/>
    </row>
    <row r="215">
      <c r="A215" s="935"/>
      <c r="B215" s="970"/>
      <c r="C215" s="970" t="str">
        <f>if(isblank(E215),"",'FL5_POR_包裝對照表 (Mapping Table)'!$E$4)</f>
        <v>GFL (FL5)</v>
      </c>
      <c r="D215" s="970" t="s">
        <v>278</v>
      </c>
      <c r="E215" s="980" t="s">
        <v>2177</v>
      </c>
      <c r="F215" s="154" t="s">
        <v>52</v>
      </c>
      <c r="G215" s="970" t="s">
        <v>2195</v>
      </c>
      <c r="H215" s="982" t="s">
        <v>764</v>
      </c>
      <c r="I215" s="974" t="str">
        <f t="shared" si="2"/>
        <v>Close</v>
      </c>
      <c r="J215" s="984" t="s">
        <v>1337</v>
      </c>
      <c r="K215" s="972" t="str">
        <f t="array" ref="K215">if(isblank(E215),"",xlookup(E215,'FL5_POR_包裝對照表 (Mapping Table)'!E:E,'FL5_POR_包裝對照表 (Mapping Table)'!M:M,"",0,1))</f>
        <v/>
      </c>
      <c r="L215" s="972" t="str">
        <f t="array" ref="L215">if(isblank(E215),"",xlookup(E215,'FL5_POR_包裝對照表 (Mapping Table)'!E:E,'FL5_POR_包裝對照表 (Mapping Table)'!AN:AN,"",0,1))</f>
        <v/>
      </c>
      <c r="M215" s="972" t="str">
        <f t="array" ref="M215">if(isblank(E215),"",xlookup(E215,'FL5_POR_包裝對照表 (Mapping Table)'!E:E,'FL5_POR_包裝對照表 (Mapping Table)'!J:J,"",0,1))</f>
        <v/>
      </c>
      <c r="N215" s="970" t="s">
        <v>1339</v>
      </c>
      <c r="O215" s="976">
        <f t="array" ref="O215">xlookup(E215,'Ike 提供_20250505'!D:D,'Ike 提供_20250505'!N:N,"",0,1)</f>
        <v>439.13</v>
      </c>
      <c r="P215" s="976" t="str">
        <f t="array" ref="P215">xlookup(E215,'Ike 提供_20250505'!D:D,'Ike 提供_20250505'!O:O,"",0,1)</f>
        <v>NA</v>
      </c>
      <c r="Q215" s="977" t="str">
        <f t="array" ref="Q215">xlookup(E215,'FL5_POR_包裝對照表 (Mapping Table)'!E:E,'FL5_POR_包裝對照表 (Mapping Table)'!BI:BI,"",0,1)</f>
        <v/>
      </c>
      <c r="R215" s="983">
        <v>45813.0</v>
      </c>
      <c r="S215" s="983">
        <v>45814.0</v>
      </c>
      <c r="T215" s="983">
        <v>45817.0</v>
      </c>
      <c r="U215" s="978"/>
      <c r="V215" s="935"/>
      <c r="W215" s="972"/>
      <c r="X215" s="935"/>
      <c r="Y215" s="935"/>
      <c r="Z215" s="935"/>
      <c r="AA215" s="935"/>
    </row>
    <row r="216">
      <c r="A216" s="935"/>
      <c r="B216" s="970"/>
      <c r="C216" s="970" t="str">
        <f>if(isblank(E216),"",'FL5_POR_包裝對照表 (Mapping Table)'!$E$4)</f>
        <v/>
      </c>
      <c r="D216" s="970" t="str">
        <f t="array" ref="D216">IF(ISBLANK(E216),"",xlookup(E216,'FL5_POR_包裝對照表 (Mapping Table)'!E:E,'FL5_POR_包裝對照表 (Mapping Table)'!AZ:AZ,"",0,1))</f>
        <v/>
      </c>
      <c r="E216" s="980"/>
      <c r="F216" s="167" t="str">
        <f t="array" ref="F216">if(isblank(E216),"",xlookup(E216,'FL5_POR_包裝對照表 (Mapping Table)'!E:E,'FL5_POR_包裝對照表 (Mapping Table)'!F:F,"",0,1))</f>
        <v/>
      </c>
      <c r="G216" s="972" t="str">
        <f t="array" ref="G216">if(isblank(E216),"",xlookup(E216,'FL5_POR_包裝對照表 (Mapping Table)'!E:E,'FL5_POR_包裝對照表 (Mapping Table)'!C:C,"",0,1))</f>
        <v/>
      </c>
      <c r="H216" s="973" t="str">
        <f t="array" ref="H216">if(isblank(E216),"",xlookup(E216,'FL5_POR_包裝對照表 (Mapping Table)'!E:E,'FL5_POR_包裝對照表 (Mapping Table)'!D:D,"",0,1))</f>
        <v/>
      </c>
      <c r="I216" s="974" t="str">
        <f t="shared" si="2"/>
        <v/>
      </c>
      <c r="J216" s="975" t="str">
        <f t="array" ref="J216">if(isblank(E216),"",xlookup(E216,'FL5_POR_包裝對照表 (Mapping Table)'!E:E,'FL5_POR_包裝對照表 (Mapping Table)'!H:H,"",0,1))</f>
        <v/>
      </c>
      <c r="K216" s="972" t="str">
        <f t="array" ref="K216">if(isblank(E216),"",xlookup(E216,'FL5_POR_包裝對照表 (Mapping Table)'!E:E,'FL5_POR_包裝對照表 (Mapping Table)'!M:M,"",0,1))</f>
        <v/>
      </c>
      <c r="L216" s="972" t="str">
        <f t="array" ref="L216">if(isblank(E216),"",xlookup(E216,'FL5_POR_包裝對照表 (Mapping Table)'!E:E,'FL5_POR_包裝對照表 (Mapping Table)'!AN:AN,"",0,1))</f>
        <v/>
      </c>
      <c r="M216" s="972" t="str">
        <f t="array" ref="M216">if(isblank(E216),"",xlookup(E216,'FL5_POR_包裝對照表 (Mapping Table)'!E:E,'FL5_POR_包裝對照表 (Mapping Table)'!J:J,"",0,1))</f>
        <v/>
      </c>
      <c r="N216" s="972" t="str">
        <f t="array" ref="N216">if(isblank(E216),"",xlookup(E216,'FL5_POR_包裝對照表 (Mapping Table)'!E:E,'FL5_POR_包裝對照表 (Mapping Table)'!K:K,"",0,1))</f>
        <v/>
      </c>
      <c r="O216" s="976" t="str">
        <f t="array" ref="O216">IF(Isblank(E216),"",(xlookup($O$5&amp;E216,'Import_Transfer price (Harmoko)'!D:D&amp;'Import_Transfer price (Harmoko)'!E:E,'Import_Transfer price (Harmoko)'!F:F,"No price",0,1)))</f>
        <v/>
      </c>
      <c r="P216" s="976" t="str">
        <f t="array" ref="P216">IF(Isblank(E216),"",(xlookup($P$5&amp;E216,'Import_Transfer price (Harmoko)'!D:D&amp;'Import_Transfer price (Harmoko)'!E:E,'Import_Transfer price (Harmoko)'!F:F,"No price",0,1)))</f>
        <v/>
      </c>
      <c r="Q216" s="977" t="str">
        <f t="array" ref="Q216">xlookup(E216,'FL5_POR_包裝對照表 (Mapping Table)'!E:E,'FL5_POR_包裝對照表 (Mapping Table)'!BI:BI,"",0,1)</f>
        <v/>
      </c>
      <c r="R216" s="978"/>
      <c r="S216" s="977" t="str">
        <f>if(isblank(R216),"",_xlfn.WORKDAY.INTL(R216,$S$5,11))</f>
        <v/>
      </c>
      <c r="T216" s="978"/>
      <c r="U216" s="978"/>
      <c r="V216" s="935"/>
      <c r="W216" s="972"/>
      <c r="X216" s="935"/>
      <c r="Y216" s="935"/>
      <c r="Z216" s="935"/>
      <c r="AA216" s="935"/>
    </row>
    <row r="217">
      <c r="A217" s="985"/>
      <c r="B217" s="986"/>
      <c r="C217" s="986"/>
      <c r="D217" s="986"/>
      <c r="E217" s="987"/>
      <c r="F217" s="988"/>
      <c r="G217" s="986"/>
      <c r="H217" s="989"/>
      <c r="I217" s="988"/>
      <c r="J217" s="988"/>
      <c r="K217" s="986"/>
      <c r="L217" s="986"/>
      <c r="M217" s="986"/>
      <c r="N217" s="986"/>
      <c r="O217" s="990"/>
      <c r="P217" s="991"/>
      <c r="Q217" s="991"/>
      <c r="R217" s="991"/>
      <c r="S217" s="991"/>
      <c r="T217" s="991"/>
      <c r="U217" s="991"/>
      <c r="V217" s="985"/>
      <c r="W217" s="986"/>
      <c r="X217" s="985"/>
      <c r="Y217" s="985"/>
      <c r="Z217" s="985"/>
      <c r="AA217" s="985"/>
    </row>
    <row r="218">
      <c r="A218" s="935"/>
      <c r="B218" s="972"/>
      <c r="C218" s="972"/>
      <c r="D218" s="972"/>
      <c r="E218" s="971"/>
      <c r="F218" s="167"/>
      <c r="G218" s="972"/>
      <c r="H218" s="973"/>
      <c r="I218" s="167"/>
      <c r="J218" s="167"/>
      <c r="K218" s="972"/>
      <c r="L218" s="972"/>
      <c r="M218" s="972"/>
      <c r="N218" s="972"/>
      <c r="O218" s="976"/>
      <c r="P218" s="978"/>
      <c r="Q218" s="978"/>
      <c r="R218" s="978"/>
      <c r="S218" s="978"/>
      <c r="T218" s="978"/>
      <c r="U218" s="978"/>
      <c r="V218" s="935"/>
      <c r="W218" s="972"/>
      <c r="X218" s="935"/>
      <c r="Y218" s="935"/>
      <c r="Z218" s="935"/>
      <c r="AA218" s="935"/>
    </row>
    <row r="219">
      <c r="A219" s="935"/>
      <c r="B219" s="972"/>
      <c r="C219" s="972"/>
      <c r="D219" s="972"/>
      <c r="E219" s="971"/>
      <c r="F219" s="167"/>
      <c r="G219" s="972"/>
      <c r="H219" s="973"/>
      <c r="I219" s="167"/>
      <c r="J219" s="167"/>
      <c r="K219" s="972"/>
      <c r="L219" s="972"/>
      <c r="M219" s="972"/>
      <c r="N219" s="972"/>
      <c r="O219" s="976"/>
      <c r="P219" s="978"/>
      <c r="Q219" s="978"/>
      <c r="R219" s="978"/>
      <c r="S219" s="978"/>
      <c r="T219" s="978"/>
      <c r="U219" s="978"/>
      <c r="V219" s="935"/>
      <c r="W219" s="972"/>
      <c r="X219" s="935"/>
      <c r="Y219" s="935"/>
      <c r="Z219" s="935"/>
      <c r="AA219" s="935"/>
    </row>
    <row r="220">
      <c r="A220" s="935"/>
      <c r="B220" s="972"/>
      <c r="C220" s="972"/>
      <c r="D220" s="972"/>
      <c r="E220" s="971"/>
      <c r="F220" s="167"/>
      <c r="G220" s="972"/>
      <c r="H220" s="973"/>
      <c r="I220" s="167"/>
      <c r="J220" s="167"/>
      <c r="K220" s="972"/>
      <c r="L220" s="972"/>
      <c r="M220" s="972"/>
      <c r="N220" s="972"/>
      <c r="O220" s="976"/>
      <c r="P220" s="978"/>
      <c r="Q220" s="978"/>
      <c r="R220" s="978"/>
      <c r="S220" s="978"/>
      <c r="T220" s="978"/>
      <c r="U220" s="978"/>
      <c r="V220" s="935"/>
      <c r="W220" s="972"/>
      <c r="X220" s="935"/>
      <c r="Y220" s="935"/>
      <c r="Z220" s="935"/>
      <c r="AA220" s="935"/>
    </row>
    <row r="221">
      <c r="A221" s="935"/>
      <c r="B221" s="972"/>
      <c r="C221" s="972"/>
      <c r="D221" s="972"/>
      <c r="E221" s="971"/>
      <c r="F221" s="167"/>
      <c r="G221" s="972"/>
      <c r="H221" s="973"/>
      <c r="I221" s="167"/>
      <c r="J221" s="167"/>
      <c r="K221" s="972"/>
      <c r="L221" s="972"/>
      <c r="M221" s="972"/>
      <c r="N221" s="972"/>
      <c r="O221" s="976"/>
      <c r="P221" s="978"/>
      <c r="Q221" s="978"/>
      <c r="R221" s="978"/>
      <c r="S221" s="978"/>
      <c r="T221" s="978"/>
      <c r="U221" s="978"/>
      <c r="V221" s="935"/>
      <c r="W221" s="972"/>
      <c r="X221" s="935"/>
      <c r="Y221" s="935"/>
      <c r="Z221" s="935"/>
      <c r="AA221" s="935"/>
    </row>
    <row r="222">
      <c r="A222" s="935"/>
      <c r="B222" s="972"/>
      <c r="C222" s="972"/>
      <c r="D222" s="972"/>
      <c r="E222" s="971"/>
      <c r="F222" s="167"/>
      <c r="G222" s="972"/>
      <c r="H222" s="973"/>
      <c r="I222" s="167"/>
      <c r="J222" s="167"/>
      <c r="K222" s="972"/>
      <c r="L222" s="972"/>
      <c r="M222" s="972"/>
      <c r="N222" s="972"/>
      <c r="O222" s="976"/>
      <c r="P222" s="978"/>
      <c r="Q222" s="978"/>
      <c r="R222" s="978"/>
      <c r="S222" s="978"/>
      <c r="T222" s="978"/>
      <c r="U222" s="978"/>
      <c r="V222" s="935"/>
      <c r="W222" s="972"/>
      <c r="X222" s="935"/>
      <c r="Y222" s="935"/>
      <c r="Z222" s="935"/>
      <c r="AA222" s="935"/>
    </row>
    <row r="223">
      <c r="A223" s="935"/>
      <c r="B223" s="972"/>
      <c r="C223" s="972"/>
      <c r="D223" s="972"/>
      <c r="E223" s="971"/>
      <c r="F223" s="167"/>
      <c r="G223" s="972"/>
      <c r="H223" s="973"/>
      <c r="I223" s="167"/>
      <c r="J223" s="167"/>
      <c r="K223" s="972"/>
      <c r="L223" s="972"/>
      <c r="M223" s="972"/>
      <c r="N223" s="972"/>
      <c r="O223" s="976"/>
      <c r="P223" s="978"/>
      <c r="Q223" s="978"/>
      <c r="R223" s="978"/>
      <c r="S223" s="978"/>
      <c r="T223" s="978"/>
      <c r="U223" s="978"/>
      <c r="V223" s="935"/>
      <c r="W223" s="972"/>
      <c r="X223" s="935"/>
      <c r="Y223" s="935"/>
      <c r="Z223" s="935"/>
      <c r="AA223" s="935"/>
    </row>
    <row r="224">
      <c r="A224" s="935"/>
      <c r="B224" s="972"/>
      <c r="C224" s="972"/>
      <c r="D224" s="972"/>
      <c r="E224" s="971"/>
      <c r="F224" s="167"/>
      <c r="G224" s="972"/>
      <c r="H224" s="973"/>
      <c r="I224" s="167"/>
      <c r="J224" s="167"/>
      <c r="K224" s="972"/>
      <c r="L224" s="972"/>
      <c r="M224" s="972"/>
      <c r="N224" s="972"/>
      <c r="O224" s="976"/>
      <c r="P224" s="978"/>
      <c r="Q224" s="978"/>
      <c r="R224" s="978"/>
      <c r="S224" s="978"/>
      <c r="T224" s="978"/>
      <c r="U224" s="978"/>
      <c r="V224" s="935"/>
      <c r="W224" s="972"/>
      <c r="X224" s="935"/>
      <c r="Y224" s="935"/>
      <c r="Z224" s="935"/>
      <c r="AA224" s="935"/>
    </row>
    <row r="225">
      <c r="A225" s="935"/>
      <c r="B225" s="972"/>
      <c r="C225" s="972"/>
      <c r="D225" s="972"/>
      <c r="E225" s="971"/>
      <c r="F225" s="167"/>
      <c r="G225" s="972"/>
      <c r="H225" s="973"/>
      <c r="I225" s="167"/>
      <c r="J225" s="167"/>
      <c r="K225" s="972"/>
      <c r="L225" s="972"/>
      <c r="M225" s="972"/>
      <c r="N225" s="972"/>
      <c r="O225" s="976"/>
      <c r="P225" s="978"/>
      <c r="Q225" s="978"/>
      <c r="R225" s="978"/>
      <c r="S225" s="978"/>
      <c r="T225" s="978"/>
      <c r="U225" s="978"/>
      <c r="V225" s="935"/>
      <c r="W225" s="972"/>
      <c r="X225" s="935"/>
      <c r="Y225" s="935"/>
      <c r="Z225" s="935"/>
      <c r="AA225" s="935"/>
    </row>
    <row r="226">
      <c r="A226" s="935"/>
      <c r="B226" s="972"/>
      <c r="C226" s="972"/>
      <c r="D226" s="972"/>
      <c r="E226" s="971"/>
      <c r="F226" s="167"/>
      <c r="G226" s="972"/>
      <c r="H226" s="973"/>
      <c r="I226" s="167"/>
      <c r="J226" s="167"/>
      <c r="K226" s="972"/>
      <c r="L226" s="972"/>
      <c r="M226" s="972"/>
      <c r="N226" s="972"/>
      <c r="O226" s="976"/>
      <c r="P226" s="978"/>
      <c r="Q226" s="978"/>
      <c r="R226" s="978"/>
      <c r="S226" s="978"/>
      <c r="T226" s="978"/>
      <c r="U226" s="978"/>
      <c r="V226" s="935"/>
      <c r="W226" s="972"/>
      <c r="X226" s="935"/>
      <c r="Y226" s="935"/>
      <c r="Z226" s="935"/>
      <c r="AA226" s="935"/>
    </row>
    <row r="227">
      <c r="A227" s="935"/>
      <c r="B227" s="972"/>
      <c r="C227" s="972"/>
      <c r="D227" s="972"/>
      <c r="E227" s="971"/>
      <c r="F227" s="167"/>
      <c r="G227" s="972"/>
      <c r="H227" s="973"/>
      <c r="I227" s="167"/>
      <c r="J227" s="167"/>
      <c r="K227" s="972"/>
      <c r="L227" s="972"/>
      <c r="M227" s="972"/>
      <c r="N227" s="972"/>
      <c r="O227" s="976"/>
      <c r="P227" s="978"/>
      <c r="Q227" s="978"/>
      <c r="R227" s="978"/>
      <c r="S227" s="978"/>
      <c r="T227" s="978"/>
      <c r="U227" s="978"/>
      <c r="V227" s="935"/>
      <c r="W227" s="972"/>
      <c r="X227" s="935"/>
      <c r="Y227" s="935"/>
      <c r="Z227" s="935"/>
      <c r="AA227" s="935"/>
    </row>
    <row r="228">
      <c r="A228" s="935"/>
      <c r="B228" s="972"/>
      <c r="C228" s="972"/>
      <c r="D228" s="972"/>
      <c r="E228" s="971"/>
      <c r="F228" s="167"/>
      <c r="G228" s="972"/>
      <c r="H228" s="973"/>
      <c r="I228" s="167"/>
      <c r="J228" s="167"/>
      <c r="K228" s="972"/>
      <c r="L228" s="972"/>
      <c r="M228" s="972"/>
      <c r="N228" s="972"/>
      <c r="O228" s="976"/>
      <c r="P228" s="978"/>
      <c r="Q228" s="978"/>
      <c r="R228" s="978"/>
      <c r="S228" s="978"/>
      <c r="T228" s="978"/>
      <c r="U228" s="978"/>
      <c r="V228" s="935"/>
      <c r="W228" s="972"/>
      <c r="X228" s="935"/>
      <c r="Y228" s="935"/>
      <c r="Z228" s="935"/>
      <c r="AA228" s="935"/>
    </row>
    <row r="229">
      <c r="A229" s="935"/>
      <c r="B229" s="972"/>
      <c r="C229" s="972"/>
      <c r="D229" s="972"/>
      <c r="E229" s="971"/>
      <c r="F229" s="167"/>
      <c r="G229" s="972"/>
      <c r="H229" s="973"/>
      <c r="I229" s="167"/>
      <c r="J229" s="167"/>
      <c r="K229" s="972"/>
      <c r="L229" s="972"/>
      <c r="M229" s="972"/>
      <c r="N229" s="972"/>
      <c r="O229" s="976"/>
      <c r="P229" s="978"/>
      <c r="Q229" s="978"/>
      <c r="R229" s="978"/>
      <c r="S229" s="978"/>
      <c r="T229" s="978"/>
      <c r="U229" s="978"/>
      <c r="V229" s="935"/>
      <c r="W229" s="972"/>
      <c r="X229" s="935"/>
      <c r="Y229" s="935"/>
      <c r="Z229" s="935"/>
      <c r="AA229" s="935"/>
    </row>
    <row r="230">
      <c r="A230" s="935"/>
      <c r="B230" s="972"/>
      <c r="C230" s="972"/>
      <c r="D230" s="972"/>
      <c r="E230" s="971"/>
      <c r="F230" s="167"/>
      <c r="G230" s="972"/>
      <c r="H230" s="973"/>
      <c r="I230" s="167"/>
      <c r="J230" s="167"/>
      <c r="K230" s="972"/>
      <c r="L230" s="972"/>
      <c r="M230" s="972"/>
      <c r="N230" s="972"/>
      <c r="O230" s="976"/>
      <c r="P230" s="978"/>
      <c r="Q230" s="978"/>
      <c r="R230" s="978"/>
      <c r="S230" s="978"/>
      <c r="T230" s="978"/>
      <c r="U230" s="978"/>
      <c r="V230" s="935"/>
      <c r="W230" s="972"/>
      <c r="X230" s="935"/>
      <c r="Y230" s="935"/>
      <c r="Z230" s="935"/>
      <c r="AA230" s="935"/>
    </row>
    <row r="231">
      <c r="A231" s="935"/>
      <c r="B231" s="972"/>
      <c r="C231" s="972"/>
      <c r="D231" s="972"/>
      <c r="E231" s="971"/>
      <c r="F231" s="167"/>
      <c r="G231" s="972"/>
      <c r="H231" s="973"/>
      <c r="I231" s="167"/>
      <c r="J231" s="167"/>
      <c r="K231" s="972"/>
      <c r="L231" s="972"/>
      <c r="M231" s="972"/>
      <c r="N231" s="972"/>
      <c r="O231" s="976"/>
      <c r="P231" s="978"/>
      <c r="Q231" s="978"/>
      <c r="R231" s="978"/>
      <c r="S231" s="978"/>
      <c r="T231" s="978"/>
      <c r="U231" s="978"/>
      <c r="V231" s="935"/>
      <c r="W231" s="972"/>
      <c r="X231" s="935"/>
      <c r="Y231" s="935"/>
      <c r="Z231" s="935"/>
      <c r="AA231" s="935"/>
    </row>
    <row r="232">
      <c r="A232" s="935"/>
      <c r="B232" s="972"/>
      <c r="C232" s="972"/>
      <c r="D232" s="972"/>
      <c r="E232" s="971"/>
      <c r="F232" s="167"/>
      <c r="G232" s="972"/>
      <c r="H232" s="973"/>
      <c r="I232" s="167"/>
      <c r="J232" s="167"/>
      <c r="K232" s="972"/>
      <c r="L232" s="972"/>
      <c r="M232" s="972"/>
      <c r="N232" s="972"/>
      <c r="O232" s="976"/>
      <c r="P232" s="978"/>
      <c r="Q232" s="978"/>
      <c r="R232" s="978"/>
      <c r="S232" s="978"/>
      <c r="T232" s="978"/>
      <c r="U232" s="978"/>
      <c r="V232" s="935"/>
      <c r="W232" s="972"/>
      <c r="X232" s="935"/>
      <c r="Y232" s="935"/>
      <c r="Z232" s="935"/>
      <c r="AA232" s="935"/>
    </row>
    <row r="233">
      <c r="A233" s="935"/>
      <c r="B233" s="972"/>
      <c r="C233" s="972"/>
      <c r="D233" s="972"/>
      <c r="E233" s="971"/>
      <c r="F233" s="167"/>
      <c r="G233" s="972"/>
      <c r="H233" s="973"/>
      <c r="I233" s="167"/>
      <c r="J233" s="167"/>
      <c r="K233" s="972"/>
      <c r="L233" s="972"/>
      <c r="M233" s="972"/>
      <c r="N233" s="972"/>
      <c r="O233" s="976"/>
      <c r="P233" s="978"/>
      <c r="Q233" s="978"/>
      <c r="R233" s="978"/>
      <c r="S233" s="978"/>
      <c r="T233" s="978"/>
      <c r="U233" s="978"/>
      <c r="V233" s="935"/>
      <c r="W233" s="972"/>
      <c r="X233" s="935"/>
      <c r="Y233" s="935"/>
      <c r="Z233" s="935"/>
      <c r="AA233" s="935"/>
    </row>
    <row r="234">
      <c r="A234" s="935"/>
      <c r="B234" s="972"/>
      <c r="C234" s="972"/>
      <c r="D234" s="972"/>
      <c r="E234" s="971"/>
      <c r="F234" s="167"/>
      <c r="G234" s="972"/>
      <c r="H234" s="973"/>
      <c r="I234" s="167"/>
      <c r="J234" s="167"/>
      <c r="K234" s="972"/>
      <c r="L234" s="972"/>
      <c r="M234" s="972"/>
      <c r="N234" s="972"/>
      <c r="O234" s="976"/>
      <c r="P234" s="978"/>
      <c r="Q234" s="978"/>
      <c r="R234" s="978"/>
      <c r="S234" s="978"/>
      <c r="T234" s="978"/>
      <c r="U234" s="978"/>
      <c r="V234" s="935"/>
      <c r="W234" s="972"/>
      <c r="X234" s="935"/>
      <c r="Y234" s="935"/>
      <c r="Z234" s="935"/>
      <c r="AA234" s="935"/>
    </row>
    <row r="235">
      <c r="A235" s="935"/>
      <c r="B235" s="972"/>
      <c r="C235" s="972"/>
      <c r="D235" s="972"/>
      <c r="E235" s="971"/>
      <c r="F235" s="167"/>
      <c r="G235" s="972"/>
      <c r="H235" s="973"/>
      <c r="I235" s="167"/>
      <c r="J235" s="167"/>
      <c r="K235" s="972"/>
      <c r="L235" s="972"/>
      <c r="M235" s="972"/>
      <c r="N235" s="972"/>
      <c r="O235" s="976"/>
      <c r="P235" s="978"/>
      <c r="Q235" s="978"/>
      <c r="R235" s="978"/>
      <c r="S235" s="978"/>
      <c r="T235" s="978"/>
      <c r="U235" s="978"/>
      <c r="V235" s="935"/>
      <c r="W235" s="972"/>
      <c r="X235" s="935"/>
      <c r="Y235" s="935"/>
      <c r="Z235" s="935"/>
      <c r="AA235" s="935"/>
    </row>
    <row r="236">
      <c r="A236" s="935"/>
      <c r="B236" s="972"/>
      <c r="C236" s="972"/>
      <c r="D236" s="972"/>
      <c r="E236" s="971"/>
      <c r="F236" s="167"/>
      <c r="G236" s="972"/>
      <c r="H236" s="973"/>
      <c r="I236" s="167"/>
      <c r="J236" s="167"/>
      <c r="K236" s="972"/>
      <c r="L236" s="972"/>
      <c r="M236" s="972"/>
      <c r="N236" s="972"/>
      <c r="O236" s="976"/>
      <c r="P236" s="978"/>
      <c r="Q236" s="978"/>
      <c r="R236" s="978"/>
      <c r="S236" s="978"/>
      <c r="T236" s="978"/>
      <c r="U236" s="978"/>
      <c r="V236" s="935"/>
      <c r="W236" s="972"/>
      <c r="X236" s="935"/>
      <c r="Y236" s="935"/>
      <c r="Z236" s="935"/>
      <c r="AA236" s="935"/>
    </row>
    <row r="237">
      <c r="A237" s="935"/>
      <c r="B237" s="972"/>
      <c r="C237" s="972"/>
      <c r="D237" s="972"/>
      <c r="E237" s="971"/>
      <c r="F237" s="167"/>
      <c r="G237" s="972"/>
      <c r="H237" s="973"/>
      <c r="I237" s="167"/>
      <c r="J237" s="167"/>
      <c r="K237" s="972"/>
      <c r="L237" s="972"/>
      <c r="M237" s="972"/>
      <c r="N237" s="972"/>
      <c r="O237" s="976"/>
      <c r="P237" s="978"/>
      <c r="Q237" s="978"/>
      <c r="R237" s="978"/>
      <c r="S237" s="978"/>
      <c r="T237" s="978"/>
      <c r="U237" s="978"/>
      <c r="V237" s="935"/>
      <c r="W237" s="972"/>
      <c r="X237" s="935"/>
      <c r="Y237" s="935"/>
      <c r="Z237" s="935"/>
      <c r="AA237" s="935"/>
    </row>
    <row r="238">
      <c r="A238" s="935"/>
      <c r="B238" s="972"/>
      <c r="C238" s="972"/>
      <c r="D238" s="972"/>
      <c r="E238" s="971"/>
      <c r="F238" s="167"/>
      <c r="G238" s="972"/>
      <c r="H238" s="973"/>
      <c r="I238" s="167"/>
      <c r="J238" s="167"/>
      <c r="K238" s="972"/>
      <c r="L238" s="972"/>
      <c r="M238" s="972"/>
      <c r="N238" s="972"/>
      <c r="O238" s="976"/>
      <c r="P238" s="978"/>
      <c r="Q238" s="978"/>
      <c r="R238" s="978"/>
      <c r="S238" s="978"/>
      <c r="T238" s="978"/>
      <c r="U238" s="978"/>
      <c r="V238" s="935"/>
      <c r="W238" s="972"/>
      <c r="X238" s="935"/>
      <c r="Y238" s="935"/>
      <c r="Z238" s="935"/>
      <c r="AA238" s="935"/>
    </row>
    <row r="239">
      <c r="A239" s="935"/>
      <c r="B239" s="972"/>
      <c r="C239" s="972"/>
      <c r="D239" s="972"/>
      <c r="E239" s="971"/>
      <c r="F239" s="167"/>
      <c r="G239" s="972"/>
      <c r="H239" s="973"/>
      <c r="I239" s="167"/>
      <c r="J239" s="167"/>
      <c r="K239" s="972"/>
      <c r="L239" s="972"/>
      <c r="M239" s="972"/>
      <c r="N239" s="972"/>
      <c r="O239" s="976"/>
      <c r="P239" s="978"/>
      <c r="Q239" s="978"/>
      <c r="R239" s="978"/>
      <c r="S239" s="978"/>
      <c r="T239" s="978"/>
      <c r="U239" s="978"/>
      <c r="V239" s="935"/>
      <c r="W239" s="972"/>
      <c r="X239" s="935"/>
      <c r="Y239" s="935"/>
      <c r="Z239" s="935"/>
      <c r="AA239" s="935"/>
    </row>
    <row r="240">
      <c r="A240" s="935"/>
      <c r="B240" s="972"/>
      <c r="C240" s="972"/>
      <c r="D240" s="972"/>
      <c r="E240" s="971"/>
      <c r="F240" s="167"/>
      <c r="G240" s="972"/>
      <c r="H240" s="973"/>
      <c r="I240" s="167"/>
      <c r="J240" s="167"/>
      <c r="K240" s="972"/>
      <c r="L240" s="972"/>
      <c r="M240" s="972"/>
      <c r="N240" s="972"/>
      <c r="O240" s="976"/>
      <c r="P240" s="978"/>
      <c r="Q240" s="978"/>
      <c r="R240" s="978"/>
      <c r="S240" s="978"/>
      <c r="T240" s="978"/>
      <c r="U240" s="978"/>
      <c r="V240" s="935"/>
      <c r="W240" s="972"/>
      <c r="X240" s="935"/>
      <c r="Y240" s="935"/>
      <c r="Z240" s="935"/>
      <c r="AA240" s="935"/>
    </row>
    <row r="241">
      <c r="A241" s="935"/>
      <c r="B241" s="972"/>
      <c r="C241" s="972"/>
      <c r="D241" s="972"/>
      <c r="E241" s="971"/>
      <c r="F241" s="167"/>
      <c r="G241" s="972"/>
      <c r="H241" s="973"/>
      <c r="I241" s="167"/>
      <c r="J241" s="167"/>
      <c r="K241" s="972"/>
      <c r="L241" s="972"/>
      <c r="M241" s="972"/>
      <c r="N241" s="972"/>
      <c r="O241" s="976"/>
      <c r="P241" s="978"/>
      <c r="Q241" s="978"/>
      <c r="R241" s="978"/>
      <c r="S241" s="978"/>
      <c r="T241" s="978"/>
      <c r="U241" s="978"/>
      <c r="V241" s="935"/>
      <c r="W241" s="972"/>
      <c r="X241" s="935"/>
      <c r="Y241" s="935"/>
      <c r="Z241" s="935"/>
      <c r="AA241" s="935"/>
    </row>
    <row r="242">
      <c r="A242" s="935"/>
      <c r="B242" s="972"/>
      <c r="C242" s="972"/>
      <c r="D242" s="972"/>
      <c r="E242" s="971"/>
      <c r="F242" s="167"/>
      <c r="G242" s="972"/>
      <c r="H242" s="973"/>
      <c r="I242" s="167"/>
      <c r="J242" s="167"/>
      <c r="K242" s="972"/>
      <c r="L242" s="972"/>
      <c r="M242" s="972"/>
      <c r="N242" s="972"/>
      <c r="O242" s="976"/>
      <c r="P242" s="978"/>
      <c r="Q242" s="978"/>
      <c r="R242" s="978"/>
      <c r="S242" s="978"/>
      <c r="T242" s="978"/>
      <c r="U242" s="978"/>
      <c r="V242" s="935"/>
      <c r="W242" s="972"/>
      <c r="X242" s="935"/>
      <c r="Y242" s="935"/>
      <c r="Z242" s="935"/>
      <c r="AA242" s="935"/>
    </row>
    <row r="243">
      <c r="A243" s="935"/>
      <c r="B243" s="972"/>
      <c r="C243" s="972"/>
      <c r="D243" s="972"/>
      <c r="E243" s="971"/>
      <c r="F243" s="167"/>
      <c r="G243" s="972"/>
      <c r="H243" s="973"/>
      <c r="I243" s="167"/>
      <c r="J243" s="167"/>
      <c r="K243" s="972"/>
      <c r="L243" s="972"/>
      <c r="M243" s="972"/>
      <c r="N243" s="972"/>
      <c r="O243" s="976"/>
      <c r="P243" s="978"/>
      <c r="Q243" s="978"/>
      <c r="R243" s="978"/>
      <c r="S243" s="978"/>
      <c r="T243" s="978"/>
      <c r="U243" s="978"/>
      <c r="V243" s="935"/>
      <c r="W243" s="972"/>
      <c r="X243" s="935"/>
      <c r="Y243" s="935"/>
      <c r="Z243" s="935"/>
      <c r="AA243" s="935"/>
    </row>
    <row r="244">
      <c r="A244" s="935"/>
      <c r="B244" s="972"/>
      <c r="C244" s="972"/>
      <c r="D244" s="972"/>
      <c r="E244" s="971"/>
      <c r="F244" s="167"/>
      <c r="G244" s="972"/>
      <c r="H244" s="973"/>
      <c r="I244" s="167"/>
      <c r="J244" s="167"/>
      <c r="K244" s="972"/>
      <c r="L244" s="972"/>
      <c r="M244" s="972"/>
      <c r="N244" s="972"/>
      <c r="O244" s="976"/>
      <c r="P244" s="978"/>
      <c r="Q244" s="978"/>
      <c r="R244" s="978"/>
      <c r="S244" s="978"/>
      <c r="T244" s="978"/>
      <c r="U244" s="978"/>
      <c r="V244" s="935"/>
      <c r="W244" s="972"/>
      <c r="X244" s="935"/>
      <c r="Y244" s="935"/>
      <c r="Z244" s="935"/>
      <c r="AA244" s="935"/>
    </row>
    <row r="245">
      <c r="A245" s="935"/>
      <c r="B245" s="972"/>
      <c r="C245" s="972"/>
      <c r="D245" s="972"/>
      <c r="E245" s="971"/>
      <c r="F245" s="167"/>
      <c r="G245" s="972"/>
      <c r="H245" s="973"/>
      <c r="I245" s="167"/>
      <c r="J245" s="167"/>
      <c r="K245" s="972"/>
      <c r="L245" s="972"/>
      <c r="M245" s="972"/>
      <c r="N245" s="972"/>
      <c r="O245" s="976"/>
      <c r="P245" s="978"/>
      <c r="Q245" s="978"/>
      <c r="R245" s="978"/>
      <c r="S245" s="978"/>
      <c r="T245" s="978"/>
      <c r="U245" s="978"/>
      <c r="V245" s="935"/>
      <c r="W245" s="972"/>
      <c r="X245" s="935"/>
      <c r="Y245" s="935"/>
      <c r="Z245" s="935"/>
      <c r="AA245" s="935"/>
    </row>
    <row r="246">
      <c r="A246" s="935"/>
      <c r="B246" s="972"/>
      <c r="C246" s="972"/>
      <c r="D246" s="972"/>
      <c r="E246" s="971"/>
      <c r="F246" s="167"/>
      <c r="G246" s="972"/>
      <c r="H246" s="973"/>
      <c r="I246" s="167"/>
      <c r="J246" s="167"/>
      <c r="K246" s="972"/>
      <c r="L246" s="972"/>
      <c r="M246" s="972"/>
      <c r="N246" s="972"/>
      <c r="O246" s="976"/>
      <c r="P246" s="978"/>
      <c r="Q246" s="978"/>
      <c r="R246" s="978"/>
      <c r="S246" s="978"/>
      <c r="T246" s="978"/>
      <c r="U246" s="978"/>
      <c r="V246" s="935"/>
      <c r="W246" s="972"/>
      <c r="X246" s="935"/>
      <c r="Y246" s="935"/>
      <c r="Z246" s="935"/>
      <c r="AA246" s="935"/>
    </row>
    <row r="247">
      <c r="A247" s="935"/>
      <c r="B247" s="972"/>
      <c r="C247" s="972"/>
      <c r="D247" s="972"/>
      <c r="E247" s="971"/>
      <c r="F247" s="167"/>
      <c r="G247" s="972"/>
      <c r="H247" s="973"/>
      <c r="I247" s="167"/>
      <c r="J247" s="167"/>
      <c r="K247" s="972"/>
      <c r="L247" s="972"/>
      <c r="M247" s="972"/>
      <c r="N247" s="972"/>
      <c r="O247" s="976"/>
      <c r="P247" s="978"/>
      <c r="Q247" s="978"/>
      <c r="R247" s="978"/>
      <c r="S247" s="978"/>
      <c r="T247" s="978"/>
      <c r="U247" s="978"/>
      <c r="V247" s="935"/>
      <c r="W247" s="972"/>
      <c r="X247" s="935"/>
      <c r="Y247" s="935"/>
      <c r="Z247" s="935"/>
      <c r="AA247" s="935"/>
    </row>
    <row r="248">
      <c r="A248" s="935"/>
      <c r="B248" s="972"/>
      <c r="C248" s="972"/>
      <c r="D248" s="972"/>
      <c r="E248" s="971"/>
      <c r="F248" s="167"/>
      <c r="G248" s="972"/>
      <c r="H248" s="973"/>
      <c r="I248" s="167"/>
      <c r="J248" s="167"/>
      <c r="K248" s="972"/>
      <c r="L248" s="972"/>
      <c r="M248" s="972"/>
      <c r="N248" s="972"/>
      <c r="O248" s="976"/>
      <c r="P248" s="978"/>
      <c r="Q248" s="978"/>
      <c r="R248" s="978"/>
      <c r="S248" s="978"/>
      <c r="T248" s="978"/>
      <c r="U248" s="978"/>
      <c r="V248" s="935"/>
      <c r="W248" s="972"/>
      <c r="X248" s="935"/>
      <c r="Y248" s="935"/>
      <c r="Z248" s="935"/>
      <c r="AA248" s="935"/>
    </row>
    <row r="249">
      <c r="A249" s="935"/>
      <c r="B249" s="972"/>
      <c r="C249" s="972"/>
      <c r="D249" s="972"/>
      <c r="E249" s="971"/>
      <c r="F249" s="167"/>
      <c r="G249" s="972"/>
      <c r="H249" s="973"/>
      <c r="I249" s="167"/>
      <c r="J249" s="167"/>
      <c r="K249" s="972"/>
      <c r="L249" s="972"/>
      <c r="M249" s="972"/>
      <c r="N249" s="972"/>
      <c r="O249" s="976"/>
      <c r="P249" s="978"/>
      <c r="Q249" s="978"/>
      <c r="R249" s="978"/>
      <c r="S249" s="978"/>
      <c r="T249" s="978"/>
      <c r="U249" s="978"/>
      <c r="V249" s="935"/>
      <c r="W249" s="972"/>
      <c r="X249" s="935"/>
      <c r="Y249" s="935"/>
      <c r="Z249" s="935"/>
      <c r="AA249" s="935"/>
    </row>
    <row r="250">
      <c r="A250" s="935"/>
      <c r="B250" s="972"/>
      <c r="C250" s="972"/>
      <c r="D250" s="972"/>
      <c r="E250" s="971"/>
      <c r="F250" s="167"/>
      <c r="G250" s="972"/>
      <c r="H250" s="973"/>
      <c r="I250" s="167"/>
      <c r="J250" s="167"/>
      <c r="K250" s="972"/>
      <c r="L250" s="972"/>
      <c r="M250" s="972"/>
      <c r="N250" s="972"/>
      <c r="O250" s="976"/>
      <c r="P250" s="978"/>
      <c r="Q250" s="978"/>
      <c r="R250" s="978"/>
      <c r="S250" s="978"/>
      <c r="T250" s="978"/>
      <c r="U250" s="978"/>
      <c r="V250" s="935"/>
      <c r="W250" s="972"/>
      <c r="X250" s="935"/>
      <c r="Y250" s="935"/>
      <c r="Z250" s="935"/>
      <c r="AA250" s="935"/>
    </row>
    <row r="251">
      <c r="A251" s="935"/>
      <c r="B251" s="972"/>
      <c r="C251" s="972"/>
      <c r="D251" s="972"/>
      <c r="E251" s="971"/>
      <c r="F251" s="167"/>
      <c r="G251" s="972"/>
      <c r="H251" s="973"/>
      <c r="I251" s="167"/>
      <c r="J251" s="167"/>
      <c r="K251" s="972"/>
      <c r="L251" s="972"/>
      <c r="M251" s="972"/>
      <c r="N251" s="972"/>
      <c r="O251" s="976"/>
      <c r="P251" s="978"/>
      <c r="Q251" s="978"/>
      <c r="R251" s="978"/>
      <c r="S251" s="978"/>
      <c r="T251" s="978"/>
      <c r="U251" s="978"/>
      <c r="V251" s="935"/>
      <c r="W251" s="972"/>
      <c r="X251" s="935"/>
      <c r="Y251" s="935"/>
      <c r="Z251" s="935"/>
      <c r="AA251" s="935"/>
    </row>
    <row r="252">
      <c r="A252" s="935"/>
      <c r="B252" s="972"/>
      <c r="C252" s="972"/>
      <c r="D252" s="972"/>
      <c r="E252" s="971"/>
      <c r="F252" s="167"/>
      <c r="G252" s="972"/>
      <c r="H252" s="973"/>
      <c r="I252" s="167"/>
      <c r="J252" s="167"/>
      <c r="K252" s="972"/>
      <c r="L252" s="972"/>
      <c r="M252" s="972"/>
      <c r="N252" s="972"/>
      <c r="O252" s="976"/>
      <c r="P252" s="978"/>
      <c r="Q252" s="978"/>
      <c r="R252" s="978"/>
      <c r="S252" s="978"/>
      <c r="T252" s="978"/>
      <c r="U252" s="978"/>
      <c r="V252" s="935"/>
      <c r="W252" s="972"/>
      <c r="X252" s="935"/>
      <c r="Y252" s="935"/>
      <c r="Z252" s="935"/>
      <c r="AA252" s="935"/>
    </row>
    <row r="253">
      <c r="A253" s="935"/>
      <c r="B253" s="972"/>
      <c r="C253" s="972"/>
      <c r="D253" s="972"/>
      <c r="E253" s="971"/>
      <c r="F253" s="167"/>
      <c r="G253" s="972"/>
      <c r="H253" s="973"/>
      <c r="I253" s="167"/>
      <c r="J253" s="167"/>
      <c r="K253" s="972"/>
      <c r="L253" s="972"/>
      <c r="M253" s="972"/>
      <c r="N253" s="972"/>
      <c r="O253" s="976"/>
      <c r="P253" s="978"/>
      <c r="Q253" s="978"/>
      <c r="R253" s="978"/>
      <c r="S253" s="978"/>
      <c r="T253" s="978"/>
      <c r="U253" s="978"/>
      <c r="V253" s="935"/>
      <c r="W253" s="972"/>
      <c r="X253" s="935"/>
      <c r="Y253" s="935"/>
      <c r="Z253" s="935"/>
      <c r="AA253" s="935"/>
    </row>
    <row r="254">
      <c r="A254" s="935"/>
      <c r="B254" s="972"/>
      <c r="C254" s="972"/>
      <c r="D254" s="972"/>
      <c r="E254" s="971"/>
      <c r="F254" s="167"/>
      <c r="G254" s="972"/>
      <c r="H254" s="973"/>
      <c r="I254" s="167"/>
      <c r="J254" s="167"/>
      <c r="K254" s="972"/>
      <c r="L254" s="972"/>
      <c r="M254" s="972"/>
      <c r="N254" s="972"/>
      <c r="O254" s="976"/>
      <c r="P254" s="978"/>
      <c r="Q254" s="978"/>
      <c r="R254" s="978"/>
      <c r="S254" s="978"/>
      <c r="T254" s="978"/>
      <c r="U254" s="978"/>
      <c r="V254" s="935"/>
      <c r="W254" s="972"/>
      <c r="X254" s="935"/>
      <c r="Y254" s="935"/>
      <c r="Z254" s="935"/>
      <c r="AA254" s="935"/>
    </row>
    <row r="255">
      <c r="A255" s="935"/>
      <c r="B255" s="972"/>
      <c r="C255" s="972"/>
      <c r="D255" s="972"/>
      <c r="E255" s="971"/>
      <c r="F255" s="167"/>
      <c r="G255" s="972"/>
      <c r="H255" s="973"/>
      <c r="I255" s="167"/>
      <c r="J255" s="167"/>
      <c r="K255" s="972"/>
      <c r="L255" s="972"/>
      <c r="M255" s="972"/>
      <c r="N255" s="972"/>
      <c r="O255" s="976"/>
      <c r="P255" s="978"/>
      <c r="Q255" s="978"/>
      <c r="R255" s="978"/>
      <c r="S255" s="978"/>
      <c r="T255" s="978"/>
      <c r="U255" s="978"/>
      <c r="V255" s="935"/>
      <c r="W255" s="972"/>
      <c r="X255" s="935"/>
      <c r="Y255" s="935"/>
      <c r="Z255" s="935"/>
      <c r="AA255" s="935"/>
    </row>
    <row r="256">
      <c r="A256" s="935"/>
      <c r="B256" s="972"/>
      <c r="C256" s="972"/>
      <c r="D256" s="972"/>
      <c r="E256" s="971"/>
      <c r="F256" s="167"/>
      <c r="G256" s="972"/>
      <c r="H256" s="973"/>
      <c r="I256" s="167"/>
      <c r="J256" s="167"/>
      <c r="K256" s="972"/>
      <c r="L256" s="972"/>
      <c r="M256" s="972"/>
      <c r="N256" s="972"/>
      <c r="O256" s="976"/>
      <c r="P256" s="978"/>
      <c r="Q256" s="978"/>
      <c r="R256" s="978"/>
      <c r="S256" s="978"/>
      <c r="T256" s="978"/>
      <c r="U256" s="978"/>
      <c r="V256" s="935"/>
      <c r="W256" s="972"/>
      <c r="X256" s="935"/>
      <c r="Y256" s="935"/>
      <c r="Z256" s="935"/>
      <c r="AA256" s="935"/>
    </row>
    <row r="257">
      <c r="A257" s="935"/>
      <c r="B257" s="972"/>
      <c r="C257" s="972"/>
      <c r="D257" s="972"/>
      <c r="E257" s="971"/>
      <c r="F257" s="167"/>
      <c r="G257" s="972"/>
      <c r="H257" s="973"/>
      <c r="I257" s="167"/>
      <c r="J257" s="167"/>
      <c r="K257" s="972"/>
      <c r="L257" s="972"/>
      <c r="M257" s="972"/>
      <c r="N257" s="972"/>
      <c r="O257" s="976"/>
      <c r="P257" s="978"/>
      <c r="Q257" s="978"/>
      <c r="R257" s="978"/>
      <c r="S257" s="978"/>
      <c r="T257" s="978"/>
      <c r="U257" s="978"/>
      <c r="V257" s="935"/>
      <c r="W257" s="972"/>
      <c r="X257" s="935"/>
      <c r="Y257" s="935"/>
      <c r="Z257" s="935"/>
      <c r="AA257" s="935"/>
    </row>
    <row r="258">
      <c r="A258" s="935"/>
      <c r="B258" s="972"/>
      <c r="C258" s="972"/>
      <c r="D258" s="972"/>
      <c r="E258" s="971"/>
      <c r="F258" s="167"/>
      <c r="G258" s="972"/>
      <c r="H258" s="973"/>
      <c r="I258" s="167"/>
      <c r="J258" s="167"/>
      <c r="K258" s="972"/>
      <c r="L258" s="972"/>
      <c r="M258" s="972"/>
      <c r="N258" s="972"/>
      <c r="O258" s="976"/>
      <c r="P258" s="978"/>
      <c r="Q258" s="978"/>
      <c r="R258" s="978"/>
      <c r="S258" s="978"/>
      <c r="T258" s="978"/>
      <c r="U258" s="978"/>
      <c r="V258" s="935"/>
      <c r="W258" s="972"/>
      <c r="X258" s="935"/>
      <c r="Y258" s="935"/>
      <c r="Z258" s="935"/>
      <c r="AA258" s="935"/>
    </row>
    <row r="259">
      <c r="A259" s="935"/>
      <c r="B259" s="972"/>
      <c r="C259" s="972"/>
      <c r="D259" s="972"/>
      <c r="E259" s="971"/>
      <c r="F259" s="167"/>
      <c r="G259" s="972"/>
      <c r="H259" s="973"/>
      <c r="I259" s="167"/>
      <c r="J259" s="167"/>
      <c r="K259" s="972"/>
      <c r="L259" s="972"/>
      <c r="M259" s="972"/>
      <c r="N259" s="972"/>
      <c r="O259" s="976"/>
      <c r="P259" s="978"/>
      <c r="Q259" s="978"/>
      <c r="R259" s="978"/>
      <c r="S259" s="978"/>
      <c r="T259" s="978"/>
      <c r="U259" s="978"/>
      <c r="V259" s="935"/>
      <c r="W259" s="972"/>
      <c r="X259" s="935"/>
      <c r="Y259" s="935"/>
      <c r="Z259" s="935"/>
      <c r="AA259" s="935"/>
    </row>
    <row r="260">
      <c r="A260" s="935"/>
      <c r="B260" s="972"/>
      <c r="C260" s="972"/>
      <c r="D260" s="972"/>
      <c r="E260" s="971"/>
      <c r="F260" s="167"/>
      <c r="G260" s="972"/>
      <c r="H260" s="973"/>
      <c r="I260" s="167"/>
      <c r="J260" s="167"/>
      <c r="K260" s="972"/>
      <c r="L260" s="972"/>
      <c r="M260" s="972"/>
      <c r="N260" s="972"/>
      <c r="O260" s="976"/>
      <c r="P260" s="978"/>
      <c r="Q260" s="978"/>
      <c r="R260" s="978"/>
      <c r="S260" s="978"/>
      <c r="T260" s="978"/>
      <c r="U260" s="978"/>
      <c r="V260" s="935"/>
      <c r="W260" s="972"/>
      <c r="X260" s="935"/>
      <c r="Y260" s="935"/>
      <c r="Z260" s="935"/>
      <c r="AA260" s="935"/>
    </row>
    <row r="261">
      <c r="A261" s="935"/>
      <c r="B261" s="972"/>
      <c r="C261" s="972"/>
      <c r="D261" s="972"/>
      <c r="E261" s="971"/>
      <c r="F261" s="167"/>
      <c r="G261" s="972"/>
      <c r="H261" s="973"/>
      <c r="I261" s="167"/>
      <c r="J261" s="167"/>
      <c r="K261" s="972"/>
      <c r="L261" s="972"/>
      <c r="M261" s="972"/>
      <c r="N261" s="972"/>
      <c r="O261" s="976"/>
      <c r="P261" s="978"/>
      <c r="Q261" s="978"/>
      <c r="R261" s="978"/>
      <c r="S261" s="978"/>
      <c r="T261" s="978"/>
      <c r="U261" s="978"/>
      <c r="V261" s="935"/>
      <c r="W261" s="972"/>
      <c r="X261" s="935"/>
      <c r="Y261" s="935"/>
      <c r="Z261" s="935"/>
      <c r="AA261" s="935"/>
    </row>
    <row r="262">
      <c r="A262" s="935"/>
      <c r="B262" s="972"/>
      <c r="C262" s="972"/>
      <c r="D262" s="972"/>
      <c r="E262" s="971"/>
      <c r="F262" s="167"/>
      <c r="G262" s="972"/>
      <c r="H262" s="973"/>
      <c r="I262" s="167"/>
      <c r="J262" s="167"/>
      <c r="K262" s="972"/>
      <c r="L262" s="972"/>
      <c r="M262" s="972"/>
      <c r="N262" s="972"/>
      <c r="O262" s="976"/>
      <c r="P262" s="978"/>
      <c r="Q262" s="978"/>
      <c r="R262" s="978"/>
      <c r="S262" s="978"/>
      <c r="T262" s="978"/>
      <c r="U262" s="978"/>
      <c r="V262" s="935"/>
      <c r="W262" s="972"/>
      <c r="X262" s="935"/>
      <c r="Y262" s="935"/>
      <c r="Z262" s="935"/>
      <c r="AA262" s="935"/>
    </row>
    <row r="263">
      <c r="A263" s="935"/>
      <c r="B263" s="972"/>
      <c r="C263" s="972"/>
      <c r="D263" s="972"/>
      <c r="E263" s="971"/>
      <c r="F263" s="167"/>
      <c r="G263" s="972"/>
      <c r="H263" s="973"/>
      <c r="I263" s="167"/>
      <c r="J263" s="167"/>
      <c r="K263" s="972"/>
      <c r="L263" s="972"/>
      <c r="M263" s="972"/>
      <c r="N263" s="972"/>
      <c r="O263" s="976"/>
      <c r="P263" s="978"/>
      <c r="Q263" s="978"/>
      <c r="R263" s="978"/>
      <c r="S263" s="978"/>
      <c r="T263" s="978"/>
      <c r="U263" s="978"/>
      <c r="V263" s="935"/>
      <c r="W263" s="972"/>
      <c r="X263" s="935"/>
      <c r="Y263" s="935"/>
      <c r="Z263" s="935"/>
      <c r="AA263" s="935"/>
    </row>
    <row r="264">
      <c r="A264" s="935"/>
      <c r="B264" s="972"/>
      <c r="C264" s="972"/>
      <c r="D264" s="972"/>
      <c r="E264" s="971"/>
      <c r="F264" s="167"/>
      <c r="G264" s="972"/>
      <c r="H264" s="973"/>
      <c r="I264" s="167"/>
      <c r="J264" s="167"/>
      <c r="K264" s="972"/>
      <c r="L264" s="972"/>
      <c r="M264" s="972"/>
      <c r="N264" s="972"/>
      <c r="O264" s="976"/>
      <c r="P264" s="978"/>
      <c r="Q264" s="978"/>
      <c r="R264" s="978"/>
      <c r="S264" s="978"/>
      <c r="T264" s="978"/>
      <c r="U264" s="978"/>
      <c r="V264" s="935"/>
      <c r="W264" s="972"/>
      <c r="X264" s="935"/>
      <c r="Y264" s="935"/>
      <c r="Z264" s="935"/>
      <c r="AA264" s="935"/>
    </row>
    <row r="265">
      <c r="A265" s="935"/>
      <c r="B265" s="972"/>
      <c r="C265" s="972"/>
      <c r="D265" s="972"/>
      <c r="E265" s="971"/>
      <c r="F265" s="167"/>
      <c r="G265" s="972"/>
      <c r="H265" s="973"/>
      <c r="I265" s="167"/>
      <c r="J265" s="167"/>
      <c r="K265" s="972"/>
      <c r="L265" s="972"/>
      <c r="M265" s="972"/>
      <c r="N265" s="972"/>
      <c r="O265" s="976"/>
      <c r="P265" s="978"/>
      <c r="Q265" s="978"/>
      <c r="R265" s="978"/>
      <c r="S265" s="978"/>
      <c r="T265" s="978"/>
      <c r="U265" s="978"/>
      <c r="V265" s="935"/>
      <c r="W265" s="972"/>
      <c r="X265" s="935"/>
      <c r="Y265" s="935"/>
      <c r="Z265" s="935"/>
      <c r="AA265" s="935"/>
    </row>
    <row r="266">
      <c r="A266" s="935"/>
      <c r="B266" s="972"/>
      <c r="C266" s="972"/>
      <c r="D266" s="972"/>
      <c r="E266" s="971"/>
      <c r="F266" s="167"/>
      <c r="G266" s="972"/>
      <c r="H266" s="973"/>
      <c r="I266" s="167"/>
      <c r="J266" s="167"/>
      <c r="K266" s="972"/>
      <c r="L266" s="972"/>
      <c r="M266" s="972"/>
      <c r="N266" s="972"/>
      <c r="O266" s="976"/>
      <c r="P266" s="978"/>
      <c r="Q266" s="978"/>
      <c r="R266" s="978"/>
      <c r="S266" s="978"/>
      <c r="T266" s="978"/>
      <c r="U266" s="978"/>
      <c r="V266" s="935"/>
      <c r="W266" s="972"/>
      <c r="X266" s="935"/>
      <c r="Y266" s="935"/>
      <c r="Z266" s="935"/>
      <c r="AA266" s="935"/>
    </row>
    <row r="267">
      <c r="A267" s="935"/>
      <c r="B267" s="972"/>
      <c r="C267" s="972"/>
      <c r="D267" s="972"/>
      <c r="E267" s="971"/>
      <c r="F267" s="167"/>
      <c r="G267" s="972"/>
      <c r="H267" s="973"/>
      <c r="I267" s="167"/>
      <c r="J267" s="167"/>
      <c r="K267" s="972"/>
      <c r="L267" s="972"/>
      <c r="M267" s="972"/>
      <c r="N267" s="972"/>
      <c r="O267" s="976"/>
      <c r="P267" s="978"/>
      <c r="Q267" s="978"/>
      <c r="R267" s="978"/>
      <c r="S267" s="978"/>
      <c r="T267" s="978"/>
      <c r="U267" s="978"/>
      <c r="V267" s="935"/>
      <c r="W267" s="972"/>
      <c r="X267" s="935"/>
      <c r="Y267" s="935"/>
      <c r="Z267" s="935"/>
      <c r="AA267" s="935"/>
    </row>
    <row r="268">
      <c r="A268" s="935"/>
      <c r="B268" s="972"/>
      <c r="C268" s="972"/>
      <c r="D268" s="972"/>
      <c r="E268" s="971"/>
      <c r="F268" s="167"/>
      <c r="G268" s="972"/>
      <c r="H268" s="973"/>
      <c r="I268" s="167"/>
      <c r="J268" s="167"/>
      <c r="K268" s="972"/>
      <c r="L268" s="972"/>
      <c r="M268" s="972"/>
      <c r="N268" s="972"/>
      <c r="O268" s="976"/>
      <c r="P268" s="978"/>
      <c r="Q268" s="978"/>
      <c r="R268" s="978"/>
      <c r="S268" s="978"/>
      <c r="T268" s="978"/>
      <c r="U268" s="978"/>
      <c r="V268" s="935"/>
      <c r="W268" s="972"/>
      <c r="X268" s="935"/>
      <c r="Y268" s="935"/>
      <c r="Z268" s="935"/>
      <c r="AA268" s="935"/>
    </row>
    <row r="269">
      <c r="A269" s="935"/>
      <c r="B269" s="972"/>
      <c r="C269" s="972"/>
      <c r="D269" s="972"/>
      <c r="E269" s="971"/>
      <c r="F269" s="167"/>
      <c r="G269" s="972"/>
      <c r="H269" s="973"/>
      <c r="I269" s="167"/>
      <c r="J269" s="167"/>
      <c r="K269" s="972"/>
      <c r="L269" s="972"/>
      <c r="M269" s="972"/>
      <c r="N269" s="972"/>
      <c r="O269" s="976"/>
      <c r="P269" s="978"/>
      <c r="Q269" s="978"/>
      <c r="R269" s="978"/>
      <c r="S269" s="978"/>
      <c r="T269" s="978"/>
      <c r="U269" s="978"/>
      <c r="V269" s="935"/>
      <c r="W269" s="972"/>
      <c r="X269" s="935"/>
      <c r="Y269" s="935"/>
      <c r="Z269" s="935"/>
      <c r="AA269" s="935"/>
    </row>
    <row r="270">
      <c r="A270" s="935"/>
      <c r="B270" s="972"/>
      <c r="C270" s="972"/>
      <c r="D270" s="972"/>
      <c r="E270" s="971"/>
      <c r="F270" s="167"/>
      <c r="G270" s="972"/>
      <c r="H270" s="973"/>
      <c r="I270" s="167"/>
      <c r="J270" s="167"/>
      <c r="K270" s="972"/>
      <c r="L270" s="972"/>
      <c r="M270" s="972"/>
      <c r="N270" s="972"/>
      <c r="O270" s="976"/>
      <c r="P270" s="978"/>
      <c r="Q270" s="978"/>
      <c r="R270" s="978"/>
      <c r="S270" s="978"/>
      <c r="T270" s="978"/>
      <c r="U270" s="978"/>
      <c r="V270" s="935"/>
      <c r="W270" s="972"/>
      <c r="X270" s="935"/>
      <c r="Y270" s="935"/>
      <c r="Z270" s="935"/>
      <c r="AA270" s="935"/>
    </row>
    <row r="271">
      <c r="A271" s="935"/>
      <c r="B271" s="972"/>
      <c r="C271" s="972"/>
      <c r="D271" s="972"/>
      <c r="E271" s="971"/>
      <c r="F271" s="167"/>
      <c r="G271" s="972"/>
      <c r="H271" s="973"/>
      <c r="I271" s="167"/>
      <c r="J271" s="167"/>
      <c r="K271" s="972"/>
      <c r="L271" s="972"/>
      <c r="M271" s="972"/>
      <c r="N271" s="972"/>
      <c r="O271" s="976"/>
      <c r="P271" s="978"/>
      <c r="Q271" s="978"/>
      <c r="R271" s="978"/>
      <c r="S271" s="978"/>
      <c r="T271" s="978"/>
      <c r="U271" s="978"/>
      <c r="V271" s="935"/>
      <c r="W271" s="972"/>
      <c r="X271" s="935"/>
      <c r="Y271" s="935"/>
      <c r="Z271" s="935"/>
      <c r="AA271" s="935"/>
    </row>
    <row r="272">
      <c r="A272" s="935"/>
      <c r="B272" s="972"/>
      <c r="C272" s="972"/>
      <c r="D272" s="972"/>
      <c r="E272" s="971"/>
      <c r="F272" s="167"/>
      <c r="G272" s="972"/>
      <c r="H272" s="973"/>
      <c r="I272" s="167"/>
      <c r="J272" s="167"/>
      <c r="K272" s="972"/>
      <c r="L272" s="972"/>
      <c r="M272" s="972"/>
      <c r="N272" s="972"/>
      <c r="O272" s="976"/>
      <c r="P272" s="978"/>
      <c r="Q272" s="978"/>
      <c r="R272" s="978"/>
      <c r="S272" s="978"/>
      <c r="T272" s="978"/>
      <c r="U272" s="978"/>
      <c r="V272" s="935"/>
      <c r="W272" s="972"/>
      <c r="X272" s="935"/>
      <c r="Y272" s="935"/>
      <c r="Z272" s="935"/>
      <c r="AA272" s="935"/>
    </row>
    <row r="273">
      <c r="A273" s="935"/>
      <c r="B273" s="972"/>
      <c r="C273" s="972"/>
      <c r="D273" s="972"/>
      <c r="E273" s="971"/>
      <c r="F273" s="167"/>
      <c r="G273" s="972"/>
      <c r="H273" s="973"/>
      <c r="I273" s="167"/>
      <c r="J273" s="167"/>
      <c r="K273" s="972"/>
      <c r="L273" s="972"/>
      <c r="M273" s="972"/>
      <c r="N273" s="972"/>
      <c r="O273" s="976"/>
      <c r="P273" s="978"/>
      <c r="Q273" s="978"/>
      <c r="R273" s="978"/>
      <c r="S273" s="978"/>
      <c r="T273" s="978"/>
      <c r="U273" s="978"/>
      <c r="V273" s="935"/>
      <c r="W273" s="972"/>
      <c r="X273" s="935"/>
      <c r="Y273" s="935"/>
      <c r="Z273" s="935"/>
      <c r="AA273" s="935"/>
    </row>
    <row r="274">
      <c r="A274" s="935"/>
      <c r="B274" s="972"/>
      <c r="C274" s="972"/>
      <c r="D274" s="972"/>
      <c r="E274" s="971"/>
      <c r="F274" s="167"/>
      <c r="G274" s="972"/>
      <c r="H274" s="973"/>
      <c r="I274" s="167"/>
      <c r="J274" s="167"/>
      <c r="K274" s="972"/>
      <c r="L274" s="972"/>
      <c r="M274" s="972"/>
      <c r="N274" s="972"/>
      <c r="O274" s="976"/>
      <c r="P274" s="978"/>
      <c r="Q274" s="978"/>
      <c r="R274" s="978"/>
      <c r="S274" s="978"/>
      <c r="T274" s="978"/>
      <c r="U274" s="978"/>
      <c r="V274" s="935"/>
      <c r="W274" s="972"/>
      <c r="X274" s="935"/>
      <c r="Y274" s="935"/>
      <c r="Z274" s="935"/>
      <c r="AA274" s="935"/>
    </row>
    <row r="275">
      <c r="A275" s="935"/>
      <c r="B275" s="972"/>
      <c r="C275" s="972"/>
      <c r="D275" s="972"/>
      <c r="E275" s="971"/>
      <c r="F275" s="167"/>
      <c r="G275" s="972"/>
      <c r="H275" s="973"/>
      <c r="I275" s="167"/>
      <c r="J275" s="167"/>
      <c r="K275" s="972"/>
      <c r="L275" s="972"/>
      <c r="M275" s="972"/>
      <c r="N275" s="972"/>
      <c r="O275" s="976"/>
      <c r="P275" s="978"/>
      <c r="Q275" s="978"/>
      <c r="R275" s="978"/>
      <c r="S275" s="978"/>
      <c r="T275" s="978"/>
      <c r="U275" s="978"/>
      <c r="V275" s="935"/>
      <c r="W275" s="972"/>
      <c r="X275" s="935"/>
      <c r="Y275" s="935"/>
      <c r="Z275" s="935"/>
      <c r="AA275" s="935"/>
    </row>
    <row r="276">
      <c r="A276" s="935"/>
      <c r="B276" s="972"/>
      <c r="C276" s="972"/>
      <c r="D276" s="972"/>
      <c r="E276" s="971"/>
      <c r="F276" s="167"/>
      <c r="G276" s="972"/>
      <c r="H276" s="973"/>
      <c r="I276" s="167"/>
      <c r="J276" s="167"/>
      <c r="K276" s="972"/>
      <c r="L276" s="972"/>
      <c r="M276" s="972"/>
      <c r="N276" s="972"/>
      <c r="O276" s="976"/>
      <c r="P276" s="978"/>
      <c r="Q276" s="978"/>
      <c r="R276" s="978"/>
      <c r="S276" s="978"/>
      <c r="T276" s="978"/>
      <c r="U276" s="978"/>
      <c r="V276" s="935"/>
      <c r="W276" s="972"/>
      <c r="X276" s="935"/>
      <c r="Y276" s="935"/>
      <c r="Z276" s="935"/>
      <c r="AA276" s="935"/>
    </row>
    <row r="277">
      <c r="A277" s="935"/>
      <c r="B277" s="972"/>
      <c r="C277" s="972"/>
      <c r="D277" s="972"/>
      <c r="E277" s="971"/>
      <c r="F277" s="167"/>
      <c r="G277" s="972"/>
      <c r="H277" s="973"/>
      <c r="I277" s="167"/>
      <c r="J277" s="167"/>
      <c r="K277" s="972"/>
      <c r="L277" s="972"/>
      <c r="M277" s="972"/>
      <c r="N277" s="972"/>
      <c r="O277" s="976"/>
      <c r="P277" s="978"/>
      <c r="Q277" s="978"/>
      <c r="R277" s="978"/>
      <c r="S277" s="978"/>
      <c r="T277" s="978"/>
      <c r="U277" s="978"/>
      <c r="V277" s="935"/>
      <c r="W277" s="972"/>
      <c r="X277" s="935"/>
      <c r="Y277" s="935"/>
      <c r="Z277" s="935"/>
      <c r="AA277" s="935"/>
    </row>
    <row r="278">
      <c r="A278" s="935"/>
      <c r="B278" s="972"/>
      <c r="C278" s="972"/>
      <c r="D278" s="972"/>
      <c r="E278" s="971"/>
      <c r="F278" s="167"/>
      <c r="G278" s="972"/>
      <c r="H278" s="973"/>
      <c r="I278" s="167"/>
      <c r="J278" s="167"/>
      <c r="K278" s="972"/>
      <c r="L278" s="972"/>
      <c r="M278" s="972"/>
      <c r="N278" s="972"/>
      <c r="O278" s="976"/>
      <c r="P278" s="978"/>
      <c r="Q278" s="978"/>
      <c r="R278" s="978"/>
      <c r="S278" s="978"/>
      <c r="T278" s="978"/>
      <c r="U278" s="978"/>
      <c r="V278" s="935"/>
      <c r="W278" s="972"/>
      <c r="X278" s="935"/>
      <c r="Y278" s="935"/>
      <c r="Z278" s="935"/>
      <c r="AA278" s="935"/>
    </row>
    <row r="279">
      <c r="A279" s="935"/>
      <c r="B279" s="972"/>
      <c r="C279" s="972"/>
      <c r="D279" s="972"/>
      <c r="E279" s="971"/>
      <c r="F279" s="167"/>
      <c r="G279" s="972"/>
      <c r="H279" s="973"/>
      <c r="I279" s="167"/>
      <c r="J279" s="167"/>
      <c r="K279" s="972"/>
      <c r="L279" s="972"/>
      <c r="M279" s="972"/>
      <c r="N279" s="972"/>
      <c r="O279" s="976"/>
      <c r="P279" s="978"/>
      <c r="Q279" s="978"/>
      <c r="R279" s="978"/>
      <c r="S279" s="978"/>
      <c r="T279" s="978"/>
      <c r="U279" s="978"/>
      <c r="V279" s="935"/>
      <c r="W279" s="972"/>
      <c r="X279" s="935"/>
      <c r="Y279" s="935"/>
      <c r="Z279" s="935"/>
      <c r="AA279" s="935"/>
    </row>
    <row r="280">
      <c r="A280" s="935"/>
      <c r="B280" s="972"/>
      <c r="C280" s="972"/>
      <c r="D280" s="972"/>
      <c r="E280" s="971"/>
      <c r="F280" s="167"/>
      <c r="G280" s="972"/>
      <c r="H280" s="973"/>
      <c r="I280" s="167"/>
      <c r="J280" s="167"/>
      <c r="K280" s="972"/>
      <c r="L280" s="972"/>
      <c r="M280" s="972"/>
      <c r="N280" s="972"/>
      <c r="O280" s="976"/>
      <c r="P280" s="978"/>
      <c r="Q280" s="978"/>
      <c r="R280" s="978"/>
      <c r="S280" s="978"/>
      <c r="T280" s="978"/>
      <c r="U280" s="978"/>
      <c r="V280" s="935"/>
      <c r="W280" s="972"/>
      <c r="X280" s="935"/>
      <c r="Y280" s="935"/>
      <c r="Z280" s="935"/>
      <c r="AA280" s="935"/>
    </row>
    <row r="281">
      <c r="A281" s="935"/>
      <c r="B281" s="972"/>
      <c r="C281" s="972"/>
      <c r="D281" s="972"/>
      <c r="E281" s="971"/>
      <c r="F281" s="167"/>
      <c r="G281" s="972"/>
      <c r="H281" s="973"/>
      <c r="I281" s="167"/>
      <c r="J281" s="167"/>
      <c r="K281" s="972"/>
      <c r="L281" s="972"/>
      <c r="M281" s="972"/>
      <c r="N281" s="972"/>
      <c r="O281" s="976"/>
      <c r="P281" s="978"/>
      <c r="Q281" s="978"/>
      <c r="R281" s="978"/>
      <c r="S281" s="978"/>
      <c r="T281" s="978"/>
      <c r="U281" s="978"/>
      <c r="V281" s="935"/>
      <c r="W281" s="972"/>
      <c r="X281" s="935"/>
      <c r="Y281" s="935"/>
      <c r="Z281" s="935"/>
      <c r="AA281" s="935"/>
    </row>
    <row r="282">
      <c r="A282" s="935"/>
      <c r="B282" s="972"/>
      <c r="C282" s="972"/>
      <c r="D282" s="972"/>
      <c r="E282" s="971"/>
      <c r="F282" s="167"/>
      <c r="G282" s="972"/>
      <c r="H282" s="973"/>
      <c r="I282" s="167"/>
      <c r="J282" s="167"/>
      <c r="K282" s="972"/>
      <c r="L282" s="972"/>
      <c r="M282" s="972"/>
      <c r="N282" s="972"/>
      <c r="O282" s="976"/>
      <c r="P282" s="978"/>
      <c r="Q282" s="978"/>
      <c r="R282" s="978"/>
      <c r="S282" s="978"/>
      <c r="T282" s="978"/>
      <c r="U282" s="978"/>
      <c r="V282" s="935"/>
      <c r="W282" s="972"/>
      <c r="X282" s="935"/>
      <c r="Y282" s="935"/>
      <c r="Z282" s="935"/>
      <c r="AA282" s="935"/>
    </row>
    <row r="283">
      <c r="A283" s="935"/>
      <c r="B283" s="972"/>
      <c r="C283" s="972"/>
      <c r="D283" s="972"/>
      <c r="E283" s="971"/>
      <c r="F283" s="167"/>
      <c r="G283" s="972"/>
      <c r="H283" s="973"/>
      <c r="I283" s="167"/>
      <c r="J283" s="167"/>
      <c r="K283" s="972"/>
      <c r="L283" s="972"/>
      <c r="M283" s="972"/>
      <c r="N283" s="972"/>
      <c r="O283" s="976"/>
      <c r="P283" s="978"/>
      <c r="Q283" s="978"/>
      <c r="R283" s="978"/>
      <c r="S283" s="978"/>
      <c r="T283" s="978"/>
      <c r="U283" s="978"/>
      <c r="V283" s="935"/>
      <c r="W283" s="972"/>
      <c r="X283" s="935"/>
      <c r="Y283" s="935"/>
      <c r="Z283" s="935"/>
      <c r="AA283" s="935"/>
    </row>
    <row r="284">
      <c r="A284" s="935"/>
      <c r="B284" s="972"/>
      <c r="C284" s="972"/>
      <c r="D284" s="972"/>
      <c r="E284" s="971"/>
      <c r="F284" s="167"/>
      <c r="G284" s="972"/>
      <c r="H284" s="973"/>
      <c r="I284" s="167"/>
      <c r="J284" s="167"/>
      <c r="K284" s="972"/>
      <c r="L284" s="972"/>
      <c r="M284" s="972"/>
      <c r="N284" s="972"/>
      <c r="O284" s="976"/>
      <c r="P284" s="978"/>
      <c r="Q284" s="978"/>
      <c r="R284" s="978"/>
      <c r="S284" s="978"/>
      <c r="T284" s="978"/>
      <c r="U284" s="978"/>
      <c r="V284" s="935"/>
      <c r="W284" s="972"/>
      <c r="X284" s="935"/>
      <c r="Y284" s="935"/>
      <c r="Z284" s="935"/>
      <c r="AA284" s="935"/>
    </row>
    <row r="285">
      <c r="A285" s="935"/>
      <c r="B285" s="972"/>
      <c r="C285" s="972"/>
      <c r="D285" s="972"/>
      <c r="E285" s="971"/>
      <c r="F285" s="167"/>
      <c r="G285" s="972"/>
      <c r="H285" s="973"/>
      <c r="I285" s="167"/>
      <c r="J285" s="167"/>
      <c r="K285" s="972"/>
      <c r="L285" s="972"/>
      <c r="M285" s="972"/>
      <c r="N285" s="972"/>
      <c r="O285" s="976"/>
      <c r="P285" s="978"/>
      <c r="Q285" s="978"/>
      <c r="R285" s="978"/>
      <c r="S285" s="978"/>
      <c r="T285" s="978"/>
      <c r="U285" s="978"/>
      <c r="V285" s="935"/>
      <c r="W285" s="972"/>
      <c r="X285" s="935"/>
      <c r="Y285" s="935"/>
      <c r="Z285" s="935"/>
      <c r="AA285" s="935"/>
    </row>
    <row r="286">
      <c r="A286" s="935"/>
      <c r="B286" s="972"/>
      <c r="C286" s="972"/>
      <c r="D286" s="972"/>
      <c r="E286" s="971"/>
      <c r="F286" s="167"/>
      <c r="G286" s="972"/>
      <c r="H286" s="973"/>
      <c r="I286" s="167"/>
      <c r="J286" s="167"/>
      <c r="K286" s="972"/>
      <c r="L286" s="972"/>
      <c r="M286" s="972"/>
      <c r="N286" s="972"/>
      <c r="O286" s="976"/>
      <c r="P286" s="978"/>
      <c r="Q286" s="978"/>
      <c r="R286" s="978"/>
      <c r="S286" s="978"/>
      <c r="T286" s="978"/>
      <c r="U286" s="978"/>
      <c r="V286" s="935"/>
      <c r="W286" s="972"/>
      <c r="X286" s="935"/>
      <c r="Y286" s="935"/>
      <c r="Z286" s="935"/>
      <c r="AA286" s="935"/>
    </row>
    <row r="287">
      <c r="A287" s="935"/>
      <c r="B287" s="972"/>
      <c r="C287" s="972"/>
      <c r="D287" s="972"/>
      <c r="E287" s="971"/>
      <c r="F287" s="167"/>
      <c r="G287" s="972"/>
      <c r="H287" s="973"/>
      <c r="I287" s="167"/>
      <c r="J287" s="167"/>
      <c r="K287" s="972"/>
      <c r="L287" s="972"/>
      <c r="M287" s="972"/>
      <c r="N287" s="972"/>
      <c r="O287" s="976"/>
      <c r="P287" s="978"/>
      <c r="Q287" s="978"/>
      <c r="R287" s="978"/>
      <c r="S287" s="978"/>
      <c r="T287" s="978"/>
      <c r="U287" s="978"/>
      <c r="V287" s="935"/>
      <c r="W287" s="972"/>
      <c r="X287" s="935"/>
      <c r="Y287" s="935"/>
      <c r="Z287" s="935"/>
      <c r="AA287" s="935"/>
    </row>
    <row r="288">
      <c r="A288" s="935"/>
      <c r="B288" s="972"/>
      <c r="C288" s="972"/>
      <c r="D288" s="972"/>
      <c r="E288" s="971"/>
      <c r="F288" s="167"/>
      <c r="G288" s="972"/>
      <c r="H288" s="973"/>
      <c r="I288" s="167"/>
      <c r="J288" s="167"/>
      <c r="K288" s="972"/>
      <c r="L288" s="972"/>
      <c r="M288" s="972"/>
      <c r="N288" s="972"/>
      <c r="O288" s="976"/>
      <c r="P288" s="978"/>
      <c r="Q288" s="978"/>
      <c r="R288" s="978"/>
      <c r="S288" s="978"/>
      <c r="T288" s="978"/>
      <c r="U288" s="978"/>
      <c r="V288" s="935"/>
      <c r="W288" s="972"/>
      <c r="X288" s="935"/>
      <c r="Y288" s="935"/>
      <c r="Z288" s="935"/>
      <c r="AA288" s="935"/>
    </row>
    <row r="289">
      <c r="A289" s="935"/>
      <c r="B289" s="972"/>
      <c r="C289" s="972"/>
      <c r="D289" s="972"/>
      <c r="E289" s="971"/>
      <c r="F289" s="167"/>
      <c r="G289" s="972"/>
      <c r="H289" s="973"/>
      <c r="I289" s="167"/>
      <c r="J289" s="167"/>
      <c r="K289" s="972"/>
      <c r="L289" s="972"/>
      <c r="M289" s="972"/>
      <c r="N289" s="972"/>
      <c r="O289" s="976"/>
      <c r="P289" s="978"/>
      <c r="Q289" s="978"/>
      <c r="R289" s="978"/>
      <c r="S289" s="978"/>
      <c r="T289" s="978"/>
      <c r="U289" s="978"/>
      <c r="V289" s="935"/>
      <c r="W289" s="972"/>
      <c r="X289" s="935"/>
      <c r="Y289" s="935"/>
      <c r="Z289" s="935"/>
      <c r="AA289" s="935"/>
    </row>
    <row r="290">
      <c r="A290" s="935"/>
      <c r="B290" s="972"/>
      <c r="C290" s="972"/>
      <c r="D290" s="972"/>
      <c r="E290" s="971"/>
      <c r="F290" s="167"/>
      <c r="G290" s="972"/>
      <c r="H290" s="973"/>
      <c r="I290" s="167"/>
      <c r="J290" s="167"/>
      <c r="K290" s="972"/>
      <c r="L290" s="972"/>
      <c r="M290" s="972"/>
      <c r="N290" s="972"/>
      <c r="O290" s="976"/>
      <c r="P290" s="978"/>
      <c r="Q290" s="978"/>
      <c r="R290" s="978"/>
      <c r="S290" s="978"/>
      <c r="T290" s="978"/>
      <c r="U290" s="978"/>
      <c r="V290" s="935"/>
      <c r="W290" s="972"/>
      <c r="X290" s="935"/>
      <c r="Y290" s="935"/>
      <c r="Z290" s="935"/>
      <c r="AA290" s="935"/>
    </row>
    <row r="291">
      <c r="A291" s="935"/>
      <c r="B291" s="972"/>
      <c r="C291" s="972"/>
      <c r="D291" s="972"/>
      <c r="E291" s="971"/>
      <c r="F291" s="167"/>
      <c r="G291" s="972"/>
      <c r="H291" s="973"/>
      <c r="I291" s="167"/>
      <c r="J291" s="167"/>
      <c r="K291" s="972"/>
      <c r="L291" s="972"/>
      <c r="M291" s="972"/>
      <c r="N291" s="972"/>
      <c r="O291" s="976"/>
      <c r="P291" s="978"/>
      <c r="Q291" s="978"/>
      <c r="R291" s="978"/>
      <c r="S291" s="978"/>
      <c r="T291" s="978"/>
      <c r="U291" s="978"/>
      <c r="V291" s="935"/>
      <c r="W291" s="972"/>
      <c r="X291" s="935"/>
      <c r="Y291" s="935"/>
      <c r="Z291" s="935"/>
      <c r="AA291" s="935"/>
    </row>
    <row r="292">
      <c r="A292" s="935"/>
      <c r="B292" s="972"/>
      <c r="C292" s="972"/>
      <c r="D292" s="972"/>
      <c r="E292" s="971"/>
      <c r="F292" s="167"/>
      <c r="G292" s="972"/>
      <c r="H292" s="973"/>
      <c r="I292" s="167"/>
      <c r="J292" s="167"/>
      <c r="K292" s="972"/>
      <c r="L292" s="972"/>
      <c r="M292" s="972"/>
      <c r="N292" s="972"/>
      <c r="O292" s="976"/>
      <c r="P292" s="978"/>
      <c r="Q292" s="978"/>
      <c r="R292" s="978"/>
      <c r="S292" s="978"/>
      <c r="T292" s="978"/>
      <c r="U292" s="978"/>
      <c r="V292" s="935"/>
      <c r="W292" s="972"/>
      <c r="X292" s="935"/>
      <c r="Y292" s="935"/>
      <c r="Z292" s="935"/>
      <c r="AA292" s="935"/>
    </row>
    <row r="293">
      <c r="A293" s="935"/>
      <c r="B293" s="972"/>
      <c r="C293" s="972"/>
      <c r="D293" s="972"/>
      <c r="E293" s="971"/>
      <c r="F293" s="167"/>
      <c r="G293" s="972"/>
      <c r="H293" s="973"/>
      <c r="I293" s="167"/>
      <c r="J293" s="167"/>
      <c r="K293" s="972"/>
      <c r="L293" s="972"/>
      <c r="M293" s="972"/>
      <c r="N293" s="972"/>
      <c r="O293" s="976"/>
      <c r="P293" s="978"/>
      <c r="Q293" s="978"/>
      <c r="R293" s="978"/>
      <c r="S293" s="978"/>
      <c r="T293" s="978"/>
      <c r="U293" s="978"/>
      <c r="V293" s="935"/>
      <c r="W293" s="972"/>
      <c r="X293" s="935"/>
      <c r="Y293" s="935"/>
      <c r="Z293" s="935"/>
      <c r="AA293" s="935"/>
    </row>
    <row r="294">
      <c r="A294" s="935"/>
      <c r="B294" s="972"/>
      <c r="C294" s="972"/>
      <c r="D294" s="972"/>
      <c r="E294" s="971"/>
      <c r="F294" s="167"/>
      <c r="G294" s="972"/>
      <c r="H294" s="973"/>
      <c r="I294" s="167"/>
      <c r="J294" s="167"/>
      <c r="K294" s="972"/>
      <c r="L294" s="972"/>
      <c r="M294" s="972"/>
      <c r="N294" s="972"/>
      <c r="O294" s="976"/>
      <c r="P294" s="978"/>
      <c r="Q294" s="978"/>
      <c r="R294" s="978"/>
      <c r="S294" s="978"/>
      <c r="T294" s="978"/>
      <c r="U294" s="978"/>
      <c r="V294" s="935"/>
      <c r="W294" s="972"/>
      <c r="X294" s="935"/>
      <c r="Y294" s="935"/>
      <c r="Z294" s="935"/>
      <c r="AA294" s="935"/>
    </row>
    <row r="295">
      <c r="A295" s="935"/>
      <c r="B295" s="972"/>
      <c r="C295" s="972"/>
      <c r="D295" s="972"/>
      <c r="E295" s="971"/>
      <c r="F295" s="167"/>
      <c r="G295" s="972"/>
      <c r="H295" s="973"/>
      <c r="I295" s="167"/>
      <c r="J295" s="167"/>
      <c r="K295" s="972"/>
      <c r="L295" s="972"/>
      <c r="M295" s="972"/>
      <c r="N295" s="972"/>
      <c r="O295" s="976"/>
      <c r="P295" s="978"/>
      <c r="Q295" s="978"/>
      <c r="R295" s="978"/>
      <c r="S295" s="978"/>
      <c r="T295" s="978"/>
      <c r="U295" s="978"/>
      <c r="V295" s="935"/>
      <c r="W295" s="972"/>
      <c r="X295" s="935"/>
      <c r="Y295" s="935"/>
      <c r="Z295" s="935"/>
      <c r="AA295" s="935"/>
    </row>
    <row r="296">
      <c r="A296" s="935"/>
      <c r="B296" s="972"/>
      <c r="C296" s="972"/>
      <c r="D296" s="972"/>
      <c r="E296" s="971"/>
      <c r="F296" s="167"/>
      <c r="G296" s="972"/>
      <c r="H296" s="973"/>
      <c r="I296" s="167"/>
      <c r="J296" s="167"/>
      <c r="K296" s="972"/>
      <c r="L296" s="972"/>
      <c r="M296" s="972"/>
      <c r="N296" s="972"/>
      <c r="O296" s="976"/>
      <c r="P296" s="978"/>
      <c r="Q296" s="978"/>
      <c r="R296" s="978"/>
      <c r="S296" s="978"/>
      <c r="T296" s="978"/>
      <c r="U296" s="978"/>
      <c r="V296" s="935"/>
      <c r="W296" s="972"/>
      <c r="X296" s="935"/>
      <c r="Y296" s="935"/>
      <c r="Z296" s="935"/>
      <c r="AA296" s="935"/>
    </row>
    <row r="297">
      <c r="A297" s="935"/>
      <c r="B297" s="972"/>
      <c r="C297" s="972"/>
      <c r="D297" s="972"/>
      <c r="E297" s="971"/>
      <c r="F297" s="167"/>
      <c r="G297" s="972"/>
      <c r="H297" s="973"/>
      <c r="I297" s="167"/>
      <c r="J297" s="167"/>
      <c r="K297" s="972"/>
      <c r="L297" s="972"/>
      <c r="M297" s="972"/>
      <c r="N297" s="972"/>
      <c r="O297" s="976"/>
      <c r="P297" s="978"/>
      <c r="Q297" s="978"/>
      <c r="R297" s="978"/>
      <c r="S297" s="978"/>
      <c r="T297" s="978"/>
      <c r="U297" s="978"/>
      <c r="V297" s="935"/>
      <c r="W297" s="972"/>
      <c r="X297" s="935"/>
      <c r="Y297" s="935"/>
      <c r="Z297" s="935"/>
      <c r="AA297" s="935"/>
    </row>
    <row r="298">
      <c r="A298" s="935"/>
      <c r="B298" s="972"/>
      <c r="C298" s="972"/>
      <c r="D298" s="972"/>
      <c r="E298" s="971"/>
      <c r="F298" s="167"/>
      <c r="G298" s="972"/>
      <c r="H298" s="973"/>
      <c r="I298" s="167"/>
      <c r="J298" s="167"/>
      <c r="K298" s="972"/>
      <c r="L298" s="972"/>
      <c r="M298" s="972"/>
      <c r="N298" s="972"/>
      <c r="O298" s="976"/>
      <c r="P298" s="978"/>
      <c r="Q298" s="978"/>
      <c r="R298" s="978"/>
      <c r="S298" s="978"/>
      <c r="T298" s="978"/>
      <c r="U298" s="978"/>
      <c r="V298" s="935"/>
      <c r="W298" s="972"/>
      <c r="X298" s="935"/>
      <c r="Y298" s="935"/>
      <c r="Z298" s="935"/>
      <c r="AA298" s="935"/>
    </row>
    <row r="299">
      <c r="A299" s="935"/>
      <c r="B299" s="972"/>
      <c r="C299" s="972"/>
      <c r="D299" s="972"/>
      <c r="E299" s="971"/>
      <c r="F299" s="167"/>
      <c r="G299" s="972"/>
      <c r="H299" s="973"/>
      <c r="I299" s="167"/>
      <c r="J299" s="167"/>
      <c r="K299" s="972"/>
      <c r="L299" s="972"/>
      <c r="M299" s="972"/>
      <c r="N299" s="972"/>
      <c r="O299" s="976"/>
      <c r="P299" s="978"/>
      <c r="Q299" s="978"/>
      <c r="R299" s="978"/>
      <c r="S299" s="978"/>
      <c r="T299" s="978"/>
      <c r="U299" s="978"/>
      <c r="V299" s="935"/>
      <c r="W299" s="972"/>
      <c r="X299" s="935"/>
      <c r="Y299" s="935"/>
      <c r="Z299" s="935"/>
      <c r="AA299" s="935"/>
    </row>
    <row r="300">
      <c r="A300" s="935"/>
      <c r="B300" s="972"/>
      <c r="C300" s="972"/>
      <c r="D300" s="972"/>
      <c r="E300" s="971"/>
      <c r="F300" s="167"/>
      <c r="G300" s="972"/>
      <c r="H300" s="973"/>
      <c r="I300" s="167"/>
      <c r="J300" s="167"/>
      <c r="K300" s="972"/>
      <c r="L300" s="972"/>
      <c r="M300" s="972"/>
      <c r="N300" s="972"/>
      <c r="O300" s="976"/>
      <c r="P300" s="978"/>
      <c r="Q300" s="978"/>
      <c r="R300" s="978"/>
      <c r="S300" s="978"/>
      <c r="T300" s="978"/>
      <c r="U300" s="978"/>
      <c r="V300" s="935"/>
      <c r="W300" s="972"/>
      <c r="X300" s="935"/>
      <c r="Y300" s="935"/>
      <c r="Z300" s="935"/>
      <c r="AA300" s="935"/>
    </row>
    <row r="301">
      <c r="A301" s="935"/>
      <c r="B301" s="972"/>
      <c r="C301" s="972"/>
      <c r="D301" s="972"/>
      <c r="E301" s="971"/>
      <c r="F301" s="167"/>
      <c r="G301" s="972"/>
      <c r="H301" s="973"/>
      <c r="I301" s="167"/>
      <c r="J301" s="167"/>
      <c r="K301" s="972"/>
      <c r="L301" s="972"/>
      <c r="M301" s="972"/>
      <c r="N301" s="972"/>
      <c r="O301" s="976"/>
      <c r="P301" s="978"/>
      <c r="Q301" s="978"/>
      <c r="R301" s="978"/>
      <c r="S301" s="978"/>
      <c r="T301" s="978"/>
      <c r="U301" s="978"/>
      <c r="V301" s="935"/>
      <c r="W301" s="972"/>
      <c r="X301" s="935"/>
      <c r="Y301" s="935"/>
      <c r="Z301" s="935"/>
      <c r="AA301" s="935"/>
    </row>
    <row r="302">
      <c r="A302" s="935"/>
      <c r="B302" s="972"/>
      <c r="C302" s="972"/>
      <c r="D302" s="972"/>
      <c r="E302" s="971"/>
      <c r="F302" s="167"/>
      <c r="G302" s="972"/>
      <c r="H302" s="973"/>
      <c r="I302" s="167"/>
      <c r="J302" s="167"/>
      <c r="K302" s="972"/>
      <c r="L302" s="972"/>
      <c r="M302" s="972"/>
      <c r="N302" s="972"/>
      <c r="O302" s="976"/>
      <c r="P302" s="978"/>
      <c r="Q302" s="978"/>
      <c r="R302" s="978"/>
      <c r="S302" s="978"/>
      <c r="T302" s="978"/>
      <c r="U302" s="978"/>
      <c r="V302" s="935"/>
      <c r="W302" s="972"/>
      <c r="X302" s="935"/>
      <c r="Y302" s="935"/>
      <c r="Z302" s="935"/>
      <c r="AA302" s="935"/>
    </row>
    <row r="303">
      <c r="A303" s="935"/>
      <c r="B303" s="972"/>
      <c r="C303" s="972"/>
      <c r="D303" s="972"/>
      <c r="E303" s="971"/>
      <c r="F303" s="167"/>
      <c r="G303" s="972"/>
      <c r="H303" s="973"/>
      <c r="I303" s="167"/>
      <c r="J303" s="167"/>
      <c r="K303" s="972"/>
      <c r="L303" s="972"/>
      <c r="M303" s="972"/>
      <c r="N303" s="972"/>
      <c r="O303" s="976"/>
      <c r="P303" s="978"/>
      <c r="Q303" s="978"/>
      <c r="R303" s="978"/>
      <c r="S303" s="978"/>
      <c r="T303" s="978"/>
      <c r="U303" s="978"/>
      <c r="V303" s="935"/>
      <c r="W303" s="972"/>
      <c r="X303" s="935"/>
      <c r="Y303" s="935"/>
      <c r="Z303" s="935"/>
      <c r="AA303" s="935"/>
    </row>
    <row r="304">
      <c r="A304" s="935"/>
      <c r="B304" s="972"/>
      <c r="C304" s="972"/>
      <c r="D304" s="972"/>
      <c r="E304" s="971"/>
      <c r="F304" s="167"/>
      <c r="G304" s="972"/>
      <c r="H304" s="973"/>
      <c r="I304" s="167"/>
      <c r="J304" s="167"/>
      <c r="K304" s="972"/>
      <c r="L304" s="972"/>
      <c r="M304" s="972"/>
      <c r="N304" s="972"/>
      <c r="O304" s="976"/>
      <c r="P304" s="978"/>
      <c r="Q304" s="978"/>
      <c r="R304" s="978"/>
      <c r="S304" s="978"/>
      <c r="T304" s="978"/>
      <c r="U304" s="978"/>
      <c r="V304" s="935"/>
      <c r="W304" s="972"/>
      <c r="X304" s="935"/>
      <c r="Y304" s="935"/>
      <c r="Z304" s="935"/>
      <c r="AA304" s="935"/>
    </row>
    <row r="305">
      <c r="A305" s="935"/>
      <c r="B305" s="972"/>
      <c r="C305" s="972"/>
      <c r="D305" s="972"/>
      <c r="E305" s="971"/>
      <c r="F305" s="167"/>
      <c r="G305" s="972"/>
      <c r="H305" s="973"/>
      <c r="I305" s="167"/>
      <c r="J305" s="167"/>
      <c r="K305" s="972"/>
      <c r="L305" s="972"/>
      <c r="M305" s="972"/>
      <c r="N305" s="972"/>
      <c r="O305" s="976"/>
      <c r="P305" s="978"/>
      <c r="Q305" s="978"/>
      <c r="R305" s="978"/>
      <c r="S305" s="978"/>
      <c r="T305" s="978"/>
      <c r="U305" s="978"/>
      <c r="V305" s="935"/>
      <c r="W305" s="972"/>
      <c r="X305" s="935"/>
      <c r="Y305" s="935"/>
      <c r="Z305" s="935"/>
      <c r="AA305" s="935"/>
    </row>
    <row r="306">
      <c r="A306" s="935"/>
      <c r="B306" s="972"/>
      <c r="C306" s="972"/>
      <c r="D306" s="972"/>
      <c r="E306" s="971"/>
      <c r="F306" s="167"/>
      <c r="G306" s="972"/>
      <c r="H306" s="973"/>
      <c r="I306" s="167"/>
      <c r="J306" s="167"/>
      <c r="K306" s="972"/>
      <c r="L306" s="972"/>
      <c r="M306" s="972"/>
      <c r="N306" s="972"/>
      <c r="O306" s="976"/>
      <c r="P306" s="978"/>
      <c r="Q306" s="978"/>
      <c r="R306" s="978"/>
      <c r="S306" s="978"/>
      <c r="T306" s="978"/>
      <c r="U306" s="978"/>
      <c r="V306" s="935"/>
      <c r="W306" s="972"/>
      <c r="X306" s="935"/>
      <c r="Y306" s="935"/>
      <c r="Z306" s="935"/>
      <c r="AA306" s="935"/>
    </row>
    <row r="307">
      <c r="A307" s="935"/>
      <c r="B307" s="972"/>
      <c r="C307" s="972"/>
      <c r="D307" s="972"/>
      <c r="E307" s="971"/>
      <c r="F307" s="167"/>
      <c r="G307" s="972"/>
      <c r="H307" s="973"/>
      <c r="I307" s="167"/>
      <c r="J307" s="167"/>
      <c r="K307" s="972"/>
      <c r="L307" s="972"/>
      <c r="M307" s="972"/>
      <c r="N307" s="972"/>
      <c r="O307" s="976"/>
      <c r="P307" s="978"/>
      <c r="Q307" s="978"/>
      <c r="R307" s="978"/>
      <c r="S307" s="978"/>
      <c r="T307" s="978"/>
      <c r="U307" s="978"/>
      <c r="V307" s="935"/>
      <c r="W307" s="972"/>
      <c r="X307" s="935"/>
      <c r="Y307" s="935"/>
      <c r="Z307" s="935"/>
      <c r="AA307" s="935"/>
    </row>
    <row r="308">
      <c r="A308" s="935"/>
      <c r="B308" s="972"/>
      <c r="C308" s="972"/>
      <c r="D308" s="972"/>
      <c r="E308" s="971"/>
      <c r="F308" s="167"/>
      <c r="G308" s="972"/>
      <c r="H308" s="973"/>
      <c r="I308" s="167"/>
      <c r="J308" s="167"/>
      <c r="K308" s="972"/>
      <c r="L308" s="972"/>
      <c r="M308" s="972"/>
      <c r="N308" s="972"/>
      <c r="O308" s="976"/>
      <c r="P308" s="978"/>
      <c r="Q308" s="978"/>
      <c r="R308" s="978"/>
      <c r="S308" s="978"/>
      <c r="T308" s="978"/>
      <c r="U308" s="978"/>
      <c r="V308" s="935"/>
      <c r="W308" s="972"/>
      <c r="X308" s="935"/>
      <c r="Y308" s="935"/>
      <c r="Z308" s="935"/>
      <c r="AA308" s="935"/>
    </row>
    <row r="309">
      <c r="A309" s="935"/>
      <c r="B309" s="972"/>
      <c r="C309" s="972"/>
      <c r="D309" s="972"/>
      <c r="E309" s="971"/>
      <c r="F309" s="167"/>
      <c r="G309" s="972"/>
      <c r="H309" s="973"/>
      <c r="I309" s="167"/>
      <c r="J309" s="167"/>
      <c r="K309" s="972"/>
      <c r="L309" s="972"/>
      <c r="M309" s="972"/>
      <c r="N309" s="972"/>
      <c r="O309" s="976"/>
      <c r="P309" s="978"/>
      <c r="Q309" s="978"/>
      <c r="R309" s="978"/>
      <c r="S309" s="978"/>
      <c r="T309" s="978"/>
      <c r="U309" s="978"/>
      <c r="V309" s="935"/>
      <c r="W309" s="972"/>
      <c r="X309" s="935"/>
      <c r="Y309" s="935"/>
      <c r="Z309" s="935"/>
      <c r="AA309" s="935"/>
    </row>
    <row r="310">
      <c r="A310" s="935"/>
      <c r="B310" s="972"/>
      <c r="C310" s="972"/>
      <c r="D310" s="972"/>
      <c r="E310" s="971"/>
      <c r="F310" s="167"/>
      <c r="G310" s="972"/>
      <c r="H310" s="973"/>
      <c r="I310" s="167"/>
      <c r="J310" s="167"/>
      <c r="K310" s="972"/>
      <c r="L310" s="972"/>
      <c r="M310" s="972"/>
      <c r="N310" s="972"/>
      <c r="O310" s="976"/>
      <c r="P310" s="978"/>
      <c r="Q310" s="978"/>
      <c r="R310" s="978"/>
      <c r="S310" s="978"/>
      <c r="T310" s="978"/>
      <c r="U310" s="978"/>
      <c r="V310" s="935"/>
      <c r="W310" s="972"/>
      <c r="X310" s="935"/>
      <c r="Y310" s="935"/>
      <c r="Z310" s="935"/>
      <c r="AA310" s="935"/>
    </row>
    <row r="311">
      <c r="A311" s="935"/>
      <c r="B311" s="972"/>
      <c r="C311" s="972"/>
      <c r="D311" s="972"/>
      <c r="E311" s="971"/>
      <c r="F311" s="167"/>
      <c r="G311" s="972"/>
      <c r="H311" s="973"/>
      <c r="I311" s="167"/>
      <c r="J311" s="167"/>
      <c r="K311" s="972"/>
      <c r="L311" s="972"/>
      <c r="M311" s="972"/>
      <c r="N311" s="972"/>
      <c r="O311" s="976"/>
      <c r="P311" s="978"/>
      <c r="Q311" s="978"/>
      <c r="R311" s="978"/>
      <c r="S311" s="978"/>
      <c r="T311" s="978"/>
      <c r="U311" s="978"/>
      <c r="V311" s="935"/>
      <c r="W311" s="972"/>
      <c r="X311" s="935"/>
      <c r="Y311" s="935"/>
      <c r="Z311" s="935"/>
      <c r="AA311" s="935"/>
    </row>
    <row r="312">
      <c r="A312" s="935"/>
      <c r="B312" s="972"/>
      <c r="C312" s="972"/>
      <c r="D312" s="972"/>
      <c r="E312" s="971"/>
      <c r="F312" s="167"/>
      <c r="G312" s="972"/>
      <c r="H312" s="973"/>
      <c r="I312" s="167"/>
      <c r="J312" s="167"/>
      <c r="K312" s="972"/>
      <c r="L312" s="972"/>
      <c r="M312" s="972"/>
      <c r="N312" s="972"/>
      <c r="O312" s="976"/>
      <c r="P312" s="978"/>
      <c r="Q312" s="978"/>
      <c r="R312" s="978"/>
      <c r="S312" s="978"/>
      <c r="T312" s="978"/>
      <c r="U312" s="978"/>
      <c r="V312" s="935"/>
      <c r="W312" s="972"/>
      <c r="X312" s="935"/>
      <c r="Y312" s="935"/>
      <c r="Z312" s="935"/>
      <c r="AA312" s="935"/>
    </row>
    <row r="313">
      <c r="A313" s="935"/>
      <c r="B313" s="972"/>
      <c r="C313" s="972"/>
      <c r="D313" s="972"/>
      <c r="E313" s="971"/>
      <c r="F313" s="167"/>
      <c r="G313" s="972"/>
      <c r="H313" s="973"/>
      <c r="I313" s="167"/>
      <c r="J313" s="167"/>
      <c r="K313" s="972"/>
      <c r="L313" s="972"/>
      <c r="M313" s="972"/>
      <c r="N313" s="972"/>
      <c r="O313" s="976"/>
      <c r="P313" s="978"/>
      <c r="Q313" s="978"/>
      <c r="R313" s="978"/>
      <c r="S313" s="978"/>
      <c r="T313" s="978"/>
      <c r="U313" s="978"/>
      <c r="V313" s="935"/>
      <c r="W313" s="972"/>
      <c r="X313" s="935"/>
      <c r="Y313" s="935"/>
      <c r="Z313" s="935"/>
      <c r="AA313" s="935"/>
    </row>
    <row r="314">
      <c r="A314" s="935"/>
      <c r="B314" s="972"/>
      <c r="C314" s="972"/>
      <c r="D314" s="972"/>
      <c r="E314" s="971"/>
      <c r="F314" s="167"/>
      <c r="G314" s="972"/>
      <c r="H314" s="973"/>
      <c r="I314" s="167"/>
      <c r="J314" s="167"/>
      <c r="K314" s="972"/>
      <c r="L314" s="972"/>
      <c r="M314" s="972"/>
      <c r="N314" s="972"/>
      <c r="O314" s="976"/>
      <c r="P314" s="978"/>
      <c r="Q314" s="978"/>
      <c r="R314" s="978"/>
      <c r="S314" s="978"/>
      <c r="T314" s="978"/>
      <c r="U314" s="978"/>
      <c r="V314" s="935"/>
      <c r="W314" s="972"/>
      <c r="X314" s="935"/>
      <c r="Y314" s="935"/>
      <c r="Z314" s="935"/>
      <c r="AA314" s="935"/>
    </row>
    <row r="315">
      <c r="A315" s="935"/>
      <c r="B315" s="972"/>
      <c r="C315" s="972"/>
      <c r="D315" s="972"/>
      <c r="E315" s="971"/>
      <c r="F315" s="167"/>
      <c r="G315" s="972"/>
      <c r="H315" s="973"/>
      <c r="I315" s="167"/>
      <c r="J315" s="167"/>
      <c r="K315" s="972"/>
      <c r="L315" s="972"/>
      <c r="M315" s="972"/>
      <c r="N315" s="972"/>
      <c r="O315" s="976"/>
      <c r="P315" s="978"/>
      <c r="Q315" s="978"/>
      <c r="R315" s="978"/>
      <c r="S315" s="978"/>
      <c r="T315" s="978"/>
      <c r="U315" s="978"/>
      <c r="V315" s="935"/>
      <c r="W315" s="972"/>
      <c r="X315" s="935"/>
      <c r="Y315" s="935"/>
      <c r="Z315" s="935"/>
      <c r="AA315" s="935"/>
    </row>
    <row r="316">
      <c r="A316" s="935"/>
      <c r="B316" s="972"/>
      <c r="C316" s="972"/>
      <c r="D316" s="972"/>
      <c r="E316" s="971"/>
      <c r="F316" s="167"/>
      <c r="G316" s="972"/>
      <c r="H316" s="973"/>
      <c r="I316" s="167"/>
      <c r="J316" s="167"/>
      <c r="K316" s="972"/>
      <c r="L316" s="972"/>
      <c r="M316" s="972"/>
      <c r="N316" s="972"/>
      <c r="O316" s="976"/>
      <c r="P316" s="978"/>
      <c r="Q316" s="978"/>
      <c r="R316" s="978"/>
      <c r="S316" s="978"/>
      <c r="T316" s="978"/>
      <c r="U316" s="978"/>
      <c r="V316" s="935"/>
      <c r="W316" s="972"/>
      <c r="X316" s="935"/>
      <c r="Y316" s="935"/>
      <c r="Z316" s="935"/>
      <c r="AA316" s="935"/>
    </row>
    <row r="317">
      <c r="A317" s="935"/>
      <c r="B317" s="972"/>
      <c r="C317" s="972"/>
      <c r="D317" s="972"/>
      <c r="E317" s="971"/>
      <c r="F317" s="167"/>
      <c r="G317" s="972"/>
      <c r="H317" s="973"/>
      <c r="I317" s="167"/>
      <c r="J317" s="167"/>
      <c r="K317" s="972"/>
      <c r="L317" s="972"/>
      <c r="M317" s="972"/>
      <c r="N317" s="972"/>
      <c r="O317" s="976"/>
      <c r="P317" s="978"/>
      <c r="Q317" s="978"/>
      <c r="R317" s="978"/>
      <c r="S317" s="978"/>
      <c r="T317" s="978"/>
      <c r="U317" s="978"/>
      <c r="V317" s="935"/>
      <c r="W317" s="972"/>
      <c r="X317" s="935"/>
      <c r="Y317" s="935"/>
      <c r="Z317" s="935"/>
      <c r="AA317" s="935"/>
    </row>
    <row r="318">
      <c r="A318" s="935"/>
      <c r="B318" s="972"/>
      <c r="C318" s="972"/>
      <c r="D318" s="972"/>
      <c r="E318" s="971"/>
      <c r="F318" s="167"/>
      <c r="G318" s="972"/>
      <c r="H318" s="973"/>
      <c r="I318" s="167"/>
      <c r="J318" s="167"/>
      <c r="K318" s="972"/>
      <c r="L318" s="972"/>
      <c r="M318" s="972"/>
      <c r="N318" s="972"/>
      <c r="O318" s="976"/>
      <c r="P318" s="978"/>
      <c r="Q318" s="978"/>
      <c r="R318" s="978"/>
      <c r="S318" s="978"/>
      <c r="T318" s="978"/>
      <c r="U318" s="978"/>
      <c r="V318" s="935"/>
      <c r="W318" s="972"/>
      <c r="X318" s="935"/>
      <c r="Y318" s="935"/>
      <c r="Z318" s="935"/>
      <c r="AA318" s="935"/>
    </row>
    <row r="319">
      <c r="A319" s="935"/>
      <c r="B319" s="972"/>
      <c r="C319" s="972"/>
      <c r="D319" s="972"/>
      <c r="E319" s="971"/>
      <c r="F319" s="167"/>
      <c r="G319" s="972"/>
      <c r="H319" s="973"/>
      <c r="I319" s="167"/>
      <c r="J319" s="167"/>
      <c r="K319" s="972"/>
      <c r="L319" s="972"/>
      <c r="M319" s="972"/>
      <c r="N319" s="972"/>
      <c r="O319" s="976"/>
      <c r="P319" s="978"/>
      <c r="Q319" s="978"/>
      <c r="R319" s="978"/>
      <c r="S319" s="978"/>
      <c r="T319" s="978"/>
      <c r="U319" s="978"/>
      <c r="V319" s="935"/>
      <c r="W319" s="972"/>
      <c r="X319" s="935"/>
      <c r="Y319" s="935"/>
      <c r="Z319" s="935"/>
      <c r="AA319" s="935"/>
    </row>
    <row r="320">
      <c r="A320" s="935"/>
      <c r="B320" s="972"/>
      <c r="C320" s="972"/>
      <c r="D320" s="972"/>
      <c r="E320" s="971"/>
      <c r="F320" s="167"/>
      <c r="G320" s="972"/>
      <c r="H320" s="973"/>
      <c r="I320" s="167"/>
      <c r="J320" s="167"/>
      <c r="K320" s="972"/>
      <c r="L320" s="972"/>
      <c r="M320" s="972"/>
      <c r="N320" s="972"/>
      <c r="O320" s="976"/>
      <c r="P320" s="978"/>
      <c r="Q320" s="978"/>
      <c r="R320" s="978"/>
      <c r="S320" s="978"/>
      <c r="T320" s="978"/>
      <c r="U320" s="978"/>
      <c r="V320" s="935"/>
      <c r="W320" s="972"/>
      <c r="X320" s="935"/>
      <c r="Y320" s="935"/>
      <c r="Z320" s="935"/>
      <c r="AA320" s="935"/>
    </row>
    <row r="321">
      <c r="A321" s="935"/>
      <c r="B321" s="972"/>
      <c r="C321" s="972"/>
      <c r="D321" s="972"/>
      <c r="E321" s="971"/>
      <c r="F321" s="167"/>
      <c r="G321" s="972"/>
      <c r="H321" s="973"/>
      <c r="I321" s="167"/>
      <c r="J321" s="167"/>
      <c r="K321" s="972"/>
      <c r="L321" s="972"/>
      <c r="M321" s="972"/>
      <c r="N321" s="972"/>
      <c r="O321" s="976"/>
      <c r="P321" s="978"/>
      <c r="Q321" s="978"/>
      <c r="R321" s="978"/>
      <c r="S321" s="978"/>
      <c r="T321" s="978"/>
      <c r="U321" s="978"/>
      <c r="V321" s="935"/>
      <c r="W321" s="972"/>
      <c r="X321" s="935"/>
      <c r="Y321" s="935"/>
      <c r="Z321" s="935"/>
      <c r="AA321" s="935"/>
    </row>
    <row r="322">
      <c r="A322" s="935"/>
      <c r="B322" s="972"/>
      <c r="C322" s="972"/>
      <c r="D322" s="972"/>
      <c r="E322" s="971"/>
      <c r="F322" s="167"/>
      <c r="G322" s="972"/>
      <c r="H322" s="973"/>
      <c r="I322" s="167"/>
      <c r="J322" s="167"/>
      <c r="K322" s="972"/>
      <c r="L322" s="972"/>
      <c r="M322" s="972"/>
      <c r="N322" s="972"/>
      <c r="O322" s="976"/>
      <c r="P322" s="978"/>
      <c r="Q322" s="978"/>
      <c r="R322" s="978"/>
      <c r="S322" s="978"/>
      <c r="T322" s="978"/>
      <c r="U322" s="978"/>
      <c r="V322" s="935"/>
      <c r="W322" s="972"/>
      <c r="X322" s="935"/>
      <c r="Y322" s="935"/>
      <c r="Z322" s="935"/>
      <c r="AA322" s="935"/>
    </row>
    <row r="323">
      <c r="A323" s="935"/>
      <c r="B323" s="972"/>
      <c r="C323" s="972"/>
      <c r="D323" s="972"/>
      <c r="E323" s="971"/>
      <c r="F323" s="167"/>
      <c r="G323" s="972"/>
      <c r="H323" s="973"/>
      <c r="I323" s="167"/>
      <c r="J323" s="167"/>
      <c r="K323" s="972"/>
      <c r="L323" s="972"/>
      <c r="M323" s="972"/>
      <c r="N323" s="972"/>
      <c r="O323" s="976"/>
      <c r="P323" s="978"/>
      <c r="Q323" s="978"/>
      <c r="R323" s="978"/>
      <c r="S323" s="978"/>
      <c r="T323" s="978"/>
      <c r="U323" s="978"/>
      <c r="V323" s="935"/>
      <c r="W323" s="972"/>
      <c r="X323" s="935"/>
      <c r="Y323" s="935"/>
      <c r="Z323" s="935"/>
      <c r="AA323" s="935"/>
    </row>
    <row r="324">
      <c r="A324" s="935"/>
      <c r="B324" s="972"/>
      <c r="C324" s="972"/>
      <c r="D324" s="972"/>
      <c r="E324" s="971"/>
      <c r="F324" s="167"/>
      <c r="G324" s="972"/>
      <c r="H324" s="973"/>
      <c r="I324" s="167"/>
      <c r="J324" s="167"/>
      <c r="K324" s="972"/>
      <c r="L324" s="972"/>
      <c r="M324" s="972"/>
      <c r="N324" s="972"/>
      <c r="O324" s="976"/>
      <c r="P324" s="978"/>
      <c r="Q324" s="978"/>
      <c r="R324" s="978"/>
      <c r="S324" s="978"/>
      <c r="T324" s="978"/>
      <c r="U324" s="978"/>
      <c r="V324" s="935"/>
      <c r="W324" s="972"/>
      <c r="X324" s="935"/>
      <c r="Y324" s="935"/>
      <c r="Z324" s="935"/>
      <c r="AA324" s="935"/>
    </row>
    <row r="325">
      <c r="A325" s="935"/>
      <c r="B325" s="972"/>
      <c r="C325" s="972"/>
      <c r="D325" s="972"/>
      <c r="E325" s="971"/>
      <c r="F325" s="167"/>
      <c r="G325" s="972"/>
      <c r="H325" s="973"/>
      <c r="I325" s="167"/>
      <c r="J325" s="167"/>
      <c r="K325" s="972"/>
      <c r="L325" s="972"/>
      <c r="M325" s="972"/>
      <c r="N325" s="972"/>
      <c r="O325" s="976"/>
      <c r="P325" s="978"/>
      <c r="Q325" s="978"/>
      <c r="R325" s="978"/>
      <c r="S325" s="978"/>
      <c r="T325" s="978"/>
      <c r="U325" s="978"/>
      <c r="V325" s="935"/>
      <c r="W325" s="972"/>
      <c r="X325" s="935"/>
      <c r="Y325" s="935"/>
      <c r="Z325" s="935"/>
      <c r="AA325" s="935"/>
    </row>
    <row r="326">
      <c r="A326" s="935"/>
      <c r="B326" s="972"/>
      <c r="C326" s="972"/>
      <c r="D326" s="972"/>
      <c r="E326" s="971"/>
      <c r="F326" s="167"/>
      <c r="G326" s="972"/>
      <c r="H326" s="973"/>
      <c r="I326" s="167"/>
      <c r="J326" s="167"/>
      <c r="K326" s="972"/>
      <c r="L326" s="972"/>
      <c r="M326" s="972"/>
      <c r="N326" s="972"/>
      <c r="O326" s="976"/>
      <c r="P326" s="978"/>
      <c r="Q326" s="978"/>
      <c r="R326" s="978"/>
      <c r="S326" s="978"/>
      <c r="T326" s="978"/>
      <c r="U326" s="978"/>
      <c r="V326" s="935"/>
      <c r="W326" s="972"/>
      <c r="X326" s="935"/>
      <c r="Y326" s="935"/>
      <c r="Z326" s="935"/>
      <c r="AA326" s="935"/>
    </row>
    <row r="327">
      <c r="A327" s="935"/>
      <c r="B327" s="972"/>
      <c r="C327" s="972"/>
      <c r="D327" s="972"/>
      <c r="E327" s="971"/>
      <c r="F327" s="167"/>
      <c r="G327" s="972"/>
      <c r="H327" s="973"/>
      <c r="I327" s="167"/>
      <c r="J327" s="167"/>
      <c r="K327" s="972"/>
      <c r="L327" s="972"/>
      <c r="M327" s="972"/>
      <c r="N327" s="972"/>
      <c r="O327" s="976"/>
      <c r="P327" s="978"/>
      <c r="Q327" s="978"/>
      <c r="R327" s="978"/>
      <c r="S327" s="978"/>
      <c r="T327" s="978"/>
      <c r="U327" s="978"/>
      <c r="V327" s="935"/>
      <c r="W327" s="972"/>
      <c r="X327" s="935"/>
      <c r="Y327" s="935"/>
      <c r="Z327" s="935"/>
      <c r="AA327" s="935"/>
    </row>
    <row r="328">
      <c r="A328" s="935"/>
      <c r="B328" s="972"/>
      <c r="C328" s="972"/>
      <c r="D328" s="972"/>
      <c r="E328" s="971"/>
      <c r="F328" s="167"/>
      <c r="G328" s="972"/>
      <c r="H328" s="973"/>
      <c r="I328" s="167"/>
      <c r="J328" s="167"/>
      <c r="K328" s="972"/>
      <c r="L328" s="972"/>
      <c r="M328" s="972"/>
      <c r="N328" s="972"/>
      <c r="O328" s="976"/>
      <c r="P328" s="978"/>
      <c r="Q328" s="978"/>
      <c r="R328" s="978"/>
      <c r="S328" s="978"/>
      <c r="T328" s="978"/>
      <c r="U328" s="978"/>
      <c r="V328" s="935"/>
      <c r="W328" s="972"/>
      <c r="X328" s="935"/>
      <c r="Y328" s="935"/>
      <c r="Z328" s="935"/>
      <c r="AA328" s="935"/>
    </row>
    <row r="329">
      <c r="A329" s="935"/>
      <c r="B329" s="972"/>
      <c r="C329" s="972"/>
      <c r="D329" s="972"/>
      <c r="E329" s="971"/>
      <c r="F329" s="167"/>
      <c r="G329" s="972"/>
      <c r="H329" s="973"/>
      <c r="I329" s="167"/>
      <c r="J329" s="167"/>
      <c r="K329" s="972"/>
      <c r="L329" s="972"/>
      <c r="M329" s="972"/>
      <c r="N329" s="972"/>
      <c r="O329" s="976"/>
      <c r="P329" s="978"/>
      <c r="Q329" s="978"/>
      <c r="R329" s="978"/>
      <c r="S329" s="978"/>
      <c r="T329" s="978"/>
      <c r="U329" s="978"/>
      <c r="V329" s="935"/>
      <c r="W329" s="972"/>
      <c r="X329" s="935"/>
      <c r="Y329" s="935"/>
      <c r="Z329" s="935"/>
      <c r="AA329" s="935"/>
    </row>
    <row r="330">
      <c r="A330" s="935"/>
      <c r="B330" s="972"/>
      <c r="C330" s="972"/>
      <c r="D330" s="972"/>
      <c r="E330" s="971"/>
      <c r="F330" s="167"/>
      <c r="G330" s="972"/>
      <c r="H330" s="973"/>
      <c r="I330" s="167"/>
      <c r="J330" s="167"/>
      <c r="K330" s="972"/>
      <c r="L330" s="972"/>
      <c r="M330" s="972"/>
      <c r="N330" s="972"/>
      <c r="O330" s="976"/>
      <c r="P330" s="978"/>
      <c r="Q330" s="978"/>
      <c r="R330" s="978"/>
      <c r="S330" s="978"/>
      <c r="T330" s="978"/>
      <c r="U330" s="978"/>
      <c r="V330" s="935"/>
      <c r="W330" s="972"/>
      <c r="X330" s="935"/>
      <c r="Y330" s="935"/>
      <c r="Z330" s="935"/>
      <c r="AA330" s="935"/>
    </row>
    <row r="331">
      <c r="A331" s="935"/>
      <c r="B331" s="972"/>
      <c r="C331" s="972"/>
      <c r="D331" s="972"/>
      <c r="E331" s="971"/>
      <c r="F331" s="167"/>
      <c r="G331" s="972"/>
      <c r="H331" s="973"/>
      <c r="I331" s="167"/>
      <c r="J331" s="167"/>
      <c r="K331" s="972"/>
      <c r="L331" s="972"/>
      <c r="M331" s="972"/>
      <c r="N331" s="972"/>
      <c r="O331" s="976"/>
      <c r="P331" s="978"/>
      <c r="Q331" s="978"/>
      <c r="R331" s="978"/>
      <c r="S331" s="978"/>
      <c r="T331" s="978"/>
      <c r="U331" s="978"/>
      <c r="V331" s="935"/>
      <c r="W331" s="972"/>
      <c r="X331" s="935"/>
      <c r="Y331" s="935"/>
      <c r="Z331" s="935"/>
      <c r="AA331" s="935"/>
    </row>
    <row r="332">
      <c r="A332" s="935"/>
      <c r="B332" s="972"/>
      <c r="C332" s="972"/>
      <c r="D332" s="972"/>
      <c r="E332" s="971"/>
      <c r="F332" s="167"/>
      <c r="G332" s="972"/>
      <c r="H332" s="973"/>
      <c r="I332" s="167"/>
      <c r="J332" s="167"/>
      <c r="K332" s="972"/>
      <c r="L332" s="972"/>
      <c r="M332" s="972"/>
      <c r="N332" s="972"/>
      <c r="O332" s="976"/>
      <c r="P332" s="978"/>
      <c r="Q332" s="978"/>
      <c r="R332" s="978"/>
      <c r="S332" s="978"/>
      <c r="T332" s="978"/>
      <c r="U332" s="978"/>
      <c r="V332" s="935"/>
      <c r="W332" s="972"/>
      <c r="X332" s="935"/>
      <c r="Y332" s="935"/>
      <c r="Z332" s="935"/>
      <c r="AA332" s="935"/>
    </row>
    <row r="333">
      <c r="A333" s="935"/>
      <c r="B333" s="972"/>
      <c r="C333" s="972"/>
      <c r="D333" s="972"/>
      <c r="E333" s="971"/>
      <c r="F333" s="167"/>
      <c r="G333" s="972"/>
      <c r="H333" s="973"/>
      <c r="I333" s="167"/>
      <c r="J333" s="167"/>
      <c r="K333" s="972"/>
      <c r="L333" s="972"/>
      <c r="M333" s="972"/>
      <c r="N333" s="972"/>
      <c r="O333" s="976"/>
      <c r="P333" s="978"/>
      <c r="Q333" s="978"/>
      <c r="R333" s="978"/>
      <c r="S333" s="978"/>
      <c r="T333" s="978"/>
      <c r="U333" s="978"/>
      <c r="V333" s="935"/>
      <c r="W333" s="972"/>
      <c r="X333" s="935"/>
      <c r="Y333" s="935"/>
      <c r="Z333" s="935"/>
      <c r="AA333" s="935"/>
    </row>
    <row r="334">
      <c r="A334" s="935"/>
      <c r="B334" s="972"/>
      <c r="C334" s="972"/>
      <c r="D334" s="972"/>
      <c r="E334" s="971"/>
      <c r="F334" s="167"/>
      <c r="G334" s="972"/>
      <c r="H334" s="973"/>
      <c r="I334" s="167"/>
      <c r="J334" s="167"/>
      <c r="K334" s="972"/>
      <c r="L334" s="972"/>
      <c r="M334" s="972"/>
      <c r="N334" s="972"/>
      <c r="O334" s="976"/>
      <c r="P334" s="978"/>
      <c r="Q334" s="978"/>
      <c r="R334" s="978"/>
      <c r="S334" s="978"/>
      <c r="T334" s="978"/>
      <c r="U334" s="978"/>
      <c r="V334" s="935"/>
      <c r="W334" s="972"/>
      <c r="X334" s="935"/>
      <c r="Y334" s="935"/>
      <c r="Z334" s="935"/>
      <c r="AA334" s="935"/>
    </row>
    <row r="335">
      <c r="A335" s="935"/>
      <c r="B335" s="972"/>
      <c r="C335" s="972"/>
      <c r="D335" s="972"/>
      <c r="E335" s="971"/>
      <c r="F335" s="167"/>
      <c r="G335" s="972"/>
      <c r="H335" s="973"/>
      <c r="I335" s="167"/>
      <c r="J335" s="167"/>
      <c r="K335" s="972"/>
      <c r="L335" s="972"/>
      <c r="M335" s="972"/>
      <c r="N335" s="972"/>
      <c r="O335" s="976"/>
      <c r="P335" s="978"/>
      <c r="Q335" s="978"/>
      <c r="R335" s="978"/>
      <c r="S335" s="978"/>
      <c r="T335" s="978"/>
      <c r="U335" s="978"/>
      <c r="V335" s="935"/>
      <c r="W335" s="972"/>
      <c r="X335" s="935"/>
      <c r="Y335" s="935"/>
      <c r="Z335" s="935"/>
      <c r="AA335" s="935"/>
    </row>
    <row r="336">
      <c r="A336" s="935"/>
      <c r="B336" s="972"/>
      <c r="C336" s="972"/>
      <c r="D336" s="972"/>
      <c r="E336" s="971"/>
      <c r="F336" s="167"/>
      <c r="G336" s="972"/>
      <c r="H336" s="973"/>
      <c r="I336" s="167"/>
      <c r="J336" s="167"/>
      <c r="K336" s="972"/>
      <c r="L336" s="972"/>
      <c r="M336" s="972"/>
      <c r="N336" s="972"/>
      <c r="O336" s="976"/>
      <c r="P336" s="978"/>
      <c r="Q336" s="978"/>
      <c r="R336" s="978"/>
      <c r="S336" s="978"/>
      <c r="T336" s="978"/>
      <c r="U336" s="978"/>
      <c r="V336" s="935"/>
      <c r="W336" s="972"/>
      <c r="X336" s="935"/>
      <c r="Y336" s="935"/>
      <c r="Z336" s="935"/>
      <c r="AA336" s="935"/>
    </row>
    <row r="337">
      <c r="A337" s="935"/>
      <c r="B337" s="972"/>
      <c r="C337" s="972"/>
      <c r="D337" s="972"/>
      <c r="E337" s="971"/>
      <c r="F337" s="167"/>
      <c r="G337" s="972"/>
      <c r="H337" s="973"/>
      <c r="I337" s="167"/>
      <c r="J337" s="167"/>
      <c r="K337" s="972"/>
      <c r="L337" s="972"/>
      <c r="M337" s="972"/>
      <c r="N337" s="972"/>
      <c r="O337" s="976"/>
      <c r="P337" s="978"/>
      <c r="Q337" s="978"/>
      <c r="R337" s="978"/>
      <c r="S337" s="978"/>
      <c r="T337" s="978"/>
      <c r="U337" s="978"/>
      <c r="V337" s="935"/>
      <c r="W337" s="972"/>
      <c r="X337" s="935"/>
      <c r="Y337" s="935"/>
      <c r="Z337" s="935"/>
      <c r="AA337" s="935"/>
    </row>
    <row r="338">
      <c r="A338" s="935"/>
      <c r="B338" s="972"/>
      <c r="C338" s="972"/>
      <c r="D338" s="972"/>
      <c r="E338" s="971"/>
      <c r="F338" s="167"/>
      <c r="G338" s="972"/>
      <c r="H338" s="973"/>
      <c r="I338" s="167"/>
      <c r="J338" s="167"/>
      <c r="K338" s="972"/>
      <c r="L338" s="972"/>
      <c r="M338" s="972"/>
      <c r="N338" s="972"/>
      <c r="O338" s="976"/>
      <c r="P338" s="978"/>
      <c r="Q338" s="978"/>
      <c r="R338" s="978"/>
      <c r="S338" s="978"/>
      <c r="T338" s="978"/>
      <c r="U338" s="978"/>
      <c r="V338" s="935"/>
      <c r="W338" s="972"/>
      <c r="X338" s="935"/>
      <c r="Y338" s="935"/>
      <c r="Z338" s="935"/>
      <c r="AA338" s="935"/>
    </row>
    <row r="339">
      <c r="A339" s="935"/>
      <c r="B339" s="972"/>
      <c r="C339" s="972"/>
      <c r="D339" s="972"/>
      <c r="E339" s="971"/>
      <c r="F339" s="167"/>
      <c r="G339" s="972"/>
      <c r="H339" s="973"/>
      <c r="I339" s="167"/>
      <c r="J339" s="167"/>
      <c r="K339" s="972"/>
      <c r="L339" s="972"/>
      <c r="M339" s="972"/>
      <c r="N339" s="972"/>
      <c r="O339" s="976"/>
      <c r="P339" s="978"/>
      <c r="Q339" s="978"/>
      <c r="R339" s="978"/>
      <c r="S339" s="978"/>
      <c r="T339" s="978"/>
      <c r="U339" s="978"/>
      <c r="V339" s="935"/>
      <c r="W339" s="972"/>
      <c r="X339" s="935"/>
      <c r="Y339" s="935"/>
      <c r="Z339" s="935"/>
      <c r="AA339" s="935"/>
    </row>
    <row r="340">
      <c r="A340" s="935"/>
      <c r="B340" s="972"/>
      <c r="C340" s="972"/>
      <c r="D340" s="972"/>
      <c r="E340" s="971"/>
      <c r="F340" s="167"/>
      <c r="G340" s="972"/>
      <c r="H340" s="973"/>
      <c r="I340" s="167"/>
      <c r="J340" s="167"/>
      <c r="K340" s="972"/>
      <c r="L340" s="972"/>
      <c r="M340" s="972"/>
      <c r="N340" s="972"/>
      <c r="O340" s="976"/>
      <c r="P340" s="978"/>
      <c r="Q340" s="978"/>
      <c r="R340" s="978"/>
      <c r="S340" s="978"/>
      <c r="T340" s="978"/>
      <c r="U340" s="978"/>
      <c r="V340" s="935"/>
      <c r="W340" s="972"/>
      <c r="X340" s="935"/>
      <c r="Y340" s="935"/>
      <c r="Z340" s="935"/>
      <c r="AA340" s="935"/>
    </row>
    <row r="341">
      <c r="A341" s="935"/>
      <c r="B341" s="972"/>
      <c r="C341" s="972"/>
      <c r="D341" s="972"/>
      <c r="E341" s="971"/>
      <c r="F341" s="167"/>
      <c r="G341" s="972"/>
      <c r="H341" s="973"/>
      <c r="I341" s="167"/>
      <c r="J341" s="167"/>
      <c r="K341" s="972"/>
      <c r="L341" s="972"/>
      <c r="M341" s="972"/>
      <c r="N341" s="972"/>
      <c r="O341" s="976"/>
      <c r="P341" s="978"/>
      <c r="Q341" s="978"/>
      <c r="R341" s="978"/>
      <c r="S341" s="978"/>
      <c r="T341" s="978"/>
      <c r="U341" s="978"/>
      <c r="V341" s="935"/>
      <c r="W341" s="972"/>
      <c r="X341" s="935"/>
      <c r="Y341" s="935"/>
      <c r="Z341" s="935"/>
      <c r="AA341" s="935"/>
    </row>
    <row r="342">
      <c r="A342" s="935"/>
      <c r="B342" s="972"/>
      <c r="C342" s="972"/>
      <c r="D342" s="972"/>
      <c r="E342" s="971"/>
      <c r="F342" s="167"/>
      <c r="G342" s="972"/>
      <c r="H342" s="973"/>
      <c r="I342" s="167"/>
      <c r="J342" s="167"/>
      <c r="K342" s="972"/>
      <c r="L342" s="972"/>
      <c r="M342" s="972"/>
      <c r="N342" s="972"/>
      <c r="O342" s="976"/>
      <c r="P342" s="978"/>
      <c r="Q342" s="978"/>
      <c r="R342" s="978"/>
      <c r="S342" s="978"/>
      <c r="T342" s="978"/>
      <c r="U342" s="978"/>
      <c r="V342" s="935"/>
      <c r="W342" s="972"/>
      <c r="X342" s="935"/>
      <c r="Y342" s="935"/>
      <c r="Z342" s="935"/>
      <c r="AA342" s="935"/>
    </row>
    <row r="343">
      <c r="A343" s="935"/>
      <c r="B343" s="972"/>
      <c r="C343" s="972"/>
      <c r="D343" s="972"/>
      <c r="E343" s="971"/>
      <c r="F343" s="167"/>
      <c r="G343" s="972"/>
      <c r="H343" s="973"/>
      <c r="I343" s="167"/>
      <c r="J343" s="167"/>
      <c r="K343" s="972"/>
      <c r="L343" s="972"/>
      <c r="M343" s="972"/>
      <c r="N343" s="972"/>
      <c r="O343" s="976"/>
      <c r="P343" s="978"/>
      <c r="Q343" s="978"/>
      <c r="R343" s="978"/>
      <c r="S343" s="978"/>
      <c r="T343" s="978"/>
      <c r="U343" s="978"/>
      <c r="V343" s="935"/>
      <c r="W343" s="972"/>
      <c r="X343" s="935"/>
      <c r="Y343" s="935"/>
      <c r="Z343" s="935"/>
      <c r="AA343" s="935"/>
    </row>
    <row r="344">
      <c r="A344" s="935"/>
      <c r="B344" s="972"/>
      <c r="C344" s="972"/>
      <c r="D344" s="972"/>
      <c r="E344" s="971"/>
      <c r="F344" s="167"/>
      <c r="G344" s="972"/>
      <c r="H344" s="973"/>
      <c r="I344" s="167"/>
      <c r="J344" s="167"/>
      <c r="K344" s="972"/>
      <c r="L344" s="972"/>
      <c r="M344" s="972"/>
      <c r="N344" s="972"/>
      <c r="O344" s="976"/>
      <c r="P344" s="978"/>
      <c r="Q344" s="978"/>
      <c r="R344" s="978"/>
      <c r="S344" s="978"/>
      <c r="T344" s="978"/>
      <c r="U344" s="978"/>
      <c r="V344" s="935"/>
      <c r="W344" s="972"/>
      <c r="X344" s="935"/>
      <c r="Y344" s="935"/>
      <c r="Z344" s="935"/>
      <c r="AA344" s="935"/>
    </row>
    <row r="345">
      <c r="A345" s="935"/>
      <c r="B345" s="972"/>
      <c r="C345" s="972"/>
      <c r="D345" s="972"/>
      <c r="E345" s="971"/>
      <c r="F345" s="167"/>
      <c r="G345" s="972"/>
      <c r="H345" s="973"/>
      <c r="I345" s="167"/>
      <c r="J345" s="167"/>
      <c r="K345" s="972"/>
      <c r="L345" s="972"/>
      <c r="M345" s="972"/>
      <c r="N345" s="972"/>
      <c r="O345" s="976"/>
      <c r="P345" s="978"/>
      <c r="Q345" s="978"/>
      <c r="R345" s="978"/>
      <c r="S345" s="978"/>
      <c r="T345" s="978"/>
      <c r="U345" s="978"/>
      <c r="V345" s="935"/>
      <c r="W345" s="972"/>
      <c r="X345" s="935"/>
      <c r="Y345" s="935"/>
      <c r="Z345" s="935"/>
      <c r="AA345" s="935"/>
    </row>
    <row r="346">
      <c r="A346" s="935"/>
      <c r="B346" s="972"/>
      <c r="C346" s="972"/>
      <c r="D346" s="972"/>
      <c r="E346" s="971"/>
      <c r="F346" s="167"/>
      <c r="G346" s="972"/>
      <c r="H346" s="973"/>
      <c r="I346" s="167"/>
      <c r="J346" s="167"/>
      <c r="K346" s="972"/>
      <c r="L346" s="972"/>
      <c r="M346" s="972"/>
      <c r="N346" s="972"/>
      <c r="O346" s="976"/>
      <c r="P346" s="978"/>
      <c r="Q346" s="978"/>
      <c r="R346" s="978"/>
      <c r="S346" s="978"/>
      <c r="T346" s="978"/>
      <c r="U346" s="978"/>
      <c r="V346" s="935"/>
      <c r="W346" s="972"/>
      <c r="X346" s="935"/>
      <c r="Y346" s="935"/>
      <c r="Z346" s="935"/>
      <c r="AA346" s="935"/>
    </row>
    <row r="347">
      <c r="A347" s="935"/>
      <c r="B347" s="972"/>
      <c r="C347" s="972"/>
      <c r="D347" s="972"/>
      <c r="E347" s="971"/>
      <c r="F347" s="167"/>
      <c r="G347" s="972"/>
      <c r="H347" s="973"/>
      <c r="I347" s="167"/>
      <c r="J347" s="167"/>
      <c r="K347" s="972"/>
      <c r="L347" s="972"/>
      <c r="M347" s="972"/>
      <c r="N347" s="972"/>
      <c r="O347" s="976"/>
      <c r="P347" s="978"/>
      <c r="Q347" s="978"/>
      <c r="R347" s="978"/>
      <c r="S347" s="978"/>
      <c r="T347" s="978"/>
      <c r="U347" s="978"/>
      <c r="V347" s="935"/>
      <c r="W347" s="972"/>
      <c r="X347" s="935"/>
      <c r="Y347" s="935"/>
      <c r="Z347" s="935"/>
      <c r="AA347" s="935"/>
    </row>
    <row r="348">
      <c r="A348" s="935"/>
      <c r="B348" s="972"/>
      <c r="C348" s="972"/>
      <c r="D348" s="972"/>
      <c r="E348" s="971"/>
      <c r="F348" s="167"/>
      <c r="G348" s="972"/>
      <c r="H348" s="973"/>
      <c r="I348" s="167"/>
      <c r="J348" s="167"/>
      <c r="K348" s="972"/>
      <c r="L348" s="972"/>
      <c r="M348" s="972"/>
      <c r="N348" s="972"/>
      <c r="O348" s="976"/>
      <c r="P348" s="978"/>
      <c r="Q348" s="978"/>
      <c r="R348" s="978"/>
      <c r="S348" s="978"/>
      <c r="T348" s="978"/>
      <c r="U348" s="978"/>
      <c r="V348" s="935"/>
      <c r="W348" s="972"/>
      <c r="X348" s="935"/>
      <c r="Y348" s="935"/>
      <c r="Z348" s="935"/>
      <c r="AA348" s="935"/>
    </row>
    <row r="349">
      <c r="A349" s="935"/>
      <c r="B349" s="972"/>
      <c r="C349" s="972"/>
      <c r="D349" s="972"/>
      <c r="E349" s="971"/>
      <c r="F349" s="167"/>
      <c r="G349" s="972"/>
      <c r="H349" s="973"/>
      <c r="I349" s="167"/>
      <c r="J349" s="167"/>
      <c r="K349" s="972"/>
      <c r="L349" s="972"/>
      <c r="M349" s="972"/>
      <c r="N349" s="972"/>
      <c r="O349" s="976"/>
      <c r="P349" s="978"/>
      <c r="Q349" s="978"/>
      <c r="R349" s="978"/>
      <c r="S349" s="978"/>
      <c r="T349" s="978"/>
      <c r="U349" s="978"/>
      <c r="V349" s="935"/>
      <c r="W349" s="972"/>
      <c r="X349" s="935"/>
      <c r="Y349" s="935"/>
      <c r="Z349" s="935"/>
      <c r="AA349" s="935"/>
    </row>
    <row r="350">
      <c r="A350" s="935"/>
      <c r="B350" s="972"/>
      <c r="C350" s="972"/>
      <c r="D350" s="972"/>
      <c r="E350" s="971"/>
      <c r="F350" s="167"/>
      <c r="G350" s="972"/>
      <c r="H350" s="973"/>
      <c r="I350" s="167"/>
      <c r="J350" s="167"/>
      <c r="K350" s="972"/>
      <c r="L350" s="972"/>
      <c r="M350" s="972"/>
      <c r="N350" s="972"/>
      <c r="O350" s="976"/>
      <c r="P350" s="978"/>
      <c r="Q350" s="978"/>
      <c r="R350" s="978"/>
      <c r="S350" s="978"/>
      <c r="T350" s="978"/>
      <c r="U350" s="978"/>
      <c r="V350" s="935"/>
      <c r="W350" s="972"/>
      <c r="X350" s="935"/>
      <c r="Y350" s="935"/>
      <c r="Z350" s="935"/>
      <c r="AA350" s="935"/>
    </row>
    <row r="351">
      <c r="A351" s="935"/>
      <c r="B351" s="972"/>
      <c r="C351" s="972"/>
      <c r="D351" s="972"/>
      <c r="E351" s="971"/>
      <c r="F351" s="167"/>
      <c r="G351" s="972"/>
      <c r="H351" s="973"/>
      <c r="I351" s="167"/>
      <c r="J351" s="167"/>
      <c r="K351" s="972"/>
      <c r="L351" s="972"/>
      <c r="M351" s="972"/>
      <c r="N351" s="972"/>
      <c r="O351" s="976"/>
      <c r="P351" s="978"/>
      <c r="Q351" s="978"/>
      <c r="R351" s="978"/>
      <c r="S351" s="978"/>
      <c r="T351" s="978"/>
      <c r="U351" s="978"/>
      <c r="V351" s="935"/>
      <c r="W351" s="972"/>
      <c r="X351" s="935"/>
      <c r="Y351" s="935"/>
      <c r="Z351" s="935"/>
      <c r="AA351" s="935"/>
    </row>
    <row r="352">
      <c r="A352" s="935"/>
      <c r="B352" s="972"/>
      <c r="C352" s="972"/>
      <c r="D352" s="972"/>
      <c r="E352" s="971"/>
      <c r="F352" s="167"/>
      <c r="G352" s="972"/>
      <c r="H352" s="973"/>
      <c r="I352" s="167"/>
      <c r="J352" s="167"/>
      <c r="K352" s="972"/>
      <c r="L352" s="972"/>
      <c r="M352" s="972"/>
      <c r="N352" s="972"/>
      <c r="O352" s="976"/>
      <c r="P352" s="978"/>
      <c r="Q352" s="978"/>
      <c r="R352" s="978"/>
      <c r="S352" s="978"/>
      <c r="T352" s="978"/>
      <c r="U352" s="978"/>
      <c r="V352" s="935"/>
      <c r="W352" s="972"/>
      <c r="X352" s="935"/>
      <c r="Y352" s="935"/>
      <c r="Z352" s="935"/>
      <c r="AA352" s="935"/>
    </row>
    <row r="353">
      <c r="A353" s="935"/>
      <c r="B353" s="972"/>
      <c r="C353" s="972"/>
      <c r="D353" s="972"/>
      <c r="E353" s="971"/>
      <c r="F353" s="167"/>
      <c r="G353" s="972"/>
      <c r="H353" s="973"/>
      <c r="I353" s="167"/>
      <c r="J353" s="167"/>
      <c r="K353" s="972"/>
      <c r="L353" s="972"/>
      <c r="M353" s="972"/>
      <c r="N353" s="972"/>
      <c r="O353" s="976"/>
      <c r="P353" s="978"/>
      <c r="Q353" s="978"/>
      <c r="R353" s="978"/>
      <c r="S353" s="978"/>
      <c r="T353" s="978"/>
      <c r="U353" s="978"/>
      <c r="V353" s="935"/>
      <c r="W353" s="972"/>
      <c r="X353" s="935"/>
      <c r="Y353" s="935"/>
      <c r="Z353" s="935"/>
      <c r="AA353" s="935"/>
    </row>
    <row r="354">
      <c r="A354" s="935"/>
      <c r="B354" s="972"/>
      <c r="C354" s="972"/>
      <c r="D354" s="972"/>
      <c r="E354" s="971"/>
      <c r="F354" s="167"/>
      <c r="G354" s="972"/>
      <c r="H354" s="973"/>
      <c r="I354" s="167"/>
      <c r="J354" s="167"/>
      <c r="K354" s="972"/>
      <c r="L354" s="972"/>
      <c r="M354" s="972"/>
      <c r="N354" s="972"/>
      <c r="O354" s="976"/>
      <c r="P354" s="978"/>
      <c r="Q354" s="978"/>
      <c r="R354" s="978"/>
      <c r="S354" s="978"/>
      <c r="T354" s="978"/>
      <c r="U354" s="978"/>
      <c r="V354" s="935"/>
      <c r="W354" s="972"/>
      <c r="X354" s="935"/>
      <c r="Y354" s="935"/>
      <c r="Z354" s="935"/>
      <c r="AA354" s="935"/>
    </row>
    <row r="355">
      <c r="A355" s="935"/>
      <c r="B355" s="972"/>
      <c r="C355" s="972"/>
      <c r="D355" s="972"/>
      <c r="E355" s="971"/>
      <c r="F355" s="167"/>
      <c r="G355" s="972"/>
      <c r="H355" s="973"/>
      <c r="I355" s="167"/>
      <c r="J355" s="167"/>
      <c r="K355" s="972"/>
      <c r="L355" s="972"/>
      <c r="M355" s="972"/>
      <c r="N355" s="972"/>
      <c r="O355" s="976"/>
      <c r="P355" s="978"/>
      <c r="Q355" s="978"/>
      <c r="R355" s="978"/>
      <c r="S355" s="978"/>
      <c r="T355" s="978"/>
      <c r="U355" s="978"/>
      <c r="V355" s="935"/>
      <c r="W355" s="972"/>
      <c r="X355" s="935"/>
      <c r="Y355" s="935"/>
      <c r="Z355" s="935"/>
      <c r="AA355" s="935"/>
    </row>
    <row r="356">
      <c r="A356" s="935"/>
      <c r="B356" s="972"/>
      <c r="C356" s="972"/>
      <c r="D356" s="972"/>
      <c r="E356" s="971"/>
      <c r="F356" s="167"/>
      <c r="G356" s="972"/>
      <c r="H356" s="973"/>
      <c r="I356" s="167"/>
      <c r="J356" s="167"/>
      <c r="K356" s="972"/>
      <c r="L356" s="972"/>
      <c r="M356" s="972"/>
      <c r="N356" s="972"/>
      <c r="O356" s="976"/>
      <c r="P356" s="978"/>
      <c r="Q356" s="978"/>
      <c r="R356" s="978"/>
      <c r="S356" s="978"/>
      <c r="T356" s="978"/>
      <c r="U356" s="978"/>
      <c r="V356" s="935"/>
      <c r="W356" s="972"/>
      <c r="X356" s="935"/>
      <c r="Y356" s="935"/>
      <c r="Z356" s="935"/>
      <c r="AA356" s="935"/>
    </row>
    <row r="357">
      <c r="A357" s="935"/>
      <c r="B357" s="972"/>
      <c r="C357" s="972"/>
      <c r="D357" s="972"/>
      <c r="E357" s="971"/>
      <c r="F357" s="167"/>
      <c r="G357" s="972"/>
      <c r="H357" s="973"/>
      <c r="I357" s="167"/>
      <c r="J357" s="167"/>
      <c r="K357" s="972"/>
      <c r="L357" s="972"/>
      <c r="M357" s="972"/>
      <c r="N357" s="972"/>
      <c r="O357" s="976"/>
      <c r="P357" s="978"/>
      <c r="Q357" s="978"/>
      <c r="R357" s="978"/>
      <c r="S357" s="978"/>
      <c r="T357" s="978"/>
      <c r="U357" s="978"/>
      <c r="V357" s="935"/>
      <c r="W357" s="972"/>
      <c r="X357" s="935"/>
      <c r="Y357" s="935"/>
      <c r="Z357" s="935"/>
      <c r="AA357" s="935"/>
    </row>
    <row r="358">
      <c r="A358" s="935"/>
      <c r="B358" s="972"/>
      <c r="C358" s="972"/>
      <c r="D358" s="972"/>
      <c r="E358" s="971"/>
      <c r="F358" s="167"/>
      <c r="G358" s="972"/>
      <c r="H358" s="973"/>
      <c r="I358" s="167"/>
      <c r="J358" s="167"/>
      <c r="K358" s="972"/>
      <c r="L358" s="972"/>
      <c r="M358" s="972"/>
      <c r="N358" s="972"/>
      <c r="O358" s="976"/>
      <c r="P358" s="978"/>
      <c r="Q358" s="978"/>
      <c r="R358" s="978"/>
      <c r="S358" s="978"/>
      <c r="T358" s="978"/>
      <c r="U358" s="978"/>
      <c r="V358" s="935"/>
      <c r="W358" s="972"/>
      <c r="X358" s="935"/>
      <c r="Y358" s="935"/>
      <c r="Z358" s="935"/>
      <c r="AA358" s="935"/>
    </row>
    <row r="359">
      <c r="A359" s="935"/>
      <c r="B359" s="972"/>
      <c r="C359" s="972"/>
      <c r="D359" s="972"/>
      <c r="E359" s="971"/>
      <c r="F359" s="167"/>
      <c r="G359" s="972"/>
      <c r="H359" s="973"/>
      <c r="I359" s="167"/>
      <c r="J359" s="167"/>
      <c r="K359" s="972"/>
      <c r="L359" s="972"/>
      <c r="M359" s="972"/>
      <c r="N359" s="972"/>
      <c r="O359" s="976"/>
      <c r="P359" s="978"/>
      <c r="Q359" s="978"/>
      <c r="R359" s="978"/>
      <c r="S359" s="978"/>
      <c r="T359" s="978"/>
      <c r="U359" s="978"/>
      <c r="V359" s="935"/>
      <c r="W359" s="972"/>
      <c r="X359" s="935"/>
      <c r="Y359" s="935"/>
      <c r="Z359" s="935"/>
      <c r="AA359" s="935"/>
    </row>
    <row r="360">
      <c r="A360" s="935"/>
      <c r="B360" s="972"/>
      <c r="C360" s="972"/>
      <c r="D360" s="972"/>
      <c r="E360" s="971"/>
      <c r="F360" s="167"/>
      <c r="G360" s="972"/>
      <c r="H360" s="973"/>
      <c r="I360" s="167"/>
      <c r="J360" s="167"/>
      <c r="K360" s="972"/>
      <c r="L360" s="972"/>
      <c r="M360" s="972"/>
      <c r="N360" s="972"/>
      <c r="O360" s="976"/>
      <c r="P360" s="978"/>
      <c r="Q360" s="978"/>
      <c r="R360" s="978"/>
      <c r="S360" s="978"/>
      <c r="T360" s="978"/>
      <c r="U360" s="978"/>
      <c r="V360" s="935"/>
      <c r="W360" s="972"/>
      <c r="X360" s="935"/>
      <c r="Y360" s="935"/>
      <c r="Z360" s="935"/>
      <c r="AA360" s="935"/>
    </row>
    <row r="361">
      <c r="A361" s="935"/>
      <c r="B361" s="972"/>
      <c r="C361" s="972"/>
      <c r="D361" s="972"/>
      <c r="E361" s="971"/>
      <c r="F361" s="167"/>
      <c r="G361" s="972"/>
      <c r="H361" s="973"/>
      <c r="I361" s="167"/>
      <c r="J361" s="167"/>
      <c r="K361" s="972"/>
      <c r="L361" s="972"/>
      <c r="M361" s="972"/>
      <c r="N361" s="972"/>
      <c r="O361" s="976"/>
      <c r="P361" s="978"/>
      <c r="Q361" s="978"/>
      <c r="R361" s="978"/>
      <c r="S361" s="978"/>
      <c r="T361" s="978"/>
      <c r="U361" s="978"/>
      <c r="V361" s="935"/>
      <c r="W361" s="972"/>
      <c r="X361" s="935"/>
      <c r="Y361" s="935"/>
      <c r="Z361" s="935"/>
      <c r="AA361" s="935"/>
    </row>
    <row r="362">
      <c r="A362" s="935"/>
      <c r="B362" s="972"/>
      <c r="C362" s="972"/>
      <c r="D362" s="972"/>
      <c r="E362" s="971"/>
      <c r="F362" s="167"/>
      <c r="G362" s="972"/>
      <c r="H362" s="973"/>
      <c r="I362" s="167"/>
      <c r="J362" s="167"/>
      <c r="K362" s="972"/>
      <c r="L362" s="972"/>
      <c r="M362" s="972"/>
      <c r="N362" s="972"/>
      <c r="O362" s="976"/>
      <c r="P362" s="978"/>
      <c r="Q362" s="978"/>
      <c r="R362" s="978"/>
      <c r="S362" s="978"/>
      <c r="T362" s="978"/>
      <c r="U362" s="978"/>
      <c r="V362" s="935"/>
      <c r="W362" s="972"/>
      <c r="X362" s="935"/>
      <c r="Y362" s="935"/>
      <c r="Z362" s="935"/>
      <c r="AA362" s="935"/>
    </row>
    <row r="363">
      <c r="A363" s="935"/>
      <c r="B363" s="972"/>
      <c r="C363" s="972"/>
      <c r="D363" s="972"/>
      <c r="E363" s="971"/>
      <c r="F363" s="167"/>
      <c r="G363" s="972"/>
      <c r="H363" s="973"/>
      <c r="I363" s="167"/>
      <c r="J363" s="167"/>
      <c r="K363" s="972"/>
      <c r="L363" s="972"/>
      <c r="M363" s="972"/>
      <c r="N363" s="972"/>
      <c r="O363" s="976"/>
      <c r="P363" s="978"/>
      <c r="Q363" s="978"/>
      <c r="R363" s="978"/>
      <c r="S363" s="978"/>
      <c r="T363" s="978"/>
      <c r="U363" s="978"/>
      <c r="V363" s="935"/>
      <c r="W363" s="972"/>
      <c r="X363" s="935"/>
      <c r="Y363" s="935"/>
      <c r="Z363" s="935"/>
      <c r="AA363" s="935"/>
    </row>
    <row r="364">
      <c r="A364" s="935"/>
      <c r="B364" s="972"/>
      <c r="C364" s="972"/>
      <c r="D364" s="972"/>
      <c r="E364" s="971"/>
      <c r="F364" s="167"/>
      <c r="G364" s="972"/>
      <c r="H364" s="973"/>
      <c r="I364" s="167"/>
      <c r="J364" s="167"/>
      <c r="K364" s="972"/>
      <c r="L364" s="972"/>
      <c r="M364" s="972"/>
      <c r="N364" s="972"/>
      <c r="O364" s="976"/>
      <c r="P364" s="978"/>
      <c r="Q364" s="978"/>
      <c r="R364" s="978"/>
      <c r="S364" s="978"/>
      <c r="T364" s="978"/>
      <c r="U364" s="978"/>
      <c r="V364" s="935"/>
      <c r="W364" s="972"/>
      <c r="X364" s="935"/>
      <c r="Y364" s="935"/>
      <c r="Z364" s="935"/>
      <c r="AA364" s="935"/>
    </row>
    <row r="365">
      <c r="A365" s="935"/>
      <c r="B365" s="972"/>
      <c r="C365" s="972"/>
      <c r="D365" s="972"/>
      <c r="E365" s="971"/>
      <c r="F365" s="167"/>
      <c r="G365" s="972"/>
      <c r="H365" s="973"/>
      <c r="I365" s="167"/>
      <c r="J365" s="167"/>
      <c r="K365" s="972"/>
      <c r="L365" s="972"/>
      <c r="M365" s="972"/>
      <c r="N365" s="972"/>
      <c r="O365" s="976"/>
      <c r="P365" s="978"/>
      <c r="Q365" s="978"/>
      <c r="R365" s="978"/>
      <c r="S365" s="978"/>
      <c r="T365" s="978"/>
      <c r="U365" s="978"/>
      <c r="V365" s="935"/>
      <c r="W365" s="972"/>
      <c r="X365" s="935"/>
      <c r="Y365" s="935"/>
      <c r="Z365" s="935"/>
      <c r="AA365" s="935"/>
    </row>
    <row r="366">
      <c r="A366" s="935"/>
      <c r="B366" s="972"/>
      <c r="C366" s="972"/>
      <c r="D366" s="972"/>
      <c r="E366" s="971"/>
      <c r="F366" s="167"/>
      <c r="G366" s="972"/>
      <c r="H366" s="973"/>
      <c r="I366" s="167"/>
      <c r="J366" s="167"/>
      <c r="K366" s="972"/>
      <c r="L366" s="972"/>
      <c r="M366" s="972"/>
      <c r="N366" s="972"/>
      <c r="O366" s="976"/>
      <c r="P366" s="978"/>
      <c r="Q366" s="978"/>
      <c r="R366" s="978"/>
      <c r="S366" s="978"/>
      <c r="T366" s="978"/>
      <c r="U366" s="978"/>
      <c r="V366" s="935"/>
      <c r="W366" s="972"/>
      <c r="X366" s="935"/>
      <c r="Y366" s="935"/>
      <c r="Z366" s="935"/>
      <c r="AA366" s="935"/>
    </row>
    <row r="367">
      <c r="A367" s="935"/>
      <c r="B367" s="972"/>
      <c r="C367" s="972"/>
      <c r="D367" s="972"/>
      <c r="E367" s="971"/>
      <c r="F367" s="167"/>
      <c r="G367" s="972"/>
      <c r="H367" s="973"/>
      <c r="I367" s="167"/>
      <c r="J367" s="167"/>
      <c r="K367" s="972"/>
      <c r="L367" s="972"/>
      <c r="M367" s="972"/>
      <c r="N367" s="972"/>
      <c r="O367" s="976"/>
      <c r="P367" s="978"/>
      <c r="Q367" s="978"/>
      <c r="R367" s="978"/>
      <c r="S367" s="978"/>
      <c r="T367" s="978"/>
      <c r="U367" s="978"/>
      <c r="V367" s="935"/>
      <c r="W367" s="972"/>
      <c r="X367" s="935"/>
      <c r="Y367" s="935"/>
      <c r="Z367" s="935"/>
      <c r="AA367" s="935"/>
    </row>
    <row r="368">
      <c r="A368" s="935"/>
      <c r="B368" s="972"/>
      <c r="C368" s="972"/>
      <c r="D368" s="972"/>
      <c r="E368" s="971"/>
      <c r="F368" s="167"/>
      <c r="G368" s="972"/>
      <c r="H368" s="973"/>
      <c r="I368" s="167"/>
      <c r="J368" s="167"/>
      <c r="K368" s="972"/>
      <c r="L368" s="972"/>
      <c r="M368" s="972"/>
      <c r="N368" s="972"/>
      <c r="O368" s="976"/>
      <c r="P368" s="978"/>
      <c r="Q368" s="978"/>
      <c r="R368" s="978"/>
      <c r="S368" s="978"/>
      <c r="T368" s="978"/>
      <c r="U368" s="978"/>
      <c r="V368" s="935"/>
      <c r="W368" s="972"/>
      <c r="X368" s="935"/>
      <c r="Y368" s="935"/>
      <c r="Z368" s="935"/>
      <c r="AA368" s="935"/>
    </row>
    <row r="369">
      <c r="A369" s="935"/>
      <c r="B369" s="972"/>
      <c r="C369" s="972"/>
      <c r="D369" s="972"/>
      <c r="E369" s="971"/>
      <c r="F369" s="167"/>
      <c r="G369" s="972"/>
      <c r="H369" s="973"/>
      <c r="I369" s="167"/>
      <c r="J369" s="167"/>
      <c r="K369" s="972"/>
      <c r="L369" s="972"/>
      <c r="M369" s="972"/>
      <c r="N369" s="972"/>
      <c r="O369" s="976"/>
      <c r="P369" s="978"/>
      <c r="Q369" s="978"/>
      <c r="R369" s="978"/>
      <c r="S369" s="978"/>
      <c r="T369" s="978"/>
      <c r="U369" s="978"/>
      <c r="V369" s="935"/>
      <c r="W369" s="972"/>
      <c r="X369" s="935"/>
      <c r="Y369" s="935"/>
      <c r="Z369" s="935"/>
      <c r="AA369" s="935"/>
    </row>
    <row r="370">
      <c r="A370" s="935"/>
      <c r="B370" s="972"/>
      <c r="C370" s="972"/>
      <c r="D370" s="972"/>
      <c r="E370" s="971"/>
      <c r="F370" s="167"/>
      <c r="G370" s="972"/>
      <c r="H370" s="973"/>
      <c r="I370" s="167"/>
      <c r="J370" s="167"/>
      <c r="K370" s="972"/>
      <c r="L370" s="972"/>
      <c r="M370" s="972"/>
      <c r="N370" s="972"/>
      <c r="O370" s="976"/>
      <c r="P370" s="978"/>
      <c r="Q370" s="978"/>
      <c r="R370" s="978"/>
      <c r="S370" s="978"/>
      <c r="T370" s="978"/>
      <c r="U370" s="978"/>
      <c r="V370" s="935"/>
      <c r="W370" s="972"/>
      <c r="X370" s="935"/>
      <c r="Y370" s="935"/>
      <c r="Z370" s="935"/>
      <c r="AA370" s="935"/>
    </row>
    <row r="371">
      <c r="A371" s="935"/>
      <c r="B371" s="972"/>
      <c r="C371" s="972"/>
      <c r="D371" s="972"/>
      <c r="E371" s="971"/>
      <c r="F371" s="167"/>
      <c r="G371" s="972"/>
      <c r="H371" s="973"/>
      <c r="I371" s="167"/>
      <c r="J371" s="167"/>
      <c r="K371" s="972"/>
      <c r="L371" s="972"/>
      <c r="M371" s="972"/>
      <c r="N371" s="972"/>
      <c r="O371" s="976"/>
      <c r="P371" s="978"/>
      <c r="Q371" s="978"/>
      <c r="R371" s="978"/>
      <c r="S371" s="978"/>
      <c r="T371" s="978"/>
      <c r="U371" s="978"/>
      <c r="V371" s="935"/>
      <c r="W371" s="972"/>
      <c r="X371" s="935"/>
      <c r="Y371" s="935"/>
      <c r="Z371" s="935"/>
      <c r="AA371" s="935"/>
    </row>
    <row r="372">
      <c r="A372" s="935"/>
      <c r="B372" s="972"/>
      <c r="C372" s="972"/>
      <c r="D372" s="972"/>
      <c r="E372" s="971"/>
      <c r="F372" s="167"/>
      <c r="G372" s="972"/>
      <c r="H372" s="973"/>
      <c r="I372" s="167"/>
      <c r="J372" s="167"/>
      <c r="K372" s="972"/>
      <c r="L372" s="972"/>
      <c r="M372" s="972"/>
      <c r="N372" s="972"/>
      <c r="O372" s="976"/>
      <c r="P372" s="978"/>
      <c r="Q372" s="978"/>
      <c r="R372" s="978"/>
      <c r="S372" s="978"/>
      <c r="T372" s="978"/>
      <c r="U372" s="978"/>
      <c r="V372" s="935"/>
      <c r="W372" s="972"/>
      <c r="X372" s="935"/>
      <c r="Y372" s="935"/>
      <c r="Z372" s="935"/>
      <c r="AA372" s="935"/>
    </row>
    <row r="373">
      <c r="A373" s="935"/>
      <c r="B373" s="972"/>
      <c r="C373" s="972"/>
      <c r="D373" s="972"/>
      <c r="E373" s="971"/>
      <c r="F373" s="167"/>
      <c r="G373" s="972"/>
      <c r="H373" s="973"/>
      <c r="I373" s="167"/>
      <c r="J373" s="167"/>
      <c r="K373" s="972"/>
      <c r="L373" s="972"/>
      <c r="M373" s="972"/>
      <c r="N373" s="972"/>
      <c r="O373" s="976"/>
      <c r="P373" s="978"/>
      <c r="Q373" s="978"/>
      <c r="R373" s="978"/>
      <c r="S373" s="978"/>
      <c r="T373" s="978"/>
      <c r="U373" s="978"/>
      <c r="V373" s="935"/>
      <c r="W373" s="972"/>
      <c r="X373" s="935"/>
      <c r="Y373" s="935"/>
      <c r="Z373" s="935"/>
      <c r="AA373" s="935"/>
    </row>
    <row r="374">
      <c r="A374" s="935"/>
      <c r="B374" s="972"/>
      <c r="C374" s="972"/>
      <c r="D374" s="972"/>
      <c r="E374" s="971"/>
      <c r="F374" s="167"/>
      <c r="G374" s="972"/>
      <c r="H374" s="973"/>
      <c r="I374" s="167"/>
      <c r="J374" s="167"/>
      <c r="K374" s="972"/>
      <c r="L374" s="972"/>
      <c r="M374" s="972"/>
      <c r="N374" s="972"/>
      <c r="O374" s="976"/>
      <c r="P374" s="978"/>
      <c r="Q374" s="978"/>
      <c r="R374" s="978"/>
      <c r="S374" s="978"/>
      <c r="T374" s="978"/>
      <c r="U374" s="978"/>
      <c r="V374" s="935"/>
      <c r="W374" s="972"/>
      <c r="X374" s="935"/>
      <c r="Y374" s="935"/>
      <c r="Z374" s="935"/>
      <c r="AA374" s="935"/>
    </row>
    <row r="375">
      <c r="A375" s="935"/>
      <c r="B375" s="972"/>
      <c r="C375" s="972"/>
      <c r="D375" s="972"/>
      <c r="E375" s="971"/>
      <c r="F375" s="167"/>
      <c r="G375" s="972"/>
      <c r="H375" s="973"/>
      <c r="I375" s="167"/>
      <c r="J375" s="167"/>
      <c r="K375" s="972"/>
      <c r="L375" s="972"/>
      <c r="M375" s="972"/>
      <c r="N375" s="972"/>
      <c r="O375" s="976"/>
      <c r="P375" s="978"/>
      <c r="Q375" s="978"/>
      <c r="R375" s="978"/>
      <c r="S375" s="978"/>
      <c r="T375" s="978"/>
      <c r="U375" s="978"/>
      <c r="V375" s="935"/>
      <c r="W375" s="972"/>
      <c r="X375" s="935"/>
      <c r="Y375" s="935"/>
      <c r="Z375" s="935"/>
      <c r="AA375" s="935"/>
    </row>
    <row r="376">
      <c r="A376" s="935"/>
      <c r="B376" s="972"/>
      <c r="C376" s="972"/>
      <c r="D376" s="972"/>
      <c r="E376" s="971"/>
      <c r="F376" s="167"/>
      <c r="G376" s="972"/>
      <c r="H376" s="973"/>
      <c r="I376" s="167"/>
      <c r="J376" s="167"/>
      <c r="K376" s="972"/>
      <c r="L376" s="972"/>
      <c r="M376" s="972"/>
      <c r="N376" s="972"/>
      <c r="O376" s="976"/>
      <c r="P376" s="978"/>
      <c r="Q376" s="978"/>
      <c r="R376" s="978"/>
      <c r="S376" s="978"/>
      <c r="T376" s="978"/>
      <c r="U376" s="978"/>
      <c r="V376" s="935"/>
      <c r="W376" s="972"/>
      <c r="X376" s="935"/>
      <c r="Y376" s="935"/>
      <c r="Z376" s="935"/>
      <c r="AA376" s="935"/>
    </row>
    <row r="377">
      <c r="A377" s="935"/>
      <c r="B377" s="972"/>
      <c r="C377" s="972"/>
      <c r="D377" s="972"/>
      <c r="E377" s="971"/>
      <c r="F377" s="167"/>
      <c r="G377" s="972"/>
      <c r="H377" s="973"/>
      <c r="I377" s="167"/>
      <c r="J377" s="167"/>
      <c r="K377" s="972"/>
      <c r="L377" s="972"/>
      <c r="M377" s="972"/>
      <c r="N377" s="972"/>
      <c r="O377" s="976"/>
      <c r="P377" s="978"/>
      <c r="Q377" s="978"/>
      <c r="R377" s="978"/>
      <c r="S377" s="978"/>
      <c r="T377" s="978"/>
      <c r="U377" s="978"/>
      <c r="V377" s="935"/>
      <c r="W377" s="972"/>
      <c r="X377" s="935"/>
      <c r="Y377" s="935"/>
      <c r="Z377" s="935"/>
      <c r="AA377" s="935"/>
    </row>
    <row r="378">
      <c r="A378" s="935"/>
      <c r="B378" s="972"/>
      <c r="C378" s="972"/>
      <c r="D378" s="972"/>
      <c r="E378" s="971"/>
      <c r="F378" s="167"/>
      <c r="G378" s="972"/>
      <c r="H378" s="973"/>
      <c r="I378" s="167"/>
      <c r="J378" s="167"/>
      <c r="K378" s="972"/>
      <c r="L378" s="972"/>
      <c r="M378" s="972"/>
      <c r="N378" s="972"/>
      <c r="O378" s="976"/>
      <c r="P378" s="978"/>
      <c r="Q378" s="978"/>
      <c r="R378" s="978"/>
      <c r="S378" s="978"/>
      <c r="T378" s="978"/>
      <c r="U378" s="978"/>
      <c r="V378" s="935"/>
      <c r="W378" s="972"/>
      <c r="X378" s="935"/>
      <c r="Y378" s="935"/>
      <c r="Z378" s="935"/>
      <c r="AA378" s="935"/>
    </row>
    <row r="379">
      <c r="A379" s="935"/>
      <c r="B379" s="972"/>
      <c r="C379" s="972"/>
      <c r="D379" s="972"/>
      <c r="E379" s="971"/>
      <c r="F379" s="167"/>
      <c r="G379" s="972"/>
      <c r="H379" s="973"/>
      <c r="I379" s="167"/>
      <c r="J379" s="167"/>
      <c r="K379" s="972"/>
      <c r="L379" s="972"/>
      <c r="M379" s="972"/>
      <c r="N379" s="972"/>
      <c r="O379" s="976"/>
      <c r="P379" s="978"/>
      <c r="Q379" s="978"/>
      <c r="R379" s="978"/>
      <c r="S379" s="978"/>
      <c r="T379" s="978"/>
      <c r="U379" s="978"/>
      <c r="V379" s="935"/>
      <c r="W379" s="972"/>
      <c r="X379" s="935"/>
      <c r="Y379" s="935"/>
      <c r="Z379" s="935"/>
      <c r="AA379" s="935"/>
    </row>
    <row r="380">
      <c r="A380" s="935"/>
      <c r="B380" s="972"/>
      <c r="C380" s="972"/>
      <c r="D380" s="972"/>
      <c r="E380" s="971"/>
      <c r="F380" s="167"/>
      <c r="G380" s="972"/>
      <c r="H380" s="973"/>
      <c r="I380" s="167"/>
      <c r="J380" s="167"/>
      <c r="K380" s="972"/>
      <c r="L380" s="972"/>
      <c r="M380" s="972"/>
      <c r="N380" s="972"/>
      <c r="O380" s="976"/>
      <c r="P380" s="978"/>
      <c r="Q380" s="978"/>
      <c r="R380" s="978"/>
      <c r="S380" s="978"/>
      <c r="T380" s="978"/>
      <c r="U380" s="978"/>
      <c r="V380" s="935"/>
      <c r="W380" s="972"/>
      <c r="X380" s="935"/>
      <c r="Y380" s="935"/>
      <c r="Z380" s="935"/>
      <c r="AA380" s="935"/>
    </row>
    <row r="381">
      <c r="A381" s="935"/>
      <c r="B381" s="972"/>
      <c r="C381" s="972"/>
      <c r="D381" s="972"/>
      <c r="E381" s="971"/>
      <c r="F381" s="167"/>
      <c r="G381" s="972"/>
      <c r="H381" s="973"/>
      <c r="I381" s="167"/>
      <c r="J381" s="167"/>
      <c r="K381" s="972"/>
      <c r="L381" s="972"/>
      <c r="M381" s="972"/>
      <c r="N381" s="972"/>
      <c r="O381" s="976"/>
      <c r="P381" s="978"/>
      <c r="Q381" s="978"/>
      <c r="R381" s="978"/>
      <c r="S381" s="978"/>
      <c r="T381" s="978"/>
      <c r="U381" s="978"/>
      <c r="V381" s="935"/>
      <c r="W381" s="972"/>
      <c r="X381" s="935"/>
      <c r="Y381" s="935"/>
      <c r="Z381" s="935"/>
      <c r="AA381" s="935"/>
    </row>
    <row r="382">
      <c r="A382" s="935"/>
      <c r="B382" s="972"/>
      <c r="C382" s="972"/>
      <c r="D382" s="972"/>
      <c r="E382" s="971"/>
      <c r="F382" s="167"/>
      <c r="G382" s="972"/>
      <c r="H382" s="973"/>
      <c r="I382" s="167"/>
      <c r="J382" s="167"/>
      <c r="K382" s="972"/>
      <c r="L382" s="972"/>
      <c r="M382" s="972"/>
      <c r="N382" s="972"/>
      <c r="O382" s="976"/>
      <c r="P382" s="978"/>
      <c r="Q382" s="978"/>
      <c r="R382" s="978"/>
      <c r="S382" s="978"/>
      <c r="T382" s="978"/>
      <c r="U382" s="978"/>
      <c r="V382" s="935"/>
      <c r="W382" s="972"/>
      <c r="X382" s="935"/>
      <c r="Y382" s="935"/>
      <c r="Z382" s="935"/>
      <c r="AA382" s="935"/>
    </row>
    <row r="383">
      <c r="A383" s="935"/>
      <c r="B383" s="972"/>
      <c r="C383" s="972"/>
      <c r="D383" s="972"/>
      <c r="E383" s="971"/>
      <c r="F383" s="167"/>
      <c r="G383" s="972"/>
      <c r="H383" s="973"/>
      <c r="I383" s="167"/>
      <c r="J383" s="167"/>
      <c r="K383" s="972"/>
      <c r="L383" s="972"/>
      <c r="M383" s="972"/>
      <c r="N383" s="972"/>
      <c r="O383" s="976"/>
      <c r="P383" s="978"/>
      <c r="Q383" s="978"/>
      <c r="R383" s="978"/>
      <c r="S383" s="978"/>
      <c r="T383" s="978"/>
      <c r="U383" s="978"/>
      <c r="V383" s="935"/>
      <c r="W383" s="972"/>
      <c r="X383" s="935"/>
      <c r="Y383" s="935"/>
      <c r="Z383" s="935"/>
      <c r="AA383" s="935"/>
    </row>
    <row r="384">
      <c r="A384" s="935"/>
      <c r="B384" s="972"/>
      <c r="C384" s="972"/>
      <c r="D384" s="972"/>
      <c r="E384" s="971"/>
      <c r="F384" s="167"/>
      <c r="G384" s="972"/>
      <c r="H384" s="973"/>
      <c r="I384" s="167"/>
      <c r="J384" s="167"/>
      <c r="K384" s="972"/>
      <c r="L384" s="972"/>
      <c r="M384" s="972"/>
      <c r="N384" s="972"/>
      <c r="O384" s="976"/>
      <c r="P384" s="978"/>
      <c r="Q384" s="978"/>
      <c r="R384" s="978"/>
      <c r="S384" s="978"/>
      <c r="T384" s="978"/>
      <c r="U384" s="978"/>
      <c r="V384" s="935"/>
      <c r="W384" s="972"/>
      <c r="X384" s="935"/>
      <c r="Y384" s="935"/>
      <c r="Z384" s="935"/>
      <c r="AA384" s="935"/>
    </row>
    <row r="385">
      <c r="A385" s="935"/>
      <c r="B385" s="972"/>
      <c r="C385" s="972"/>
      <c r="D385" s="972"/>
      <c r="E385" s="971"/>
      <c r="F385" s="167"/>
      <c r="G385" s="972"/>
      <c r="H385" s="973"/>
      <c r="I385" s="167"/>
      <c r="J385" s="167"/>
      <c r="K385" s="972"/>
      <c r="L385" s="972"/>
      <c r="M385" s="972"/>
      <c r="N385" s="972"/>
      <c r="O385" s="976"/>
      <c r="P385" s="978"/>
      <c r="Q385" s="978"/>
      <c r="R385" s="978"/>
      <c r="S385" s="978"/>
      <c r="T385" s="978"/>
      <c r="U385" s="978"/>
      <c r="V385" s="935"/>
      <c r="W385" s="972"/>
      <c r="X385" s="935"/>
      <c r="Y385" s="935"/>
      <c r="Z385" s="935"/>
      <c r="AA385" s="935"/>
    </row>
    <row r="386">
      <c r="A386" s="935"/>
      <c r="B386" s="972"/>
      <c r="C386" s="972"/>
      <c r="D386" s="972"/>
      <c r="E386" s="971"/>
      <c r="F386" s="167"/>
      <c r="G386" s="972"/>
      <c r="H386" s="973"/>
      <c r="I386" s="167"/>
      <c r="J386" s="167"/>
      <c r="K386" s="972"/>
      <c r="L386" s="972"/>
      <c r="M386" s="972"/>
      <c r="N386" s="972"/>
      <c r="O386" s="976"/>
      <c r="P386" s="978"/>
      <c r="Q386" s="978"/>
      <c r="R386" s="978"/>
      <c r="S386" s="978"/>
      <c r="T386" s="978"/>
      <c r="U386" s="978"/>
      <c r="V386" s="935"/>
      <c r="W386" s="972"/>
      <c r="X386" s="935"/>
      <c r="Y386" s="935"/>
      <c r="Z386" s="935"/>
      <c r="AA386" s="935"/>
    </row>
    <row r="387">
      <c r="A387" s="935"/>
      <c r="B387" s="972"/>
      <c r="C387" s="972"/>
      <c r="D387" s="972"/>
      <c r="E387" s="971"/>
      <c r="F387" s="167"/>
      <c r="G387" s="972"/>
      <c r="H387" s="973"/>
      <c r="I387" s="167"/>
      <c r="J387" s="167"/>
      <c r="K387" s="972"/>
      <c r="L387" s="972"/>
      <c r="M387" s="972"/>
      <c r="N387" s="972"/>
      <c r="O387" s="976"/>
      <c r="P387" s="978"/>
      <c r="Q387" s="978"/>
      <c r="R387" s="978"/>
      <c r="S387" s="978"/>
      <c r="T387" s="978"/>
      <c r="U387" s="978"/>
      <c r="V387" s="935"/>
      <c r="W387" s="972"/>
      <c r="X387" s="935"/>
      <c r="Y387" s="935"/>
      <c r="Z387" s="935"/>
      <c r="AA387" s="935"/>
    </row>
    <row r="388">
      <c r="A388" s="935"/>
      <c r="B388" s="972"/>
      <c r="C388" s="972"/>
      <c r="D388" s="972"/>
      <c r="E388" s="971"/>
      <c r="F388" s="167"/>
      <c r="G388" s="972"/>
      <c r="H388" s="973"/>
      <c r="I388" s="167"/>
      <c r="J388" s="167"/>
      <c r="K388" s="972"/>
      <c r="L388" s="972"/>
      <c r="M388" s="972"/>
      <c r="N388" s="972"/>
      <c r="O388" s="976"/>
      <c r="P388" s="978"/>
      <c r="Q388" s="978"/>
      <c r="R388" s="978"/>
      <c r="S388" s="978"/>
      <c r="T388" s="978"/>
      <c r="U388" s="978"/>
      <c r="V388" s="935"/>
      <c r="W388" s="972"/>
      <c r="X388" s="935"/>
      <c r="Y388" s="935"/>
      <c r="Z388" s="935"/>
      <c r="AA388" s="935"/>
    </row>
    <row r="389">
      <c r="A389" s="935"/>
      <c r="B389" s="972"/>
      <c r="C389" s="972"/>
      <c r="D389" s="972"/>
      <c r="E389" s="971"/>
      <c r="F389" s="167"/>
      <c r="G389" s="972"/>
      <c r="H389" s="973"/>
      <c r="I389" s="167"/>
      <c r="J389" s="167"/>
      <c r="K389" s="972"/>
      <c r="L389" s="972"/>
      <c r="M389" s="972"/>
      <c r="N389" s="972"/>
      <c r="O389" s="976"/>
      <c r="P389" s="978"/>
      <c r="Q389" s="978"/>
      <c r="R389" s="978"/>
      <c r="S389" s="978"/>
      <c r="T389" s="978"/>
      <c r="U389" s="978"/>
      <c r="V389" s="935"/>
      <c r="W389" s="972"/>
      <c r="X389" s="935"/>
      <c r="Y389" s="935"/>
      <c r="Z389" s="935"/>
      <c r="AA389" s="935"/>
    </row>
    <row r="390">
      <c r="A390" s="935"/>
      <c r="B390" s="972"/>
      <c r="C390" s="972"/>
      <c r="D390" s="972"/>
      <c r="E390" s="971"/>
      <c r="F390" s="167"/>
      <c r="G390" s="972"/>
      <c r="H390" s="973"/>
      <c r="I390" s="167"/>
      <c r="J390" s="167"/>
      <c r="K390" s="972"/>
      <c r="L390" s="972"/>
      <c r="M390" s="972"/>
      <c r="N390" s="972"/>
      <c r="O390" s="976"/>
      <c r="P390" s="978"/>
      <c r="Q390" s="978"/>
      <c r="R390" s="978"/>
      <c r="S390" s="978"/>
      <c r="T390" s="978"/>
      <c r="U390" s="978"/>
      <c r="V390" s="935"/>
      <c r="W390" s="972"/>
      <c r="X390" s="935"/>
      <c r="Y390" s="935"/>
      <c r="Z390" s="935"/>
      <c r="AA390" s="935"/>
    </row>
    <row r="391">
      <c r="A391" s="935"/>
      <c r="B391" s="972"/>
      <c r="C391" s="972"/>
      <c r="D391" s="972"/>
      <c r="E391" s="971"/>
      <c r="F391" s="167"/>
      <c r="G391" s="972"/>
      <c r="H391" s="973"/>
      <c r="I391" s="167"/>
      <c r="J391" s="167"/>
      <c r="K391" s="972"/>
      <c r="L391" s="972"/>
      <c r="M391" s="972"/>
      <c r="N391" s="972"/>
      <c r="O391" s="976"/>
      <c r="P391" s="978"/>
      <c r="Q391" s="978"/>
      <c r="R391" s="978"/>
      <c r="S391" s="978"/>
      <c r="T391" s="978"/>
      <c r="U391" s="978"/>
      <c r="V391" s="935"/>
      <c r="W391" s="972"/>
      <c r="X391" s="935"/>
      <c r="Y391" s="935"/>
      <c r="Z391" s="935"/>
      <c r="AA391" s="935"/>
    </row>
    <row r="392">
      <c r="A392" s="935"/>
      <c r="B392" s="972"/>
      <c r="C392" s="972"/>
      <c r="D392" s="972"/>
      <c r="E392" s="971"/>
      <c r="F392" s="167"/>
      <c r="G392" s="972"/>
      <c r="H392" s="973"/>
      <c r="I392" s="167"/>
      <c r="J392" s="167"/>
      <c r="K392" s="972"/>
      <c r="L392" s="972"/>
      <c r="M392" s="972"/>
      <c r="N392" s="972"/>
      <c r="O392" s="976"/>
      <c r="P392" s="978"/>
      <c r="Q392" s="978"/>
      <c r="R392" s="978"/>
      <c r="S392" s="978"/>
      <c r="T392" s="978"/>
      <c r="U392" s="978"/>
      <c r="V392" s="935"/>
      <c r="W392" s="972"/>
      <c r="X392" s="935"/>
      <c r="Y392" s="935"/>
      <c r="Z392" s="935"/>
      <c r="AA392" s="935"/>
    </row>
    <row r="393">
      <c r="A393" s="935"/>
      <c r="B393" s="972"/>
      <c r="C393" s="972"/>
      <c r="D393" s="972"/>
      <c r="E393" s="971"/>
      <c r="F393" s="167"/>
      <c r="G393" s="972"/>
      <c r="H393" s="973"/>
      <c r="I393" s="167"/>
      <c r="J393" s="167"/>
      <c r="K393" s="972"/>
      <c r="L393" s="972"/>
      <c r="M393" s="972"/>
      <c r="N393" s="972"/>
      <c r="O393" s="976"/>
      <c r="P393" s="978"/>
      <c r="Q393" s="978"/>
      <c r="R393" s="978"/>
      <c r="S393" s="978"/>
      <c r="T393" s="978"/>
      <c r="U393" s="978"/>
      <c r="V393" s="935"/>
      <c r="W393" s="972"/>
      <c r="X393" s="935"/>
      <c r="Y393" s="935"/>
      <c r="Z393" s="935"/>
      <c r="AA393" s="935"/>
    </row>
    <row r="394">
      <c r="A394" s="935"/>
      <c r="B394" s="972"/>
      <c r="C394" s="972"/>
      <c r="D394" s="972"/>
      <c r="E394" s="971"/>
      <c r="F394" s="167"/>
      <c r="G394" s="972"/>
      <c r="H394" s="973"/>
      <c r="I394" s="167"/>
      <c r="J394" s="167"/>
      <c r="K394" s="972"/>
      <c r="L394" s="972"/>
      <c r="M394" s="972"/>
      <c r="N394" s="972"/>
      <c r="O394" s="976"/>
      <c r="P394" s="978"/>
      <c r="Q394" s="978"/>
      <c r="R394" s="978"/>
      <c r="S394" s="978"/>
      <c r="T394" s="978"/>
      <c r="U394" s="978"/>
      <c r="V394" s="935"/>
      <c r="W394" s="972"/>
      <c r="X394" s="935"/>
      <c r="Y394" s="935"/>
      <c r="Z394" s="935"/>
      <c r="AA394" s="935"/>
    </row>
    <row r="395">
      <c r="A395" s="935"/>
      <c r="B395" s="972"/>
      <c r="C395" s="972"/>
      <c r="D395" s="972"/>
      <c r="E395" s="971"/>
      <c r="F395" s="167"/>
      <c r="G395" s="972"/>
      <c r="H395" s="973"/>
      <c r="I395" s="167"/>
      <c r="J395" s="167"/>
      <c r="K395" s="972"/>
      <c r="L395" s="972"/>
      <c r="M395" s="972"/>
      <c r="N395" s="972"/>
      <c r="O395" s="976"/>
      <c r="P395" s="978"/>
      <c r="Q395" s="978"/>
      <c r="R395" s="978"/>
      <c r="S395" s="978"/>
      <c r="T395" s="978"/>
      <c r="U395" s="978"/>
      <c r="V395" s="935"/>
      <c r="W395" s="972"/>
      <c r="X395" s="935"/>
      <c r="Y395" s="935"/>
      <c r="Z395" s="935"/>
      <c r="AA395" s="935"/>
    </row>
    <row r="396">
      <c r="A396" s="935"/>
      <c r="B396" s="972"/>
      <c r="C396" s="972"/>
      <c r="D396" s="972"/>
      <c r="E396" s="971"/>
      <c r="F396" s="167"/>
      <c r="G396" s="972"/>
      <c r="H396" s="973"/>
      <c r="I396" s="167"/>
      <c r="J396" s="167"/>
      <c r="K396" s="972"/>
      <c r="L396" s="972"/>
      <c r="M396" s="972"/>
      <c r="N396" s="972"/>
      <c r="O396" s="976"/>
      <c r="P396" s="978"/>
      <c r="Q396" s="978"/>
      <c r="R396" s="978"/>
      <c r="S396" s="978"/>
      <c r="T396" s="978"/>
      <c r="U396" s="978"/>
      <c r="V396" s="935"/>
      <c r="W396" s="972"/>
      <c r="X396" s="935"/>
      <c r="Y396" s="935"/>
      <c r="Z396" s="935"/>
      <c r="AA396" s="935"/>
    </row>
    <row r="397">
      <c r="A397" s="935"/>
      <c r="B397" s="972"/>
      <c r="C397" s="972"/>
      <c r="D397" s="972"/>
      <c r="E397" s="971"/>
      <c r="F397" s="167"/>
      <c r="G397" s="972"/>
      <c r="H397" s="973"/>
      <c r="I397" s="167"/>
      <c r="J397" s="167"/>
      <c r="K397" s="972"/>
      <c r="L397" s="972"/>
      <c r="M397" s="972"/>
      <c r="N397" s="972"/>
      <c r="O397" s="976"/>
      <c r="P397" s="978"/>
      <c r="Q397" s="978"/>
      <c r="R397" s="978"/>
      <c r="S397" s="978"/>
      <c r="T397" s="978"/>
      <c r="U397" s="978"/>
      <c r="V397" s="935"/>
      <c r="W397" s="972"/>
      <c r="X397" s="935"/>
      <c r="Y397" s="935"/>
      <c r="Z397" s="935"/>
      <c r="AA397" s="935"/>
    </row>
    <row r="398">
      <c r="A398" s="935"/>
      <c r="B398" s="972"/>
      <c r="C398" s="972"/>
      <c r="D398" s="972"/>
      <c r="E398" s="971"/>
      <c r="F398" s="167"/>
      <c r="G398" s="972"/>
      <c r="H398" s="973"/>
      <c r="I398" s="167"/>
      <c r="J398" s="167"/>
      <c r="K398" s="972"/>
      <c r="L398" s="972"/>
      <c r="M398" s="972"/>
      <c r="N398" s="972"/>
      <c r="O398" s="976"/>
      <c r="P398" s="978"/>
      <c r="Q398" s="978"/>
      <c r="R398" s="978"/>
      <c r="S398" s="978"/>
      <c r="T398" s="978"/>
      <c r="U398" s="978"/>
      <c r="V398" s="935"/>
      <c r="W398" s="972"/>
      <c r="X398" s="935"/>
      <c r="Y398" s="935"/>
      <c r="Z398" s="935"/>
      <c r="AA398" s="935"/>
    </row>
    <row r="399">
      <c r="A399" s="935"/>
      <c r="B399" s="972"/>
      <c r="C399" s="972"/>
      <c r="D399" s="972"/>
      <c r="E399" s="971"/>
      <c r="F399" s="167"/>
      <c r="G399" s="972"/>
      <c r="H399" s="973"/>
      <c r="I399" s="167"/>
      <c r="J399" s="167"/>
      <c r="K399" s="972"/>
      <c r="L399" s="972"/>
      <c r="M399" s="972"/>
      <c r="N399" s="972"/>
      <c r="O399" s="976"/>
      <c r="P399" s="978"/>
      <c r="Q399" s="978"/>
      <c r="R399" s="978"/>
      <c r="S399" s="978"/>
      <c r="T399" s="978"/>
      <c r="U399" s="978"/>
      <c r="V399" s="935"/>
      <c r="W399" s="972"/>
      <c r="X399" s="935"/>
      <c r="Y399" s="935"/>
      <c r="Z399" s="935"/>
      <c r="AA399" s="935"/>
    </row>
    <row r="400">
      <c r="A400" s="935"/>
      <c r="B400" s="972"/>
      <c r="C400" s="972"/>
      <c r="D400" s="972"/>
      <c r="E400" s="971"/>
      <c r="F400" s="167"/>
      <c r="G400" s="972"/>
      <c r="H400" s="973"/>
      <c r="I400" s="167"/>
      <c r="J400" s="167"/>
      <c r="K400" s="972"/>
      <c r="L400" s="972"/>
      <c r="M400" s="972"/>
      <c r="N400" s="972"/>
      <c r="O400" s="976"/>
      <c r="P400" s="978"/>
      <c r="Q400" s="978"/>
      <c r="R400" s="978"/>
      <c r="S400" s="978"/>
      <c r="T400" s="978"/>
      <c r="U400" s="978"/>
      <c r="V400" s="935"/>
      <c r="W400" s="972"/>
      <c r="X400" s="935"/>
      <c r="Y400" s="935"/>
      <c r="Z400" s="935"/>
      <c r="AA400" s="935"/>
    </row>
    <row r="401">
      <c r="A401" s="935"/>
      <c r="B401" s="972"/>
      <c r="C401" s="972"/>
      <c r="D401" s="972"/>
      <c r="E401" s="971"/>
      <c r="F401" s="167"/>
      <c r="G401" s="972"/>
      <c r="H401" s="973"/>
      <c r="I401" s="167"/>
      <c r="J401" s="167"/>
      <c r="K401" s="972"/>
      <c r="L401" s="972"/>
      <c r="M401" s="972"/>
      <c r="N401" s="972"/>
      <c r="O401" s="976"/>
      <c r="P401" s="978"/>
      <c r="Q401" s="978"/>
      <c r="R401" s="978"/>
      <c r="S401" s="978"/>
      <c r="T401" s="978"/>
      <c r="U401" s="978"/>
      <c r="V401" s="935"/>
      <c r="W401" s="972"/>
      <c r="X401" s="935"/>
      <c r="Y401" s="935"/>
      <c r="Z401" s="935"/>
      <c r="AA401" s="935"/>
    </row>
    <row r="402">
      <c r="A402" s="935"/>
      <c r="B402" s="972"/>
      <c r="C402" s="972"/>
      <c r="D402" s="972"/>
      <c r="E402" s="971"/>
      <c r="F402" s="167"/>
      <c r="G402" s="972"/>
      <c r="H402" s="973"/>
      <c r="I402" s="167"/>
      <c r="J402" s="167"/>
      <c r="K402" s="972"/>
      <c r="L402" s="972"/>
      <c r="M402" s="972"/>
      <c r="N402" s="972"/>
      <c r="O402" s="976"/>
      <c r="P402" s="978"/>
      <c r="Q402" s="978"/>
      <c r="R402" s="978"/>
      <c r="S402" s="978"/>
      <c r="T402" s="978"/>
      <c r="U402" s="978"/>
      <c r="V402" s="935"/>
      <c r="W402" s="972"/>
      <c r="X402" s="935"/>
      <c r="Y402" s="935"/>
      <c r="Z402" s="935"/>
      <c r="AA402" s="935"/>
    </row>
    <row r="403">
      <c r="A403" s="935"/>
      <c r="B403" s="972"/>
      <c r="C403" s="972"/>
      <c r="D403" s="972"/>
      <c r="E403" s="971"/>
      <c r="F403" s="167"/>
      <c r="G403" s="972"/>
      <c r="H403" s="973"/>
      <c r="I403" s="167"/>
      <c r="J403" s="167"/>
      <c r="K403" s="972"/>
      <c r="L403" s="972"/>
      <c r="M403" s="972"/>
      <c r="N403" s="972"/>
      <c r="O403" s="976"/>
      <c r="P403" s="978"/>
      <c r="Q403" s="978"/>
      <c r="R403" s="978"/>
      <c r="S403" s="978"/>
      <c r="T403" s="978"/>
      <c r="U403" s="978"/>
      <c r="V403" s="935"/>
      <c r="W403" s="972"/>
      <c r="X403" s="935"/>
      <c r="Y403" s="935"/>
      <c r="Z403" s="935"/>
      <c r="AA403" s="935"/>
    </row>
    <row r="404">
      <c r="A404" s="935"/>
      <c r="B404" s="972"/>
      <c r="C404" s="972"/>
      <c r="D404" s="972"/>
      <c r="E404" s="971"/>
      <c r="F404" s="167"/>
      <c r="G404" s="972"/>
      <c r="H404" s="973"/>
      <c r="I404" s="167"/>
      <c r="J404" s="167"/>
      <c r="K404" s="972"/>
      <c r="L404" s="972"/>
      <c r="M404" s="972"/>
      <c r="N404" s="972"/>
      <c r="O404" s="976"/>
      <c r="P404" s="978"/>
      <c r="Q404" s="978"/>
      <c r="R404" s="978"/>
      <c r="S404" s="978"/>
      <c r="T404" s="978"/>
      <c r="U404" s="978"/>
      <c r="V404" s="935"/>
      <c r="W404" s="972"/>
      <c r="X404" s="935"/>
      <c r="Y404" s="935"/>
      <c r="Z404" s="935"/>
      <c r="AA404" s="935"/>
    </row>
    <row r="405">
      <c r="A405" s="935"/>
      <c r="B405" s="972"/>
      <c r="C405" s="972"/>
      <c r="D405" s="972"/>
      <c r="E405" s="971"/>
      <c r="F405" s="167"/>
      <c r="G405" s="972"/>
      <c r="H405" s="973"/>
      <c r="I405" s="167"/>
      <c r="J405" s="167"/>
      <c r="K405" s="972"/>
      <c r="L405" s="972"/>
      <c r="M405" s="972"/>
      <c r="N405" s="972"/>
      <c r="O405" s="976"/>
      <c r="P405" s="978"/>
      <c r="Q405" s="978"/>
      <c r="R405" s="978"/>
      <c r="S405" s="978"/>
      <c r="T405" s="978"/>
      <c r="U405" s="978"/>
      <c r="V405" s="935"/>
      <c r="W405" s="972"/>
      <c r="X405" s="935"/>
      <c r="Y405" s="935"/>
      <c r="Z405" s="935"/>
      <c r="AA405" s="935"/>
    </row>
    <row r="406">
      <c r="A406" s="935"/>
      <c r="B406" s="972"/>
      <c r="C406" s="972"/>
      <c r="D406" s="972"/>
      <c r="E406" s="971"/>
      <c r="F406" s="167"/>
      <c r="G406" s="972"/>
      <c r="H406" s="973"/>
      <c r="I406" s="167"/>
      <c r="J406" s="167"/>
      <c r="K406" s="972"/>
      <c r="L406" s="972"/>
      <c r="M406" s="972"/>
      <c r="N406" s="972"/>
      <c r="O406" s="976"/>
      <c r="P406" s="978"/>
      <c r="Q406" s="978"/>
      <c r="R406" s="978"/>
      <c r="S406" s="978"/>
      <c r="T406" s="978"/>
      <c r="U406" s="978"/>
      <c r="V406" s="935"/>
      <c r="W406" s="972"/>
      <c r="X406" s="935"/>
      <c r="Y406" s="935"/>
      <c r="Z406" s="935"/>
      <c r="AA406" s="935"/>
    </row>
    <row r="407">
      <c r="A407" s="935"/>
      <c r="B407" s="972"/>
      <c r="C407" s="972"/>
      <c r="D407" s="972"/>
      <c r="E407" s="971"/>
      <c r="F407" s="167"/>
      <c r="G407" s="972"/>
      <c r="H407" s="973"/>
      <c r="I407" s="167"/>
      <c r="J407" s="167"/>
      <c r="K407" s="972"/>
      <c r="L407" s="972"/>
      <c r="M407" s="972"/>
      <c r="N407" s="972"/>
      <c r="O407" s="976"/>
      <c r="P407" s="978"/>
      <c r="Q407" s="978"/>
      <c r="R407" s="978"/>
      <c r="S407" s="978"/>
      <c r="T407" s="978"/>
      <c r="U407" s="978"/>
      <c r="V407" s="935"/>
      <c r="W407" s="972"/>
      <c r="X407" s="935"/>
      <c r="Y407" s="935"/>
      <c r="Z407" s="935"/>
      <c r="AA407" s="935"/>
    </row>
    <row r="408">
      <c r="A408" s="935"/>
      <c r="B408" s="972"/>
      <c r="C408" s="972"/>
      <c r="D408" s="972"/>
      <c r="E408" s="971"/>
      <c r="F408" s="167"/>
      <c r="G408" s="972"/>
      <c r="H408" s="973"/>
      <c r="I408" s="167"/>
      <c r="J408" s="167"/>
      <c r="K408" s="972"/>
      <c r="L408" s="972"/>
      <c r="M408" s="972"/>
      <c r="N408" s="972"/>
      <c r="O408" s="976"/>
      <c r="P408" s="978"/>
      <c r="Q408" s="978"/>
      <c r="R408" s="978"/>
      <c r="S408" s="978"/>
      <c r="T408" s="978"/>
      <c r="U408" s="978"/>
      <c r="V408" s="935"/>
      <c r="W408" s="972"/>
      <c r="X408" s="935"/>
      <c r="Y408" s="935"/>
      <c r="Z408" s="935"/>
      <c r="AA408" s="935"/>
    </row>
    <row r="409">
      <c r="A409" s="935"/>
      <c r="B409" s="972"/>
      <c r="C409" s="972"/>
      <c r="D409" s="972"/>
      <c r="E409" s="971"/>
      <c r="F409" s="167"/>
      <c r="G409" s="972"/>
      <c r="H409" s="973"/>
      <c r="I409" s="167"/>
      <c r="J409" s="167"/>
      <c r="K409" s="972"/>
      <c r="L409" s="972"/>
      <c r="M409" s="972"/>
      <c r="N409" s="972"/>
      <c r="O409" s="976"/>
      <c r="P409" s="978"/>
      <c r="Q409" s="978"/>
      <c r="R409" s="978"/>
      <c r="S409" s="978"/>
      <c r="T409" s="978"/>
      <c r="U409" s="978"/>
      <c r="V409" s="935"/>
      <c r="W409" s="972"/>
      <c r="X409" s="935"/>
      <c r="Y409" s="935"/>
      <c r="Z409" s="935"/>
      <c r="AA409" s="935"/>
    </row>
    <row r="410">
      <c r="A410" s="935"/>
      <c r="B410" s="972"/>
      <c r="C410" s="972"/>
      <c r="D410" s="972"/>
      <c r="E410" s="971"/>
      <c r="F410" s="167"/>
      <c r="G410" s="972"/>
      <c r="H410" s="973"/>
      <c r="I410" s="167"/>
      <c r="J410" s="167"/>
      <c r="K410" s="972"/>
      <c r="L410" s="972"/>
      <c r="M410" s="972"/>
      <c r="N410" s="972"/>
      <c r="O410" s="976"/>
      <c r="P410" s="978"/>
      <c r="Q410" s="978"/>
      <c r="R410" s="978"/>
      <c r="S410" s="978"/>
      <c r="T410" s="978"/>
      <c r="U410" s="978"/>
      <c r="V410" s="935"/>
      <c r="W410" s="972"/>
      <c r="X410" s="935"/>
      <c r="Y410" s="935"/>
      <c r="Z410" s="935"/>
      <c r="AA410" s="935"/>
    </row>
    <row r="411">
      <c r="A411" s="935"/>
      <c r="B411" s="972"/>
      <c r="C411" s="972"/>
      <c r="D411" s="972"/>
      <c r="E411" s="971"/>
      <c r="F411" s="167"/>
      <c r="G411" s="972"/>
      <c r="H411" s="973"/>
      <c r="I411" s="167"/>
      <c r="J411" s="167"/>
      <c r="K411" s="972"/>
      <c r="L411" s="972"/>
      <c r="M411" s="972"/>
      <c r="N411" s="972"/>
      <c r="O411" s="976"/>
      <c r="P411" s="978"/>
      <c r="Q411" s="978"/>
      <c r="R411" s="978"/>
      <c r="S411" s="978"/>
      <c r="T411" s="978"/>
      <c r="U411" s="978"/>
      <c r="V411" s="935"/>
      <c r="W411" s="972"/>
      <c r="X411" s="935"/>
      <c r="Y411" s="935"/>
      <c r="Z411" s="935"/>
      <c r="AA411" s="935"/>
    </row>
    <row r="412">
      <c r="A412" s="935"/>
      <c r="B412" s="972"/>
      <c r="C412" s="972"/>
      <c r="D412" s="972"/>
      <c r="E412" s="971"/>
      <c r="F412" s="167"/>
      <c r="G412" s="972"/>
      <c r="H412" s="973"/>
      <c r="I412" s="167"/>
      <c r="J412" s="167"/>
      <c r="K412" s="972"/>
      <c r="L412" s="972"/>
      <c r="M412" s="972"/>
      <c r="N412" s="972"/>
      <c r="O412" s="976"/>
      <c r="P412" s="978"/>
      <c r="Q412" s="978"/>
      <c r="R412" s="978"/>
      <c r="S412" s="978"/>
      <c r="T412" s="978"/>
      <c r="U412" s="978"/>
      <c r="V412" s="935"/>
      <c r="W412" s="972"/>
      <c r="X412" s="935"/>
      <c r="Y412" s="935"/>
      <c r="Z412" s="935"/>
      <c r="AA412" s="935"/>
    </row>
    <row r="413">
      <c r="A413" s="935"/>
      <c r="B413" s="972"/>
      <c r="C413" s="972"/>
      <c r="D413" s="972"/>
      <c r="E413" s="971"/>
      <c r="F413" s="167"/>
      <c r="G413" s="972"/>
      <c r="H413" s="973"/>
      <c r="I413" s="167"/>
      <c r="J413" s="167"/>
      <c r="K413" s="972"/>
      <c r="L413" s="972"/>
      <c r="M413" s="972"/>
      <c r="N413" s="972"/>
      <c r="O413" s="976"/>
      <c r="P413" s="978"/>
      <c r="Q413" s="978"/>
      <c r="R413" s="978"/>
      <c r="S413" s="978"/>
      <c r="T413" s="978"/>
      <c r="U413" s="978"/>
      <c r="V413" s="935"/>
      <c r="W413" s="972"/>
      <c r="X413" s="935"/>
      <c r="Y413" s="935"/>
      <c r="Z413" s="935"/>
      <c r="AA413" s="935"/>
    </row>
    <row r="414">
      <c r="A414" s="935"/>
      <c r="B414" s="972"/>
      <c r="C414" s="972"/>
      <c r="D414" s="972"/>
      <c r="E414" s="971"/>
      <c r="F414" s="167"/>
      <c r="G414" s="972"/>
      <c r="H414" s="973"/>
      <c r="I414" s="167"/>
      <c r="J414" s="167"/>
      <c r="K414" s="972"/>
      <c r="L414" s="972"/>
      <c r="M414" s="972"/>
      <c r="N414" s="972"/>
      <c r="O414" s="976"/>
      <c r="P414" s="978"/>
      <c r="Q414" s="978"/>
      <c r="R414" s="978"/>
      <c r="S414" s="978"/>
      <c r="T414" s="978"/>
      <c r="U414" s="978"/>
      <c r="V414" s="935"/>
      <c r="W414" s="972"/>
      <c r="X414" s="935"/>
      <c r="Y414" s="935"/>
      <c r="Z414" s="935"/>
      <c r="AA414" s="935"/>
    </row>
    <row r="415">
      <c r="A415" s="935"/>
      <c r="B415" s="972"/>
      <c r="C415" s="972"/>
      <c r="D415" s="972"/>
      <c r="E415" s="971"/>
      <c r="F415" s="167"/>
      <c r="G415" s="972"/>
      <c r="H415" s="973"/>
      <c r="I415" s="167"/>
      <c r="J415" s="167"/>
      <c r="K415" s="972"/>
      <c r="L415" s="972"/>
      <c r="M415" s="972"/>
      <c r="N415" s="972"/>
      <c r="O415" s="976"/>
      <c r="P415" s="978"/>
      <c r="Q415" s="978"/>
      <c r="R415" s="978"/>
      <c r="S415" s="978"/>
      <c r="T415" s="978"/>
      <c r="U415" s="978"/>
      <c r="V415" s="935"/>
      <c r="W415" s="972"/>
      <c r="X415" s="935"/>
      <c r="Y415" s="935"/>
      <c r="Z415" s="935"/>
      <c r="AA415" s="935"/>
    </row>
    <row r="416">
      <c r="A416" s="935"/>
      <c r="B416" s="972"/>
      <c r="C416" s="972"/>
      <c r="D416" s="972"/>
      <c r="E416" s="971"/>
      <c r="F416" s="167"/>
      <c r="G416" s="972"/>
      <c r="H416" s="973"/>
      <c r="I416" s="167"/>
      <c r="J416" s="167"/>
      <c r="K416" s="972"/>
      <c r="L416" s="972"/>
      <c r="M416" s="972"/>
      <c r="N416" s="972"/>
      <c r="O416" s="976"/>
      <c r="P416" s="978"/>
      <c r="Q416" s="978"/>
      <c r="R416" s="978"/>
      <c r="S416" s="978"/>
      <c r="T416" s="978"/>
      <c r="U416" s="978"/>
      <c r="V416" s="935"/>
      <c r="W416" s="972"/>
      <c r="X416" s="935"/>
      <c r="Y416" s="935"/>
      <c r="Z416" s="935"/>
      <c r="AA416" s="935"/>
    </row>
    <row r="417">
      <c r="A417" s="935"/>
      <c r="B417" s="972"/>
      <c r="C417" s="972"/>
      <c r="D417" s="972"/>
      <c r="E417" s="971"/>
      <c r="F417" s="167"/>
      <c r="G417" s="972"/>
      <c r="H417" s="973"/>
      <c r="I417" s="167"/>
      <c r="J417" s="167"/>
      <c r="K417" s="972"/>
      <c r="L417" s="972"/>
      <c r="M417" s="972"/>
      <c r="N417" s="972"/>
      <c r="O417" s="976"/>
      <c r="P417" s="978"/>
      <c r="Q417" s="978"/>
      <c r="R417" s="978"/>
      <c r="S417" s="978"/>
      <c r="T417" s="978"/>
      <c r="U417" s="978"/>
      <c r="V417" s="935"/>
      <c r="W417" s="972"/>
      <c r="X417" s="935"/>
      <c r="Y417" s="935"/>
      <c r="Z417" s="935"/>
      <c r="AA417" s="935"/>
    </row>
    <row r="418">
      <c r="A418" s="935"/>
      <c r="B418" s="972"/>
      <c r="C418" s="972"/>
      <c r="D418" s="972"/>
      <c r="E418" s="971"/>
      <c r="F418" s="167"/>
      <c r="G418" s="972"/>
      <c r="H418" s="973"/>
      <c r="I418" s="167"/>
      <c r="J418" s="167"/>
      <c r="K418" s="972"/>
      <c r="L418" s="972"/>
      <c r="M418" s="972"/>
      <c r="N418" s="972"/>
      <c r="O418" s="976"/>
      <c r="P418" s="978"/>
      <c r="Q418" s="978"/>
      <c r="R418" s="978"/>
      <c r="S418" s="978"/>
      <c r="T418" s="978"/>
      <c r="U418" s="978"/>
      <c r="V418" s="935"/>
      <c r="W418" s="972"/>
      <c r="X418" s="935"/>
      <c r="Y418" s="935"/>
      <c r="Z418" s="935"/>
      <c r="AA418" s="935"/>
    </row>
    <row r="419">
      <c r="A419" s="935"/>
      <c r="B419" s="972"/>
      <c r="C419" s="972"/>
      <c r="D419" s="972"/>
      <c r="E419" s="971"/>
      <c r="F419" s="167"/>
      <c r="G419" s="972"/>
      <c r="H419" s="973"/>
      <c r="I419" s="167"/>
      <c r="J419" s="167"/>
      <c r="K419" s="972"/>
      <c r="L419" s="972"/>
      <c r="M419" s="972"/>
      <c r="N419" s="972"/>
      <c r="O419" s="976"/>
      <c r="P419" s="978"/>
      <c r="Q419" s="978"/>
      <c r="R419" s="978"/>
      <c r="S419" s="978"/>
      <c r="T419" s="978"/>
      <c r="U419" s="978"/>
      <c r="V419" s="935"/>
      <c r="W419" s="972"/>
      <c r="X419" s="935"/>
      <c r="Y419" s="935"/>
      <c r="Z419" s="935"/>
      <c r="AA419" s="935"/>
    </row>
    <row r="420">
      <c r="A420" s="935"/>
      <c r="B420" s="972"/>
      <c r="C420" s="972"/>
      <c r="D420" s="972"/>
      <c r="E420" s="971"/>
      <c r="F420" s="167"/>
      <c r="G420" s="972"/>
      <c r="H420" s="973"/>
      <c r="I420" s="167"/>
      <c r="J420" s="167"/>
      <c r="K420" s="972"/>
      <c r="L420" s="972"/>
      <c r="M420" s="972"/>
      <c r="N420" s="972"/>
      <c r="O420" s="976"/>
      <c r="P420" s="978"/>
      <c r="Q420" s="978"/>
      <c r="R420" s="978"/>
      <c r="S420" s="978"/>
      <c r="T420" s="978"/>
      <c r="U420" s="978"/>
      <c r="V420" s="935"/>
      <c r="W420" s="972"/>
      <c r="X420" s="935"/>
      <c r="Y420" s="935"/>
      <c r="Z420" s="935"/>
      <c r="AA420" s="935"/>
    </row>
    <row r="421">
      <c r="A421" s="935"/>
      <c r="B421" s="972"/>
      <c r="C421" s="972"/>
      <c r="D421" s="972"/>
      <c r="E421" s="971"/>
      <c r="F421" s="167"/>
      <c r="G421" s="972"/>
      <c r="H421" s="973"/>
      <c r="I421" s="167"/>
      <c r="J421" s="167"/>
      <c r="K421" s="972"/>
      <c r="L421" s="972"/>
      <c r="M421" s="972"/>
      <c r="N421" s="972"/>
      <c r="O421" s="976"/>
      <c r="P421" s="978"/>
      <c r="Q421" s="978"/>
      <c r="R421" s="978"/>
      <c r="S421" s="978"/>
      <c r="T421" s="978"/>
      <c r="U421" s="978"/>
      <c r="V421" s="935"/>
      <c r="W421" s="972"/>
      <c r="X421" s="935"/>
      <c r="Y421" s="935"/>
      <c r="Z421" s="935"/>
      <c r="AA421" s="935"/>
    </row>
    <row r="422">
      <c r="A422" s="935"/>
      <c r="B422" s="972"/>
      <c r="C422" s="972"/>
      <c r="D422" s="972"/>
      <c r="E422" s="971"/>
      <c r="F422" s="167"/>
      <c r="G422" s="972"/>
      <c r="H422" s="973"/>
      <c r="I422" s="167"/>
      <c r="J422" s="167"/>
      <c r="K422" s="972"/>
      <c r="L422" s="972"/>
      <c r="M422" s="972"/>
      <c r="N422" s="972"/>
      <c r="O422" s="976"/>
      <c r="P422" s="978"/>
      <c r="Q422" s="978"/>
      <c r="R422" s="978"/>
      <c r="S422" s="978"/>
      <c r="T422" s="978"/>
      <c r="U422" s="978"/>
      <c r="V422" s="935"/>
      <c r="W422" s="972"/>
      <c r="X422" s="935"/>
      <c r="Y422" s="935"/>
      <c r="Z422" s="935"/>
      <c r="AA422" s="935"/>
    </row>
    <row r="423">
      <c r="A423" s="935"/>
      <c r="B423" s="972"/>
      <c r="C423" s="972"/>
      <c r="D423" s="972"/>
      <c r="E423" s="971"/>
      <c r="F423" s="167"/>
      <c r="G423" s="972"/>
      <c r="H423" s="973"/>
      <c r="I423" s="167"/>
      <c r="J423" s="167"/>
      <c r="K423" s="972"/>
      <c r="L423" s="972"/>
      <c r="M423" s="972"/>
      <c r="N423" s="972"/>
      <c r="O423" s="976"/>
      <c r="P423" s="978"/>
      <c r="Q423" s="978"/>
      <c r="R423" s="978"/>
      <c r="S423" s="978"/>
      <c r="T423" s="978"/>
      <c r="U423" s="978"/>
      <c r="V423" s="935"/>
      <c r="W423" s="972"/>
      <c r="X423" s="935"/>
      <c r="Y423" s="935"/>
      <c r="Z423" s="935"/>
      <c r="AA423" s="935"/>
    </row>
    <row r="424">
      <c r="A424" s="935"/>
      <c r="B424" s="972"/>
      <c r="C424" s="972"/>
      <c r="D424" s="972"/>
      <c r="E424" s="971"/>
      <c r="F424" s="167"/>
      <c r="G424" s="972"/>
      <c r="H424" s="973"/>
      <c r="I424" s="167"/>
      <c r="J424" s="167"/>
      <c r="K424" s="972"/>
      <c r="L424" s="972"/>
      <c r="M424" s="972"/>
      <c r="N424" s="972"/>
      <c r="O424" s="976"/>
      <c r="P424" s="978"/>
      <c r="Q424" s="978"/>
      <c r="R424" s="978"/>
      <c r="S424" s="978"/>
      <c r="T424" s="978"/>
      <c r="U424" s="978"/>
      <c r="V424" s="935"/>
      <c r="W424" s="972"/>
      <c r="X424" s="935"/>
      <c r="Y424" s="935"/>
      <c r="Z424" s="935"/>
      <c r="AA424" s="935"/>
    </row>
    <row r="425">
      <c r="A425" s="935"/>
      <c r="B425" s="972"/>
      <c r="C425" s="972"/>
      <c r="D425" s="972"/>
      <c r="E425" s="971"/>
      <c r="F425" s="167"/>
      <c r="G425" s="972"/>
      <c r="H425" s="973"/>
      <c r="I425" s="167"/>
      <c r="J425" s="167"/>
      <c r="K425" s="972"/>
      <c r="L425" s="972"/>
      <c r="M425" s="972"/>
      <c r="N425" s="972"/>
      <c r="O425" s="976"/>
      <c r="P425" s="978"/>
      <c r="Q425" s="978"/>
      <c r="R425" s="978"/>
      <c r="S425" s="978"/>
      <c r="T425" s="978"/>
      <c r="U425" s="978"/>
      <c r="V425" s="935"/>
      <c r="W425" s="972"/>
      <c r="X425" s="935"/>
      <c r="Y425" s="935"/>
      <c r="Z425" s="935"/>
      <c r="AA425" s="935"/>
    </row>
    <row r="426">
      <c r="A426" s="935"/>
      <c r="B426" s="972"/>
      <c r="C426" s="972"/>
      <c r="D426" s="972"/>
      <c r="E426" s="971"/>
      <c r="F426" s="167"/>
      <c r="G426" s="972"/>
      <c r="H426" s="973"/>
      <c r="I426" s="167"/>
      <c r="J426" s="167"/>
      <c r="K426" s="972"/>
      <c r="L426" s="972"/>
      <c r="M426" s="972"/>
      <c r="N426" s="972"/>
      <c r="O426" s="976"/>
      <c r="P426" s="978"/>
      <c r="Q426" s="978"/>
      <c r="R426" s="978"/>
      <c r="S426" s="978"/>
      <c r="T426" s="978"/>
      <c r="U426" s="978"/>
      <c r="V426" s="935"/>
      <c r="W426" s="972"/>
      <c r="X426" s="935"/>
      <c r="Y426" s="935"/>
      <c r="Z426" s="935"/>
      <c r="AA426" s="935"/>
    </row>
    <row r="427">
      <c r="A427" s="935"/>
      <c r="B427" s="972"/>
      <c r="C427" s="972"/>
      <c r="D427" s="972"/>
      <c r="E427" s="971"/>
      <c r="F427" s="167"/>
      <c r="G427" s="972"/>
      <c r="H427" s="973"/>
      <c r="I427" s="167"/>
      <c r="J427" s="167"/>
      <c r="K427" s="972"/>
      <c r="L427" s="972"/>
      <c r="M427" s="972"/>
      <c r="N427" s="972"/>
      <c r="O427" s="976"/>
      <c r="P427" s="978"/>
      <c r="Q427" s="978"/>
      <c r="R427" s="978"/>
      <c r="S427" s="978"/>
      <c r="T427" s="978"/>
      <c r="U427" s="978"/>
      <c r="V427" s="935"/>
      <c r="W427" s="972"/>
      <c r="X427" s="935"/>
      <c r="Y427" s="935"/>
      <c r="Z427" s="935"/>
      <c r="AA427" s="935"/>
    </row>
    <row r="428">
      <c r="A428" s="935"/>
      <c r="B428" s="972"/>
      <c r="C428" s="972"/>
      <c r="D428" s="972"/>
      <c r="E428" s="971"/>
      <c r="F428" s="167"/>
      <c r="G428" s="972"/>
      <c r="H428" s="973"/>
      <c r="I428" s="167"/>
      <c r="J428" s="167"/>
      <c r="K428" s="972"/>
      <c r="L428" s="972"/>
      <c r="M428" s="972"/>
      <c r="N428" s="972"/>
      <c r="O428" s="976"/>
      <c r="P428" s="978"/>
      <c r="Q428" s="978"/>
      <c r="R428" s="978"/>
      <c r="S428" s="978"/>
      <c r="T428" s="978"/>
      <c r="U428" s="978"/>
      <c r="V428" s="935"/>
      <c r="W428" s="972"/>
      <c r="X428" s="935"/>
      <c r="Y428" s="935"/>
      <c r="Z428" s="935"/>
      <c r="AA428" s="935"/>
    </row>
    <row r="429">
      <c r="A429" s="935"/>
      <c r="B429" s="972"/>
      <c r="C429" s="972"/>
      <c r="D429" s="972"/>
      <c r="E429" s="971"/>
      <c r="F429" s="167"/>
      <c r="G429" s="972"/>
      <c r="H429" s="973"/>
      <c r="I429" s="167"/>
      <c r="J429" s="167"/>
      <c r="K429" s="972"/>
      <c r="L429" s="972"/>
      <c r="M429" s="972"/>
      <c r="N429" s="972"/>
      <c r="O429" s="976"/>
      <c r="P429" s="978"/>
      <c r="Q429" s="978"/>
      <c r="R429" s="978"/>
      <c r="S429" s="978"/>
      <c r="T429" s="978"/>
      <c r="U429" s="978"/>
      <c r="V429" s="935"/>
      <c r="W429" s="972"/>
      <c r="X429" s="935"/>
      <c r="Y429" s="935"/>
      <c r="Z429" s="935"/>
      <c r="AA429" s="935"/>
    </row>
    <row r="430">
      <c r="A430" s="935"/>
      <c r="B430" s="972"/>
      <c r="C430" s="972"/>
      <c r="D430" s="972"/>
      <c r="E430" s="971"/>
      <c r="F430" s="167"/>
      <c r="G430" s="972"/>
      <c r="H430" s="973"/>
      <c r="I430" s="167"/>
      <c r="J430" s="167"/>
      <c r="K430" s="972"/>
      <c r="L430" s="972"/>
      <c r="M430" s="972"/>
      <c r="N430" s="972"/>
      <c r="O430" s="976"/>
      <c r="P430" s="978"/>
      <c r="Q430" s="978"/>
      <c r="R430" s="978"/>
      <c r="S430" s="978"/>
      <c r="T430" s="978"/>
      <c r="U430" s="978"/>
      <c r="V430" s="935"/>
      <c r="W430" s="972"/>
      <c r="X430" s="935"/>
      <c r="Y430" s="935"/>
      <c r="Z430" s="935"/>
      <c r="AA430" s="935"/>
    </row>
    <row r="431">
      <c r="A431" s="935"/>
      <c r="B431" s="972"/>
      <c r="C431" s="972"/>
      <c r="D431" s="972"/>
      <c r="E431" s="971"/>
      <c r="F431" s="167"/>
      <c r="G431" s="972"/>
      <c r="H431" s="973"/>
      <c r="I431" s="167"/>
      <c r="J431" s="167"/>
      <c r="K431" s="972"/>
      <c r="L431" s="972"/>
      <c r="M431" s="972"/>
      <c r="N431" s="972"/>
      <c r="O431" s="976"/>
      <c r="P431" s="978"/>
      <c r="Q431" s="978"/>
      <c r="R431" s="978"/>
      <c r="S431" s="978"/>
      <c r="T431" s="978"/>
      <c r="U431" s="978"/>
      <c r="V431" s="935"/>
      <c r="W431" s="972"/>
      <c r="X431" s="935"/>
      <c r="Y431" s="935"/>
      <c r="Z431" s="935"/>
      <c r="AA431" s="935"/>
    </row>
    <row r="432">
      <c r="A432" s="935"/>
      <c r="B432" s="972"/>
      <c r="C432" s="972"/>
      <c r="D432" s="972"/>
      <c r="E432" s="971"/>
      <c r="F432" s="167"/>
      <c r="G432" s="972"/>
      <c r="H432" s="973"/>
      <c r="I432" s="167"/>
      <c r="J432" s="167"/>
      <c r="K432" s="972"/>
      <c r="L432" s="972"/>
      <c r="M432" s="972"/>
      <c r="N432" s="972"/>
      <c r="O432" s="976"/>
      <c r="P432" s="978"/>
      <c r="Q432" s="978"/>
      <c r="R432" s="978"/>
      <c r="S432" s="978"/>
      <c r="T432" s="978"/>
      <c r="U432" s="978"/>
      <c r="V432" s="935"/>
      <c r="W432" s="972"/>
      <c r="X432" s="935"/>
      <c r="Y432" s="935"/>
      <c r="Z432" s="935"/>
      <c r="AA432" s="935"/>
    </row>
    <row r="433">
      <c r="A433" s="935"/>
      <c r="B433" s="972"/>
      <c r="C433" s="972"/>
      <c r="D433" s="972"/>
      <c r="E433" s="971"/>
      <c r="F433" s="167"/>
      <c r="G433" s="972"/>
      <c r="H433" s="973"/>
      <c r="I433" s="167"/>
      <c r="J433" s="167"/>
      <c r="K433" s="972"/>
      <c r="L433" s="972"/>
      <c r="M433" s="972"/>
      <c r="N433" s="972"/>
      <c r="O433" s="976"/>
      <c r="P433" s="978"/>
      <c r="Q433" s="978"/>
      <c r="R433" s="978"/>
      <c r="S433" s="978"/>
      <c r="T433" s="978"/>
      <c r="U433" s="978"/>
      <c r="V433" s="935"/>
      <c r="W433" s="972"/>
      <c r="X433" s="935"/>
      <c r="Y433" s="935"/>
      <c r="Z433" s="935"/>
      <c r="AA433" s="935"/>
    </row>
    <row r="434">
      <c r="A434" s="935"/>
      <c r="B434" s="972"/>
      <c r="C434" s="972"/>
      <c r="D434" s="972"/>
      <c r="E434" s="971"/>
      <c r="F434" s="167"/>
      <c r="G434" s="972"/>
      <c r="H434" s="973"/>
      <c r="I434" s="167"/>
      <c r="J434" s="167"/>
      <c r="K434" s="972"/>
      <c r="L434" s="972"/>
      <c r="M434" s="972"/>
      <c r="N434" s="972"/>
      <c r="O434" s="976"/>
      <c r="P434" s="978"/>
      <c r="Q434" s="978"/>
      <c r="R434" s="978"/>
      <c r="S434" s="978"/>
      <c r="T434" s="978"/>
      <c r="U434" s="978"/>
      <c r="V434" s="935"/>
      <c r="W434" s="972"/>
      <c r="X434" s="935"/>
      <c r="Y434" s="935"/>
      <c r="Z434" s="935"/>
      <c r="AA434" s="935"/>
    </row>
    <row r="435">
      <c r="A435" s="935"/>
      <c r="B435" s="972"/>
      <c r="C435" s="972"/>
      <c r="D435" s="972"/>
      <c r="E435" s="971"/>
      <c r="F435" s="167"/>
      <c r="G435" s="972"/>
      <c r="H435" s="973"/>
      <c r="I435" s="167"/>
      <c r="J435" s="167"/>
      <c r="K435" s="972"/>
      <c r="L435" s="972"/>
      <c r="M435" s="972"/>
      <c r="N435" s="972"/>
      <c r="O435" s="976"/>
      <c r="P435" s="978"/>
      <c r="Q435" s="978"/>
      <c r="R435" s="978"/>
      <c r="S435" s="978"/>
      <c r="T435" s="978"/>
      <c r="U435" s="978"/>
      <c r="V435" s="935"/>
      <c r="W435" s="972"/>
      <c r="X435" s="935"/>
      <c r="Y435" s="935"/>
      <c r="Z435" s="935"/>
      <c r="AA435" s="935"/>
    </row>
    <row r="436">
      <c r="A436" s="935"/>
      <c r="B436" s="972"/>
      <c r="C436" s="972"/>
      <c r="D436" s="972"/>
      <c r="E436" s="971"/>
      <c r="F436" s="167"/>
      <c r="G436" s="972"/>
      <c r="H436" s="973"/>
      <c r="I436" s="167"/>
      <c r="J436" s="167"/>
      <c r="K436" s="972"/>
      <c r="L436" s="972"/>
      <c r="M436" s="972"/>
      <c r="N436" s="972"/>
      <c r="O436" s="976"/>
      <c r="P436" s="978"/>
      <c r="Q436" s="978"/>
      <c r="R436" s="978"/>
      <c r="S436" s="978"/>
      <c r="T436" s="978"/>
      <c r="U436" s="978"/>
      <c r="V436" s="935"/>
      <c r="W436" s="972"/>
      <c r="X436" s="935"/>
      <c r="Y436" s="935"/>
      <c r="Z436" s="935"/>
      <c r="AA436" s="935"/>
    </row>
    <row r="437">
      <c r="A437" s="935"/>
      <c r="B437" s="972"/>
      <c r="C437" s="972"/>
      <c r="D437" s="972"/>
      <c r="E437" s="971"/>
      <c r="F437" s="167"/>
      <c r="G437" s="972"/>
      <c r="H437" s="973"/>
      <c r="I437" s="167"/>
      <c r="J437" s="167"/>
      <c r="K437" s="972"/>
      <c r="L437" s="972"/>
      <c r="M437" s="972"/>
      <c r="N437" s="972"/>
      <c r="O437" s="976"/>
      <c r="P437" s="978"/>
      <c r="Q437" s="978"/>
      <c r="R437" s="978"/>
      <c r="S437" s="978"/>
      <c r="T437" s="978"/>
      <c r="U437" s="978"/>
      <c r="V437" s="935"/>
      <c r="W437" s="972"/>
      <c r="X437" s="935"/>
      <c r="Y437" s="935"/>
      <c r="Z437" s="935"/>
      <c r="AA437" s="935"/>
    </row>
    <row r="438">
      <c r="A438" s="935"/>
      <c r="B438" s="972"/>
      <c r="C438" s="972"/>
      <c r="D438" s="972"/>
      <c r="E438" s="971"/>
      <c r="F438" s="167"/>
      <c r="G438" s="972"/>
      <c r="H438" s="973"/>
      <c r="I438" s="167"/>
      <c r="J438" s="167"/>
      <c r="K438" s="972"/>
      <c r="L438" s="972"/>
      <c r="M438" s="972"/>
      <c r="N438" s="972"/>
      <c r="O438" s="976"/>
      <c r="P438" s="978"/>
      <c r="Q438" s="978"/>
      <c r="R438" s="978"/>
      <c r="S438" s="978"/>
      <c r="T438" s="978"/>
      <c r="U438" s="978"/>
      <c r="V438" s="935"/>
      <c r="W438" s="972"/>
      <c r="X438" s="935"/>
      <c r="Y438" s="935"/>
      <c r="Z438" s="935"/>
      <c r="AA438" s="935"/>
    </row>
    <row r="439">
      <c r="A439" s="935"/>
      <c r="B439" s="972"/>
      <c r="C439" s="972"/>
      <c r="D439" s="972"/>
      <c r="E439" s="971"/>
      <c r="F439" s="167"/>
      <c r="G439" s="972"/>
      <c r="H439" s="973"/>
      <c r="I439" s="167"/>
      <c r="J439" s="167"/>
      <c r="K439" s="972"/>
      <c r="L439" s="972"/>
      <c r="M439" s="972"/>
      <c r="N439" s="972"/>
      <c r="O439" s="976"/>
      <c r="P439" s="978"/>
      <c r="Q439" s="978"/>
      <c r="R439" s="978"/>
      <c r="S439" s="978"/>
      <c r="T439" s="978"/>
      <c r="U439" s="978"/>
      <c r="V439" s="935"/>
      <c r="W439" s="972"/>
      <c r="X439" s="935"/>
      <c r="Y439" s="935"/>
      <c r="Z439" s="935"/>
      <c r="AA439" s="935"/>
    </row>
    <row r="440">
      <c r="A440" s="935"/>
      <c r="B440" s="972"/>
      <c r="C440" s="972"/>
      <c r="D440" s="972"/>
      <c r="E440" s="971"/>
      <c r="F440" s="167"/>
      <c r="G440" s="972"/>
      <c r="H440" s="973"/>
      <c r="I440" s="167"/>
      <c r="J440" s="167"/>
      <c r="K440" s="972"/>
      <c r="L440" s="972"/>
      <c r="M440" s="972"/>
      <c r="N440" s="972"/>
      <c r="O440" s="976"/>
      <c r="P440" s="978"/>
      <c r="Q440" s="978"/>
      <c r="R440" s="978"/>
      <c r="S440" s="978"/>
      <c r="T440" s="978"/>
      <c r="U440" s="978"/>
      <c r="V440" s="935"/>
      <c r="W440" s="972"/>
      <c r="X440" s="935"/>
      <c r="Y440" s="935"/>
      <c r="Z440" s="935"/>
      <c r="AA440" s="935"/>
    </row>
    <row r="441">
      <c r="A441" s="935"/>
      <c r="B441" s="972"/>
      <c r="C441" s="972"/>
      <c r="D441" s="972"/>
      <c r="E441" s="971"/>
      <c r="F441" s="167"/>
      <c r="G441" s="972"/>
      <c r="H441" s="973"/>
      <c r="I441" s="167"/>
      <c r="J441" s="167"/>
      <c r="K441" s="972"/>
      <c r="L441" s="972"/>
      <c r="M441" s="972"/>
      <c r="N441" s="972"/>
      <c r="O441" s="976"/>
      <c r="P441" s="978"/>
      <c r="Q441" s="978"/>
      <c r="R441" s="978"/>
      <c r="S441" s="978"/>
      <c r="T441" s="978"/>
      <c r="U441" s="978"/>
      <c r="V441" s="935"/>
      <c r="W441" s="972"/>
      <c r="X441" s="935"/>
      <c r="Y441" s="935"/>
      <c r="Z441" s="935"/>
      <c r="AA441" s="935"/>
    </row>
    <row r="442">
      <c r="A442" s="935"/>
      <c r="B442" s="972"/>
      <c r="C442" s="972"/>
      <c r="D442" s="972"/>
      <c r="E442" s="971"/>
      <c r="F442" s="167"/>
      <c r="G442" s="972"/>
      <c r="H442" s="973"/>
      <c r="I442" s="167"/>
      <c r="J442" s="167"/>
      <c r="K442" s="972"/>
      <c r="L442" s="972"/>
      <c r="M442" s="972"/>
      <c r="N442" s="972"/>
      <c r="O442" s="976"/>
      <c r="P442" s="978"/>
      <c r="Q442" s="978"/>
      <c r="R442" s="978"/>
      <c r="S442" s="978"/>
      <c r="T442" s="978"/>
      <c r="U442" s="978"/>
      <c r="V442" s="935"/>
      <c r="W442" s="972"/>
      <c r="X442" s="935"/>
      <c r="Y442" s="935"/>
      <c r="Z442" s="935"/>
      <c r="AA442" s="935"/>
    </row>
    <row r="443">
      <c r="A443" s="935"/>
      <c r="B443" s="972"/>
      <c r="C443" s="972"/>
      <c r="D443" s="972"/>
      <c r="E443" s="971"/>
      <c r="F443" s="167"/>
      <c r="G443" s="972"/>
      <c r="H443" s="973"/>
      <c r="I443" s="167"/>
      <c r="J443" s="167"/>
      <c r="K443" s="972"/>
      <c r="L443" s="972"/>
      <c r="M443" s="972"/>
      <c r="N443" s="972"/>
      <c r="O443" s="976"/>
      <c r="P443" s="978"/>
      <c r="Q443" s="978"/>
      <c r="R443" s="978"/>
      <c r="S443" s="978"/>
      <c r="T443" s="978"/>
      <c r="U443" s="978"/>
      <c r="V443" s="935"/>
      <c r="W443" s="972"/>
      <c r="X443" s="935"/>
      <c r="Y443" s="935"/>
      <c r="Z443" s="935"/>
      <c r="AA443" s="935"/>
    </row>
    <row r="444">
      <c r="A444" s="935"/>
      <c r="B444" s="972"/>
      <c r="C444" s="972"/>
      <c r="D444" s="972"/>
      <c r="E444" s="971"/>
      <c r="F444" s="167"/>
      <c r="G444" s="972"/>
      <c r="H444" s="973"/>
      <c r="I444" s="167"/>
      <c r="J444" s="167"/>
      <c r="K444" s="972"/>
      <c r="L444" s="972"/>
      <c r="M444" s="972"/>
      <c r="N444" s="972"/>
      <c r="O444" s="976"/>
      <c r="P444" s="978"/>
      <c r="Q444" s="978"/>
      <c r="R444" s="978"/>
      <c r="S444" s="978"/>
      <c r="T444" s="978"/>
      <c r="U444" s="978"/>
      <c r="V444" s="935"/>
      <c r="W444" s="972"/>
      <c r="X444" s="935"/>
      <c r="Y444" s="935"/>
      <c r="Z444" s="935"/>
      <c r="AA444" s="935"/>
    </row>
    <row r="445">
      <c r="A445" s="935"/>
      <c r="B445" s="972"/>
      <c r="C445" s="972"/>
      <c r="D445" s="972"/>
      <c r="E445" s="971"/>
      <c r="F445" s="167"/>
      <c r="G445" s="972"/>
      <c r="H445" s="973"/>
      <c r="I445" s="167"/>
      <c r="J445" s="167"/>
      <c r="K445" s="972"/>
      <c r="L445" s="972"/>
      <c r="M445" s="972"/>
      <c r="N445" s="972"/>
      <c r="O445" s="976"/>
      <c r="P445" s="978"/>
      <c r="Q445" s="978"/>
      <c r="R445" s="978"/>
      <c r="S445" s="978"/>
      <c r="T445" s="978"/>
      <c r="U445" s="978"/>
      <c r="V445" s="935"/>
      <c r="W445" s="972"/>
      <c r="X445" s="935"/>
      <c r="Y445" s="935"/>
      <c r="Z445" s="935"/>
      <c r="AA445" s="935"/>
    </row>
    <row r="446">
      <c r="A446" s="935"/>
      <c r="B446" s="972"/>
      <c r="C446" s="972"/>
      <c r="D446" s="972"/>
      <c r="E446" s="971"/>
      <c r="F446" s="167"/>
      <c r="G446" s="972"/>
      <c r="H446" s="973"/>
      <c r="I446" s="167"/>
      <c r="J446" s="167"/>
      <c r="K446" s="972"/>
      <c r="L446" s="972"/>
      <c r="M446" s="972"/>
      <c r="N446" s="972"/>
      <c r="O446" s="976"/>
      <c r="P446" s="978"/>
      <c r="Q446" s="978"/>
      <c r="R446" s="978"/>
      <c r="S446" s="978"/>
      <c r="T446" s="978"/>
      <c r="U446" s="978"/>
      <c r="V446" s="935"/>
      <c r="W446" s="972"/>
      <c r="X446" s="935"/>
      <c r="Y446" s="935"/>
      <c r="Z446" s="935"/>
      <c r="AA446" s="935"/>
    </row>
    <row r="447">
      <c r="A447" s="935"/>
      <c r="B447" s="972"/>
      <c r="C447" s="972"/>
      <c r="D447" s="972"/>
      <c r="E447" s="971"/>
      <c r="F447" s="167"/>
      <c r="G447" s="972"/>
      <c r="H447" s="973"/>
      <c r="I447" s="167"/>
      <c r="J447" s="167"/>
      <c r="K447" s="972"/>
      <c r="L447" s="972"/>
      <c r="M447" s="972"/>
      <c r="N447" s="972"/>
      <c r="O447" s="976"/>
      <c r="P447" s="978"/>
      <c r="Q447" s="978"/>
      <c r="R447" s="978"/>
      <c r="S447" s="978"/>
      <c r="T447" s="978"/>
      <c r="U447" s="978"/>
      <c r="V447" s="935"/>
      <c r="W447" s="972"/>
      <c r="X447" s="935"/>
      <c r="Y447" s="935"/>
      <c r="Z447" s="935"/>
      <c r="AA447" s="935"/>
    </row>
    <row r="448">
      <c r="A448" s="935"/>
      <c r="B448" s="972"/>
      <c r="C448" s="972"/>
      <c r="D448" s="972"/>
      <c r="E448" s="971"/>
      <c r="F448" s="167"/>
      <c r="G448" s="972"/>
      <c r="H448" s="973"/>
      <c r="I448" s="167"/>
      <c r="J448" s="167"/>
      <c r="K448" s="972"/>
      <c r="L448" s="972"/>
      <c r="M448" s="972"/>
      <c r="N448" s="972"/>
      <c r="O448" s="976"/>
      <c r="P448" s="978"/>
      <c r="Q448" s="978"/>
      <c r="R448" s="978"/>
      <c r="S448" s="978"/>
      <c r="T448" s="978"/>
      <c r="U448" s="978"/>
      <c r="V448" s="935"/>
      <c r="W448" s="972"/>
      <c r="X448" s="935"/>
      <c r="Y448" s="935"/>
      <c r="Z448" s="935"/>
      <c r="AA448" s="935"/>
    </row>
    <row r="449">
      <c r="A449" s="935"/>
      <c r="B449" s="972"/>
      <c r="C449" s="972"/>
      <c r="D449" s="972"/>
      <c r="E449" s="971"/>
      <c r="F449" s="167"/>
      <c r="G449" s="972"/>
      <c r="H449" s="973"/>
      <c r="I449" s="167"/>
      <c r="J449" s="167"/>
      <c r="K449" s="972"/>
      <c r="L449" s="972"/>
      <c r="M449" s="972"/>
      <c r="N449" s="972"/>
      <c r="O449" s="976"/>
      <c r="P449" s="978"/>
      <c r="Q449" s="978"/>
      <c r="R449" s="978"/>
      <c r="S449" s="978"/>
      <c r="T449" s="978"/>
      <c r="U449" s="978"/>
      <c r="V449" s="935"/>
      <c r="W449" s="972"/>
      <c r="X449" s="935"/>
      <c r="Y449" s="935"/>
      <c r="Z449" s="935"/>
      <c r="AA449" s="935"/>
    </row>
    <row r="450">
      <c r="A450" s="935"/>
      <c r="B450" s="972"/>
      <c r="C450" s="972"/>
      <c r="D450" s="972"/>
      <c r="E450" s="971"/>
      <c r="F450" s="167"/>
      <c r="G450" s="972"/>
      <c r="H450" s="973"/>
      <c r="I450" s="167"/>
      <c r="J450" s="167"/>
      <c r="K450" s="972"/>
      <c r="L450" s="972"/>
      <c r="M450" s="972"/>
      <c r="N450" s="972"/>
      <c r="O450" s="976"/>
      <c r="P450" s="978"/>
      <c r="Q450" s="978"/>
      <c r="R450" s="978"/>
      <c r="S450" s="978"/>
      <c r="T450" s="978"/>
      <c r="U450" s="978"/>
      <c r="V450" s="935"/>
      <c r="W450" s="972"/>
      <c r="X450" s="935"/>
      <c r="Y450" s="935"/>
      <c r="Z450" s="935"/>
      <c r="AA450" s="935"/>
    </row>
    <row r="451">
      <c r="A451" s="935"/>
      <c r="B451" s="972"/>
      <c r="C451" s="972"/>
      <c r="D451" s="972"/>
      <c r="E451" s="971"/>
      <c r="F451" s="167"/>
      <c r="G451" s="972"/>
      <c r="H451" s="973"/>
      <c r="I451" s="167"/>
      <c r="J451" s="167"/>
      <c r="K451" s="972"/>
      <c r="L451" s="972"/>
      <c r="M451" s="972"/>
      <c r="N451" s="972"/>
      <c r="O451" s="976"/>
      <c r="P451" s="978"/>
      <c r="Q451" s="978"/>
      <c r="R451" s="978"/>
      <c r="S451" s="978"/>
      <c r="T451" s="978"/>
      <c r="U451" s="978"/>
      <c r="V451" s="935"/>
      <c r="W451" s="972"/>
      <c r="X451" s="935"/>
      <c r="Y451" s="935"/>
      <c r="Z451" s="935"/>
      <c r="AA451" s="935"/>
    </row>
    <row r="452">
      <c r="A452" s="935"/>
      <c r="B452" s="972"/>
      <c r="C452" s="972"/>
      <c r="D452" s="972"/>
      <c r="E452" s="971"/>
      <c r="F452" s="167"/>
      <c r="G452" s="972"/>
      <c r="H452" s="973"/>
      <c r="I452" s="167"/>
      <c r="J452" s="167"/>
      <c r="K452" s="972"/>
      <c r="L452" s="972"/>
      <c r="M452" s="972"/>
      <c r="N452" s="972"/>
      <c r="O452" s="976"/>
      <c r="P452" s="978"/>
      <c r="Q452" s="978"/>
      <c r="R452" s="978"/>
      <c r="S452" s="978"/>
      <c r="T452" s="978"/>
      <c r="U452" s="978"/>
      <c r="V452" s="935"/>
      <c r="W452" s="972"/>
      <c r="X452" s="935"/>
      <c r="Y452" s="935"/>
      <c r="Z452" s="935"/>
      <c r="AA452" s="935"/>
    </row>
    <row r="453">
      <c r="A453" s="935"/>
      <c r="B453" s="972"/>
      <c r="C453" s="972"/>
      <c r="D453" s="972"/>
      <c r="E453" s="971"/>
      <c r="F453" s="167"/>
      <c r="G453" s="972"/>
      <c r="H453" s="973"/>
      <c r="I453" s="167"/>
      <c r="J453" s="167"/>
      <c r="K453" s="972"/>
      <c r="L453" s="972"/>
      <c r="M453" s="972"/>
      <c r="N453" s="972"/>
      <c r="O453" s="976"/>
      <c r="P453" s="978"/>
      <c r="Q453" s="978"/>
      <c r="R453" s="978"/>
      <c r="S453" s="978"/>
      <c r="T453" s="978"/>
      <c r="U453" s="978"/>
      <c r="V453" s="935"/>
      <c r="W453" s="972"/>
      <c r="X453" s="935"/>
      <c r="Y453" s="935"/>
      <c r="Z453" s="935"/>
      <c r="AA453" s="935"/>
    </row>
    <row r="454">
      <c r="A454" s="935"/>
      <c r="B454" s="972"/>
      <c r="C454" s="972"/>
      <c r="D454" s="972"/>
      <c r="E454" s="971"/>
      <c r="F454" s="167"/>
      <c r="G454" s="972"/>
      <c r="H454" s="973"/>
      <c r="I454" s="167"/>
      <c r="J454" s="167"/>
      <c r="K454" s="972"/>
      <c r="L454" s="972"/>
      <c r="M454" s="972"/>
      <c r="N454" s="972"/>
      <c r="O454" s="976"/>
      <c r="P454" s="978"/>
      <c r="Q454" s="978"/>
      <c r="R454" s="978"/>
      <c r="S454" s="978"/>
      <c r="T454" s="978"/>
      <c r="U454" s="978"/>
      <c r="V454" s="935"/>
      <c r="W454" s="972"/>
      <c r="X454" s="935"/>
      <c r="Y454" s="935"/>
      <c r="Z454" s="935"/>
      <c r="AA454" s="935"/>
    </row>
    <row r="455">
      <c r="A455" s="935"/>
      <c r="B455" s="972"/>
      <c r="C455" s="972"/>
      <c r="D455" s="972"/>
      <c r="E455" s="971"/>
      <c r="F455" s="167"/>
      <c r="G455" s="972"/>
      <c r="H455" s="973"/>
      <c r="I455" s="167"/>
      <c r="J455" s="167"/>
      <c r="K455" s="972"/>
      <c r="L455" s="972"/>
      <c r="M455" s="972"/>
      <c r="N455" s="972"/>
      <c r="O455" s="976"/>
      <c r="P455" s="978"/>
      <c r="Q455" s="978"/>
      <c r="R455" s="978"/>
      <c r="S455" s="978"/>
      <c r="T455" s="978"/>
      <c r="U455" s="978"/>
      <c r="V455" s="935"/>
      <c r="W455" s="972"/>
      <c r="X455" s="935"/>
      <c r="Y455" s="935"/>
      <c r="Z455" s="935"/>
      <c r="AA455" s="935"/>
    </row>
    <row r="456">
      <c r="A456" s="935"/>
      <c r="B456" s="972"/>
      <c r="C456" s="972"/>
      <c r="D456" s="972"/>
      <c r="E456" s="971"/>
      <c r="F456" s="167"/>
      <c r="G456" s="972"/>
      <c r="H456" s="973"/>
      <c r="I456" s="167"/>
      <c r="J456" s="167"/>
      <c r="K456" s="972"/>
      <c r="L456" s="972"/>
      <c r="M456" s="972"/>
      <c r="N456" s="972"/>
      <c r="O456" s="976"/>
      <c r="P456" s="978"/>
      <c r="Q456" s="978"/>
      <c r="R456" s="978"/>
      <c r="S456" s="978"/>
      <c r="T456" s="978"/>
      <c r="U456" s="978"/>
      <c r="V456" s="935"/>
      <c r="W456" s="972"/>
      <c r="X456" s="935"/>
      <c r="Y456" s="935"/>
      <c r="Z456" s="935"/>
      <c r="AA456" s="935"/>
    </row>
    <row r="457">
      <c r="A457" s="935"/>
      <c r="B457" s="972"/>
      <c r="C457" s="972"/>
      <c r="D457" s="972"/>
      <c r="E457" s="971"/>
      <c r="F457" s="167"/>
      <c r="G457" s="972"/>
      <c r="H457" s="973"/>
      <c r="I457" s="167"/>
      <c r="J457" s="167"/>
      <c r="K457" s="972"/>
      <c r="L457" s="972"/>
      <c r="M457" s="972"/>
      <c r="N457" s="972"/>
      <c r="O457" s="976"/>
      <c r="P457" s="978"/>
      <c r="Q457" s="978"/>
      <c r="R457" s="978"/>
      <c r="S457" s="978"/>
      <c r="T457" s="978"/>
      <c r="U457" s="978"/>
      <c r="V457" s="935"/>
      <c r="W457" s="972"/>
      <c r="X457" s="935"/>
      <c r="Y457" s="935"/>
      <c r="Z457" s="935"/>
      <c r="AA457" s="935"/>
    </row>
    <row r="458">
      <c r="A458" s="935"/>
      <c r="B458" s="972"/>
      <c r="C458" s="972"/>
      <c r="D458" s="972"/>
      <c r="E458" s="971"/>
      <c r="F458" s="167"/>
      <c r="G458" s="972"/>
      <c r="H458" s="973"/>
      <c r="I458" s="167"/>
      <c r="J458" s="167"/>
      <c r="K458" s="972"/>
      <c r="L458" s="972"/>
      <c r="M458" s="972"/>
      <c r="N458" s="972"/>
      <c r="O458" s="976"/>
      <c r="P458" s="978"/>
      <c r="Q458" s="978"/>
      <c r="R458" s="978"/>
      <c r="S458" s="978"/>
      <c r="T458" s="978"/>
      <c r="U458" s="978"/>
      <c r="V458" s="935"/>
      <c r="W458" s="972"/>
      <c r="X458" s="935"/>
      <c r="Y458" s="935"/>
      <c r="Z458" s="935"/>
      <c r="AA458" s="935"/>
    </row>
    <row r="459">
      <c r="A459" s="935"/>
      <c r="B459" s="972"/>
      <c r="C459" s="972"/>
      <c r="D459" s="972"/>
      <c r="E459" s="971"/>
      <c r="F459" s="167"/>
      <c r="G459" s="972"/>
      <c r="H459" s="973"/>
      <c r="I459" s="167"/>
      <c r="J459" s="167"/>
      <c r="K459" s="972"/>
      <c r="L459" s="972"/>
      <c r="M459" s="972"/>
      <c r="N459" s="972"/>
      <c r="O459" s="976"/>
      <c r="P459" s="978"/>
      <c r="Q459" s="978"/>
      <c r="R459" s="978"/>
      <c r="S459" s="978"/>
      <c r="T459" s="978"/>
      <c r="U459" s="978"/>
      <c r="V459" s="935"/>
      <c r="W459" s="972"/>
      <c r="X459" s="935"/>
      <c r="Y459" s="935"/>
      <c r="Z459" s="935"/>
      <c r="AA459" s="935"/>
    </row>
    <row r="460">
      <c r="A460" s="935"/>
      <c r="B460" s="972"/>
      <c r="C460" s="972"/>
      <c r="D460" s="972"/>
      <c r="E460" s="971"/>
      <c r="F460" s="167"/>
      <c r="G460" s="972"/>
      <c r="H460" s="973"/>
      <c r="I460" s="167"/>
      <c r="J460" s="167"/>
      <c r="K460" s="972"/>
      <c r="L460" s="972"/>
      <c r="M460" s="972"/>
      <c r="N460" s="972"/>
      <c r="O460" s="976"/>
      <c r="P460" s="978"/>
      <c r="Q460" s="978"/>
      <c r="R460" s="978"/>
      <c r="S460" s="978"/>
      <c r="T460" s="978"/>
      <c r="U460" s="978"/>
      <c r="V460" s="935"/>
      <c r="W460" s="972"/>
      <c r="X460" s="935"/>
      <c r="Y460" s="935"/>
      <c r="Z460" s="935"/>
      <c r="AA460" s="935"/>
    </row>
    <row r="461">
      <c r="A461" s="935"/>
      <c r="B461" s="972"/>
      <c r="C461" s="972"/>
      <c r="D461" s="972"/>
      <c r="E461" s="971"/>
      <c r="F461" s="167"/>
      <c r="G461" s="972"/>
      <c r="H461" s="973"/>
      <c r="I461" s="167"/>
      <c r="J461" s="167"/>
      <c r="K461" s="972"/>
      <c r="L461" s="972"/>
      <c r="M461" s="972"/>
      <c r="N461" s="972"/>
      <c r="O461" s="976"/>
      <c r="P461" s="978"/>
      <c r="Q461" s="978"/>
      <c r="R461" s="978"/>
      <c r="S461" s="978"/>
      <c r="T461" s="978"/>
      <c r="U461" s="978"/>
      <c r="V461" s="935"/>
      <c r="W461" s="972"/>
      <c r="X461" s="935"/>
      <c r="Y461" s="935"/>
      <c r="Z461" s="935"/>
      <c r="AA461" s="935"/>
    </row>
    <row r="462">
      <c r="A462" s="935"/>
      <c r="B462" s="972"/>
      <c r="C462" s="972"/>
      <c r="D462" s="972"/>
      <c r="E462" s="971"/>
      <c r="F462" s="167"/>
      <c r="G462" s="972"/>
      <c r="H462" s="973"/>
      <c r="I462" s="167"/>
      <c r="J462" s="167"/>
      <c r="K462" s="972"/>
      <c r="L462" s="972"/>
      <c r="M462" s="972"/>
      <c r="N462" s="972"/>
      <c r="O462" s="976"/>
      <c r="P462" s="978"/>
      <c r="Q462" s="978"/>
      <c r="R462" s="978"/>
      <c r="S462" s="978"/>
      <c r="T462" s="978"/>
      <c r="U462" s="978"/>
      <c r="V462" s="935"/>
      <c r="W462" s="972"/>
      <c r="X462" s="935"/>
      <c r="Y462" s="935"/>
      <c r="Z462" s="935"/>
      <c r="AA462" s="935"/>
    </row>
    <row r="463">
      <c r="A463" s="935"/>
      <c r="B463" s="972"/>
      <c r="C463" s="972"/>
      <c r="D463" s="972"/>
      <c r="E463" s="971"/>
      <c r="F463" s="167"/>
      <c r="G463" s="972"/>
      <c r="H463" s="973"/>
      <c r="I463" s="167"/>
      <c r="J463" s="167"/>
      <c r="K463" s="972"/>
      <c r="L463" s="972"/>
      <c r="M463" s="972"/>
      <c r="N463" s="972"/>
      <c r="O463" s="976"/>
      <c r="P463" s="978"/>
      <c r="Q463" s="978"/>
      <c r="R463" s="978"/>
      <c r="S463" s="978"/>
      <c r="T463" s="978"/>
      <c r="U463" s="978"/>
      <c r="V463" s="935"/>
      <c r="W463" s="972"/>
      <c r="X463" s="935"/>
      <c r="Y463" s="935"/>
      <c r="Z463" s="935"/>
      <c r="AA463" s="935"/>
    </row>
    <row r="464">
      <c r="A464" s="935"/>
      <c r="B464" s="972"/>
      <c r="C464" s="972"/>
      <c r="D464" s="972"/>
      <c r="E464" s="971"/>
      <c r="F464" s="167"/>
      <c r="G464" s="972"/>
      <c r="H464" s="973"/>
      <c r="I464" s="167"/>
      <c r="J464" s="167"/>
      <c r="K464" s="972"/>
      <c r="L464" s="972"/>
      <c r="M464" s="972"/>
      <c r="N464" s="972"/>
      <c r="O464" s="976"/>
      <c r="P464" s="978"/>
      <c r="Q464" s="978"/>
      <c r="R464" s="978"/>
      <c r="S464" s="978"/>
      <c r="T464" s="978"/>
      <c r="U464" s="978"/>
      <c r="V464" s="935"/>
      <c r="W464" s="972"/>
      <c r="X464" s="935"/>
      <c r="Y464" s="935"/>
      <c r="Z464" s="935"/>
      <c r="AA464" s="935"/>
    </row>
    <row r="465">
      <c r="A465" s="935"/>
      <c r="B465" s="972"/>
      <c r="C465" s="972"/>
      <c r="D465" s="972"/>
      <c r="E465" s="971"/>
      <c r="F465" s="167"/>
      <c r="G465" s="972"/>
      <c r="H465" s="973"/>
      <c r="I465" s="167"/>
      <c r="J465" s="167"/>
      <c r="K465" s="972"/>
      <c r="L465" s="972"/>
      <c r="M465" s="972"/>
      <c r="N465" s="972"/>
      <c r="O465" s="976"/>
      <c r="P465" s="978"/>
      <c r="Q465" s="978"/>
      <c r="R465" s="978"/>
      <c r="S465" s="978"/>
      <c r="T465" s="978"/>
      <c r="U465" s="978"/>
      <c r="V465" s="935"/>
      <c r="W465" s="972"/>
      <c r="X465" s="935"/>
      <c r="Y465" s="935"/>
      <c r="Z465" s="935"/>
      <c r="AA465" s="935"/>
    </row>
    <row r="466">
      <c r="A466" s="935"/>
      <c r="B466" s="972"/>
      <c r="C466" s="972"/>
      <c r="D466" s="972"/>
      <c r="E466" s="971"/>
      <c r="F466" s="167"/>
      <c r="G466" s="972"/>
      <c r="H466" s="973"/>
      <c r="I466" s="167"/>
      <c r="J466" s="167"/>
      <c r="K466" s="972"/>
      <c r="L466" s="972"/>
      <c r="M466" s="972"/>
      <c r="N466" s="972"/>
      <c r="O466" s="976"/>
      <c r="P466" s="978"/>
      <c r="Q466" s="978"/>
      <c r="R466" s="978"/>
      <c r="S466" s="978"/>
      <c r="T466" s="978"/>
      <c r="U466" s="978"/>
      <c r="V466" s="935"/>
      <c r="W466" s="972"/>
      <c r="X466" s="935"/>
      <c r="Y466" s="935"/>
      <c r="Z466" s="935"/>
      <c r="AA466" s="935"/>
    </row>
    <row r="467">
      <c r="A467" s="935"/>
      <c r="B467" s="972"/>
      <c r="C467" s="972"/>
      <c r="D467" s="972"/>
      <c r="E467" s="971"/>
      <c r="F467" s="167"/>
      <c r="G467" s="972"/>
      <c r="H467" s="973"/>
      <c r="I467" s="167"/>
      <c r="J467" s="167"/>
      <c r="K467" s="972"/>
      <c r="L467" s="972"/>
      <c r="M467" s="972"/>
      <c r="N467" s="972"/>
      <c r="O467" s="976"/>
      <c r="P467" s="978"/>
      <c r="Q467" s="978"/>
      <c r="R467" s="978"/>
      <c r="S467" s="978"/>
      <c r="T467" s="978"/>
      <c r="U467" s="978"/>
      <c r="V467" s="935"/>
      <c r="W467" s="972"/>
      <c r="X467" s="935"/>
      <c r="Y467" s="935"/>
      <c r="Z467" s="935"/>
      <c r="AA467" s="935"/>
    </row>
    <row r="468">
      <c r="A468" s="935"/>
      <c r="B468" s="972"/>
      <c r="C468" s="972"/>
      <c r="D468" s="972"/>
      <c r="E468" s="971"/>
      <c r="F468" s="167"/>
      <c r="G468" s="972"/>
      <c r="H468" s="973"/>
      <c r="I468" s="167"/>
      <c r="J468" s="167"/>
      <c r="K468" s="972"/>
      <c r="L468" s="972"/>
      <c r="M468" s="972"/>
      <c r="N468" s="972"/>
      <c r="O468" s="976"/>
      <c r="P468" s="978"/>
      <c r="Q468" s="978"/>
      <c r="R468" s="978"/>
      <c r="S468" s="978"/>
      <c r="T468" s="978"/>
      <c r="U468" s="978"/>
      <c r="V468" s="935"/>
      <c r="W468" s="972"/>
      <c r="X468" s="935"/>
      <c r="Y468" s="935"/>
      <c r="Z468" s="935"/>
      <c r="AA468" s="935"/>
    </row>
    <row r="469">
      <c r="A469" s="935"/>
      <c r="B469" s="972"/>
      <c r="C469" s="972"/>
      <c r="D469" s="972"/>
      <c r="E469" s="971"/>
      <c r="F469" s="167"/>
      <c r="G469" s="972"/>
      <c r="H469" s="973"/>
      <c r="I469" s="167"/>
      <c r="J469" s="167"/>
      <c r="K469" s="972"/>
      <c r="L469" s="972"/>
      <c r="M469" s="972"/>
      <c r="N469" s="972"/>
      <c r="O469" s="976"/>
      <c r="P469" s="978"/>
      <c r="Q469" s="978"/>
      <c r="R469" s="978"/>
      <c r="S469" s="978"/>
      <c r="T469" s="978"/>
      <c r="U469" s="978"/>
      <c r="V469" s="935"/>
      <c r="W469" s="972"/>
      <c r="X469" s="935"/>
      <c r="Y469" s="935"/>
      <c r="Z469" s="935"/>
      <c r="AA469" s="935"/>
    </row>
    <row r="470">
      <c r="A470" s="935"/>
      <c r="B470" s="972"/>
      <c r="C470" s="972"/>
      <c r="D470" s="972"/>
      <c r="E470" s="971"/>
      <c r="F470" s="167"/>
      <c r="G470" s="972"/>
      <c r="H470" s="973"/>
      <c r="I470" s="167"/>
      <c r="J470" s="167"/>
      <c r="K470" s="972"/>
      <c r="L470" s="972"/>
      <c r="M470" s="972"/>
      <c r="N470" s="972"/>
      <c r="O470" s="976"/>
      <c r="P470" s="978"/>
      <c r="Q470" s="978"/>
      <c r="R470" s="978"/>
      <c r="S470" s="978"/>
      <c r="T470" s="978"/>
      <c r="U470" s="978"/>
      <c r="V470" s="935"/>
      <c r="W470" s="972"/>
      <c r="X470" s="935"/>
      <c r="Y470" s="935"/>
      <c r="Z470" s="935"/>
      <c r="AA470" s="935"/>
    </row>
    <row r="471">
      <c r="A471" s="935"/>
      <c r="B471" s="972"/>
      <c r="C471" s="972"/>
      <c r="D471" s="972"/>
      <c r="E471" s="971"/>
      <c r="F471" s="167"/>
      <c r="G471" s="972"/>
      <c r="H471" s="973"/>
      <c r="I471" s="167"/>
      <c r="J471" s="167"/>
      <c r="K471" s="972"/>
      <c r="L471" s="972"/>
      <c r="M471" s="972"/>
      <c r="N471" s="972"/>
      <c r="O471" s="976"/>
      <c r="P471" s="978"/>
      <c r="Q471" s="978"/>
      <c r="R471" s="978"/>
      <c r="S471" s="978"/>
      <c r="T471" s="978"/>
      <c r="U471" s="978"/>
      <c r="V471" s="935"/>
      <c r="W471" s="972"/>
      <c r="X471" s="935"/>
      <c r="Y471" s="935"/>
      <c r="Z471" s="935"/>
      <c r="AA471" s="935"/>
    </row>
    <row r="472">
      <c r="A472" s="935"/>
      <c r="B472" s="972"/>
      <c r="C472" s="972"/>
      <c r="D472" s="972"/>
      <c r="E472" s="971"/>
      <c r="F472" s="167"/>
      <c r="G472" s="972"/>
      <c r="H472" s="973"/>
      <c r="I472" s="167"/>
      <c r="J472" s="167"/>
      <c r="K472" s="972"/>
      <c r="L472" s="972"/>
      <c r="M472" s="972"/>
      <c r="N472" s="972"/>
      <c r="O472" s="976"/>
      <c r="P472" s="978"/>
      <c r="Q472" s="978"/>
      <c r="R472" s="978"/>
      <c r="S472" s="978"/>
      <c r="T472" s="978"/>
      <c r="U472" s="978"/>
      <c r="V472" s="935"/>
      <c r="W472" s="972"/>
      <c r="X472" s="935"/>
      <c r="Y472" s="935"/>
      <c r="Z472" s="935"/>
      <c r="AA472" s="935"/>
    </row>
    <row r="473">
      <c r="A473" s="935"/>
      <c r="B473" s="972"/>
      <c r="C473" s="972"/>
      <c r="D473" s="972"/>
      <c r="E473" s="971"/>
      <c r="F473" s="167"/>
      <c r="G473" s="972"/>
      <c r="H473" s="973"/>
      <c r="I473" s="167"/>
      <c r="J473" s="167"/>
      <c r="K473" s="972"/>
      <c r="L473" s="972"/>
      <c r="M473" s="972"/>
      <c r="N473" s="972"/>
      <c r="O473" s="976"/>
      <c r="P473" s="978"/>
      <c r="Q473" s="978"/>
      <c r="R473" s="978"/>
      <c r="S473" s="978"/>
      <c r="T473" s="978"/>
      <c r="U473" s="978"/>
      <c r="V473" s="935"/>
      <c r="W473" s="972"/>
      <c r="X473" s="935"/>
      <c r="Y473" s="935"/>
      <c r="Z473" s="935"/>
      <c r="AA473" s="935"/>
    </row>
    <row r="474">
      <c r="A474" s="935"/>
      <c r="B474" s="972"/>
      <c r="C474" s="972"/>
      <c r="D474" s="972"/>
      <c r="E474" s="971"/>
      <c r="F474" s="167"/>
      <c r="G474" s="972"/>
      <c r="H474" s="973"/>
      <c r="I474" s="167"/>
      <c r="J474" s="167"/>
      <c r="K474" s="972"/>
      <c r="L474" s="972"/>
      <c r="M474" s="972"/>
      <c r="N474" s="972"/>
      <c r="O474" s="976"/>
      <c r="P474" s="978"/>
      <c r="Q474" s="978"/>
      <c r="R474" s="978"/>
      <c r="S474" s="978"/>
      <c r="T474" s="978"/>
      <c r="U474" s="978"/>
      <c r="V474" s="935"/>
      <c r="W474" s="972"/>
      <c r="X474" s="935"/>
      <c r="Y474" s="935"/>
      <c r="Z474" s="935"/>
      <c r="AA474" s="935"/>
    </row>
    <row r="475">
      <c r="A475" s="935"/>
      <c r="B475" s="972"/>
      <c r="C475" s="972"/>
      <c r="D475" s="972"/>
      <c r="E475" s="971"/>
      <c r="F475" s="167"/>
      <c r="G475" s="972"/>
      <c r="H475" s="973"/>
      <c r="I475" s="167"/>
      <c r="J475" s="167"/>
      <c r="K475" s="972"/>
      <c r="L475" s="972"/>
      <c r="M475" s="972"/>
      <c r="N475" s="972"/>
      <c r="O475" s="976"/>
      <c r="P475" s="978"/>
      <c r="Q475" s="978"/>
      <c r="R475" s="978"/>
      <c r="S475" s="978"/>
      <c r="T475" s="978"/>
      <c r="U475" s="978"/>
      <c r="V475" s="935"/>
      <c r="W475" s="972"/>
      <c r="X475" s="935"/>
      <c r="Y475" s="935"/>
      <c r="Z475" s="935"/>
      <c r="AA475" s="935"/>
    </row>
    <row r="476">
      <c r="A476" s="935"/>
      <c r="B476" s="972"/>
      <c r="C476" s="972"/>
      <c r="D476" s="972"/>
      <c r="E476" s="971"/>
      <c r="F476" s="167"/>
      <c r="G476" s="972"/>
      <c r="H476" s="973"/>
      <c r="I476" s="167"/>
      <c r="J476" s="167"/>
      <c r="K476" s="972"/>
      <c r="L476" s="972"/>
      <c r="M476" s="972"/>
      <c r="N476" s="972"/>
      <c r="O476" s="976"/>
      <c r="P476" s="978"/>
      <c r="Q476" s="978"/>
      <c r="R476" s="978"/>
      <c r="S476" s="978"/>
      <c r="T476" s="978"/>
      <c r="U476" s="978"/>
      <c r="V476" s="935"/>
      <c r="W476" s="972"/>
      <c r="X476" s="935"/>
      <c r="Y476" s="935"/>
      <c r="Z476" s="935"/>
      <c r="AA476" s="935"/>
    </row>
    <row r="477">
      <c r="A477" s="935"/>
      <c r="B477" s="972"/>
      <c r="C477" s="972"/>
      <c r="D477" s="972"/>
      <c r="E477" s="971"/>
      <c r="F477" s="167"/>
      <c r="G477" s="972"/>
      <c r="H477" s="973"/>
      <c r="I477" s="167"/>
      <c r="J477" s="167"/>
      <c r="K477" s="972"/>
      <c r="L477" s="972"/>
      <c r="M477" s="972"/>
      <c r="N477" s="972"/>
      <c r="O477" s="976"/>
      <c r="P477" s="978"/>
      <c r="Q477" s="978"/>
      <c r="R477" s="978"/>
      <c r="S477" s="978"/>
      <c r="T477" s="978"/>
      <c r="U477" s="978"/>
      <c r="V477" s="935"/>
      <c r="W477" s="972"/>
      <c r="X477" s="935"/>
      <c r="Y477" s="935"/>
      <c r="Z477" s="935"/>
      <c r="AA477" s="935"/>
    </row>
    <row r="478">
      <c r="A478" s="935"/>
      <c r="B478" s="972"/>
      <c r="C478" s="972"/>
      <c r="D478" s="972"/>
      <c r="E478" s="971"/>
      <c r="F478" s="167"/>
      <c r="G478" s="972"/>
      <c r="H478" s="973"/>
      <c r="I478" s="167"/>
      <c r="J478" s="167"/>
      <c r="K478" s="972"/>
      <c r="L478" s="972"/>
      <c r="M478" s="972"/>
      <c r="N478" s="972"/>
      <c r="O478" s="976"/>
      <c r="P478" s="978"/>
      <c r="Q478" s="978"/>
      <c r="R478" s="978"/>
      <c r="S478" s="978"/>
      <c r="T478" s="978"/>
      <c r="U478" s="978"/>
      <c r="V478" s="935"/>
      <c r="W478" s="972"/>
      <c r="X478" s="935"/>
      <c r="Y478" s="935"/>
      <c r="Z478" s="935"/>
      <c r="AA478" s="935"/>
    </row>
    <row r="479">
      <c r="A479" s="935"/>
      <c r="B479" s="972"/>
      <c r="C479" s="972"/>
      <c r="D479" s="972"/>
      <c r="E479" s="971"/>
      <c r="F479" s="167"/>
      <c r="G479" s="972"/>
      <c r="H479" s="973"/>
      <c r="I479" s="167"/>
      <c r="J479" s="167"/>
      <c r="K479" s="972"/>
      <c r="L479" s="972"/>
      <c r="M479" s="972"/>
      <c r="N479" s="972"/>
      <c r="O479" s="976"/>
      <c r="P479" s="978"/>
      <c r="Q479" s="978"/>
      <c r="R479" s="978"/>
      <c r="S479" s="978"/>
      <c r="T479" s="978"/>
      <c r="U479" s="978"/>
      <c r="V479" s="935"/>
      <c r="W479" s="972"/>
      <c r="X479" s="935"/>
      <c r="Y479" s="935"/>
      <c r="Z479" s="935"/>
      <c r="AA479" s="935"/>
    </row>
    <row r="480">
      <c r="A480" s="935"/>
      <c r="B480" s="972"/>
      <c r="C480" s="972"/>
      <c r="D480" s="972"/>
      <c r="E480" s="971"/>
      <c r="F480" s="167"/>
      <c r="G480" s="972"/>
      <c r="H480" s="973"/>
      <c r="I480" s="167"/>
      <c r="J480" s="167"/>
      <c r="K480" s="972"/>
      <c r="L480" s="972"/>
      <c r="M480" s="972"/>
      <c r="N480" s="972"/>
      <c r="O480" s="976"/>
      <c r="P480" s="978"/>
      <c r="Q480" s="978"/>
      <c r="R480" s="978"/>
      <c r="S480" s="978"/>
      <c r="T480" s="978"/>
      <c r="U480" s="978"/>
      <c r="V480" s="935"/>
      <c r="W480" s="972"/>
      <c r="X480" s="935"/>
      <c r="Y480" s="935"/>
      <c r="Z480" s="935"/>
      <c r="AA480" s="935"/>
    </row>
    <row r="481">
      <c r="A481" s="935"/>
      <c r="B481" s="972"/>
      <c r="C481" s="972"/>
      <c r="D481" s="972"/>
      <c r="E481" s="971"/>
      <c r="F481" s="167"/>
      <c r="G481" s="972"/>
      <c r="H481" s="973"/>
      <c r="I481" s="167"/>
      <c r="J481" s="167"/>
      <c r="K481" s="972"/>
      <c r="L481" s="972"/>
      <c r="M481" s="972"/>
      <c r="N481" s="972"/>
      <c r="O481" s="976"/>
      <c r="P481" s="978"/>
      <c r="Q481" s="978"/>
      <c r="R481" s="978"/>
      <c r="S481" s="978"/>
      <c r="T481" s="978"/>
      <c r="U481" s="978"/>
      <c r="V481" s="935"/>
      <c r="W481" s="972"/>
      <c r="X481" s="935"/>
      <c r="Y481" s="935"/>
      <c r="Z481" s="935"/>
      <c r="AA481" s="935"/>
    </row>
    <row r="482">
      <c r="A482" s="935"/>
      <c r="B482" s="972"/>
      <c r="C482" s="972"/>
      <c r="D482" s="972"/>
      <c r="E482" s="971"/>
      <c r="F482" s="167"/>
      <c r="G482" s="972"/>
      <c r="H482" s="973"/>
      <c r="I482" s="167"/>
      <c r="J482" s="167"/>
      <c r="K482" s="972"/>
      <c r="L482" s="972"/>
      <c r="M482" s="972"/>
      <c r="N482" s="972"/>
      <c r="O482" s="976"/>
      <c r="P482" s="978"/>
      <c r="Q482" s="978"/>
      <c r="R482" s="978"/>
      <c r="S482" s="978"/>
      <c r="T482" s="978"/>
      <c r="U482" s="978"/>
      <c r="V482" s="935"/>
      <c r="W482" s="972"/>
      <c r="X482" s="935"/>
      <c r="Y482" s="935"/>
      <c r="Z482" s="935"/>
      <c r="AA482" s="935"/>
    </row>
    <row r="483">
      <c r="A483" s="935"/>
      <c r="B483" s="972"/>
      <c r="C483" s="972"/>
      <c r="D483" s="972"/>
      <c r="E483" s="971"/>
      <c r="F483" s="167"/>
      <c r="G483" s="972"/>
      <c r="H483" s="973"/>
      <c r="I483" s="167"/>
      <c r="J483" s="167"/>
      <c r="K483" s="972"/>
      <c r="L483" s="972"/>
      <c r="M483" s="972"/>
      <c r="N483" s="972"/>
      <c r="O483" s="976"/>
      <c r="P483" s="978"/>
      <c r="Q483" s="978"/>
      <c r="R483" s="978"/>
      <c r="S483" s="978"/>
      <c r="T483" s="978"/>
      <c r="U483" s="978"/>
      <c r="V483" s="935"/>
      <c r="W483" s="972"/>
      <c r="X483" s="935"/>
      <c r="Y483" s="935"/>
      <c r="Z483" s="935"/>
      <c r="AA483" s="935"/>
    </row>
    <row r="484">
      <c r="A484" s="935"/>
      <c r="B484" s="972"/>
      <c r="C484" s="972"/>
      <c r="D484" s="972"/>
      <c r="E484" s="971"/>
      <c r="F484" s="167"/>
      <c r="G484" s="972"/>
      <c r="H484" s="973"/>
      <c r="I484" s="167"/>
      <c r="J484" s="167"/>
      <c r="K484" s="972"/>
      <c r="L484" s="972"/>
      <c r="M484" s="972"/>
      <c r="N484" s="972"/>
      <c r="O484" s="976"/>
      <c r="P484" s="978"/>
      <c r="Q484" s="978"/>
      <c r="R484" s="978"/>
      <c r="S484" s="978"/>
      <c r="T484" s="978"/>
      <c r="U484" s="978"/>
      <c r="V484" s="935"/>
      <c r="W484" s="972"/>
      <c r="X484" s="935"/>
      <c r="Y484" s="935"/>
      <c r="Z484" s="935"/>
      <c r="AA484" s="935"/>
    </row>
    <row r="485">
      <c r="A485" s="935"/>
      <c r="B485" s="972"/>
      <c r="C485" s="972"/>
      <c r="D485" s="972"/>
      <c r="E485" s="971"/>
      <c r="F485" s="167"/>
      <c r="G485" s="972"/>
      <c r="H485" s="973"/>
      <c r="I485" s="167"/>
      <c r="J485" s="167"/>
      <c r="K485" s="972"/>
      <c r="L485" s="972"/>
      <c r="M485" s="972"/>
      <c r="N485" s="972"/>
      <c r="O485" s="976"/>
      <c r="P485" s="978"/>
      <c r="Q485" s="978"/>
      <c r="R485" s="978"/>
      <c r="S485" s="978"/>
      <c r="T485" s="978"/>
      <c r="U485" s="978"/>
      <c r="V485" s="935"/>
      <c r="W485" s="972"/>
      <c r="X485" s="935"/>
      <c r="Y485" s="935"/>
      <c r="Z485" s="935"/>
      <c r="AA485" s="935"/>
    </row>
    <row r="486">
      <c r="A486" s="935"/>
      <c r="B486" s="972"/>
      <c r="C486" s="972"/>
      <c r="D486" s="972"/>
      <c r="E486" s="971"/>
      <c r="F486" s="167"/>
      <c r="G486" s="972"/>
      <c r="H486" s="973"/>
      <c r="I486" s="167"/>
      <c r="J486" s="167"/>
      <c r="K486" s="972"/>
      <c r="L486" s="972"/>
      <c r="M486" s="972"/>
      <c r="N486" s="972"/>
      <c r="O486" s="976"/>
      <c r="P486" s="978"/>
      <c r="Q486" s="978"/>
      <c r="R486" s="978"/>
      <c r="S486" s="978"/>
      <c r="T486" s="978"/>
      <c r="U486" s="978"/>
      <c r="V486" s="935"/>
      <c r="W486" s="972"/>
      <c r="X486" s="935"/>
      <c r="Y486" s="935"/>
      <c r="Z486" s="935"/>
      <c r="AA486" s="935"/>
    </row>
    <row r="487">
      <c r="A487" s="935"/>
      <c r="B487" s="972"/>
      <c r="C487" s="972"/>
      <c r="D487" s="972"/>
      <c r="E487" s="971"/>
      <c r="F487" s="167"/>
      <c r="G487" s="972"/>
      <c r="H487" s="973"/>
      <c r="I487" s="167"/>
      <c r="J487" s="167"/>
      <c r="K487" s="972"/>
      <c r="L487" s="972"/>
      <c r="M487" s="972"/>
      <c r="N487" s="972"/>
      <c r="O487" s="976"/>
      <c r="P487" s="978"/>
      <c r="Q487" s="978"/>
      <c r="R487" s="978"/>
      <c r="S487" s="978"/>
      <c r="T487" s="978"/>
      <c r="U487" s="978"/>
      <c r="V487" s="935"/>
      <c r="W487" s="972"/>
      <c r="X487" s="935"/>
      <c r="Y487" s="935"/>
      <c r="Z487" s="935"/>
      <c r="AA487" s="935"/>
    </row>
    <row r="488">
      <c r="A488" s="935"/>
      <c r="B488" s="972"/>
      <c r="C488" s="972"/>
      <c r="D488" s="972"/>
      <c r="E488" s="971"/>
      <c r="F488" s="167"/>
      <c r="G488" s="972"/>
      <c r="H488" s="973"/>
      <c r="I488" s="167"/>
      <c r="J488" s="167"/>
      <c r="K488" s="972"/>
      <c r="L488" s="972"/>
      <c r="M488" s="972"/>
      <c r="N488" s="972"/>
      <c r="O488" s="976"/>
      <c r="P488" s="978"/>
      <c r="Q488" s="978"/>
      <c r="R488" s="978"/>
      <c r="S488" s="978"/>
      <c r="T488" s="978"/>
      <c r="U488" s="978"/>
      <c r="V488" s="935"/>
      <c r="W488" s="972"/>
      <c r="X488" s="935"/>
      <c r="Y488" s="935"/>
      <c r="Z488" s="935"/>
      <c r="AA488" s="935"/>
    </row>
    <row r="489">
      <c r="A489" s="935"/>
      <c r="B489" s="972"/>
      <c r="C489" s="972"/>
      <c r="D489" s="972"/>
      <c r="E489" s="971"/>
      <c r="F489" s="167"/>
      <c r="G489" s="972"/>
      <c r="H489" s="973"/>
      <c r="I489" s="167"/>
      <c r="J489" s="167"/>
      <c r="K489" s="972"/>
      <c r="L489" s="972"/>
      <c r="M489" s="972"/>
      <c r="N489" s="972"/>
      <c r="O489" s="976"/>
      <c r="P489" s="978"/>
      <c r="Q489" s="978"/>
      <c r="R489" s="978"/>
      <c r="S489" s="978"/>
      <c r="T489" s="978"/>
      <c r="U489" s="978"/>
      <c r="V489" s="935"/>
      <c r="W489" s="972"/>
      <c r="X489" s="935"/>
      <c r="Y489" s="935"/>
      <c r="Z489" s="935"/>
      <c r="AA489" s="935"/>
    </row>
    <row r="490">
      <c r="A490" s="935"/>
      <c r="B490" s="972"/>
      <c r="C490" s="972"/>
      <c r="D490" s="972"/>
      <c r="E490" s="971"/>
      <c r="F490" s="167"/>
      <c r="G490" s="972"/>
      <c r="H490" s="973"/>
      <c r="I490" s="167"/>
      <c r="J490" s="167"/>
      <c r="K490" s="972"/>
      <c r="L490" s="972"/>
      <c r="M490" s="972"/>
      <c r="N490" s="972"/>
      <c r="O490" s="976"/>
      <c r="P490" s="978"/>
      <c r="Q490" s="978"/>
      <c r="R490" s="978"/>
      <c r="S490" s="978"/>
      <c r="T490" s="978"/>
      <c r="U490" s="978"/>
      <c r="V490" s="935"/>
      <c r="W490" s="972"/>
      <c r="X490" s="935"/>
      <c r="Y490" s="935"/>
      <c r="Z490" s="935"/>
      <c r="AA490" s="935"/>
    </row>
    <row r="491">
      <c r="A491" s="935"/>
      <c r="B491" s="972"/>
      <c r="C491" s="972"/>
      <c r="D491" s="972"/>
      <c r="E491" s="971"/>
      <c r="F491" s="167"/>
      <c r="G491" s="972"/>
      <c r="H491" s="973"/>
      <c r="I491" s="167"/>
      <c r="J491" s="167"/>
      <c r="K491" s="972"/>
      <c r="L491" s="972"/>
      <c r="M491" s="972"/>
      <c r="N491" s="972"/>
      <c r="O491" s="976"/>
      <c r="P491" s="978"/>
      <c r="Q491" s="978"/>
      <c r="R491" s="978"/>
      <c r="S491" s="978"/>
      <c r="T491" s="978"/>
      <c r="U491" s="978"/>
      <c r="V491" s="935"/>
      <c r="W491" s="972"/>
      <c r="X491" s="935"/>
      <c r="Y491" s="935"/>
      <c r="Z491" s="935"/>
      <c r="AA491" s="935"/>
    </row>
    <row r="492">
      <c r="A492" s="935"/>
      <c r="B492" s="972"/>
      <c r="C492" s="972"/>
      <c r="D492" s="972"/>
      <c r="E492" s="971"/>
      <c r="F492" s="167"/>
      <c r="G492" s="972"/>
      <c r="H492" s="973"/>
      <c r="I492" s="167"/>
      <c r="J492" s="167"/>
      <c r="K492" s="972"/>
      <c r="L492" s="972"/>
      <c r="M492" s="972"/>
      <c r="N492" s="972"/>
      <c r="O492" s="976"/>
      <c r="P492" s="978"/>
      <c r="Q492" s="978"/>
      <c r="R492" s="978"/>
      <c r="S492" s="978"/>
      <c r="T492" s="978"/>
      <c r="U492" s="978"/>
      <c r="V492" s="935"/>
      <c r="W492" s="972"/>
      <c r="X492" s="935"/>
      <c r="Y492" s="935"/>
      <c r="Z492" s="935"/>
      <c r="AA492" s="935"/>
    </row>
    <row r="493">
      <c r="A493" s="935"/>
      <c r="B493" s="972"/>
      <c r="C493" s="972"/>
      <c r="D493" s="972"/>
      <c r="E493" s="971"/>
      <c r="F493" s="167"/>
      <c r="G493" s="972"/>
      <c r="H493" s="973"/>
      <c r="I493" s="167"/>
      <c r="J493" s="167"/>
      <c r="K493" s="972"/>
      <c r="L493" s="972"/>
      <c r="M493" s="972"/>
      <c r="N493" s="972"/>
      <c r="O493" s="976"/>
      <c r="P493" s="978"/>
      <c r="Q493" s="978"/>
      <c r="R493" s="978"/>
      <c r="S493" s="978"/>
      <c r="T493" s="978"/>
      <c r="U493" s="978"/>
      <c r="V493" s="935"/>
      <c r="W493" s="972"/>
      <c r="X493" s="935"/>
      <c r="Y493" s="935"/>
      <c r="Z493" s="935"/>
      <c r="AA493" s="935"/>
    </row>
    <row r="494">
      <c r="A494" s="935"/>
      <c r="B494" s="972"/>
      <c r="C494" s="972"/>
      <c r="D494" s="972"/>
      <c r="E494" s="971"/>
      <c r="F494" s="167"/>
      <c r="G494" s="972"/>
      <c r="H494" s="973"/>
      <c r="I494" s="167"/>
      <c r="J494" s="167"/>
      <c r="K494" s="972"/>
      <c r="L494" s="972"/>
      <c r="M494" s="972"/>
      <c r="N494" s="972"/>
      <c r="O494" s="976"/>
      <c r="P494" s="978"/>
      <c r="Q494" s="978"/>
      <c r="R494" s="978"/>
      <c r="S494" s="978"/>
      <c r="T494" s="978"/>
      <c r="U494" s="978"/>
      <c r="V494" s="935"/>
      <c r="W494" s="972"/>
      <c r="X494" s="935"/>
      <c r="Y494" s="935"/>
      <c r="Z494" s="935"/>
      <c r="AA494" s="935"/>
    </row>
    <row r="495">
      <c r="A495" s="935"/>
      <c r="B495" s="972"/>
      <c r="C495" s="972"/>
      <c r="D495" s="972"/>
      <c r="E495" s="971"/>
      <c r="F495" s="167"/>
      <c r="G495" s="972"/>
      <c r="H495" s="973"/>
      <c r="I495" s="167"/>
      <c r="J495" s="167"/>
      <c r="K495" s="972"/>
      <c r="L495" s="972"/>
      <c r="M495" s="972"/>
      <c r="N495" s="972"/>
      <c r="O495" s="976"/>
      <c r="P495" s="978"/>
      <c r="Q495" s="978"/>
      <c r="R495" s="978"/>
      <c r="S495" s="978"/>
      <c r="T495" s="978"/>
      <c r="U495" s="978"/>
      <c r="V495" s="935"/>
      <c r="W495" s="972"/>
      <c r="X495" s="935"/>
      <c r="Y495" s="935"/>
      <c r="Z495" s="935"/>
      <c r="AA495" s="935"/>
    </row>
    <row r="496">
      <c r="A496" s="935"/>
      <c r="B496" s="972"/>
      <c r="C496" s="972"/>
      <c r="D496" s="972"/>
      <c r="E496" s="971"/>
      <c r="F496" s="167"/>
      <c r="G496" s="972"/>
      <c r="H496" s="973"/>
      <c r="I496" s="167"/>
      <c r="J496" s="167"/>
      <c r="K496" s="972"/>
      <c r="L496" s="972"/>
      <c r="M496" s="972"/>
      <c r="N496" s="972"/>
      <c r="O496" s="976"/>
      <c r="P496" s="978"/>
      <c r="Q496" s="978"/>
      <c r="R496" s="978"/>
      <c r="S496" s="978"/>
      <c r="T496" s="978"/>
      <c r="U496" s="978"/>
      <c r="V496" s="935"/>
      <c r="W496" s="972"/>
      <c r="X496" s="935"/>
      <c r="Y496" s="935"/>
      <c r="Z496" s="935"/>
      <c r="AA496" s="935"/>
    </row>
    <row r="497">
      <c r="A497" s="935"/>
      <c r="B497" s="972"/>
      <c r="C497" s="972"/>
      <c r="D497" s="972"/>
      <c r="E497" s="971"/>
      <c r="F497" s="167"/>
      <c r="G497" s="972"/>
      <c r="H497" s="973"/>
      <c r="I497" s="167"/>
      <c r="J497" s="167"/>
      <c r="K497" s="972"/>
      <c r="L497" s="972"/>
      <c r="M497" s="972"/>
      <c r="N497" s="972"/>
      <c r="O497" s="976"/>
      <c r="P497" s="978"/>
      <c r="Q497" s="978"/>
      <c r="R497" s="978"/>
      <c r="S497" s="978"/>
      <c r="T497" s="978"/>
      <c r="U497" s="978"/>
      <c r="V497" s="935"/>
      <c r="W497" s="972"/>
      <c r="X497" s="935"/>
      <c r="Y497" s="935"/>
      <c r="Z497" s="935"/>
      <c r="AA497" s="935"/>
    </row>
    <row r="498">
      <c r="A498" s="935"/>
      <c r="B498" s="972"/>
      <c r="C498" s="972"/>
      <c r="D498" s="972"/>
      <c r="E498" s="971"/>
      <c r="F498" s="167"/>
      <c r="G498" s="972"/>
      <c r="H498" s="973"/>
      <c r="I498" s="167"/>
      <c r="J498" s="167"/>
      <c r="K498" s="972"/>
      <c r="L498" s="972"/>
      <c r="M498" s="972"/>
      <c r="N498" s="972"/>
      <c r="O498" s="976"/>
      <c r="P498" s="978"/>
      <c r="Q498" s="978"/>
      <c r="R498" s="978"/>
      <c r="S498" s="978"/>
      <c r="T498" s="978"/>
      <c r="U498" s="978"/>
      <c r="V498" s="935"/>
      <c r="W498" s="972"/>
      <c r="X498" s="935"/>
      <c r="Y498" s="935"/>
      <c r="Z498" s="935"/>
      <c r="AA498" s="935"/>
    </row>
    <row r="499">
      <c r="A499" s="935"/>
      <c r="B499" s="972"/>
      <c r="C499" s="972"/>
      <c r="D499" s="972"/>
      <c r="E499" s="971"/>
      <c r="F499" s="167"/>
      <c r="G499" s="972"/>
      <c r="H499" s="973"/>
      <c r="I499" s="167"/>
      <c r="J499" s="167"/>
      <c r="K499" s="972"/>
      <c r="L499" s="972"/>
      <c r="M499" s="972"/>
      <c r="N499" s="972"/>
      <c r="O499" s="976"/>
      <c r="P499" s="978"/>
      <c r="Q499" s="978"/>
      <c r="R499" s="978"/>
      <c r="S499" s="978"/>
      <c r="T499" s="978"/>
      <c r="U499" s="978"/>
      <c r="V499" s="935"/>
      <c r="W499" s="972"/>
      <c r="X499" s="935"/>
      <c r="Y499" s="935"/>
      <c r="Z499" s="935"/>
      <c r="AA499" s="935"/>
    </row>
    <row r="500">
      <c r="A500" s="935"/>
      <c r="B500" s="972"/>
      <c r="C500" s="972"/>
      <c r="D500" s="972"/>
      <c r="E500" s="971"/>
      <c r="F500" s="167"/>
      <c r="G500" s="972"/>
      <c r="H500" s="973"/>
      <c r="I500" s="167"/>
      <c r="J500" s="167"/>
      <c r="K500" s="972"/>
      <c r="L500" s="972"/>
      <c r="M500" s="972"/>
      <c r="N500" s="972"/>
      <c r="O500" s="976"/>
      <c r="P500" s="978"/>
      <c r="Q500" s="978"/>
      <c r="R500" s="978"/>
      <c r="S500" s="978"/>
      <c r="T500" s="978"/>
      <c r="U500" s="978"/>
      <c r="V500" s="935"/>
      <c r="W500" s="972"/>
      <c r="X500" s="935"/>
      <c r="Y500" s="935"/>
      <c r="Z500" s="935"/>
      <c r="AA500" s="935"/>
    </row>
    <row r="501">
      <c r="A501" s="935"/>
      <c r="B501" s="972"/>
      <c r="C501" s="972"/>
      <c r="D501" s="972"/>
      <c r="E501" s="971"/>
      <c r="F501" s="167"/>
      <c r="G501" s="972"/>
      <c r="H501" s="973"/>
      <c r="I501" s="167"/>
      <c r="J501" s="167"/>
      <c r="K501" s="972"/>
      <c r="L501" s="972"/>
      <c r="M501" s="972"/>
      <c r="N501" s="972"/>
      <c r="O501" s="976"/>
      <c r="P501" s="978"/>
      <c r="Q501" s="978"/>
      <c r="R501" s="978"/>
      <c r="S501" s="978"/>
      <c r="T501" s="978"/>
      <c r="U501" s="978"/>
      <c r="V501" s="935"/>
      <c r="W501" s="972"/>
      <c r="X501" s="935"/>
      <c r="Y501" s="935"/>
      <c r="Z501" s="935"/>
      <c r="AA501" s="935"/>
    </row>
    <row r="502">
      <c r="A502" s="935"/>
      <c r="B502" s="972"/>
      <c r="C502" s="972"/>
      <c r="D502" s="972"/>
      <c r="E502" s="971"/>
      <c r="F502" s="167"/>
      <c r="G502" s="972"/>
      <c r="H502" s="973"/>
      <c r="I502" s="167"/>
      <c r="J502" s="167"/>
      <c r="K502" s="972"/>
      <c r="L502" s="972"/>
      <c r="M502" s="972"/>
      <c r="N502" s="972"/>
      <c r="O502" s="976"/>
      <c r="P502" s="978"/>
      <c r="Q502" s="978"/>
      <c r="R502" s="978"/>
      <c r="S502" s="978"/>
      <c r="T502" s="978"/>
      <c r="U502" s="978"/>
      <c r="V502" s="935"/>
      <c r="W502" s="972"/>
      <c r="X502" s="935"/>
      <c r="Y502" s="935"/>
      <c r="Z502" s="935"/>
      <c r="AA502" s="935"/>
    </row>
    <row r="503">
      <c r="A503" s="935"/>
      <c r="B503" s="972"/>
      <c r="C503" s="972"/>
      <c r="D503" s="972"/>
      <c r="E503" s="971"/>
      <c r="F503" s="167"/>
      <c r="G503" s="972"/>
      <c r="H503" s="973"/>
      <c r="I503" s="167"/>
      <c r="J503" s="167"/>
      <c r="K503" s="972"/>
      <c r="L503" s="972"/>
      <c r="M503" s="972"/>
      <c r="N503" s="972"/>
      <c r="O503" s="976"/>
      <c r="P503" s="978"/>
      <c r="Q503" s="978"/>
      <c r="R503" s="978"/>
      <c r="S503" s="978"/>
      <c r="T503" s="978"/>
      <c r="U503" s="978"/>
      <c r="V503" s="935"/>
      <c r="W503" s="972"/>
      <c r="X503" s="935"/>
      <c r="Y503" s="935"/>
      <c r="Z503" s="935"/>
      <c r="AA503" s="935"/>
    </row>
    <row r="504">
      <c r="A504" s="935"/>
      <c r="B504" s="972"/>
      <c r="C504" s="972"/>
      <c r="D504" s="972"/>
      <c r="E504" s="971"/>
      <c r="F504" s="167"/>
      <c r="G504" s="972"/>
      <c r="H504" s="973"/>
      <c r="I504" s="167"/>
      <c r="J504" s="167"/>
      <c r="K504" s="972"/>
      <c r="L504" s="972"/>
      <c r="M504" s="972"/>
      <c r="N504" s="972"/>
      <c r="O504" s="976"/>
      <c r="P504" s="978"/>
      <c r="Q504" s="978"/>
      <c r="R504" s="978"/>
      <c r="S504" s="978"/>
      <c r="T504" s="978"/>
      <c r="U504" s="978"/>
      <c r="V504" s="935"/>
      <c r="W504" s="972"/>
      <c r="X504" s="935"/>
      <c r="Y504" s="935"/>
      <c r="Z504" s="935"/>
      <c r="AA504" s="935"/>
    </row>
    <row r="505">
      <c r="A505" s="935"/>
      <c r="B505" s="972"/>
      <c r="C505" s="972"/>
      <c r="D505" s="972"/>
      <c r="E505" s="971"/>
      <c r="F505" s="167"/>
      <c r="G505" s="972"/>
      <c r="H505" s="973"/>
      <c r="I505" s="167"/>
      <c r="J505" s="167"/>
      <c r="K505" s="972"/>
      <c r="L505" s="972"/>
      <c r="M505" s="972"/>
      <c r="N505" s="972"/>
      <c r="O505" s="976"/>
      <c r="P505" s="978"/>
      <c r="Q505" s="978"/>
      <c r="R505" s="978"/>
      <c r="S505" s="978"/>
      <c r="T505" s="978"/>
      <c r="U505" s="978"/>
      <c r="V505" s="935"/>
      <c r="W505" s="972"/>
      <c r="X505" s="935"/>
      <c r="Y505" s="935"/>
      <c r="Z505" s="935"/>
      <c r="AA505" s="935"/>
    </row>
    <row r="506">
      <c r="A506" s="935"/>
      <c r="B506" s="972"/>
      <c r="C506" s="972"/>
      <c r="D506" s="972"/>
      <c r="E506" s="971"/>
      <c r="F506" s="167"/>
      <c r="G506" s="972"/>
      <c r="H506" s="973"/>
      <c r="I506" s="167"/>
      <c r="J506" s="167"/>
      <c r="K506" s="972"/>
      <c r="L506" s="972"/>
      <c r="M506" s="972"/>
      <c r="N506" s="972"/>
      <c r="O506" s="976"/>
      <c r="P506" s="978"/>
      <c r="Q506" s="978"/>
      <c r="R506" s="978"/>
      <c r="S506" s="978"/>
      <c r="T506" s="978"/>
      <c r="U506" s="978"/>
      <c r="V506" s="935"/>
      <c r="W506" s="972"/>
      <c r="X506" s="935"/>
      <c r="Y506" s="935"/>
      <c r="Z506" s="935"/>
      <c r="AA506" s="935"/>
    </row>
    <row r="507">
      <c r="A507" s="935"/>
      <c r="B507" s="972"/>
      <c r="C507" s="972"/>
      <c r="D507" s="972"/>
      <c r="E507" s="971"/>
      <c r="F507" s="167"/>
      <c r="G507" s="972"/>
      <c r="H507" s="973"/>
      <c r="I507" s="167"/>
      <c r="J507" s="167"/>
      <c r="K507" s="972"/>
      <c r="L507" s="972"/>
      <c r="M507" s="972"/>
      <c r="N507" s="972"/>
      <c r="O507" s="976"/>
      <c r="P507" s="978"/>
      <c r="Q507" s="978"/>
      <c r="R507" s="978"/>
      <c r="S507" s="978"/>
      <c r="T507" s="978"/>
      <c r="U507" s="978"/>
      <c r="V507" s="935"/>
      <c r="W507" s="972"/>
      <c r="X507" s="935"/>
      <c r="Y507" s="935"/>
      <c r="Z507" s="935"/>
      <c r="AA507" s="935"/>
    </row>
    <row r="508">
      <c r="A508" s="935"/>
      <c r="B508" s="972"/>
      <c r="C508" s="972"/>
      <c r="D508" s="972"/>
      <c r="E508" s="971"/>
      <c r="F508" s="167"/>
      <c r="G508" s="972"/>
      <c r="H508" s="973"/>
      <c r="I508" s="167"/>
      <c r="J508" s="167"/>
      <c r="K508" s="972"/>
      <c r="L508" s="972"/>
      <c r="M508" s="972"/>
      <c r="N508" s="972"/>
      <c r="O508" s="976"/>
      <c r="P508" s="978"/>
      <c r="Q508" s="978"/>
      <c r="R508" s="978"/>
      <c r="S508" s="978"/>
      <c r="T508" s="978"/>
      <c r="U508" s="978"/>
      <c r="V508" s="935"/>
      <c r="W508" s="972"/>
      <c r="X508" s="935"/>
      <c r="Y508" s="935"/>
      <c r="Z508" s="935"/>
      <c r="AA508" s="935"/>
    </row>
    <row r="509">
      <c r="A509" s="935"/>
      <c r="B509" s="972"/>
      <c r="C509" s="972"/>
      <c r="D509" s="972"/>
      <c r="E509" s="971"/>
      <c r="F509" s="167"/>
      <c r="G509" s="972"/>
      <c r="H509" s="973"/>
      <c r="I509" s="167"/>
      <c r="J509" s="167"/>
      <c r="K509" s="972"/>
      <c r="L509" s="972"/>
      <c r="M509" s="972"/>
      <c r="N509" s="972"/>
      <c r="O509" s="976"/>
      <c r="P509" s="978"/>
      <c r="Q509" s="978"/>
      <c r="R509" s="978"/>
      <c r="S509" s="978"/>
      <c r="T509" s="978"/>
      <c r="U509" s="978"/>
      <c r="V509" s="935"/>
      <c r="W509" s="972"/>
      <c r="X509" s="935"/>
      <c r="Y509" s="935"/>
      <c r="Z509" s="935"/>
      <c r="AA509" s="935"/>
    </row>
    <row r="510">
      <c r="A510" s="935"/>
      <c r="B510" s="972"/>
      <c r="C510" s="972"/>
      <c r="D510" s="972"/>
      <c r="E510" s="971"/>
      <c r="F510" s="167"/>
      <c r="G510" s="972"/>
      <c r="H510" s="973"/>
      <c r="I510" s="167"/>
      <c r="J510" s="167"/>
      <c r="K510" s="972"/>
      <c r="L510" s="972"/>
      <c r="M510" s="972"/>
      <c r="N510" s="972"/>
      <c r="O510" s="976"/>
      <c r="P510" s="978"/>
      <c r="Q510" s="978"/>
      <c r="R510" s="978"/>
      <c r="S510" s="978"/>
      <c r="T510" s="978"/>
      <c r="U510" s="978"/>
      <c r="V510" s="935"/>
      <c r="W510" s="972"/>
      <c r="X510" s="935"/>
      <c r="Y510" s="935"/>
      <c r="Z510" s="935"/>
      <c r="AA510" s="935"/>
    </row>
    <row r="511">
      <c r="A511" s="935"/>
      <c r="B511" s="972"/>
      <c r="C511" s="972"/>
      <c r="D511" s="972"/>
      <c r="E511" s="971"/>
      <c r="F511" s="167"/>
      <c r="G511" s="972"/>
      <c r="H511" s="973"/>
      <c r="I511" s="167"/>
      <c r="J511" s="167"/>
      <c r="K511" s="972"/>
      <c r="L511" s="972"/>
      <c r="M511" s="972"/>
      <c r="N511" s="972"/>
      <c r="O511" s="976"/>
      <c r="P511" s="978"/>
      <c r="Q511" s="978"/>
      <c r="R511" s="978"/>
      <c r="S511" s="978"/>
      <c r="T511" s="978"/>
      <c r="U511" s="978"/>
      <c r="V511" s="935"/>
      <c r="W511" s="972"/>
      <c r="X511" s="935"/>
      <c r="Y511" s="935"/>
      <c r="Z511" s="935"/>
      <c r="AA511" s="935"/>
    </row>
    <row r="512">
      <c r="A512" s="935"/>
      <c r="B512" s="972"/>
      <c r="C512" s="972"/>
      <c r="D512" s="972"/>
      <c r="E512" s="971"/>
      <c r="F512" s="167"/>
      <c r="G512" s="972"/>
      <c r="H512" s="973"/>
      <c r="I512" s="167"/>
      <c r="J512" s="167"/>
      <c r="K512" s="972"/>
      <c r="L512" s="972"/>
      <c r="M512" s="972"/>
      <c r="N512" s="972"/>
      <c r="O512" s="976"/>
      <c r="P512" s="978"/>
      <c r="Q512" s="978"/>
      <c r="R512" s="978"/>
      <c r="S512" s="978"/>
      <c r="T512" s="978"/>
      <c r="U512" s="978"/>
      <c r="V512" s="935"/>
      <c r="W512" s="972"/>
      <c r="X512" s="935"/>
      <c r="Y512" s="935"/>
      <c r="Z512" s="935"/>
      <c r="AA512" s="935"/>
    </row>
    <row r="513">
      <c r="A513" s="935"/>
      <c r="B513" s="972"/>
      <c r="C513" s="972"/>
      <c r="D513" s="972"/>
      <c r="E513" s="971"/>
      <c r="F513" s="167"/>
      <c r="G513" s="972"/>
      <c r="H513" s="973"/>
      <c r="I513" s="167"/>
      <c r="J513" s="167"/>
      <c r="K513" s="972"/>
      <c r="L513" s="972"/>
      <c r="M513" s="972"/>
      <c r="N513" s="972"/>
      <c r="O513" s="976"/>
      <c r="P513" s="978"/>
      <c r="Q513" s="978"/>
      <c r="R513" s="978"/>
      <c r="S513" s="978"/>
      <c r="T513" s="978"/>
      <c r="U513" s="978"/>
      <c r="V513" s="935"/>
      <c r="W513" s="972"/>
      <c r="X513" s="935"/>
      <c r="Y513" s="935"/>
      <c r="Z513" s="935"/>
      <c r="AA513" s="935"/>
    </row>
    <row r="514">
      <c r="A514" s="935"/>
      <c r="B514" s="972"/>
      <c r="C514" s="972"/>
      <c r="D514" s="972"/>
      <c r="E514" s="971"/>
      <c r="F514" s="167"/>
      <c r="G514" s="972"/>
      <c r="H514" s="973"/>
      <c r="I514" s="167"/>
      <c r="J514" s="167"/>
      <c r="K514" s="972"/>
      <c r="L514" s="972"/>
      <c r="M514" s="972"/>
      <c r="N514" s="972"/>
      <c r="O514" s="976"/>
      <c r="P514" s="978"/>
      <c r="Q514" s="978"/>
      <c r="R514" s="978"/>
      <c r="S514" s="978"/>
      <c r="T514" s="978"/>
      <c r="U514" s="978"/>
      <c r="V514" s="935"/>
      <c r="W514" s="972"/>
      <c r="X514" s="935"/>
      <c r="Y514" s="935"/>
      <c r="Z514" s="935"/>
      <c r="AA514" s="935"/>
    </row>
    <row r="515">
      <c r="A515" s="935"/>
      <c r="B515" s="972"/>
      <c r="C515" s="972"/>
      <c r="D515" s="972"/>
      <c r="E515" s="971"/>
      <c r="F515" s="167"/>
      <c r="G515" s="972"/>
      <c r="H515" s="973"/>
      <c r="I515" s="167"/>
      <c r="J515" s="167"/>
      <c r="K515" s="972"/>
      <c r="L515" s="972"/>
      <c r="M515" s="972"/>
      <c r="N515" s="972"/>
      <c r="O515" s="976"/>
      <c r="P515" s="978"/>
      <c r="Q515" s="978"/>
      <c r="R515" s="978"/>
      <c r="S515" s="978"/>
      <c r="T515" s="978"/>
      <c r="U515" s="978"/>
      <c r="V515" s="935"/>
      <c r="W515" s="972"/>
      <c r="X515" s="935"/>
      <c r="Y515" s="935"/>
      <c r="Z515" s="935"/>
      <c r="AA515" s="935"/>
    </row>
    <row r="516">
      <c r="A516" s="935"/>
      <c r="B516" s="972"/>
      <c r="C516" s="972"/>
      <c r="D516" s="972"/>
      <c r="E516" s="971"/>
      <c r="F516" s="167"/>
      <c r="G516" s="972"/>
      <c r="H516" s="973"/>
      <c r="I516" s="167"/>
      <c r="J516" s="167"/>
      <c r="K516" s="972"/>
      <c r="L516" s="972"/>
      <c r="M516" s="972"/>
      <c r="N516" s="972"/>
      <c r="O516" s="976"/>
      <c r="P516" s="978"/>
      <c r="Q516" s="978"/>
      <c r="R516" s="978"/>
      <c r="S516" s="978"/>
      <c r="T516" s="978"/>
      <c r="U516" s="978"/>
      <c r="V516" s="935"/>
      <c r="W516" s="972"/>
      <c r="X516" s="935"/>
      <c r="Y516" s="935"/>
      <c r="Z516" s="935"/>
      <c r="AA516" s="935"/>
    </row>
    <row r="517">
      <c r="A517" s="935"/>
      <c r="B517" s="972"/>
      <c r="C517" s="972"/>
      <c r="D517" s="972"/>
      <c r="E517" s="971"/>
      <c r="F517" s="167"/>
      <c r="G517" s="972"/>
      <c r="H517" s="973"/>
      <c r="I517" s="167"/>
      <c r="J517" s="167"/>
      <c r="K517" s="972"/>
      <c r="L517" s="972"/>
      <c r="M517" s="972"/>
      <c r="N517" s="972"/>
      <c r="O517" s="976"/>
      <c r="P517" s="978"/>
      <c r="Q517" s="978"/>
      <c r="R517" s="978"/>
      <c r="S517" s="978"/>
      <c r="T517" s="978"/>
      <c r="U517" s="978"/>
      <c r="V517" s="935"/>
      <c r="W517" s="972"/>
      <c r="X517" s="935"/>
      <c r="Y517" s="935"/>
      <c r="Z517" s="935"/>
      <c r="AA517" s="935"/>
    </row>
    <row r="518">
      <c r="A518" s="935"/>
      <c r="B518" s="972"/>
      <c r="C518" s="972"/>
      <c r="D518" s="972"/>
      <c r="E518" s="971"/>
      <c r="F518" s="167"/>
      <c r="G518" s="972"/>
      <c r="H518" s="973"/>
      <c r="I518" s="167"/>
      <c r="J518" s="167"/>
      <c r="K518" s="972"/>
      <c r="L518" s="972"/>
      <c r="M518" s="972"/>
      <c r="N518" s="972"/>
      <c r="O518" s="976"/>
      <c r="P518" s="978"/>
      <c r="Q518" s="978"/>
      <c r="R518" s="978"/>
      <c r="S518" s="978"/>
      <c r="T518" s="978"/>
      <c r="U518" s="978"/>
      <c r="V518" s="935"/>
      <c r="W518" s="972"/>
      <c r="X518" s="935"/>
      <c r="Y518" s="935"/>
      <c r="Z518" s="935"/>
      <c r="AA518" s="935"/>
    </row>
    <row r="519">
      <c r="A519" s="935"/>
      <c r="B519" s="972"/>
      <c r="C519" s="972"/>
      <c r="D519" s="972"/>
      <c r="E519" s="971"/>
      <c r="F519" s="167"/>
      <c r="G519" s="972"/>
      <c r="H519" s="973"/>
      <c r="I519" s="167"/>
      <c r="J519" s="167"/>
      <c r="K519" s="972"/>
      <c r="L519" s="972"/>
      <c r="M519" s="972"/>
      <c r="N519" s="972"/>
      <c r="O519" s="976"/>
      <c r="P519" s="978"/>
      <c r="Q519" s="978"/>
      <c r="R519" s="978"/>
      <c r="S519" s="978"/>
      <c r="T519" s="978"/>
      <c r="U519" s="978"/>
      <c r="V519" s="935"/>
      <c r="W519" s="972"/>
      <c r="X519" s="935"/>
      <c r="Y519" s="935"/>
      <c r="Z519" s="935"/>
      <c r="AA519" s="935"/>
    </row>
    <row r="520">
      <c r="A520" s="935"/>
      <c r="B520" s="972"/>
      <c r="C520" s="972"/>
      <c r="D520" s="972"/>
      <c r="E520" s="971"/>
      <c r="F520" s="167"/>
      <c r="G520" s="972"/>
      <c r="H520" s="973"/>
      <c r="I520" s="167"/>
      <c r="J520" s="167"/>
      <c r="K520" s="972"/>
      <c r="L520" s="972"/>
      <c r="M520" s="972"/>
      <c r="N520" s="972"/>
      <c r="O520" s="976"/>
      <c r="P520" s="978"/>
      <c r="Q520" s="978"/>
      <c r="R520" s="978"/>
      <c r="S520" s="978"/>
      <c r="T520" s="978"/>
      <c r="U520" s="978"/>
      <c r="V520" s="935"/>
      <c r="W520" s="972"/>
      <c r="X520" s="935"/>
      <c r="Y520" s="935"/>
      <c r="Z520" s="935"/>
      <c r="AA520" s="935"/>
    </row>
    <row r="521">
      <c r="A521" s="935"/>
      <c r="B521" s="972"/>
      <c r="C521" s="972"/>
      <c r="D521" s="972"/>
      <c r="E521" s="971"/>
      <c r="F521" s="167"/>
      <c r="G521" s="972"/>
      <c r="H521" s="973"/>
      <c r="I521" s="167"/>
      <c r="J521" s="167"/>
      <c r="K521" s="972"/>
      <c r="L521" s="972"/>
      <c r="M521" s="972"/>
      <c r="N521" s="972"/>
      <c r="O521" s="976"/>
      <c r="P521" s="978"/>
      <c r="Q521" s="978"/>
      <c r="R521" s="978"/>
      <c r="S521" s="978"/>
      <c r="T521" s="978"/>
      <c r="U521" s="978"/>
      <c r="V521" s="935"/>
      <c r="W521" s="972"/>
      <c r="X521" s="935"/>
      <c r="Y521" s="935"/>
      <c r="Z521" s="935"/>
      <c r="AA521" s="935"/>
    </row>
    <row r="522">
      <c r="A522" s="935"/>
      <c r="B522" s="972"/>
      <c r="C522" s="972"/>
      <c r="D522" s="972"/>
      <c r="E522" s="971"/>
      <c r="F522" s="167"/>
      <c r="G522" s="972"/>
      <c r="H522" s="973"/>
      <c r="I522" s="167"/>
      <c r="J522" s="167"/>
      <c r="K522" s="972"/>
      <c r="L522" s="972"/>
      <c r="M522" s="972"/>
      <c r="N522" s="972"/>
      <c r="O522" s="976"/>
      <c r="P522" s="978"/>
      <c r="Q522" s="978"/>
      <c r="R522" s="978"/>
      <c r="S522" s="978"/>
      <c r="T522" s="978"/>
      <c r="U522" s="978"/>
      <c r="V522" s="935"/>
      <c r="W522" s="972"/>
      <c r="X522" s="935"/>
      <c r="Y522" s="935"/>
      <c r="Z522" s="935"/>
      <c r="AA522" s="935"/>
    </row>
    <row r="523">
      <c r="A523" s="935"/>
      <c r="B523" s="972"/>
      <c r="C523" s="972"/>
      <c r="D523" s="972"/>
      <c r="E523" s="971"/>
      <c r="F523" s="167"/>
      <c r="G523" s="972"/>
      <c r="H523" s="973"/>
      <c r="I523" s="167"/>
      <c r="J523" s="167"/>
      <c r="K523" s="972"/>
      <c r="L523" s="972"/>
      <c r="M523" s="972"/>
      <c r="N523" s="972"/>
      <c r="O523" s="976"/>
      <c r="P523" s="978"/>
      <c r="Q523" s="978"/>
      <c r="R523" s="978"/>
      <c r="S523" s="978"/>
      <c r="T523" s="978"/>
      <c r="U523" s="978"/>
      <c r="V523" s="935"/>
      <c r="W523" s="972"/>
      <c r="X523" s="935"/>
      <c r="Y523" s="935"/>
      <c r="Z523" s="935"/>
      <c r="AA523" s="935"/>
    </row>
    <row r="524">
      <c r="A524" s="935"/>
      <c r="B524" s="972"/>
      <c r="C524" s="972"/>
      <c r="D524" s="972"/>
      <c r="E524" s="971"/>
      <c r="F524" s="167"/>
      <c r="G524" s="972"/>
      <c r="H524" s="973"/>
      <c r="I524" s="167"/>
      <c r="J524" s="167"/>
      <c r="K524" s="972"/>
      <c r="L524" s="972"/>
      <c r="M524" s="972"/>
      <c r="N524" s="972"/>
      <c r="O524" s="976"/>
      <c r="P524" s="978"/>
      <c r="Q524" s="978"/>
      <c r="R524" s="978"/>
      <c r="S524" s="978"/>
      <c r="T524" s="978"/>
      <c r="U524" s="978"/>
      <c r="V524" s="935"/>
      <c r="W524" s="972"/>
      <c r="X524" s="935"/>
      <c r="Y524" s="935"/>
      <c r="Z524" s="935"/>
      <c r="AA524" s="935"/>
    </row>
    <row r="525">
      <c r="A525" s="935"/>
      <c r="B525" s="972"/>
      <c r="C525" s="972"/>
      <c r="D525" s="972"/>
      <c r="E525" s="971"/>
      <c r="F525" s="167"/>
      <c r="G525" s="972"/>
      <c r="H525" s="973"/>
      <c r="I525" s="167"/>
      <c r="J525" s="167"/>
      <c r="K525" s="972"/>
      <c r="L525" s="972"/>
      <c r="M525" s="972"/>
      <c r="N525" s="972"/>
      <c r="O525" s="976"/>
      <c r="P525" s="978"/>
      <c r="Q525" s="978"/>
      <c r="R525" s="978"/>
      <c r="S525" s="978"/>
      <c r="T525" s="978"/>
      <c r="U525" s="978"/>
      <c r="V525" s="935"/>
      <c r="W525" s="972"/>
      <c r="X525" s="935"/>
      <c r="Y525" s="935"/>
      <c r="Z525" s="935"/>
      <c r="AA525" s="935"/>
    </row>
    <row r="526">
      <c r="A526" s="935"/>
      <c r="B526" s="972"/>
      <c r="C526" s="972"/>
      <c r="D526" s="972"/>
      <c r="E526" s="971"/>
      <c r="F526" s="167"/>
      <c r="G526" s="972"/>
      <c r="H526" s="973"/>
      <c r="I526" s="167"/>
      <c r="J526" s="167"/>
      <c r="K526" s="972"/>
      <c r="L526" s="972"/>
      <c r="M526" s="972"/>
      <c r="N526" s="972"/>
      <c r="O526" s="976"/>
      <c r="P526" s="978"/>
      <c r="Q526" s="978"/>
      <c r="R526" s="978"/>
      <c r="S526" s="978"/>
      <c r="T526" s="978"/>
      <c r="U526" s="978"/>
      <c r="V526" s="935"/>
      <c r="W526" s="972"/>
      <c r="X526" s="935"/>
      <c r="Y526" s="935"/>
      <c r="Z526" s="935"/>
      <c r="AA526" s="935"/>
    </row>
    <row r="527">
      <c r="A527" s="935"/>
      <c r="B527" s="972"/>
      <c r="C527" s="972"/>
      <c r="D527" s="972"/>
      <c r="E527" s="971"/>
      <c r="F527" s="167"/>
      <c r="G527" s="972"/>
      <c r="H527" s="973"/>
      <c r="I527" s="167"/>
      <c r="J527" s="167"/>
      <c r="K527" s="972"/>
      <c r="L527" s="972"/>
      <c r="M527" s="972"/>
      <c r="N527" s="972"/>
      <c r="O527" s="976"/>
      <c r="P527" s="978"/>
      <c r="Q527" s="978"/>
      <c r="R527" s="978"/>
      <c r="S527" s="978"/>
      <c r="T527" s="978"/>
      <c r="U527" s="978"/>
      <c r="V527" s="935"/>
      <c r="W527" s="972"/>
      <c r="X527" s="935"/>
      <c r="Y527" s="935"/>
      <c r="Z527" s="935"/>
      <c r="AA527" s="935"/>
    </row>
    <row r="528">
      <c r="A528" s="935"/>
      <c r="B528" s="972"/>
      <c r="C528" s="972"/>
      <c r="D528" s="972"/>
      <c r="E528" s="971"/>
      <c r="F528" s="167"/>
      <c r="G528" s="972"/>
      <c r="H528" s="973"/>
      <c r="I528" s="167"/>
      <c r="J528" s="167"/>
      <c r="K528" s="972"/>
      <c r="L528" s="972"/>
      <c r="M528" s="972"/>
      <c r="N528" s="972"/>
      <c r="O528" s="976"/>
      <c r="P528" s="978"/>
      <c r="Q528" s="978"/>
      <c r="R528" s="978"/>
      <c r="S528" s="978"/>
      <c r="T528" s="978"/>
      <c r="U528" s="978"/>
      <c r="V528" s="935"/>
      <c r="W528" s="972"/>
      <c r="X528" s="935"/>
      <c r="Y528" s="935"/>
      <c r="Z528" s="935"/>
      <c r="AA528" s="935"/>
    </row>
    <row r="529">
      <c r="A529" s="935"/>
      <c r="B529" s="972"/>
      <c r="C529" s="972"/>
      <c r="D529" s="972"/>
      <c r="E529" s="971"/>
      <c r="F529" s="167"/>
      <c r="G529" s="972"/>
      <c r="H529" s="973"/>
      <c r="I529" s="167"/>
      <c r="J529" s="167"/>
      <c r="K529" s="972"/>
      <c r="L529" s="972"/>
      <c r="M529" s="972"/>
      <c r="N529" s="972"/>
      <c r="O529" s="976"/>
      <c r="P529" s="978"/>
      <c r="Q529" s="978"/>
      <c r="R529" s="978"/>
      <c r="S529" s="978"/>
      <c r="T529" s="978"/>
      <c r="U529" s="978"/>
      <c r="V529" s="935"/>
      <c r="W529" s="972"/>
      <c r="X529" s="935"/>
      <c r="Y529" s="935"/>
      <c r="Z529" s="935"/>
      <c r="AA529" s="935"/>
    </row>
    <row r="530">
      <c r="A530" s="935"/>
      <c r="B530" s="972"/>
      <c r="C530" s="972"/>
      <c r="D530" s="972"/>
      <c r="E530" s="971"/>
      <c r="F530" s="167"/>
      <c r="G530" s="972"/>
      <c r="H530" s="973"/>
      <c r="I530" s="167"/>
      <c r="J530" s="167"/>
      <c r="K530" s="972"/>
      <c r="L530" s="972"/>
      <c r="M530" s="972"/>
      <c r="N530" s="972"/>
      <c r="O530" s="976"/>
      <c r="P530" s="978"/>
      <c r="Q530" s="978"/>
      <c r="R530" s="978"/>
      <c r="S530" s="978"/>
      <c r="T530" s="978"/>
      <c r="U530" s="978"/>
      <c r="V530" s="935"/>
      <c r="W530" s="972"/>
      <c r="X530" s="935"/>
      <c r="Y530" s="935"/>
      <c r="Z530" s="935"/>
      <c r="AA530" s="935"/>
    </row>
    <row r="531">
      <c r="A531" s="935"/>
      <c r="B531" s="972"/>
      <c r="C531" s="972"/>
      <c r="D531" s="972"/>
      <c r="E531" s="971"/>
      <c r="F531" s="167"/>
      <c r="G531" s="972"/>
      <c r="H531" s="973"/>
      <c r="I531" s="167"/>
      <c r="J531" s="167"/>
      <c r="K531" s="972"/>
      <c r="L531" s="972"/>
      <c r="M531" s="972"/>
      <c r="N531" s="972"/>
      <c r="O531" s="976"/>
      <c r="P531" s="978"/>
      <c r="Q531" s="978"/>
      <c r="R531" s="978"/>
      <c r="S531" s="978"/>
      <c r="T531" s="978"/>
      <c r="U531" s="978"/>
      <c r="V531" s="935"/>
      <c r="W531" s="972"/>
      <c r="X531" s="935"/>
      <c r="Y531" s="935"/>
      <c r="Z531" s="935"/>
      <c r="AA531" s="935"/>
    </row>
    <row r="532">
      <c r="A532" s="935"/>
      <c r="B532" s="972"/>
      <c r="C532" s="972"/>
      <c r="D532" s="972"/>
      <c r="E532" s="971"/>
      <c r="F532" s="167"/>
      <c r="G532" s="972"/>
      <c r="H532" s="973"/>
      <c r="I532" s="167"/>
      <c r="J532" s="167"/>
      <c r="K532" s="972"/>
      <c r="L532" s="972"/>
      <c r="M532" s="972"/>
      <c r="N532" s="972"/>
      <c r="O532" s="976"/>
      <c r="P532" s="978"/>
      <c r="Q532" s="978"/>
      <c r="R532" s="978"/>
      <c r="S532" s="978"/>
      <c r="T532" s="978"/>
      <c r="U532" s="978"/>
      <c r="V532" s="935"/>
      <c r="W532" s="972"/>
      <c r="X532" s="935"/>
      <c r="Y532" s="935"/>
      <c r="Z532" s="935"/>
      <c r="AA532" s="935"/>
    </row>
    <row r="533">
      <c r="A533" s="935"/>
      <c r="B533" s="972"/>
      <c r="C533" s="972"/>
      <c r="D533" s="972"/>
      <c r="E533" s="971"/>
      <c r="F533" s="167"/>
      <c r="G533" s="972"/>
      <c r="H533" s="973"/>
      <c r="I533" s="167"/>
      <c r="J533" s="167"/>
      <c r="K533" s="972"/>
      <c r="L533" s="972"/>
      <c r="M533" s="972"/>
      <c r="N533" s="972"/>
      <c r="O533" s="976"/>
      <c r="P533" s="978"/>
      <c r="Q533" s="978"/>
      <c r="R533" s="978"/>
      <c r="S533" s="978"/>
      <c r="T533" s="978"/>
      <c r="U533" s="978"/>
      <c r="V533" s="935"/>
      <c r="W533" s="972"/>
      <c r="X533" s="935"/>
      <c r="Y533" s="935"/>
      <c r="Z533" s="935"/>
      <c r="AA533" s="935"/>
    </row>
    <row r="534">
      <c r="A534" s="935"/>
      <c r="B534" s="972"/>
      <c r="C534" s="972"/>
      <c r="D534" s="972"/>
      <c r="E534" s="971"/>
      <c r="F534" s="167"/>
      <c r="G534" s="972"/>
      <c r="H534" s="973"/>
      <c r="I534" s="167"/>
      <c r="J534" s="167"/>
      <c r="K534" s="972"/>
      <c r="L534" s="972"/>
      <c r="M534" s="972"/>
      <c r="N534" s="972"/>
      <c r="O534" s="976"/>
      <c r="P534" s="978"/>
      <c r="Q534" s="978"/>
      <c r="R534" s="978"/>
      <c r="S534" s="978"/>
      <c r="T534" s="978"/>
      <c r="U534" s="978"/>
      <c r="V534" s="935"/>
      <c r="W534" s="972"/>
      <c r="X534" s="935"/>
      <c r="Y534" s="935"/>
      <c r="Z534" s="935"/>
      <c r="AA534" s="935"/>
    </row>
    <row r="535">
      <c r="A535" s="935"/>
      <c r="B535" s="972"/>
      <c r="C535" s="972"/>
      <c r="D535" s="972"/>
      <c r="E535" s="971"/>
      <c r="F535" s="167"/>
      <c r="G535" s="972"/>
      <c r="H535" s="973"/>
      <c r="I535" s="167"/>
      <c r="J535" s="167"/>
      <c r="K535" s="972"/>
      <c r="L535" s="972"/>
      <c r="M535" s="972"/>
      <c r="N535" s="972"/>
      <c r="O535" s="976"/>
      <c r="P535" s="978"/>
      <c r="Q535" s="978"/>
      <c r="R535" s="978"/>
      <c r="S535" s="978"/>
      <c r="T535" s="978"/>
      <c r="U535" s="978"/>
      <c r="V535" s="935"/>
      <c r="W535" s="972"/>
      <c r="X535" s="935"/>
      <c r="Y535" s="935"/>
      <c r="Z535" s="935"/>
      <c r="AA535" s="935"/>
    </row>
    <row r="536">
      <c r="A536" s="935"/>
      <c r="B536" s="972"/>
      <c r="C536" s="972"/>
      <c r="D536" s="972"/>
      <c r="E536" s="971"/>
      <c r="F536" s="167"/>
      <c r="G536" s="972"/>
      <c r="H536" s="973"/>
      <c r="I536" s="167"/>
      <c r="J536" s="167"/>
      <c r="K536" s="972"/>
      <c r="L536" s="972"/>
      <c r="M536" s="972"/>
      <c r="N536" s="972"/>
      <c r="O536" s="976"/>
      <c r="P536" s="978"/>
      <c r="Q536" s="978"/>
      <c r="R536" s="978"/>
      <c r="S536" s="978"/>
      <c r="T536" s="978"/>
      <c r="U536" s="978"/>
      <c r="V536" s="935"/>
      <c r="W536" s="972"/>
      <c r="X536" s="935"/>
      <c r="Y536" s="935"/>
      <c r="Z536" s="935"/>
      <c r="AA536" s="935"/>
    </row>
    <row r="537">
      <c r="A537" s="935"/>
      <c r="B537" s="972"/>
      <c r="C537" s="972"/>
      <c r="D537" s="972"/>
      <c r="E537" s="971"/>
      <c r="F537" s="167"/>
      <c r="G537" s="972"/>
      <c r="H537" s="973"/>
      <c r="I537" s="167"/>
      <c r="J537" s="167"/>
      <c r="K537" s="972"/>
      <c r="L537" s="972"/>
      <c r="M537" s="972"/>
      <c r="N537" s="972"/>
      <c r="O537" s="976"/>
      <c r="P537" s="978"/>
      <c r="Q537" s="978"/>
      <c r="R537" s="978"/>
      <c r="S537" s="978"/>
      <c r="T537" s="978"/>
      <c r="U537" s="978"/>
      <c r="V537" s="935"/>
      <c r="W537" s="972"/>
      <c r="X537" s="935"/>
      <c r="Y537" s="935"/>
      <c r="Z537" s="935"/>
      <c r="AA537" s="935"/>
    </row>
    <row r="538">
      <c r="A538" s="935"/>
      <c r="B538" s="972"/>
      <c r="C538" s="972"/>
      <c r="D538" s="972"/>
      <c r="E538" s="971"/>
      <c r="F538" s="167"/>
      <c r="G538" s="972"/>
      <c r="H538" s="973"/>
      <c r="I538" s="167"/>
      <c r="J538" s="167"/>
      <c r="K538" s="972"/>
      <c r="L538" s="972"/>
      <c r="M538" s="972"/>
      <c r="N538" s="972"/>
      <c r="O538" s="976"/>
      <c r="P538" s="978"/>
      <c r="Q538" s="978"/>
      <c r="R538" s="978"/>
      <c r="S538" s="978"/>
      <c r="T538" s="978"/>
      <c r="U538" s="978"/>
      <c r="V538" s="935"/>
      <c r="W538" s="972"/>
      <c r="X538" s="935"/>
      <c r="Y538" s="935"/>
      <c r="Z538" s="935"/>
      <c r="AA538" s="935"/>
    </row>
    <row r="539">
      <c r="A539" s="935"/>
      <c r="B539" s="972"/>
      <c r="C539" s="972"/>
      <c r="D539" s="972"/>
      <c r="E539" s="971"/>
      <c r="F539" s="167"/>
      <c r="G539" s="972"/>
      <c r="H539" s="973"/>
      <c r="I539" s="167"/>
      <c r="J539" s="167"/>
      <c r="K539" s="972"/>
      <c r="L539" s="972"/>
      <c r="M539" s="972"/>
      <c r="N539" s="972"/>
      <c r="O539" s="976"/>
      <c r="P539" s="978"/>
      <c r="Q539" s="978"/>
      <c r="R539" s="978"/>
      <c r="S539" s="978"/>
      <c r="T539" s="978"/>
      <c r="U539" s="978"/>
      <c r="V539" s="935"/>
      <c r="W539" s="972"/>
      <c r="X539" s="935"/>
      <c r="Y539" s="935"/>
      <c r="Z539" s="935"/>
      <c r="AA539" s="935"/>
    </row>
    <row r="540">
      <c r="A540" s="935"/>
      <c r="B540" s="972"/>
      <c r="C540" s="972"/>
      <c r="D540" s="972"/>
      <c r="E540" s="971"/>
      <c r="F540" s="167"/>
      <c r="G540" s="972"/>
      <c r="H540" s="973"/>
      <c r="I540" s="167"/>
      <c r="J540" s="167"/>
      <c r="K540" s="972"/>
      <c r="L540" s="972"/>
      <c r="M540" s="972"/>
      <c r="N540" s="972"/>
      <c r="O540" s="976"/>
      <c r="P540" s="978"/>
      <c r="Q540" s="978"/>
      <c r="R540" s="978"/>
      <c r="S540" s="978"/>
      <c r="T540" s="978"/>
      <c r="U540" s="978"/>
      <c r="V540" s="935"/>
      <c r="W540" s="972"/>
      <c r="X540" s="935"/>
      <c r="Y540" s="935"/>
      <c r="Z540" s="935"/>
      <c r="AA540" s="935"/>
    </row>
    <row r="541">
      <c r="A541" s="935"/>
      <c r="B541" s="972"/>
      <c r="C541" s="972"/>
      <c r="D541" s="972"/>
      <c r="E541" s="971"/>
      <c r="F541" s="167"/>
      <c r="G541" s="972"/>
      <c r="H541" s="973"/>
      <c r="I541" s="167"/>
      <c r="J541" s="167"/>
      <c r="K541" s="972"/>
      <c r="L541" s="972"/>
      <c r="M541" s="972"/>
      <c r="N541" s="972"/>
      <c r="O541" s="976"/>
      <c r="P541" s="978"/>
      <c r="Q541" s="978"/>
      <c r="R541" s="978"/>
      <c r="S541" s="978"/>
      <c r="T541" s="978"/>
      <c r="U541" s="978"/>
      <c r="V541" s="935"/>
      <c r="W541" s="972"/>
      <c r="X541" s="935"/>
      <c r="Y541" s="935"/>
      <c r="Z541" s="935"/>
      <c r="AA541" s="935"/>
    </row>
    <row r="542">
      <c r="A542" s="935"/>
      <c r="B542" s="972"/>
      <c r="C542" s="972"/>
      <c r="D542" s="972"/>
      <c r="E542" s="971"/>
      <c r="F542" s="167"/>
      <c r="G542" s="972"/>
      <c r="H542" s="973"/>
      <c r="I542" s="167"/>
      <c r="J542" s="167"/>
      <c r="K542" s="972"/>
      <c r="L542" s="972"/>
      <c r="M542" s="972"/>
      <c r="N542" s="972"/>
      <c r="O542" s="976"/>
      <c r="P542" s="978"/>
      <c r="Q542" s="978"/>
      <c r="R542" s="978"/>
      <c r="S542" s="978"/>
      <c r="T542" s="978"/>
      <c r="U542" s="978"/>
      <c r="V542" s="935"/>
      <c r="W542" s="972"/>
      <c r="X542" s="935"/>
      <c r="Y542" s="935"/>
      <c r="Z542" s="935"/>
      <c r="AA542" s="935"/>
    </row>
    <row r="543">
      <c r="A543" s="935"/>
      <c r="B543" s="972"/>
      <c r="C543" s="972"/>
      <c r="D543" s="972"/>
      <c r="E543" s="971"/>
      <c r="F543" s="167"/>
      <c r="G543" s="972"/>
      <c r="H543" s="973"/>
      <c r="I543" s="167"/>
      <c r="J543" s="167"/>
      <c r="K543" s="972"/>
      <c r="L543" s="972"/>
      <c r="M543" s="972"/>
      <c r="N543" s="972"/>
      <c r="O543" s="976"/>
      <c r="P543" s="978"/>
      <c r="Q543" s="978"/>
      <c r="R543" s="978"/>
      <c r="S543" s="978"/>
      <c r="T543" s="978"/>
      <c r="U543" s="978"/>
      <c r="V543" s="935"/>
      <c r="W543" s="972"/>
      <c r="X543" s="935"/>
      <c r="Y543" s="935"/>
      <c r="Z543" s="935"/>
      <c r="AA543" s="935"/>
    </row>
    <row r="544">
      <c r="A544" s="935"/>
      <c r="B544" s="972"/>
      <c r="C544" s="972"/>
      <c r="D544" s="972"/>
      <c r="E544" s="971"/>
      <c r="F544" s="167"/>
      <c r="G544" s="972"/>
      <c r="H544" s="973"/>
      <c r="I544" s="167"/>
      <c r="J544" s="167"/>
      <c r="K544" s="972"/>
      <c r="L544" s="972"/>
      <c r="M544" s="972"/>
      <c r="N544" s="972"/>
      <c r="O544" s="976"/>
      <c r="P544" s="978"/>
      <c r="Q544" s="978"/>
      <c r="R544" s="978"/>
      <c r="S544" s="978"/>
      <c r="T544" s="978"/>
      <c r="U544" s="978"/>
      <c r="V544" s="935"/>
      <c r="W544" s="972"/>
      <c r="X544" s="935"/>
      <c r="Y544" s="935"/>
      <c r="Z544" s="935"/>
      <c r="AA544" s="935"/>
    </row>
    <row r="545">
      <c r="A545" s="935"/>
      <c r="B545" s="972"/>
      <c r="C545" s="972"/>
      <c r="D545" s="972"/>
      <c r="E545" s="971"/>
      <c r="F545" s="167"/>
      <c r="G545" s="972"/>
      <c r="H545" s="973"/>
      <c r="I545" s="167"/>
      <c r="J545" s="167"/>
      <c r="K545" s="972"/>
      <c r="L545" s="972"/>
      <c r="M545" s="972"/>
      <c r="N545" s="972"/>
      <c r="O545" s="976"/>
      <c r="P545" s="978"/>
      <c r="Q545" s="978"/>
      <c r="R545" s="978"/>
      <c r="S545" s="978"/>
      <c r="T545" s="978"/>
      <c r="U545" s="978"/>
      <c r="V545" s="935"/>
      <c r="W545" s="972"/>
      <c r="X545" s="935"/>
      <c r="Y545" s="935"/>
      <c r="Z545" s="935"/>
      <c r="AA545" s="935"/>
    </row>
    <row r="546">
      <c r="A546" s="935"/>
      <c r="B546" s="972"/>
      <c r="C546" s="972"/>
      <c r="D546" s="972"/>
      <c r="E546" s="971"/>
      <c r="F546" s="167"/>
      <c r="G546" s="972"/>
      <c r="H546" s="973"/>
      <c r="I546" s="167"/>
      <c r="J546" s="167"/>
      <c r="K546" s="972"/>
      <c r="L546" s="972"/>
      <c r="M546" s="972"/>
      <c r="N546" s="972"/>
      <c r="O546" s="976"/>
      <c r="P546" s="978"/>
      <c r="Q546" s="978"/>
      <c r="R546" s="978"/>
      <c r="S546" s="978"/>
      <c r="T546" s="978"/>
      <c r="U546" s="978"/>
      <c r="V546" s="935"/>
      <c r="W546" s="972"/>
      <c r="X546" s="935"/>
      <c r="Y546" s="935"/>
      <c r="Z546" s="935"/>
      <c r="AA546" s="935"/>
    </row>
    <row r="547">
      <c r="A547" s="935"/>
      <c r="B547" s="972"/>
      <c r="C547" s="972"/>
      <c r="D547" s="972"/>
      <c r="E547" s="971"/>
      <c r="F547" s="167"/>
      <c r="G547" s="972"/>
      <c r="H547" s="973"/>
      <c r="I547" s="167"/>
      <c r="J547" s="167"/>
      <c r="K547" s="972"/>
      <c r="L547" s="972"/>
      <c r="M547" s="972"/>
      <c r="N547" s="972"/>
      <c r="O547" s="976"/>
      <c r="P547" s="978"/>
      <c r="Q547" s="978"/>
      <c r="R547" s="978"/>
      <c r="S547" s="978"/>
      <c r="T547" s="978"/>
      <c r="U547" s="978"/>
      <c r="V547" s="935"/>
      <c r="W547" s="972"/>
      <c r="X547" s="935"/>
      <c r="Y547" s="935"/>
      <c r="Z547" s="935"/>
      <c r="AA547" s="935"/>
    </row>
    <row r="548">
      <c r="A548" s="935"/>
      <c r="B548" s="972"/>
      <c r="C548" s="972"/>
      <c r="D548" s="972"/>
      <c r="E548" s="971"/>
      <c r="F548" s="167"/>
      <c r="G548" s="972"/>
      <c r="H548" s="973"/>
      <c r="I548" s="167"/>
      <c r="J548" s="167"/>
      <c r="K548" s="972"/>
      <c r="L548" s="972"/>
      <c r="M548" s="972"/>
      <c r="N548" s="972"/>
      <c r="O548" s="976"/>
      <c r="P548" s="978"/>
      <c r="Q548" s="978"/>
      <c r="R548" s="978"/>
      <c r="S548" s="978"/>
      <c r="T548" s="978"/>
      <c r="U548" s="978"/>
      <c r="V548" s="935"/>
      <c r="W548" s="972"/>
      <c r="X548" s="935"/>
      <c r="Y548" s="935"/>
      <c r="Z548" s="935"/>
      <c r="AA548" s="935"/>
    </row>
    <row r="549">
      <c r="A549" s="935"/>
      <c r="B549" s="972"/>
      <c r="C549" s="972"/>
      <c r="D549" s="972"/>
      <c r="E549" s="971"/>
      <c r="F549" s="167"/>
      <c r="G549" s="972"/>
      <c r="H549" s="973"/>
      <c r="I549" s="167"/>
      <c r="J549" s="167"/>
      <c r="K549" s="972"/>
      <c r="L549" s="972"/>
      <c r="M549" s="972"/>
      <c r="N549" s="972"/>
      <c r="O549" s="976"/>
      <c r="P549" s="978"/>
      <c r="Q549" s="978"/>
      <c r="R549" s="978"/>
      <c r="S549" s="978"/>
      <c r="T549" s="978"/>
      <c r="U549" s="978"/>
      <c r="V549" s="935"/>
      <c r="W549" s="972"/>
      <c r="X549" s="935"/>
      <c r="Y549" s="935"/>
      <c r="Z549" s="935"/>
      <c r="AA549" s="935"/>
    </row>
    <row r="550">
      <c r="A550" s="935"/>
      <c r="B550" s="972"/>
      <c r="C550" s="972"/>
      <c r="D550" s="972"/>
      <c r="E550" s="971"/>
      <c r="F550" s="167"/>
      <c r="G550" s="972"/>
      <c r="H550" s="973"/>
      <c r="I550" s="167"/>
      <c r="J550" s="167"/>
      <c r="K550" s="972"/>
      <c r="L550" s="972"/>
      <c r="M550" s="972"/>
      <c r="N550" s="972"/>
      <c r="O550" s="976"/>
      <c r="P550" s="978"/>
      <c r="Q550" s="978"/>
      <c r="R550" s="978"/>
      <c r="S550" s="978"/>
      <c r="T550" s="978"/>
      <c r="U550" s="978"/>
      <c r="V550" s="935"/>
      <c r="W550" s="972"/>
      <c r="X550" s="935"/>
      <c r="Y550" s="935"/>
      <c r="Z550" s="935"/>
      <c r="AA550" s="935"/>
    </row>
    <row r="551">
      <c r="A551" s="935"/>
      <c r="B551" s="972"/>
      <c r="C551" s="972"/>
      <c r="D551" s="972"/>
      <c r="E551" s="971"/>
      <c r="F551" s="167"/>
      <c r="G551" s="972"/>
      <c r="H551" s="973"/>
      <c r="I551" s="167"/>
      <c r="J551" s="167"/>
      <c r="K551" s="972"/>
      <c r="L551" s="972"/>
      <c r="M551" s="972"/>
      <c r="N551" s="972"/>
      <c r="O551" s="976"/>
      <c r="P551" s="978"/>
      <c r="Q551" s="978"/>
      <c r="R551" s="978"/>
      <c r="S551" s="978"/>
      <c r="T551" s="978"/>
      <c r="U551" s="978"/>
      <c r="V551" s="935"/>
      <c r="W551" s="972"/>
      <c r="X551" s="935"/>
      <c r="Y551" s="935"/>
      <c r="Z551" s="935"/>
      <c r="AA551" s="935"/>
    </row>
    <row r="552">
      <c r="A552" s="935"/>
      <c r="B552" s="972"/>
      <c r="C552" s="972"/>
      <c r="D552" s="972"/>
      <c r="E552" s="971"/>
      <c r="F552" s="167"/>
      <c r="G552" s="972"/>
      <c r="H552" s="973"/>
      <c r="I552" s="167"/>
      <c r="J552" s="167"/>
      <c r="K552" s="972"/>
      <c r="L552" s="972"/>
      <c r="M552" s="972"/>
      <c r="N552" s="972"/>
      <c r="O552" s="976"/>
      <c r="P552" s="978"/>
      <c r="Q552" s="978"/>
      <c r="R552" s="978"/>
      <c r="S552" s="978"/>
      <c r="T552" s="978"/>
      <c r="U552" s="978"/>
      <c r="V552" s="935"/>
      <c r="W552" s="972"/>
      <c r="X552" s="935"/>
      <c r="Y552" s="935"/>
      <c r="Z552" s="935"/>
      <c r="AA552" s="935"/>
    </row>
    <row r="553">
      <c r="A553" s="935"/>
      <c r="B553" s="972"/>
      <c r="C553" s="972"/>
      <c r="D553" s="972"/>
      <c r="E553" s="971"/>
      <c r="F553" s="167"/>
      <c r="G553" s="972"/>
      <c r="H553" s="973"/>
      <c r="I553" s="167"/>
      <c r="J553" s="167"/>
      <c r="K553" s="972"/>
      <c r="L553" s="972"/>
      <c r="M553" s="972"/>
      <c r="N553" s="972"/>
      <c r="O553" s="976"/>
      <c r="P553" s="978"/>
      <c r="Q553" s="978"/>
      <c r="R553" s="978"/>
      <c r="S553" s="978"/>
      <c r="T553" s="978"/>
      <c r="U553" s="978"/>
      <c r="V553" s="935"/>
      <c r="W553" s="972"/>
      <c r="X553" s="935"/>
      <c r="Y553" s="935"/>
      <c r="Z553" s="935"/>
      <c r="AA553" s="935"/>
    </row>
    <row r="554">
      <c r="A554" s="935"/>
      <c r="B554" s="972"/>
      <c r="C554" s="972"/>
      <c r="D554" s="972"/>
      <c r="E554" s="971"/>
      <c r="F554" s="167"/>
      <c r="G554" s="972"/>
      <c r="H554" s="973"/>
      <c r="I554" s="167"/>
      <c r="J554" s="167"/>
      <c r="K554" s="972"/>
      <c r="L554" s="972"/>
      <c r="M554" s="972"/>
      <c r="N554" s="972"/>
      <c r="O554" s="976"/>
      <c r="P554" s="978"/>
      <c r="Q554" s="978"/>
      <c r="R554" s="978"/>
      <c r="S554" s="978"/>
      <c r="T554" s="978"/>
      <c r="U554" s="978"/>
      <c r="V554" s="935"/>
      <c r="W554" s="972"/>
      <c r="X554" s="935"/>
      <c r="Y554" s="935"/>
      <c r="Z554" s="935"/>
      <c r="AA554" s="935"/>
    </row>
    <row r="555">
      <c r="A555" s="935"/>
      <c r="B555" s="972"/>
      <c r="C555" s="972"/>
      <c r="D555" s="972"/>
      <c r="E555" s="971"/>
      <c r="F555" s="167"/>
      <c r="G555" s="972"/>
      <c r="H555" s="973"/>
      <c r="I555" s="167"/>
      <c r="J555" s="167"/>
      <c r="K555" s="972"/>
      <c r="L555" s="972"/>
      <c r="M555" s="972"/>
      <c r="N555" s="972"/>
      <c r="O555" s="976"/>
      <c r="P555" s="978"/>
      <c r="Q555" s="978"/>
      <c r="R555" s="978"/>
      <c r="S555" s="978"/>
      <c r="T555" s="978"/>
      <c r="U555" s="978"/>
      <c r="V555" s="935"/>
      <c r="W555" s="972"/>
      <c r="X555" s="935"/>
      <c r="Y555" s="935"/>
      <c r="Z555" s="935"/>
      <c r="AA555" s="935"/>
    </row>
    <row r="556">
      <c r="A556" s="935"/>
      <c r="B556" s="972"/>
      <c r="C556" s="972"/>
      <c r="D556" s="972"/>
      <c r="E556" s="971"/>
      <c r="F556" s="167"/>
      <c r="G556" s="972"/>
      <c r="H556" s="973"/>
      <c r="I556" s="167"/>
      <c r="J556" s="167"/>
      <c r="K556" s="972"/>
      <c r="L556" s="972"/>
      <c r="M556" s="972"/>
      <c r="N556" s="972"/>
      <c r="O556" s="976"/>
      <c r="P556" s="978"/>
      <c r="Q556" s="978"/>
      <c r="R556" s="978"/>
      <c r="S556" s="978"/>
      <c r="T556" s="978"/>
      <c r="U556" s="978"/>
      <c r="V556" s="935"/>
      <c r="W556" s="972"/>
      <c r="X556" s="935"/>
      <c r="Y556" s="935"/>
      <c r="Z556" s="935"/>
      <c r="AA556" s="935"/>
    </row>
    <row r="557">
      <c r="A557" s="935"/>
      <c r="B557" s="972"/>
      <c r="C557" s="972"/>
      <c r="D557" s="972"/>
      <c r="E557" s="971"/>
      <c r="F557" s="167"/>
      <c r="G557" s="972"/>
      <c r="H557" s="973"/>
      <c r="I557" s="167"/>
      <c r="J557" s="167"/>
      <c r="K557" s="972"/>
      <c r="L557" s="972"/>
      <c r="M557" s="972"/>
      <c r="N557" s="972"/>
      <c r="O557" s="976"/>
      <c r="P557" s="978"/>
      <c r="Q557" s="978"/>
      <c r="R557" s="978"/>
      <c r="S557" s="978"/>
      <c r="T557" s="978"/>
      <c r="U557" s="978"/>
      <c r="V557" s="935"/>
      <c r="W557" s="972"/>
      <c r="X557" s="935"/>
      <c r="Y557" s="935"/>
      <c r="Z557" s="935"/>
      <c r="AA557" s="935"/>
    </row>
    <row r="558">
      <c r="A558" s="935"/>
      <c r="B558" s="972"/>
      <c r="C558" s="972"/>
      <c r="D558" s="972"/>
      <c r="E558" s="971"/>
      <c r="F558" s="167"/>
      <c r="G558" s="972"/>
      <c r="H558" s="973"/>
      <c r="I558" s="167"/>
      <c r="J558" s="167"/>
      <c r="K558" s="972"/>
      <c r="L558" s="972"/>
      <c r="M558" s="972"/>
      <c r="N558" s="972"/>
      <c r="O558" s="976"/>
      <c r="P558" s="978"/>
      <c r="Q558" s="978"/>
      <c r="R558" s="978"/>
      <c r="S558" s="978"/>
      <c r="T558" s="978"/>
      <c r="U558" s="978"/>
      <c r="V558" s="935"/>
      <c r="W558" s="972"/>
      <c r="X558" s="935"/>
      <c r="Y558" s="935"/>
      <c r="Z558" s="935"/>
      <c r="AA558" s="935"/>
    </row>
    <row r="559">
      <c r="A559" s="935"/>
      <c r="B559" s="972"/>
      <c r="C559" s="972"/>
      <c r="D559" s="972"/>
      <c r="E559" s="971"/>
      <c r="F559" s="167"/>
      <c r="G559" s="972"/>
      <c r="H559" s="973"/>
      <c r="I559" s="167"/>
      <c r="J559" s="167"/>
      <c r="K559" s="972"/>
      <c r="L559" s="972"/>
      <c r="M559" s="972"/>
      <c r="N559" s="972"/>
      <c r="O559" s="976"/>
      <c r="P559" s="978"/>
      <c r="Q559" s="978"/>
      <c r="R559" s="978"/>
      <c r="S559" s="978"/>
      <c r="T559" s="978"/>
      <c r="U559" s="978"/>
      <c r="V559" s="935"/>
      <c r="W559" s="972"/>
      <c r="X559" s="935"/>
      <c r="Y559" s="935"/>
      <c r="Z559" s="935"/>
      <c r="AA559" s="935"/>
    </row>
    <row r="560">
      <c r="A560" s="935"/>
      <c r="B560" s="972"/>
      <c r="C560" s="972"/>
      <c r="D560" s="972"/>
      <c r="E560" s="971"/>
      <c r="F560" s="167"/>
      <c r="G560" s="972"/>
      <c r="H560" s="973"/>
      <c r="I560" s="167"/>
      <c r="J560" s="167"/>
      <c r="K560" s="972"/>
      <c r="L560" s="972"/>
      <c r="M560" s="972"/>
      <c r="N560" s="972"/>
      <c r="O560" s="976"/>
      <c r="P560" s="978"/>
      <c r="Q560" s="978"/>
      <c r="R560" s="978"/>
      <c r="S560" s="978"/>
      <c r="T560" s="978"/>
      <c r="U560" s="978"/>
      <c r="V560" s="935"/>
      <c r="W560" s="972"/>
      <c r="X560" s="935"/>
      <c r="Y560" s="935"/>
      <c r="Z560" s="935"/>
      <c r="AA560" s="935"/>
    </row>
    <row r="561">
      <c r="A561" s="935"/>
      <c r="B561" s="972"/>
      <c r="C561" s="972"/>
      <c r="D561" s="972"/>
      <c r="E561" s="971"/>
      <c r="F561" s="167"/>
      <c r="G561" s="972"/>
      <c r="H561" s="973"/>
      <c r="I561" s="167"/>
      <c r="J561" s="167"/>
      <c r="K561" s="972"/>
      <c r="L561" s="972"/>
      <c r="M561" s="972"/>
      <c r="N561" s="972"/>
      <c r="O561" s="976"/>
      <c r="P561" s="978"/>
      <c r="Q561" s="978"/>
      <c r="R561" s="978"/>
      <c r="S561" s="978"/>
      <c r="T561" s="978"/>
      <c r="U561" s="978"/>
      <c r="V561" s="935"/>
      <c r="W561" s="972"/>
      <c r="X561" s="935"/>
      <c r="Y561" s="935"/>
      <c r="Z561" s="935"/>
      <c r="AA561" s="935"/>
    </row>
    <row r="562">
      <c r="A562" s="935"/>
      <c r="B562" s="972"/>
      <c r="C562" s="972"/>
      <c r="D562" s="972"/>
      <c r="E562" s="971"/>
      <c r="F562" s="167"/>
      <c r="G562" s="972"/>
      <c r="H562" s="973"/>
      <c r="I562" s="167"/>
      <c r="J562" s="167"/>
      <c r="K562" s="972"/>
      <c r="L562" s="972"/>
      <c r="M562" s="972"/>
      <c r="N562" s="972"/>
      <c r="O562" s="976"/>
      <c r="P562" s="978"/>
      <c r="Q562" s="978"/>
      <c r="R562" s="978"/>
      <c r="S562" s="978"/>
      <c r="T562" s="978"/>
      <c r="U562" s="978"/>
      <c r="V562" s="935"/>
      <c r="W562" s="972"/>
      <c r="X562" s="935"/>
      <c r="Y562" s="935"/>
      <c r="Z562" s="935"/>
      <c r="AA562" s="935"/>
    </row>
    <row r="563">
      <c r="A563" s="935"/>
      <c r="B563" s="972"/>
      <c r="C563" s="972"/>
      <c r="D563" s="972"/>
      <c r="E563" s="971"/>
      <c r="F563" s="167"/>
      <c r="G563" s="972"/>
      <c r="H563" s="973"/>
      <c r="I563" s="167"/>
      <c r="J563" s="167"/>
      <c r="K563" s="972"/>
      <c r="L563" s="972"/>
      <c r="M563" s="972"/>
      <c r="N563" s="972"/>
      <c r="O563" s="976"/>
      <c r="P563" s="978"/>
      <c r="Q563" s="978"/>
      <c r="R563" s="978"/>
      <c r="S563" s="978"/>
      <c r="T563" s="978"/>
      <c r="U563" s="978"/>
      <c r="V563" s="935"/>
      <c r="W563" s="972"/>
      <c r="X563" s="935"/>
      <c r="Y563" s="935"/>
      <c r="Z563" s="935"/>
      <c r="AA563" s="935"/>
    </row>
    <row r="564">
      <c r="A564" s="935"/>
      <c r="B564" s="972"/>
      <c r="C564" s="972"/>
      <c r="D564" s="972"/>
      <c r="E564" s="971"/>
      <c r="F564" s="167"/>
      <c r="G564" s="972"/>
      <c r="H564" s="973"/>
      <c r="I564" s="167"/>
      <c r="J564" s="167"/>
      <c r="K564" s="972"/>
      <c r="L564" s="972"/>
      <c r="M564" s="972"/>
      <c r="N564" s="972"/>
      <c r="O564" s="976"/>
      <c r="P564" s="978"/>
      <c r="Q564" s="978"/>
      <c r="R564" s="978"/>
      <c r="S564" s="978"/>
      <c r="T564" s="978"/>
      <c r="U564" s="978"/>
      <c r="V564" s="935"/>
      <c r="W564" s="972"/>
      <c r="X564" s="935"/>
      <c r="Y564" s="935"/>
      <c r="Z564" s="935"/>
      <c r="AA564" s="935"/>
    </row>
    <row r="565">
      <c r="A565" s="935"/>
      <c r="B565" s="972"/>
      <c r="C565" s="972"/>
      <c r="D565" s="972"/>
      <c r="E565" s="971"/>
      <c r="F565" s="167"/>
      <c r="G565" s="972"/>
      <c r="H565" s="973"/>
      <c r="I565" s="167"/>
      <c r="J565" s="167"/>
      <c r="K565" s="972"/>
      <c r="L565" s="972"/>
      <c r="M565" s="972"/>
      <c r="N565" s="972"/>
      <c r="O565" s="976"/>
      <c r="P565" s="978"/>
      <c r="Q565" s="978"/>
      <c r="R565" s="978"/>
      <c r="S565" s="978"/>
      <c r="T565" s="978"/>
      <c r="U565" s="978"/>
      <c r="V565" s="935"/>
      <c r="W565" s="972"/>
      <c r="X565" s="935"/>
      <c r="Y565" s="935"/>
      <c r="Z565" s="935"/>
      <c r="AA565" s="935"/>
    </row>
    <row r="566">
      <c r="A566" s="935"/>
      <c r="B566" s="972"/>
      <c r="C566" s="972"/>
      <c r="D566" s="972"/>
      <c r="E566" s="971"/>
      <c r="F566" s="167"/>
      <c r="G566" s="972"/>
      <c r="H566" s="973"/>
      <c r="I566" s="167"/>
      <c r="J566" s="167"/>
      <c r="K566" s="972"/>
      <c r="L566" s="972"/>
      <c r="M566" s="972"/>
      <c r="N566" s="972"/>
      <c r="O566" s="976"/>
      <c r="P566" s="978"/>
      <c r="Q566" s="978"/>
      <c r="R566" s="978"/>
      <c r="S566" s="978"/>
      <c r="T566" s="978"/>
      <c r="U566" s="978"/>
      <c r="V566" s="935"/>
      <c r="W566" s="972"/>
      <c r="X566" s="935"/>
      <c r="Y566" s="935"/>
      <c r="Z566" s="935"/>
      <c r="AA566" s="935"/>
    </row>
    <row r="567">
      <c r="A567" s="935"/>
      <c r="B567" s="972"/>
      <c r="C567" s="972"/>
      <c r="D567" s="972"/>
      <c r="E567" s="971"/>
      <c r="F567" s="167"/>
      <c r="G567" s="972"/>
      <c r="H567" s="973"/>
      <c r="I567" s="167"/>
      <c r="J567" s="167"/>
      <c r="K567" s="972"/>
      <c r="L567" s="972"/>
      <c r="M567" s="972"/>
      <c r="N567" s="972"/>
      <c r="O567" s="976"/>
      <c r="P567" s="978"/>
      <c r="Q567" s="978"/>
      <c r="R567" s="978"/>
      <c r="S567" s="978"/>
      <c r="T567" s="978"/>
      <c r="U567" s="978"/>
      <c r="V567" s="935"/>
      <c r="W567" s="972"/>
      <c r="X567" s="935"/>
      <c r="Y567" s="935"/>
      <c r="Z567" s="935"/>
      <c r="AA567" s="935"/>
    </row>
    <row r="568">
      <c r="A568" s="935"/>
      <c r="B568" s="972"/>
      <c r="C568" s="972"/>
      <c r="D568" s="972"/>
      <c r="E568" s="971"/>
      <c r="F568" s="167"/>
      <c r="G568" s="972"/>
      <c r="H568" s="973"/>
      <c r="I568" s="167"/>
      <c r="J568" s="167"/>
      <c r="K568" s="972"/>
      <c r="L568" s="972"/>
      <c r="M568" s="972"/>
      <c r="N568" s="972"/>
      <c r="O568" s="976"/>
      <c r="P568" s="978"/>
      <c r="Q568" s="978"/>
      <c r="R568" s="978"/>
      <c r="S568" s="978"/>
      <c r="T568" s="978"/>
      <c r="U568" s="978"/>
      <c r="V568" s="935"/>
      <c r="W568" s="972"/>
      <c r="X568" s="935"/>
      <c r="Y568" s="935"/>
      <c r="Z568" s="935"/>
      <c r="AA568" s="935"/>
    </row>
    <row r="569">
      <c r="A569" s="935"/>
      <c r="B569" s="972"/>
      <c r="C569" s="972"/>
      <c r="D569" s="972"/>
      <c r="E569" s="971"/>
      <c r="F569" s="167"/>
      <c r="G569" s="972"/>
      <c r="H569" s="973"/>
      <c r="I569" s="167"/>
      <c r="J569" s="167"/>
      <c r="K569" s="972"/>
      <c r="L569" s="972"/>
      <c r="M569" s="972"/>
      <c r="N569" s="972"/>
      <c r="O569" s="976"/>
      <c r="P569" s="978"/>
      <c r="Q569" s="978"/>
      <c r="R569" s="978"/>
      <c r="S569" s="978"/>
      <c r="T569" s="978"/>
      <c r="U569" s="978"/>
      <c r="V569" s="935"/>
      <c r="W569" s="972"/>
      <c r="X569" s="935"/>
      <c r="Y569" s="935"/>
      <c r="Z569" s="935"/>
      <c r="AA569" s="935"/>
    </row>
    <row r="570">
      <c r="A570" s="935"/>
      <c r="B570" s="972"/>
      <c r="C570" s="972"/>
      <c r="D570" s="972"/>
      <c r="E570" s="971"/>
      <c r="F570" s="167"/>
      <c r="G570" s="972"/>
      <c r="H570" s="973"/>
      <c r="I570" s="167"/>
      <c r="J570" s="167"/>
      <c r="K570" s="972"/>
      <c r="L570" s="972"/>
      <c r="M570" s="972"/>
      <c r="N570" s="972"/>
      <c r="O570" s="976"/>
      <c r="P570" s="978"/>
      <c r="Q570" s="978"/>
      <c r="R570" s="978"/>
      <c r="S570" s="978"/>
      <c r="T570" s="978"/>
      <c r="U570" s="978"/>
      <c r="V570" s="935"/>
      <c r="W570" s="972"/>
      <c r="X570" s="935"/>
      <c r="Y570" s="935"/>
      <c r="Z570" s="935"/>
      <c r="AA570" s="935"/>
    </row>
    <row r="571">
      <c r="A571" s="935"/>
      <c r="B571" s="972"/>
      <c r="C571" s="972"/>
      <c r="D571" s="972"/>
      <c r="E571" s="971"/>
      <c r="F571" s="167"/>
      <c r="G571" s="972"/>
      <c r="H571" s="973"/>
      <c r="I571" s="167"/>
      <c r="J571" s="167"/>
      <c r="K571" s="972"/>
      <c r="L571" s="972"/>
      <c r="M571" s="972"/>
      <c r="N571" s="972"/>
      <c r="O571" s="976"/>
      <c r="P571" s="978"/>
      <c r="Q571" s="978"/>
      <c r="R571" s="978"/>
      <c r="S571" s="978"/>
      <c r="T571" s="978"/>
      <c r="U571" s="978"/>
      <c r="V571" s="935"/>
      <c r="W571" s="972"/>
      <c r="X571" s="935"/>
      <c r="Y571" s="935"/>
      <c r="Z571" s="935"/>
      <c r="AA571" s="935"/>
    </row>
    <row r="572">
      <c r="A572" s="935"/>
      <c r="B572" s="972"/>
      <c r="C572" s="972"/>
      <c r="D572" s="972"/>
      <c r="E572" s="971"/>
      <c r="F572" s="167"/>
      <c r="G572" s="972"/>
      <c r="H572" s="973"/>
      <c r="I572" s="167"/>
      <c r="J572" s="167"/>
      <c r="K572" s="972"/>
      <c r="L572" s="972"/>
      <c r="M572" s="972"/>
      <c r="N572" s="972"/>
      <c r="O572" s="976"/>
      <c r="P572" s="978"/>
      <c r="Q572" s="978"/>
      <c r="R572" s="978"/>
      <c r="S572" s="978"/>
      <c r="T572" s="978"/>
      <c r="U572" s="978"/>
      <c r="V572" s="935"/>
      <c r="W572" s="972"/>
      <c r="X572" s="935"/>
      <c r="Y572" s="935"/>
      <c r="Z572" s="935"/>
      <c r="AA572" s="935"/>
    </row>
    <row r="573">
      <c r="A573" s="935"/>
      <c r="B573" s="972"/>
      <c r="C573" s="972"/>
      <c r="D573" s="972"/>
      <c r="E573" s="971"/>
      <c r="F573" s="167"/>
      <c r="G573" s="972"/>
      <c r="H573" s="973"/>
      <c r="I573" s="167"/>
      <c r="J573" s="167"/>
      <c r="K573" s="972"/>
      <c r="L573" s="972"/>
      <c r="M573" s="972"/>
      <c r="N573" s="972"/>
      <c r="O573" s="976"/>
      <c r="P573" s="978"/>
      <c r="Q573" s="978"/>
      <c r="R573" s="978"/>
      <c r="S573" s="978"/>
      <c r="T573" s="978"/>
      <c r="U573" s="978"/>
      <c r="V573" s="935"/>
      <c r="W573" s="972"/>
      <c r="X573" s="935"/>
      <c r="Y573" s="935"/>
      <c r="Z573" s="935"/>
      <c r="AA573" s="935"/>
    </row>
    <row r="574">
      <c r="A574" s="935"/>
      <c r="B574" s="972"/>
      <c r="C574" s="972"/>
      <c r="D574" s="972"/>
      <c r="E574" s="971"/>
      <c r="F574" s="167"/>
      <c r="G574" s="972"/>
      <c r="H574" s="973"/>
      <c r="I574" s="167"/>
      <c r="J574" s="167"/>
      <c r="K574" s="972"/>
      <c r="L574" s="972"/>
      <c r="M574" s="972"/>
      <c r="N574" s="972"/>
      <c r="O574" s="976"/>
      <c r="P574" s="978"/>
      <c r="Q574" s="978"/>
      <c r="R574" s="978"/>
      <c r="S574" s="978"/>
      <c r="T574" s="978"/>
      <c r="U574" s="978"/>
      <c r="V574" s="935"/>
      <c r="W574" s="972"/>
      <c r="X574" s="935"/>
      <c r="Y574" s="935"/>
      <c r="Z574" s="935"/>
      <c r="AA574" s="935"/>
    </row>
    <row r="575">
      <c r="A575" s="935"/>
      <c r="B575" s="972"/>
      <c r="C575" s="972"/>
      <c r="D575" s="972"/>
      <c r="E575" s="971"/>
      <c r="F575" s="167"/>
      <c r="G575" s="972"/>
      <c r="H575" s="973"/>
      <c r="I575" s="167"/>
      <c r="J575" s="167"/>
      <c r="K575" s="972"/>
      <c r="L575" s="972"/>
      <c r="M575" s="972"/>
      <c r="N575" s="972"/>
      <c r="O575" s="976"/>
      <c r="P575" s="978"/>
      <c r="Q575" s="978"/>
      <c r="R575" s="978"/>
      <c r="S575" s="978"/>
      <c r="T575" s="978"/>
      <c r="U575" s="978"/>
      <c r="V575" s="935"/>
      <c r="W575" s="972"/>
      <c r="X575" s="935"/>
      <c r="Y575" s="935"/>
      <c r="Z575" s="935"/>
      <c r="AA575" s="935"/>
    </row>
    <row r="576">
      <c r="A576" s="935"/>
      <c r="B576" s="972"/>
      <c r="C576" s="972"/>
      <c r="D576" s="972"/>
      <c r="E576" s="971"/>
      <c r="F576" s="167"/>
      <c r="G576" s="972"/>
      <c r="H576" s="973"/>
      <c r="I576" s="167"/>
      <c r="J576" s="167"/>
      <c r="K576" s="972"/>
      <c r="L576" s="972"/>
      <c r="M576" s="972"/>
      <c r="N576" s="972"/>
      <c r="O576" s="976"/>
      <c r="P576" s="978"/>
      <c r="Q576" s="978"/>
      <c r="R576" s="978"/>
      <c r="S576" s="978"/>
      <c r="T576" s="978"/>
      <c r="U576" s="978"/>
      <c r="V576" s="935"/>
      <c r="W576" s="972"/>
      <c r="X576" s="935"/>
      <c r="Y576" s="935"/>
      <c r="Z576" s="935"/>
      <c r="AA576" s="935"/>
    </row>
    <row r="577">
      <c r="A577" s="935"/>
      <c r="B577" s="972"/>
      <c r="C577" s="972"/>
      <c r="D577" s="972"/>
      <c r="E577" s="971"/>
      <c r="F577" s="167"/>
      <c r="G577" s="972"/>
      <c r="H577" s="973"/>
      <c r="I577" s="167"/>
      <c r="J577" s="167"/>
      <c r="K577" s="972"/>
      <c r="L577" s="972"/>
      <c r="M577" s="972"/>
      <c r="N577" s="972"/>
      <c r="O577" s="976"/>
      <c r="P577" s="978"/>
      <c r="Q577" s="978"/>
      <c r="R577" s="978"/>
      <c r="S577" s="978"/>
      <c r="T577" s="978"/>
      <c r="U577" s="978"/>
      <c r="V577" s="935"/>
      <c r="W577" s="972"/>
      <c r="X577" s="935"/>
      <c r="Y577" s="935"/>
      <c r="Z577" s="935"/>
      <c r="AA577" s="935"/>
    </row>
    <row r="578">
      <c r="A578" s="935"/>
      <c r="B578" s="972"/>
      <c r="C578" s="972"/>
      <c r="D578" s="972"/>
      <c r="E578" s="971"/>
      <c r="F578" s="167"/>
      <c r="G578" s="972"/>
      <c r="H578" s="973"/>
      <c r="I578" s="167"/>
      <c r="J578" s="167"/>
      <c r="K578" s="972"/>
      <c r="L578" s="972"/>
      <c r="M578" s="972"/>
      <c r="N578" s="972"/>
      <c r="O578" s="976"/>
      <c r="P578" s="978"/>
      <c r="Q578" s="978"/>
      <c r="R578" s="978"/>
      <c r="S578" s="978"/>
      <c r="T578" s="978"/>
      <c r="U578" s="978"/>
      <c r="V578" s="935"/>
      <c r="W578" s="972"/>
      <c r="X578" s="935"/>
      <c r="Y578" s="935"/>
      <c r="Z578" s="935"/>
      <c r="AA578" s="935"/>
    </row>
    <row r="579">
      <c r="A579" s="935"/>
      <c r="B579" s="972"/>
      <c r="C579" s="972"/>
      <c r="D579" s="972"/>
      <c r="E579" s="971"/>
      <c r="F579" s="167"/>
      <c r="G579" s="972"/>
      <c r="H579" s="973"/>
      <c r="I579" s="167"/>
      <c r="J579" s="167"/>
      <c r="K579" s="972"/>
      <c r="L579" s="972"/>
      <c r="M579" s="972"/>
      <c r="N579" s="972"/>
      <c r="O579" s="976"/>
      <c r="P579" s="978"/>
      <c r="Q579" s="978"/>
      <c r="R579" s="978"/>
      <c r="S579" s="978"/>
      <c r="T579" s="978"/>
      <c r="U579" s="978"/>
      <c r="V579" s="935"/>
      <c r="W579" s="972"/>
      <c r="X579" s="935"/>
      <c r="Y579" s="935"/>
      <c r="Z579" s="935"/>
      <c r="AA579" s="935"/>
    </row>
    <row r="580">
      <c r="A580" s="935"/>
      <c r="B580" s="972"/>
      <c r="C580" s="972"/>
      <c r="D580" s="972"/>
      <c r="E580" s="971"/>
      <c r="F580" s="167"/>
      <c r="G580" s="972"/>
      <c r="H580" s="973"/>
      <c r="I580" s="167"/>
      <c r="J580" s="167"/>
      <c r="K580" s="972"/>
      <c r="L580" s="972"/>
      <c r="M580" s="972"/>
      <c r="N580" s="972"/>
      <c r="O580" s="976"/>
      <c r="P580" s="978"/>
      <c r="Q580" s="978"/>
      <c r="R580" s="978"/>
      <c r="S580" s="978"/>
      <c r="T580" s="978"/>
      <c r="U580" s="978"/>
      <c r="V580" s="935"/>
      <c r="W580" s="972"/>
      <c r="X580" s="935"/>
      <c r="Y580" s="935"/>
      <c r="Z580" s="935"/>
      <c r="AA580" s="935"/>
    </row>
    <row r="581">
      <c r="A581" s="935"/>
      <c r="B581" s="972"/>
      <c r="C581" s="972"/>
      <c r="D581" s="972"/>
      <c r="E581" s="971"/>
      <c r="F581" s="167"/>
      <c r="G581" s="972"/>
      <c r="H581" s="973"/>
      <c r="I581" s="167"/>
      <c r="J581" s="167"/>
      <c r="K581" s="972"/>
      <c r="L581" s="972"/>
      <c r="M581" s="972"/>
      <c r="N581" s="972"/>
      <c r="O581" s="976"/>
      <c r="P581" s="978"/>
      <c r="Q581" s="978"/>
      <c r="R581" s="978"/>
      <c r="S581" s="978"/>
      <c r="T581" s="978"/>
      <c r="U581" s="978"/>
      <c r="V581" s="935"/>
      <c r="W581" s="972"/>
      <c r="X581" s="935"/>
      <c r="Y581" s="935"/>
      <c r="Z581" s="935"/>
      <c r="AA581" s="935"/>
    </row>
    <row r="582">
      <c r="A582" s="935"/>
      <c r="B582" s="972"/>
      <c r="C582" s="972"/>
      <c r="D582" s="972"/>
      <c r="E582" s="971"/>
      <c r="F582" s="167"/>
      <c r="G582" s="972"/>
      <c r="H582" s="973"/>
      <c r="I582" s="167"/>
      <c r="J582" s="167"/>
      <c r="K582" s="972"/>
      <c r="L582" s="972"/>
      <c r="M582" s="972"/>
      <c r="N582" s="972"/>
      <c r="O582" s="976"/>
      <c r="P582" s="978"/>
      <c r="Q582" s="978"/>
      <c r="R582" s="978"/>
      <c r="S582" s="978"/>
      <c r="T582" s="978"/>
      <c r="U582" s="978"/>
      <c r="V582" s="935"/>
      <c r="W582" s="972"/>
      <c r="X582" s="935"/>
      <c r="Y582" s="935"/>
      <c r="Z582" s="935"/>
      <c r="AA582" s="935"/>
    </row>
    <row r="583">
      <c r="A583" s="935"/>
      <c r="B583" s="972"/>
      <c r="C583" s="972"/>
      <c r="D583" s="972"/>
      <c r="E583" s="971"/>
      <c r="F583" s="167"/>
      <c r="G583" s="972"/>
      <c r="H583" s="973"/>
      <c r="I583" s="167"/>
      <c r="J583" s="167"/>
      <c r="K583" s="972"/>
      <c r="L583" s="972"/>
      <c r="M583" s="972"/>
      <c r="N583" s="972"/>
      <c r="O583" s="976"/>
      <c r="P583" s="978"/>
      <c r="Q583" s="978"/>
      <c r="R583" s="978"/>
      <c r="S583" s="978"/>
      <c r="T583" s="978"/>
      <c r="U583" s="978"/>
      <c r="V583" s="935"/>
      <c r="W583" s="972"/>
      <c r="X583" s="935"/>
      <c r="Y583" s="935"/>
      <c r="Z583" s="935"/>
      <c r="AA583" s="935"/>
    </row>
    <row r="584">
      <c r="A584" s="935"/>
      <c r="B584" s="972"/>
      <c r="C584" s="972"/>
      <c r="D584" s="972"/>
      <c r="E584" s="971"/>
      <c r="F584" s="167"/>
      <c r="G584" s="972"/>
      <c r="H584" s="973"/>
      <c r="I584" s="167"/>
      <c r="J584" s="167"/>
      <c r="K584" s="972"/>
      <c r="L584" s="972"/>
      <c r="M584" s="972"/>
      <c r="N584" s="972"/>
      <c r="O584" s="976"/>
      <c r="P584" s="978"/>
      <c r="Q584" s="978"/>
      <c r="R584" s="978"/>
      <c r="S584" s="978"/>
      <c r="T584" s="978"/>
      <c r="U584" s="978"/>
      <c r="V584" s="935"/>
      <c r="W584" s="972"/>
      <c r="X584" s="935"/>
      <c r="Y584" s="935"/>
      <c r="Z584" s="935"/>
      <c r="AA584" s="935"/>
    </row>
    <row r="585">
      <c r="A585" s="935"/>
      <c r="B585" s="972"/>
      <c r="C585" s="972"/>
      <c r="D585" s="972"/>
      <c r="E585" s="971"/>
      <c r="F585" s="167"/>
      <c r="G585" s="972"/>
      <c r="H585" s="973"/>
      <c r="I585" s="167"/>
      <c r="J585" s="167"/>
      <c r="K585" s="972"/>
      <c r="L585" s="972"/>
      <c r="M585" s="972"/>
      <c r="N585" s="972"/>
      <c r="O585" s="976"/>
      <c r="P585" s="978"/>
      <c r="Q585" s="978"/>
      <c r="R585" s="978"/>
      <c r="S585" s="978"/>
      <c r="T585" s="978"/>
      <c r="U585" s="978"/>
      <c r="V585" s="935"/>
      <c r="W585" s="972"/>
      <c r="X585" s="935"/>
      <c r="Y585" s="935"/>
      <c r="Z585" s="935"/>
      <c r="AA585" s="935"/>
    </row>
    <row r="586">
      <c r="A586" s="935"/>
      <c r="B586" s="972"/>
      <c r="C586" s="972"/>
      <c r="D586" s="972"/>
      <c r="E586" s="971"/>
      <c r="F586" s="167"/>
      <c r="G586" s="972"/>
      <c r="H586" s="973"/>
      <c r="I586" s="167"/>
      <c r="J586" s="167"/>
      <c r="K586" s="972"/>
      <c r="L586" s="972"/>
      <c r="M586" s="972"/>
      <c r="N586" s="972"/>
      <c r="O586" s="976"/>
      <c r="P586" s="978"/>
      <c r="Q586" s="978"/>
      <c r="R586" s="978"/>
      <c r="S586" s="978"/>
      <c r="T586" s="978"/>
      <c r="U586" s="978"/>
      <c r="V586" s="935"/>
      <c r="W586" s="972"/>
      <c r="X586" s="935"/>
      <c r="Y586" s="935"/>
      <c r="Z586" s="935"/>
      <c r="AA586" s="935"/>
    </row>
    <row r="587">
      <c r="A587" s="935"/>
      <c r="B587" s="972"/>
      <c r="C587" s="972"/>
      <c r="D587" s="972"/>
      <c r="E587" s="971"/>
      <c r="F587" s="167"/>
      <c r="G587" s="972"/>
      <c r="H587" s="973"/>
      <c r="I587" s="167"/>
      <c r="J587" s="167"/>
      <c r="K587" s="972"/>
      <c r="L587" s="972"/>
      <c r="M587" s="972"/>
      <c r="N587" s="972"/>
      <c r="O587" s="976"/>
      <c r="P587" s="978"/>
      <c r="Q587" s="978"/>
      <c r="R587" s="978"/>
      <c r="S587" s="978"/>
      <c r="T587" s="978"/>
      <c r="U587" s="978"/>
      <c r="V587" s="935"/>
      <c r="W587" s="972"/>
      <c r="X587" s="935"/>
      <c r="Y587" s="935"/>
      <c r="Z587" s="935"/>
      <c r="AA587" s="935"/>
    </row>
    <row r="588">
      <c r="A588" s="935"/>
      <c r="B588" s="972"/>
      <c r="C588" s="972"/>
      <c r="D588" s="972"/>
      <c r="E588" s="971"/>
      <c r="F588" s="167"/>
      <c r="G588" s="972"/>
      <c r="H588" s="973"/>
      <c r="I588" s="167"/>
      <c r="J588" s="167"/>
      <c r="K588" s="972"/>
      <c r="L588" s="972"/>
      <c r="M588" s="972"/>
      <c r="N588" s="972"/>
      <c r="O588" s="976"/>
      <c r="P588" s="978"/>
      <c r="Q588" s="978"/>
      <c r="R588" s="978"/>
      <c r="S588" s="978"/>
      <c r="T588" s="978"/>
      <c r="U588" s="978"/>
      <c r="V588" s="935"/>
      <c r="W588" s="972"/>
      <c r="X588" s="935"/>
      <c r="Y588" s="935"/>
      <c r="Z588" s="935"/>
      <c r="AA588" s="935"/>
    </row>
    <row r="589">
      <c r="A589" s="935"/>
      <c r="B589" s="972"/>
      <c r="C589" s="972"/>
      <c r="D589" s="972"/>
      <c r="E589" s="971"/>
      <c r="F589" s="167"/>
      <c r="G589" s="972"/>
      <c r="H589" s="973"/>
      <c r="I589" s="167"/>
      <c r="J589" s="167"/>
      <c r="K589" s="972"/>
      <c r="L589" s="972"/>
      <c r="M589" s="972"/>
      <c r="N589" s="972"/>
      <c r="O589" s="976"/>
      <c r="P589" s="978"/>
      <c r="Q589" s="978"/>
      <c r="R589" s="978"/>
      <c r="S589" s="978"/>
      <c r="T589" s="978"/>
      <c r="U589" s="978"/>
      <c r="V589" s="935"/>
      <c r="W589" s="972"/>
      <c r="X589" s="935"/>
      <c r="Y589" s="935"/>
      <c r="Z589" s="935"/>
      <c r="AA589" s="935"/>
    </row>
    <row r="590">
      <c r="A590" s="935"/>
      <c r="B590" s="972"/>
      <c r="C590" s="972"/>
      <c r="D590" s="972"/>
      <c r="E590" s="971"/>
      <c r="F590" s="167"/>
      <c r="G590" s="972"/>
      <c r="H590" s="973"/>
      <c r="I590" s="167"/>
      <c r="J590" s="167"/>
      <c r="K590" s="972"/>
      <c r="L590" s="972"/>
      <c r="M590" s="972"/>
      <c r="N590" s="972"/>
      <c r="O590" s="976"/>
      <c r="P590" s="978"/>
      <c r="Q590" s="978"/>
      <c r="R590" s="978"/>
      <c r="S590" s="978"/>
      <c r="T590" s="978"/>
      <c r="U590" s="978"/>
      <c r="V590" s="935"/>
      <c r="W590" s="972"/>
      <c r="X590" s="935"/>
      <c r="Y590" s="935"/>
      <c r="Z590" s="935"/>
      <c r="AA590" s="935"/>
    </row>
    <row r="591">
      <c r="A591" s="935"/>
      <c r="B591" s="972"/>
      <c r="C591" s="972"/>
      <c r="D591" s="972"/>
      <c r="E591" s="971"/>
      <c r="F591" s="167"/>
      <c r="G591" s="972"/>
      <c r="H591" s="973"/>
      <c r="I591" s="167"/>
      <c r="J591" s="167"/>
      <c r="K591" s="972"/>
      <c r="L591" s="972"/>
      <c r="M591" s="972"/>
      <c r="N591" s="972"/>
      <c r="O591" s="976"/>
      <c r="P591" s="978"/>
      <c r="Q591" s="978"/>
      <c r="R591" s="978"/>
      <c r="S591" s="978"/>
      <c r="T591" s="978"/>
      <c r="U591" s="978"/>
      <c r="V591" s="935"/>
      <c r="W591" s="972"/>
      <c r="X591" s="935"/>
      <c r="Y591" s="935"/>
      <c r="Z591" s="935"/>
      <c r="AA591" s="935"/>
    </row>
    <row r="592">
      <c r="A592" s="935"/>
      <c r="B592" s="972"/>
      <c r="C592" s="972"/>
      <c r="D592" s="972"/>
      <c r="E592" s="971"/>
      <c r="F592" s="167"/>
      <c r="G592" s="972"/>
      <c r="H592" s="973"/>
      <c r="I592" s="167"/>
      <c r="J592" s="167"/>
      <c r="K592" s="972"/>
      <c r="L592" s="972"/>
      <c r="M592" s="972"/>
      <c r="N592" s="972"/>
      <c r="O592" s="976"/>
      <c r="P592" s="978"/>
      <c r="Q592" s="978"/>
      <c r="R592" s="978"/>
      <c r="S592" s="978"/>
      <c r="T592" s="978"/>
      <c r="U592" s="978"/>
      <c r="V592" s="935"/>
      <c r="W592" s="972"/>
      <c r="X592" s="935"/>
      <c r="Y592" s="935"/>
      <c r="Z592" s="935"/>
      <c r="AA592" s="935"/>
    </row>
    <row r="593">
      <c r="A593" s="935"/>
      <c r="B593" s="972"/>
      <c r="C593" s="972"/>
      <c r="D593" s="972"/>
      <c r="E593" s="971"/>
      <c r="F593" s="167"/>
      <c r="G593" s="972"/>
      <c r="H593" s="973"/>
      <c r="I593" s="167"/>
      <c r="J593" s="167"/>
      <c r="K593" s="972"/>
      <c r="L593" s="972"/>
      <c r="M593" s="972"/>
      <c r="N593" s="972"/>
      <c r="O593" s="976"/>
      <c r="P593" s="978"/>
      <c r="Q593" s="978"/>
      <c r="R593" s="978"/>
      <c r="S593" s="978"/>
      <c r="T593" s="978"/>
      <c r="U593" s="978"/>
      <c r="V593" s="935"/>
      <c r="W593" s="972"/>
      <c r="X593" s="935"/>
      <c r="Y593" s="935"/>
      <c r="Z593" s="935"/>
      <c r="AA593" s="935"/>
    </row>
    <row r="594">
      <c r="A594" s="935"/>
      <c r="B594" s="972"/>
      <c r="C594" s="972"/>
      <c r="D594" s="972"/>
      <c r="E594" s="971"/>
      <c r="F594" s="167"/>
      <c r="G594" s="972"/>
      <c r="H594" s="973"/>
      <c r="I594" s="167"/>
      <c r="J594" s="167"/>
      <c r="K594" s="972"/>
      <c r="L594" s="972"/>
      <c r="M594" s="972"/>
      <c r="N594" s="972"/>
      <c r="O594" s="976"/>
      <c r="P594" s="978"/>
      <c r="Q594" s="978"/>
      <c r="R594" s="978"/>
      <c r="S594" s="978"/>
      <c r="T594" s="978"/>
      <c r="U594" s="978"/>
      <c r="V594" s="935"/>
      <c r="W594" s="972"/>
      <c r="X594" s="935"/>
      <c r="Y594" s="935"/>
      <c r="Z594" s="935"/>
      <c r="AA594" s="935"/>
    </row>
    <row r="595">
      <c r="A595" s="935"/>
      <c r="B595" s="972"/>
      <c r="C595" s="972"/>
      <c r="D595" s="972"/>
      <c r="E595" s="971"/>
      <c r="F595" s="167"/>
      <c r="G595" s="972"/>
      <c r="H595" s="973"/>
      <c r="I595" s="167"/>
      <c r="J595" s="167"/>
      <c r="K595" s="972"/>
      <c r="L595" s="972"/>
      <c r="M595" s="972"/>
      <c r="N595" s="972"/>
      <c r="O595" s="976"/>
      <c r="P595" s="978"/>
      <c r="Q595" s="978"/>
      <c r="R595" s="978"/>
      <c r="S595" s="978"/>
      <c r="T595" s="978"/>
      <c r="U595" s="978"/>
      <c r="V595" s="935"/>
      <c r="W595" s="972"/>
      <c r="X595" s="935"/>
      <c r="Y595" s="935"/>
      <c r="Z595" s="935"/>
      <c r="AA595" s="935"/>
    </row>
    <row r="596">
      <c r="A596" s="935"/>
      <c r="B596" s="972"/>
      <c r="C596" s="972"/>
      <c r="D596" s="972"/>
      <c r="E596" s="971"/>
      <c r="F596" s="167"/>
      <c r="G596" s="972"/>
      <c r="H596" s="973"/>
      <c r="I596" s="167"/>
      <c r="J596" s="167"/>
      <c r="K596" s="972"/>
      <c r="L596" s="972"/>
      <c r="M596" s="972"/>
      <c r="N596" s="972"/>
      <c r="O596" s="976"/>
      <c r="P596" s="978"/>
      <c r="Q596" s="978"/>
      <c r="R596" s="978"/>
      <c r="S596" s="978"/>
      <c r="T596" s="978"/>
      <c r="U596" s="978"/>
      <c r="V596" s="935"/>
      <c r="W596" s="972"/>
      <c r="X596" s="935"/>
      <c r="Y596" s="935"/>
      <c r="Z596" s="935"/>
      <c r="AA596" s="935"/>
    </row>
    <row r="597">
      <c r="A597" s="935"/>
      <c r="B597" s="972"/>
      <c r="C597" s="972"/>
      <c r="D597" s="972"/>
      <c r="E597" s="971"/>
      <c r="F597" s="167"/>
      <c r="G597" s="972"/>
      <c r="H597" s="973"/>
      <c r="I597" s="167"/>
      <c r="J597" s="167"/>
      <c r="K597" s="972"/>
      <c r="L597" s="972"/>
      <c r="M597" s="972"/>
      <c r="N597" s="972"/>
      <c r="O597" s="976"/>
      <c r="P597" s="978"/>
      <c r="Q597" s="978"/>
      <c r="R597" s="978"/>
      <c r="S597" s="978"/>
      <c r="T597" s="978"/>
      <c r="U597" s="978"/>
      <c r="V597" s="935"/>
      <c r="W597" s="972"/>
      <c r="X597" s="935"/>
      <c r="Y597" s="935"/>
      <c r="Z597" s="935"/>
      <c r="AA597" s="935"/>
    </row>
    <row r="598">
      <c r="A598" s="935"/>
      <c r="B598" s="972"/>
      <c r="C598" s="972"/>
      <c r="D598" s="972"/>
      <c r="E598" s="971"/>
      <c r="F598" s="167"/>
      <c r="G598" s="972"/>
      <c r="H598" s="973"/>
      <c r="I598" s="167"/>
      <c r="J598" s="167"/>
      <c r="K598" s="972"/>
      <c r="L598" s="972"/>
      <c r="M598" s="972"/>
      <c r="N598" s="972"/>
      <c r="O598" s="976"/>
      <c r="P598" s="978"/>
      <c r="Q598" s="978"/>
      <c r="R598" s="978"/>
      <c r="S598" s="978"/>
      <c r="T598" s="978"/>
      <c r="U598" s="978"/>
      <c r="V598" s="935"/>
      <c r="W598" s="972"/>
      <c r="X598" s="935"/>
      <c r="Y598" s="935"/>
      <c r="Z598" s="935"/>
      <c r="AA598" s="935"/>
    </row>
    <row r="599">
      <c r="A599" s="935"/>
      <c r="B599" s="972"/>
      <c r="C599" s="972"/>
      <c r="D599" s="972"/>
      <c r="E599" s="971"/>
      <c r="F599" s="167"/>
      <c r="G599" s="972"/>
      <c r="H599" s="973"/>
      <c r="I599" s="167"/>
      <c r="J599" s="167"/>
      <c r="K599" s="972"/>
      <c r="L599" s="972"/>
      <c r="M599" s="972"/>
      <c r="N599" s="972"/>
      <c r="O599" s="976"/>
      <c r="P599" s="978"/>
      <c r="Q599" s="978"/>
      <c r="R599" s="978"/>
      <c r="S599" s="978"/>
      <c r="T599" s="978"/>
      <c r="U599" s="978"/>
      <c r="V599" s="935"/>
      <c r="W599" s="972"/>
      <c r="X599" s="935"/>
      <c r="Y599" s="935"/>
      <c r="Z599" s="935"/>
      <c r="AA599" s="935"/>
    </row>
    <row r="600">
      <c r="A600" s="935"/>
      <c r="B600" s="972"/>
      <c r="C600" s="972"/>
      <c r="D600" s="972"/>
      <c r="E600" s="971"/>
      <c r="F600" s="167"/>
      <c r="G600" s="972"/>
      <c r="H600" s="973"/>
      <c r="I600" s="167"/>
      <c r="J600" s="167"/>
      <c r="K600" s="972"/>
      <c r="L600" s="972"/>
      <c r="M600" s="972"/>
      <c r="N600" s="972"/>
      <c r="O600" s="976"/>
      <c r="P600" s="978"/>
      <c r="Q600" s="978"/>
      <c r="R600" s="978"/>
      <c r="S600" s="978"/>
      <c r="T600" s="978"/>
      <c r="U600" s="978"/>
      <c r="V600" s="935"/>
      <c r="W600" s="972"/>
      <c r="X600" s="935"/>
      <c r="Y600" s="935"/>
      <c r="Z600" s="935"/>
      <c r="AA600" s="935"/>
    </row>
    <row r="601">
      <c r="A601" s="935"/>
      <c r="B601" s="972"/>
      <c r="C601" s="972"/>
      <c r="D601" s="972"/>
      <c r="E601" s="971"/>
      <c r="F601" s="167"/>
      <c r="G601" s="972"/>
      <c r="H601" s="973"/>
      <c r="I601" s="167"/>
      <c r="J601" s="167"/>
      <c r="K601" s="972"/>
      <c r="L601" s="972"/>
      <c r="M601" s="972"/>
      <c r="N601" s="972"/>
      <c r="O601" s="976"/>
      <c r="P601" s="978"/>
      <c r="Q601" s="978"/>
      <c r="R601" s="978"/>
      <c r="S601" s="978"/>
      <c r="T601" s="978"/>
      <c r="U601" s="978"/>
      <c r="V601" s="935"/>
      <c r="W601" s="972"/>
      <c r="X601" s="935"/>
      <c r="Y601" s="935"/>
      <c r="Z601" s="935"/>
      <c r="AA601" s="935"/>
    </row>
    <row r="602">
      <c r="A602" s="935"/>
      <c r="B602" s="972"/>
      <c r="C602" s="972"/>
      <c r="D602" s="972"/>
      <c r="E602" s="971"/>
      <c r="F602" s="167"/>
      <c r="G602" s="972"/>
      <c r="H602" s="973"/>
      <c r="I602" s="167"/>
      <c r="J602" s="167"/>
      <c r="K602" s="972"/>
      <c r="L602" s="972"/>
      <c r="M602" s="972"/>
      <c r="N602" s="972"/>
      <c r="O602" s="976"/>
      <c r="P602" s="978"/>
      <c r="Q602" s="978"/>
      <c r="R602" s="978"/>
      <c r="S602" s="978"/>
      <c r="T602" s="978"/>
      <c r="U602" s="978"/>
      <c r="V602" s="935"/>
      <c r="W602" s="972"/>
      <c r="X602" s="935"/>
      <c r="Y602" s="935"/>
      <c r="Z602" s="935"/>
      <c r="AA602" s="935"/>
    </row>
    <row r="603">
      <c r="A603" s="935"/>
      <c r="B603" s="972"/>
      <c r="C603" s="972"/>
      <c r="D603" s="972"/>
      <c r="E603" s="971"/>
      <c r="F603" s="167"/>
      <c r="G603" s="972"/>
      <c r="H603" s="973"/>
      <c r="I603" s="167"/>
      <c r="J603" s="167"/>
      <c r="K603" s="972"/>
      <c r="L603" s="972"/>
      <c r="M603" s="972"/>
      <c r="N603" s="972"/>
      <c r="O603" s="976"/>
      <c r="P603" s="978"/>
      <c r="Q603" s="978"/>
      <c r="R603" s="978"/>
      <c r="S603" s="978"/>
      <c r="T603" s="978"/>
      <c r="U603" s="978"/>
      <c r="V603" s="935"/>
      <c r="W603" s="972"/>
      <c r="X603" s="935"/>
      <c r="Y603" s="935"/>
      <c r="Z603" s="935"/>
      <c r="AA603" s="935"/>
    </row>
    <row r="604">
      <c r="A604" s="935"/>
      <c r="B604" s="972"/>
      <c r="C604" s="972"/>
      <c r="D604" s="972"/>
      <c r="E604" s="971"/>
      <c r="F604" s="167"/>
      <c r="G604" s="972"/>
      <c r="H604" s="973"/>
      <c r="I604" s="167"/>
      <c r="J604" s="167"/>
      <c r="K604" s="972"/>
      <c r="L604" s="972"/>
      <c r="M604" s="972"/>
      <c r="N604" s="972"/>
      <c r="O604" s="976"/>
      <c r="P604" s="978"/>
      <c r="Q604" s="978"/>
      <c r="R604" s="978"/>
      <c r="S604" s="978"/>
      <c r="T604" s="978"/>
      <c r="U604" s="978"/>
      <c r="V604" s="935"/>
      <c r="W604" s="972"/>
      <c r="X604" s="935"/>
      <c r="Y604" s="935"/>
      <c r="Z604" s="935"/>
      <c r="AA604" s="935"/>
    </row>
    <row r="605">
      <c r="A605" s="935"/>
      <c r="B605" s="972"/>
      <c r="C605" s="972"/>
      <c r="D605" s="972"/>
      <c r="E605" s="971"/>
      <c r="F605" s="167"/>
      <c r="G605" s="972"/>
      <c r="H605" s="973"/>
      <c r="I605" s="167"/>
      <c r="J605" s="167"/>
      <c r="K605" s="972"/>
      <c r="L605" s="972"/>
      <c r="M605" s="972"/>
      <c r="N605" s="972"/>
      <c r="O605" s="976"/>
      <c r="P605" s="978"/>
      <c r="Q605" s="978"/>
      <c r="R605" s="978"/>
      <c r="S605" s="978"/>
      <c r="T605" s="978"/>
      <c r="U605" s="978"/>
      <c r="V605" s="935"/>
      <c r="W605" s="972"/>
      <c r="X605" s="935"/>
      <c r="Y605" s="935"/>
      <c r="Z605" s="935"/>
      <c r="AA605" s="935"/>
    </row>
    <row r="606">
      <c r="A606" s="935"/>
      <c r="B606" s="972"/>
      <c r="C606" s="972"/>
      <c r="D606" s="972"/>
      <c r="E606" s="971"/>
      <c r="F606" s="167"/>
      <c r="G606" s="972"/>
      <c r="H606" s="973"/>
      <c r="I606" s="167"/>
      <c r="J606" s="167"/>
      <c r="K606" s="972"/>
      <c r="L606" s="972"/>
      <c r="M606" s="972"/>
      <c r="N606" s="972"/>
      <c r="O606" s="976"/>
      <c r="P606" s="978"/>
      <c r="Q606" s="978"/>
      <c r="R606" s="978"/>
      <c r="S606" s="978"/>
      <c r="T606" s="978"/>
      <c r="U606" s="978"/>
      <c r="V606" s="935"/>
      <c r="W606" s="972"/>
      <c r="X606" s="935"/>
      <c r="Y606" s="935"/>
      <c r="Z606" s="935"/>
      <c r="AA606" s="935"/>
    </row>
    <row r="607">
      <c r="A607" s="935"/>
      <c r="B607" s="972"/>
      <c r="C607" s="972"/>
      <c r="D607" s="972"/>
      <c r="E607" s="971"/>
      <c r="F607" s="167"/>
      <c r="G607" s="972"/>
      <c r="H607" s="973"/>
      <c r="I607" s="167"/>
      <c r="J607" s="167"/>
      <c r="K607" s="972"/>
      <c r="L607" s="972"/>
      <c r="M607" s="972"/>
      <c r="N607" s="972"/>
      <c r="O607" s="976"/>
      <c r="P607" s="978"/>
      <c r="Q607" s="978"/>
      <c r="R607" s="978"/>
      <c r="S607" s="978"/>
      <c r="T607" s="978"/>
      <c r="U607" s="978"/>
      <c r="V607" s="935"/>
      <c r="W607" s="972"/>
      <c r="X607" s="935"/>
      <c r="Y607" s="935"/>
      <c r="Z607" s="935"/>
      <c r="AA607" s="935"/>
    </row>
    <row r="608">
      <c r="A608" s="935"/>
      <c r="B608" s="972"/>
      <c r="C608" s="972"/>
      <c r="D608" s="972"/>
      <c r="E608" s="971"/>
      <c r="F608" s="167"/>
      <c r="G608" s="972"/>
      <c r="H608" s="973"/>
      <c r="I608" s="167"/>
      <c r="J608" s="167"/>
      <c r="K608" s="972"/>
      <c r="L608" s="972"/>
      <c r="M608" s="972"/>
      <c r="N608" s="972"/>
      <c r="O608" s="976"/>
      <c r="P608" s="978"/>
      <c r="Q608" s="978"/>
      <c r="R608" s="978"/>
      <c r="S608" s="978"/>
      <c r="T608" s="978"/>
      <c r="U608" s="978"/>
      <c r="V608" s="935"/>
      <c r="W608" s="972"/>
      <c r="X608" s="935"/>
      <c r="Y608" s="935"/>
      <c r="Z608" s="935"/>
      <c r="AA608" s="935"/>
    </row>
    <row r="609">
      <c r="A609" s="935"/>
      <c r="B609" s="972"/>
      <c r="C609" s="972"/>
      <c r="D609" s="972"/>
      <c r="E609" s="971"/>
      <c r="F609" s="167"/>
      <c r="G609" s="972"/>
      <c r="H609" s="973"/>
      <c r="I609" s="167"/>
      <c r="J609" s="167"/>
      <c r="K609" s="972"/>
      <c r="L609" s="972"/>
      <c r="M609" s="972"/>
      <c r="N609" s="972"/>
      <c r="O609" s="976"/>
      <c r="P609" s="978"/>
      <c r="Q609" s="978"/>
      <c r="R609" s="978"/>
      <c r="S609" s="978"/>
      <c r="T609" s="978"/>
      <c r="U609" s="978"/>
      <c r="V609" s="935"/>
      <c r="W609" s="972"/>
      <c r="X609" s="935"/>
      <c r="Y609" s="935"/>
      <c r="Z609" s="935"/>
      <c r="AA609" s="935"/>
    </row>
    <row r="610">
      <c r="A610" s="935"/>
      <c r="B610" s="972"/>
      <c r="C610" s="972"/>
      <c r="D610" s="972"/>
      <c r="E610" s="971"/>
      <c r="F610" s="167"/>
      <c r="G610" s="972"/>
      <c r="H610" s="973"/>
      <c r="I610" s="167"/>
      <c r="J610" s="167"/>
      <c r="K610" s="972"/>
      <c r="L610" s="972"/>
      <c r="M610" s="972"/>
      <c r="N610" s="972"/>
      <c r="O610" s="976"/>
      <c r="P610" s="978"/>
      <c r="Q610" s="978"/>
      <c r="R610" s="978"/>
      <c r="S610" s="978"/>
      <c r="T610" s="978"/>
      <c r="U610" s="978"/>
      <c r="V610" s="935"/>
      <c r="W610" s="972"/>
      <c r="X610" s="935"/>
      <c r="Y610" s="935"/>
      <c r="Z610" s="935"/>
      <c r="AA610" s="935"/>
    </row>
    <row r="611">
      <c r="A611" s="935"/>
      <c r="B611" s="972"/>
      <c r="C611" s="972"/>
      <c r="D611" s="972"/>
      <c r="E611" s="971"/>
      <c r="F611" s="167"/>
      <c r="G611" s="972"/>
      <c r="H611" s="973"/>
      <c r="I611" s="167"/>
      <c r="J611" s="167"/>
      <c r="K611" s="972"/>
      <c r="L611" s="972"/>
      <c r="M611" s="972"/>
      <c r="N611" s="972"/>
      <c r="O611" s="976"/>
      <c r="P611" s="978"/>
      <c r="Q611" s="978"/>
      <c r="R611" s="978"/>
      <c r="S611" s="978"/>
      <c r="T611" s="978"/>
      <c r="U611" s="978"/>
      <c r="V611" s="935"/>
      <c r="W611" s="972"/>
      <c r="X611" s="935"/>
      <c r="Y611" s="935"/>
      <c r="Z611" s="935"/>
      <c r="AA611" s="935"/>
    </row>
    <row r="612">
      <c r="A612" s="935"/>
      <c r="B612" s="972"/>
      <c r="C612" s="972"/>
      <c r="D612" s="972"/>
      <c r="E612" s="971"/>
      <c r="F612" s="167"/>
      <c r="G612" s="972"/>
      <c r="H612" s="973"/>
      <c r="I612" s="167"/>
      <c r="J612" s="167"/>
      <c r="K612" s="972"/>
      <c r="L612" s="972"/>
      <c r="M612" s="972"/>
      <c r="N612" s="972"/>
      <c r="O612" s="976"/>
      <c r="P612" s="978"/>
      <c r="Q612" s="978"/>
      <c r="R612" s="978"/>
      <c r="S612" s="978"/>
      <c r="T612" s="978"/>
      <c r="U612" s="978"/>
      <c r="V612" s="935"/>
      <c r="W612" s="972"/>
      <c r="X612" s="935"/>
      <c r="Y612" s="935"/>
      <c r="Z612" s="935"/>
      <c r="AA612" s="935"/>
    </row>
    <row r="613">
      <c r="A613" s="935"/>
      <c r="B613" s="972"/>
      <c r="C613" s="972"/>
      <c r="D613" s="972"/>
      <c r="E613" s="971"/>
      <c r="F613" s="167"/>
      <c r="G613" s="972"/>
      <c r="H613" s="973"/>
      <c r="I613" s="167"/>
      <c r="J613" s="167"/>
      <c r="K613" s="972"/>
      <c r="L613" s="972"/>
      <c r="M613" s="972"/>
      <c r="N613" s="972"/>
      <c r="O613" s="976"/>
      <c r="P613" s="978"/>
      <c r="Q613" s="978"/>
      <c r="R613" s="978"/>
      <c r="S613" s="978"/>
      <c r="T613" s="978"/>
      <c r="U613" s="978"/>
      <c r="V613" s="935"/>
      <c r="W613" s="972"/>
      <c r="X613" s="935"/>
      <c r="Y613" s="935"/>
      <c r="Z613" s="935"/>
      <c r="AA613" s="935"/>
    </row>
    <row r="614">
      <c r="A614" s="935"/>
      <c r="B614" s="972"/>
      <c r="C614" s="972"/>
      <c r="D614" s="972"/>
      <c r="E614" s="971"/>
      <c r="F614" s="167"/>
      <c r="G614" s="972"/>
      <c r="H614" s="973"/>
      <c r="I614" s="167"/>
      <c r="J614" s="167"/>
      <c r="K614" s="972"/>
      <c r="L614" s="972"/>
      <c r="M614" s="972"/>
      <c r="N614" s="972"/>
      <c r="O614" s="976"/>
      <c r="P614" s="978"/>
      <c r="Q614" s="978"/>
      <c r="R614" s="978"/>
      <c r="S614" s="978"/>
      <c r="T614" s="978"/>
      <c r="U614" s="978"/>
      <c r="V614" s="935"/>
      <c r="W614" s="972"/>
      <c r="X614" s="935"/>
      <c r="Y614" s="935"/>
      <c r="Z614" s="935"/>
      <c r="AA614" s="935"/>
    </row>
    <row r="615">
      <c r="A615" s="935"/>
      <c r="B615" s="972"/>
      <c r="C615" s="972"/>
      <c r="D615" s="972"/>
      <c r="E615" s="971"/>
      <c r="F615" s="167"/>
      <c r="G615" s="972"/>
      <c r="H615" s="973"/>
      <c r="I615" s="167"/>
      <c r="J615" s="167"/>
      <c r="K615" s="972"/>
      <c r="L615" s="972"/>
      <c r="M615" s="972"/>
      <c r="N615" s="972"/>
      <c r="O615" s="976"/>
      <c r="P615" s="978"/>
      <c r="Q615" s="978"/>
      <c r="R615" s="978"/>
      <c r="S615" s="978"/>
      <c r="T615" s="978"/>
      <c r="U615" s="978"/>
      <c r="V615" s="935"/>
      <c r="W615" s="972"/>
      <c r="X615" s="935"/>
      <c r="Y615" s="935"/>
      <c r="Z615" s="935"/>
      <c r="AA615" s="935"/>
    </row>
    <row r="616">
      <c r="A616" s="935"/>
      <c r="B616" s="972"/>
      <c r="C616" s="972"/>
      <c r="D616" s="972"/>
      <c r="E616" s="971"/>
      <c r="F616" s="167"/>
      <c r="G616" s="972"/>
      <c r="H616" s="973"/>
      <c r="I616" s="167"/>
      <c r="J616" s="167"/>
      <c r="K616" s="972"/>
      <c r="L616" s="972"/>
      <c r="M616" s="972"/>
      <c r="N616" s="972"/>
      <c r="O616" s="976"/>
      <c r="P616" s="978"/>
      <c r="Q616" s="978"/>
      <c r="R616" s="978"/>
      <c r="S616" s="978"/>
      <c r="T616" s="978"/>
      <c r="U616" s="978"/>
      <c r="V616" s="935"/>
      <c r="W616" s="972"/>
      <c r="X616" s="935"/>
      <c r="Y616" s="935"/>
      <c r="Z616" s="935"/>
      <c r="AA616" s="935"/>
    </row>
    <row r="617">
      <c r="A617" s="935"/>
      <c r="B617" s="972"/>
      <c r="C617" s="972"/>
      <c r="D617" s="972"/>
      <c r="E617" s="971"/>
      <c r="F617" s="167"/>
      <c r="G617" s="972"/>
      <c r="H617" s="973"/>
      <c r="I617" s="167"/>
      <c r="J617" s="167"/>
      <c r="K617" s="972"/>
      <c r="L617" s="972"/>
      <c r="M617" s="972"/>
      <c r="N617" s="972"/>
      <c r="O617" s="976"/>
      <c r="P617" s="978"/>
      <c r="Q617" s="978"/>
      <c r="R617" s="978"/>
      <c r="S617" s="978"/>
      <c r="T617" s="978"/>
      <c r="U617" s="978"/>
      <c r="V617" s="935"/>
      <c r="W617" s="972"/>
      <c r="X617" s="935"/>
      <c r="Y617" s="935"/>
      <c r="Z617" s="935"/>
      <c r="AA617" s="935"/>
    </row>
    <row r="618">
      <c r="A618" s="935"/>
      <c r="B618" s="972"/>
      <c r="C618" s="972"/>
      <c r="D618" s="972"/>
      <c r="E618" s="971"/>
      <c r="F618" s="167"/>
      <c r="G618" s="972"/>
      <c r="H618" s="973"/>
      <c r="I618" s="167"/>
      <c r="J618" s="167"/>
      <c r="K618" s="972"/>
      <c r="L618" s="972"/>
      <c r="M618" s="972"/>
      <c r="N618" s="972"/>
      <c r="O618" s="976"/>
      <c r="P618" s="978"/>
      <c r="Q618" s="978"/>
      <c r="R618" s="978"/>
      <c r="S618" s="978"/>
      <c r="T618" s="978"/>
      <c r="U618" s="978"/>
      <c r="V618" s="935"/>
      <c r="W618" s="972"/>
      <c r="X618" s="935"/>
      <c r="Y618" s="935"/>
      <c r="Z618" s="935"/>
      <c r="AA618" s="935"/>
    </row>
    <row r="619">
      <c r="A619" s="935"/>
      <c r="B619" s="972"/>
      <c r="C619" s="972"/>
      <c r="D619" s="972"/>
      <c r="E619" s="971"/>
      <c r="F619" s="167"/>
      <c r="G619" s="972"/>
      <c r="H619" s="973"/>
      <c r="I619" s="167"/>
      <c r="J619" s="167"/>
      <c r="K619" s="972"/>
      <c r="L619" s="972"/>
      <c r="M619" s="972"/>
      <c r="N619" s="972"/>
      <c r="O619" s="976"/>
      <c r="P619" s="978"/>
      <c r="Q619" s="978"/>
      <c r="R619" s="978"/>
      <c r="S619" s="978"/>
      <c r="T619" s="978"/>
      <c r="U619" s="978"/>
      <c r="V619" s="935"/>
      <c r="W619" s="972"/>
      <c r="X619" s="935"/>
      <c r="Y619" s="935"/>
      <c r="Z619" s="935"/>
      <c r="AA619" s="935"/>
    </row>
    <row r="620">
      <c r="A620" s="935"/>
      <c r="B620" s="972"/>
      <c r="C620" s="972"/>
      <c r="D620" s="972"/>
      <c r="E620" s="971"/>
      <c r="F620" s="167"/>
      <c r="G620" s="972"/>
      <c r="H620" s="973"/>
      <c r="I620" s="167"/>
      <c r="J620" s="167"/>
      <c r="K620" s="972"/>
      <c r="L620" s="972"/>
      <c r="M620" s="972"/>
      <c r="N620" s="972"/>
      <c r="O620" s="976"/>
      <c r="P620" s="978"/>
      <c r="Q620" s="978"/>
      <c r="R620" s="978"/>
      <c r="S620" s="978"/>
      <c r="T620" s="978"/>
      <c r="U620" s="978"/>
      <c r="V620" s="935"/>
      <c r="W620" s="972"/>
      <c r="X620" s="935"/>
      <c r="Y620" s="935"/>
      <c r="Z620" s="935"/>
      <c r="AA620" s="935"/>
    </row>
    <row r="621">
      <c r="A621" s="935"/>
      <c r="B621" s="972"/>
      <c r="C621" s="972"/>
      <c r="D621" s="972"/>
      <c r="E621" s="971"/>
      <c r="F621" s="167"/>
      <c r="G621" s="972"/>
      <c r="H621" s="973"/>
      <c r="I621" s="167"/>
      <c r="J621" s="167"/>
      <c r="K621" s="972"/>
      <c r="L621" s="972"/>
      <c r="M621" s="972"/>
      <c r="N621" s="972"/>
      <c r="O621" s="976"/>
      <c r="P621" s="978"/>
      <c r="Q621" s="978"/>
      <c r="R621" s="978"/>
      <c r="S621" s="978"/>
      <c r="T621" s="978"/>
      <c r="U621" s="978"/>
      <c r="V621" s="935"/>
      <c r="W621" s="972"/>
      <c r="X621" s="935"/>
      <c r="Y621" s="935"/>
      <c r="Z621" s="935"/>
      <c r="AA621" s="935"/>
    </row>
    <row r="622">
      <c r="A622" s="935"/>
      <c r="B622" s="972"/>
      <c r="C622" s="972"/>
      <c r="D622" s="972"/>
      <c r="E622" s="971"/>
      <c r="F622" s="167"/>
      <c r="G622" s="972"/>
      <c r="H622" s="973"/>
      <c r="I622" s="167"/>
      <c r="J622" s="167"/>
      <c r="K622" s="972"/>
      <c r="L622" s="972"/>
      <c r="M622" s="972"/>
      <c r="N622" s="972"/>
      <c r="O622" s="976"/>
      <c r="P622" s="978"/>
      <c r="Q622" s="978"/>
      <c r="R622" s="978"/>
      <c r="S622" s="978"/>
      <c r="T622" s="978"/>
      <c r="U622" s="978"/>
      <c r="V622" s="935"/>
      <c r="W622" s="972"/>
      <c r="X622" s="935"/>
      <c r="Y622" s="935"/>
      <c r="Z622" s="935"/>
      <c r="AA622" s="935"/>
    </row>
    <row r="623">
      <c r="A623" s="935"/>
      <c r="B623" s="972"/>
      <c r="C623" s="972"/>
      <c r="D623" s="972"/>
      <c r="E623" s="971"/>
      <c r="F623" s="167"/>
      <c r="G623" s="972"/>
      <c r="H623" s="973"/>
      <c r="I623" s="167"/>
      <c r="J623" s="167"/>
      <c r="K623" s="972"/>
      <c r="L623" s="972"/>
      <c r="M623" s="972"/>
      <c r="N623" s="972"/>
      <c r="O623" s="976"/>
      <c r="P623" s="978"/>
      <c r="Q623" s="978"/>
      <c r="R623" s="978"/>
      <c r="S623" s="978"/>
      <c r="T623" s="978"/>
      <c r="U623" s="978"/>
      <c r="V623" s="935"/>
      <c r="W623" s="972"/>
      <c r="X623" s="935"/>
      <c r="Y623" s="935"/>
      <c r="Z623" s="935"/>
      <c r="AA623" s="935"/>
    </row>
    <row r="624">
      <c r="A624" s="935"/>
      <c r="B624" s="972"/>
      <c r="C624" s="972"/>
      <c r="D624" s="972"/>
      <c r="E624" s="971"/>
      <c r="F624" s="167"/>
      <c r="G624" s="972"/>
      <c r="H624" s="973"/>
      <c r="I624" s="167"/>
      <c r="J624" s="167"/>
      <c r="K624" s="972"/>
      <c r="L624" s="972"/>
      <c r="M624" s="972"/>
      <c r="N624" s="972"/>
      <c r="O624" s="976"/>
      <c r="P624" s="978"/>
      <c r="Q624" s="978"/>
      <c r="R624" s="978"/>
      <c r="S624" s="978"/>
      <c r="T624" s="978"/>
      <c r="U624" s="978"/>
      <c r="V624" s="935"/>
      <c r="W624" s="972"/>
      <c r="X624" s="935"/>
      <c r="Y624" s="935"/>
      <c r="Z624" s="935"/>
      <c r="AA624" s="935"/>
    </row>
    <row r="625">
      <c r="A625" s="935"/>
      <c r="B625" s="972"/>
      <c r="C625" s="972"/>
      <c r="D625" s="972"/>
      <c r="E625" s="971"/>
      <c r="F625" s="167"/>
      <c r="G625" s="972"/>
      <c r="H625" s="973"/>
      <c r="I625" s="167"/>
      <c r="J625" s="167"/>
      <c r="K625" s="972"/>
      <c r="L625" s="972"/>
      <c r="M625" s="972"/>
      <c r="N625" s="972"/>
      <c r="O625" s="976"/>
      <c r="P625" s="978"/>
      <c r="Q625" s="978"/>
      <c r="R625" s="978"/>
      <c r="S625" s="978"/>
      <c r="T625" s="978"/>
      <c r="U625" s="978"/>
      <c r="V625" s="935"/>
      <c r="W625" s="972"/>
      <c r="X625" s="935"/>
      <c r="Y625" s="935"/>
      <c r="Z625" s="935"/>
      <c r="AA625" s="935"/>
    </row>
    <row r="626">
      <c r="A626" s="935"/>
      <c r="B626" s="972"/>
      <c r="C626" s="972"/>
      <c r="D626" s="972"/>
      <c r="E626" s="971"/>
      <c r="F626" s="167"/>
      <c r="G626" s="972"/>
      <c r="H626" s="973"/>
      <c r="I626" s="167"/>
      <c r="J626" s="167"/>
      <c r="K626" s="972"/>
      <c r="L626" s="972"/>
      <c r="M626" s="972"/>
      <c r="N626" s="972"/>
      <c r="O626" s="976"/>
      <c r="P626" s="978"/>
      <c r="Q626" s="978"/>
      <c r="R626" s="978"/>
      <c r="S626" s="978"/>
      <c r="T626" s="978"/>
      <c r="U626" s="978"/>
      <c r="V626" s="935"/>
      <c r="W626" s="972"/>
      <c r="X626" s="935"/>
      <c r="Y626" s="935"/>
      <c r="Z626" s="935"/>
      <c r="AA626" s="935"/>
    </row>
    <row r="627">
      <c r="A627" s="935"/>
      <c r="B627" s="972"/>
      <c r="C627" s="972"/>
      <c r="D627" s="972"/>
      <c r="E627" s="971"/>
      <c r="F627" s="167"/>
      <c r="G627" s="972"/>
      <c r="H627" s="973"/>
      <c r="I627" s="167"/>
      <c r="J627" s="167"/>
      <c r="K627" s="972"/>
      <c r="L627" s="972"/>
      <c r="M627" s="972"/>
      <c r="N627" s="972"/>
      <c r="O627" s="976"/>
      <c r="P627" s="978"/>
      <c r="Q627" s="978"/>
      <c r="R627" s="978"/>
      <c r="S627" s="978"/>
      <c r="T627" s="978"/>
      <c r="U627" s="978"/>
      <c r="V627" s="935"/>
      <c r="W627" s="972"/>
      <c r="X627" s="935"/>
      <c r="Y627" s="935"/>
      <c r="Z627" s="935"/>
      <c r="AA627" s="935"/>
    </row>
    <row r="628">
      <c r="A628" s="935"/>
      <c r="B628" s="972"/>
      <c r="C628" s="972"/>
      <c r="D628" s="972"/>
      <c r="E628" s="971"/>
      <c r="F628" s="167"/>
      <c r="G628" s="972"/>
      <c r="H628" s="973"/>
      <c r="I628" s="167"/>
      <c r="J628" s="167"/>
      <c r="K628" s="972"/>
      <c r="L628" s="972"/>
      <c r="M628" s="972"/>
      <c r="N628" s="972"/>
      <c r="O628" s="976"/>
      <c r="P628" s="978"/>
      <c r="Q628" s="978"/>
      <c r="R628" s="978"/>
      <c r="S628" s="978"/>
      <c r="T628" s="978"/>
      <c r="U628" s="978"/>
      <c r="V628" s="935"/>
      <c r="W628" s="972"/>
      <c r="X628" s="935"/>
      <c r="Y628" s="935"/>
      <c r="Z628" s="935"/>
      <c r="AA628" s="935"/>
    </row>
    <row r="629">
      <c r="A629" s="935"/>
      <c r="B629" s="972"/>
      <c r="C629" s="972"/>
      <c r="D629" s="972"/>
      <c r="E629" s="971"/>
      <c r="F629" s="167"/>
      <c r="G629" s="972"/>
      <c r="H629" s="973"/>
      <c r="I629" s="167"/>
      <c r="J629" s="167"/>
      <c r="K629" s="972"/>
      <c r="L629" s="972"/>
      <c r="M629" s="972"/>
      <c r="N629" s="972"/>
      <c r="O629" s="976"/>
      <c r="P629" s="978"/>
      <c r="Q629" s="978"/>
      <c r="R629" s="978"/>
      <c r="S629" s="978"/>
      <c r="T629" s="978"/>
      <c r="U629" s="978"/>
      <c r="V629" s="935"/>
      <c r="W629" s="972"/>
      <c r="X629" s="935"/>
      <c r="Y629" s="935"/>
      <c r="Z629" s="935"/>
      <c r="AA629" s="935"/>
    </row>
    <row r="630">
      <c r="A630" s="935"/>
      <c r="B630" s="972"/>
      <c r="C630" s="972"/>
      <c r="D630" s="972"/>
      <c r="E630" s="971"/>
      <c r="F630" s="167"/>
      <c r="G630" s="972"/>
      <c r="H630" s="973"/>
      <c r="I630" s="167"/>
      <c r="J630" s="167"/>
      <c r="K630" s="972"/>
      <c r="L630" s="972"/>
      <c r="M630" s="972"/>
      <c r="N630" s="972"/>
      <c r="O630" s="976"/>
      <c r="P630" s="978"/>
      <c r="Q630" s="978"/>
      <c r="R630" s="978"/>
      <c r="S630" s="978"/>
      <c r="T630" s="978"/>
      <c r="U630" s="978"/>
      <c r="V630" s="935"/>
      <c r="W630" s="972"/>
      <c r="X630" s="935"/>
      <c r="Y630" s="935"/>
      <c r="Z630" s="935"/>
      <c r="AA630" s="935"/>
    </row>
    <row r="631">
      <c r="A631" s="935"/>
      <c r="B631" s="972"/>
      <c r="C631" s="972"/>
      <c r="D631" s="972"/>
      <c r="E631" s="971"/>
      <c r="F631" s="167"/>
      <c r="G631" s="972"/>
      <c r="H631" s="973"/>
      <c r="I631" s="167"/>
      <c r="J631" s="167"/>
      <c r="K631" s="972"/>
      <c r="L631" s="972"/>
      <c r="M631" s="972"/>
      <c r="N631" s="972"/>
      <c r="O631" s="976"/>
      <c r="P631" s="978"/>
      <c r="Q631" s="978"/>
      <c r="R631" s="978"/>
      <c r="S631" s="978"/>
      <c r="T631" s="978"/>
      <c r="U631" s="978"/>
      <c r="V631" s="935"/>
      <c r="W631" s="972"/>
      <c r="X631" s="935"/>
      <c r="Y631" s="935"/>
      <c r="Z631" s="935"/>
      <c r="AA631" s="935"/>
    </row>
    <row r="632">
      <c r="A632" s="935"/>
      <c r="B632" s="972"/>
      <c r="C632" s="972"/>
      <c r="D632" s="972"/>
      <c r="E632" s="971"/>
      <c r="F632" s="167"/>
      <c r="G632" s="972"/>
      <c r="H632" s="973"/>
      <c r="I632" s="167"/>
      <c r="J632" s="167"/>
      <c r="K632" s="972"/>
      <c r="L632" s="972"/>
      <c r="M632" s="972"/>
      <c r="N632" s="972"/>
      <c r="O632" s="976"/>
      <c r="P632" s="978"/>
      <c r="Q632" s="978"/>
      <c r="R632" s="978"/>
      <c r="S632" s="978"/>
      <c r="T632" s="978"/>
      <c r="U632" s="978"/>
      <c r="V632" s="935"/>
      <c r="W632" s="972"/>
      <c r="X632" s="935"/>
      <c r="Y632" s="935"/>
      <c r="Z632" s="935"/>
      <c r="AA632" s="935"/>
    </row>
    <row r="633">
      <c r="A633" s="935"/>
      <c r="B633" s="972"/>
      <c r="C633" s="972"/>
      <c r="D633" s="972"/>
      <c r="E633" s="971"/>
      <c r="F633" s="167"/>
      <c r="G633" s="972"/>
      <c r="H633" s="973"/>
      <c r="I633" s="167"/>
      <c r="J633" s="167"/>
      <c r="K633" s="972"/>
      <c r="L633" s="972"/>
      <c r="M633" s="972"/>
      <c r="N633" s="972"/>
      <c r="O633" s="976"/>
      <c r="P633" s="978"/>
      <c r="Q633" s="978"/>
      <c r="R633" s="978"/>
      <c r="S633" s="978"/>
      <c r="T633" s="978"/>
      <c r="U633" s="978"/>
      <c r="V633" s="935"/>
      <c r="W633" s="972"/>
      <c r="X633" s="935"/>
      <c r="Y633" s="935"/>
      <c r="Z633" s="935"/>
      <c r="AA633" s="935"/>
    </row>
    <row r="634">
      <c r="A634" s="935"/>
      <c r="B634" s="972"/>
      <c r="C634" s="972"/>
      <c r="D634" s="972"/>
      <c r="E634" s="971"/>
      <c r="F634" s="167"/>
      <c r="G634" s="972"/>
      <c r="H634" s="973"/>
      <c r="I634" s="167"/>
      <c r="J634" s="167"/>
      <c r="K634" s="972"/>
      <c r="L634" s="972"/>
      <c r="M634" s="972"/>
      <c r="N634" s="972"/>
      <c r="O634" s="976"/>
      <c r="P634" s="978"/>
      <c r="Q634" s="978"/>
      <c r="R634" s="978"/>
      <c r="S634" s="978"/>
      <c r="T634" s="978"/>
      <c r="U634" s="978"/>
      <c r="V634" s="935"/>
      <c r="W634" s="972"/>
      <c r="X634" s="935"/>
      <c r="Y634" s="935"/>
      <c r="Z634" s="935"/>
      <c r="AA634" s="935"/>
    </row>
    <row r="635">
      <c r="A635" s="935"/>
      <c r="B635" s="972"/>
      <c r="C635" s="972"/>
      <c r="D635" s="972"/>
      <c r="E635" s="971"/>
      <c r="F635" s="167"/>
      <c r="G635" s="972"/>
      <c r="H635" s="973"/>
      <c r="I635" s="167"/>
      <c r="J635" s="167"/>
      <c r="K635" s="972"/>
      <c r="L635" s="972"/>
      <c r="M635" s="972"/>
      <c r="N635" s="972"/>
      <c r="O635" s="976"/>
      <c r="P635" s="978"/>
      <c r="Q635" s="978"/>
      <c r="R635" s="978"/>
      <c r="S635" s="978"/>
      <c r="T635" s="978"/>
      <c r="U635" s="978"/>
      <c r="V635" s="935"/>
      <c r="W635" s="972"/>
      <c r="X635" s="935"/>
      <c r="Y635" s="935"/>
      <c r="Z635" s="935"/>
      <c r="AA635" s="935"/>
    </row>
    <row r="636">
      <c r="A636" s="935"/>
      <c r="B636" s="972"/>
      <c r="C636" s="972"/>
      <c r="D636" s="972"/>
      <c r="E636" s="971"/>
      <c r="F636" s="167"/>
      <c r="G636" s="972"/>
      <c r="H636" s="973"/>
      <c r="I636" s="167"/>
      <c r="J636" s="167"/>
      <c r="K636" s="972"/>
      <c r="L636" s="972"/>
      <c r="M636" s="972"/>
      <c r="N636" s="972"/>
      <c r="O636" s="976"/>
      <c r="P636" s="978"/>
      <c r="Q636" s="978"/>
      <c r="R636" s="978"/>
      <c r="S636" s="978"/>
      <c r="T636" s="978"/>
      <c r="U636" s="978"/>
      <c r="V636" s="935"/>
      <c r="W636" s="972"/>
      <c r="X636" s="935"/>
      <c r="Y636" s="935"/>
      <c r="Z636" s="935"/>
      <c r="AA636" s="935"/>
    </row>
    <row r="637">
      <c r="A637" s="935"/>
      <c r="B637" s="972"/>
      <c r="C637" s="972"/>
      <c r="D637" s="972"/>
      <c r="E637" s="971"/>
      <c r="F637" s="167"/>
      <c r="G637" s="972"/>
      <c r="H637" s="973"/>
      <c r="I637" s="167"/>
      <c r="J637" s="167"/>
      <c r="K637" s="972"/>
      <c r="L637" s="972"/>
      <c r="M637" s="972"/>
      <c r="N637" s="972"/>
      <c r="O637" s="976"/>
      <c r="P637" s="978"/>
      <c r="Q637" s="978"/>
      <c r="R637" s="978"/>
      <c r="S637" s="978"/>
      <c r="T637" s="978"/>
      <c r="U637" s="978"/>
      <c r="V637" s="935"/>
      <c r="W637" s="972"/>
      <c r="X637" s="935"/>
      <c r="Y637" s="935"/>
      <c r="Z637" s="935"/>
      <c r="AA637" s="935"/>
    </row>
    <row r="638">
      <c r="A638" s="935"/>
      <c r="B638" s="972"/>
      <c r="C638" s="972"/>
      <c r="D638" s="972"/>
      <c r="E638" s="971"/>
      <c r="F638" s="167"/>
      <c r="G638" s="972"/>
      <c r="H638" s="973"/>
      <c r="I638" s="167"/>
      <c r="J638" s="167"/>
      <c r="K638" s="972"/>
      <c r="L638" s="972"/>
      <c r="M638" s="972"/>
      <c r="N638" s="972"/>
      <c r="O638" s="976"/>
      <c r="P638" s="978"/>
      <c r="Q638" s="978"/>
      <c r="R638" s="978"/>
      <c r="S638" s="978"/>
      <c r="T638" s="978"/>
      <c r="U638" s="978"/>
      <c r="V638" s="935"/>
      <c r="W638" s="972"/>
      <c r="X638" s="935"/>
      <c r="Y638" s="935"/>
      <c r="Z638" s="935"/>
      <c r="AA638" s="935"/>
    </row>
    <row r="639">
      <c r="A639" s="935"/>
      <c r="B639" s="972"/>
      <c r="C639" s="972"/>
      <c r="D639" s="972"/>
      <c r="E639" s="971"/>
      <c r="F639" s="167"/>
      <c r="G639" s="972"/>
      <c r="H639" s="973"/>
      <c r="I639" s="167"/>
      <c r="J639" s="167"/>
      <c r="K639" s="972"/>
      <c r="L639" s="972"/>
      <c r="M639" s="972"/>
      <c r="N639" s="972"/>
      <c r="O639" s="976"/>
      <c r="P639" s="978"/>
      <c r="Q639" s="978"/>
      <c r="R639" s="978"/>
      <c r="S639" s="978"/>
      <c r="T639" s="978"/>
      <c r="U639" s="978"/>
      <c r="V639" s="935"/>
      <c r="W639" s="972"/>
      <c r="X639" s="935"/>
      <c r="Y639" s="935"/>
      <c r="Z639" s="935"/>
      <c r="AA639" s="935"/>
    </row>
    <row r="640">
      <c r="A640" s="935"/>
      <c r="B640" s="972"/>
      <c r="C640" s="972"/>
      <c r="D640" s="972"/>
      <c r="E640" s="971"/>
      <c r="F640" s="167"/>
      <c r="G640" s="972"/>
      <c r="H640" s="973"/>
      <c r="I640" s="167"/>
      <c r="J640" s="167"/>
      <c r="K640" s="972"/>
      <c r="L640" s="972"/>
      <c r="M640" s="972"/>
      <c r="N640" s="972"/>
      <c r="O640" s="976"/>
      <c r="P640" s="978"/>
      <c r="Q640" s="978"/>
      <c r="R640" s="978"/>
      <c r="S640" s="978"/>
      <c r="T640" s="978"/>
      <c r="U640" s="978"/>
      <c r="V640" s="935"/>
      <c r="W640" s="972"/>
      <c r="X640" s="935"/>
      <c r="Y640" s="935"/>
      <c r="Z640" s="935"/>
      <c r="AA640" s="935"/>
    </row>
    <row r="641">
      <c r="A641" s="935"/>
      <c r="B641" s="972"/>
      <c r="C641" s="972"/>
      <c r="D641" s="972"/>
      <c r="E641" s="971"/>
      <c r="F641" s="167"/>
      <c r="G641" s="972"/>
      <c r="H641" s="973"/>
      <c r="I641" s="167"/>
      <c r="J641" s="167"/>
      <c r="K641" s="972"/>
      <c r="L641" s="972"/>
      <c r="M641" s="972"/>
      <c r="N641" s="972"/>
      <c r="O641" s="976"/>
      <c r="P641" s="978"/>
      <c r="Q641" s="978"/>
      <c r="R641" s="978"/>
      <c r="S641" s="978"/>
      <c r="T641" s="978"/>
      <c r="U641" s="978"/>
      <c r="V641" s="935"/>
      <c r="W641" s="972"/>
      <c r="X641" s="935"/>
      <c r="Y641" s="935"/>
      <c r="Z641" s="935"/>
      <c r="AA641" s="935"/>
    </row>
    <row r="642">
      <c r="A642" s="935"/>
      <c r="B642" s="972"/>
      <c r="C642" s="972"/>
      <c r="D642" s="972"/>
      <c r="E642" s="971"/>
      <c r="F642" s="167"/>
      <c r="G642" s="972"/>
      <c r="H642" s="973"/>
      <c r="I642" s="167"/>
      <c r="J642" s="167"/>
      <c r="K642" s="972"/>
      <c r="L642" s="972"/>
      <c r="M642" s="972"/>
      <c r="N642" s="972"/>
      <c r="O642" s="976"/>
      <c r="P642" s="978"/>
      <c r="Q642" s="978"/>
      <c r="R642" s="978"/>
      <c r="S642" s="978"/>
      <c r="T642" s="978"/>
      <c r="U642" s="978"/>
      <c r="V642" s="935"/>
      <c r="W642" s="972"/>
      <c r="X642" s="935"/>
      <c r="Y642" s="935"/>
      <c r="Z642" s="935"/>
      <c r="AA642" s="935"/>
    </row>
    <row r="643">
      <c r="A643" s="935"/>
      <c r="B643" s="972"/>
      <c r="C643" s="972"/>
      <c r="D643" s="972"/>
      <c r="E643" s="971"/>
      <c r="F643" s="167"/>
      <c r="G643" s="972"/>
      <c r="H643" s="973"/>
      <c r="I643" s="167"/>
      <c r="J643" s="167"/>
      <c r="K643" s="972"/>
      <c r="L643" s="972"/>
      <c r="M643" s="972"/>
      <c r="N643" s="972"/>
      <c r="O643" s="976"/>
      <c r="P643" s="978"/>
      <c r="Q643" s="978"/>
      <c r="R643" s="978"/>
      <c r="S643" s="978"/>
      <c r="T643" s="978"/>
      <c r="U643" s="978"/>
      <c r="V643" s="935"/>
      <c r="W643" s="972"/>
      <c r="X643" s="935"/>
      <c r="Y643" s="935"/>
      <c r="Z643" s="935"/>
      <c r="AA643" s="935"/>
    </row>
    <row r="644">
      <c r="A644" s="935"/>
      <c r="B644" s="972"/>
      <c r="C644" s="972"/>
      <c r="D644" s="972"/>
      <c r="E644" s="971"/>
      <c r="F644" s="167"/>
      <c r="G644" s="972"/>
      <c r="H644" s="973"/>
      <c r="I644" s="167"/>
      <c r="J644" s="167"/>
      <c r="K644" s="972"/>
      <c r="L644" s="972"/>
      <c r="M644" s="972"/>
      <c r="N644" s="972"/>
      <c r="O644" s="976"/>
      <c r="P644" s="978"/>
      <c r="Q644" s="978"/>
      <c r="R644" s="978"/>
      <c r="S644" s="978"/>
      <c r="T644" s="978"/>
      <c r="U644" s="978"/>
      <c r="V644" s="935"/>
      <c r="W644" s="972"/>
      <c r="X644" s="935"/>
      <c r="Y644" s="935"/>
      <c r="Z644" s="935"/>
      <c r="AA644" s="935"/>
    </row>
    <row r="645">
      <c r="A645" s="935"/>
      <c r="B645" s="972"/>
      <c r="C645" s="972"/>
      <c r="D645" s="972"/>
      <c r="E645" s="971"/>
      <c r="F645" s="167"/>
      <c r="G645" s="972"/>
      <c r="H645" s="973"/>
      <c r="I645" s="167"/>
      <c r="J645" s="167"/>
      <c r="K645" s="972"/>
      <c r="L645" s="972"/>
      <c r="M645" s="972"/>
      <c r="N645" s="972"/>
      <c r="O645" s="976"/>
      <c r="P645" s="978"/>
      <c r="Q645" s="978"/>
      <c r="R645" s="978"/>
      <c r="S645" s="978"/>
      <c r="T645" s="978"/>
      <c r="U645" s="978"/>
      <c r="V645" s="935"/>
      <c r="W645" s="972"/>
      <c r="X645" s="935"/>
      <c r="Y645" s="935"/>
      <c r="Z645" s="935"/>
      <c r="AA645" s="935"/>
    </row>
    <row r="646">
      <c r="A646" s="935"/>
      <c r="B646" s="972"/>
      <c r="C646" s="972"/>
      <c r="D646" s="972"/>
      <c r="E646" s="971"/>
      <c r="F646" s="167"/>
      <c r="G646" s="972"/>
      <c r="H646" s="973"/>
      <c r="I646" s="167"/>
      <c r="J646" s="167"/>
      <c r="K646" s="972"/>
      <c r="L646" s="972"/>
      <c r="M646" s="972"/>
      <c r="N646" s="972"/>
      <c r="O646" s="976"/>
      <c r="P646" s="978"/>
      <c r="Q646" s="978"/>
      <c r="R646" s="978"/>
      <c r="S646" s="978"/>
      <c r="T646" s="978"/>
      <c r="U646" s="978"/>
      <c r="V646" s="935"/>
      <c r="W646" s="972"/>
      <c r="X646" s="935"/>
      <c r="Y646" s="935"/>
      <c r="Z646" s="935"/>
      <c r="AA646" s="935"/>
    </row>
    <row r="647">
      <c r="A647" s="935"/>
      <c r="B647" s="972"/>
      <c r="C647" s="972"/>
      <c r="D647" s="972"/>
      <c r="E647" s="971"/>
      <c r="F647" s="167"/>
      <c r="G647" s="972"/>
      <c r="H647" s="973"/>
      <c r="I647" s="167"/>
      <c r="J647" s="167"/>
      <c r="K647" s="972"/>
      <c r="L647" s="972"/>
      <c r="M647" s="972"/>
      <c r="N647" s="972"/>
      <c r="O647" s="976"/>
      <c r="P647" s="978"/>
      <c r="Q647" s="978"/>
      <c r="R647" s="978"/>
      <c r="S647" s="978"/>
      <c r="T647" s="978"/>
      <c r="U647" s="978"/>
      <c r="V647" s="935"/>
      <c r="W647" s="972"/>
      <c r="X647" s="935"/>
      <c r="Y647" s="935"/>
      <c r="Z647" s="935"/>
      <c r="AA647" s="935"/>
    </row>
    <row r="648">
      <c r="A648" s="935"/>
      <c r="B648" s="972"/>
      <c r="C648" s="972"/>
      <c r="D648" s="972"/>
      <c r="E648" s="971"/>
      <c r="F648" s="167"/>
      <c r="G648" s="972"/>
      <c r="H648" s="973"/>
      <c r="I648" s="167"/>
      <c r="J648" s="167"/>
      <c r="K648" s="972"/>
      <c r="L648" s="972"/>
      <c r="M648" s="972"/>
      <c r="N648" s="972"/>
      <c r="O648" s="976"/>
      <c r="P648" s="978"/>
      <c r="Q648" s="978"/>
      <c r="R648" s="978"/>
      <c r="S648" s="978"/>
      <c r="T648" s="978"/>
      <c r="U648" s="978"/>
      <c r="V648" s="935"/>
      <c r="W648" s="972"/>
      <c r="X648" s="935"/>
      <c r="Y648" s="935"/>
      <c r="Z648" s="935"/>
      <c r="AA648" s="935"/>
    </row>
    <row r="649">
      <c r="A649" s="935"/>
      <c r="B649" s="972"/>
      <c r="C649" s="972"/>
      <c r="D649" s="972"/>
      <c r="E649" s="971"/>
      <c r="F649" s="167"/>
      <c r="G649" s="972"/>
      <c r="H649" s="973"/>
      <c r="I649" s="167"/>
      <c r="J649" s="167"/>
      <c r="K649" s="972"/>
      <c r="L649" s="972"/>
      <c r="M649" s="972"/>
      <c r="N649" s="972"/>
      <c r="O649" s="976"/>
      <c r="P649" s="978"/>
      <c r="Q649" s="978"/>
      <c r="R649" s="978"/>
      <c r="S649" s="978"/>
      <c r="T649" s="978"/>
      <c r="U649" s="978"/>
      <c r="V649" s="935"/>
      <c r="W649" s="972"/>
      <c r="X649" s="935"/>
      <c r="Y649" s="935"/>
      <c r="Z649" s="935"/>
      <c r="AA649" s="935"/>
    </row>
    <row r="650">
      <c r="A650" s="935"/>
      <c r="B650" s="972"/>
      <c r="C650" s="972"/>
      <c r="D650" s="972"/>
      <c r="E650" s="971"/>
      <c r="F650" s="167"/>
      <c r="G650" s="972"/>
      <c r="H650" s="973"/>
      <c r="I650" s="167"/>
      <c r="J650" s="167"/>
      <c r="K650" s="972"/>
      <c r="L650" s="972"/>
      <c r="M650" s="972"/>
      <c r="N650" s="972"/>
      <c r="O650" s="976"/>
      <c r="P650" s="978"/>
      <c r="Q650" s="978"/>
      <c r="R650" s="978"/>
      <c r="S650" s="978"/>
      <c r="T650" s="978"/>
      <c r="U650" s="978"/>
      <c r="V650" s="935"/>
      <c r="W650" s="972"/>
      <c r="X650" s="935"/>
      <c r="Y650" s="935"/>
      <c r="Z650" s="935"/>
      <c r="AA650" s="935"/>
    </row>
    <row r="651">
      <c r="A651" s="935"/>
      <c r="B651" s="972"/>
      <c r="C651" s="972"/>
      <c r="D651" s="972"/>
      <c r="E651" s="971"/>
      <c r="F651" s="167"/>
      <c r="G651" s="972"/>
      <c r="H651" s="973"/>
      <c r="I651" s="167"/>
      <c r="J651" s="167"/>
      <c r="K651" s="972"/>
      <c r="L651" s="972"/>
      <c r="M651" s="972"/>
      <c r="N651" s="972"/>
      <c r="O651" s="976"/>
      <c r="P651" s="978"/>
      <c r="Q651" s="978"/>
      <c r="R651" s="978"/>
      <c r="S651" s="978"/>
      <c r="T651" s="978"/>
      <c r="U651" s="978"/>
      <c r="V651" s="935"/>
      <c r="W651" s="972"/>
      <c r="X651" s="935"/>
      <c r="Y651" s="935"/>
      <c r="Z651" s="935"/>
      <c r="AA651" s="935"/>
    </row>
    <row r="652">
      <c r="A652" s="935"/>
      <c r="B652" s="972"/>
      <c r="C652" s="972"/>
      <c r="D652" s="972"/>
      <c r="E652" s="971"/>
      <c r="F652" s="167"/>
      <c r="G652" s="972"/>
      <c r="H652" s="973"/>
      <c r="I652" s="167"/>
      <c r="J652" s="167"/>
      <c r="K652" s="972"/>
      <c r="L652" s="972"/>
      <c r="M652" s="972"/>
      <c r="N652" s="972"/>
      <c r="O652" s="976"/>
      <c r="P652" s="978"/>
      <c r="Q652" s="978"/>
      <c r="R652" s="978"/>
      <c r="S652" s="978"/>
      <c r="T652" s="978"/>
      <c r="U652" s="978"/>
      <c r="V652" s="935"/>
      <c r="W652" s="972"/>
      <c r="X652" s="935"/>
      <c r="Y652" s="935"/>
      <c r="Z652" s="935"/>
      <c r="AA652" s="935"/>
    </row>
    <row r="653">
      <c r="A653" s="935"/>
      <c r="B653" s="972"/>
      <c r="C653" s="972"/>
      <c r="D653" s="972"/>
      <c r="E653" s="971"/>
      <c r="F653" s="167"/>
      <c r="G653" s="972"/>
      <c r="H653" s="973"/>
      <c r="I653" s="167"/>
      <c r="J653" s="167"/>
      <c r="K653" s="972"/>
      <c r="L653" s="972"/>
      <c r="M653" s="972"/>
      <c r="N653" s="972"/>
      <c r="O653" s="976"/>
      <c r="P653" s="978"/>
      <c r="Q653" s="978"/>
      <c r="R653" s="978"/>
      <c r="S653" s="978"/>
      <c r="T653" s="978"/>
      <c r="U653" s="978"/>
      <c r="V653" s="935"/>
      <c r="W653" s="972"/>
      <c r="X653" s="935"/>
      <c r="Y653" s="935"/>
      <c r="Z653" s="935"/>
      <c r="AA653" s="935"/>
    </row>
    <row r="654">
      <c r="A654" s="935"/>
      <c r="B654" s="972"/>
      <c r="C654" s="972"/>
      <c r="D654" s="972"/>
      <c r="E654" s="971"/>
      <c r="F654" s="167"/>
      <c r="G654" s="972"/>
      <c r="H654" s="973"/>
      <c r="I654" s="167"/>
      <c r="J654" s="167"/>
      <c r="K654" s="972"/>
      <c r="L654" s="972"/>
      <c r="M654" s="972"/>
      <c r="N654" s="972"/>
      <c r="O654" s="976"/>
      <c r="P654" s="978"/>
      <c r="Q654" s="978"/>
      <c r="R654" s="978"/>
      <c r="S654" s="978"/>
      <c r="T654" s="978"/>
      <c r="U654" s="978"/>
      <c r="V654" s="935"/>
      <c r="W654" s="972"/>
      <c r="X654" s="935"/>
      <c r="Y654" s="935"/>
      <c r="Z654" s="935"/>
      <c r="AA654" s="935"/>
    </row>
    <row r="655">
      <c r="A655" s="935"/>
      <c r="B655" s="972"/>
      <c r="C655" s="972"/>
      <c r="D655" s="972"/>
      <c r="E655" s="971"/>
      <c r="F655" s="167"/>
      <c r="G655" s="972"/>
      <c r="H655" s="973"/>
      <c r="I655" s="167"/>
      <c r="J655" s="167"/>
      <c r="K655" s="972"/>
      <c r="L655" s="972"/>
      <c r="M655" s="972"/>
      <c r="N655" s="972"/>
      <c r="O655" s="976"/>
      <c r="P655" s="978"/>
      <c r="Q655" s="978"/>
      <c r="R655" s="978"/>
      <c r="S655" s="978"/>
      <c r="T655" s="978"/>
      <c r="U655" s="978"/>
      <c r="V655" s="935"/>
      <c r="W655" s="972"/>
      <c r="X655" s="935"/>
      <c r="Y655" s="935"/>
      <c r="Z655" s="935"/>
      <c r="AA655" s="935"/>
    </row>
    <row r="656">
      <c r="A656" s="935"/>
      <c r="B656" s="972"/>
      <c r="C656" s="972"/>
      <c r="D656" s="972"/>
      <c r="E656" s="971"/>
      <c r="F656" s="167"/>
      <c r="G656" s="972"/>
      <c r="H656" s="973"/>
      <c r="I656" s="167"/>
      <c r="J656" s="167"/>
      <c r="K656" s="972"/>
      <c r="L656" s="972"/>
      <c r="M656" s="972"/>
      <c r="N656" s="972"/>
      <c r="O656" s="976"/>
      <c r="P656" s="978"/>
      <c r="Q656" s="978"/>
      <c r="R656" s="978"/>
      <c r="S656" s="978"/>
      <c r="T656" s="978"/>
      <c r="U656" s="978"/>
      <c r="V656" s="935"/>
      <c r="W656" s="972"/>
      <c r="X656" s="935"/>
      <c r="Y656" s="935"/>
      <c r="Z656" s="935"/>
      <c r="AA656" s="935"/>
    </row>
    <row r="657">
      <c r="A657" s="935"/>
      <c r="B657" s="972"/>
      <c r="C657" s="972"/>
      <c r="D657" s="972"/>
      <c r="E657" s="971"/>
      <c r="F657" s="167"/>
      <c r="G657" s="972"/>
      <c r="H657" s="973"/>
      <c r="I657" s="167"/>
      <c r="J657" s="167"/>
      <c r="K657" s="972"/>
      <c r="L657" s="972"/>
      <c r="M657" s="972"/>
      <c r="N657" s="972"/>
      <c r="O657" s="976"/>
      <c r="P657" s="978"/>
      <c r="Q657" s="978"/>
      <c r="R657" s="978"/>
      <c r="S657" s="978"/>
      <c r="T657" s="978"/>
      <c r="U657" s="978"/>
      <c r="V657" s="935"/>
      <c r="W657" s="972"/>
      <c r="X657" s="935"/>
      <c r="Y657" s="935"/>
      <c r="Z657" s="935"/>
      <c r="AA657" s="935"/>
    </row>
    <row r="658">
      <c r="A658" s="935"/>
      <c r="B658" s="972"/>
      <c r="C658" s="972"/>
      <c r="D658" s="972"/>
      <c r="E658" s="971"/>
      <c r="F658" s="167"/>
      <c r="G658" s="972"/>
      <c r="H658" s="973"/>
      <c r="I658" s="167"/>
      <c r="J658" s="167"/>
      <c r="K658" s="972"/>
      <c r="L658" s="972"/>
      <c r="M658" s="972"/>
      <c r="N658" s="972"/>
      <c r="O658" s="976"/>
      <c r="P658" s="978"/>
      <c r="Q658" s="978"/>
      <c r="R658" s="978"/>
      <c r="S658" s="978"/>
      <c r="T658" s="978"/>
      <c r="U658" s="978"/>
      <c r="V658" s="935"/>
      <c r="W658" s="972"/>
      <c r="X658" s="935"/>
      <c r="Y658" s="935"/>
      <c r="Z658" s="935"/>
      <c r="AA658" s="935"/>
    </row>
    <row r="659">
      <c r="A659" s="935"/>
      <c r="B659" s="972"/>
      <c r="C659" s="972"/>
      <c r="D659" s="972"/>
      <c r="E659" s="971"/>
      <c r="F659" s="167"/>
      <c r="G659" s="972"/>
      <c r="H659" s="973"/>
      <c r="I659" s="167"/>
      <c r="J659" s="167"/>
      <c r="K659" s="972"/>
      <c r="L659" s="972"/>
      <c r="M659" s="972"/>
      <c r="N659" s="972"/>
      <c r="O659" s="976"/>
      <c r="P659" s="978"/>
      <c r="Q659" s="978"/>
      <c r="R659" s="978"/>
      <c r="S659" s="978"/>
      <c r="T659" s="978"/>
      <c r="U659" s="978"/>
      <c r="V659" s="935"/>
      <c r="W659" s="972"/>
      <c r="X659" s="935"/>
      <c r="Y659" s="935"/>
      <c r="Z659" s="935"/>
      <c r="AA659" s="935"/>
    </row>
    <row r="660">
      <c r="A660" s="935"/>
      <c r="B660" s="972"/>
      <c r="C660" s="972"/>
      <c r="D660" s="972"/>
      <c r="E660" s="971"/>
      <c r="F660" s="167"/>
      <c r="G660" s="972"/>
      <c r="H660" s="973"/>
      <c r="I660" s="167"/>
      <c r="J660" s="167"/>
      <c r="K660" s="972"/>
      <c r="L660" s="972"/>
      <c r="M660" s="972"/>
      <c r="N660" s="972"/>
      <c r="O660" s="976"/>
      <c r="P660" s="978"/>
      <c r="Q660" s="978"/>
      <c r="R660" s="978"/>
      <c r="S660" s="978"/>
      <c r="T660" s="978"/>
      <c r="U660" s="978"/>
      <c r="V660" s="935"/>
      <c r="W660" s="972"/>
      <c r="X660" s="935"/>
      <c r="Y660" s="935"/>
      <c r="Z660" s="935"/>
      <c r="AA660" s="935"/>
    </row>
    <row r="661">
      <c r="A661" s="935"/>
      <c r="B661" s="972"/>
      <c r="C661" s="972"/>
      <c r="D661" s="972"/>
      <c r="E661" s="971"/>
      <c r="F661" s="167"/>
      <c r="G661" s="972"/>
      <c r="H661" s="973"/>
      <c r="I661" s="167"/>
      <c r="J661" s="167"/>
      <c r="K661" s="972"/>
      <c r="L661" s="972"/>
      <c r="M661" s="972"/>
      <c r="N661" s="972"/>
      <c r="O661" s="976"/>
      <c r="P661" s="978"/>
      <c r="Q661" s="978"/>
      <c r="R661" s="978"/>
      <c r="S661" s="978"/>
      <c r="T661" s="978"/>
      <c r="U661" s="978"/>
      <c r="V661" s="935"/>
      <c r="W661" s="972"/>
      <c r="X661" s="935"/>
      <c r="Y661" s="935"/>
      <c r="Z661" s="935"/>
      <c r="AA661" s="935"/>
    </row>
    <row r="662">
      <c r="A662" s="935"/>
      <c r="B662" s="972"/>
      <c r="C662" s="972"/>
      <c r="D662" s="972"/>
      <c r="E662" s="971"/>
      <c r="F662" s="167"/>
      <c r="G662" s="972"/>
      <c r="H662" s="973"/>
      <c r="I662" s="167"/>
      <c r="J662" s="167"/>
      <c r="K662" s="972"/>
      <c r="L662" s="972"/>
      <c r="M662" s="972"/>
      <c r="N662" s="972"/>
      <c r="O662" s="976"/>
      <c r="P662" s="978"/>
      <c r="Q662" s="978"/>
      <c r="R662" s="978"/>
      <c r="S662" s="978"/>
      <c r="T662" s="978"/>
      <c r="U662" s="978"/>
      <c r="V662" s="935"/>
      <c r="W662" s="972"/>
      <c r="X662" s="935"/>
      <c r="Y662" s="935"/>
      <c r="Z662" s="935"/>
      <c r="AA662" s="935"/>
    </row>
    <row r="663">
      <c r="A663" s="935"/>
      <c r="B663" s="972"/>
      <c r="C663" s="972"/>
      <c r="D663" s="972"/>
      <c r="E663" s="971"/>
      <c r="F663" s="167"/>
      <c r="G663" s="972"/>
      <c r="H663" s="973"/>
      <c r="I663" s="167"/>
      <c r="J663" s="167"/>
      <c r="K663" s="972"/>
      <c r="L663" s="972"/>
      <c r="M663" s="972"/>
      <c r="N663" s="972"/>
      <c r="O663" s="976"/>
      <c r="P663" s="978"/>
      <c r="Q663" s="978"/>
      <c r="R663" s="978"/>
      <c r="S663" s="978"/>
      <c r="T663" s="978"/>
      <c r="U663" s="978"/>
      <c r="V663" s="935"/>
      <c r="W663" s="972"/>
      <c r="X663" s="935"/>
      <c r="Y663" s="935"/>
      <c r="Z663" s="935"/>
      <c r="AA663" s="935"/>
    </row>
    <row r="664">
      <c r="A664" s="935"/>
      <c r="B664" s="972"/>
      <c r="C664" s="972"/>
      <c r="D664" s="972"/>
      <c r="E664" s="971"/>
      <c r="F664" s="167"/>
      <c r="G664" s="972"/>
      <c r="H664" s="973"/>
      <c r="I664" s="167"/>
      <c r="J664" s="167"/>
      <c r="K664" s="972"/>
      <c r="L664" s="972"/>
      <c r="M664" s="972"/>
      <c r="N664" s="972"/>
      <c r="O664" s="976"/>
      <c r="P664" s="978"/>
      <c r="Q664" s="978"/>
      <c r="R664" s="978"/>
      <c r="S664" s="978"/>
      <c r="T664" s="978"/>
      <c r="U664" s="978"/>
      <c r="V664" s="935"/>
      <c r="W664" s="972"/>
      <c r="X664" s="935"/>
      <c r="Y664" s="935"/>
      <c r="Z664" s="935"/>
      <c r="AA664" s="935"/>
    </row>
    <row r="665">
      <c r="A665" s="935"/>
      <c r="B665" s="972"/>
      <c r="C665" s="972"/>
      <c r="D665" s="972"/>
      <c r="E665" s="971"/>
      <c r="F665" s="167"/>
      <c r="G665" s="972"/>
      <c r="H665" s="973"/>
      <c r="I665" s="167"/>
      <c r="J665" s="167"/>
      <c r="K665" s="972"/>
      <c r="L665" s="972"/>
      <c r="M665" s="972"/>
      <c r="N665" s="972"/>
      <c r="O665" s="976"/>
      <c r="P665" s="978"/>
      <c r="Q665" s="978"/>
      <c r="R665" s="978"/>
      <c r="S665" s="978"/>
      <c r="T665" s="978"/>
      <c r="U665" s="978"/>
      <c r="V665" s="935"/>
      <c r="W665" s="972"/>
      <c r="X665" s="935"/>
      <c r="Y665" s="935"/>
      <c r="Z665" s="935"/>
      <c r="AA665" s="935"/>
    </row>
    <row r="666">
      <c r="A666" s="935"/>
      <c r="B666" s="972"/>
      <c r="C666" s="972"/>
      <c r="D666" s="972"/>
      <c r="E666" s="971"/>
      <c r="F666" s="167"/>
      <c r="G666" s="972"/>
      <c r="H666" s="973"/>
      <c r="I666" s="167"/>
      <c r="J666" s="167"/>
      <c r="K666" s="972"/>
      <c r="L666" s="972"/>
      <c r="M666" s="972"/>
      <c r="N666" s="972"/>
      <c r="O666" s="976"/>
      <c r="P666" s="978"/>
      <c r="Q666" s="978"/>
      <c r="R666" s="978"/>
      <c r="S666" s="978"/>
      <c r="T666" s="978"/>
      <c r="U666" s="978"/>
      <c r="V666" s="935"/>
      <c r="W666" s="972"/>
      <c r="X666" s="935"/>
      <c r="Y666" s="935"/>
      <c r="Z666" s="935"/>
      <c r="AA666" s="935"/>
    </row>
    <row r="667">
      <c r="A667" s="935"/>
      <c r="B667" s="972"/>
      <c r="C667" s="972"/>
      <c r="D667" s="972"/>
      <c r="E667" s="971"/>
      <c r="F667" s="167"/>
      <c r="G667" s="972"/>
      <c r="H667" s="973"/>
      <c r="I667" s="167"/>
      <c r="J667" s="167"/>
      <c r="K667" s="972"/>
      <c r="L667" s="972"/>
      <c r="M667" s="972"/>
      <c r="N667" s="972"/>
      <c r="O667" s="976"/>
      <c r="P667" s="978"/>
      <c r="Q667" s="978"/>
      <c r="R667" s="978"/>
      <c r="S667" s="978"/>
      <c r="T667" s="978"/>
      <c r="U667" s="978"/>
      <c r="V667" s="935"/>
      <c r="W667" s="972"/>
      <c r="X667" s="935"/>
      <c r="Y667" s="935"/>
      <c r="Z667" s="935"/>
      <c r="AA667" s="935"/>
    </row>
    <row r="668">
      <c r="A668" s="935"/>
      <c r="B668" s="972"/>
      <c r="C668" s="972"/>
      <c r="D668" s="972"/>
      <c r="E668" s="971"/>
      <c r="F668" s="167"/>
      <c r="G668" s="972"/>
      <c r="H668" s="973"/>
      <c r="I668" s="167"/>
      <c r="J668" s="167"/>
      <c r="K668" s="972"/>
      <c r="L668" s="972"/>
      <c r="M668" s="972"/>
      <c r="N668" s="972"/>
      <c r="O668" s="976"/>
      <c r="P668" s="978"/>
      <c r="Q668" s="978"/>
      <c r="R668" s="978"/>
      <c r="S668" s="978"/>
      <c r="T668" s="978"/>
      <c r="U668" s="978"/>
      <c r="V668" s="935"/>
      <c r="W668" s="972"/>
      <c r="X668" s="935"/>
      <c r="Y668" s="935"/>
      <c r="Z668" s="935"/>
      <c r="AA668" s="935"/>
    </row>
    <row r="669">
      <c r="A669" s="935"/>
      <c r="B669" s="972"/>
      <c r="C669" s="972"/>
      <c r="D669" s="972"/>
      <c r="E669" s="971"/>
      <c r="F669" s="167"/>
      <c r="G669" s="972"/>
      <c r="H669" s="973"/>
      <c r="I669" s="167"/>
      <c r="J669" s="167"/>
      <c r="K669" s="972"/>
      <c r="L669" s="972"/>
      <c r="M669" s="972"/>
      <c r="N669" s="972"/>
      <c r="O669" s="976"/>
      <c r="P669" s="978"/>
      <c r="Q669" s="978"/>
      <c r="R669" s="978"/>
      <c r="S669" s="978"/>
      <c r="T669" s="978"/>
      <c r="U669" s="978"/>
      <c r="V669" s="935"/>
      <c r="W669" s="972"/>
      <c r="X669" s="935"/>
      <c r="Y669" s="935"/>
      <c r="Z669" s="935"/>
      <c r="AA669" s="935"/>
    </row>
    <row r="670">
      <c r="A670" s="935"/>
      <c r="B670" s="972"/>
      <c r="C670" s="972"/>
      <c r="D670" s="972"/>
      <c r="E670" s="971"/>
      <c r="F670" s="167"/>
      <c r="G670" s="972"/>
      <c r="H670" s="973"/>
      <c r="I670" s="167"/>
      <c r="J670" s="167"/>
      <c r="K670" s="972"/>
      <c r="L670" s="972"/>
      <c r="M670" s="972"/>
      <c r="N670" s="972"/>
      <c r="O670" s="976"/>
      <c r="P670" s="978"/>
      <c r="Q670" s="978"/>
      <c r="R670" s="978"/>
      <c r="S670" s="978"/>
      <c r="T670" s="978"/>
      <c r="U670" s="978"/>
      <c r="V670" s="935"/>
      <c r="W670" s="972"/>
      <c r="X670" s="935"/>
      <c r="Y670" s="935"/>
      <c r="Z670" s="935"/>
      <c r="AA670" s="935"/>
    </row>
    <row r="671">
      <c r="A671" s="935"/>
      <c r="B671" s="972"/>
      <c r="C671" s="972"/>
      <c r="D671" s="972"/>
      <c r="E671" s="971"/>
      <c r="F671" s="167"/>
      <c r="G671" s="972"/>
      <c r="H671" s="973"/>
      <c r="I671" s="167"/>
      <c r="J671" s="167"/>
      <c r="K671" s="972"/>
      <c r="L671" s="972"/>
      <c r="M671" s="972"/>
      <c r="N671" s="972"/>
      <c r="O671" s="976"/>
      <c r="P671" s="978"/>
      <c r="Q671" s="978"/>
      <c r="R671" s="978"/>
      <c r="S671" s="978"/>
      <c r="T671" s="978"/>
      <c r="U671" s="978"/>
      <c r="V671" s="935"/>
      <c r="W671" s="972"/>
      <c r="X671" s="935"/>
      <c r="Y671" s="935"/>
      <c r="Z671" s="935"/>
      <c r="AA671" s="935"/>
    </row>
    <row r="672">
      <c r="A672" s="935"/>
      <c r="B672" s="972"/>
      <c r="C672" s="972"/>
      <c r="D672" s="972"/>
      <c r="E672" s="971"/>
      <c r="F672" s="167"/>
      <c r="G672" s="972"/>
      <c r="H672" s="973"/>
      <c r="I672" s="167"/>
      <c r="J672" s="167"/>
      <c r="K672" s="972"/>
      <c r="L672" s="972"/>
      <c r="M672" s="972"/>
      <c r="N672" s="972"/>
      <c r="O672" s="976"/>
      <c r="P672" s="978"/>
      <c r="Q672" s="978"/>
      <c r="R672" s="978"/>
      <c r="S672" s="978"/>
      <c r="T672" s="978"/>
      <c r="U672" s="978"/>
      <c r="V672" s="935"/>
      <c r="W672" s="972"/>
      <c r="X672" s="935"/>
      <c r="Y672" s="935"/>
      <c r="Z672" s="935"/>
      <c r="AA672" s="935"/>
    </row>
    <row r="673">
      <c r="A673" s="935"/>
      <c r="B673" s="972"/>
      <c r="C673" s="972"/>
      <c r="D673" s="972"/>
      <c r="E673" s="971"/>
      <c r="F673" s="167"/>
      <c r="G673" s="972"/>
      <c r="H673" s="973"/>
      <c r="I673" s="167"/>
      <c r="J673" s="167"/>
      <c r="K673" s="972"/>
      <c r="L673" s="972"/>
      <c r="M673" s="972"/>
      <c r="N673" s="972"/>
      <c r="O673" s="976"/>
      <c r="P673" s="978"/>
      <c r="Q673" s="978"/>
      <c r="R673" s="978"/>
      <c r="S673" s="978"/>
      <c r="T673" s="978"/>
      <c r="U673" s="978"/>
      <c r="V673" s="935"/>
      <c r="W673" s="972"/>
      <c r="X673" s="935"/>
      <c r="Y673" s="935"/>
      <c r="Z673" s="935"/>
      <c r="AA673" s="935"/>
    </row>
    <row r="674">
      <c r="A674" s="935"/>
      <c r="B674" s="972"/>
      <c r="C674" s="972"/>
      <c r="D674" s="972"/>
      <c r="E674" s="971"/>
      <c r="F674" s="167"/>
      <c r="G674" s="972"/>
      <c r="H674" s="973"/>
      <c r="I674" s="167"/>
      <c r="J674" s="167"/>
      <c r="K674" s="972"/>
      <c r="L674" s="972"/>
      <c r="M674" s="972"/>
      <c r="N674" s="972"/>
      <c r="O674" s="976"/>
      <c r="P674" s="978"/>
      <c r="Q674" s="978"/>
      <c r="R674" s="978"/>
      <c r="S674" s="978"/>
      <c r="T674" s="978"/>
      <c r="U674" s="978"/>
      <c r="V674" s="935"/>
      <c r="W674" s="972"/>
      <c r="X674" s="935"/>
      <c r="Y674" s="935"/>
      <c r="Z674" s="935"/>
      <c r="AA674" s="935"/>
    </row>
    <row r="675">
      <c r="A675" s="935"/>
      <c r="B675" s="972"/>
      <c r="C675" s="972"/>
      <c r="D675" s="972"/>
      <c r="E675" s="971"/>
      <c r="F675" s="167"/>
      <c r="G675" s="972"/>
      <c r="H675" s="973"/>
      <c r="I675" s="167"/>
      <c r="J675" s="167"/>
      <c r="K675" s="972"/>
      <c r="L675" s="972"/>
      <c r="M675" s="972"/>
      <c r="N675" s="972"/>
      <c r="O675" s="976"/>
      <c r="P675" s="978"/>
      <c r="Q675" s="978"/>
      <c r="R675" s="978"/>
      <c r="S675" s="978"/>
      <c r="T675" s="978"/>
      <c r="U675" s="978"/>
      <c r="V675" s="935"/>
      <c r="W675" s="972"/>
      <c r="X675" s="935"/>
      <c r="Y675" s="935"/>
      <c r="Z675" s="935"/>
      <c r="AA675" s="935"/>
    </row>
    <row r="676">
      <c r="A676" s="935"/>
      <c r="B676" s="972"/>
      <c r="C676" s="972"/>
      <c r="D676" s="972"/>
      <c r="E676" s="971"/>
      <c r="F676" s="167"/>
      <c r="G676" s="972"/>
      <c r="H676" s="973"/>
      <c r="I676" s="167"/>
      <c r="J676" s="167"/>
      <c r="K676" s="972"/>
      <c r="L676" s="972"/>
      <c r="M676" s="972"/>
      <c r="N676" s="972"/>
      <c r="O676" s="976"/>
      <c r="P676" s="978"/>
      <c r="Q676" s="978"/>
      <c r="R676" s="978"/>
      <c r="S676" s="978"/>
      <c r="T676" s="978"/>
      <c r="U676" s="978"/>
      <c r="V676" s="935"/>
      <c r="W676" s="972"/>
      <c r="X676" s="935"/>
      <c r="Y676" s="935"/>
      <c r="Z676" s="935"/>
      <c r="AA676" s="935"/>
    </row>
    <row r="677">
      <c r="A677" s="935"/>
      <c r="B677" s="972"/>
      <c r="C677" s="972"/>
      <c r="D677" s="972"/>
      <c r="E677" s="971"/>
      <c r="F677" s="167"/>
      <c r="G677" s="972"/>
      <c r="H677" s="973"/>
      <c r="I677" s="167"/>
      <c r="J677" s="167"/>
      <c r="K677" s="972"/>
      <c r="L677" s="972"/>
      <c r="M677" s="972"/>
      <c r="N677" s="972"/>
      <c r="O677" s="976"/>
      <c r="P677" s="978"/>
      <c r="Q677" s="978"/>
      <c r="R677" s="978"/>
      <c r="S677" s="978"/>
      <c r="T677" s="978"/>
      <c r="U677" s="978"/>
      <c r="V677" s="935"/>
      <c r="W677" s="972"/>
      <c r="X677" s="935"/>
      <c r="Y677" s="935"/>
      <c r="Z677" s="935"/>
      <c r="AA677" s="935"/>
    </row>
    <row r="678">
      <c r="A678" s="935"/>
      <c r="B678" s="972"/>
      <c r="C678" s="972"/>
      <c r="D678" s="972"/>
      <c r="E678" s="971"/>
      <c r="F678" s="167"/>
      <c r="G678" s="972"/>
      <c r="H678" s="973"/>
      <c r="I678" s="167"/>
      <c r="J678" s="167"/>
      <c r="K678" s="972"/>
      <c r="L678" s="972"/>
      <c r="M678" s="972"/>
      <c r="N678" s="972"/>
      <c r="O678" s="976"/>
      <c r="P678" s="978"/>
      <c r="Q678" s="978"/>
      <c r="R678" s="978"/>
      <c r="S678" s="978"/>
      <c r="T678" s="978"/>
      <c r="U678" s="978"/>
      <c r="V678" s="935"/>
      <c r="W678" s="972"/>
      <c r="X678" s="935"/>
      <c r="Y678" s="935"/>
      <c r="Z678" s="935"/>
      <c r="AA678" s="935"/>
    </row>
    <row r="679">
      <c r="A679" s="935"/>
      <c r="B679" s="972"/>
      <c r="C679" s="972"/>
      <c r="D679" s="972"/>
      <c r="E679" s="971"/>
      <c r="F679" s="167"/>
      <c r="G679" s="972"/>
      <c r="H679" s="973"/>
      <c r="I679" s="167"/>
      <c r="J679" s="167"/>
      <c r="K679" s="972"/>
      <c r="L679" s="972"/>
      <c r="M679" s="972"/>
      <c r="N679" s="972"/>
      <c r="O679" s="976"/>
      <c r="P679" s="978"/>
      <c r="Q679" s="978"/>
      <c r="R679" s="978"/>
      <c r="S679" s="978"/>
      <c r="T679" s="978"/>
      <c r="U679" s="978"/>
      <c r="V679" s="935"/>
      <c r="W679" s="972"/>
      <c r="X679" s="935"/>
      <c r="Y679" s="935"/>
      <c r="Z679" s="935"/>
      <c r="AA679" s="935"/>
    </row>
    <row r="680">
      <c r="A680" s="935"/>
      <c r="B680" s="972"/>
      <c r="C680" s="972"/>
      <c r="D680" s="972"/>
      <c r="E680" s="971"/>
      <c r="F680" s="167"/>
      <c r="G680" s="972"/>
      <c r="H680" s="973"/>
      <c r="I680" s="167"/>
      <c r="J680" s="167"/>
      <c r="K680" s="972"/>
      <c r="L680" s="972"/>
      <c r="M680" s="972"/>
      <c r="N680" s="972"/>
      <c r="O680" s="976"/>
      <c r="P680" s="978"/>
      <c r="Q680" s="978"/>
      <c r="R680" s="978"/>
      <c r="S680" s="978"/>
      <c r="T680" s="978"/>
      <c r="U680" s="978"/>
      <c r="V680" s="935"/>
      <c r="W680" s="972"/>
      <c r="X680" s="935"/>
      <c r="Y680" s="935"/>
      <c r="Z680" s="935"/>
      <c r="AA680" s="935"/>
    </row>
    <row r="681">
      <c r="A681" s="935"/>
      <c r="B681" s="972"/>
      <c r="C681" s="972"/>
      <c r="D681" s="972"/>
      <c r="E681" s="971"/>
      <c r="F681" s="167"/>
      <c r="G681" s="972"/>
      <c r="H681" s="973"/>
      <c r="I681" s="167"/>
      <c r="J681" s="167"/>
      <c r="K681" s="972"/>
      <c r="L681" s="972"/>
      <c r="M681" s="972"/>
      <c r="N681" s="972"/>
      <c r="O681" s="976"/>
      <c r="P681" s="978"/>
      <c r="Q681" s="978"/>
      <c r="R681" s="978"/>
      <c r="S681" s="978"/>
      <c r="T681" s="978"/>
      <c r="U681" s="978"/>
      <c r="V681" s="935"/>
      <c r="W681" s="972"/>
      <c r="X681" s="935"/>
      <c r="Y681" s="935"/>
      <c r="Z681" s="935"/>
      <c r="AA681" s="935"/>
    </row>
    <row r="682">
      <c r="A682" s="935"/>
      <c r="B682" s="972"/>
      <c r="C682" s="972"/>
      <c r="D682" s="972"/>
      <c r="E682" s="971"/>
      <c r="F682" s="167"/>
      <c r="G682" s="972"/>
      <c r="H682" s="973"/>
      <c r="I682" s="167"/>
      <c r="J682" s="167"/>
      <c r="K682" s="972"/>
      <c r="L682" s="972"/>
      <c r="M682" s="972"/>
      <c r="N682" s="972"/>
      <c r="O682" s="976"/>
      <c r="P682" s="978"/>
      <c r="Q682" s="978"/>
      <c r="R682" s="978"/>
      <c r="S682" s="978"/>
      <c r="T682" s="978"/>
      <c r="U682" s="978"/>
      <c r="V682" s="935"/>
      <c r="W682" s="972"/>
      <c r="X682" s="935"/>
      <c r="Y682" s="935"/>
      <c r="Z682" s="935"/>
      <c r="AA682" s="935"/>
    </row>
    <row r="683">
      <c r="A683" s="935"/>
      <c r="B683" s="972"/>
      <c r="C683" s="972"/>
      <c r="D683" s="972"/>
      <c r="E683" s="971"/>
      <c r="F683" s="167"/>
      <c r="G683" s="972"/>
      <c r="H683" s="973"/>
      <c r="I683" s="167"/>
      <c r="J683" s="167"/>
      <c r="K683" s="972"/>
      <c r="L683" s="972"/>
      <c r="M683" s="972"/>
      <c r="N683" s="972"/>
      <c r="O683" s="976"/>
      <c r="P683" s="978"/>
      <c r="Q683" s="978"/>
      <c r="R683" s="978"/>
      <c r="S683" s="978"/>
      <c r="T683" s="978"/>
      <c r="U683" s="978"/>
      <c r="V683" s="935"/>
      <c r="W683" s="972"/>
      <c r="X683" s="935"/>
      <c r="Y683" s="935"/>
      <c r="Z683" s="935"/>
      <c r="AA683" s="935"/>
    </row>
    <row r="684">
      <c r="A684" s="935"/>
      <c r="B684" s="972"/>
      <c r="C684" s="972"/>
      <c r="D684" s="972"/>
      <c r="E684" s="971"/>
      <c r="F684" s="167"/>
      <c r="G684" s="972"/>
      <c r="H684" s="973"/>
      <c r="I684" s="167"/>
      <c r="J684" s="167"/>
      <c r="K684" s="972"/>
      <c r="L684" s="972"/>
      <c r="M684" s="972"/>
      <c r="N684" s="972"/>
      <c r="O684" s="976"/>
      <c r="P684" s="978"/>
      <c r="Q684" s="978"/>
      <c r="R684" s="978"/>
      <c r="S684" s="978"/>
      <c r="T684" s="978"/>
      <c r="U684" s="978"/>
      <c r="V684" s="935"/>
      <c r="W684" s="972"/>
      <c r="X684" s="935"/>
      <c r="Y684" s="935"/>
      <c r="Z684" s="935"/>
      <c r="AA684" s="935"/>
    </row>
    <row r="685">
      <c r="A685" s="935"/>
      <c r="B685" s="972"/>
      <c r="C685" s="972"/>
      <c r="D685" s="972"/>
      <c r="E685" s="971"/>
      <c r="F685" s="167"/>
      <c r="G685" s="972"/>
      <c r="H685" s="973"/>
      <c r="I685" s="167"/>
      <c r="J685" s="167"/>
      <c r="K685" s="972"/>
      <c r="L685" s="972"/>
      <c r="M685" s="972"/>
      <c r="N685" s="972"/>
      <c r="O685" s="976"/>
      <c r="P685" s="978"/>
      <c r="Q685" s="978"/>
      <c r="R685" s="978"/>
      <c r="S685" s="978"/>
      <c r="T685" s="978"/>
      <c r="U685" s="978"/>
      <c r="V685" s="935"/>
      <c r="W685" s="972"/>
      <c r="X685" s="935"/>
      <c r="Y685" s="935"/>
      <c r="Z685" s="935"/>
      <c r="AA685" s="935"/>
    </row>
    <row r="686">
      <c r="A686" s="935"/>
      <c r="B686" s="972"/>
      <c r="C686" s="972"/>
      <c r="D686" s="972"/>
      <c r="E686" s="971"/>
      <c r="F686" s="167"/>
      <c r="G686" s="972"/>
      <c r="H686" s="973"/>
      <c r="I686" s="167"/>
      <c r="J686" s="167"/>
      <c r="K686" s="972"/>
      <c r="L686" s="972"/>
      <c r="M686" s="972"/>
      <c r="N686" s="972"/>
      <c r="O686" s="976"/>
      <c r="P686" s="978"/>
      <c r="Q686" s="978"/>
      <c r="R686" s="978"/>
      <c r="S686" s="978"/>
      <c r="T686" s="978"/>
      <c r="U686" s="978"/>
      <c r="V686" s="935"/>
      <c r="W686" s="972"/>
      <c r="X686" s="935"/>
      <c r="Y686" s="935"/>
      <c r="Z686" s="935"/>
      <c r="AA686" s="935"/>
    </row>
    <row r="687">
      <c r="A687" s="935"/>
      <c r="B687" s="972"/>
      <c r="C687" s="972"/>
      <c r="D687" s="972"/>
      <c r="E687" s="971"/>
      <c r="F687" s="167"/>
      <c r="G687" s="972"/>
      <c r="H687" s="973"/>
      <c r="I687" s="167"/>
      <c r="J687" s="167"/>
      <c r="K687" s="972"/>
      <c r="L687" s="972"/>
      <c r="M687" s="972"/>
      <c r="N687" s="972"/>
      <c r="O687" s="976"/>
      <c r="P687" s="978"/>
      <c r="Q687" s="978"/>
      <c r="R687" s="978"/>
      <c r="S687" s="978"/>
      <c r="T687" s="978"/>
      <c r="U687" s="978"/>
      <c r="V687" s="935"/>
      <c r="W687" s="972"/>
      <c r="X687" s="935"/>
      <c r="Y687" s="935"/>
      <c r="Z687" s="935"/>
      <c r="AA687" s="935"/>
    </row>
    <row r="688">
      <c r="A688" s="935"/>
      <c r="B688" s="972"/>
      <c r="C688" s="972"/>
      <c r="D688" s="972"/>
      <c r="E688" s="971"/>
      <c r="F688" s="167"/>
      <c r="G688" s="972"/>
      <c r="H688" s="973"/>
      <c r="I688" s="167"/>
      <c r="J688" s="167"/>
      <c r="K688" s="972"/>
      <c r="L688" s="972"/>
      <c r="M688" s="972"/>
      <c r="N688" s="972"/>
      <c r="O688" s="976"/>
      <c r="P688" s="978"/>
      <c r="Q688" s="978"/>
      <c r="R688" s="978"/>
      <c r="S688" s="978"/>
      <c r="T688" s="978"/>
      <c r="U688" s="978"/>
      <c r="V688" s="935"/>
      <c r="W688" s="972"/>
      <c r="X688" s="935"/>
      <c r="Y688" s="935"/>
      <c r="Z688" s="935"/>
      <c r="AA688" s="935"/>
    </row>
    <row r="689">
      <c r="A689" s="935"/>
      <c r="B689" s="972"/>
      <c r="C689" s="972"/>
      <c r="D689" s="972"/>
      <c r="E689" s="971"/>
      <c r="F689" s="167"/>
      <c r="G689" s="972"/>
      <c r="H689" s="973"/>
      <c r="I689" s="167"/>
      <c r="J689" s="167"/>
      <c r="K689" s="972"/>
      <c r="L689" s="972"/>
      <c r="M689" s="972"/>
      <c r="N689" s="972"/>
      <c r="O689" s="976"/>
      <c r="P689" s="978"/>
      <c r="Q689" s="978"/>
      <c r="R689" s="978"/>
      <c r="S689" s="978"/>
      <c r="T689" s="978"/>
      <c r="U689" s="978"/>
      <c r="V689" s="935"/>
      <c r="W689" s="972"/>
      <c r="X689" s="935"/>
      <c r="Y689" s="935"/>
      <c r="Z689" s="935"/>
      <c r="AA689" s="935"/>
    </row>
    <row r="690">
      <c r="A690" s="935"/>
      <c r="B690" s="972"/>
      <c r="C690" s="972"/>
      <c r="D690" s="972"/>
      <c r="E690" s="971"/>
      <c r="F690" s="167"/>
      <c r="G690" s="972"/>
      <c r="H690" s="973"/>
      <c r="I690" s="167"/>
      <c r="J690" s="167"/>
      <c r="K690" s="972"/>
      <c r="L690" s="972"/>
      <c r="M690" s="972"/>
      <c r="N690" s="972"/>
      <c r="O690" s="976"/>
      <c r="P690" s="978"/>
      <c r="Q690" s="978"/>
      <c r="R690" s="978"/>
      <c r="S690" s="978"/>
      <c r="T690" s="978"/>
      <c r="U690" s="978"/>
      <c r="V690" s="935"/>
      <c r="W690" s="972"/>
      <c r="X690" s="935"/>
      <c r="Y690" s="935"/>
      <c r="Z690" s="935"/>
      <c r="AA690" s="935"/>
    </row>
    <row r="691">
      <c r="A691" s="935"/>
      <c r="B691" s="972"/>
      <c r="C691" s="972"/>
      <c r="D691" s="972"/>
      <c r="E691" s="971"/>
      <c r="F691" s="167"/>
      <c r="G691" s="972"/>
      <c r="H691" s="973"/>
      <c r="I691" s="167"/>
      <c r="J691" s="167"/>
      <c r="K691" s="972"/>
      <c r="L691" s="972"/>
      <c r="M691" s="972"/>
      <c r="N691" s="972"/>
      <c r="O691" s="976"/>
      <c r="P691" s="978"/>
      <c r="Q691" s="978"/>
      <c r="R691" s="978"/>
      <c r="S691" s="978"/>
      <c r="T691" s="978"/>
      <c r="U691" s="978"/>
      <c r="V691" s="935"/>
      <c r="W691" s="972"/>
      <c r="X691" s="935"/>
      <c r="Y691" s="935"/>
      <c r="Z691" s="935"/>
      <c r="AA691" s="935"/>
    </row>
    <row r="692">
      <c r="A692" s="935"/>
      <c r="B692" s="972"/>
      <c r="C692" s="972"/>
      <c r="D692" s="972"/>
      <c r="E692" s="971"/>
      <c r="F692" s="167"/>
      <c r="G692" s="972"/>
      <c r="H692" s="973"/>
      <c r="I692" s="167"/>
      <c r="J692" s="167"/>
      <c r="K692" s="972"/>
      <c r="L692" s="972"/>
      <c r="M692" s="972"/>
      <c r="N692" s="972"/>
      <c r="O692" s="976"/>
      <c r="P692" s="978"/>
      <c r="Q692" s="978"/>
      <c r="R692" s="978"/>
      <c r="S692" s="978"/>
      <c r="T692" s="978"/>
      <c r="U692" s="978"/>
      <c r="V692" s="935"/>
      <c r="W692" s="972"/>
      <c r="X692" s="935"/>
      <c r="Y692" s="935"/>
      <c r="Z692" s="935"/>
      <c r="AA692" s="935"/>
    </row>
    <row r="693">
      <c r="A693" s="935"/>
      <c r="B693" s="972"/>
      <c r="C693" s="972"/>
      <c r="D693" s="972"/>
      <c r="E693" s="971"/>
      <c r="F693" s="167"/>
      <c r="G693" s="972"/>
      <c r="H693" s="973"/>
      <c r="I693" s="167"/>
      <c r="J693" s="167"/>
      <c r="K693" s="972"/>
      <c r="L693" s="972"/>
      <c r="M693" s="972"/>
      <c r="N693" s="972"/>
      <c r="O693" s="976"/>
      <c r="P693" s="978"/>
      <c r="Q693" s="978"/>
      <c r="R693" s="978"/>
      <c r="S693" s="978"/>
      <c r="T693" s="978"/>
      <c r="U693" s="978"/>
      <c r="V693" s="935"/>
      <c r="W693" s="972"/>
      <c r="X693" s="935"/>
      <c r="Y693" s="935"/>
      <c r="Z693" s="935"/>
      <c r="AA693" s="935"/>
    </row>
    <row r="694">
      <c r="A694" s="935"/>
      <c r="B694" s="972"/>
      <c r="C694" s="972"/>
      <c r="D694" s="972"/>
      <c r="E694" s="971"/>
      <c r="F694" s="167"/>
      <c r="G694" s="972"/>
      <c r="H694" s="973"/>
      <c r="I694" s="167"/>
      <c r="J694" s="167"/>
      <c r="K694" s="972"/>
      <c r="L694" s="972"/>
      <c r="M694" s="972"/>
      <c r="N694" s="972"/>
      <c r="O694" s="976"/>
      <c r="P694" s="978"/>
      <c r="Q694" s="978"/>
      <c r="R694" s="978"/>
      <c r="S694" s="978"/>
      <c r="T694" s="978"/>
      <c r="U694" s="978"/>
      <c r="V694" s="935"/>
      <c r="W694" s="972"/>
      <c r="X694" s="935"/>
      <c r="Y694" s="935"/>
      <c r="Z694" s="935"/>
      <c r="AA694" s="935"/>
    </row>
    <row r="695">
      <c r="A695" s="935"/>
      <c r="B695" s="972"/>
      <c r="C695" s="972"/>
      <c r="D695" s="972"/>
      <c r="E695" s="971"/>
      <c r="F695" s="167"/>
      <c r="G695" s="972"/>
      <c r="H695" s="973"/>
      <c r="I695" s="167"/>
      <c r="J695" s="167"/>
      <c r="K695" s="972"/>
      <c r="L695" s="972"/>
      <c r="M695" s="972"/>
      <c r="N695" s="972"/>
      <c r="O695" s="976"/>
      <c r="P695" s="978"/>
      <c r="Q695" s="978"/>
      <c r="R695" s="978"/>
      <c r="S695" s="978"/>
      <c r="T695" s="978"/>
      <c r="U695" s="978"/>
      <c r="V695" s="935"/>
      <c r="W695" s="972"/>
      <c r="X695" s="935"/>
      <c r="Y695" s="935"/>
      <c r="Z695" s="935"/>
      <c r="AA695" s="935"/>
    </row>
    <row r="696">
      <c r="A696" s="935"/>
      <c r="B696" s="972"/>
      <c r="C696" s="972"/>
      <c r="D696" s="972"/>
      <c r="E696" s="971"/>
      <c r="F696" s="167"/>
      <c r="G696" s="972"/>
      <c r="H696" s="973"/>
      <c r="I696" s="167"/>
      <c r="J696" s="167"/>
      <c r="K696" s="972"/>
      <c r="L696" s="972"/>
      <c r="M696" s="972"/>
      <c r="N696" s="972"/>
      <c r="O696" s="976"/>
      <c r="P696" s="978"/>
      <c r="Q696" s="978"/>
      <c r="R696" s="978"/>
      <c r="S696" s="978"/>
      <c r="T696" s="978"/>
      <c r="U696" s="978"/>
      <c r="V696" s="935"/>
      <c r="W696" s="972"/>
      <c r="X696" s="935"/>
      <c r="Y696" s="935"/>
      <c r="Z696" s="935"/>
      <c r="AA696" s="935"/>
    </row>
    <row r="697">
      <c r="A697" s="935"/>
      <c r="B697" s="972"/>
      <c r="C697" s="972"/>
      <c r="D697" s="972"/>
      <c r="E697" s="971"/>
      <c r="F697" s="167"/>
      <c r="G697" s="972"/>
      <c r="H697" s="973"/>
      <c r="I697" s="167"/>
      <c r="J697" s="167"/>
      <c r="K697" s="972"/>
      <c r="L697" s="972"/>
      <c r="M697" s="972"/>
      <c r="N697" s="972"/>
      <c r="O697" s="976"/>
      <c r="P697" s="978"/>
      <c r="Q697" s="978"/>
      <c r="R697" s="978"/>
      <c r="S697" s="978"/>
      <c r="T697" s="978"/>
      <c r="U697" s="978"/>
      <c r="V697" s="935"/>
      <c r="W697" s="972"/>
      <c r="X697" s="935"/>
      <c r="Y697" s="935"/>
      <c r="Z697" s="935"/>
      <c r="AA697" s="935"/>
    </row>
    <row r="698">
      <c r="A698" s="935"/>
      <c r="B698" s="972"/>
      <c r="C698" s="972"/>
      <c r="D698" s="972"/>
      <c r="E698" s="971"/>
      <c r="F698" s="167"/>
      <c r="G698" s="972"/>
      <c r="H698" s="973"/>
      <c r="I698" s="167"/>
      <c r="J698" s="167"/>
      <c r="K698" s="972"/>
      <c r="L698" s="972"/>
      <c r="M698" s="972"/>
      <c r="N698" s="972"/>
      <c r="O698" s="976"/>
      <c r="P698" s="978"/>
      <c r="Q698" s="978"/>
      <c r="R698" s="978"/>
      <c r="S698" s="978"/>
      <c r="T698" s="978"/>
      <c r="U698" s="978"/>
      <c r="V698" s="935"/>
      <c r="W698" s="972"/>
      <c r="X698" s="935"/>
      <c r="Y698" s="935"/>
      <c r="Z698" s="935"/>
      <c r="AA698" s="935"/>
    </row>
    <row r="699">
      <c r="A699" s="935"/>
      <c r="B699" s="972"/>
      <c r="C699" s="972"/>
      <c r="D699" s="972"/>
      <c r="E699" s="971"/>
      <c r="F699" s="167"/>
      <c r="G699" s="972"/>
      <c r="H699" s="973"/>
      <c r="I699" s="167"/>
      <c r="J699" s="167"/>
      <c r="K699" s="972"/>
      <c r="L699" s="972"/>
      <c r="M699" s="972"/>
      <c r="N699" s="972"/>
      <c r="O699" s="976"/>
      <c r="P699" s="978"/>
      <c r="Q699" s="978"/>
      <c r="R699" s="978"/>
      <c r="S699" s="978"/>
      <c r="T699" s="978"/>
      <c r="U699" s="978"/>
      <c r="V699" s="935"/>
      <c r="W699" s="972"/>
      <c r="X699" s="935"/>
      <c r="Y699" s="935"/>
      <c r="Z699" s="935"/>
      <c r="AA699" s="935"/>
    </row>
    <row r="700">
      <c r="A700" s="935"/>
      <c r="B700" s="972"/>
      <c r="C700" s="972"/>
      <c r="D700" s="972"/>
      <c r="E700" s="971"/>
      <c r="F700" s="167"/>
      <c r="G700" s="972"/>
      <c r="H700" s="973"/>
      <c r="I700" s="167"/>
      <c r="J700" s="167"/>
      <c r="K700" s="972"/>
      <c r="L700" s="972"/>
      <c r="M700" s="972"/>
      <c r="N700" s="972"/>
      <c r="O700" s="976"/>
      <c r="P700" s="978"/>
      <c r="Q700" s="978"/>
      <c r="R700" s="978"/>
      <c r="S700" s="978"/>
      <c r="T700" s="978"/>
      <c r="U700" s="978"/>
      <c r="V700" s="935"/>
      <c r="W700" s="972"/>
      <c r="X700" s="935"/>
      <c r="Y700" s="935"/>
      <c r="Z700" s="935"/>
      <c r="AA700" s="935"/>
    </row>
    <row r="701">
      <c r="A701" s="935"/>
      <c r="B701" s="972"/>
      <c r="C701" s="972"/>
      <c r="D701" s="972"/>
      <c r="E701" s="971"/>
      <c r="F701" s="167"/>
      <c r="G701" s="972"/>
      <c r="H701" s="973"/>
      <c r="I701" s="167"/>
      <c r="J701" s="167"/>
      <c r="K701" s="972"/>
      <c r="L701" s="972"/>
      <c r="M701" s="972"/>
      <c r="N701" s="972"/>
      <c r="O701" s="976"/>
      <c r="P701" s="978"/>
      <c r="Q701" s="978"/>
      <c r="R701" s="978"/>
      <c r="S701" s="978"/>
      <c r="T701" s="978"/>
      <c r="U701" s="978"/>
      <c r="V701" s="935"/>
      <c r="W701" s="972"/>
      <c r="X701" s="935"/>
      <c r="Y701" s="935"/>
      <c r="Z701" s="935"/>
      <c r="AA701" s="935"/>
    </row>
    <row r="702">
      <c r="A702" s="935"/>
      <c r="B702" s="972"/>
      <c r="C702" s="972"/>
      <c r="D702" s="972"/>
      <c r="E702" s="971"/>
      <c r="F702" s="167"/>
      <c r="G702" s="972"/>
      <c r="H702" s="973"/>
      <c r="I702" s="167"/>
      <c r="J702" s="167"/>
      <c r="K702" s="972"/>
      <c r="L702" s="972"/>
      <c r="M702" s="972"/>
      <c r="N702" s="972"/>
      <c r="O702" s="976"/>
      <c r="P702" s="978"/>
      <c r="Q702" s="978"/>
      <c r="R702" s="978"/>
      <c r="S702" s="978"/>
      <c r="T702" s="978"/>
      <c r="U702" s="978"/>
      <c r="V702" s="935"/>
      <c r="W702" s="972"/>
      <c r="X702" s="935"/>
      <c r="Y702" s="935"/>
      <c r="Z702" s="935"/>
      <c r="AA702" s="935"/>
    </row>
    <row r="703">
      <c r="A703" s="935"/>
      <c r="B703" s="972"/>
      <c r="C703" s="972"/>
      <c r="D703" s="972"/>
      <c r="E703" s="971"/>
      <c r="F703" s="167"/>
      <c r="G703" s="972"/>
      <c r="H703" s="973"/>
      <c r="I703" s="167"/>
      <c r="J703" s="167"/>
      <c r="K703" s="972"/>
      <c r="L703" s="972"/>
      <c r="M703" s="972"/>
      <c r="N703" s="972"/>
      <c r="O703" s="976"/>
      <c r="P703" s="978"/>
      <c r="Q703" s="978"/>
      <c r="R703" s="978"/>
      <c r="S703" s="978"/>
      <c r="T703" s="978"/>
      <c r="U703" s="978"/>
      <c r="V703" s="935"/>
      <c r="W703" s="972"/>
      <c r="X703" s="935"/>
      <c r="Y703" s="935"/>
      <c r="Z703" s="935"/>
      <c r="AA703" s="935"/>
    </row>
    <row r="704">
      <c r="A704" s="935"/>
      <c r="B704" s="972"/>
      <c r="C704" s="972"/>
      <c r="D704" s="972"/>
      <c r="E704" s="971"/>
      <c r="F704" s="167"/>
      <c r="G704" s="972"/>
      <c r="H704" s="973"/>
      <c r="I704" s="167"/>
      <c r="J704" s="167"/>
      <c r="K704" s="972"/>
      <c r="L704" s="972"/>
      <c r="M704" s="972"/>
      <c r="N704" s="972"/>
      <c r="O704" s="976"/>
      <c r="P704" s="978"/>
      <c r="Q704" s="978"/>
      <c r="R704" s="978"/>
      <c r="S704" s="978"/>
      <c r="T704" s="978"/>
      <c r="U704" s="978"/>
      <c r="V704" s="935"/>
      <c r="W704" s="972"/>
      <c r="X704" s="935"/>
      <c r="Y704" s="935"/>
      <c r="Z704" s="935"/>
      <c r="AA704" s="935"/>
    </row>
    <row r="705">
      <c r="A705" s="935"/>
      <c r="B705" s="972"/>
      <c r="C705" s="972"/>
      <c r="D705" s="972"/>
      <c r="E705" s="971"/>
      <c r="F705" s="167"/>
      <c r="G705" s="972"/>
      <c r="H705" s="973"/>
      <c r="I705" s="167"/>
      <c r="J705" s="167"/>
      <c r="K705" s="972"/>
      <c r="L705" s="972"/>
      <c r="M705" s="972"/>
      <c r="N705" s="972"/>
      <c r="O705" s="976"/>
      <c r="P705" s="978"/>
      <c r="Q705" s="978"/>
      <c r="R705" s="978"/>
      <c r="S705" s="978"/>
      <c r="T705" s="978"/>
      <c r="U705" s="978"/>
      <c r="V705" s="935"/>
      <c r="W705" s="972"/>
      <c r="X705" s="935"/>
      <c r="Y705" s="935"/>
      <c r="Z705" s="935"/>
      <c r="AA705" s="935"/>
    </row>
    <row r="706">
      <c r="A706" s="935"/>
      <c r="B706" s="972"/>
      <c r="C706" s="972"/>
      <c r="D706" s="972"/>
      <c r="E706" s="971"/>
      <c r="F706" s="167"/>
      <c r="G706" s="972"/>
      <c r="H706" s="973"/>
      <c r="I706" s="167"/>
      <c r="J706" s="167"/>
      <c r="K706" s="972"/>
      <c r="L706" s="972"/>
      <c r="M706" s="972"/>
      <c r="N706" s="972"/>
      <c r="O706" s="976"/>
      <c r="P706" s="978"/>
      <c r="Q706" s="978"/>
      <c r="R706" s="978"/>
      <c r="S706" s="978"/>
      <c r="T706" s="978"/>
      <c r="U706" s="978"/>
      <c r="V706" s="935"/>
      <c r="W706" s="972"/>
      <c r="X706" s="935"/>
      <c r="Y706" s="935"/>
      <c r="Z706" s="935"/>
      <c r="AA706" s="935"/>
    </row>
    <row r="707">
      <c r="A707" s="935"/>
      <c r="B707" s="972"/>
      <c r="C707" s="972"/>
      <c r="D707" s="972"/>
      <c r="E707" s="971"/>
      <c r="F707" s="167"/>
      <c r="G707" s="972"/>
      <c r="H707" s="973"/>
      <c r="I707" s="167"/>
      <c r="J707" s="167"/>
      <c r="K707" s="972"/>
      <c r="L707" s="972"/>
      <c r="M707" s="972"/>
      <c r="N707" s="972"/>
      <c r="O707" s="976"/>
      <c r="P707" s="978"/>
      <c r="Q707" s="978"/>
      <c r="R707" s="978"/>
      <c r="S707" s="978"/>
      <c r="T707" s="978"/>
      <c r="U707" s="978"/>
      <c r="V707" s="935"/>
      <c r="W707" s="972"/>
      <c r="X707" s="935"/>
      <c r="Y707" s="935"/>
      <c r="Z707" s="935"/>
      <c r="AA707" s="935"/>
    </row>
    <row r="708">
      <c r="A708" s="935"/>
      <c r="B708" s="972"/>
      <c r="C708" s="972"/>
      <c r="D708" s="972"/>
      <c r="E708" s="971"/>
      <c r="F708" s="167"/>
      <c r="G708" s="972"/>
      <c r="H708" s="973"/>
      <c r="I708" s="167"/>
      <c r="J708" s="167"/>
      <c r="K708" s="972"/>
      <c r="L708" s="972"/>
      <c r="M708" s="972"/>
      <c r="N708" s="972"/>
      <c r="O708" s="976"/>
      <c r="P708" s="978"/>
      <c r="Q708" s="978"/>
      <c r="R708" s="978"/>
      <c r="S708" s="978"/>
      <c r="T708" s="978"/>
      <c r="U708" s="978"/>
      <c r="V708" s="935"/>
      <c r="W708" s="972"/>
      <c r="X708" s="935"/>
      <c r="Y708" s="935"/>
      <c r="Z708" s="935"/>
      <c r="AA708" s="935"/>
    </row>
    <row r="709">
      <c r="A709" s="935"/>
      <c r="B709" s="972"/>
      <c r="C709" s="972"/>
      <c r="D709" s="972"/>
      <c r="E709" s="971"/>
      <c r="F709" s="167"/>
      <c r="G709" s="972"/>
      <c r="H709" s="973"/>
      <c r="I709" s="167"/>
      <c r="J709" s="167"/>
      <c r="K709" s="972"/>
      <c r="L709" s="972"/>
      <c r="M709" s="972"/>
      <c r="N709" s="972"/>
      <c r="O709" s="976"/>
      <c r="P709" s="978"/>
      <c r="Q709" s="978"/>
      <c r="R709" s="978"/>
      <c r="S709" s="978"/>
      <c r="T709" s="978"/>
      <c r="U709" s="978"/>
      <c r="V709" s="935"/>
      <c r="W709" s="972"/>
      <c r="X709" s="935"/>
      <c r="Y709" s="935"/>
      <c r="Z709" s="935"/>
      <c r="AA709" s="935"/>
    </row>
    <row r="710">
      <c r="A710" s="935"/>
      <c r="B710" s="972"/>
      <c r="C710" s="972"/>
      <c r="D710" s="972"/>
      <c r="E710" s="971"/>
      <c r="F710" s="167"/>
      <c r="G710" s="972"/>
      <c r="H710" s="973"/>
      <c r="I710" s="167"/>
      <c r="J710" s="167"/>
      <c r="K710" s="972"/>
      <c r="L710" s="972"/>
      <c r="M710" s="972"/>
      <c r="N710" s="972"/>
      <c r="O710" s="976"/>
      <c r="P710" s="978"/>
      <c r="Q710" s="978"/>
      <c r="R710" s="978"/>
      <c r="S710" s="978"/>
      <c r="T710" s="978"/>
      <c r="U710" s="978"/>
      <c r="V710" s="935"/>
      <c r="W710" s="972"/>
      <c r="X710" s="935"/>
      <c r="Y710" s="935"/>
      <c r="Z710" s="935"/>
      <c r="AA710" s="935"/>
    </row>
    <row r="711">
      <c r="A711" s="935"/>
      <c r="B711" s="972"/>
      <c r="C711" s="972"/>
      <c r="D711" s="972"/>
      <c r="E711" s="971"/>
      <c r="F711" s="167"/>
      <c r="G711" s="972"/>
      <c r="H711" s="973"/>
      <c r="I711" s="167"/>
      <c r="J711" s="167"/>
      <c r="K711" s="972"/>
      <c r="L711" s="972"/>
      <c r="M711" s="972"/>
      <c r="N711" s="972"/>
      <c r="O711" s="976"/>
      <c r="P711" s="978"/>
      <c r="Q711" s="978"/>
      <c r="R711" s="978"/>
      <c r="S711" s="978"/>
      <c r="T711" s="978"/>
      <c r="U711" s="978"/>
      <c r="V711" s="935"/>
      <c r="W711" s="972"/>
      <c r="X711" s="935"/>
      <c r="Y711" s="935"/>
      <c r="Z711" s="935"/>
      <c r="AA711" s="935"/>
    </row>
    <row r="712">
      <c r="A712" s="935"/>
      <c r="B712" s="972"/>
      <c r="C712" s="972"/>
      <c r="D712" s="972"/>
      <c r="E712" s="971"/>
      <c r="F712" s="167"/>
      <c r="G712" s="972"/>
      <c r="H712" s="973"/>
      <c r="I712" s="167"/>
      <c r="J712" s="167"/>
      <c r="K712" s="972"/>
      <c r="L712" s="972"/>
      <c r="M712" s="972"/>
      <c r="N712" s="972"/>
      <c r="O712" s="976"/>
      <c r="P712" s="978"/>
      <c r="Q712" s="978"/>
      <c r="R712" s="978"/>
      <c r="S712" s="978"/>
      <c r="T712" s="978"/>
      <c r="U712" s="978"/>
      <c r="V712" s="935"/>
      <c r="W712" s="972"/>
      <c r="X712" s="935"/>
      <c r="Y712" s="935"/>
      <c r="Z712" s="935"/>
      <c r="AA712" s="935"/>
    </row>
    <row r="713">
      <c r="A713" s="935"/>
      <c r="B713" s="972"/>
      <c r="C713" s="972"/>
      <c r="D713" s="972"/>
      <c r="E713" s="971"/>
      <c r="F713" s="167"/>
      <c r="G713" s="972"/>
      <c r="H713" s="973"/>
      <c r="I713" s="167"/>
      <c r="J713" s="167"/>
      <c r="K713" s="972"/>
      <c r="L713" s="972"/>
      <c r="M713" s="972"/>
      <c r="N713" s="972"/>
      <c r="O713" s="976"/>
      <c r="P713" s="978"/>
      <c r="Q713" s="978"/>
      <c r="R713" s="978"/>
      <c r="S713" s="978"/>
      <c r="T713" s="978"/>
      <c r="U713" s="978"/>
      <c r="V713" s="935"/>
      <c r="W713" s="972"/>
      <c r="X713" s="935"/>
      <c r="Y713" s="935"/>
      <c r="Z713" s="935"/>
      <c r="AA713" s="935"/>
    </row>
    <row r="714">
      <c r="A714" s="935"/>
      <c r="B714" s="972"/>
      <c r="C714" s="972"/>
      <c r="D714" s="972"/>
      <c r="E714" s="971"/>
      <c r="F714" s="167"/>
      <c r="G714" s="972"/>
      <c r="H714" s="973"/>
      <c r="I714" s="167"/>
      <c r="J714" s="167"/>
      <c r="K714" s="972"/>
      <c r="L714" s="972"/>
      <c r="M714" s="972"/>
      <c r="N714" s="972"/>
      <c r="O714" s="976"/>
      <c r="P714" s="978"/>
      <c r="Q714" s="978"/>
      <c r="R714" s="978"/>
      <c r="S714" s="978"/>
      <c r="T714" s="978"/>
      <c r="U714" s="978"/>
      <c r="V714" s="935"/>
      <c r="W714" s="972"/>
      <c r="X714" s="935"/>
      <c r="Y714" s="935"/>
      <c r="Z714" s="935"/>
      <c r="AA714" s="935"/>
    </row>
    <row r="715">
      <c r="A715" s="935"/>
      <c r="B715" s="972"/>
      <c r="C715" s="972"/>
      <c r="D715" s="972"/>
      <c r="E715" s="971"/>
      <c r="F715" s="167"/>
      <c r="G715" s="972"/>
      <c r="H715" s="973"/>
      <c r="I715" s="167"/>
      <c r="J715" s="167"/>
      <c r="K715" s="972"/>
      <c r="L715" s="972"/>
      <c r="M715" s="972"/>
      <c r="N715" s="972"/>
      <c r="O715" s="976"/>
      <c r="P715" s="978"/>
      <c r="Q715" s="978"/>
      <c r="R715" s="978"/>
      <c r="S715" s="978"/>
      <c r="T715" s="978"/>
      <c r="U715" s="978"/>
      <c r="V715" s="935"/>
      <c r="W715" s="972"/>
      <c r="X715" s="935"/>
      <c r="Y715" s="935"/>
      <c r="Z715" s="935"/>
      <c r="AA715" s="935"/>
    </row>
    <row r="716">
      <c r="A716" s="935"/>
      <c r="B716" s="972"/>
      <c r="C716" s="972"/>
      <c r="D716" s="972"/>
      <c r="E716" s="971"/>
      <c r="F716" s="167"/>
      <c r="G716" s="972"/>
      <c r="H716" s="973"/>
      <c r="I716" s="167"/>
      <c r="J716" s="167"/>
      <c r="K716" s="972"/>
      <c r="L716" s="972"/>
      <c r="M716" s="972"/>
      <c r="N716" s="972"/>
      <c r="O716" s="976"/>
      <c r="P716" s="978"/>
      <c r="Q716" s="978"/>
      <c r="R716" s="978"/>
      <c r="S716" s="978"/>
      <c r="T716" s="978"/>
      <c r="U716" s="978"/>
      <c r="V716" s="935"/>
      <c r="W716" s="972"/>
      <c r="X716" s="935"/>
      <c r="Y716" s="935"/>
      <c r="Z716" s="935"/>
      <c r="AA716" s="935"/>
    </row>
    <row r="717">
      <c r="A717" s="935"/>
      <c r="B717" s="972"/>
      <c r="C717" s="972"/>
      <c r="D717" s="972"/>
      <c r="E717" s="971"/>
      <c r="F717" s="167"/>
      <c r="G717" s="972"/>
      <c r="H717" s="973"/>
      <c r="I717" s="167"/>
      <c r="J717" s="167"/>
      <c r="K717" s="972"/>
      <c r="L717" s="972"/>
      <c r="M717" s="972"/>
      <c r="N717" s="972"/>
      <c r="O717" s="976"/>
      <c r="P717" s="978"/>
      <c r="Q717" s="978"/>
      <c r="R717" s="978"/>
      <c r="S717" s="978"/>
      <c r="T717" s="978"/>
      <c r="U717" s="978"/>
      <c r="V717" s="935"/>
      <c r="W717" s="972"/>
      <c r="X717" s="935"/>
      <c r="Y717" s="935"/>
      <c r="Z717" s="935"/>
      <c r="AA717" s="935"/>
    </row>
    <row r="718">
      <c r="A718" s="935"/>
      <c r="B718" s="972"/>
      <c r="C718" s="972"/>
      <c r="D718" s="972"/>
      <c r="E718" s="971"/>
      <c r="F718" s="167"/>
      <c r="G718" s="972"/>
      <c r="H718" s="973"/>
      <c r="I718" s="167"/>
      <c r="J718" s="167"/>
      <c r="K718" s="972"/>
      <c r="L718" s="972"/>
      <c r="M718" s="972"/>
      <c r="N718" s="972"/>
      <c r="O718" s="976"/>
      <c r="P718" s="978"/>
      <c r="Q718" s="978"/>
      <c r="R718" s="978"/>
      <c r="S718" s="978"/>
      <c r="T718" s="978"/>
      <c r="U718" s="978"/>
      <c r="V718" s="935"/>
      <c r="W718" s="972"/>
      <c r="X718" s="935"/>
      <c r="Y718" s="935"/>
      <c r="Z718" s="935"/>
      <c r="AA718" s="935"/>
    </row>
    <row r="719">
      <c r="A719" s="935"/>
      <c r="B719" s="972"/>
      <c r="C719" s="972"/>
      <c r="D719" s="972"/>
      <c r="E719" s="971"/>
      <c r="F719" s="167"/>
      <c r="G719" s="972"/>
      <c r="H719" s="973"/>
      <c r="I719" s="167"/>
      <c r="J719" s="167"/>
      <c r="K719" s="972"/>
      <c r="L719" s="972"/>
      <c r="M719" s="972"/>
      <c r="N719" s="972"/>
      <c r="O719" s="976"/>
      <c r="P719" s="978"/>
      <c r="Q719" s="978"/>
      <c r="R719" s="978"/>
      <c r="S719" s="978"/>
      <c r="T719" s="978"/>
      <c r="U719" s="978"/>
      <c r="V719" s="935"/>
      <c r="W719" s="972"/>
      <c r="X719" s="935"/>
      <c r="Y719" s="935"/>
      <c r="Z719" s="935"/>
      <c r="AA719" s="935"/>
    </row>
    <row r="720">
      <c r="A720" s="935"/>
      <c r="B720" s="972"/>
      <c r="C720" s="972"/>
      <c r="D720" s="972"/>
      <c r="E720" s="971"/>
      <c r="F720" s="167"/>
      <c r="G720" s="972"/>
      <c r="H720" s="973"/>
      <c r="I720" s="167"/>
      <c r="J720" s="167"/>
      <c r="K720" s="972"/>
      <c r="L720" s="972"/>
      <c r="M720" s="972"/>
      <c r="N720" s="972"/>
      <c r="O720" s="976"/>
      <c r="P720" s="978"/>
      <c r="Q720" s="978"/>
      <c r="R720" s="978"/>
      <c r="S720" s="978"/>
      <c r="T720" s="978"/>
      <c r="U720" s="978"/>
      <c r="V720" s="935"/>
      <c r="W720" s="972"/>
      <c r="X720" s="935"/>
      <c r="Y720" s="935"/>
      <c r="Z720" s="935"/>
      <c r="AA720" s="935"/>
    </row>
    <row r="721">
      <c r="A721" s="935"/>
      <c r="B721" s="972"/>
      <c r="C721" s="972"/>
      <c r="D721" s="972"/>
      <c r="E721" s="971"/>
      <c r="F721" s="167"/>
      <c r="G721" s="972"/>
      <c r="H721" s="973"/>
      <c r="I721" s="167"/>
      <c r="J721" s="167"/>
      <c r="K721" s="972"/>
      <c r="L721" s="972"/>
      <c r="M721" s="972"/>
      <c r="N721" s="972"/>
      <c r="O721" s="976"/>
      <c r="P721" s="978"/>
      <c r="Q721" s="978"/>
      <c r="R721" s="978"/>
      <c r="S721" s="978"/>
      <c r="T721" s="978"/>
      <c r="U721" s="978"/>
      <c r="V721" s="935"/>
      <c r="W721" s="972"/>
      <c r="X721" s="935"/>
      <c r="Y721" s="935"/>
      <c r="Z721" s="935"/>
      <c r="AA721" s="935"/>
    </row>
    <row r="722">
      <c r="A722" s="935"/>
      <c r="B722" s="972"/>
      <c r="C722" s="972"/>
      <c r="D722" s="972"/>
      <c r="E722" s="971"/>
      <c r="F722" s="167"/>
      <c r="G722" s="972"/>
      <c r="H722" s="973"/>
      <c r="I722" s="167"/>
      <c r="J722" s="167"/>
      <c r="K722" s="972"/>
      <c r="L722" s="972"/>
      <c r="M722" s="972"/>
      <c r="N722" s="972"/>
      <c r="O722" s="976"/>
      <c r="P722" s="978"/>
      <c r="Q722" s="978"/>
      <c r="R722" s="978"/>
      <c r="S722" s="978"/>
      <c r="T722" s="978"/>
      <c r="U722" s="978"/>
      <c r="V722" s="935"/>
      <c r="W722" s="972"/>
      <c r="X722" s="935"/>
      <c r="Y722" s="935"/>
      <c r="Z722" s="935"/>
      <c r="AA722" s="935"/>
    </row>
    <row r="723">
      <c r="A723" s="935"/>
      <c r="B723" s="972"/>
      <c r="C723" s="972"/>
      <c r="D723" s="972"/>
      <c r="E723" s="971"/>
      <c r="F723" s="167"/>
      <c r="G723" s="972"/>
      <c r="H723" s="973"/>
      <c r="I723" s="167"/>
      <c r="J723" s="167"/>
      <c r="K723" s="972"/>
      <c r="L723" s="972"/>
      <c r="M723" s="972"/>
      <c r="N723" s="972"/>
      <c r="O723" s="976"/>
      <c r="P723" s="978"/>
      <c r="Q723" s="978"/>
      <c r="R723" s="978"/>
      <c r="S723" s="978"/>
      <c r="T723" s="978"/>
      <c r="U723" s="978"/>
      <c r="V723" s="935"/>
      <c r="W723" s="972"/>
      <c r="X723" s="935"/>
      <c r="Y723" s="935"/>
      <c r="Z723" s="935"/>
      <c r="AA723" s="935"/>
    </row>
    <row r="724">
      <c r="A724" s="935"/>
      <c r="B724" s="972"/>
      <c r="C724" s="972"/>
      <c r="D724" s="972"/>
      <c r="E724" s="971"/>
      <c r="F724" s="167"/>
      <c r="G724" s="972"/>
      <c r="H724" s="973"/>
      <c r="I724" s="167"/>
      <c r="J724" s="167"/>
      <c r="K724" s="972"/>
      <c r="L724" s="972"/>
      <c r="M724" s="972"/>
      <c r="N724" s="972"/>
      <c r="O724" s="976"/>
      <c r="P724" s="978"/>
      <c r="Q724" s="978"/>
      <c r="R724" s="978"/>
      <c r="S724" s="978"/>
      <c r="T724" s="978"/>
      <c r="U724" s="978"/>
      <c r="V724" s="935"/>
      <c r="W724" s="972"/>
      <c r="X724" s="935"/>
      <c r="Y724" s="935"/>
      <c r="Z724" s="935"/>
      <c r="AA724" s="935"/>
    </row>
    <row r="725">
      <c r="A725" s="935"/>
      <c r="B725" s="972"/>
      <c r="C725" s="972"/>
      <c r="D725" s="972"/>
      <c r="E725" s="971"/>
      <c r="F725" s="167"/>
      <c r="G725" s="972"/>
      <c r="H725" s="973"/>
      <c r="I725" s="167"/>
      <c r="J725" s="167"/>
      <c r="K725" s="972"/>
      <c r="L725" s="972"/>
      <c r="M725" s="972"/>
      <c r="N725" s="972"/>
      <c r="O725" s="976"/>
      <c r="P725" s="978"/>
      <c r="Q725" s="978"/>
      <c r="R725" s="978"/>
      <c r="S725" s="978"/>
      <c r="T725" s="978"/>
      <c r="U725" s="978"/>
      <c r="V725" s="935"/>
      <c r="W725" s="972"/>
      <c r="X725" s="935"/>
      <c r="Y725" s="935"/>
      <c r="Z725" s="935"/>
      <c r="AA725" s="935"/>
    </row>
    <row r="726">
      <c r="A726" s="935"/>
      <c r="B726" s="972"/>
      <c r="C726" s="972"/>
      <c r="D726" s="972"/>
      <c r="E726" s="971"/>
      <c r="F726" s="167"/>
      <c r="G726" s="972"/>
      <c r="H726" s="973"/>
      <c r="I726" s="167"/>
      <c r="J726" s="167"/>
      <c r="K726" s="972"/>
      <c r="L726" s="972"/>
      <c r="M726" s="972"/>
      <c r="N726" s="972"/>
      <c r="O726" s="976"/>
      <c r="P726" s="978"/>
      <c r="Q726" s="978"/>
      <c r="R726" s="978"/>
      <c r="S726" s="978"/>
      <c r="T726" s="978"/>
      <c r="U726" s="978"/>
      <c r="V726" s="935"/>
      <c r="W726" s="972"/>
      <c r="X726" s="935"/>
      <c r="Y726" s="935"/>
      <c r="Z726" s="935"/>
      <c r="AA726" s="935"/>
    </row>
    <row r="727">
      <c r="A727" s="935"/>
      <c r="B727" s="972"/>
      <c r="C727" s="972"/>
      <c r="D727" s="972"/>
      <c r="E727" s="971"/>
      <c r="F727" s="167"/>
      <c r="G727" s="972"/>
      <c r="H727" s="973"/>
      <c r="I727" s="167"/>
      <c r="J727" s="167"/>
      <c r="K727" s="972"/>
      <c r="L727" s="972"/>
      <c r="M727" s="972"/>
      <c r="N727" s="972"/>
      <c r="O727" s="976"/>
      <c r="P727" s="978"/>
      <c r="Q727" s="978"/>
      <c r="R727" s="978"/>
      <c r="S727" s="978"/>
      <c r="T727" s="978"/>
      <c r="U727" s="978"/>
      <c r="V727" s="935"/>
      <c r="W727" s="972"/>
      <c r="X727" s="935"/>
      <c r="Y727" s="935"/>
      <c r="Z727" s="935"/>
      <c r="AA727" s="935"/>
    </row>
    <row r="728">
      <c r="A728" s="935"/>
      <c r="B728" s="972"/>
      <c r="C728" s="972"/>
      <c r="D728" s="972"/>
      <c r="E728" s="971"/>
      <c r="F728" s="167"/>
      <c r="G728" s="972"/>
      <c r="H728" s="973"/>
      <c r="I728" s="167"/>
      <c r="J728" s="167"/>
      <c r="K728" s="972"/>
      <c r="L728" s="972"/>
      <c r="M728" s="972"/>
      <c r="N728" s="972"/>
      <c r="O728" s="976"/>
      <c r="P728" s="978"/>
      <c r="Q728" s="978"/>
      <c r="R728" s="978"/>
      <c r="S728" s="978"/>
      <c r="T728" s="978"/>
      <c r="U728" s="978"/>
      <c r="V728" s="935"/>
      <c r="W728" s="972"/>
      <c r="X728" s="935"/>
      <c r="Y728" s="935"/>
      <c r="Z728" s="935"/>
      <c r="AA728" s="935"/>
    </row>
    <row r="729">
      <c r="A729" s="935"/>
      <c r="B729" s="972"/>
      <c r="C729" s="972"/>
      <c r="D729" s="972"/>
      <c r="E729" s="971"/>
      <c r="F729" s="167"/>
      <c r="G729" s="972"/>
      <c r="H729" s="973"/>
      <c r="I729" s="167"/>
      <c r="J729" s="167"/>
      <c r="K729" s="972"/>
      <c r="L729" s="972"/>
      <c r="M729" s="972"/>
      <c r="N729" s="972"/>
      <c r="O729" s="976"/>
      <c r="P729" s="978"/>
      <c r="Q729" s="978"/>
      <c r="R729" s="978"/>
      <c r="S729" s="978"/>
      <c r="T729" s="978"/>
      <c r="U729" s="978"/>
      <c r="V729" s="935"/>
      <c r="W729" s="972"/>
      <c r="X729" s="935"/>
      <c r="Y729" s="935"/>
      <c r="Z729" s="935"/>
      <c r="AA729" s="935"/>
    </row>
    <row r="730">
      <c r="A730" s="935"/>
      <c r="B730" s="972"/>
      <c r="C730" s="972"/>
      <c r="D730" s="972"/>
      <c r="E730" s="971"/>
      <c r="F730" s="167"/>
      <c r="G730" s="972"/>
      <c r="H730" s="973"/>
      <c r="I730" s="167"/>
      <c r="J730" s="167"/>
      <c r="K730" s="972"/>
      <c r="L730" s="972"/>
      <c r="M730" s="972"/>
      <c r="N730" s="972"/>
      <c r="O730" s="976"/>
      <c r="P730" s="978"/>
      <c r="Q730" s="978"/>
      <c r="R730" s="978"/>
      <c r="S730" s="978"/>
      <c r="T730" s="978"/>
      <c r="U730" s="978"/>
      <c r="V730" s="935"/>
      <c r="W730" s="972"/>
      <c r="X730" s="935"/>
      <c r="Y730" s="935"/>
      <c r="Z730" s="935"/>
      <c r="AA730" s="935"/>
    </row>
    <row r="731">
      <c r="A731" s="935"/>
      <c r="B731" s="972"/>
      <c r="C731" s="972"/>
      <c r="D731" s="972"/>
      <c r="E731" s="971"/>
      <c r="F731" s="167"/>
      <c r="G731" s="972"/>
      <c r="H731" s="973"/>
      <c r="I731" s="167"/>
      <c r="J731" s="167"/>
      <c r="K731" s="972"/>
      <c r="L731" s="972"/>
      <c r="M731" s="972"/>
      <c r="N731" s="972"/>
      <c r="O731" s="976"/>
      <c r="P731" s="978"/>
      <c r="Q731" s="978"/>
      <c r="R731" s="978"/>
      <c r="S731" s="978"/>
      <c r="T731" s="978"/>
      <c r="U731" s="978"/>
      <c r="V731" s="935"/>
      <c r="W731" s="972"/>
      <c r="X731" s="935"/>
      <c r="Y731" s="935"/>
      <c r="Z731" s="935"/>
      <c r="AA731" s="935"/>
    </row>
    <row r="732">
      <c r="A732" s="935"/>
      <c r="B732" s="972"/>
      <c r="C732" s="972"/>
      <c r="D732" s="972"/>
      <c r="E732" s="971"/>
      <c r="F732" s="167"/>
      <c r="G732" s="972"/>
      <c r="H732" s="973"/>
      <c r="I732" s="167"/>
      <c r="J732" s="167"/>
      <c r="K732" s="972"/>
      <c r="L732" s="972"/>
      <c r="M732" s="972"/>
      <c r="N732" s="972"/>
      <c r="O732" s="976"/>
      <c r="P732" s="978"/>
      <c r="Q732" s="978"/>
      <c r="R732" s="978"/>
      <c r="S732" s="978"/>
      <c r="T732" s="978"/>
      <c r="U732" s="978"/>
      <c r="V732" s="935"/>
      <c r="W732" s="972"/>
      <c r="X732" s="935"/>
      <c r="Y732" s="935"/>
      <c r="Z732" s="935"/>
      <c r="AA732" s="935"/>
    </row>
    <row r="733">
      <c r="A733" s="935"/>
      <c r="B733" s="972"/>
      <c r="C733" s="972"/>
      <c r="D733" s="972"/>
      <c r="E733" s="971"/>
      <c r="F733" s="167"/>
      <c r="G733" s="972"/>
      <c r="H733" s="973"/>
      <c r="I733" s="167"/>
      <c r="J733" s="167"/>
      <c r="K733" s="972"/>
      <c r="L733" s="972"/>
      <c r="M733" s="972"/>
      <c r="N733" s="972"/>
      <c r="O733" s="976"/>
      <c r="P733" s="978"/>
      <c r="Q733" s="978"/>
      <c r="R733" s="978"/>
      <c r="S733" s="978"/>
      <c r="T733" s="978"/>
      <c r="U733" s="978"/>
      <c r="V733" s="935"/>
      <c r="W733" s="972"/>
      <c r="X733" s="935"/>
      <c r="Y733" s="935"/>
      <c r="Z733" s="935"/>
      <c r="AA733" s="935"/>
    </row>
    <row r="734">
      <c r="A734" s="935"/>
      <c r="B734" s="972"/>
      <c r="C734" s="972"/>
      <c r="D734" s="972"/>
      <c r="E734" s="971"/>
      <c r="F734" s="167"/>
      <c r="G734" s="972"/>
      <c r="H734" s="973"/>
      <c r="I734" s="167"/>
      <c r="J734" s="167"/>
      <c r="K734" s="972"/>
      <c r="L734" s="972"/>
      <c r="M734" s="972"/>
      <c r="N734" s="972"/>
      <c r="O734" s="976"/>
      <c r="P734" s="978"/>
      <c r="Q734" s="978"/>
      <c r="R734" s="978"/>
      <c r="S734" s="978"/>
      <c r="T734" s="978"/>
      <c r="U734" s="978"/>
      <c r="V734" s="935"/>
      <c r="W734" s="972"/>
      <c r="X734" s="935"/>
      <c r="Y734" s="935"/>
      <c r="Z734" s="935"/>
      <c r="AA734" s="935"/>
    </row>
    <row r="735">
      <c r="A735" s="935"/>
      <c r="B735" s="972"/>
      <c r="C735" s="972"/>
      <c r="D735" s="972"/>
      <c r="E735" s="971"/>
      <c r="F735" s="167"/>
      <c r="G735" s="972"/>
      <c r="H735" s="973"/>
      <c r="I735" s="167"/>
      <c r="J735" s="167"/>
      <c r="K735" s="972"/>
      <c r="L735" s="972"/>
      <c r="M735" s="972"/>
      <c r="N735" s="972"/>
      <c r="O735" s="976"/>
      <c r="P735" s="978"/>
      <c r="Q735" s="978"/>
      <c r="R735" s="978"/>
      <c r="S735" s="978"/>
      <c r="T735" s="978"/>
      <c r="U735" s="978"/>
      <c r="V735" s="935"/>
      <c r="W735" s="972"/>
      <c r="X735" s="935"/>
      <c r="Y735" s="935"/>
      <c r="Z735" s="935"/>
      <c r="AA735" s="935"/>
    </row>
    <row r="736">
      <c r="A736" s="935"/>
      <c r="B736" s="972"/>
      <c r="C736" s="972"/>
      <c r="D736" s="972"/>
      <c r="E736" s="971"/>
      <c r="F736" s="167"/>
      <c r="G736" s="972"/>
      <c r="H736" s="973"/>
      <c r="I736" s="167"/>
      <c r="J736" s="167"/>
      <c r="K736" s="972"/>
      <c r="L736" s="972"/>
      <c r="M736" s="972"/>
      <c r="N736" s="972"/>
      <c r="O736" s="976"/>
      <c r="P736" s="978"/>
      <c r="Q736" s="978"/>
      <c r="R736" s="978"/>
      <c r="S736" s="978"/>
      <c r="T736" s="978"/>
      <c r="U736" s="978"/>
      <c r="V736" s="935"/>
      <c r="W736" s="972"/>
      <c r="X736" s="935"/>
      <c r="Y736" s="935"/>
      <c r="Z736" s="935"/>
      <c r="AA736" s="935"/>
    </row>
    <row r="737">
      <c r="A737" s="935"/>
      <c r="B737" s="972"/>
      <c r="C737" s="972"/>
      <c r="D737" s="972"/>
      <c r="E737" s="971"/>
      <c r="F737" s="167"/>
      <c r="G737" s="972"/>
      <c r="H737" s="973"/>
      <c r="I737" s="167"/>
      <c r="J737" s="167"/>
      <c r="K737" s="972"/>
      <c r="L737" s="972"/>
      <c r="M737" s="972"/>
      <c r="N737" s="972"/>
      <c r="O737" s="976"/>
      <c r="P737" s="978"/>
      <c r="Q737" s="978"/>
      <c r="R737" s="978"/>
      <c r="S737" s="978"/>
      <c r="T737" s="978"/>
      <c r="U737" s="978"/>
      <c r="V737" s="935"/>
      <c r="W737" s="972"/>
      <c r="X737" s="935"/>
      <c r="Y737" s="935"/>
      <c r="Z737" s="935"/>
      <c r="AA737" s="935"/>
    </row>
    <row r="738">
      <c r="A738" s="935"/>
      <c r="B738" s="972"/>
      <c r="C738" s="972"/>
      <c r="D738" s="972"/>
      <c r="E738" s="971"/>
      <c r="F738" s="167"/>
      <c r="G738" s="972"/>
      <c r="H738" s="973"/>
      <c r="I738" s="167"/>
      <c r="J738" s="167"/>
      <c r="K738" s="972"/>
      <c r="L738" s="972"/>
      <c r="M738" s="972"/>
      <c r="N738" s="972"/>
      <c r="O738" s="976"/>
      <c r="P738" s="978"/>
      <c r="Q738" s="978"/>
      <c r="R738" s="978"/>
      <c r="S738" s="978"/>
      <c r="T738" s="978"/>
      <c r="U738" s="978"/>
      <c r="V738" s="935"/>
      <c r="W738" s="972"/>
      <c r="X738" s="935"/>
      <c r="Y738" s="935"/>
      <c r="Z738" s="935"/>
      <c r="AA738" s="935"/>
    </row>
    <row r="739">
      <c r="A739" s="935"/>
      <c r="B739" s="972"/>
      <c r="C739" s="972"/>
      <c r="D739" s="972"/>
      <c r="E739" s="971"/>
      <c r="F739" s="167"/>
      <c r="G739" s="972"/>
      <c r="H739" s="973"/>
      <c r="I739" s="167"/>
      <c r="J739" s="167"/>
      <c r="K739" s="972"/>
      <c r="L739" s="972"/>
      <c r="M739" s="972"/>
      <c r="N739" s="972"/>
      <c r="O739" s="976"/>
      <c r="P739" s="978"/>
      <c r="Q739" s="978"/>
      <c r="R739" s="978"/>
      <c r="S739" s="978"/>
      <c r="T739" s="978"/>
      <c r="U739" s="978"/>
      <c r="V739" s="935"/>
      <c r="W739" s="972"/>
      <c r="X739" s="935"/>
      <c r="Y739" s="935"/>
      <c r="Z739" s="935"/>
      <c r="AA739" s="935"/>
    </row>
    <row r="740">
      <c r="A740" s="935"/>
      <c r="B740" s="972"/>
      <c r="C740" s="972"/>
      <c r="D740" s="972"/>
      <c r="E740" s="971"/>
      <c r="F740" s="167"/>
      <c r="G740" s="972"/>
      <c r="H740" s="973"/>
      <c r="I740" s="167"/>
      <c r="J740" s="167"/>
      <c r="K740" s="972"/>
      <c r="L740" s="972"/>
      <c r="M740" s="972"/>
      <c r="N740" s="972"/>
      <c r="O740" s="976"/>
      <c r="P740" s="978"/>
      <c r="Q740" s="978"/>
      <c r="R740" s="978"/>
      <c r="S740" s="978"/>
      <c r="T740" s="978"/>
      <c r="U740" s="978"/>
      <c r="V740" s="935"/>
      <c r="W740" s="972"/>
      <c r="X740" s="935"/>
      <c r="Y740" s="935"/>
      <c r="Z740" s="935"/>
      <c r="AA740" s="935"/>
    </row>
    <row r="741">
      <c r="A741" s="935"/>
      <c r="B741" s="972"/>
      <c r="C741" s="972"/>
      <c r="D741" s="972"/>
      <c r="E741" s="971"/>
      <c r="F741" s="167"/>
      <c r="G741" s="972"/>
      <c r="H741" s="973"/>
      <c r="I741" s="167"/>
      <c r="J741" s="167"/>
      <c r="K741" s="972"/>
      <c r="L741" s="972"/>
      <c r="M741" s="972"/>
      <c r="N741" s="972"/>
      <c r="O741" s="976"/>
      <c r="P741" s="978"/>
      <c r="Q741" s="978"/>
      <c r="R741" s="978"/>
      <c r="S741" s="978"/>
      <c r="T741" s="978"/>
      <c r="U741" s="978"/>
      <c r="V741" s="935"/>
      <c r="W741" s="972"/>
      <c r="X741" s="935"/>
      <c r="Y741" s="935"/>
      <c r="Z741" s="935"/>
      <c r="AA741" s="935"/>
    </row>
    <row r="742">
      <c r="A742" s="935"/>
      <c r="B742" s="972"/>
      <c r="C742" s="972"/>
      <c r="D742" s="972"/>
      <c r="E742" s="971"/>
      <c r="F742" s="167"/>
      <c r="G742" s="972"/>
      <c r="H742" s="973"/>
      <c r="I742" s="167"/>
      <c r="J742" s="167"/>
      <c r="K742" s="972"/>
      <c r="L742" s="972"/>
      <c r="M742" s="972"/>
      <c r="N742" s="972"/>
      <c r="O742" s="976"/>
      <c r="P742" s="978"/>
      <c r="Q742" s="978"/>
      <c r="R742" s="978"/>
      <c r="S742" s="978"/>
      <c r="T742" s="978"/>
      <c r="U742" s="978"/>
      <c r="V742" s="935"/>
      <c r="W742" s="972"/>
      <c r="X742" s="935"/>
      <c r="Y742" s="935"/>
      <c r="Z742" s="935"/>
      <c r="AA742" s="935"/>
    </row>
    <row r="743">
      <c r="A743" s="935"/>
      <c r="B743" s="972"/>
      <c r="C743" s="972"/>
      <c r="D743" s="972"/>
      <c r="E743" s="971"/>
      <c r="F743" s="167"/>
      <c r="G743" s="972"/>
      <c r="H743" s="973"/>
      <c r="I743" s="167"/>
      <c r="J743" s="167"/>
      <c r="K743" s="972"/>
      <c r="L743" s="972"/>
      <c r="M743" s="972"/>
      <c r="N743" s="972"/>
      <c r="O743" s="976"/>
      <c r="P743" s="978"/>
      <c r="Q743" s="978"/>
      <c r="R743" s="978"/>
      <c r="S743" s="978"/>
      <c r="T743" s="978"/>
      <c r="U743" s="978"/>
      <c r="V743" s="935"/>
      <c r="W743" s="972"/>
      <c r="X743" s="935"/>
      <c r="Y743" s="935"/>
      <c r="Z743" s="935"/>
      <c r="AA743" s="935"/>
    </row>
    <row r="744">
      <c r="A744" s="935"/>
      <c r="B744" s="972"/>
      <c r="C744" s="972"/>
      <c r="D744" s="972"/>
      <c r="E744" s="971"/>
      <c r="F744" s="167"/>
      <c r="G744" s="972"/>
      <c r="H744" s="973"/>
      <c r="I744" s="167"/>
      <c r="J744" s="167"/>
      <c r="K744" s="972"/>
      <c r="L744" s="972"/>
      <c r="M744" s="972"/>
      <c r="N744" s="972"/>
      <c r="O744" s="976"/>
      <c r="P744" s="978"/>
      <c r="Q744" s="978"/>
      <c r="R744" s="978"/>
      <c r="S744" s="978"/>
      <c r="T744" s="978"/>
      <c r="U744" s="978"/>
      <c r="V744" s="935"/>
      <c r="W744" s="972"/>
      <c r="X744" s="935"/>
      <c r="Y744" s="935"/>
      <c r="Z744" s="935"/>
      <c r="AA744" s="935"/>
    </row>
    <row r="745">
      <c r="A745" s="935"/>
      <c r="B745" s="972"/>
      <c r="C745" s="972"/>
      <c r="D745" s="972"/>
      <c r="E745" s="971"/>
      <c r="F745" s="167"/>
      <c r="G745" s="972"/>
      <c r="H745" s="973"/>
      <c r="I745" s="167"/>
      <c r="J745" s="167"/>
      <c r="K745" s="972"/>
      <c r="L745" s="972"/>
      <c r="M745" s="972"/>
      <c r="N745" s="972"/>
      <c r="O745" s="976"/>
      <c r="P745" s="978"/>
      <c r="Q745" s="978"/>
      <c r="R745" s="978"/>
      <c r="S745" s="978"/>
      <c r="T745" s="978"/>
      <c r="U745" s="978"/>
      <c r="V745" s="935"/>
      <c r="W745" s="972"/>
      <c r="X745" s="935"/>
      <c r="Y745" s="935"/>
      <c r="Z745" s="935"/>
      <c r="AA745" s="935"/>
    </row>
    <row r="746">
      <c r="A746" s="935"/>
      <c r="B746" s="972"/>
      <c r="C746" s="972"/>
      <c r="D746" s="972"/>
      <c r="E746" s="971"/>
      <c r="F746" s="167"/>
      <c r="G746" s="972"/>
      <c r="H746" s="973"/>
      <c r="I746" s="167"/>
      <c r="J746" s="167"/>
      <c r="K746" s="972"/>
      <c r="L746" s="972"/>
      <c r="M746" s="972"/>
      <c r="N746" s="972"/>
      <c r="O746" s="976"/>
      <c r="P746" s="978"/>
      <c r="Q746" s="978"/>
      <c r="R746" s="978"/>
      <c r="S746" s="978"/>
      <c r="T746" s="978"/>
      <c r="U746" s="978"/>
      <c r="V746" s="935"/>
      <c r="W746" s="972"/>
      <c r="X746" s="935"/>
      <c r="Y746" s="935"/>
      <c r="Z746" s="935"/>
      <c r="AA746" s="935"/>
    </row>
    <row r="747">
      <c r="A747" s="935"/>
      <c r="B747" s="972"/>
      <c r="C747" s="972"/>
      <c r="D747" s="972"/>
      <c r="E747" s="971"/>
      <c r="F747" s="167"/>
      <c r="G747" s="972"/>
      <c r="H747" s="973"/>
      <c r="I747" s="167"/>
      <c r="J747" s="167"/>
      <c r="K747" s="972"/>
      <c r="L747" s="972"/>
      <c r="M747" s="972"/>
      <c r="N747" s="972"/>
      <c r="O747" s="976"/>
      <c r="P747" s="978"/>
      <c r="Q747" s="978"/>
      <c r="R747" s="978"/>
      <c r="S747" s="978"/>
      <c r="T747" s="978"/>
      <c r="U747" s="978"/>
      <c r="V747" s="935"/>
      <c r="W747" s="972"/>
      <c r="X747" s="935"/>
      <c r="Y747" s="935"/>
      <c r="Z747" s="935"/>
      <c r="AA747" s="935"/>
    </row>
    <row r="748">
      <c r="A748" s="935"/>
      <c r="B748" s="972"/>
      <c r="C748" s="972"/>
      <c r="D748" s="972"/>
      <c r="E748" s="971"/>
      <c r="F748" s="167"/>
      <c r="G748" s="972"/>
      <c r="H748" s="973"/>
      <c r="I748" s="167"/>
      <c r="J748" s="167"/>
      <c r="K748" s="972"/>
      <c r="L748" s="972"/>
      <c r="M748" s="972"/>
      <c r="N748" s="972"/>
      <c r="O748" s="976"/>
      <c r="P748" s="978"/>
      <c r="Q748" s="978"/>
      <c r="R748" s="978"/>
      <c r="S748" s="978"/>
      <c r="T748" s="978"/>
      <c r="U748" s="978"/>
      <c r="V748" s="935"/>
      <c r="W748" s="972"/>
      <c r="X748" s="935"/>
      <c r="Y748" s="935"/>
      <c r="Z748" s="935"/>
      <c r="AA748" s="935"/>
    </row>
    <row r="749">
      <c r="A749" s="935"/>
      <c r="B749" s="972"/>
      <c r="C749" s="972"/>
      <c r="D749" s="972"/>
      <c r="E749" s="971"/>
      <c r="F749" s="167"/>
      <c r="G749" s="972"/>
      <c r="H749" s="973"/>
      <c r="I749" s="167"/>
      <c r="J749" s="167"/>
      <c r="K749" s="972"/>
      <c r="L749" s="972"/>
      <c r="M749" s="972"/>
      <c r="N749" s="972"/>
      <c r="O749" s="976"/>
      <c r="P749" s="978"/>
      <c r="Q749" s="978"/>
      <c r="R749" s="978"/>
      <c r="S749" s="978"/>
      <c r="T749" s="978"/>
      <c r="U749" s="978"/>
      <c r="V749" s="935"/>
      <c r="W749" s="972"/>
      <c r="X749" s="935"/>
      <c r="Y749" s="935"/>
      <c r="Z749" s="935"/>
      <c r="AA749" s="935"/>
    </row>
    <row r="750">
      <c r="A750" s="935"/>
      <c r="B750" s="972"/>
      <c r="C750" s="972"/>
      <c r="D750" s="972"/>
      <c r="E750" s="971"/>
      <c r="F750" s="167"/>
      <c r="G750" s="972"/>
      <c r="H750" s="973"/>
      <c r="I750" s="167"/>
      <c r="J750" s="167"/>
      <c r="K750" s="972"/>
      <c r="L750" s="972"/>
      <c r="M750" s="972"/>
      <c r="N750" s="972"/>
      <c r="O750" s="976"/>
      <c r="P750" s="978"/>
      <c r="Q750" s="978"/>
      <c r="R750" s="978"/>
      <c r="S750" s="978"/>
      <c r="T750" s="978"/>
      <c r="U750" s="978"/>
      <c r="V750" s="935"/>
      <c r="W750" s="972"/>
      <c r="X750" s="935"/>
      <c r="Y750" s="935"/>
      <c r="Z750" s="935"/>
      <c r="AA750" s="935"/>
    </row>
    <row r="751">
      <c r="A751" s="935"/>
      <c r="B751" s="972"/>
      <c r="C751" s="972"/>
      <c r="D751" s="972"/>
      <c r="E751" s="971"/>
      <c r="F751" s="167"/>
      <c r="G751" s="972"/>
      <c r="H751" s="973"/>
      <c r="I751" s="167"/>
      <c r="J751" s="167"/>
      <c r="K751" s="972"/>
      <c r="L751" s="972"/>
      <c r="M751" s="972"/>
      <c r="N751" s="972"/>
      <c r="O751" s="976"/>
      <c r="P751" s="978"/>
      <c r="Q751" s="978"/>
      <c r="R751" s="978"/>
      <c r="S751" s="978"/>
      <c r="T751" s="978"/>
      <c r="U751" s="978"/>
      <c r="V751" s="935"/>
      <c r="W751" s="972"/>
      <c r="X751" s="935"/>
      <c r="Y751" s="935"/>
      <c r="Z751" s="935"/>
      <c r="AA751" s="935"/>
    </row>
    <row r="752">
      <c r="A752" s="935"/>
      <c r="B752" s="972"/>
      <c r="C752" s="972"/>
      <c r="D752" s="972"/>
      <c r="E752" s="971"/>
      <c r="F752" s="167"/>
      <c r="G752" s="972"/>
      <c r="H752" s="973"/>
      <c r="I752" s="167"/>
      <c r="J752" s="167"/>
      <c r="K752" s="972"/>
      <c r="L752" s="972"/>
      <c r="M752" s="972"/>
      <c r="N752" s="972"/>
      <c r="O752" s="976"/>
      <c r="P752" s="978"/>
      <c r="Q752" s="978"/>
      <c r="R752" s="978"/>
      <c r="S752" s="978"/>
      <c r="T752" s="978"/>
      <c r="U752" s="978"/>
      <c r="V752" s="935"/>
      <c r="W752" s="972"/>
      <c r="X752" s="935"/>
      <c r="Y752" s="935"/>
      <c r="Z752" s="935"/>
      <c r="AA752" s="935"/>
    </row>
    <row r="753">
      <c r="A753" s="935"/>
      <c r="B753" s="972"/>
      <c r="C753" s="972"/>
      <c r="D753" s="972"/>
      <c r="E753" s="971"/>
      <c r="F753" s="167"/>
      <c r="G753" s="972"/>
      <c r="H753" s="973"/>
      <c r="I753" s="167"/>
      <c r="J753" s="167"/>
      <c r="K753" s="972"/>
      <c r="L753" s="972"/>
      <c r="M753" s="972"/>
      <c r="N753" s="972"/>
      <c r="O753" s="976"/>
      <c r="P753" s="978"/>
      <c r="Q753" s="978"/>
      <c r="R753" s="978"/>
      <c r="S753" s="978"/>
      <c r="T753" s="978"/>
      <c r="U753" s="978"/>
      <c r="V753" s="935"/>
      <c r="W753" s="972"/>
      <c r="X753" s="935"/>
      <c r="Y753" s="935"/>
      <c r="Z753" s="935"/>
      <c r="AA753" s="935"/>
    </row>
    <row r="754">
      <c r="A754" s="935"/>
      <c r="B754" s="972"/>
      <c r="C754" s="972"/>
      <c r="D754" s="972"/>
      <c r="E754" s="971"/>
      <c r="F754" s="167"/>
      <c r="G754" s="972"/>
      <c r="H754" s="973"/>
      <c r="I754" s="167"/>
      <c r="J754" s="167"/>
      <c r="K754" s="972"/>
      <c r="L754" s="972"/>
      <c r="M754" s="972"/>
      <c r="N754" s="972"/>
      <c r="O754" s="976"/>
      <c r="P754" s="978"/>
      <c r="Q754" s="978"/>
      <c r="R754" s="978"/>
      <c r="S754" s="978"/>
      <c r="T754" s="978"/>
      <c r="U754" s="978"/>
      <c r="V754" s="935"/>
      <c r="W754" s="972"/>
      <c r="X754" s="935"/>
      <c r="Y754" s="935"/>
      <c r="Z754" s="935"/>
      <c r="AA754" s="935"/>
    </row>
    <row r="755">
      <c r="A755" s="935"/>
      <c r="B755" s="972"/>
      <c r="C755" s="972"/>
      <c r="D755" s="972"/>
      <c r="E755" s="971"/>
      <c r="F755" s="167"/>
      <c r="G755" s="972"/>
      <c r="H755" s="973"/>
      <c r="I755" s="167"/>
      <c r="J755" s="167"/>
      <c r="K755" s="972"/>
      <c r="L755" s="972"/>
      <c r="M755" s="972"/>
      <c r="N755" s="972"/>
      <c r="O755" s="976"/>
      <c r="P755" s="978"/>
      <c r="Q755" s="978"/>
      <c r="R755" s="978"/>
      <c r="S755" s="978"/>
      <c r="T755" s="978"/>
      <c r="U755" s="978"/>
      <c r="V755" s="935"/>
      <c r="W755" s="972"/>
      <c r="X755" s="935"/>
      <c r="Y755" s="935"/>
      <c r="Z755" s="935"/>
      <c r="AA755" s="935"/>
    </row>
    <row r="756">
      <c r="A756" s="935"/>
      <c r="B756" s="972"/>
      <c r="C756" s="972"/>
      <c r="D756" s="972"/>
      <c r="E756" s="971"/>
      <c r="F756" s="167"/>
      <c r="G756" s="972"/>
      <c r="H756" s="973"/>
      <c r="I756" s="167"/>
      <c r="J756" s="167"/>
      <c r="K756" s="972"/>
      <c r="L756" s="972"/>
      <c r="M756" s="972"/>
      <c r="N756" s="972"/>
      <c r="O756" s="976"/>
      <c r="P756" s="978"/>
      <c r="Q756" s="978"/>
      <c r="R756" s="978"/>
      <c r="S756" s="978"/>
      <c r="T756" s="978"/>
      <c r="U756" s="978"/>
      <c r="V756" s="935"/>
      <c r="W756" s="972"/>
      <c r="X756" s="935"/>
      <c r="Y756" s="935"/>
      <c r="Z756" s="935"/>
      <c r="AA756" s="935"/>
    </row>
    <row r="757">
      <c r="A757" s="935"/>
      <c r="B757" s="972"/>
      <c r="C757" s="972"/>
      <c r="D757" s="972"/>
      <c r="E757" s="971"/>
      <c r="F757" s="167"/>
      <c r="G757" s="972"/>
      <c r="H757" s="973"/>
      <c r="I757" s="167"/>
      <c r="J757" s="167"/>
      <c r="K757" s="972"/>
      <c r="L757" s="972"/>
      <c r="M757" s="972"/>
      <c r="N757" s="972"/>
      <c r="O757" s="976"/>
      <c r="P757" s="978"/>
      <c r="Q757" s="978"/>
      <c r="R757" s="978"/>
      <c r="S757" s="978"/>
      <c r="T757" s="978"/>
      <c r="U757" s="978"/>
      <c r="V757" s="935"/>
      <c r="W757" s="972"/>
      <c r="X757" s="935"/>
      <c r="Y757" s="935"/>
      <c r="Z757" s="935"/>
      <c r="AA757" s="935"/>
    </row>
    <row r="758">
      <c r="A758" s="935"/>
      <c r="B758" s="972"/>
      <c r="C758" s="972"/>
      <c r="D758" s="972"/>
      <c r="E758" s="971"/>
      <c r="F758" s="167"/>
      <c r="G758" s="972"/>
      <c r="H758" s="973"/>
      <c r="I758" s="167"/>
      <c r="J758" s="167"/>
      <c r="K758" s="972"/>
      <c r="L758" s="972"/>
      <c r="M758" s="972"/>
      <c r="N758" s="972"/>
      <c r="O758" s="976"/>
      <c r="P758" s="978"/>
      <c r="Q758" s="978"/>
      <c r="R758" s="978"/>
      <c r="S758" s="978"/>
      <c r="T758" s="978"/>
      <c r="U758" s="978"/>
      <c r="V758" s="935"/>
      <c r="W758" s="972"/>
      <c r="X758" s="935"/>
      <c r="Y758" s="935"/>
      <c r="Z758" s="935"/>
      <c r="AA758" s="935"/>
    </row>
    <row r="759">
      <c r="A759" s="935"/>
      <c r="B759" s="972"/>
      <c r="C759" s="972"/>
      <c r="D759" s="972"/>
      <c r="E759" s="971"/>
      <c r="F759" s="167"/>
      <c r="G759" s="972"/>
      <c r="H759" s="973"/>
      <c r="I759" s="167"/>
      <c r="J759" s="167"/>
      <c r="K759" s="972"/>
      <c r="L759" s="972"/>
      <c r="M759" s="972"/>
      <c r="N759" s="972"/>
      <c r="O759" s="976"/>
      <c r="P759" s="978"/>
      <c r="Q759" s="978"/>
      <c r="R759" s="978"/>
      <c r="S759" s="978"/>
      <c r="T759" s="978"/>
      <c r="U759" s="978"/>
      <c r="V759" s="935"/>
      <c r="W759" s="972"/>
      <c r="X759" s="935"/>
      <c r="Y759" s="935"/>
      <c r="Z759" s="935"/>
      <c r="AA759" s="935"/>
    </row>
    <row r="760">
      <c r="A760" s="935"/>
      <c r="B760" s="972"/>
      <c r="C760" s="972"/>
      <c r="D760" s="972"/>
      <c r="E760" s="971"/>
      <c r="F760" s="167"/>
      <c r="G760" s="972"/>
      <c r="H760" s="973"/>
      <c r="I760" s="167"/>
      <c r="J760" s="167"/>
      <c r="K760" s="972"/>
      <c r="L760" s="972"/>
      <c r="M760" s="972"/>
      <c r="N760" s="972"/>
      <c r="O760" s="976"/>
      <c r="P760" s="978"/>
      <c r="Q760" s="978"/>
      <c r="R760" s="978"/>
      <c r="S760" s="978"/>
      <c r="T760" s="978"/>
      <c r="U760" s="978"/>
      <c r="V760" s="935"/>
      <c r="W760" s="972"/>
      <c r="X760" s="935"/>
      <c r="Y760" s="935"/>
      <c r="Z760" s="935"/>
      <c r="AA760" s="935"/>
    </row>
    <row r="761">
      <c r="A761" s="935"/>
      <c r="B761" s="972"/>
      <c r="C761" s="972"/>
      <c r="D761" s="972"/>
      <c r="E761" s="971"/>
      <c r="F761" s="167"/>
      <c r="G761" s="972"/>
      <c r="H761" s="973"/>
      <c r="I761" s="167"/>
      <c r="J761" s="167"/>
      <c r="K761" s="972"/>
      <c r="L761" s="972"/>
      <c r="M761" s="972"/>
      <c r="N761" s="972"/>
      <c r="O761" s="976"/>
      <c r="P761" s="978"/>
      <c r="Q761" s="978"/>
      <c r="R761" s="978"/>
      <c r="S761" s="978"/>
      <c r="T761" s="978"/>
      <c r="U761" s="978"/>
      <c r="V761" s="935"/>
      <c r="W761" s="972"/>
      <c r="X761" s="935"/>
      <c r="Y761" s="935"/>
      <c r="Z761" s="935"/>
      <c r="AA761" s="935"/>
    </row>
    <row r="762">
      <c r="A762" s="935"/>
      <c r="B762" s="972"/>
      <c r="C762" s="972"/>
      <c r="D762" s="972"/>
      <c r="E762" s="971"/>
      <c r="F762" s="167"/>
      <c r="G762" s="972"/>
      <c r="H762" s="973"/>
      <c r="I762" s="167"/>
      <c r="J762" s="167"/>
      <c r="K762" s="972"/>
      <c r="L762" s="972"/>
      <c r="M762" s="972"/>
      <c r="N762" s="972"/>
      <c r="O762" s="976"/>
      <c r="P762" s="978"/>
      <c r="Q762" s="978"/>
      <c r="R762" s="978"/>
      <c r="S762" s="978"/>
      <c r="T762" s="978"/>
      <c r="U762" s="978"/>
      <c r="V762" s="935"/>
      <c r="W762" s="972"/>
      <c r="X762" s="935"/>
      <c r="Y762" s="935"/>
      <c r="Z762" s="935"/>
      <c r="AA762" s="935"/>
    </row>
    <row r="763">
      <c r="A763" s="935"/>
      <c r="B763" s="972"/>
      <c r="C763" s="972"/>
      <c r="D763" s="972"/>
      <c r="E763" s="971"/>
      <c r="F763" s="167"/>
      <c r="G763" s="972"/>
      <c r="H763" s="973"/>
      <c r="I763" s="167"/>
      <c r="J763" s="167"/>
      <c r="K763" s="972"/>
      <c r="L763" s="972"/>
      <c r="M763" s="972"/>
      <c r="N763" s="972"/>
      <c r="O763" s="976"/>
      <c r="P763" s="978"/>
      <c r="Q763" s="978"/>
      <c r="R763" s="978"/>
      <c r="S763" s="978"/>
      <c r="T763" s="978"/>
      <c r="U763" s="978"/>
      <c r="V763" s="935"/>
      <c r="W763" s="972"/>
      <c r="X763" s="935"/>
      <c r="Y763" s="935"/>
      <c r="Z763" s="935"/>
      <c r="AA763" s="935"/>
    </row>
    <row r="764">
      <c r="A764" s="935"/>
      <c r="B764" s="972"/>
      <c r="C764" s="972"/>
      <c r="D764" s="972"/>
      <c r="E764" s="971"/>
      <c r="F764" s="167"/>
      <c r="G764" s="972"/>
      <c r="H764" s="973"/>
      <c r="I764" s="167"/>
      <c r="J764" s="167"/>
      <c r="K764" s="972"/>
      <c r="L764" s="972"/>
      <c r="M764" s="972"/>
      <c r="N764" s="972"/>
      <c r="O764" s="976"/>
      <c r="P764" s="978"/>
      <c r="Q764" s="978"/>
      <c r="R764" s="978"/>
      <c r="S764" s="978"/>
      <c r="T764" s="978"/>
      <c r="U764" s="978"/>
      <c r="V764" s="935"/>
      <c r="W764" s="972"/>
      <c r="X764" s="935"/>
      <c r="Y764" s="935"/>
      <c r="Z764" s="935"/>
      <c r="AA764" s="935"/>
    </row>
    <row r="765">
      <c r="A765" s="935"/>
      <c r="B765" s="972"/>
      <c r="C765" s="972"/>
      <c r="D765" s="972"/>
      <c r="E765" s="971"/>
      <c r="F765" s="167"/>
      <c r="G765" s="972"/>
      <c r="H765" s="973"/>
      <c r="I765" s="167"/>
      <c r="J765" s="167"/>
      <c r="K765" s="972"/>
      <c r="L765" s="972"/>
      <c r="M765" s="972"/>
      <c r="N765" s="972"/>
      <c r="O765" s="976"/>
      <c r="P765" s="978"/>
      <c r="Q765" s="978"/>
      <c r="R765" s="978"/>
      <c r="S765" s="978"/>
      <c r="T765" s="978"/>
      <c r="U765" s="978"/>
      <c r="V765" s="935"/>
      <c r="W765" s="972"/>
      <c r="X765" s="935"/>
      <c r="Y765" s="935"/>
      <c r="Z765" s="935"/>
      <c r="AA765" s="935"/>
    </row>
    <row r="766">
      <c r="A766" s="935"/>
      <c r="B766" s="972"/>
      <c r="C766" s="972"/>
      <c r="D766" s="972"/>
      <c r="E766" s="971"/>
      <c r="F766" s="167"/>
      <c r="G766" s="972"/>
      <c r="H766" s="973"/>
      <c r="I766" s="167"/>
      <c r="J766" s="167"/>
      <c r="K766" s="972"/>
      <c r="L766" s="972"/>
      <c r="M766" s="972"/>
      <c r="N766" s="972"/>
      <c r="O766" s="976"/>
      <c r="P766" s="978"/>
      <c r="Q766" s="978"/>
      <c r="R766" s="978"/>
      <c r="S766" s="978"/>
      <c r="T766" s="978"/>
      <c r="U766" s="978"/>
      <c r="V766" s="935"/>
      <c r="W766" s="972"/>
      <c r="X766" s="935"/>
      <c r="Y766" s="935"/>
      <c r="Z766" s="935"/>
      <c r="AA766" s="935"/>
    </row>
    <row r="767">
      <c r="A767" s="935"/>
      <c r="B767" s="972"/>
      <c r="C767" s="972"/>
      <c r="D767" s="972"/>
      <c r="E767" s="971"/>
      <c r="F767" s="167"/>
      <c r="G767" s="972"/>
      <c r="H767" s="973"/>
      <c r="I767" s="167"/>
      <c r="J767" s="167"/>
      <c r="K767" s="972"/>
      <c r="L767" s="972"/>
      <c r="M767" s="972"/>
      <c r="N767" s="972"/>
      <c r="O767" s="976"/>
      <c r="P767" s="978"/>
      <c r="Q767" s="978"/>
      <c r="R767" s="978"/>
      <c r="S767" s="978"/>
      <c r="T767" s="978"/>
      <c r="U767" s="978"/>
      <c r="V767" s="935"/>
      <c r="W767" s="972"/>
      <c r="X767" s="935"/>
      <c r="Y767" s="935"/>
      <c r="Z767" s="935"/>
      <c r="AA767" s="935"/>
    </row>
    <row r="768">
      <c r="A768" s="935"/>
      <c r="B768" s="972"/>
      <c r="C768" s="972"/>
      <c r="D768" s="972"/>
      <c r="E768" s="971"/>
      <c r="F768" s="167"/>
      <c r="G768" s="972"/>
      <c r="H768" s="973"/>
      <c r="I768" s="167"/>
      <c r="J768" s="167"/>
      <c r="K768" s="972"/>
      <c r="L768" s="972"/>
      <c r="M768" s="972"/>
      <c r="N768" s="972"/>
      <c r="O768" s="976"/>
      <c r="P768" s="978"/>
      <c r="Q768" s="978"/>
      <c r="R768" s="978"/>
      <c r="S768" s="978"/>
      <c r="T768" s="978"/>
      <c r="U768" s="978"/>
      <c r="V768" s="935"/>
      <c r="W768" s="972"/>
      <c r="X768" s="935"/>
      <c r="Y768" s="935"/>
      <c r="Z768" s="935"/>
      <c r="AA768" s="935"/>
    </row>
    <row r="769">
      <c r="A769" s="935"/>
      <c r="B769" s="972"/>
      <c r="C769" s="972"/>
      <c r="D769" s="972"/>
      <c r="E769" s="971"/>
      <c r="F769" s="167"/>
      <c r="G769" s="972"/>
      <c r="H769" s="973"/>
      <c r="I769" s="167"/>
      <c r="J769" s="167"/>
      <c r="K769" s="972"/>
      <c r="L769" s="972"/>
      <c r="M769" s="972"/>
      <c r="N769" s="972"/>
      <c r="O769" s="976"/>
      <c r="P769" s="978"/>
      <c r="Q769" s="978"/>
      <c r="R769" s="978"/>
      <c r="S769" s="978"/>
      <c r="T769" s="978"/>
      <c r="U769" s="978"/>
      <c r="V769" s="935"/>
      <c r="W769" s="972"/>
      <c r="X769" s="935"/>
      <c r="Y769" s="935"/>
      <c r="Z769" s="935"/>
      <c r="AA769" s="935"/>
    </row>
    <row r="770">
      <c r="A770" s="935"/>
      <c r="B770" s="972"/>
      <c r="C770" s="972"/>
      <c r="D770" s="972"/>
      <c r="E770" s="971"/>
      <c r="F770" s="167"/>
      <c r="G770" s="972"/>
      <c r="H770" s="973"/>
      <c r="I770" s="167"/>
      <c r="J770" s="167"/>
      <c r="K770" s="972"/>
      <c r="L770" s="972"/>
      <c r="M770" s="972"/>
      <c r="N770" s="972"/>
      <c r="O770" s="976"/>
      <c r="P770" s="978"/>
      <c r="Q770" s="978"/>
      <c r="R770" s="978"/>
      <c r="S770" s="978"/>
      <c r="T770" s="978"/>
      <c r="U770" s="978"/>
      <c r="V770" s="935"/>
      <c r="W770" s="972"/>
      <c r="X770" s="935"/>
      <c r="Y770" s="935"/>
      <c r="Z770" s="935"/>
      <c r="AA770" s="935"/>
    </row>
    <row r="771">
      <c r="A771" s="935"/>
      <c r="B771" s="972"/>
      <c r="C771" s="972"/>
      <c r="D771" s="972"/>
      <c r="E771" s="971"/>
      <c r="F771" s="167"/>
      <c r="G771" s="972"/>
      <c r="H771" s="973"/>
      <c r="I771" s="167"/>
      <c r="J771" s="167"/>
      <c r="K771" s="972"/>
      <c r="L771" s="972"/>
      <c r="M771" s="972"/>
      <c r="N771" s="972"/>
      <c r="O771" s="976"/>
      <c r="P771" s="978"/>
      <c r="Q771" s="978"/>
      <c r="R771" s="978"/>
      <c r="S771" s="978"/>
      <c r="T771" s="978"/>
      <c r="U771" s="978"/>
      <c r="V771" s="935"/>
      <c r="W771" s="972"/>
      <c r="X771" s="935"/>
      <c r="Y771" s="935"/>
      <c r="Z771" s="935"/>
      <c r="AA771" s="935"/>
    </row>
    <row r="772">
      <c r="A772" s="935"/>
      <c r="B772" s="972"/>
      <c r="C772" s="972"/>
      <c r="D772" s="972"/>
      <c r="E772" s="971"/>
      <c r="F772" s="167"/>
      <c r="G772" s="972"/>
      <c r="H772" s="973"/>
      <c r="I772" s="167"/>
      <c r="J772" s="167"/>
      <c r="K772" s="972"/>
      <c r="L772" s="972"/>
      <c r="M772" s="972"/>
      <c r="N772" s="972"/>
      <c r="O772" s="976"/>
      <c r="P772" s="978"/>
      <c r="Q772" s="978"/>
      <c r="R772" s="978"/>
      <c r="S772" s="978"/>
      <c r="T772" s="978"/>
      <c r="U772" s="978"/>
      <c r="V772" s="935"/>
      <c r="W772" s="972"/>
      <c r="X772" s="935"/>
      <c r="Y772" s="935"/>
      <c r="Z772" s="935"/>
      <c r="AA772" s="935"/>
    </row>
    <row r="773">
      <c r="A773" s="935"/>
      <c r="B773" s="972"/>
      <c r="C773" s="972"/>
      <c r="D773" s="972"/>
      <c r="E773" s="971"/>
      <c r="F773" s="167"/>
      <c r="G773" s="972"/>
      <c r="H773" s="973"/>
      <c r="I773" s="167"/>
      <c r="J773" s="167"/>
      <c r="K773" s="972"/>
      <c r="L773" s="972"/>
      <c r="M773" s="972"/>
      <c r="N773" s="972"/>
      <c r="O773" s="976"/>
      <c r="P773" s="978"/>
      <c r="Q773" s="978"/>
      <c r="R773" s="978"/>
      <c r="S773" s="978"/>
      <c r="T773" s="978"/>
      <c r="U773" s="978"/>
      <c r="V773" s="935"/>
      <c r="W773" s="972"/>
      <c r="X773" s="935"/>
      <c r="Y773" s="935"/>
      <c r="Z773" s="935"/>
      <c r="AA773" s="935"/>
    </row>
    <row r="774">
      <c r="A774" s="935"/>
      <c r="B774" s="972"/>
      <c r="C774" s="972"/>
      <c r="D774" s="972"/>
      <c r="E774" s="971"/>
      <c r="F774" s="167"/>
      <c r="G774" s="972"/>
      <c r="H774" s="973"/>
      <c r="I774" s="167"/>
      <c r="J774" s="167"/>
      <c r="K774" s="972"/>
      <c r="L774" s="972"/>
      <c r="M774" s="972"/>
      <c r="N774" s="972"/>
      <c r="O774" s="976"/>
      <c r="P774" s="978"/>
      <c r="Q774" s="978"/>
      <c r="R774" s="978"/>
      <c r="S774" s="978"/>
      <c r="T774" s="978"/>
      <c r="U774" s="978"/>
      <c r="V774" s="935"/>
      <c r="W774" s="972"/>
      <c r="X774" s="935"/>
      <c r="Y774" s="935"/>
      <c r="Z774" s="935"/>
      <c r="AA774" s="935"/>
    </row>
    <row r="775">
      <c r="A775" s="935"/>
      <c r="B775" s="972"/>
      <c r="C775" s="972"/>
      <c r="D775" s="972"/>
      <c r="E775" s="971"/>
      <c r="F775" s="167"/>
      <c r="G775" s="972"/>
      <c r="H775" s="973"/>
      <c r="I775" s="167"/>
      <c r="J775" s="167"/>
      <c r="K775" s="972"/>
      <c r="L775" s="972"/>
      <c r="M775" s="972"/>
      <c r="N775" s="972"/>
      <c r="O775" s="976"/>
      <c r="P775" s="978"/>
      <c r="Q775" s="978"/>
      <c r="R775" s="978"/>
      <c r="S775" s="978"/>
      <c r="T775" s="978"/>
      <c r="U775" s="978"/>
      <c r="V775" s="935"/>
      <c r="W775" s="972"/>
      <c r="X775" s="935"/>
      <c r="Y775" s="935"/>
      <c r="Z775" s="935"/>
      <c r="AA775" s="935"/>
    </row>
    <row r="776">
      <c r="A776" s="935"/>
      <c r="B776" s="972"/>
      <c r="C776" s="972"/>
      <c r="D776" s="972"/>
      <c r="E776" s="971"/>
      <c r="F776" s="167"/>
      <c r="G776" s="972"/>
      <c r="H776" s="973"/>
      <c r="I776" s="167"/>
      <c r="J776" s="167"/>
      <c r="K776" s="972"/>
      <c r="L776" s="972"/>
      <c r="M776" s="972"/>
      <c r="N776" s="972"/>
      <c r="O776" s="976"/>
      <c r="P776" s="978"/>
      <c r="Q776" s="978"/>
      <c r="R776" s="978"/>
      <c r="S776" s="978"/>
      <c r="T776" s="978"/>
      <c r="U776" s="978"/>
      <c r="V776" s="935"/>
      <c r="W776" s="972"/>
      <c r="X776" s="935"/>
      <c r="Y776" s="935"/>
      <c r="Z776" s="935"/>
      <c r="AA776" s="935"/>
    </row>
    <row r="777">
      <c r="A777" s="935"/>
      <c r="B777" s="972"/>
      <c r="C777" s="972"/>
      <c r="D777" s="972"/>
      <c r="E777" s="971"/>
      <c r="F777" s="167"/>
      <c r="G777" s="972"/>
      <c r="H777" s="973"/>
      <c r="I777" s="167"/>
      <c r="J777" s="167"/>
      <c r="K777" s="972"/>
      <c r="L777" s="972"/>
      <c r="M777" s="972"/>
      <c r="N777" s="972"/>
      <c r="O777" s="976"/>
      <c r="P777" s="978"/>
      <c r="Q777" s="978"/>
      <c r="R777" s="978"/>
      <c r="S777" s="978"/>
      <c r="T777" s="978"/>
      <c r="U777" s="978"/>
      <c r="V777" s="935"/>
      <c r="W777" s="972"/>
      <c r="X777" s="935"/>
      <c r="Y777" s="935"/>
      <c r="Z777" s="935"/>
      <c r="AA777" s="935"/>
    </row>
    <row r="778">
      <c r="A778" s="935"/>
      <c r="B778" s="972"/>
      <c r="C778" s="972"/>
      <c r="D778" s="972"/>
      <c r="E778" s="971"/>
      <c r="F778" s="167"/>
      <c r="G778" s="972"/>
      <c r="H778" s="973"/>
      <c r="I778" s="167"/>
      <c r="J778" s="167"/>
      <c r="K778" s="972"/>
      <c r="L778" s="972"/>
      <c r="M778" s="972"/>
      <c r="N778" s="972"/>
      <c r="O778" s="976"/>
      <c r="P778" s="978"/>
      <c r="Q778" s="978"/>
      <c r="R778" s="978"/>
      <c r="S778" s="978"/>
      <c r="T778" s="978"/>
      <c r="U778" s="978"/>
      <c r="V778" s="935"/>
      <c r="W778" s="972"/>
      <c r="X778" s="935"/>
      <c r="Y778" s="935"/>
      <c r="Z778" s="935"/>
      <c r="AA778" s="935"/>
    </row>
    <row r="779">
      <c r="A779" s="935"/>
      <c r="B779" s="972"/>
      <c r="C779" s="972"/>
      <c r="D779" s="972"/>
      <c r="E779" s="971"/>
      <c r="F779" s="167"/>
      <c r="G779" s="972"/>
      <c r="H779" s="973"/>
      <c r="I779" s="167"/>
      <c r="J779" s="167"/>
      <c r="K779" s="972"/>
      <c r="L779" s="972"/>
      <c r="M779" s="972"/>
      <c r="N779" s="972"/>
      <c r="O779" s="976"/>
      <c r="P779" s="978"/>
      <c r="Q779" s="978"/>
      <c r="R779" s="978"/>
      <c r="S779" s="978"/>
      <c r="T779" s="978"/>
      <c r="U779" s="978"/>
      <c r="V779" s="935"/>
      <c r="W779" s="972"/>
      <c r="X779" s="935"/>
      <c r="Y779" s="935"/>
      <c r="Z779" s="935"/>
      <c r="AA779" s="935"/>
    </row>
    <row r="780">
      <c r="A780" s="935"/>
      <c r="B780" s="972"/>
      <c r="C780" s="972"/>
      <c r="D780" s="972"/>
      <c r="E780" s="971"/>
      <c r="F780" s="167"/>
      <c r="G780" s="972"/>
      <c r="H780" s="973"/>
      <c r="I780" s="167"/>
      <c r="J780" s="167"/>
      <c r="K780" s="972"/>
      <c r="L780" s="972"/>
      <c r="M780" s="972"/>
      <c r="N780" s="972"/>
      <c r="O780" s="976"/>
      <c r="P780" s="978"/>
      <c r="Q780" s="978"/>
      <c r="R780" s="978"/>
      <c r="S780" s="978"/>
      <c r="T780" s="978"/>
      <c r="U780" s="978"/>
      <c r="V780" s="935"/>
      <c r="W780" s="972"/>
      <c r="X780" s="935"/>
      <c r="Y780" s="935"/>
      <c r="Z780" s="935"/>
      <c r="AA780" s="935"/>
    </row>
    <row r="781">
      <c r="A781" s="935"/>
      <c r="B781" s="972"/>
      <c r="C781" s="972"/>
      <c r="D781" s="972"/>
      <c r="E781" s="971"/>
      <c r="F781" s="167"/>
      <c r="G781" s="972"/>
      <c r="H781" s="973"/>
      <c r="I781" s="167"/>
      <c r="J781" s="167"/>
      <c r="K781" s="972"/>
      <c r="L781" s="972"/>
      <c r="M781" s="972"/>
      <c r="N781" s="972"/>
      <c r="O781" s="976"/>
      <c r="P781" s="978"/>
      <c r="Q781" s="978"/>
      <c r="R781" s="978"/>
      <c r="S781" s="978"/>
      <c r="T781" s="978"/>
      <c r="U781" s="978"/>
      <c r="V781" s="935"/>
      <c r="W781" s="972"/>
      <c r="X781" s="935"/>
      <c r="Y781" s="935"/>
      <c r="Z781" s="935"/>
      <c r="AA781" s="935"/>
    </row>
    <row r="782">
      <c r="A782" s="935"/>
      <c r="B782" s="972"/>
      <c r="C782" s="972"/>
      <c r="D782" s="972"/>
      <c r="E782" s="971"/>
      <c r="F782" s="167"/>
      <c r="G782" s="972"/>
      <c r="H782" s="973"/>
      <c r="I782" s="167"/>
      <c r="J782" s="167"/>
      <c r="K782" s="972"/>
      <c r="L782" s="972"/>
      <c r="M782" s="972"/>
      <c r="N782" s="972"/>
      <c r="O782" s="976"/>
      <c r="P782" s="978"/>
      <c r="Q782" s="978"/>
      <c r="R782" s="978"/>
      <c r="S782" s="978"/>
      <c r="T782" s="978"/>
      <c r="U782" s="978"/>
      <c r="V782" s="935"/>
      <c r="W782" s="972"/>
      <c r="X782" s="935"/>
      <c r="Y782" s="935"/>
      <c r="Z782" s="935"/>
      <c r="AA782" s="935"/>
    </row>
    <row r="783">
      <c r="A783" s="935"/>
      <c r="B783" s="972"/>
      <c r="C783" s="972"/>
      <c r="D783" s="972"/>
      <c r="E783" s="971"/>
      <c r="F783" s="167"/>
      <c r="G783" s="972"/>
      <c r="H783" s="973"/>
      <c r="I783" s="167"/>
      <c r="J783" s="167"/>
      <c r="K783" s="972"/>
      <c r="L783" s="972"/>
      <c r="M783" s="972"/>
      <c r="N783" s="972"/>
      <c r="O783" s="976"/>
      <c r="P783" s="978"/>
      <c r="Q783" s="978"/>
      <c r="R783" s="978"/>
      <c r="S783" s="978"/>
      <c r="T783" s="978"/>
      <c r="U783" s="978"/>
      <c r="V783" s="935"/>
      <c r="W783" s="972"/>
      <c r="X783" s="935"/>
      <c r="Y783" s="935"/>
      <c r="Z783" s="935"/>
      <c r="AA783" s="935"/>
    </row>
    <row r="784">
      <c r="A784" s="935"/>
      <c r="B784" s="972"/>
      <c r="C784" s="972"/>
      <c r="D784" s="972"/>
      <c r="E784" s="971"/>
      <c r="F784" s="167"/>
      <c r="G784" s="972"/>
      <c r="H784" s="973"/>
      <c r="I784" s="167"/>
      <c r="J784" s="167"/>
      <c r="K784" s="972"/>
      <c r="L784" s="972"/>
      <c r="M784" s="972"/>
      <c r="N784" s="972"/>
      <c r="O784" s="976"/>
      <c r="P784" s="978"/>
      <c r="Q784" s="978"/>
      <c r="R784" s="978"/>
      <c r="S784" s="978"/>
      <c r="T784" s="978"/>
      <c r="U784" s="978"/>
      <c r="V784" s="935"/>
      <c r="W784" s="972"/>
      <c r="X784" s="935"/>
      <c r="Y784" s="935"/>
      <c r="Z784" s="935"/>
      <c r="AA784" s="935"/>
    </row>
    <row r="785">
      <c r="A785" s="935"/>
      <c r="B785" s="972"/>
      <c r="C785" s="972"/>
      <c r="D785" s="972"/>
      <c r="E785" s="971"/>
      <c r="F785" s="167"/>
      <c r="G785" s="972"/>
      <c r="H785" s="973"/>
      <c r="I785" s="167"/>
      <c r="J785" s="167"/>
      <c r="K785" s="972"/>
      <c r="L785" s="972"/>
      <c r="M785" s="972"/>
      <c r="N785" s="972"/>
      <c r="O785" s="976"/>
      <c r="P785" s="978"/>
      <c r="Q785" s="978"/>
      <c r="R785" s="978"/>
      <c r="S785" s="978"/>
      <c r="T785" s="978"/>
      <c r="U785" s="978"/>
      <c r="V785" s="935"/>
      <c r="W785" s="972"/>
      <c r="X785" s="935"/>
      <c r="Y785" s="935"/>
      <c r="Z785" s="935"/>
      <c r="AA785" s="935"/>
    </row>
    <row r="786">
      <c r="A786" s="935"/>
      <c r="B786" s="972"/>
      <c r="C786" s="972"/>
      <c r="D786" s="972"/>
      <c r="E786" s="971"/>
      <c r="F786" s="167"/>
      <c r="G786" s="972"/>
      <c r="H786" s="973"/>
      <c r="I786" s="167"/>
      <c r="J786" s="167"/>
      <c r="K786" s="972"/>
      <c r="L786" s="972"/>
      <c r="M786" s="972"/>
      <c r="N786" s="972"/>
      <c r="O786" s="976"/>
      <c r="P786" s="978"/>
      <c r="Q786" s="978"/>
      <c r="R786" s="978"/>
      <c r="S786" s="978"/>
      <c r="T786" s="978"/>
      <c r="U786" s="978"/>
      <c r="V786" s="935"/>
      <c r="W786" s="972"/>
      <c r="X786" s="935"/>
      <c r="Y786" s="935"/>
      <c r="Z786" s="935"/>
      <c r="AA786" s="935"/>
    </row>
    <row r="787">
      <c r="A787" s="935"/>
      <c r="B787" s="972"/>
      <c r="C787" s="972"/>
      <c r="D787" s="972"/>
      <c r="E787" s="971"/>
      <c r="F787" s="167"/>
      <c r="G787" s="972"/>
      <c r="H787" s="973"/>
      <c r="I787" s="167"/>
      <c r="J787" s="167"/>
      <c r="K787" s="972"/>
      <c r="L787" s="972"/>
      <c r="M787" s="972"/>
      <c r="N787" s="972"/>
      <c r="O787" s="976"/>
      <c r="P787" s="978"/>
      <c r="Q787" s="978"/>
      <c r="R787" s="978"/>
      <c r="S787" s="978"/>
      <c r="T787" s="978"/>
      <c r="U787" s="978"/>
      <c r="V787" s="935"/>
      <c r="W787" s="972"/>
      <c r="X787" s="935"/>
      <c r="Y787" s="935"/>
      <c r="Z787" s="935"/>
      <c r="AA787" s="935"/>
    </row>
    <row r="788">
      <c r="A788" s="935"/>
      <c r="B788" s="972"/>
      <c r="C788" s="972"/>
      <c r="D788" s="972"/>
      <c r="E788" s="971"/>
      <c r="F788" s="167"/>
      <c r="G788" s="972"/>
      <c r="H788" s="973"/>
      <c r="I788" s="167"/>
      <c r="J788" s="167"/>
      <c r="K788" s="972"/>
      <c r="L788" s="972"/>
      <c r="M788" s="972"/>
      <c r="N788" s="972"/>
      <c r="O788" s="976"/>
      <c r="P788" s="978"/>
      <c r="Q788" s="978"/>
      <c r="R788" s="978"/>
      <c r="S788" s="978"/>
      <c r="T788" s="978"/>
      <c r="U788" s="978"/>
      <c r="V788" s="935"/>
      <c r="W788" s="972"/>
      <c r="X788" s="935"/>
      <c r="Y788" s="935"/>
      <c r="Z788" s="935"/>
      <c r="AA788" s="935"/>
    </row>
    <row r="789">
      <c r="A789" s="935"/>
      <c r="B789" s="972"/>
      <c r="C789" s="972"/>
      <c r="D789" s="972"/>
      <c r="E789" s="971"/>
      <c r="F789" s="167"/>
      <c r="G789" s="972"/>
      <c r="H789" s="973"/>
      <c r="I789" s="167"/>
      <c r="J789" s="167"/>
      <c r="K789" s="972"/>
      <c r="L789" s="972"/>
      <c r="M789" s="972"/>
      <c r="N789" s="972"/>
      <c r="O789" s="976"/>
      <c r="P789" s="978"/>
      <c r="Q789" s="978"/>
      <c r="R789" s="978"/>
      <c r="S789" s="978"/>
      <c r="T789" s="978"/>
      <c r="U789" s="978"/>
      <c r="V789" s="935"/>
      <c r="W789" s="972"/>
      <c r="X789" s="935"/>
      <c r="Y789" s="935"/>
      <c r="Z789" s="935"/>
      <c r="AA789" s="935"/>
    </row>
    <row r="790">
      <c r="A790" s="935"/>
      <c r="B790" s="972"/>
      <c r="C790" s="972"/>
      <c r="D790" s="972"/>
      <c r="E790" s="971"/>
      <c r="F790" s="167"/>
      <c r="G790" s="972"/>
      <c r="H790" s="973"/>
      <c r="I790" s="167"/>
      <c r="J790" s="167"/>
      <c r="K790" s="972"/>
      <c r="L790" s="972"/>
      <c r="M790" s="972"/>
      <c r="N790" s="972"/>
      <c r="O790" s="976"/>
      <c r="P790" s="978"/>
      <c r="Q790" s="978"/>
      <c r="R790" s="978"/>
      <c r="S790" s="978"/>
      <c r="T790" s="978"/>
      <c r="U790" s="978"/>
      <c r="V790" s="935"/>
      <c r="W790" s="972"/>
      <c r="X790" s="935"/>
      <c r="Y790" s="935"/>
      <c r="Z790" s="935"/>
      <c r="AA790" s="935"/>
    </row>
    <row r="791">
      <c r="A791" s="935"/>
      <c r="B791" s="972"/>
      <c r="C791" s="972"/>
      <c r="D791" s="972"/>
      <c r="E791" s="971"/>
      <c r="F791" s="167"/>
      <c r="G791" s="972"/>
      <c r="H791" s="973"/>
      <c r="I791" s="167"/>
      <c r="J791" s="167"/>
      <c r="K791" s="972"/>
      <c r="L791" s="972"/>
      <c r="M791" s="972"/>
      <c r="N791" s="972"/>
      <c r="O791" s="976"/>
      <c r="P791" s="978"/>
      <c r="Q791" s="978"/>
      <c r="R791" s="978"/>
      <c r="S791" s="978"/>
      <c r="T791" s="978"/>
      <c r="U791" s="978"/>
      <c r="V791" s="935"/>
      <c r="W791" s="972"/>
      <c r="X791" s="935"/>
      <c r="Y791" s="935"/>
      <c r="Z791" s="935"/>
      <c r="AA791" s="935"/>
    </row>
    <row r="792">
      <c r="A792" s="935"/>
      <c r="B792" s="972"/>
      <c r="C792" s="972"/>
      <c r="D792" s="972"/>
      <c r="E792" s="971"/>
      <c r="F792" s="167"/>
      <c r="G792" s="972"/>
      <c r="H792" s="973"/>
      <c r="I792" s="167"/>
      <c r="J792" s="167"/>
      <c r="K792" s="972"/>
      <c r="L792" s="972"/>
      <c r="M792" s="972"/>
      <c r="N792" s="972"/>
      <c r="O792" s="976"/>
      <c r="P792" s="978"/>
      <c r="Q792" s="978"/>
      <c r="R792" s="978"/>
      <c r="S792" s="978"/>
      <c r="T792" s="978"/>
      <c r="U792" s="978"/>
      <c r="V792" s="935"/>
      <c r="W792" s="972"/>
      <c r="X792" s="935"/>
      <c r="Y792" s="935"/>
      <c r="Z792" s="935"/>
      <c r="AA792" s="935"/>
    </row>
    <row r="793">
      <c r="A793" s="935"/>
      <c r="B793" s="972"/>
      <c r="C793" s="972"/>
      <c r="D793" s="972"/>
      <c r="E793" s="971"/>
      <c r="F793" s="167"/>
      <c r="G793" s="972"/>
      <c r="H793" s="973"/>
      <c r="I793" s="167"/>
      <c r="J793" s="167"/>
      <c r="K793" s="972"/>
      <c r="L793" s="972"/>
      <c r="M793" s="972"/>
      <c r="N793" s="972"/>
      <c r="O793" s="976"/>
      <c r="P793" s="978"/>
      <c r="Q793" s="978"/>
      <c r="R793" s="978"/>
      <c r="S793" s="978"/>
      <c r="T793" s="978"/>
      <c r="U793" s="978"/>
      <c r="V793" s="935"/>
      <c r="W793" s="972"/>
      <c r="X793" s="935"/>
      <c r="Y793" s="935"/>
      <c r="Z793" s="935"/>
      <c r="AA793" s="935"/>
    </row>
    <row r="794">
      <c r="A794" s="935"/>
      <c r="B794" s="972"/>
      <c r="C794" s="972"/>
      <c r="D794" s="972"/>
      <c r="E794" s="971"/>
      <c r="F794" s="167"/>
      <c r="G794" s="972"/>
      <c r="H794" s="973"/>
      <c r="I794" s="167"/>
      <c r="J794" s="167"/>
      <c r="K794" s="972"/>
      <c r="L794" s="972"/>
      <c r="M794" s="972"/>
      <c r="N794" s="972"/>
      <c r="O794" s="976"/>
      <c r="P794" s="978"/>
      <c r="Q794" s="978"/>
      <c r="R794" s="978"/>
      <c r="S794" s="978"/>
      <c r="T794" s="978"/>
      <c r="U794" s="978"/>
      <c r="V794" s="935"/>
      <c r="W794" s="972"/>
      <c r="X794" s="935"/>
      <c r="Y794" s="935"/>
      <c r="Z794" s="935"/>
      <c r="AA794" s="935"/>
    </row>
    <row r="795">
      <c r="A795" s="935"/>
      <c r="B795" s="972"/>
      <c r="C795" s="972"/>
      <c r="D795" s="972"/>
      <c r="E795" s="971"/>
      <c r="F795" s="167"/>
      <c r="G795" s="972"/>
      <c r="H795" s="973"/>
      <c r="I795" s="167"/>
      <c r="J795" s="167"/>
      <c r="K795" s="972"/>
      <c r="L795" s="972"/>
      <c r="M795" s="972"/>
      <c r="N795" s="972"/>
      <c r="O795" s="976"/>
      <c r="P795" s="978"/>
      <c r="Q795" s="978"/>
      <c r="R795" s="978"/>
      <c r="S795" s="978"/>
      <c r="T795" s="978"/>
      <c r="U795" s="978"/>
      <c r="V795" s="935"/>
      <c r="W795" s="972"/>
      <c r="X795" s="935"/>
      <c r="Y795" s="935"/>
      <c r="Z795" s="935"/>
      <c r="AA795" s="935"/>
    </row>
    <row r="796">
      <c r="A796" s="935"/>
      <c r="B796" s="972"/>
      <c r="C796" s="972"/>
      <c r="D796" s="972"/>
      <c r="E796" s="971"/>
      <c r="F796" s="167"/>
      <c r="G796" s="972"/>
      <c r="H796" s="973"/>
      <c r="I796" s="167"/>
      <c r="J796" s="167"/>
      <c r="K796" s="972"/>
      <c r="L796" s="972"/>
      <c r="M796" s="972"/>
      <c r="N796" s="972"/>
      <c r="O796" s="976"/>
      <c r="P796" s="978"/>
      <c r="Q796" s="978"/>
      <c r="R796" s="978"/>
      <c r="S796" s="978"/>
      <c r="T796" s="978"/>
      <c r="U796" s="978"/>
      <c r="V796" s="935"/>
      <c r="W796" s="972"/>
      <c r="X796" s="935"/>
      <c r="Y796" s="935"/>
      <c r="Z796" s="935"/>
      <c r="AA796" s="935"/>
    </row>
    <row r="797">
      <c r="A797" s="935"/>
      <c r="B797" s="972"/>
      <c r="C797" s="972"/>
      <c r="D797" s="972"/>
      <c r="E797" s="971"/>
      <c r="F797" s="167"/>
      <c r="G797" s="972"/>
      <c r="H797" s="973"/>
      <c r="I797" s="167"/>
      <c r="J797" s="167"/>
      <c r="K797" s="972"/>
      <c r="L797" s="972"/>
      <c r="M797" s="972"/>
      <c r="N797" s="972"/>
      <c r="O797" s="976"/>
      <c r="P797" s="978"/>
      <c r="Q797" s="978"/>
      <c r="R797" s="978"/>
      <c r="S797" s="978"/>
      <c r="T797" s="978"/>
      <c r="U797" s="978"/>
      <c r="V797" s="935"/>
      <c r="W797" s="972"/>
      <c r="X797" s="935"/>
      <c r="Y797" s="935"/>
      <c r="Z797" s="935"/>
      <c r="AA797" s="935"/>
    </row>
    <row r="798">
      <c r="A798" s="935"/>
      <c r="B798" s="972"/>
      <c r="C798" s="972"/>
      <c r="D798" s="972"/>
      <c r="E798" s="971"/>
      <c r="F798" s="167"/>
      <c r="G798" s="972"/>
      <c r="H798" s="973"/>
      <c r="I798" s="167"/>
      <c r="J798" s="167"/>
      <c r="K798" s="972"/>
      <c r="L798" s="972"/>
      <c r="M798" s="972"/>
      <c r="N798" s="972"/>
      <c r="O798" s="976"/>
      <c r="P798" s="978"/>
      <c r="Q798" s="978"/>
      <c r="R798" s="978"/>
      <c r="S798" s="978"/>
      <c r="T798" s="978"/>
      <c r="U798" s="978"/>
      <c r="V798" s="935"/>
      <c r="W798" s="972"/>
      <c r="X798" s="935"/>
      <c r="Y798" s="935"/>
      <c r="Z798" s="935"/>
      <c r="AA798" s="935"/>
    </row>
    <row r="799">
      <c r="A799" s="935"/>
      <c r="B799" s="972"/>
      <c r="C799" s="972"/>
      <c r="D799" s="972"/>
      <c r="E799" s="971"/>
      <c r="F799" s="167"/>
      <c r="G799" s="972"/>
      <c r="H799" s="973"/>
      <c r="I799" s="167"/>
      <c r="J799" s="167"/>
      <c r="K799" s="972"/>
      <c r="L799" s="972"/>
      <c r="M799" s="972"/>
      <c r="N799" s="972"/>
      <c r="O799" s="976"/>
      <c r="P799" s="978"/>
      <c r="Q799" s="978"/>
      <c r="R799" s="978"/>
      <c r="S799" s="978"/>
      <c r="T799" s="978"/>
      <c r="U799" s="978"/>
      <c r="V799" s="935"/>
      <c r="W799" s="972"/>
      <c r="X799" s="935"/>
      <c r="Y799" s="935"/>
      <c r="Z799" s="935"/>
      <c r="AA799" s="935"/>
    </row>
    <row r="800">
      <c r="A800" s="935"/>
      <c r="B800" s="972"/>
      <c r="C800" s="972"/>
      <c r="D800" s="972"/>
      <c r="E800" s="971"/>
      <c r="F800" s="167"/>
      <c r="G800" s="972"/>
      <c r="H800" s="973"/>
      <c r="I800" s="167"/>
      <c r="J800" s="167"/>
      <c r="K800" s="972"/>
      <c r="L800" s="972"/>
      <c r="M800" s="972"/>
      <c r="N800" s="972"/>
      <c r="O800" s="976"/>
      <c r="P800" s="978"/>
      <c r="Q800" s="978"/>
      <c r="R800" s="978"/>
      <c r="S800" s="978"/>
      <c r="T800" s="978"/>
      <c r="U800" s="978"/>
      <c r="V800" s="935"/>
      <c r="W800" s="972"/>
      <c r="X800" s="935"/>
      <c r="Y800" s="935"/>
      <c r="Z800" s="935"/>
      <c r="AA800" s="935"/>
    </row>
    <row r="801">
      <c r="A801" s="935"/>
      <c r="B801" s="972"/>
      <c r="C801" s="972"/>
      <c r="D801" s="972"/>
      <c r="E801" s="971"/>
      <c r="F801" s="167"/>
      <c r="G801" s="972"/>
      <c r="H801" s="973"/>
      <c r="I801" s="167"/>
      <c r="J801" s="167"/>
      <c r="K801" s="972"/>
      <c r="L801" s="972"/>
      <c r="M801" s="972"/>
      <c r="N801" s="972"/>
      <c r="O801" s="976"/>
      <c r="P801" s="978"/>
      <c r="Q801" s="978"/>
      <c r="R801" s="978"/>
      <c r="S801" s="978"/>
      <c r="T801" s="978"/>
      <c r="U801" s="978"/>
      <c r="V801" s="935"/>
      <c r="W801" s="972"/>
      <c r="X801" s="935"/>
      <c r="Y801" s="935"/>
      <c r="Z801" s="935"/>
      <c r="AA801" s="935"/>
    </row>
    <row r="802">
      <c r="A802" s="935"/>
      <c r="B802" s="972"/>
      <c r="C802" s="972"/>
      <c r="D802" s="972"/>
      <c r="E802" s="971"/>
      <c r="F802" s="167"/>
      <c r="G802" s="972"/>
      <c r="H802" s="973"/>
      <c r="I802" s="167"/>
      <c r="J802" s="167"/>
      <c r="K802" s="972"/>
      <c r="L802" s="972"/>
      <c r="M802" s="972"/>
      <c r="N802" s="972"/>
      <c r="O802" s="976"/>
      <c r="P802" s="978"/>
      <c r="Q802" s="978"/>
      <c r="R802" s="978"/>
      <c r="S802" s="978"/>
      <c r="T802" s="978"/>
      <c r="U802" s="978"/>
      <c r="V802" s="935"/>
      <c r="W802" s="972"/>
      <c r="X802" s="935"/>
      <c r="Y802" s="935"/>
      <c r="Z802" s="935"/>
      <c r="AA802" s="935"/>
    </row>
    <row r="803">
      <c r="A803" s="935"/>
      <c r="B803" s="972"/>
      <c r="C803" s="972"/>
      <c r="D803" s="972"/>
      <c r="E803" s="971"/>
      <c r="F803" s="167"/>
      <c r="G803" s="972"/>
      <c r="H803" s="973"/>
      <c r="I803" s="167"/>
      <c r="J803" s="167"/>
      <c r="K803" s="972"/>
      <c r="L803" s="972"/>
      <c r="M803" s="972"/>
      <c r="N803" s="972"/>
      <c r="O803" s="976"/>
      <c r="P803" s="978"/>
      <c r="Q803" s="978"/>
      <c r="R803" s="978"/>
      <c r="S803" s="978"/>
      <c r="T803" s="978"/>
      <c r="U803" s="978"/>
      <c r="V803" s="935"/>
      <c r="W803" s="972"/>
      <c r="X803" s="935"/>
      <c r="Y803" s="935"/>
      <c r="Z803" s="935"/>
      <c r="AA803" s="935"/>
    </row>
    <row r="804">
      <c r="A804" s="935"/>
      <c r="B804" s="972"/>
      <c r="C804" s="972"/>
      <c r="D804" s="972"/>
      <c r="E804" s="971"/>
      <c r="F804" s="167"/>
      <c r="G804" s="972"/>
      <c r="H804" s="973"/>
      <c r="I804" s="167"/>
      <c r="J804" s="167"/>
      <c r="K804" s="972"/>
      <c r="L804" s="972"/>
      <c r="M804" s="972"/>
      <c r="N804" s="972"/>
      <c r="O804" s="976"/>
      <c r="P804" s="978"/>
      <c r="Q804" s="978"/>
      <c r="R804" s="978"/>
      <c r="S804" s="978"/>
      <c r="T804" s="978"/>
      <c r="U804" s="978"/>
      <c r="V804" s="935"/>
      <c r="W804" s="972"/>
      <c r="X804" s="935"/>
      <c r="Y804" s="935"/>
      <c r="Z804" s="935"/>
      <c r="AA804" s="935"/>
    </row>
    <row r="805">
      <c r="A805" s="935"/>
      <c r="B805" s="972"/>
      <c r="C805" s="972"/>
      <c r="D805" s="972"/>
      <c r="E805" s="971"/>
      <c r="F805" s="167"/>
      <c r="G805" s="972"/>
      <c r="H805" s="973"/>
      <c r="I805" s="167"/>
      <c r="J805" s="167"/>
      <c r="K805" s="972"/>
      <c r="L805" s="972"/>
      <c r="M805" s="972"/>
      <c r="N805" s="972"/>
      <c r="O805" s="976"/>
      <c r="P805" s="978"/>
      <c r="Q805" s="978"/>
      <c r="R805" s="978"/>
      <c r="S805" s="978"/>
      <c r="T805" s="978"/>
      <c r="U805" s="978"/>
      <c r="V805" s="935"/>
      <c r="W805" s="972"/>
      <c r="X805" s="935"/>
      <c r="Y805" s="935"/>
      <c r="Z805" s="935"/>
      <c r="AA805" s="935"/>
    </row>
    <row r="806">
      <c r="A806" s="935"/>
      <c r="B806" s="972"/>
      <c r="C806" s="972"/>
      <c r="D806" s="972"/>
      <c r="E806" s="971"/>
      <c r="F806" s="167"/>
      <c r="G806" s="972"/>
      <c r="H806" s="973"/>
      <c r="I806" s="167"/>
      <c r="J806" s="167"/>
      <c r="K806" s="972"/>
      <c r="L806" s="972"/>
      <c r="M806" s="972"/>
      <c r="N806" s="972"/>
      <c r="O806" s="976"/>
      <c r="P806" s="978"/>
      <c r="Q806" s="978"/>
      <c r="R806" s="978"/>
      <c r="S806" s="978"/>
      <c r="T806" s="978"/>
      <c r="U806" s="978"/>
      <c r="V806" s="935"/>
      <c r="W806" s="972"/>
      <c r="X806" s="935"/>
      <c r="Y806" s="935"/>
      <c r="Z806" s="935"/>
      <c r="AA806" s="935"/>
    </row>
    <row r="807">
      <c r="A807" s="935"/>
      <c r="B807" s="972"/>
      <c r="C807" s="972"/>
      <c r="D807" s="972"/>
      <c r="E807" s="971"/>
      <c r="F807" s="167"/>
      <c r="G807" s="972"/>
      <c r="H807" s="973"/>
      <c r="I807" s="167"/>
      <c r="J807" s="167"/>
      <c r="K807" s="972"/>
      <c r="L807" s="972"/>
      <c r="M807" s="972"/>
      <c r="N807" s="972"/>
      <c r="O807" s="976"/>
      <c r="P807" s="978"/>
      <c r="Q807" s="978"/>
      <c r="R807" s="978"/>
      <c r="S807" s="978"/>
      <c r="T807" s="978"/>
      <c r="U807" s="978"/>
      <c r="V807" s="935"/>
      <c r="W807" s="972"/>
      <c r="X807" s="935"/>
      <c r="Y807" s="935"/>
      <c r="Z807" s="935"/>
      <c r="AA807" s="935"/>
    </row>
    <row r="808">
      <c r="A808" s="935"/>
      <c r="B808" s="972"/>
      <c r="C808" s="972"/>
      <c r="D808" s="972"/>
      <c r="E808" s="971"/>
      <c r="F808" s="167"/>
      <c r="G808" s="972"/>
      <c r="H808" s="973"/>
      <c r="I808" s="167"/>
      <c r="J808" s="167"/>
      <c r="K808" s="972"/>
      <c r="L808" s="972"/>
      <c r="M808" s="972"/>
      <c r="N808" s="972"/>
      <c r="O808" s="976"/>
      <c r="P808" s="978"/>
      <c r="Q808" s="978"/>
      <c r="R808" s="978"/>
      <c r="S808" s="978"/>
      <c r="T808" s="978"/>
      <c r="U808" s="978"/>
      <c r="V808" s="935"/>
      <c r="W808" s="972"/>
      <c r="X808" s="935"/>
      <c r="Y808" s="935"/>
      <c r="Z808" s="935"/>
      <c r="AA808" s="935"/>
    </row>
    <row r="809">
      <c r="A809" s="935"/>
      <c r="B809" s="972"/>
      <c r="C809" s="972"/>
      <c r="D809" s="972"/>
      <c r="E809" s="971"/>
      <c r="F809" s="167"/>
      <c r="G809" s="972"/>
      <c r="H809" s="973"/>
      <c r="I809" s="167"/>
      <c r="J809" s="167"/>
      <c r="K809" s="972"/>
      <c r="L809" s="972"/>
      <c r="M809" s="972"/>
      <c r="N809" s="972"/>
      <c r="O809" s="976"/>
      <c r="P809" s="978"/>
      <c r="Q809" s="978"/>
      <c r="R809" s="978"/>
      <c r="S809" s="978"/>
      <c r="T809" s="978"/>
      <c r="U809" s="978"/>
      <c r="V809" s="935"/>
      <c r="W809" s="972"/>
      <c r="X809" s="935"/>
      <c r="Y809" s="935"/>
      <c r="Z809" s="935"/>
      <c r="AA809" s="935"/>
    </row>
    <row r="810">
      <c r="A810" s="935"/>
      <c r="B810" s="972"/>
      <c r="C810" s="972"/>
      <c r="D810" s="972"/>
      <c r="E810" s="971"/>
      <c r="F810" s="167"/>
      <c r="G810" s="972"/>
      <c r="H810" s="973"/>
      <c r="I810" s="167"/>
      <c r="J810" s="167"/>
      <c r="K810" s="972"/>
      <c r="L810" s="972"/>
      <c r="M810" s="972"/>
      <c r="N810" s="972"/>
      <c r="O810" s="976"/>
      <c r="P810" s="978"/>
      <c r="Q810" s="978"/>
      <c r="R810" s="978"/>
      <c r="S810" s="978"/>
      <c r="T810" s="978"/>
      <c r="U810" s="978"/>
      <c r="V810" s="935"/>
      <c r="W810" s="972"/>
      <c r="X810" s="935"/>
      <c r="Y810" s="935"/>
      <c r="Z810" s="935"/>
      <c r="AA810" s="935"/>
    </row>
    <row r="811">
      <c r="A811" s="935"/>
      <c r="B811" s="972"/>
      <c r="C811" s="972"/>
      <c r="D811" s="972"/>
      <c r="E811" s="971"/>
      <c r="F811" s="167"/>
      <c r="G811" s="972"/>
      <c r="H811" s="973"/>
      <c r="I811" s="167"/>
      <c r="J811" s="167"/>
      <c r="K811" s="972"/>
      <c r="L811" s="972"/>
      <c r="M811" s="972"/>
      <c r="N811" s="972"/>
      <c r="O811" s="976"/>
      <c r="P811" s="978"/>
      <c r="Q811" s="978"/>
      <c r="R811" s="978"/>
      <c r="S811" s="978"/>
      <c r="T811" s="978"/>
      <c r="U811" s="978"/>
      <c r="V811" s="935"/>
      <c r="W811" s="972"/>
      <c r="X811" s="935"/>
      <c r="Y811" s="935"/>
      <c r="Z811" s="935"/>
      <c r="AA811" s="935"/>
    </row>
    <row r="812">
      <c r="A812" s="935"/>
      <c r="B812" s="972"/>
      <c r="C812" s="972"/>
      <c r="D812" s="972"/>
      <c r="E812" s="971"/>
      <c r="F812" s="167"/>
      <c r="G812" s="972"/>
      <c r="H812" s="973"/>
      <c r="I812" s="167"/>
      <c r="J812" s="167"/>
      <c r="K812" s="972"/>
      <c r="L812" s="972"/>
      <c r="M812" s="972"/>
      <c r="N812" s="972"/>
      <c r="O812" s="976"/>
      <c r="P812" s="978"/>
      <c r="Q812" s="978"/>
      <c r="R812" s="978"/>
      <c r="S812" s="978"/>
      <c r="T812" s="978"/>
      <c r="U812" s="978"/>
      <c r="V812" s="935"/>
      <c r="W812" s="972"/>
      <c r="X812" s="935"/>
      <c r="Y812" s="935"/>
      <c r="Z812" s="935"/>
      <c r="AA812" s="935"/>
    </row>
    <row r="813">
      <c r="A813" s="935"/>
      <c r="B813" s="972"/>
      <c r="C813" s="972"/>
      <c r="D813" s="972"/>
      <c r="E813" s="971"/>
      <c r="F813" s="167"/>
      <c r="G813" s="972"/>
      <c r="H813" s="973"/>
      <c r="I813" s="167"/>
      <c r="J813" s="167"/>
      <c r="K813" s="972"/>
      <c r="L813" s="972"/>
      <c r="M813" s="972"/>
      <c r="N813" s="972"/>
      <c r="O813" s="976"/>
      <c r="P813" s="978"/>
      <c r="Q813" s="978"/>
      <c r="R813" s="978"/>
      <c r="S813" s="978"/>
      <c r="T813" s="978"/>
      <c r="U813" s="978"/>
      <c r="V813" s="935"/>
      <c r="W813" s="972"/>
      <c r="X813" s="935"/>
      <c r="Y813" s="935"/>
      <c r="Z813" s="935"/>
      <c r="AA813" s="935"/>
    </row>
    <row r="814">
      <c r="A814" s="935"/>
      <c r="B814" s="972"/>
      <c r="C814" s="972"/>
      <c r="D814" s="972"/>
      <c r="E814" s="971"/>
      <c r="F814" s="167"/>
      <c r="G814" s="972"/>
      <c r="H814" s="973"/>
      <c r="I814" s="167"/>
      <c r="J814" s="167"/>
      <c r="K814" s="972"/>
      <c r="L814" s="972"/>
      <c r="M814" s="972"/>
      <c r="N814" s="972"/>
      <c r="O814" s="976"/>
      <c r="P814" s="978"/>
      <c r="Q814" s="978"/>
      <c r="R814" s="978"/>
      <c r="S814" s="978"/>
      <c r="T814" s="978"/>
      <c r="U814" s="978"/>
      <c r="V814" s="935"/>
      <c r="W814" s="972"/>
      <c r="X814" s="935"/>
      <c r="Y814" s="935"/>
      <c r="Z814" s="935"/>
      <c r="AA814" s="935"/>
    </row>
    <row r="815">
      <c r="A815" s="935"/>
      <c r="B815" s="972"/>
      <c r="C815" s="972"/>
      <c r="D815" s="972"/>
      <c r="E815" s="971"/>
      <c r="F815" s="167"/>
      <c r="G815" s="972"/>
      <c r="H815" s="973"/>
      <c r="I815" s="167"/>
      <c r="J815" s="167"/>
      <c r="K815" s="972"/>
      <c r="L815" s="972"/>
      <c r="M815" s="972"/>
      <c r="N815" s="972"/>
      <c r="O815" s="976"/>
      <c r="P815" s="978"/>
      <c r="Q815" s="978"/>
      <c r="R815" s="978"/>
      <c r="S815" s="978"/>
      <c r="T815" s="978"/>
      <c r="U815" s="978"/>
      <c r="V815" s="935"/>
      <c r="W815" s="972"/>
      <c r="X815" s="935"/>
      <c r="Y815" s="935"/>
      <c r="Z815" s="935"/>
      <c r="AA815" s="935"/>
    </row>
    <row r="816">
      <c r="A816" s="935"/>
      <c r="B816" s="972"/>
      <c r="C816" s="972"/>
      <c r="D816" s="972"/>
      <c r="E816" s="971"/>
      <c r="F816" s="167"/>
      <c r="G816" s="972"/>
      <c r="H816" s="973"/>
      <c r="I816" s="167"/>
      <c r="J816" s="167"/>
      <c r="K816" s="972"/>
      <c r="L816" s="972"/>
      <c r="M816" s="972"/>
      <c r="N816" s="972"/>
      <c r="O816" s="976"/>
      <c r="P816" s="978"/>
      <c r="Q816" s="978"/>
      <c r="R816" s="978"/>
      <c r="S816" s="978"/>
      <c r="T816" s="978"/>
      <c r="U816" s="978"/>
      <c r="V816" s="935"/>
      <c r="W816" s="972"/>
      <c r="X816" s="935"/>
      <c r="Y816" s="935"/>
      <c r="Z816" s="935"/>
      <c r="AA816" s="935"/>
    </row>
    <row r="817">
      <c r="A817" s="935"/>
      <c r="B817" s="972"/>
      <c r="C817" s="972"/>
      <c r="D817" s="972"/>
      <c r="E817" s="971"/>
      <c r="F817" s="167"/>
      <c r="G817" s="972"/>
      <c r="H817" s="973"/>
      <c r="I817" s="167"/>
      <c r="J817" s="167"/>
      <c r="K817" s="972"/>
      <c r="L817" s="972"/>
      <c r="M817" s="972"/>
      <c r="N817" s="972"/>
      <c r="O817" s="976"/>
      <c r="P817" s="978"/>
      <c r="Q817" s="978"/>
      <c r="R817" s="978"/>
      <c r="S817" s="978"/>
      <c r="T817" s="978"/>
      <c r="U817" s="978"/>
      <c r="V817" s="935"/>
      <c r="W817" s="972"/>
      <c r="X817" s="935"/>
      <c r="Y817" s="935"/>
      <c r="Z817" s="935"/>
      <c r="AA817" s="935"/>
    </row>
    <row r="818">
      <c r="A818" s="935"/>
      <c r="B818" s="972"/>
      <c r="C818" s="972"/>
      <c r="D818" s="972"/>
      <c r="E818" s="971"/>
      <c r="F818" s="167"/>
      <c r="G818" s="972"/>
      <c r="H818" s="973"/>
      <c r="I818" s="167"/>
      <c r="J818" s="167"/>
      <c r="K818" s="972"/>
      <c r="L818" s="972"/>
      <c r="M818" s="972"/>
      <c r="N818" s="972"/>
      <c r="O818" s="976"/>
      <c r="P818" s="978"/>
      <c r="Q818" s="978"/>
      <c r="R818" s="978"/>
      <c r="S818" s="978"/>
      <c r="T818" s="978"/>
      <c r="U818" s="978"/>
      <c r="V818" s="935"/>
      <c r="W818" s="972"/>
      <c r="X818" s="935"/>
      <c r="Y818" s="935"/>
      <c r="Z818" s="935"/>
      <c r="AA818" s="935"/>
    </row>
    <row r="819">
      <c r="A819" s="935"/>
      <c r="B819" s="972"/>
      <c r="C819" s="972"/>
      <c r="D819" s="972"/>
      <c r="E819" s="971"/>
      <c r="F819" s="167"/>
      <c r="G819" s="972"/>
      <c r="H819" s="973"/>
      <c r="I819" s="167"/>
      <c r="J819" s="167"/>
      <c r="K819" s="972"/>
      <c r="L819" s="972"/>
      <c r="M819" s="972"/>
      <c r="N819" s="972"/>
      <c r="O819" s="976"/>
      <c r="P819" s="978"/>
      <c r="Q819" s="978"/>
      <c r="R819" s="978"/>
      <c r="S819" s="978"/>
      <c r="T819" s="978"/>
      <c r="U819" s="978"/>
      <c r="V819" s="935"/>
      <c r="W819" s="972"/>
      <c r="X819" s="935"/>
      <c r="Y819" s="935"/>
      <c r="Z819" s="935"/>
      <c r="AA819" s="935"/>
    </row>
    <row r="820">
      <c r="A820" s="935"/>
      <c r="B820" s="972"/>
      <c r="C820" s="972"/>
      <c r="D820" s="972"/>
      <c r="E820" s="971"/>
      <c r="F820" s="167"/>
      <c r="G820" s="972"/>
      <c r="H820" s="973"/>
      <c r="I820" s="167"/>
      <c r="J820" s="167"/>
      <c r="K820" s="972"/>
      <c r="L820" s="972"/>
      <c r="M820" s="972"/>
      <c r="N820" s="972"/>
      <c r="O820" s="976"/>
      <c r="P820" s="978"/>
      <c r="Q820" s="978"/>
      <c r="R820" s="978"/>
      <c r="S820" s="978"/>
      <c r="T820" s="978"/>
      <c r="U820" s="978"/>
      <c r="V820" s="935"/>
      <c r="W820" s="972"/>
      <c r="X820" s="935"/>
      <c r="Y820" s="935"/>
      <c r="Z820" s="935"/>
      <c r="AA820" s="935"/>
    </row>
    <row r="821">
      <c r="A821" s="935"/>
      <c r="B821" s="972"/>
      <c r="C821" s="972"/>
      <c r="D821" s="972"/>
      <c r="E821" s="971"/>
      <c r="F821" s="167"/>
      <c r="G821" s="972"/>
      <c r="H821" s="973"/>
      <c r="I821" s="167"/>
      <c r="J821" s="167"/>
      <c r="K821" s="972"/>
      <c r="L821" s="972"/>
      <c r="M821" s="972"/>
      <c r="N821" s="972"/>
      <c r="O821" s="976"/>
      <c r="P821" s="978"/>
      <c r="Q821" s="978"/>
      <c r="R821" s="978"/>
      <c r="S821" s="978"/>
      <c r="T821" s="978"/>
      <c r="U821" s="978"/>
      <c r="V821" s="935"/>
      <c r="W821" s="972"/>
      <c r="X821" s="935"/>
      <c r="Y821" s="935"/>
      <c r="Z821" s="935"/>
      <c r="AA821" s="935"/>
    </row>
    <row r="822">
      <c r="A822" s="935"/>
      <c r="B822" s="972"/>
      <c r="C822" s="972"/>
      <c r="D822" s="972"/>
      <c r="E822" s="971"/>
      <c r="F822" s="167"/>
      <c r="G822" s="972"/>
      <c r="H822" s="973"/>
      <c r="I822" s="167"/>
      <c r="J822" s="167"/>
      <c r="K822" s="972"/>
      <c r="L822" s="972"/>
      <c r="M822" s="972"/>
      <c r="N822" s="972"/>
      <c r="O822" s="976"/>
      <c r="P822" s="978"/>
      <c r="Q822" s="978"/>
      <c r="R822" s="978"/>
      <c r="S822" s="978"/>
      <c r="T822" s="978"/>
      <c r="U822" s="978"/>
      <c r="V822" s="935"/>
      <c r="W822" s="972"/>
      <c r="X822" s="935"/>
      <c r="Y822" s="935"/>
      <c r="Z822" s="935"/>
      <c r="AA822" s="935"/>
    </row>
    <row r="823">
      <c r="A823" s="935"/>
      <c r="B823" s="972"/>
      <c r="C823" s="972"/>
      <c r="D823" s="972"/>
      <c r="E823" s="971"/>
      <c r="F823" s="167"/>
      <c r="G823" s="972"/>
      <c r="H823" s="973"/>
      <c r="I823" s="167"/>
      <c r="J823" s="167"/>
      <c r="K823" s="972"/>
      <c r="L823" s="972"/>
      <c r="M823" s="972"/>
      <c r="N823" s="972"/>
      <c r="O823" s="976"/>
      <c r="P823" s="978"/>
      <c r="Q823" s="978"/>
      <c r="R823" s="978"/>
      <c r="S823" s="978"/>
      <c r="T823" s="978"/>
      <c r="U823" s="978"/>
      <c r="V823" s="935"/>
      <c r="W823" s="972"/>
      <c r="X823" s="935"/>
      <c r="Y823" s="935"/>
      <c r="Z823" s="935"/>
      <c r="AA823" s="935"/>
    </row>
    <row r="824">
      <c r="A824" s="935"/>
      <c r="B824" s="972"/>
      <c r="C824" s="972"/>
      <c r="D824" s="972"/>
      <c r="E824" s="971"/>
      <c r="F824" s="167"/>
      <c r="G824" s="972"/>
      <c r="H824" s="973"/>
      <c r="I824" s="167"/>
      <c r="J824" s="167"/>
      <c r="K824" s="972"/>
      <c r="L824" s="972"/>
      <c r="M824" s="972"/>
      <c r="N824" s="972"/>
      <c r="O824" s="976"/>
      <c r="P824" s="978"/>
      <c r="Q824" s="978"/>
      <c r="R824" s="978"/>
      <c r="S824" s="978"/>
      <c r="T824" s="978"/>
      <c r="U824" s="978"/>
      <c r="V824" s="935"/>
      <c r="W824" s="972"/>
      <c r="X824" s="935"/>
      <c r="Y824" s="935"/>
      <c r="Z824" s="935"/>
      <c r="AA824" s="935"/>
    </row>
    <row r="825">
      <c r="A825" s="935"/>
      <c r="B825" s="972"/>
      <c r="C825" s="972"/>
      <c r="D825" s="972"/>
      <c r="E825" s="971"/>
      <c r="F825" s="167"/>
      <c r="G825" s="972"/>
      <c r="H825" s="973"/>
      <c r="I825" s="167"/>
      <c r="J825" s="167"/>
      <c r="K825" s="972"/>
      <c r="L825" s="972"/>
      <c r="M825" s="972"/>
      <c r="N825" s="972"/>
      <c r="O825" s="976"/>
      <c r="P825" s="978"/>
      <c r="Q825" s="978"/>
      <c r="R825" s="978"/>
      <c r="S825" s="978"/>
      <c r="T825" s="978"/>
      <c r="U825" s="978"/>
      <c r="V825" s="935"/>
      <c r="W825" s="972"/>
      <c r="X825" s="935"/>
      <c r="Y825" s="935"/>
      <c r="Z825" s="935"/>
      <c r="AA825" s="935"/>
    </row>
    <row r="826">
      <c r="A826" s="935"/>
      <c r="B826" s="972"/>
      <c r="C826" s="972"/>
      <c r="D826" s="972"/>
      <c r="E826" s="971"/>
      <c r="F826" s="167"/>
      <c r="G826" s="972"/>
      <c r="H826" s="973"/>
      <c r="I826" s="167"/>
      <c r="J826" s="167"/>
      <c r="K826" s="972"/>
      <c r="L826" s="972"/>
      <c r="M826" s="972"/>
      <c r="N826" s="972"/>
      <c r="O826" s="976"/>
      <c r="P826" s="978"/>
      <c r="Q826" s="978"/>
      <c r="R826" s="978"/>
      <c r="S826" s="978"/>
      <c r="T826" s="978"/>
      <c r="U826" s="978"/>
      <c r="V826" s="935"/>
      <c r="W826" s="972"/>
      <c r="X826" s="935"/>
      <c r="Y826" s="935"/>
      <c r="Z826" s="935"/>
      <c r="AA826" s="935"/>
    </row>
    <row r="827">
      <c r="A827" s="935"/>
      <c r="B827" s="972"/>
      <c r="C827" s="972"/>
      <c r="D827" s="972"/>
      <c r="E827" s="971"/>
      <c r="F827" s="167"/>
      <c r="G827" s="972"/>
      <c r="H827" s="973"/>
      <c r="I827" s="167"/>
      <c r="J827" s="167"/>
      <c r="K827" s="972"/>
      <c r="L827" s="972"/>
      <c r="M827" s="972"/>
      <c r="N827" s="972"/>
      <c r="O827" s="976"/>
      <c r="P827" s="978"/>
      <c r="Q827" s="978"/>
      <c r="R827" s="978"/>
      <c r="S827" s="978"/>
      <c r="T827" s="978"/>
      <c r="U827" s="978"/>
      <c r="V827" s="935"/>
      <c r="W827" s="972"/>
      <c r="X827" s="935"/>
      <c r="Y827" s="935"/>
      <c r="Z827" s="935"/>
      <c r="AA827" s="935"/>
    </row>
    <row r="828">
      <c r="A828" s="935"/>
      <c r="B828" s="972"/>
      <c r="C828" s="972"/>
      <c r="D828" s="972"/>
      <c r="E828" s="971"/>
      <c r="F828" s="167"/>
      <c r="G828" s="972"/>
      <c r="H828" s="973"/>
      <c r="I828" s="167"/>
      <c r="J828" s="167"/>
      <c r="K828" s="972"/>
      <c r="L828" s="972"/>
      <c r="M828" s="972"/>
      <c r="N828" s="972"/>
      <c r="O828" s="976"/>
      <c r="P828" s="978"/>
      <c r="Q828" s="978"/>
      <c r="R828" s="978"/>
      <c r="S828" s="978"/>
      <c r="T828" s="978"/>
      <c r="U828" s="978"/>
      <c r="V828" s="935"/>
      <c r="W828" s="972"/>
      <c r="X828" s="935"/>
      <c r="Y828" s="935"/>
      <c r="Z828" s="935"/>
      <c r="AA828" s="935"/>
    </row>
    <row r="829">
      <c r="A829" s="935"/>
      <c r="B829" s="972"/>
      <c r="C829" s="972"/>
      <c r="D829" s="972"/>
      <c r="E829" s="971"/>
      <c r="F829" s="167"/>
      <c r="G829" s="972"/>
      <c r="H829" s="973"/>
      <c r="I829" s="167"/>
      <c r="J829" s="167"/>
      <c r="K829" s="972"/>
      <c r="L829" s="972"/>
      <c r="M829" s="972"/>
      <c r="N829" s="972"/>
      <c r="O829" s="976"/>
      <c r="P829" s="978"/>
      <c r="Q829" s="978"/>
      <c r="R829" s="978"/>
      <c r="S829" s="978"/>
      <c r="T829" s="978"/>
      <c r="U829" s="978"/>
      <c r="V829" s="935"/>
      <c r="W829" s="972"/>
      <c r="X829" s="935"/>
      <c r="Y829" s="935"/>
      <c r="Z829" s="935"/>
      <c r="AA829" s="935"/>
    </row>
    <row r="830">
      <c r="A830" s="935"/>
      <c r="B830" s="972"/>
      <c r="C830" s="972"/>
      <c r="D830" s="972"/>
      <c r="E830" s="971"/>
      <c r="F830" s="167"/>
      <c r="G830" s="972"/>
      <c r="H830" s="973"/>
      <c r="I830" s="167"/>
      <c r="J830" s="167"/>
      <c r="K830" s="972"/>
      <c r="L830" s="972"/>
      <c r="M830" s="972"/>
      <c r="N830" s="972"/>
      <c r="O830" s="976"/>
      <c r="P830" s="978"/>
      <c r="Q830" s="978"/>
      <c r="R830" s="978"/>
      <c r="S830" s="978"/>
      <c r="T830" s="978"/>
      <c r="U830" s="978"/>
      <c r="V830" s="935"/>
      <c r="W830" s="972"/>
      <c r="X830" s="935"/>
      <c r="Y830" s="935"/>
      <c r="Z830" s="935"/>
      <c r="AA830" s="935"/>
    </row>
    <row r="831">
      <c r="A831" s="935"/>
      <c r="B831" s="972"/>
      <c r="C831" s="972"/>
      <c r="D831" s="972"/>
      <c r="E831" s="971"/>
      <c r="F831" s="167"/>
      <c r="G831" s="972"/>
      <c r="H831" s="973"/>
      <c r="I831" s="167"/>
      <c r="J831" s="167"/>
      <c r="K831" s="972"/>
      <c r="L831" s="972"/>
      <c r="M831" s="972"/>
      <c r="N831" s="972"/>
      <c r="O831" s="976"/>
      <c r="P831" s="978"/>
      <c r="Q831" s="978"/>
      <c r="R831" s="978"/>
      <c r="S831" s="978"/>
      <c r="T831" s="978"/>
      <c r="U831" s="978"/>
      <c r="V831" s="935"/>
      <c r="W831" s="972"/>
      <c r="X831" s="935"/>
      <c r="Y831" s="935"/>
      <c r="Z831" s="935"/>
      <c r="AA831" s="935"/>
    </row>
    <row r="832">
      <c r="A832" s="935"/>
      <c r="B832" s="972"/>
      <c r="C832" s="972"/>
      <c r="D832" s="972"/>
      <c r="E832" s="971"/>
      <c r="F832" s="167"/>
      <c r="G832" s="972"/>
      <c r="H832" s="973"/>
      <c r="I832" s="167"/>
      <c r="J832" s="167"/>
      <c r="K832" s="972"/>
      <c r="L832" s="972"/>
      <c r="M832" s="972"/>
      <c r="N832" s="972"/>
      <c r="O832" s="976"/>
      <c r="P832" s="978"/>
      <c r="Q832" s="978"/>
      <c r="R832" s="978"/>
      <c r="S832" s="978"/>
      <c r="T832" s="978"/>
      <c r="U832" s="978"/>
      <c r="V832" s="935"/>
      <c r="W832" s="972"/>
      <c r="X832" s="935"/>
      <c r="Y832" s="935"/>
      <c r="Z832" s="935"/>
      <c r="AA832" s="935"/>
    </row>
    <row r="833">
      <c r="A833" s="935"/>
      <c r="B833" s="972"/>
      <c r="C833" s="972"/>
      <c r="D833" s="972"/>
      <c r="E833" s="971"/>
      <c r="F833" s="167"/>
      <c r="G833" s="972"/>
      <c r="H833" s="973"/>
      <c r="I833" s="167"/>
      <c r="J833" s="167"/>
      <c r="K833" s="972"/>
      <c r="L833" s="972"/>
      <c r="M833" s="972"/>
      <c r="N833" s="972"/>
      <c r="O833" s="976"/>
      <c r="P833" s="978"/>
      <c r="Q833" s="978"/>
      <c r="R833" s="978"/>
      <c r="S833" s="978"/>
      <c r="T833" s="978"/>
      <c r="U833" s="978"/>
      <c r="V833" s="935"/>
      <c r="W833" s="972"/>
      <c r="X833" s="935"/>
      <c r="Y833" s="935"/>
      <c r="Z833" s="935"/>
      <c r="AA833" s="935"/>
    </row>
    <row r="834">
      <c r="A834" s="935"/>
      <c r="B834" s="972"/>
      <c r="C834" s="972"/>
      <c r="D834" s="972"/>
      <c r="E834" s="971"/>
      <c r="F834" s="167"/>
      <c r="G834" s="972"/>
      <c r="H834" s="973"/>
      <c r="I834" s="167"/>
      <c r="J834" s="167"/>
      <c r="K834" s="972"/>
      <c r="L834" s="972"/>
      <c r="M834" s="972"/>
      <c r="N834" s="972"/>
      <c r="O834" s="976"/>
      <c r="P834" s="978"/>
      <c r="Q834" s="978"/>
      <c r="R834" s="978"/>
      <c r="S834" s="978"/>
      <c r="T834" s="978"/>
      <c r="U834" s="978"/>
      <c r="V834" s="935"/>
      <c r="W834" s="972"/>
      <c r="X834" s="935"/>
      <c r="Y834" s="935"/>
      <c r="Z834" s="935"/>
      <c r="AA834" s="935"/>
    </row>
    <row r="835">
      <c r="A835" s="935"/>
      <c r="B835" s="972"/>
      <c r="C835" s="972"/>
      <c r="D835" s="972"/>
      <c r="E835" s="971"/>
      <c r="F835" s="167"/>
      <c r="G835" s="972"/>
      <c r="H835" s="973"/>
      <c r="I835" s="167"/>
      <c r="J835" s="167"/>
      <c r="K835" s="972"/>
      <c r="L835" s="972"/>
      <c r="M835" s="972"/>
      <c r="N835" s="972"/>
      <c r="O835" s="976"/>
      <c r="P835" s="978"/>
      <c r="Q835" s="978"/>
      <c r="R835" s="978"/>
      <c r="S835" s="978"/>
      <c r="T835" s="978"/>
      <c r="U835" s="978"/>
      <c r="V835" s="935"/>
      <c r="W835" s="972"/>
      <c r="X835" s="935"/>
      <c r="Y835" s="935"/>
      <c r="Z835" s="935"/>
      <c r="AA835" s="935"/>
    </row>
    <row r="836">
      <c r="A836" s="935"/>
      <c r="B836" s="972"/>
      <c r="C836" s="972"/>
      <c r="D836" s="972"/>
      <c r="E836" s="971"/>
      <c r="F836" s="167"/>
      <c r="G836" s="972"/>
      <c r="H836" s="973"/>
      <c r="I836" s="167"/>
      <c r="J836" s="167"/>
      <c r="K836" s="972"/>
      <c r="L836" s="972"/>
      <c r="M836" s="972"/>
      <c r="N836" s="972"/>
      <c r="O836" s="976"/>
      <c r="P836" s="978"/>
      <c r="Q836" s="978"/>
      <c r="R836" s="978"/>
      <c r="S836" s="978"/>
      <c r="T836" s="978"/>
      <c r="U836" s="978"/>
      <c r="V836" s="935"/>
      <c r="W836" s="972"/>
      <c r="X836" s="935"/>
      <c r="Y836" s="935"/>
      <c r="Z836" s="935"/>
      <c r="AA836" s="935"/>
    </row>
    <row r="837">
      <c r="A837" s="935"/>
      <c r="B837" s="972"/>
      <c r="C837" s="972"/>
      <c r="D837" s="972"/>
      <c r="E837" s="971"/>
      <c r="F837" s="167"/>
      <c r="G837" s="972"/>
      <c r="H837" s="973"/>
      <c r="I837" s="167"/>
      <c r="J837" s="167"/>
      <c r="K837" s="972"/>
      <c r="L837" s="972"/>
      <c r="M837" s="972"/>
      <c r="N837" s="972"/>
      <c r="O837" s="976"/>
      <c r="P837" s="978"/>
      <c r="Q837" s="978"/>
      <c r="R837" s="978"/>
      <c r="S837" s="978"/>
      <c r="T837" s="978"/>
      <c r="U837" s="978"/>
      <c r="V837" s="935"/>
      <c r="W837" s="972"/>
      <c r="X837" s="935"/>
      <c r="Y837" s="935"/>
      <c r="Z837" s="935"/>
      <c r="AA837" s="935"/>
    </row>
    <row r="838">
      <c r="A838" s="935"/>
      <c r="B838" s="972"/>
      <c r="C838" s="972"/>
      <c r="D838" s="972"/>
      <c r="E838" s="971"/>
      <c r="F838" s="167"/>
      <c r="G838" s="972"/>
      <c r="H838" s="973"/>
      <c r="I838" s="167"/>
      <c r="J838" s="167"/>
      <c r="K838" s="972"/>
      <c r="L838" s="972"/>
      <c r="M838" s="972"/>
      <c r="N838" s="972"/>
      <c r="O838" s="976"/>
      <c r="P838" s="978"/>
      <c r="Q838" s="978"/>
      <c r="R838" s="978"/>
      <c r="S838" s="978"/>
      <c r="T838" s="978"/>
      <c r="U838" s="978"/>
      <c r="V838" s="935"/>
      <c r="W838" s="972"/>
      <c r="X838" s="935"/>
      <c r="Y838" s="935"/>
      <c r="Z838" s="935"/>
      <c r="AA838" s="935"/>
    </row>
    <row r="839">
      <c r="A839" s="935"/>
      <c r="B839" s="972"/>
      <c r="C839" s="972"/>
      <c r="D839" s="972"/>
      <c r="E839" s="971"/>
      <c r="F839" s="167"/>
      <c r="G839" s="972"/>
      <c r="H839" s="973"/>
      <c r="I839" s="167"/>
      <c r="J839" s="167"/>
      <c r="K839" s="972"/>
      <c r="L839" s="972"/>
      <c r="M839" s="972"/>
      <c r="N839" s="972"/>
      <c r="O839" s="976"/>
      <c r="P839" s="978"/>
      <c r="Q839" s="978"/>
      <c r="R839" s="978"/>
      <c r="S839" s="978"/>
      <c r="T839" s="978"/>
      <c r="U839" s="978"/>
      <c r="V839" s="935"/>
      <c r="W839" s="972"/>
      <c r="X839" s="935"/>
      <c r="Y839" s="935"/>
      <c r="Z839" s="935"/>
      <c r="AA839" s="935"/>
    </row>
    <row r="840">
      <c r="A840" s="935"/>
      <c r="B840" s="972"/>
      <c r="C840" s="972"/>
      <c r="D840" s="972"/>
      <c r="E840" s="971"/>
      <c r="F840" s="167"/>
      <c r="G840" s="972"/>
      <c r="H840" s="973"/>
      <c r="I840" s="167"/>
      <c r="J840" s="167"/>
      <c r="K840" s="972"/>
      <c r="L840" s="972"/>
      <c r="M840" s="972"/>
      <c r="N840" s="972"/>
      <c r="O840" s="976"/>
      <c r="P840" s="978"/>
      <c r="Q840" s="978"/>
      <c r="R840" s="978"/>
      <c r="S840" s="978"/>
      <c r="T840" s="978"/>
      <c r="U840" s="978"/>
      <c r="V840" s="935"/>
      <c r="W840" s="972"/>
      <c r="X840" s="935"/>
      <c r="Y840" s="935"/>
      <c r="Z840" s="935"/>
      <c r="AA840" s="935"/>
    </row>
    <row r="841">
      <c r="A841" s="935"/>
      <c r="B841" s="972"/>
      <c r="C841" s="972"/>
      <c r="D841" s="972"/>
      <c r="E841" s="971"/>
      <c r="F841" s="167"/>
      <c r="G841" s="972"/>
      <c r="H841" s="973"/>
      <c r="I841" s="167"/>
      <c r="J841" s="167"/>
      <c r="K841" s="972"/>
      <c r="L841" s="972"/>
      <c r="M841" s="972"/>
      <c r="N841" s="972"/>
      <c r="O841" s="976"/>
      <c r="P841" s="978"/>
      <c r="Q841" s="978"/>
      <c r="R841" s="978"/>
      <c r="S841" s="978"/>
      <c r="T841" s="978"/>
      <c r="U841" s="978"/>
      <c r="V841" s="935"/>
      <c r="W841" s="972"/>
      <c r="X841" s="935"/>
      <c r="Y841" s="935"/>
      <c r="Z841" s="935"/>
      <c r="AA841" s="935"/>
    </row>
    <row r="842">
      <c r="A842" s="935"/>
      <c r="B842" s="972"/>
      <c r="C842" s="972"/>
      <c r="D842" s="972"/>
      <c r="E842" s="971"/>
      <c r="F842" s="167"/>
      <c r="G842" s="972"/>
      <c r="H842" s="973"/>
      <c r="I842" s="167"/>
      <c r="J842" s="167"/>
      <c r="K842" s="972"/>
      <c r="L842" s="972"/>
      <c r="M842" s="972"/>
      <c r="N842" s="972"/>
      <c r="O842" s="976"/>
      <c r="P842" s="978"/>
      <c r="Q842" s="978"/>
      <c r="R842" s="978"/>
      <c r="S842" s="978"/>
      <c r="T842" s="978"/>
      <c r="U842" s="978"/>
      <c r="V842" s="935"/>
      <c r="W842" s="972"/>
      <c r="X842" s="935"/>
      <c r="Y842" s="935"/>
      <c r="Z842" s="935"/>
      <c r="AA842" s="935"/>
    </row>
    <row r="843">
      <c r="A843" s="935"/>
      <c r="B843" s="972"/>
      <c r="C843" s="972"/>
      <c r="D843" s="972"/>
      <c r="E843" s="971"/>
      <c r="F843" s="167"/>
      <c r="G843" s="972"/>
      <c r="H843" s="973"/>
      <c r="I843" s="167"/>
      <c r="J843" s="167"/>
      <c r="K843" s="972"/>
      <c r="L843" s="972"/>
      <c r="M843" s="972"/>
      <c r="N843" s="972"/>
      <c r="O843" s="976"/>
      <c r="P843" s="978"/>
      <c r="Q843" s="978"/>
      <c r="R843" s="978"/>
      <c r="S843" s="978"/>
      <c r="T843" s="978"/>
      <c r="U843" s="978"/>
      <c r="V843" s="935"/>
      <c r="W843" s="972"/>
      <c r="X843" s="935"/>
      <c r="Y843" s="935"/>
      <c r="Z843" s="935"/>
      <c r="AA843" s="935"/>
    </row>
    <row r="844">
      <c r="A844" s="935"/>
      <c r="B844" s="972"/>
      <c r="C844" s="972"/>
      <c r="D844" s="972"/>
      <c r="E844" s="971"/>
      <c r="F844" s="167"/>
      <c r="G844" s="972"/>
      <c r="H844" s="973"/>
      <c r="I844" s="167"/>
      <c r="J844" s="167"/>
      <c r="K844" s="972"/>
      <c r="L844" s="972"/>
      <c r="M844" s="972"/>
      <c r="N844" s="972"/>
      <c r="O844" s="976"/>
      <c r="P844" s="978"/>
      <c r="Q844" s="978"/>
      <c r="R844" s="978"/>
      <c r="S844" s="978"/>
      <c r="T844" s="978"/>
      <c r="U844" s="978"/>
      <c r="V844" s="935"/>
      <c r="W844" s="972"/>
      <c r="X844" s="935"/>
      <c r="Y844" s="935"/>
      <c r="Z844" s="935"/>
      <c r="AA844" s="935"/>
    </row>
    <row r="845">
      <c r="A845" s="935"/>
      <c r="B845" s="972"/>
      <c r="C845" s="972"/>
      <c r="D845" s="972"/>
      <c r="E845" s="971"/>
      <c r="F845" s="167"/>
      <c r="G845" s="972"/>
      <c r="H845" s="973"/>
      <c r="I845" s="167"/>
      <c r="J845" s="167"/>
      <c r="K845" s="972"/>
      <c r="L845" s="972"/>
      <c r="M845" s="972"/>
      <c r="N845" s="972"/>
      <c r="O845" s="976"/>
      <c r="P845" s="978"/>
      <c r="Q845" s="978"/>
      <c r="R845" s="978"/>
      <c r="S845" s="978"/>
      <c r="T845" s="978"/>
      <c r="U845" s="978"/>
      <c r="V845" s="935"/>
      <c r="W845" s="972"/>
      <c r="X845" s="935"/>
      <c r="Y845" s="935"/>
      <c r="Z845" s="935"/>
      <c r="AA845" s="935"/>
    </row>
    <row r="846">
      <c r="A846" s="935"/>
      <c r="B846" s="972"/>
      <c r="C846" s="972"/>
      <c r="D846" s="972"/>
      <c r="E846" s="971"/>
      <c r="F846" s="167"/>
      <c r="G846" s="972"/>
      <c r="H846" s="973"/>
      <c r="I846" s="167"/>
      <c r="J846" s="167"/>
      <c r="K846" s="972"/>
      <c r="L846" s="972"/>
      <c r="M846" s="972"/>
      <c r="N846" s="972"/>
      <c r="O846" s="976"/>
      <c r="P846" s="978"/>
      <c r="Q846" s="978"/>
      <c r="R846" s="978"/>
      <c r="S846" s="978"/>
      <c r="T846" s="978"/>
      <c r="U846" s="978"/>
      <c r="V846" s="935"/>
      <c r="W846" s="972"/>
      <c r="X846" s="935"/>
      <c r="Y846" s="935"/>
      <c r="Z846" s="935"/>
      <c r="AA846" s="935"/>
    </row>
    <row r="847">
      <c r="A847" s="935"/>
      <c r="B847" s="972"/>
      <c r="C847" s="972"/>
      <c r="D847" s="972"/>
      <c r="E847" s="971"/>
      <c r="F847" s="167"/>
      <c r="G847" s="972"/>
      <c r="H847" s="973"/>
      <c r="I847" s="167"/>
      <c r="J847" s="167"/>
      <c r="K847" s="972"/>
      <c r="L847" s="972"/>
      <c r="M847" s="972"/>
      <c r="N847" s="972"/>
      <c r="O847" s="976"/>
      <c r="P847" s="978"/>
      <c r="Q847" s="978"/>
      <c r="R847" s="978"/>
      <c r="S847" s="978"/>
      <c r="T847" s="978"/>
      <c r="U847" s="978"/>
      <c r="V847" s="935"/>
      <c r="W847" s="972"/>
      <c r="X847" s="935"/>
      <c r="Y847" s="935"/>
      <c r="Z847" s="935"/>
      <c r="AA847" s="935"/>
    </row>
    <row r="848">
      <c r="A848" s="935"/>
      <c r="B848" s="972"/>
      <c r="C848" s="972"/>
      <c r="D848" s="972"/>
      <c r="E848" s="971"/>
      <c r="F848" s="167"/>
      <c r="G848" s="972"/>
      <c r="H848" s="973"/>
      <c r="I848" s="167"/>
      <c r="J848" s="167"/>
      <c r="K848" s="972"/>
      <c r="L848" s="972"/>
      <c r="M848" s="972"/>
      <c r="N848" s="972"/>
      <c r="O848" s="976"/>
      <c r="P848" s="978"/>
      <c r="Q848" s="978"/>
      <c r="R848" s="978"/>
      <c r="S848" s="978"/>
      <c r="T848" s="978"/>
      <c r="U848" s="978"/>
      <c r="V848" s="935"/>
      <c r="W848" s="972"/>
      <c r="X848" s="935"/>
      <c r="Y848" s="935"/>
      <c r="Z848" s="935"/>
      <c r="AA848" s="935"/>
    </row>
    <row r="849">
      <c r="A849" s="935"/>
      <c r="B849" s="972"/>
      <c r="C849" s="972"/>
      <c r="D849" s="972"/>
      <c r="E849" s="971"/>
      <c r="F849" s="167"/>
      <c r="G849" s="972"/>
      <c r="H849" s="973"/>
      <c r="I849" s="167"/>
      <c r="J849" s="167"/>
      <c r="K849" s="972"/>
      <c r="L849" s="972"/>
      <c r="M849" s="972"/>
      <c r="N849" s="972"/>
      <c r="O849" s="976"/>
      <c r="P849" s="978"/>
      <c r="Q849" s="978"/>
      <c r="R849" s="978"/>
      <c r="S849" s="978"/>
      <c r="T849" s="978"/>
      <c r="U849" s="978"/>
      <c r="V849" s="935"/>
      <c r="W849" s="972"/>
      <c r="X849" s="935"/>
      <c r="Y849" s="935"/>
      <c r="Z849" s="935"/>
      <c r="AA849" s="935"/>
    </row>
    <row r="850">
      <c r="A850" s="935"/>
      <c r="B850" s="972"/>
      <c r="C850" s="972"/>
      <c r="D850" s="972"/>
      <c r="E850" s="971"/>
      <c r="F850" s="167"/>
      <c r="G850" s="972"/>
      <c r="H850" s="973"/>
      <c r="I850" s="167"/>
      <c r="J850" s="167"/>
      <c r="K850" s="972"/>
      <c r="L850" s="972"/>
      <c r="M850" s="972"/>
      <c r="N850" s="972"/>
      <c r="O850" s="976"/>
      <c r="P850" s="978"/>
      <c r="Q850" s="978"/>
      <c r="R850" s="978"/>
      <c r="S850" s="978"/>
      <c r="T850" s="978"/>
      <c r="U850" s="978"/>
      <c r="V850" s="935"/>
      <c r="W850" s="972"/>
      <c r="X850" s="935"/>
      <c r="Y850" s="935"/>
      <c r="Z850" s="935"/>
      <c r="AA850" s="935"/>
    </row>
    <row r="851">
      <c r="A851" s="935"/>
      <c r="B851" s="972"/>
      <c r="C851" s="972"/>
      <c r="D851" s="972"/>
      <c r="E851" s="971"/>
      <c r="F851" s="167"/>
      <c r="G851" s="972"/>
      <c r="H851" s="973"/>
      <c r="I851" s="167"/>
      <c r="J851" s="167"/>
      <c r="K851" s="972"/>
      <c r="L851" s="972"/>
      <c r="M851" s="972"/>
      <c r="N851" s="972"/>
      <c r="O851" s="976"/>
      <c r="P851" s="978"/>
      <c r="Q851" s="978"/>
      <c r="R851" s="978"/>
      <c r="S851" s="978"/>
      <c r="T851" s="978"/>
      <c r="U851" s="978"/>
      <c r="V851" s="935"/>
      <c r="W851" s="972"/>
      <c r="X851" s="935"/>
      <c r="Y851" s="935"/>
      <c r="Z851" s="935"/>
      <c r="AA851" s="935"/>
    </row>
    <row r="852">
      <c r="A852" s="935"/>
      <c r="B852" s="972"/>
      <c r="C852" s="972"/>
      <c r="D852" s="972"/>
      <c r="E852" s="971"/>
      <c r="F852" s="167"/>
      <c r="G852" s="972"/>
      <c r="H852" s="973"/>
      <c r="I852" s="167"/>
      <c r="J852" s="167"/>
      <c r="K852" s="972"/>
      <c r="L852" s="972"/>
      <c r="M852" s="972"/>
      <c r="N852" s="972"/>
      <c r="O852" s="976"/>
      <c r="P852" s="978"/>
      <c r="Q852" s="978"/>
      <c r="R852" s="978"/>
      <c r="S852" s="978"/>
      <c r="T852" s="978"/>
      <c r="U852" s="978"/>
      <c r="V852" s="935"/>
      <c r="W852" s="972"/>
      <c r="X852" s="935"/>
      <c r="Y852" s="935"/>
      <c r="Z852" s="935"/>
      <c r="AA852" s="935"/>
    </row>
    <row r="853">
      <c r="A853" s="935"/>
      <c r="B853" s="972"/>
      <c r="C853" s="972"/>
      <c r="D853" s="972"/>
      <c r="E853" s="971"/>
      <c r="F853" s="167"/>
      <c r="G853" s="972"/>
      <c r="H853" s="973"/>
      <c r="I853" s="167"/>
      <c r="J853" s="167"/>
      <c r="K853" s="972"/>
      <c r="L853" s="972"/>
      <c r="M853" s="972"/>
      <c r="N853" s="972"/>
      <c r="O853" s="976"/>
      <c r="P853" s="978"/>
      <c r="Q853" s="978"/>
      <c r="R853" s="978"/>
      <c r="S853" s="978"/>
      <c r="T853" s="978"/>
      <c r="U853" s="978"/>
      <c r="V853" s="935"/>
      <c r="W853" s="972"/>
      <c r="X853" s="935"/>
      <c r="Y853" s="935"/>
      <c r="Z853" s="935"/>
      <c r="AA853" s="935"/>
    </row>
    <row r="854">
      <c r="A854" s="935"/>
      <c r="B854" s="972"/>
      <c r="C854" s="972"/>
      <c r="D854" s="972"/>
      <c r="E854" s="971"/>
      <c r="F854" s="167"/>
      <c r="G854" s="972"/>
      <c r="H854" s="973"/>
      <c r="I854" s="167"/>
      <c r="J854" s="167"/>
      <c r="K854" s="972"/>
      <c r="L854" s="972"/>
      <c r="M854" s="972"/>
      <c r="N854" s="972"/>
      <c r="O854" s="976"/>
      <c r="P854" s="978"/>
      <c r="Q854" s="978"/>
      <c r="R854" s="978"/>
      <c r="S854" s="978"/>
      <c r="T854" s="978"/>
      <c r="U854" s="978"/>
      <c r="V854" s="935"/>
      <c r="W854" s="972"/>
      <c r="X854" s="935"/>
      <c r="Y854" s="935"/>
      <c r="Z854" s="935"/>
      <c r="AA854" s="935"/>
    </row>
    <row r="855">
      <c r="A855" s="935"/>
      <c r="B855" s="972"/>
      <c r="C855" s="972"/>
      <c r="D855" s="972"/>
      <c r="E855" s="971"/>
      <c r="F855" s="167"/>
      <c r="G855" s="972"/>
      <c r="H855" s="973"/>
      <c r="I855" s="167"/>
      <c r="J855" s="167"/>
      <c r="K855" s="972"/>
      <c r="L855" s="972"/>
      <c r="M855" s="972"/>
      <c r="N855" s="972"/>
      <c r="O855" s="976"/>
      <c r="P855" s="978"/>
      <c r="Q855" s="978"/>
      <c r="R855" s="978"/>
      <c r="S855" s="978"/>
      <c r="T855" s="978"/>
      <c r="U855" s="978"/>
      <c r="V855" s="935"/>
      <c r="W855" s="972"/>
      <c r="X855" s="935"/>
      <c r="Y855" s="935"/>
      <c r="Z855" s="935"/>
      <c r="AA855" s="935"/>
    </row>
    <row r="856">
      <c r="A856" s="935"/>
      <c r="B856" s="972"/>
      <c r="C856" s="972"/>
      <c r="D856" s="972"/>
      <c r="E856" s="971"/>
      <c r="F856" s="167"/>
      <c r="G856" s="972"/>
      <c r="H856" s="973"/>
      <c r="I856" s="167"/>
      <c r="J856" s="167"/>
      <c r="K856" s="972"/>
      <c r="L856" s="972"/>
      <c r="M856" s="972"/>
      <c r="N856" s="972"/>
      <c r="O856" s="976"/>
      <c r="P856" s="978"/>
      <c r="Q856" s="978"/>
      <c r="R856" s="978"/>
      <c r="S856" s="978"/>
      <c r="T856" s="978"/>
      <c r="U856" s="978"/>
      <c r="V856" s="935"/>
      <c r="W856" s="972"/>
      <c r="X856" s="935"/>
      <c r="Y856" s="935"/>
      <c r="Z856" s="935"/>
      <c r="AA856" s="935"/>
    </row>
    <row r="857">
      <c r="A857" s="935"/>
      <c r="B857" s="972"/>
      <c r="C857" s="972"/>
      <c r="D857" s="972"/>
      <c r="E857" s="971"/>
      <c r="F857" s="167"/>
      <c r="G857" s="972"/>
      <c r="H857" s="973"/>
      <c r="I857" s="167"/>
      <c r="J857" s="167"/>
      <c r="K857" s="972"/>
      <c r="L857" s="972"/>
      <c r="M857" s="972"/>
      <c r="N857" s="972"/>
      <c r="O857" s="976"/>
      <c r="P857" s="978"/>
      <c r="Q857" s="978"/>
      <c r="R857" s="978"/>
      <c r="S857" s="978"/>
      <c r="T857" s="978"/>
      <c r="U857" s="978"/>
      <c r="V857" s="935"/>
      <c r="W857" s="972"/>
      <c r="X857" s="935"/>
      <c r="Y857" s="935"/>
      <c r="Z857" s="935"/>
      <c r="AA857" s="935"/>
    </row>
    <row r="858">
      <c r="A858" s="935"/>
      <c r="B858" s="972"/>
      <c r="C858" s="972"/>
      <c r="D858" s="972"/>
      <c r="E858" s="971"/>
      <c r="F858" s="167"/>
      <c r="G858" s="972"/>
      <c r="H858" s="973"/>
      <c r="I858" s="167"/>
      <c r="J858" s="167"/>
      <c r="K858" s="972"/>
      <c r="L858" s="972"/>
      <c r="M858" s="972"/>
      <c r="N858" s="972"/>
      <c r="O858" s="976"/>
      <c r="P858" s="978"/>
      <c r="Q858" s="978"/>
      <c r="R858" s="978"/>
      <c r="S858" s="978"/>
      <c r="T858" s="978"/>
      <c r="U858" s="978"/>
      <c r="V858" s="935"/>
      <c r="W858" s="972"/>
      <c r="X858" s="935"/>
      <c r="Y858" s="935"/>
      <c r="Z858" s="935"/>
      <c r="AA858" s="935"/>
    </row>
    <row r="859">
      <c r="A859" s="935"/>
      <c r="B859" s="972"/>
      <c r="C859" s="972"/>
      <c r="D859" s="972"/>
      <c r="E859" s="971"/>
      <c r="F859" s="167"/>
      <c r="G859" s="972"/>
      <c r="H859" s="973"/>
      <c r="I859" s="167"/>
      <c r="J859" s="167"/>
      <c r="K859" s="972"/>
      <c r="L859" s="972"/>
      <c r="M859" s="972"/>
      <c r="N859" s="972"/>
      <c r="O859" s="976"/>
      <c r="P859" s="978"/>
      <c r="Q859" s="978"/>
      <c r="R859" s="978"/>
      <c r="S859" s="978"/>
      <c r="T859" s="978"/>
      <c r="U859" s="978"/>
      <c r="V859" s="935"/>
      <c r="W859" s="972"/>
      <c r="X859" s="935"/>
      <c r="Y859" s="935"/>
      <c r="Z859" s="935"/>
      <c r="AA859" s="935"/>
    </row>
    <row r="860">
      <c r="A860" s="935"/>
      <c r="B860" s="972"/>
      <c r="C860" s="972"/>
      <c r="D860" s="972"/>
      <c r="E860" s="971"/>
      <c r="F860" s="167"/>
      <c r="G860" s="972"/>
      <c r="H860" s="973"/>
      <c r="I860" s="167"/>
      <c r="J860" s="167"/>
      <c r="K860" s="972"/>
      <c r="L860" s="972"/>
      <c r="M860" s="972"/>
      <c r="N860" s="972"/>
      <c r="O860" s="976"/>
      <c r="P860" s="978"/>
      <c r="Q860" s="978"/>
      <c r="R860" s="978"/>
      <c r="S860" s="978"/>
      <c r="T860" s="978"/>
      <c r="U860" s="978"/>
      <c r="V860" s="935"/>
      <c r="W860" s="972"/>
      <c r="X860" s="935"/>
      <c r="Y860" s="935"/>
      <c r="Z860" s="935"/>
      <c r="AA860" s="935"/>
    </row>
    <row r="861">
      <c r="A861" s="935"/>
      <c r="B861" s="972"/>
      <c r="C861" s="972"/>
      <c r="D861" s="972"/>
      <c r="E861" s="971"/>
      <c r="F861" s="167"/>
      <c r="G861" s="972"/>
      <c r="H861" s="973"/>
      <c r="I861" s="167"/>
      <c r="J861" s="167"/>
      <c r="K861" s="972"/>
      <c r="L861" s="972"/>
      <c r="M861" s="972"/>
      <c r="N861" s="972"/>
      <c r="O861" s="976"/>
      <c r="P861" s="978"/>
      <c r="Q861" s="978"/>
      <c r="R861" s="978"/>
      <c r="S861" s="978"/>
      <c r="T861" s="978"/>
      <c r="U861" s="978"/>
      <c r="V861" s="935"/>
      <c r="W861" s="972"/>
      <c r="X861" s="935"/>
      <c r="Y861" s="935"/>
      <c r="Z861" s="935"/>
      <c r="AA861" s="935"/>
    </row>
    <row r="862">
      <c r="A862" s="935"/>
      <c r="B862" s="972"/>
      <c r="C862" s="972"/>
      <c r="D862" s="972"/>
      <c r="E862" s="971"/>
      <c r="F862" s="167"/>
      <c r="G862" s="972"/>
      <c r="H862" s="973"/>
      <c r="I862" s="167"/>
      <c r="J862" s="167"/>
      <c r="K862" s="972"/>
      <c r="L862" s="972"/>
      <c r="M862" s="972"/>
      <c r="N862" s="972"/>
      <c r="O862" s="976"/>
      <c r="P862" s="978"/>
      <c r="Q862" s="978"/>
      <c r="R862" s="978"/>
      <c r="S862" s="978"/>
      <c r="T862" s="978"/>
      <c r="U862" s="978"/>
      <c r="V862" s="935"/>
      <c r="W862" s="972"/>
      <c r="X862" s="935"/>
      <c r="Y862" s="935"/>
      <c r="Z862" s="935"/>
      <c r="AA862" s="935"/>
    </row>
    <row r="863">
      <c r="A863" s="935"/>
      <c r="B863" s="972"/>
      <c r="C863" s="972"/>
      <c r="D863" s="972"/>
      <c r="E863" s="971"/>
      <c r="F863" s="167"/>
      <c r="G863" s="972"/>
      <c r="H863" s="973"/>
      <c r="I863" s="167"/>
      <c r="J863" s="167"/>
      <c r="K863" s="972"/>
      <c r="L863" s="972"/>
      <c r="M863" s="972"/>
      <c r="N863" s="972"/>
      <c r="O863" s="976"/>
      <c r="P863" s="978"/>
      <c r="Q863" s="978"/>
      <c r="R863" s="978"/>
      <c r="S863" s="978"/>
      <c r="T863" s="978"/>
      <c r="U863" s="978"/>
      <c r="V863" s="935"/>
      <c r="W863" s="972"/>
      <c r="X863" s="935"/>
      <c r="Y863" s="935"/>
      <c r="Z863" s="935"/>
      <c r="AA863" s="935"/>
    </row>
    <row r="864">
      <c r="A864" s="935"/>
      <c r="B864" s="972"/>
      <c r="C864" s="972"/>
      <c r="D864" s="972"/>
      <c r="E864" s="971"/>
      <c r="F864" s="167"/>
      <c r="G864" s="972"/>
      <c r="H864" s="973"/>
      <c r="I864" s="167"/>
      <c r="J864" s="167"/>
      <c r="K864" s="972"/>
      <c r="L864" s="972"/>
      <c r="M864" s="972"/>
      <c r="N864" s="972"/>
      <c r="O864" s="976"/>
      <c r="P864" s="978"/>
      <c r="Q864" s="978"/>
      <c r="R864" s="978"/>
      <c r="S864" s="978"/>
      <c r="T864" s="978"/>
      <c r="U864" s="978"/>
      <c r="V864" s="935"/>
      <c r="W864" s="972"/>
      <c r="X864" s="935"/>
      <c r="Y864" s="935"/>
      <c r="Z864" s="935"/>
      <c r="AA864" s="935"/>
    </row>
    <row r="865">
      <c r="A865" s="935"/>
      <c r="B865" s="972"/>
      <c r="C865" s="972"/>
      <c r="D865" s="972"/>
      <c r="E865" s="971"/>
      <c r="F865" s="167"/>
      <c r="G865" s="972"/>
      <c r="H865" s="973"/>
      <c r="I865" s="167"/>
      <c r="J865" s="167"/>
      <c r="K865" s="972"/>
      <c r="L865" s="972"/>
      <c r="M865" s="972"/>
      <c r="N865" s="972"/>
      <c r="O865" s="976"/>
      <c r="P865" s="978"/>
      <c r="Q865" s="978"/>
      <c r="R865" s="978"/>
      <c r="S865" s="978"/>
      <c r="T865" s="978"/>
      <c r="U865" s="978"/>
      <c r="V865" s="935"/>
      <c r="W865" s="972"/>
      <c r="X865" s="935"/>
      <c r="Y865" s="935"/>
      <c r="Z865" s="935"/>
      <c r="AA865" s="935"/>
    </row>
    <row r="866">
      <c r="A866" s="935"/>
      <c r="B866" s="972"/>
      <c r="C866" s="972"/>
      <c r="D866" s="972"/>
      <c r="E866" s="971"/>
      <c r="F866" s="167"/>
      <c r="G866" s="972"/>
      <c r="H866" s="973"/>
      <c r="I866" s="167"/>
      <c r="J866" s="167"/>
      <c r="K866" s="972"/>
      <c r="L866" s="972"/>
      <c r="M866" s="972"/>
      <c r="N866" s="972"/>
      <c r="O866" s="976"/>
      <c r="P866" s="978"/>
      <c r="Q866" s="978"/>
      <c r="R866" s="978"/>
      <c r="S866" s="978"/>
      <c r="T866" s="978"/>
      <c r="U866" s="978"/>
      <c r="V866" s="935"/>
      <c r="W866" s="972"/>
      <c r="X866" s="935"/>
      <c r="Y866" s="935"/>
      <c r="Z866" s="935"/>
      <c r="AA866" s="935"/>
    </row>
    <row r="867">
      <c r="A867" s="935"/>
      <c r="B867" s="972"/>
      <c r="C867" s="972"/>
      <c r="D867" s="972"/>
      <c r="E867" s="971"/>
      <c r="F867" s="167"/>
      <c r="G867" s="972"/>
      <c r="H867" s="973"/>
      <c r="I867" s="167"/>
      <c r="J867" s="167"/>
      <c r="K867" s="972"/>
      <c r="L867" s="972"/>
      <c r="M867" s="972"/>
      <c r="N867" s="972"/>
      <c r="O867" s="976"/>
      <c r="P867" s="978"/>
      <c r="Q867" s="978"/>
      <c r="R867" s="978"/>
      <c r="S867" s="978"/>
      <c r="T867" s="978"/>
      <c r="U867" s="978"/>
      <c r="V867" s="935"/>
      <c r="W867" s="972"/>
      <c r="X867" s="935"/>
      <c r="Y867" s="935"/>
      <c r="Z867" s="935"/>
      <c r="AA867" s="935"/>
    </row>
    <row r="868">
      <c r="A868" s="935"/>
      <c r="B868" s="972"/>
      <c r="C868" s="972"/>
      <c r="D868" s="972"/>
      <c r="E868" s="971"/>
      <c r="F868" s="167"/>
      <c r="G868" s="972"/>
      <c r="H868" s="973"/>
      <c r="I868" s="167"/>
      <c r="J868" s="167"/>
      <c r="K868" s="972"/>
      <c r="L868" s="972"/>
      <c r="M868" s="972"/>
      <c r="N868" s="972"/>
      <c r="O868" s="976"/>
      <c r="P868" s="978"/>
      <c r="Q868" s="978"/>
      <c r="R868" s="978"/>
      <c r="S868" s="978"/>
      <c r="T868" s="978"/>
      <c r="U868" s="978"/>
      <c r="V868" s="935"/>
      <c r="W868" s="972"/>
      <c r="X868" s="935"/>
      <c r="Y868" s="935"/>
      <c r="Z868" s="935"/>
      <c r="AA868" s="935"/>
    </row>
    <row r="869">
      <c r="A869" s="935"/>
      <c r="B869" s="972"/>
      <c r="C869" s="972"/>
      <c r="D869" s="972"/>
      <c r="E869" s="971"/>
      <c r="F869" s="167"/>
      <c r="G869" s="972"/>
      <c r="H869" s="973"/>
      <c r="I869" s="167"/>
      <c r="J869" s="167"/>
      <c r="K869" s="972"/>
      <c r="L869" s="972"/>
      <c r="M869" s="972"/>
      <c r="N869" s="972"/>
      <c r="O869" s="976"/>
      <c r="P869" s="978"/>
      <c r="Q869" s="978"/>
      <c r="R869" s="978"/>
      <c r="S869" s="978"/>
      <c r="T869" s="978"/>
      <c r="U869" s="978"/>
      <c r="V869" s="935"/>
      <c r="W869" s="972"/>
      <c r="X869" s="935"/>
      <c r="Y869" s="935"/>
      <c r="Z869" s="935"/>
      <c r="AA869" s="935"/>
    </row>
    <row r="870">
      <c r="A870" s="935"/>
      <c r="B870" s="972"/>
      <c r="C870" s="972"/>
      <c r="D870" s="972"/>
      <c r="E870" s="971"/>
      <c r="F870" s="167"/>
      <c r="G870" s="972"/>
      <c r="H870" s="973"/>
      <c r="I870" s="167"/>
      <c r="J870" s="167"/>
      <c r="K870" s="972"/>
      <c r="L870" s="972"/>
      <c r="M870" s="972"/>
      <c r="N870" s="972"/>
      <c r="O870" s="976"/>
      <c r="P870" s="978"/>
      <c r="Q870" s="978"/>
      <c r="R870" s="978"/>
      <c r="S870" s="978"/>
      <c r="T870" s="978"/>
      <c r="U870" s="978"/>
      <c r="V870" s="935"/>
      <c r="W870" s="972"/>
      <c r="X870" s="935"/>
      <c r="Y870" s="935"/>
      <c r="Z870" s="935"/>
      <c r="AA870" s="935"/>
    </row>
    <row r="871">
      <c r="A871" s="935"/>
      <c r="B871" s="972"/>
      <c r="C871" s="972"/>
      <c r="D871" s="972"/>
      <c r="E871" s="971"/>
      <c r="F871" s="167"/>
      <c r="G871" s="972"/>
      <c r="H871" s="973"/>
      <c r="I871" s="167"/>
      <c r="J871" s="167"/>
      <c r="K871" s="972"/>
      <c r="L871" s="972"/>
      <c r="M871" s="972"/>
      <c r="N871" s="972"/>
      <c r="O871" s="976"/>
      <c r="P871" s="978"/>
      <c r="Q871" s="978"/>
      <c r="R871" s="978"/>
      <c r="S871" s="978"/>
      <c r="T871" s="978"/>
      <c r="U871" s="978"/>
      <c r="V871" s="935"/>
      <c r="W871" s="972"/>
      <c r="X871" s="935"/>
      <c r="Y871" s="935"/>
      <c r="Z871" s="935"/>
      <c r="AA871" s="935"/>
    </row>
    <row r="872">
      <c r="A872" s="935"/>
      <c r="B872" s="972"/>
      <c r="C872" s="972"/>
      <c r="D872" s="972"/>
      <c r="E872" s="971"/>
      <c r="F872" s="167"/>
      <c r="G872" s="972"/>
      <c r="H872" s="973"/>
      <c r="I872" s="167"/>
      <c r="J872" s="167"/>
      <c r="K872" s="972"/>
      <c r="L872" s="972"/>
      <c r="M872" s="972"/>
      <c r="N872" s="972"/>
      <c r="O872" s="976"/>
      <c r="P872" s="978"/>
      <c r="Q872" s="978"/>
      <c r="R872" s="978"/>
      <c r="S872" s="978"/>
      <c r="T872" s="978"/>
      <c r="U872" s="978"/>
      <c r="V872" s="935"/>
      <c r="W872" s="972"/>
      <c r="X872" s="935"/>
      <c r="Y872" s="935"/>
      <c r="Z872" s="935"/>
      <c r="AA872" s="935"/>
    </row>
    <row r="873">
      <c r="A873" s="935"/>
      <c r="B873" s="972"/>
      <c r="C873" s="972"/>
      <c r="D873" s="972"/>
      <c r="E873" s="971"/>
      <c r="F873" s="167"/>
      <c r="G873" s="972"/>
      <c r="H873" s="973"/>
      <c r="I873" s="167"/>
      <c r="J873" s="167"/>
      <c r="K873" s="972"/>
      <c r="L873" s="972"/>
      <c r="M873" s="972"/>
      <c r="N873" s="972"/>
      <c r="O873" s="976"/>
      <c r="P873" s="978"/>
      <c r="Q873" s="978"/>
      <c r="R873" s="978"/>
      <c r="S873" s="978"/>
      <c r="T873" s="978"/>
      <c r="U873" s="978"/>
      <c r="V873" s="935"/>
      <c r="W873" s="972"/>
      <c r="X873" s="935"/>
      <c r="Y873" s="935"/>
      <c r="Z873" s="935"/>
      <c r="AA873" s="935"/>
    </row>
    <row r="874">
      <c r="A874" s="935"/>
      <c r="B874" s="972"/>
      <c r="C874" s="972"/>
      <c r="D874" s="972"/>
      <c r="E874" s="971"/>
      <c r="F874" s="167"/>
      <c r="G874" s="972"/>
      <c r="H874" s="973"/>
      <c r="I874" s="167"/>
      <c r="J874" s="167"/>
      <c r="K874" s="972"/>
      <c r="L874" s="972"/>
      <c r="M874" s="972"/>
      <c r="N874" s="972"/>
      <c r="O874" s="976"/>
      <c r="P874" s="978"/>
      <c r="Q874" s="978"/>
      <c r="R874" s="978"/>
      <c r="S874" s="978"/>
      <c r="T874" s="978"/>
      <c r="U874" s="978"/>
      <c r="V874" s="935"/>
      <c r="W874" s="972"/>
      <c r="X874" s="935"/>
      <c r="Y874" s="935"/>
      <c r="Z874" s="935"/>
      <c r="AA874" s="935"/>
    </row>
    <row r="875">
      <c r="A875" s="935"/>
      <c r="B875" s="972"/>
      <c r="C875" s="972"/>
      <c r="D875" s="972"/>
      <c r="E875" s="971"/>
      <c r="F875" s="167"/>
      <c r="G875" s="972"/>
      <c r="H875" s="973"/>
      <c r="I875" s="167"/>
      <c r="J875" s="167"/>
      <c r="K875" s="972"/>
      <c r="L875" s="972"/>
      <c r="M875" s="972"/>
      <c r="N875" s="972"/>
      <c r="O875" s="976"/>
      <c r="P875" s="978"/>
      <c r="Q875" s="978"/>
      <c r="R875" s="978"/>
      <c r="S875" s="978"/>
      <c r="T875" s="978"/>
      <c r="U875" s="978"/>
      <c r="V875" s="935"/>
      <c r="W875" s="972"/>
      <c r="X875" s="935"/>
      <c r="Y875" s="935"/>
      <c r="Z875" s="935"/>
      <c r="AA875" s="935"/>
    </row>
    <row r="876">
      <c r="A876" s="935"/>
      <c r="B876" s="972"/>
      <c r="C876" s="972"/>
      <c r="D876" s="972"/>
      <c r="E876" s="971"/>
      <c r="F876" s="167"/>
      <c r="G876" s="972"/>
      <c r="H876" s="973"/>
      <c r="I876" s="167"/>
      <c r="J876" s="167"/>
      <c r="K876" s="972"/>
      <c r="L876" s="972"/>
      <c r="M876" s="972"/>
      <c r="N876" s="972"/>
      <c r="O876" s="976"/>
      <c r="P876" s="978"/>
      <c r="Q876" s="978"/>
      <c r="R876" s="978"/>
      <c r="S876" s="978"/>
      <c r="T876" s="978"/>
      <c r="U876" s="978"/>
      <c r="V876" s="935"/>
      <c r="W876" s="972"/>
      <c r="X876" s="935"/>
      <c r="Y876" s="935"/>
      <c r="Z876" s="935"/>
      <c r="AA876" s="935"/>
    </row>
    <row r="877">
      <c r="A877" s="935"/>
      <c r="B877" s="972"/>
      <c r="C877" s="972"/>
      <c r="D877" s="972"/>
      <c r="E877" s="971"/>
      <c r="F877" s="167"/>
      <c r="G877" s="972"/>
      <c r="H877" s="973"/>
      <c r="I877" s="167"/>
      <c r="J877" s="167"/>
      <c r="K877" s="972"/>
      <c r="L877" s="972"/>
      <c r="M877" s="972"/>
      <c r="N877" s="972"/>
      <c r="O877" s="976"/>
      <c r="P877" s="978"/>
      <c r="Q877" s="978"/>
      <c r="R877" s="978"/>
      <c r="S877" s="978"/>
      <c r="T877" s="978"/>
      <c r="U877" s="978"/>
      <c r="V877" s="935"/>
      <c r="W877" s="972"/>
      <c r="X877" s="935"/>
      <c r="Y877" s="935"/>
      <c r="Z877" s="935"/>
      <c r="AA877" s="935"/>
    </row>
    <row r="878">
      <c r="A878" s="935"/>
      <c r="B878" s="972"/>
      <c r="C878" s="972"/>
      <c r="D878" s="972"/>
      <c r="E878" s="971"/>
      <c r="F878" s="167"/>
      <c r="G878" s="972"/>
      <c r="H878" s="973"/>
      <c r="I878" s="167"/>
      <c r="J878" s="167"/>
      <c r="K878" s="972"/>
      <c r="L878" s="972"/>
      <c r="M878" s="972"/>
      <c r="N878" s="972"/>
      <c r="O878" s="976"/>
      <c r="P878" s="978"/>
      <c r="Q878" s="978"/>
      <c r="R878" s="978"/>
      <c r="S878" s="978"/>
      <c r="T878" s="978"/>
      <c r="U878" s="978"/>
      <c r="V878" s="935"/>
      <c r="W878" s="972"/>
      <c r="X878" s="935"/>
      <c r="Y878" s="935"/>
      <c r="Z878" s="935"/>
      <c r="AA878" s="935"/>
    </row>
    <row r="879">
      <c r="A879" s="935"/>
      <c r="B879" s="972"/>
      <c r="C879" s="972"/>
      <c r="D879" s="972"/>
      <c r="E879" s="971"/>
      <c r="F879" s="167"/>
      <c r="G879" s="972"/>
      <c r="H879" s="973"/>
      <c r="I879" s="167"/>
      <c r="J879" s="167"/>
      <c r="K879" s="972"/>
      <c r="L879" s="972"/>
      <c r="M879" s="972"/>
      <c r="N879" s="972"/>
      <c r="O879" s="976"/>
      <c r="P879" s="978"/>
      <c r="Q879" s="978"/>
      <c r="R879" s="978"/>
      <c r="S879" s="978"/>
      <c r="T879" s="978"/>
      <c r="U879" s="978"/>
      <c r="V879" s="935"/>
      <c r="W879" s="972"/>
      <c r="X879" s="935"/>
      <c r="Y879" s="935"/>
      <c r="Z879" s="935"/>
      <c r="AA879" s="935"/>
    </row>
    <row r="880">
      <c r="A880" s="935"/>
      <c r="B880" s="972"/>
      <c r="C880" s="972"/>
      <c r="D880" s="972"/>
      <c r="E880" s="971"/>
      <c r="F880" s="167"/>
      <c r="G880" s="972"/>
      <c r="H880" s="973"/>
      <c r="I880" s="167"/>
      <c r="J880" s="167"/>
      <c r="K880" s="972"/>
      <c r="L880" s="972"/>
      <c r="M880" s="972"/>
      <c r="N880" s="972"/>
      <c r="O880" s="976"/>
      <c r="P880" s="978"/>
      <c r="Q880" s="978"/>
      <c r="R880" s="978"/>
      <c r="S880" s="978"/>
      <c r="T880" s="978"/>
      <c r="U880" s="978"/>
      <c r="V880" s="935"/>
      <c r="W880" s="972"/>
      <c r="X880" s="935"/>
      <c r="Y880" s="935"/>
      <c r="Z880" s="935"/>
      <c r="AA880" s="935"/>
    </row>
    <row r="881">
      <c r="A881" s="935"/>
      <c r="B881" s="972"/>
      <c r="C881" s="972"/>
      <c r="D881" s="972"/>
      <c r="E881" s="971"/>
      <c r="F881" s="167"/>
      <c r="G881" s="972"/>
      <c r="H881" s="973"/>
      <c r="I881" s="167"/>
      <c r="J881" s="167"/>
      <c r="K881" s="972"/>
      <c r="L881" s="972"/>
      <c r="M881" s="972"/>
      <c r="N881" s="972"/>
      <c r="O881" s="976"/>
      <c r="P881" s="978"/>
      <c r="Q881" s="978"/>
      <c r="R881" s="978"/>
      <c r="S881" s="978"/>
      <c r="T881" s="978"/>
      <c r="U881" s="978"/>
      <c r="V881" s="935"/>
      <c r="W881" s="972"/>
      <c r="X881" s="935"/>
      <c r="Y881" s="935"/>
      <c r="Z881" s="935"/>
      <c r="AA881" s="935"/>
    </row>
    <row r="882">
      <c r="A882" s="935"/>
      <c r="B882" s="972"/>
      <c r="C882" s="972"/>
      <c r="D882" s="972"/>
      <c r="E882" s="971"/>
      <c r="F882" s="167"/>
      <c r="G882" s="972"/>
      <c r="H882" s="973"/>
      <c r="I882" s="167"/>
      <c r="J882" s="167"/>
      <c r="K882" s="972"/>
      <c r="L882" s="972"/>
      <c r="M882" s="972"/>
      <c r="N882" s="972"/>
      <c r="O882" s="976"/>
      <c r="P882" s="978"/>
      <c r="Q882" s="978"/>
      <c r="R882" s="978"/>
      <c r="S882" s="978"/>
      <c r="T882" s="978"/>
      <c r="U882" s="978"/>
      <c r="V882" s="935"/>
      <c r="W882" s="972"/>
      <c r="X882" s="935"/>
      <c r="Y882" s="935"/>
      <c r="Z882" s="935"/>
      <c r="AA882" s="935"/>
    </row>
    <row r="883">
      <c r="A883" s="935"/>
      <c r="B883" s="972"/>
      <c r="C883" s="972"/>
      <c r="D883" s="972"/>
      <c r="E883" s="971"/>
      <c r="F883" s="167"/>
      <c r="G883" s="972"/>
      <c r="H883" s="973"/>
      <c r="I883" s="167"/>
      <c r="J883" s="167"/>
      <c r="K883" s="972"/>
      <c r="L883" s="972"/>
      <c r="M883" s="972"/>
      <c r="N883" s="972"/>
      <c r="O883" s="976"/>
      <c r="P883" s="978"/>
      <c r="Q883" s="978"/>
      <c r="R883" s="978"/>
      <c r="S883" s="978"/>
      <c r="T883" s="978"/>
      <c r="U883" s="978"/>
      <c r="V883" s="935"/>
      <c r="W883" s="972"/>
      <c r="X883" s="935"/>
      <c r="Y883" s="935"/>
      <c r="Z883" s="935"/>
      <c r="AA883" s="935"/>
    </row>
    <row r="884">
      <c r="A884" s="935"/>
      <c r="B884" s="972"/>
      <c r="C884" s="972"/>
      <c r="D884" s="972"/>
      <c r="E884" s="971"/>
      <c r="F884" s="167"/>
      <c r="G884" s="972"/>
      <c r="H884" s="973"/>
      <c r="I884" s="167"/>
      <c r="J884" s="167"/>
      <c r="K884" s="972"/>
      <c r="L884" s="972"/>
      <c r="M884" s="972"/>
      <c r="N884" s="972"/>
      <c r="O884" s="976"/>
      <c r="P884" s="978"/>
      <c r="Q884" s="978"/>
      <c r="R884" s="978"/>
      <c r="S884" s="978"/>
      <c r="T884" s="978"/>
      <c r="U884" s="978"/>
      <c r="V884" s="935"/>
      <c r="W884" s="972"/>
      <c r="X884" s="935"/>
      <c r="Y884" s="935"/>
      <c r="Z884" s="935"/>
      <c r="AA884" s="935"/>
    </row>
    <row r="885">
      <c r="A885" s="935"/>
      <c r="B885" s="972"/>
      <c r="C885" s="972"/>
      <c r="D885" s="972"/>
      <c r="E885" s="971"/>
      <c r="F885" s="167"/>
      <c r="G885" s="972"/>
      <c r="H885" s="973"/>
      <c r="I885" s="167"/>
      <c r="J885" s="167"/>
      <c r="K885" s="972"/>
      <c r="L885" s="972"/>
      <c r="M885" s="972"/>
      <c r="N885" s="972"/>
      <c r="O885" s="976"/>
      <c r="P885" s="978"/>
      <c r="Q885" s="978"/>
      <c r="R885" s="978"/>
      <c r="S885" s="978"/>
      <c r="T885" s="978"/>
      <c r="U885" s="978"/>
      <c r="V885" s="935"/>
      <c r="W885" s="972"/>
      <c r="X885" s="935"/>
      <c r="Y885" s="935"/>
      <c r="Z885" s="935"/>
      <c r="AA885" s="935"/>
    </row>
    <row r="886">
      <c r="A886" s="935"/>
      <c r="B886" s="972"/>
      <c r="C886" s="972"/>
      <c r="D886" s="972"/>
      <c r="E886" s="971"/>
      <c r="F886" s="167"/>
      <c r="G886" s="972"/>
      <c r="H886" s="973"/>
      <c r="I886" s="167"/>
      <c r="J886" s="167"/>
      <c r="K886" s="972"/>
      <c r="L886" s="972"/>
      <c r="M886" s="972"/>
      <c r="N886" s="972"/>
      <c r="O886" s="976"/>
      <c r="P886" s="978"/>
      <c r="Q886" s="978"/>
      <c r="R886" s="978"/>
      <c r="S886" s="978"/>
      <c r="T886" s="978"/>
      <c r="U886" s="978"/>
      <c r="V886" s="935"/>
      <c r="W886" s="972"/>
      <c r="X886" s="935"/>
      <c r="Y886" s="935"/>
      <c r="Z886" s="935"/>
      <c r="AA886" s="935"/>
    </row>
    <row r="887">
      <c r="A887" s="935"/>
      <c r="B887" s="972"/>
      <c r="C887" s="972"/>
      <c r="D887" s="972"/>
      <c r="E887" s="971"/>
      <c r="F887" s="167"/>
      <c r="G887" s="972"/>
      <c r="H887" s="973"/>
      <c r="I887" s="167"/>
      <c r="J887" s="167"/>
      <c r="K887" s="972"/>
      <c r="L887" s="972"/>
      <c r="M887" s="972"/>
      <c r="N887" s="972"/>
      <c r="O887" s="976"/>
      <c r="P887" s="978"/>
      <c r="Q887" s="978"/>
      <c r="R887" s="978"/>
      <c r="S887" s="978"/>
      <c r="T887" s="978"/>
      <c r="U887" s="978"/>
      <c r="V887" s="935"/>
      <c r="W887" s="972"/>
      <c r="X887" s="935"/>
      <c r="Y887" s="935"/>
      <c r="Z887" s="935"/>
      <c r="AA887" s="935"/>
    </row>
    <row r="888">
      <c r="A888" s="935"/>
      <c r="B888" s="972"/>
      <c r="C888" s="972"/>
      <c r="D888" s="972"/>
      <c r="E888" s="971"/>
      <c r="F888" s="167"/>
      <c r="G888" s="972"/>
      <c r="H888" s="973"/>
      <c r="I888" s="167"/>
      <c r="J888" s="167"/>
      <c r="K888" s="972"/>
      <c r="L888" s="972"/>
      <c r="M888" s="972"/>
      <c r="N888" s="972"/>
      <c r="O888" s="976"/>
      <c r="P888" s="978"/>
      <c r="Q888" s="978"/>
      <c r="R888" s="978"/>
      <c r="S888" s="978"/>
      <c r="T888" s="978"/>
      <c r="U888" s="978"/>
      <c r="V888" s="935"/>
      <c r="W888" s="972"/>
      <c r="X888" s="935"/>
      <c r="Y888" s="935"/>
      <c r="Z888" s="935"/>
      <c r="AA888" s="935"/>
    </row>
    <row r="889">
      <c r="A889" s="935"/>
      <c r="B889" s="972"/>
      <c r="C889" s="972"/>
      <c r="D889" s="972"/>
      <c r="E889" s="971"/>
      <c r="F889" s="167"/>
      <c r="G889" s="972"/>
      <c r="H889" s="973"/>
      <c r="I889" s="167"/>
      <c r="J889" s="167"/>
      <c r="K889" s="972"/>
      <c r="L889" s="972"/>
      <c r="M889" s="972"/>
      <c r="N889" s="972"/>
      <c r="O889" s="976"/>
      <c r="P889" s="978"/>
      <c r="Q889" s="978"/>
      <c r="R889" s="978"/>
      <c r="S889" s="978"/>
      <c r="T889" s="978"/>
      <c r="U889" s="978"/>
      <c r="V889" s="935"/>
      <c r="W889" s="972"/>
      <c r="X889" s="935"/>
      <c r="Y889" s="935"/>
      <c r="Z889" s="935"/>
      <c r="AA889" s="935"/>
    </row>
    <row r="890">
      <c r="A890" s="935"/>
      <c r="B890" s="972"/>
      <c r="C890" s="972"/>
      <c r="D890" s="972"/>
      <c r="E890" s="971"/>
      <c r="F890" s="167"/>
      <c r="G890" s="972"/>
      <c r="H890" s="973"/>
      <c r="I890" s="167"/>
      <c r="J890" s="167"/>
      <c r="K890" s="972"/>
      <c r="L890" s="972"/>
      <c r="M890" s="972"/>
      <c r="N890" s="972"/>
      <c r="O890" s="976"/>
      <c r="P890" s="978"/>
      <c r="Q890" s="978"/>
      <c r="R890" s="978"/>
      <c r="S890" s="978"/>
      <c r="T890" s="978"/>
      <c r="U890" s="978"/>
      <c r="V890" s="935"/>
      <c r="W890" s="972"/>
      <c r="X890" s="935"/>
      <c r="Y890" s="935"/>
      <c r="Z890" s="935"/>
      <c r="AA890" s="935"/>
    </row>
    <row r="891">
      <c r="A891" s="935"/>
      <c r="B891" s="972"/>
      <c r="C891" s="972"/>
      <c r="D891" s="972"/>
      <c r="E891" s="971"/>
      <c r="F891" s="167"/>
      <c r="G891" s="972"/>
      <c r="H891" s="973"/>
      <c r="I891" s="167"/>
      <c r="J891" s="167"/>
      <c r="K891" s="972"/>
      <c r="L891" s="972"/>
      <c r="M891" s="972"/>
      <c r="N891" s="972"/>
      <c r="O891" s="976"/>
      <c r="P891" s="978"/>
      <c r="Q891" s="978"/>
      <c r="R891" s="978"/>
      <c r="S891" s="978"/>
      <c r="T891" s="978"/>
      <c r="U891" s="978"/>
      <c r="V891" s="935"/>
      <c r="W891" s="972"/>
      <c r="X891" s="935"/>
      <c r="Y891" s="935"/>
      <c r="Z891" s="935"/>
      <c r="AA891" s="935"/>
    </row>
    <row r="892">
      <c r="A892" s="935"/>
      <c r="B892" s="972"/>
      <c r="C892" s="972"/>
      <c r="D892" s="972"/>
      <c r="E892" s="971"/>
      <c r="F892" s="167"/>
      <c r="G892" s="972"/>
      <c r="H892" s="973"/>
      <c r="I892" s="167"/>
      <c r="J892" s="167"/>
      <c r="K892" s="972"/>
      <c r="L892" s="972"/>
      <c r="M892" s="972"/>
      <c r="N892" s="972"/>
      <c r="O892" s="976"/>
      <c r="P892" s="978"/>
      <c r="Q892" s="978"/>
      <c r="R892" s="978"/>
      <c r="S892" s="978"/>
      <c r="T892" s="978"/>
      <c r="U892" s="978"/>
      <c r="V892" s="935"/>
      <c r="W892" s="972"/>
      <c r="X892" s="935"/>
      <c r="Y892" s="935"/>
      <c r="Z892" s="935"/>
      <c r="AA892" s="935"/>
    </row>
    <row r="893">
      <c r="A893" s="935"/>
      <c r="B893" s="972"/>
      <c r="C893" s="972"/>
      <c r="D893" s="972"/>
      <c r="E893" s="971"/>
      <c r="F893" s="167"/>
      <c r="G893" s="972"/>
      <c r="H893" s="973"/>
      <c r="I893" s="167"/>
      <c r="J893" s="167"/>
      <c r="K893" s="972"/>
      <c r="L893" s="972"/>
      <c r="M893" s="972"/>
      <c r="N893" s="972"/>
      <c r="O893" s="976"/>
      <c r="P893" s="978"/>
      <c r="Q893" s="978"/>
      <c r="R893" s="978"/>
      <c r="S893" s="978"/>
      <c r="T893" s="978"/>
      <c r="U893" s="978"/>
      <c r="V893" s="935"/>
      <c r="W893" s="972"/>
      <c r="X893" s="935"/>
      <c r="Y893" s="935"/>
      <c r="Z893" s="935"/>
      <c r="AA893" s="935"/>
    </row>
    <row r="894">
      <c r="A894" s="935"/>
      <c r="B894" s="972"/>
      <c r="C894" s="972"/>
      <c r="D894" s="972"/>
      <c r="E894" s="971"/>
      <c r="F894" s="167"/>
      <c r="G894" s="972"/>
      <c r="H894" s="973"/>
      <c r="I894" s="167"/>
      <c r="J894" s="167"/>
      <c r="K894" s="972"/>
      <c r="L894" s="972"/>
      <c r="M894" s="972"/>
      <c r="N894" s="972"/>
      <c r="O894" s="976"/>
      <c r="P894" s="978"/>
      <c r="Q894" s="978"/>
      <c r="R894" s="978"/>
      <c r="S894" s="978"/>
      <c r="T894" s="978"/>
      <c r="U894" s="978"/>
      <c r="V894" s="935"/>
      <c r="W894" s="972"/>
      <c r="X894" s="935"/>
      <c r="Y894" s="935"/>
      <c r="Z894" s="935"/>
      <c r="AA894" s="935"/>
    </row>
    <row r="895">
      <c r="A895" s="935"/>
      <c r="B895" s="972"/>
      <c r="C895" s="972"/>
      <c r="D895" s="972"/>
      <c r="E895" s="971"/>
      <c r="F895" s="167"/>
      <c r="G895" s="972"/>
      <c r="H895" s="973"/>
      <c r="I895" s="167"/>
      <c r="J895" s="167"/>
      <c r="K895" s="972"/>
      <c r="L895" s="972"/>
      <c r="M895" s="972"/>
      <c r="N895" s="972"/>
      <c r="O895" s="976"/>
      <c r="P895" s="978"/>
      <c r="Q895" s="978"/>
      <c r="R895" s="978"/>
      <c r="S895" s="978"/>
      <c r="T895" s="978"/>
      <c r="U895" s="978"/>
      <c r="V895" s="935"/>
      <c r="W895" s="972"/>
      <c r="X895" s="935"/>
      <c r="Y895" s="935"/>
      <c r="Z895" s="935"/>
      <c r="AA895" s="935"/>
    </row>
    <row r="896">
      <c r="A896" s="935"/>
      <c r="B896" s="972"/>
      <c r="C896" s="972"/>
      <c r="D896" s="972"/>
      <c r="E896" s="971"/>
      <c r="F896" s="167"/>
      <c r="G896" s="972"/>
      <c r="H896" s="973"/>
      <c r="I896" s="167"/>
      <c r="J896" s="167"/>
      <c r="K896" s="972"/>
      <c r="L896" s="972"/>
      <c r="M896" s="972"/>
      <c r="N896" s="972"/>
      <c r="O896" s="976"/>
      <c r="P896" s="978"/>
      <c r="Q896" s="978"/>
      <c r="R896" s="978"/>
      <c r="S896" s="978"/>
      <c r="T896" s="978"/>
      <c r="U896" s="978"/>
      <c r="V896" s="935"/>
      <c r="W896" s="972"/>
      <c r="X896" s="935"/>
      <c r="Y896" s="935"/>
      <c r="Z896" s="935"/>
      <c r="AA896" s="935"/>
    </row>
    <row r="897">
      <c r="A897" s="935"/>
      <c r="B897" s="972"/>
      <c r="C897" s="972"/>
      <c r="D897" s="972"/>
      <c r="E897" s="971"/>
      <c r="F897" s="167"/>
      <c r="G897" s="972"/>
      <c r="H897" s="973"/>
      <c r="I897" s="167"/>
      <c r="J897" s="167"/>
      <c r="K897" s="972"/>
      <c r="L897" s="972"/>
      <c r="M897" s="972"/>
      <c r="N897" s="972"/>
      <c r="O897" s="976"/>
      <c r="P897" s="978"/>
      <c r="Q897" s="978"/>
      <c r="R897" s="978"/>
      <c r="S897" s="978"/>
      <c r="T897" s="978"/>
      <c r="U897" s="978"/>
      <c r="V897" s="935"/>
      <c r="W897" s="972"/>
      <c r="X897" s="935"/>
      <c r="Y897" s="935"/>
      <c r="Z897" s="935"/>
      <c r="AA897" s="935"/>
    </row>
    <row r="898">
      <c r="A898" s="935"/>
      <c r="B898" s="972"/>
      <c r="C898" s="972"/>
      <c r="D898" s="972"/>
      <c r="E898" s="971"/>
      <c r="F898" s="167"/>
      <c r="G898" s="972"/>
      <c r="H898" s="973"/>
      <c r="I898" s="167"/>
      <c r="J898" s="167"/>
      <c r="K898" s="972"/>
      <c r="L898" s="972"/>
      <c r="M898" s="972"/>
      <c r="N898" s="972"/>
      <c r="O898" s="976"/>
      <c r="P898" s="978"/>
      <c r="Q898" s="978"/>
      <c r="R898" s="978"/>
      <c r="S898" s="978"/>
      <c r="T898" s="978"/>
      <c r="U898" s="978"/>
      <c r="V898" s="935"/>
      <c r="W898" s="972"/>
      <c r="X898" s="935"/>
      <c r="Y898" s="935"/>
      <c r="Z898" s="935"/>
      <c r="AA898" s="935"/>
    </row>
    <row r="899">
      <c r="A899" s="935"/>
      <c r="B899" s="972"/>
      <c r="C899" s="972"/>
      <c r="D899" s="972"/>
      <c r="E899" s="971"/>
      <c r="F899" s="167"/>
      <c r="G899" s="972"/>
      <c r="H899" s="973"/>
      <c r="I899" s="167"/>
      <c r="J899" s="167"/>
      <c r="K899" s="972"/>
      <c r="L899" s="972"/>
      <c r="M899" s="972"/>
      <c r="N899" s="972"/>
      <c r="O899" s="976"/>
      <c r="P899" s="978"/>
      <c r="Q899" s="978"/>
      <c r="R899" s="978"/>
      <c r="S899" s="978"/>
      <c r="T899" s="978"/>
      <c r="U899" s="978"/>
      <c r="V899" s="935"/>
      <c r="W899" s="972"/>
      <c r="X899" s="935"/>
      <c r="Y899" s="935"/>
      <c r="Z899" s="935"/>
      <c r="AA899" s="935"/>
    </row>
    <row r="900">
      <c r="A900" s="935"/>
      <c r="B900" s="972"/>
      <c r="C900" s="972"/>
      <c r="D900" s="972"/>
      <c r="E900" s="971"/>
      <c r="F900" s="167"/>
      <c r="G900" s="972"/>
      <c r="H900" s="973"/>
      <c r="I900" s="167"/>
      <c r="J900" s="167"/>
      <c r="K900" s="972"/>
      <c r="L900" s="972"/>
      <c r="M900" s="972"/>
      <c r="N900" s="972"/>
      <c r="O900" s="976"/>
      <c r="P900" s="978"/>
      <c r="Q900" s="978"/>
      <c r="R900" s="978"/>
      <c r="S900" s="978"/>
      <c r="T900" s="978"/>
      <c r="U900" s="978"/>
      <c r="V900" s="935"/>
      <c r="W900" s="972"/>
      <c r="X900" s="935"/>
      <c r="Y900" s="935"/>
      <c r="Z900" s="935"/>
      <c r="AA900" s="935"/>
    </row>
    <row r="901">
      <c r="A901" s="935"/>
      <c r="B901" s="972"/>
      <c r="C901" s="972"/>
      <c r="D901" s="972"/>
      <c r="E901" s="971"/>
      <c r="F901" s="167"/>
      <c r="G901" s="972"/>
      <c r="H901" s="973"/>
      <c r="I901" s="167"/>
      <c r="J901" s="167"/>
      <c r="K901" s="972"/>
      <c r="L901" s="972"/>
      <c r="M901" s="972"/>
      <c r="N901" s="972"/>
      <c r="O901" s="976"/>
      <c r="P901" s="978"/>
      <c r="Q901" s="978"/>
      <c r="R901" s="978"/>
      <c r="S901" s="978"/>
      <c r="T901" s="978"/>
      <c r="U901" s="978"/>
      <c r="V901" s="935"/>
      <c r="W901" s="972"/>
      <c r="X901" s="935"/>
      <c r="Y901" s="935"/>
      <c r="Z901" s="935"/>
      <c r="AA901" s="935"/>
    </row>
    <row r="902">
      <c r="A902" s="935"/>
      <c r="B902" s="972"/>
      <c r="C902" s="972"/>
      <c r="D902" s="972"/>
      <c r="E902" s="971"/>
      <c r="F902" s="167"/>
      <c r="G902" s="972"/>
      <c r="H902" s="973"/>
      <c r="I902" s="167"/>
      <c r="J902" s="167"/>
      <c r="K902" s="972"/>
      <c r="L902" s="972"/>
      <c r="M902" s="972"/>
      <c r="N902" s="972"/>
      <c r="O902" s="976"/>
      <c r="P902" s="978"/>
      <c r="Q902" s="978"/>
      <c r="R902" s="978"/>
      <c r="S902" s="978"/>
      <c r="T902" s="978"/>
      <c r="U902" s="978"/>
      <c r="V902" s="935"/>
      <c r="W902" s="972"/>
      <c r="X902" s="935"/>
      <c r="Y902" s="935"/>
      <c r="Z902" s="935"/>
      <c r="AA902" s="935"/>
    </row>
    <row r="903">
      <c r="A903" s="935"/>
      <c r="B903" s="972"/>
      <c r="C903" s="972"/>
      <c r="D903" s="972"/>
      <c r="E903" s="971"/>
      <c r="F903" s="167"/>
      <c r="G903" s="972"/>
      <c r="H903" s="973"/>
      <c r="I903" s="167"/>
      <c r="J903" s="167"/>
      <c r="K903" s="972"/>
      <c r="L903" s="972"/>
      <c r="M903" s="972"/>
      <c r="N903" s="972"/>
      <c r="O903" s="976"/>
      <c r="P903" s="978"/>
      <c r="Q903" s="978"/>
      <c r="R903" s="978"/>
      <c r="S903" s="978"/>
      <c r="T903" s="978"/>
      <c r="U903" s="978"/>
      <c r="V903" s="935"/>
      <c r="W903" s="972"/>
      <c r="X903" s="935"/>
      <c r="Y903" s="935"/>
      <c r="Z903" s="935"/>
      <c r="AA903" s="935"/>
    </row>
    <row r="904">
      <c r="A904" s="935"/>
      <c r="B904" s="972"/>
      <c r="C904" s="972"/>
      <c r="D904" s="972"/>
      <c r="E904" s="971"/>
      <c r="F904" s="167"/>
      <c r="G904" s="972"/>
      <c r="H904" s="973"/>
      <c r="I904" s="167"/>
      <c r="J904" s="167"/>
      <c r="K904" s="972"/>
      <c r="L904" s="972"/>
      <c r="M904" s="972"/>
      <c r="N904" s="972"/>
      <c r="O904" s="976"/>
      <c r="P904" s="978"/>
      <c r="Q904" s="978"/>
      <c r="R904" s="978"/>
      <c r="S904" s="978"/>
      <c r="T904" s="978"/>
      <c r="U904" s="978"/>
      <c r="V904" s="935"/>
      <c r="W904" s="972"/>
      <c r="X904" s="935"/>
      <c r="Y904" s="935"/>
      <c r="Z904" s="935"/>
      <c r="AA904" s="935"/>
    </row>
    <row r="905">
      <c r="A905" s="935"/>
      <c r="B905" s="972"/>
      <c r="C905" s="972"/>
      <c r="D905" s="972"/>
      <c r="E905" s="971"/>
      <c r="F905" s="167"/>
      <c r="G905" s="972"/>
      <c r="H905" s="973"/>
      <c r="I905" s="167"/>
      <c r="J905" s="167"/>
      <c r="K905" s="972"/>
      <c r="L905" s="972"/>
      <c r="M905" s="972"/>
      <c r="N905" s="972"/>
      <c r="O905" s="976"/>
      <c r="P905" s="978"/>
      <c r="Q905" s="978"/>
      <c r="R905" s="978"/>
      <c r="S905" s="978"/>
      <c r="T905" s="978"/>
      <c r="U905" s="978"/>
      <c r="V905" s="935"/>
      <c r="W905" s="972"/>
      <c r="X905" s="935"/>
      <c r="Y905" s="935"/>
      <c r="Z905" s="935"/>
      <c r="AA905" s="935"/>
    </row>
    <row r="906">
      <c r="A906" s="935"/>
      <c r="B906" s="972"/>
      <c r="C906" s="972"/>
      <c r="D906" s="972"/>
      <c r="E906" s="971"/>
      <c r="F906" s="167"/>
      <c r="G906" s="972"/>
      <c r="H906" s="973"/>
      <c r="I906" s="167"/>
      <c r="J906" s="167"/>
      <c r="K906" s="972"/>
      <c r="L906" s="972"/>
      <c r="M906" s="972"/>
      <c r="N906" s="972"/>
      <c r="O906" s="976"/>
      <c r="P906" s="978"/>
      <c r="Q906" s="978"/>
      <c r="R906" s="978"/>
      <c r="S906" s="978"/>
      <c r="T906" s="978"/>
      <c r="U906" s="978"/>
      <c r="V906" s="935"/>
      <c r="W906" s="972"/>
      <c r="X906" s="935"/>
      <c r="Y906" s="935"/>
      <c r="Z906" s="935"/>
      <c r="AA906" s="935"/>
    </row>
    <row r="907">
      <c r="A907" s="935"/>
      <c r="B907" s="972"/>
      <c r="C907" s="972"/>
      <c r="D907" s="972"/>
      <c r="E907" s="971"/>
      <c r="F907" s="167"/>
      <c r="G907" s="972"/>
      <c r="H907" s="973"/>
      <c r="I907" s="167"/>
      <c r="J907" s="167"/>
      <c r="K907" s="972"/>
      <c r="L907" s="972"/>
      <c r="M907" s="972"/>
      <c r="N907" s="972"/>
      <c r="O907" s="976"/>
      <c r="P907" s="978"/>
      <c r="Q907" s="978"/>
      <c r="R907" s="978"/>
      <c r="S907" s="978"/>
      <c r="T907" s="978"/>
      <c r="U907" s="978"/>
      <c r="V907" s="935"/>
      <c r="W907" s="972"/>
      <c r="X907" s="935"/>
      <c r="Y907" s="935"/>
      <c r="Z907" s="935"/>
      <c r="AA907" s="935"/>
    </row>
    <row r="908">
      <c r="A908" s="935"/>
      <c r="B908" s="972"/>
      <c r="C908" s="972"/>
      <c r="D908" s="972"/>
      <c r="E908" s="971"/>
      <c r="F908" s="167"/>
      <c r="G908" s="972"/>
      <c r="H908" s="973"/>
      <c r="I908" s="167"/>
      <c r="J908" s="167"/>
      <c r="K908" s="972"/>
      <c r="L908" s="972"/>
      <c r="M908" s="972"/>
      <c r="N908" s="972"/>
      <c r="O908" s="976"/>
      <c r="P908" s="978"/>
      <c r="Q908" s="978"/>
      <c r="R908" s="978"/>
      <c r="S908" s="978"/>
      <c r="T908" s="978"/>
      <c r="U908" s="978"/>
      <c r="V908" s="935"/>
      <c r="W908" s="972"/>
      <c r="X908" s="935"/>
      <c r="Y908" s="935"/>
      <c r="Z908" s="935"/>
      <c r="AA908" s="935"/>
    </row>
    <row r="909">
      <c r="A909" s="935"/>
      <c r="B909" s="972"/>
      <c r="C909" s="972"/>
      <c r="D909" s="972"/>
      <c r="E909" s="971"/>
      <c r="F909" s="167"/>
      <c r="G909" s="972"/>
      <c r="H909" s="973"/>
      <c r="I909" s="167"/>
      <c r="J909" s="167"/>
      <c r="K909" s="972"/>
      <c r="L909" s="972"/>
      <c r="M909" s="972"/>
      <c r="N909" s="972"/>
      <c r="O909" s="976"/>
      <c r="P909" s="978"/>
      <c r="Q909" s="978"/>
      <c r="R909" s="978"/>
      <c r="S909" s="978"/>
      <c r="T909" s="978"/>
      <c r="U909" s="978"/>
      <c r="V909" s="935"/>
      <c r="W909" s="972"/>
      <c r="X909" s="935"/>
      <c r="Y909" s="935"/>
      <c r="Z909" s="935"/>
      <c r="AA909" s="935"/>
    </row>
    <row r="910">
      <c r="A910" s="935"/>
      <c r="B910" s="972"/>
      <c r="C910" s="972"/>
      <c r="D910" s="972"/>
      <c r="E910" s="971"/>
      <c r="F910" s="167"/>
      <c r="G910" s="972"/>
      <c r="H910" s="973"/>
      <c r="I910" s="167"/>
      <c r="J910" s="167"/>
      <c r="K910" s="972"/>
      <c r="L910" s="972"/>
      <c r="M910" s="972"/>
      <c r="N910" s="972"/>
      <c r="O910" s="976"/>
      <c r="P910" s="978"/>
      <c r="Q910" s="978"/>
      <c r="R910" s="978"/>
      <c r="S910" s="978"/>
      <c r="T910" s="978"/>
      <c r="U910" s="978"/>
      <c r="V910" s="935"/>
      <c r="W910" s="972"/>
      <c r="X910" s="935"/>
      <c r="Y910" s="935"/>
      <c r="Z910" s="935"/>
      <c r="AA910" s="935"/>
    </row>
    <row r="911">
      <c r="A911" s="935"/>
      <c r="B911" s="972"/>
      <c r="C911" s="972"/>
      <c r="D911" s="972"/>
      <c r="E911" s="971"/>
      <c r="F911" s="167"/>
      <c r="G911" s="972"/>
      <c r="H911" s="973"/>
      <c r="I911" s="167"/>
      <c r="J911" s="167"/>
      <c r="K911" s="972"/>
      <c r="L911" s="972"/>
      <c r="M911" s="972"/>
      <c r="N911" s="972"/>
      <c r="O911" s="976"/>
      <c r="P911" s="978"/>
      <c r="Q911" s="978"/>
      <c r="R911" s="978"/>
      <c r="S911" s="978"/>
      <c r="T911" s="978"/>
      <c r="U911" s="978"/>
      <c r="V911" s="935"/>
      <c r="W911" s="972"/>
      <c r="X911" s="935"/>
      <c r="Y911" s="935"/>
      <c r="Z911" s="935"/>
      <c r="AA911" s="935"/>
    </row>
    <row r="912">
      <c r="A912" s="935"/>
      <c r="B912" s="972"/>
      <c r="C912" s="972"/>
      <c r="D912" s="972"/>
      <c r="E912" s="971"/>
      <c r="F912" s="167"/>
      <c r="G912" s="972"/>
      <c r="H912" s="973"/>
      <c r="I912" s="167"/>
      <c r="J912" s="167"/>
      <c r="K912" s="972"/>
      <c r="L912" s="972"/>
      <c r="M912" s="972"/>
      <c r="N912" s="972"/>
      <c r="O912" s="976"/>
      <c r="P912" s="978"/>
      <c r="Q912" s="978"/>
      <c r="R912" s="978"/>
      <c r="S912" s="978"/>
      <c r="T912" s="978"/>
      <c r="U912" s="978"/>
      <c r="V912" s="935"/>
      <c r="W912" s="972"/>
      <c r="X912" s="935"/>
      <c r="Y912" s="935"/>
      <c r="Z912" s="935"/>
      <c r="AA912" s="935"/>
    </row>
    <row r="913">
      <c r="A913" s="935"/>
      <c r="B913" s="972"/>
      <c r="C913" s="972"/>
      <c r="D913" s="972"/>
      <c r="E913" s="971"/>
      <c r="F913" s="167"/>
      <c r="G913" s="972"/>
      <c r="H913" s="973"/>
      <c r="I913" s="167"/>
      <c r="J913" s="167"/>
      <c r="K913" s="972"/>
      <c r="L913" s="972"/>
      <c r="M913" s="972"/>
      <c r="N913" s="972"/>
      <c r="O913" s="976"/>
      <c r="P913" s="978"/>
      <c r="Q913" s="978"/>
      <c r="R913" s="978"/>
      <c r="S913" s="978"/>
      <c r="T913" s="978"/>
      <c r="U913" s="978"/>
      <c r="V913" s="935"/>
      <c r="W913" s="972"/>
      <c r="X913" s="935"/>
      <c r="Y913" s="935"/>
      <c r="Z913" s="935"/>
      <c r="AA913" s="935"/>
    </row>
    <row r="914">
      <c r="A914" s="935"/>
      <c r="B914" s="972"/>
      <c r="C914" s="972"/>
      <c r="D914" s="972"/>
      <c r="E914" s="971"/>
      <c r="F914" s="167"/>
      <c r="G914" s="972"/>
      <c r="H914" s="973"/>
      <c r="I914" s="167"/>
      <c r="J914" s="167"/>
      <c r="K914" s="972"/>
      <c r="L914" s="972"/>
      <c r="M914" s="972"/>
      <c r="N914" s="972"/>
      <c r="O914" s="976"/>
      <c r="P914" s="978"/>
      <c r="Q914" s="978"/>
      <c r="R914" s="978"/>
      <c r="S914" s="978"/>
      <c r="T914" s="978"/>
      <c r="U914" s="978"/>
      <c r="V914" s="935"/>
      <c r="W914" s="972"/>
      <c r="X914" s="935"/>
      <c r="Y914" s="935"/>
      <c r="Z914" s="935"/>
      <c r="AA914" s="935"/>
    </row>
    <row r="915">
      <c r="A915" s="935"/>
      <c r="B915" s="972"/>
      <c r="C915" s="972"/>
      <c r="D915" s="972"/>
      <c r="E915" s="971"/>
      <c r="F915" s="167"/>
      <c r="G915" s="972"/>
      <c r="H915" s="973"/>
      <c r="I915" s="167"/>
      <c r="J915" s="167"/>
      <c r="K915" s="972"/>
      <c r="L915" s="972"/>
      <c r="M915" s="972"/>
      <c r="N915" s="972"/>
      <c r="O915" s="976"/>
      <c r="P915" s="978"/>
      <c r="Q915" s="978"/>
      <c r="R915" s="978"/>
      <c r="S915" s="978"/>
      <c r="T915" s="978"/>
      <c r="U915" s="978"/>
      <c r="V915" s="935"/>
      <c r="W915" s="972"/>
      <c r="X915" s="935"/>
      <c r="Y915" s="935"/>
      <c r="Z915" s="935"/>
      <c r="AA915" s="935"/>
    </row>
    <row r="916">
      <c r="A916" s="935"/>
      <c r="B916" s="972"/>
      <c r="C916" s="972"/>
      <c r="D916" s="972"/>
      <c r="E916" s="971"/>
      <c r="F916" s="167"/>
      <c r="G916" s="972"/>
      <c r="H916" s="973"/>
      <c r="I916" s="167"/>
      <c r="J916" s="167"/>
      <c r="K916" s="972"/>
      <c r="L916" s="972"/>
      <c r="M916" s="972"/>
      <c r="N916" s="972"/>
      <c r="O916" s="976"/>
      <c r="P916" s="978"/>
      <c r="Q916" s="978"/>
      <c r="R916" s="978"/>
      <c r="S916" s="978"/>
      <c r="T916" s="978"/>
      <c r="U916" s="978"/>
      <c r="V916" s="935"/>
      <c r="W916" s="972"/>
      <c r="X916" s="935"/>
      <c r="Y916" s="935"/>
      <c r="Z916" s="935"/>
      <c r="AA916" s="935"/>
    </row>
    <row r="917">
      <c r="A917" s="935"/>
      <c r="B917" s="972"/>
      <c r="C917" s="972"/>
      <c r="D917" s="972"/>
      <c r="E917" s="971"/>
      <c r="F917" s="167"/>
      <c r="G917" s="972"/>
      <c r="H917" s="973"/>
      <c r="I917" s="167"/>
      <c r="J917" s="167"/>
      <c r="K917" s="972"/>
      <c r="L917" s="972"/>
      <c r="M917" s="972"/>
      <c r="N917" s="972"/>
      <c r="O917" s="976"/>
      <c r="P917" s="978"/>
      <c r="Q917" s="978"/>
      <c r="R917" s="978"/>
      <c r="S917" s="978"/>
      <c r="T917" s="978"/>
      <c r="U917" s="978"/>
      <c r="V917" s="935"/>
      <c r="W917" s="972"/>
      <c r="X917" s="935"/>
      <c r="Y917" s="935"/>
      <c r="Z917" s="935"/>
      <c r="AA917" s="935"/>
    </row>
    <row r="918">
      <c r="A918" s="935"/>
      <c r="B918" s="972"/>
      <c r="C918" s="972"/>
      <c r="D918" s="972"/>
      <c r="E918" s="971"/>
      <c r="F918" s="167"/>
      <c r="G918" s="972"/>
      <c r="H918" s="973"/>
      <c r="I918" s="167"/>
      <c r="J918" s="167"/>
      <c r="K918" s="972"/>
      <c r="L918" s="972"/>
      <c r="M918" s="972"/>
      <c r="N918" s="972"/>
      <c r="O918" s="976"/>
      <c r="P918" s="978"/>
      <c r="Q918" s="978"/>
      <c r="R918" s="978"/>
      <c r="S918" s="978"/>
      <c r="T918" s="978"/>
      <c r="U918" s="978"/>
      <c r="V918" s="935"/>
      <c r="W918" s="972"/>
      <c r="X918" s="935"/>
      <c r="Y918" s="935"/>
      <c r="Z918" s="935"/>
      <c r="AA918" s="935"/>
    </row>
    <row r="919">
      <c r="A919" s="935"/>
      <c r="B919" s="972"/>
      <c r="C919" s="972"/>
      <c r="D919" s="972"/>
      <c r="E919" s="971"/>
      <c r="F919" s="167"/>
      <c r="G919" s="972"/>
      <c r="H919" s="973"/>
      <c r="I919" s="167"/>
      <c r="J919" s="167"/>
      <c r="K919" s="972"/>
      <c r="L919" s="972"/>
      <c r="M919" s="972"/>
      <c r="N919" s="972"/>
      <c r="O919" s="976"/>
      <c r="P919" s="978"/>
      <c r="Q919" s="978"/>
      <c r="R919" s="978"/>
      <c r="S919" s="978"/>
      <c r="T919" s="978"/>
      <c r="U919" s="978"/>
      <c r="V919" s="935"/>
      <c r="W919" s="972"/>
      <c r="X919" s="935"/>
      <c r="Y919" s="935"/>
      <c r="Z919" s="935"/>
      <c r="AA919" s="935"/>
    </row>
    <row r="920">
      <c r="A920" s="935"/>
      <c r="B920" s="972"/>
      <c r="C920" s="972"/>
      <c r="D920" s="972"/>
      <c r="E920" s="971"/>
      <c r="F920" s="167"/>
      <c r="G920" s="972"/>
      <c r="H920" s="973"/>
      <c r="I920" s="167"/>
      <c r="J920" s="167"/>
      <c r="K920" s="972"/>
      <c r="L920" s="972"/>
      <c r="M920" s="972"/>
      <c r="N920" s="972"/>
      <c r="O920" s="976"/>
      <c r="P920" s="978"/>
      <c r="Q920" s="978"/>
      <c r="R920" s="978"/>
      <c r="S920" s="978"/>
      <c r="T920" s="978"/>
      <c r="U920" s="978"/>
      <c r="V920" s="935"/>
      <c r="W920" s="972"/>
      <c r="X920" s="935"/>
      <c r="Y920" s="935"/>
      <c r="Z920" s="935"/>
      <c r="AA920" s="935"/>
    </row>
    <row r="921">
      <c r="A921" s="935"/>
      <c r="B921" s="972"/>
      <c r="C921" s="972"/>
      <c r="D921" s="972"/>
      <c r="E921" s="971"/>
      <c r="F921" s="167"/>
      <c r="G921" s="972"/>
      <c r="H921" s="973"/>
      <c r="I921" s="167"/>
      <c r="J921" s="167"/>
      <c r="K921" s="972"/>
      <c r="L921" s="972"/>
      <c r="M921" s="972"/>
      <c r="N921" s="972"/>
      <c r="O921" s="976"/>
      <c r="P921" s="978"/>
      <c r="Q921" s="978"/>
      <c r="R921" s="978"/>
      <c r="S921" s="978"/>
      <c r="T921" s="978"/>
      <c r="U921" s="978"/>
      <c r="V921" s="935"/>
      <c r="W921" s="972"/>
      <c r="X921" s="935"/>
      <c r="Y921" s="935"/>
      <c r="Z921" s="935"/>
      <c r="AA921" s="935"/>
    </row>
    <row r="922">
      <c r="A922" s="935"/>
      <c r="B922" s="972"/>
      <c r="C922" s="972"/>
      <c r="D922" s="972"/>
      <c r="E922" s="971"/>
      <c r="F922" s="167"/>
      <c r="G922" s="972"/>
      <c r="H922" s="973"/>
      <c r="I922" s="167"/>
      <c r="J922" s="167"/>
      <c r="K922" s="972"/>
      <c r="L922" s="972"/>
      <c r="M922" s="972"/>
      <c r="N922" s="972"/>
      <c r="O922" s="976"/>
      <c r="P922" s="978"/>
      <c r="Q922" s="978"/>
      <c r="R922" s="978"/>
      <c r="S922" s="978"/>
      <c r="T922" s="978"/>
      <c r="U922" s="978"/>
      <c r="V922" s="935"/>
      <c r="W922" s="972"/>
      <c r="X922" s="935"/>
      <c r="Y922" s="935"/>
      <c r="Z922" s="935"/>
      <c r="AA922" s="935"/>
    </row>
    <row r="923">
      <c r="A923" s="935"/>
      <c r="B923" s="972"/>
      <c r="C923" s="972"/>
      <c r="D923" s="972"/>
      <c r="E923" s="971"/>
      <c r="F923" s="167"/>
      <c r="G923" s="972"/>
      <c r="H923" s="973"/>
      <c r="I923" s="167"/>
      <c r="J923" s="167"/>
      <c r="K923" s="972"/>
      <c r="L923" s="972"/>
      <c r="M923" s="972"/>
      <c r="N923" s="972"/>
      <c r="O923" s="976"/>
      <c r="P923" s="978"/>
      <c r="Q923" s="978"/>
      <c r="R923" s="978"/>
      <c r="S923" s="978"/>
      <c r="T923" s="978"/>
      <c r="U923" s="978"/>
      <c r="V923" s="935"/>
      <c r="W923" s="972"/>
      <c r="X923" s="935"/>
      <c r="Y923" s="935"/>
      <c r="Z923" s="935"/>
      <c r="AA923" s="935"/>
    </row>
    <row r="924">
      <c r="A924" s="935"/>
      <c r="B924" s="972"/>
      <c r="C924" s="972"/>
      <c r="D924" s="972"/>
      <c r="E924" s="971"/>
      <c r="F924" s="167"/>
      <c r="G924" s="972"/>
      <c r="H924" s="973"/>
      <c r="I924" s="167"/>
      <c r="J924" s="167"/>
      <c r="K924" s="972"/>
      <c r="L924" s="972"/>
      <c r="M924" s="972"/>
      <c r="N924" s="972"/>
      <c r="O924" s="976"/>
      <c r="P924" s="978"/>
      <c r="Q924" s="978"/>
      <c r="R924" s="978"/>
      <c r="S924" s="978"/>
      <c r="T924" s="978"/>
      <c r="U924" s="978"/>
      <c r="V924" s="935"/>
      <c r="W924" s="972"/>
      <c r="X924" s="935"/>
      <c r="Y924" s="935"/>
      <c r="Z924" s="935"/>
      <c r="AA924" s="935"/>
    </row>
    <row r="925">
      <c r="A925" s="935"/>
      <c r="B925" s="972"/>
      <c r="C925" s="972"/>
      <c r="D925" s="972"/>
      <c r="E925" s="971"/>
      <c r="F925" s="167"/>
      <c r="G925" s="972"/>
      <c r="H925" s="973"/>
      <c r="I925" s="167"/>
      <c r="J925" s="167"/>
      <c r="K925" s="972"/>
      <c r="L925" s="972"/>
      <c r="M925" s="972"/>
      <c r="N925" s="972"/>
      <c r="O925" s="976"/>
      <c r="P925" s="978"/>
      <c r="Q925" s="978"/>
      <c r="R925" s="978"/>
      <c r="S925" s="978"/>
      <c r="T925" s="978"/>
      <c r="U925" s="978"/>
      <c r="V925" s="935"/>
      <c r="W925" s="972"/>
      <c r="X925" s="935"/>
      <c r="Y925" s="935"/>
      <c r="Z925" s="935"/>
      <c r="AA925" s="935"/>
    </row>
    <row r="926">
      <c r="A926" s="935"/>
      <c r="B926" s="972"/>
      <c r="C926" s="972"/>
      <c r="D926" s="972"/>
      <c r="E926" s="971"/>
      <c r="F926" s="167"/>
      <c r="G926" s="972"/>
      <c r="H926" s="973"/>
      <c r="I926" s="167"/>
      <c r="J926" s="167"/>
      <c r="K926" s="972"/>
      <c r="L926" s="972"/>
      <c r="M926" s="972"/>
      <c r="N926" s="972"/>
      <c r="O926" s="976"/>
      <c r="P926" s="978"/>
      <c r="Q926" s="978"/>
      <c r="R926" s="978"/>
      <c r="S926" s="978"/>
      <c r="T926" s="978"/>
      <c r="U926" s="978"/>
      <c r="V926" s="935"/>
      <c r="W926" s="972"/>
      <c r="X926" s="935"/>
      <c r="Y926" s="935"/>
      <c r="Z926" s="935"/>
      <c r="AA926" s="935"/>
    </row>
    <row r="927">
      <c r="A927" s="935"/>
      <c r="B927" s="972"/>
      <c r="C927" s="972"/>
      <c r="D927" s="972"/>
      <c r="E927" s="971"/>
      <c r="F927" s="167"/>
      <c r="G927" s="972"/>
      <c r="H927" s="973"/>
      <c r="I927" s="167"/>
      <c r="J927" s="167"/>
      <c r="K927" s="972"/>
      <c r="L927" s="972"/>
      <c r="M927" s="972"/>
      <c r="N927" s="972"/>
      <c r="O927" s="976"/>
      <c r="P927" s="978"/>
      <c r="Q927" s="978"/>
      <c r="R927" s="978"/>
      <c r="S927" s="978"/>
      <c r="T927" s="978"/>
      <c r="U927" s="978"/>
      <c r="V927" s="935"/>
      <c r="W927" s="972"/>
      <c r="X927" s="935"/>
      <c r="Y927" s="935"/>
      <c r="Z927" s="935"/>
      <c r="AA927" s="935"/>
    </row>
    <row r="928">
      <c r="A928" s="935"/>
      <c r="B928" s="972"/>
      <c r="C928" s="972"/>
      <c r="D928" s="972"/>
      <c r="E928" s="971"/>
      <c r="F928" s="167"/>
      <c r="G928" s="972"/>
      <c r="H928" s="973"/>
      <c r="I928" s="167"/>
      <c r="J928" s="167"/>
      <c r="K928" s="972"/>
      <c r="L928" s="972"/>
      <c r="M928" s="972"/>
      <c r="N928" s="972"/>
      <c r="O928" s="976"/>
      <c r="P928" s="978"/>
      <c r="Q928" s="978"/>
      <c r="R928" s="978"/>
      <c r="S928" s="978"/>
      <c r="T928" s="978"/>
      <c r="U928" s="978"/>
      <c r="V928" s="935"/>
      <c r="W928" s="972"/>
      <c r="X928" s="935"/>
      <c r="Y928" s="935"/>
      <c r="Z928" s="935"/>
      <c r="AA928" s="935"/>
    </row>
    <row r="929">
      <c r="A929" s="935"/>
      <c r="B929" s="972"/>
      <c r="C929" s="972"/>
      <c r="D929" s="972"/>
      <c r="E929" s="971"/>
      <c r="F929" s="167"/>
      <c r="G929" s="972"/>
      <c r="H929" s="973"/>
      <c r="I929" s="167"/>
      <c r="J929" s="167"/>
      <c r="K929" s="972"/>
      <c r="L929" s="972"/>
      <c r="M929" s="972"/>
      <c r="N929" s="972"/>
      <c r="O929" s="976"/>
      <c r="P929" s="978"/>
      <c r="Q929" s="978"/>
      <c r="R929" s="978"/>
      <c r="S929" s="978"/>
      <c r="T929" s="978"/>
      <c r="U929" s="978"/>
      <c r="V929" s="935"/>
      <c r="W929" s="972"/>
      <c r="X929" s="935"/>
      <c r="Y929" s="935"/>
      <c r="Z929" s="935"/>
      <c r="AA929" s="935"/>
    </row>
    <row r="930">
      <c r="A930" s="935"/>
      <c r="B930" s="972"/>
      <c r="C930" s="972"/>
      <c r="D930" s="972"/>
      <c r="E930" s="971"/>
      <c r="F930" s="167"/>
      <c r="G930" s="972"/>
      <c r="H930" s="973"/>
      <c r="I930" s="167"/>
      <c r="J930" s="167"/>
      <c r="K930" s="972"/>
      <c r="L930" s="972"/>
      <c r="M930" s="972"/>
      <c r="N930" s="972"/>
      <c r="O930" s="976"/>
      <c r="P930" s="978"/>
      <c r="Q930" s="978"/>
      <c r="R930" s="978"/>
      <c r="S930" s="978"/>
      <c r="T930" s="978"/>
      <c r="U930" s="978"/>
      <c r="V930" s="935"/>
      <c r="W930" s="972"/>
      <c r="X930" s="935"/>
      <c r="Y930" s="935"/>
      <c r="Z930" s="935"/>
      <c r="AA930" s="935"/>
    </row>
    <row r="931">
      <c r="A931" s="935"/>
      <c r="B931" s="972"/>
      <c r="C931" s="972"/>
      <c r="D931" s="972"/>
      <c r="E931" s="971"/>
      <c r="F931" s="167"/>
      <c r="G931" s="972"/>
      <c r="H931" s="973"/>
      <c r="I931" s="167"/>
      <c r="J931" s="167"/>
      <c r="K931" s="972"/>
      <c r="L931" s="972"/>
      <c r="M931" s="972"/>
      <c r="N931" s="972"/>
      <c r="O931" s="976"/>
      <c r="P931" s="978"/>
      <c r="Q931" s="978"/>
      <c r="R931" s="978"/>
      <c r="S931" s="978"/>
      <c r="T931" s="978"/>
      <c r="U931" s="978"/>
      <c r="V931" s="935"/>
      <c r="W931" s="972"/>
      <c r="X931" s="935"/>
      <c r="Y931" s="935"/>
      <c r="Z931" s="935"/>
      <c r="AA931" s="935"/>
    </row>
    <row r="932">
      <c r="A932" s="935"/>
      <c r="B932" s="972"/>
      <c r="C932" s="972"/>
      <c r="D932" s="972"/>
      <c r="E932" s="971"/>
      <c r="F932" s="167"/>
      <c r="G932" s="972"/>
      <c r="H932" s="973"/>
      <c r="I932" s="167"/>
      <c r="J932" s="167"/>
      <c r="K932" s="972"/>
      <c r="L932" s="972"/>
      <c r="M932" s="972"/>
      <c r="N932" s="972"/>
      <c r="O932" s="976"/>
      <c r="P932" s="978"/>
      <c r="Q932" s="978"/>
      <c r="R932" s="978"/>
      <c r="S932" s="978"/>
      <c r="T932" s="978"/>
      <c r="U932" s="978"/>
      <c r="V932" s="935"/>
      <c r="W932" s="972"/>
      <c r="X932" s="935"/>
      <c r="Y932" s="935"/>
      <c r="Z932" s="935"/>
      <c r="AA932" s="935"/>
    </row>
    <row r="933">
      <c r="A933" s="935"/>
      <c r="B933" s="972"/>
      <c r="C933" s="972"/>
      <c r="D933" s="972"/>
      <c r="E933" s="971"/>
      <c r="F933" s="167"/>
      <c r="G933" s="972"/>
      <c r="H933" s="973"/>
      <c r="I933" s="167"/>
      <c r="J933" s="167"/>
      <c r="K933" s="972"/>
      <c r="L933" s="972"/>
      <c r="M933" s="972"/>
      <c r="N933" s="972"/>
      <c r="O933" s="976"/>
      <c r="P933" s="978"/>
      <c r="Q933" s="978"/>
      <c r="R933" s="978"/>
      <c r="S933" s="978"/>
      <c r="T933" s="978"/>
      <c r="U933" s="978"/>
      <c r="V933" s="935"/>
      <c r="W933" s="972"/>
      <c r="X933" s="935"/>
      <c r="Y933" s="935"/>
      <c r="Z933" s="935"/>
      <c r="AA933" s="935"/>
    </row>
    <row r="934">
      <c r="A934" s="935"/>
      <c r="B934" s="972"/>
      <c r="C934" s="972"/>
      <c r="D934" s="972"/>
      <c r="E934" s="971"/>
      <c r="F934" s="167"/>
      <c r="G934" s="972"/>
      <c r="H934" s="973"/>
      <c r="I934" s="167"/>
      <c r="J934" s="167"/>
      <c r="K934" s="972"/>
      <c r="L934" s="972"/>
      <c r="M934" s="972"/>
      <c r="N934" s="972"/>
      <c r="O934" s="976"/>
      <c r="P934" s="978"/>
      <c r="Q934" s="978"/>
      <c r="R934" s="978"/>
      <c r="S934" s="978"/>
      <c r="T934" s="978"/>
      <c r="U934" s="978"/>
      <c r="V934" s="935"/>
      <c r="W934" s="972"/>
      <c r="X934" s="935"/>
      <c r="Y934" s="935"/>
      <c r="Z934" s="935"/>
      <c r="AA934" s="935"/>
    </row>
    <row r="935">
      <c r="A935" s="935"/>
      <c r="B935" s="972"/>
      <c r="C935" s="972"/>
      <c r="D935" s="972"/>
      <c r="E935" s="971"/>
      <c r="F935" s="167"/>
      <c r="G935" s="972"/>
      <c r="H935" s="973"/>
      <c r="I935" s="167"/>
      <c r="J935" s="167"/>
      <c r="K935" s="972"/>
      <c r="L935" s="972"/>
      <c r="M935" s="972"/>
      <c r="N935" s="972"/>
      <c r="O935" s="976"/>
      <c r="P935" s="978"/>
      <c r="Q935" s="978"/>
      <c r="R935" s="978"/>
      <c r="S935" s="978"/>
      <c r="T935" s="978"/>
      <c r="U935" s="978"/>
      <c r="V935" s="935"/>
      <c r="W935" s="972"/>
      <c r="X935" s="935"/>
      <c r="Y935" s="935"/>
      <c r="Z935" s="935"/>
      <c r="AA935" s="935"/>
    </row>
    <row r="936">
      <c r="A936" s="935"/>
      <c r="B936" s="972"/>
      <c r="C936" s="972"/>
      <c r="D936" s="972"/>
      <c r="E936" s="971"/>
      <c r="F936" s="167"/>
      <c r="G936" s="972"/>
      <c r="H936" s="973"/>
      <c r="I936" s="167"/>
      <c r="J936" s="167"/>
      <c r="K936" s="972"/>
      <c r="L936" s="972"/>
      <c r="M936" s="972"/>
      <c r="N936" s="972"/>
      <c r="O936" s="976"/>
      <c r="P936" s="978"/>
      <c r="Q936" s="978"/>
      <c r="R936" s="978"/>
      <c r="S936" s="978"/>
      <c r="T936" s="978"/>
      <c r="U936" s="978"/>
      <c r="V936" s="935"/>
      <c r="W936" s="972"/>
      <c r="X936" s="935"/>
      <c r="Y936" s="935"/>
      <c r="Z936" s="935"/>
      <c r="AA936" s="935"/>
    </row>
    <row r="937">
      <c r="A937" s="935"/>
      <c r="B937" s="972"/>
      <c r="C937" s="972"/>
      <c r="D937" s="972"/>
      <c r="E937" s="971"/>
      <c r="F937" s="167"/>
      <c r="G937" s="972"/>
      <c r="H937" s="973"/>
      <c r="I937" s="167"/>
      <c r="J937" s="167"/>
      <c r="K937" s="972"/>
      <c r="L937" s="972"/>
      <c r="M937" s="972"/>
      <c r="N937" s="972"/>
      <c r="O937" s="976"/>
      <c r="P937" s="978"/>
      <c r="Q937" s="978"/>
      <c r="R937" s="978"/>
      <c r="S937" s="978"/>
      <c r="T937" s="978"/>
      <c r="U937" s="978"/>
      <c r="V937" s="935"/>
      <c r="W937" s="972"/>
      <c r="X937" s="935"/>
      <c r="Y937" s="935"/>
      <c r="Z937" s="935"/>
      <c r="AA937" s="935"/>
    </row>
    <row r="938">
      <c r="A938" s="935"/>
      <c r="B938" s="972"/>
      <c r="C938" s="972"/>
      <c r="D938" s="972"/>
      <c r="E938" s="971"/>
      <c r="F938" s="167"/>
      <c r="G938" s="972"/>
      <c r="H938" s="973"/>
      <c r="I938" s="167"/>
      <c r="J938" s="167"/>
      <c r="K938" s="972"/>
      <c r="L938" s="972"/>
      <c r="M938" s="972"/>
      <c r="N938" s="972"/>
      <c r="O938" s="976"/>
      <c r="P938" s="978"/>
      <c r="Q938" s="978"/>
      <c r="R938" s="978"/>
      <c r="S938" s="978"/>
      <c r="T938" s="978"/>
      <c r="U938" s="978"/>
      <c r="V938" s="935"/>
      <c r="W938" s="972"/>
      <c r="X938" s="935"/>
      <c r="Y938" s="935"/>
      <c r="Z938" s="935"/>
      <c r="AA938" s="935"/>
    </row>
    <row r="939">
      <c r="A939" s="935"/>
      <c r="B939" s="972"/>
      <c r="C939" s="972"/>
      <c r="D939" s="972"/>
      <c r="E939" s="971"/>
      <c r="F939" s="167"/>
      <c r="G939" s="972"/>
      <c r="H939" s="973"/>
      <c r="I939" s="167"/>
      <c r="J939" s="167"/>
      <c r="K939" s="972"/>
      <c r="L939" s="972"/>
      <c r="M939" s="972"/>
      <c r="N939" s="972"/>
      <c r="O939" s="976"/>
      <c r="P939" s="978"/>
      <c r="Q939" s="978"/>
      <c r="R939" s="978"/>
      <c r="S939" s="978"/>
      <c r="T939" s="978"/>
      <c r="U939" s="978"/>
      <c r="V939" s="935"/>
      <c r="W939" s="972"/>
      <c r="X939" s="935"/>
      <c r="Y939" s="935"/>
      <c r="Z939" s="935"/>
      <c r="AA939" s="935"/>
    </row>
    <row r="940">
      <c r="A940" s="935"/>
      <c r="B940" s="972"/>
      <c r="C940" s="972"/>
      <c r="D940" s="972"/>
      <c r="E940" s="971"/>
      <c r="F940" s="167"/>
      <c r="G940" s="972"/>
      <c r="H940" s="973"/>
      <c r="I940" s="167"/>
      <c r="J940" s="167"/>
      <c r="K940" s="972"/>
      <c r="L940" s="972"/>
      <c r="M940" s="972"/>
      <c r="N940" s="972"/>
      <c r="O940" s="976"/>
      <c r="P940" s="978"/>
      <c r="Q940" s="978"/>
      <c r="R940" s="978"/>
      <c r="S940" s="978"/>
      <c r="T940" s="978"/>
      <c r="U940" s="978"/>
      <c r="V940" s="935"/>
      <c r="W940" s="972"/>
      <c r="X940" s="935"/>
      <c r="Y940" s="935"/>
      <c r="Z940" s="935"/>
      <c r="AA940" s="935"/>
    </row>
    <row r="941">
      <c r="A941" s="935"/>
      <c r="B941" s="972"/>
      <c r="C941" s="972"/>
      <c r="D941" s="972"/>
      <c r="E941" s="971"/>
      <c r="F941" s="167"/>
      <c r="G941" s="972"/>
      <c r="H941" s="973"/>
      <c r="I941" s="167"/>
      <c r="J941" s="167"/>
      <c r="K941" s="972"/>
      <c r="L941" s="972"/>
      <c r="M941" s="972"/>
      <c r="N941" s="972"/>
      <c r="O941" s="976"/>
      <c r="P941" s="978"/>
      <c r="Q941" s="978"/>
      <c r="R941" s="978"/>
      <c r="S941" s="978"/>
      <c r="T941" s="978"/>
      <c r="U941" s="978"/>
      <c r="V941" s="935"/>
      <c r="W941" s="972"/>
      <c r="X941" s="935"/>
      <c r="Y941" s="935"/>
      <c r="Z941" s="935"/>
      <c r="AA941" s="935"/>
    </row>
    <row r="942">
      <c r="A942" s="935"/>
      <c r="B942" s="972"/>
      <c r="C942" s="972"/>
      <c r="D942" s="972"/>
      <c r="E942" s="971"/>
      <c r="F942" s="167"/>
      <c r="G942" s="972"/>
      <c r="H942" s="973"/>
      <c r="I942" s="167"/>
      <c r="J942" s="167"/>
      <c r="K942" s="972"/>
      <c r="L942" s="972"/>
      <c r="M942" s="972"/>
      <c r="N942" s="972"/>
      <c r="O942" s="976"/>
      <c r="P942" s="978"/>
      <c r="Q942" s="978"/>
      <c r="R942" s="978"/>
      <c r="S942" s="978"/>
      <c r="T942" s="978"/>
      <c r="U942" s="978"/>
      <c r="V942" s="935"/>
      <c r="W942" s="972"/>
      <c r="X942" s="935"/>
      <c r="Y942" s="935"/>
      <c r="Z942" s="935"/>
      <c r="AA942" s="935"/>
    </row>
    <row r="943">
      <c r="A943" s="935"/>
      <c r="B943" s="972"/>
      <c r="C943" s="972"/>
      <c r="D943" s="972"/>
      <c r="E943" s="971"/>
      <c r="F943" s="167"/>
      <c r="G943" s="972"/>
      <c r="H943" s="973"/>
      <c r="I943" s="167"/>
      <c r="J943" s="167"/>
      <c r="K943" s="972"/>
      <c r="L943" s="972"/>
      <c r="M943" s="972"/>
      <c r="N943" s="972"/>
      <c r="O943" s="976"/>
      <c r="P943" s="978"/>
      <c r="Q943" s="978"/>
      <c r="R943" s="978"/>
      <c r="S943" s="978"/>
      <c r="T943" s="978"/>
      <c r="U943" s="978"/>
      <c r="V943" s="935"/>
      <c r="W943" s="972"/>
      <c r="X943" s="935"/>
      <c r="Y943" s="935"/>
      <c r="Z943" s="935"/>
      <c r="AA943" s="935"/>
    </row>
    <row r="944">
      <c r="A944" s="935"/>
      <c r="B944" s="972"/>
      <c r="C944" s="972"/>
      <c r="D944" s="972"/>
      <c r="E944" s="971"/>
      <c r="F944" s="167"/>
      <c r="G944" s="972"/>
      <c r="H944" s="973"/>
      <c r="I944" s="167"/>
      <c r="J944" s="167"/>
      <c r="K944" s="972"/>
      <c r="L944" s="972"/>
      <c r="M944" s="972"/>
      <c r="N944" s="972"/>
      <c r="O944" s="976"/>
      <c r="P944" s="978"/>
      <c r="Q944" s="978"/>
      <c r="R944" s="978"/>
      <c r="S944" s="978"/>
      <c r="T944" s="978"/>
      <c r="U944" s="978"/>
      <c r="V944" s="935"/>
      <c r="W944" s="972"/>
      <c r="X944" s="935"/>
      <c r="Y944" s="935"/>
      <c r="Z944" s="935"/>
      <c r="AA944" s="935"/>
    </row>
    <row r="945">
      <c r="A945" s="935"/>
      <c r="B945" s="972"/>
      <c r="C945" s="972"/>
      <c r="D945" s="972"/>
      <c r="E945" s="971"/>
      <c r="F945" s="167"/>
      <c r="G945" s="972"/>
      <c r="H945" s="973"/>
      <c r="I945" s="167"/>
      <c r="J945" s="167"/>
      <c r="K945" s="972"/>
      <c r="L945" s="972"/>
      <c r="M945" s="972"/>
      <c r="N945" s="972"/>
      <c r="O945" s="976"/>
      <c r="P945" s="978"/>
      <c r="Q945" s="978"/>
      <c r="R945" s="978"/>
      <c r="S945" s="978"/>
      <c r="T945" s="978"/>
      <c r="U945" s="978"/>
      <c r="V945" s="935"/>
      <c r="W945" s="972"/>
      <c r="X945" s="935"/>
      <c r="Y945" s="935"/>
      <c r="Z945" s="935"/>
      <c r="AA945" s="935"/>
    </row>
    <row r="946">
      <c r="A946" s="935"/>
      <c r="B946" s="972"/>
      <c r="C946" s="972"/>
      <c r="D946" s="972"/>
      <c r="E946" s="971"/>
      <c r="F946" s="167"/>
      <c r="G946" s="972"/>
      <c r="H946" s="973"/>
      <c r="I946" s="167"/>
      <c r="J946" s="167"/>
      <c r="K946" s="972"/>
      <c r="L946" s="972"/>
      <c r="M946" s="972"/>
      <c r="N946" s="972"/>
      <c r="O946" s="976"/>
      <c r="P946" s="978"/>
      <c r="Q946" s="978"/>
      <c r="R946" s="978"/>
      <c r="S946" s="978"/>
      <c r="T946" s="978"/>
      <c r="U946" s="978"/>
      <c r="V946" s="935"/>
      <c r="W946" s="972"/>
      <c r="X946" s="935"/>
      <c r="Y946" s="935"/>
      <c r="Z946" s="935"/>
      <c r="AA946" s="935"/>
    </row>
    <row r="947">
      <c r="A947" s="935"/>
      <c r="B947" s="972"/>
      <c r="C947" s="972"/>
      <c r="D947" s="972"/>
      <c r="E947" s="971"/>
      <c r="F947" s="167"/>
      <c r="G947" s="972"/>
      <c r="H947" s="973"/>
      <c r="I947" s="167"/>
      <c r="J947" s="167"/>
      <c r="K947" s="972"/>
      <c r="L947" s="972"/>
      <c r="M947" s="972"/>
      <c r="N947" s="972"/>
      <c r="O947" s="976"/>
      <c r="P947" s="978"/>
      <c r="Q947" s="978"/>
      <c r="R947" s="978"/>
      <c r="S947" s="978"/>
      <c r="T947" s="978"/>
      <c r="U947" s="978"/>
      <c r="V947" s="935"/>
      <c r="W947" s="972"/>
      <c r="X947" s="935"/>
      <c r="Y947" s="935"/>
      <c r="Z947" s="935"/>
      <c r="AA947" s="935"/>
    </row>
    <row r="948">
      <c r="A948" s="935"/>
      <c r="B948" s="972"/>
      <c r="C948" s="972"/>
      <c r="D948" s="972"/>
      <c r="E948" s="971"/>
      <c r="F948" s="167"/>
      <c r="G948" s="972"/>
      <c r="H948" s="973"/>
      <c r="I948" s="167"/>
      <c r="J948" s="167"/>
      <c r="K948" s="972"/>
      <c r="L948" s="972"/>
      <c r="M948" s="972"/>
      <c r="N948" s="972"/>
      <c r="O948" s="976"/>
      <c r="P948" s="978"/>
      <c r="Q948" s="978"/>
      <c r="R948" s="978"/>
      <c r="S948" s="978"/>
      <c r="T948" s="978"/>
      <c r="U948" s="978"/>
      <c r="V948" s="935"/>
      <c r="W948" s="972"/>
      <c r="X948" s="935"/>
      <c r="Y948" s="935"/>
      <c r="Z948" s="935"/>
      <c r="AA948" s="935"/>
    </row>
    <row r="949">
      <c r="A949" s="935"/>
      <c r="B949" s="972"/>
      <c r="C949" s="972"/>
      <c r="D949" s="972"/>
      <c r="E949" s="971"/>
      <c r="F949" s="167"/>
      <c r="G949" s="972"/>
      <c r="H949" s="973"/>
      <c r="I949" s="167"/>
      <c r="J949" s="167"/>
      <c r="K949" s="972"/>
      <c r="L949" s="972"/>
      <c r="M949" s="972"/>
      <c r="N949" s="972"/>
      <c r="O949" s="976"/>
      <c r="P949" s="978"/>
      <c r="Q949" s="978"/>
      <c r="R949" s="978"/>
      <c r="S949" s="978"/>
      <c r="T949" s="978"/>
      <c r="U949" s="978"/>
      <c r="V949" s="935"/>
      <c r="W949" s="972"/>
      <c r="X949" s="935"/>
      <c r="Y949" s="935"/>
      <c r="Z949" s="935"/>
      <c r="AA949" s="935"/>
    </row>
    <row r="950">
      <c r="A950" s="935"/>
      <c r="B950" s="972"/>
      <c r="C950" s="972"/>
      <c r="D950" s="972"/>
      <c r="E950" s="971"/>
      <c r="F950" s="167"/>
      <c r="G950" s="972"/>
      <c r="H950" s="973"/>
      <c r="I950" s="167"/>
      <c r="J950" s="167"/>
      <c r="K950" s="972"/>
      <c r="L950" s="972"/>
      <c r="M950" s="972"/>
      <c r="N950" s="972"/>
      <c r="O950" s="976"/>
      <c r="P950" s="978"/>
      <c r="Q950" s="978"/>
      <c r="R950" s="978"/>
      <c r="S950" s="978"/>
      <c r="T950" s="978"/>
      <c r="U950" s="978"/>
      <c r="V950" s="935"/>
      <c r="W950" s="972"/>
      <c r="X950" s="935"/>
      <c r="Y950" s="935"/>
      <c r="Z950" s="935"/>
      <c r="AA950" s="935"/>
    </row>
    <row r="951">
      <c r="A951" s="935"/>
      <c r="B951" s="972"/>
      <c r="C951" s="972"/>
      <c r="D951" s="972"/>
      <c r="E951" s="971"/>
      <c r="F951" s="167"/>
      <c r="G951" s="972"/>
      <c r="H951" s="973"/>
      <c r="I951" s="167"/>
      <c r="J951" s="167"/>
      <c r="K951" s="972"/>
      <c r="L951" s="972"/>
      <c r="M951" s="972"/>
      <c r="N951" s="972"/>
      <c r="O951" s="976"/>
      <c r="P951" s="978"/>
      <c r="Q951" s="978"/>
      <c r="R951" s="978"/>
      <c r="S951" s="978"/>
      <c r="T951" s="978"/>
      <c r="U951" s="978"/>
      <c r="V951" s="935"/>
      <c r="W951" s="972"/>
      <c r="X951" s="935"/>
      <c r="Y951" s="935"/>
      <c r="Z951" s="935"/>
      <c r="AA951" s="935"/>
    </row>
    <row r="952">
      <c r="A952" s="935"/>
      <c r="B952" s="972"/>
      <c r="C952" s="972"/>
      <c r="D952" s="972"/>
      <c r="E952" s="971"/>
      <c r="F952" s="167"/>
      <c r="G952" s="972"/>
      <c r="H952" s="973"/>
      <c r="I952" s="167"/>
      <c r="J952" s="167"/>
      <c r="K952" s="972"/>
      <c r="L952" s="972"/>
      <c r="M952" s="972"/>
      <c r="N952" s="972"/>
      <c r="O952" s="976"/>
      <c r="P952" s="978"/>
      <c r="Q952" s="978"/>
      <c r="R952" s="978"/>
      <c r="S952" s="978"/>
      <c r="T952" s="978"/>
      <c r="U952" s="978"/>
      <c r="V952" s="935"/>
      <c r="W952" s="972"/>
      <c r="X952" s="935"/>
      <c r="Y952" s="935"/>
      <c r="Z952" s="935"/>
      <c r="AA952" s="935"/>
    </row>
    <row r="953">
      <c r="A953" s="935"/>
      <c r="B953" s="972"/>
      <c r="C953" s="972"/>
      <c r="D953" s="972"/>
      <c r="E953" s="971"/>
      <c r="F953" s="167"/>
      <c r="G953" s="972"/>
      <c r="H953" s="973"/>
      <c r="I953" s="167"/>
      <c r="J953" s="167"/>
      <c r="K953" s="972"/>
      <c r="L953" s="972"/>
      <c r="M953" s="972"/>
      <c r="N953" s="972"/>
      <c r="O953" s="976"/>
      <c r="P953" s="978"/>
      <c r="Q953" s="978"/>
      <c r="R953" s="978"/>
      <c r="S953" s="978"/>
      <c r="T953" s="978"/>
      <c r="U953" s="978"/>
      <c r="V953" s="935"/>
      <c r="W953" s="972"/>
      <c r="X953" s="935"/>
      <c r="Y953" s="935"/>
      <c r="Z953" s="935"/>
      <c r="AA953" s="935"/>
    </row>
    <row r="954">
      <c r="A954" s="935"/>
      <c r="B954" s="972"/>
      <c r="C954" s="972"/>
      <c r="D954" s="972"/>
      <c r="E954" s="971"/>
      <c r="F954" s="167"/>
      <c r="G954" s="972"/>
      <c r="H954" s="973"/>
      <c r="I954" s="167"/>
      <c r="J954" s="167"/>
      <c r="K954" s="972"/>
      <c r="L954" s="972"/>
      <c r="M954" s="972"/>
      <c r="N954" s="972"/>
      <c r="O954" s="976"/>
      <c r="P954" s="978"/>
      <c r="Q954" s="978"/>
      <c r="R954" s="978"/>
      <c r="S954" s="978"/>
      <c r="T954" s="978"/>
      <c r="U954" s="978"/>
      <c r="V954" s="935"/>
      <c r="W954" s="972"/>
      <c r="X954" s="935"/>
      <c r="Y954" s="935"/>
      <c r="Z954" s="935"/>
      <c r="AA954" s="935"/>
    </row>
    <row r="955">
      <c r="A955" s="935"/>
      <c r="B955" s="972"/>
      <c r="C955" s="972"/>
      <c r="D955" s="972"/>
      <c r="E955" s="971"/>
      <c r="F955" s="167"/>
      <c r="G955" s="972"/>
      <c r="H955" s="973"/>
      <c r="I955" s="167"/>
      <c r="J955" s="167"/>
      <c r="K955" s="972"/>
      <c r="L955" s="972"/>
      <c r="M955" s="972"/>
      <c r="N955" s="972"/>
      <c r="O955" s="976"/>
      <c r="P955" s="978"/>
      <c r="Q955" s="978"/>
      <c r="R955" s="978"/>
      <c r="S955" s="978"/>
      <c r="T955" s="978"/>
      <c r="U955" s="978"/>
      <c r="V955" s="935"/>
      <c r="W955" s="972"/>
      <c r="X955" s="935"/>
      <c r="Y955" s="935"/>
      <c r="Z955" s="935"/>
      <c r="AA955" s="935"/>
    </row>
    <row r="956">
      <c r="A956" s="935"/>
      <c r="B956" s="972"/>
      <c r="C956" s="972"/>
      <c r="D956" s="972"/>
      <c r="E956" s="971"/>
      <c r="F956" s="167"/>
      <c r="G956" s="972"/>
      <c r="H956" s="973"/>
      <c r="I956" s="167"/>
      <c r="J956" s="167"/>
      <c r="K956" s="972"/>
      <c r="L956" s="972"/>
      <c r="M956" s="972"/>
      <c r="N956" s="972"/>
      <c r="O956" s="976"/>
      <c r="P956" s="978"/>
      <c r="Q956" s="978"/>
      <c r="R956" s="978"/>
      <c r="S956" s="978"/>
      <c r="T956" s="978"/>
      <c r="U956" s="978"/>
      <c r="V956" s="935"/>
      <c r="W956" s="972"/>
      <c r="X956" s="935"/>
      <c r="Y956" s="935"/>
      <c r="Z956" s="935"/>
      <c r="AA956" s="935"/>
    </row>
    <row r="957">
      <c r="A957" s="935"/>
      <c r="B957" s="972"/>
      <c r="C957" s="972"/>
      <c r="D957" s="972"/>
      <c r="E957" s="971"/>
      <c r="F957" s="167"/>
      <c r="G957" s="972"/>
      <c r="H957" s="973"/>
      <c r="I957" s="167"/>
      <c r="J957" s="167"/>
      <c r="K957" s="972"/>
      <c r="L957" s="972"/>
      <c r="M957" s="972"/>
      <c r="N957" s="972"/>
      <c r="O957" s="976"/>
      <c r="P957" s="978"/>
      <c r="Q957" s="978"/>
      <c r="R957" s="978"/>
      <c r="S957" s="978"/>
      <c r="T957" s="978"/>
      <c r="U957" s="978"/>
      <c r="V957" s="935"/>
      <c r="W957" s="972"/>
      <c r="X957" s="935"/>
      <c r="Y957" s="935"/>
      <c r="Z957" s="935"/>
      <c r="AA957" s="935"/>
    </row>
    <row r="958">
      <c r="A958" s="935"/>
      <c r="B958" s="972"/>
      <c r="C958" s="972"/>
      <c r="D958" s="972"/>
      <c r="E958" s="971"/>
      <c r="F958" s="167"/>
      <c r="G958" s="972"/>
      <c r="H958" s="973"/>
      <c r="I958" s="167"/>
      <c r="J958" s="167"/>
      <c r="K958" s="972"/>
      <c r="L958" s="972"/>
      <c r="M958" s="972"/>
      <c r="N958" s="972"/>
      <c r="O958" s="976"/>
      <c r="P958" s="978"/>
      <c r="Q958" s="978"/>
      <c r="R958" s="978"/>
      <c r="S958" s="978"/>
      <c r="T958" s="978"/>
      <c r="U958" s="978"/>
      <c r="V958" s="935"/>
      <c r="W958" s="972"/>
      <c r="X958" s="935"/>
      <c r="Y958" s="935"/>
      <c r="Z958" s="935"/>
      <c r="AA958" s="935"/>
    </row>
    <row r="959">
      <c r="A959" s="935"/>
      <c r="B959" s="972"/>
      <c r="C959" s="972"/>
      <c r="D959" s="972"/>
      <c r="E959" s="971"/>
      <c r="F959" s="167"/>
      <c r="G959" s="972"/>
      <c r="H959" s="973"/>
      <c r="I959" s="167"/>
      <c r="J959" s="167"/>
      <c r="K959" s="972"/>
      <c r="L959" s="972"/>
      <c r="M959" s="972"/>
      <c r="N959" s="972"/>
      <c r="O959" s="976"/>
      <c r="P959" s="978"/>
      <c r="Q959" s="978"/>
      <c r="R959" s="978"/>
      <c r="S959" s="978"/>
      <c r="T959" s="978"/>
      <c r="U959" s="978"/>
      <c r="V959" s="935"/>
      <c r="W959" s="972"/>
      <c r="X959" s="935"/>
      <c r="Y959" s="935"/>
      <c r="Z959" s="935"/>
      <c r="AA959" s="935"/>
    </row>
    <row r="960">
      <c r="A960" s="935"/>
      <c r="B960" s="972"/>
      <c r="C960" s="972"/>
      <c r="D960" s="972"/>
      <c r="E960" s="971"/>
      <c r="F960" s="167"/>
      <c r="G960" s="972"/>
      <c r="H960" s="973"/>
      <c r="I960" s="167"/>
      <c r="J960" s="167"/>
      <c r="K960" s="972"/>
      <c r="L960" s="972"/>
      <c r="M960" s="972"/>
      <c r="N960" s="972"/>
      <c r="O960" s="976"/>
      <c r="P960" s="978"/>
      <c r="Q960" s="978"/>
      <c r="R960" s="978"/>
      <c r="S960" s="978"/>
      <c r="T960" s="978"/>
      <c r="U960" s="978"/>
      <c r="V960" s="935"/>
      <c r="W960" s="972"/>
      <c r="X960" s="935"/>
      <c r="Y960" s="935"/>
      <c r="Z960" s="935"/>
      <c r="AA960" s="935"/>
    </row>
    <row r="961">
      <c r="A961" s="935"/>
      <c r="B961" s="972"/>
      <c r="C961" s="972"/>
      <c r="D961" s="972"/>
      <c r="E961" s="971"/>
      <c r="F961" s="167"/>
      <c r="G961" s="972"/>
      <c r="H961" s="973"/>
      <c r="I961" s="167"/>
      <c r="J961" s="167"/>
      <c r="K961" s="972"/>
      <c r="L961" s="972"/>
      <c r="M961" s="972"/>
      <c r="N961" s="972"/>
      <c r="O961" s="976"/>
      <c r="P961" s="978"/>
      <c r="Q961" s="978"/>
      <c r="R961" s="978"/>
      <c r="S961" s="978"/>
      <c r="T961" s="978"/>
      <c r="U961" s="978"/>
      <c r="V961" s="935"/>
      <c r="W961" s="972"/>
      <c r="X961" s="935"/>
      <c r="Y961" s="935"/>
      <c r="Z961" s="935"/>
      <c r="AA961" s="935"/>
    </row>
    <row r="962">
      <c r="A962" s="935"/>
      <c r="B962" s="972"/>
      <c r="C962" s="972"/>
      <c r="D962" s="972"/>
      <c r="E962" s="971"/>
      <c r="F962" s="167"/>
      <c r="G962" s="972"/>
      <c r="H962" s="973"/>
      <c r="I962" s="167"/>
      <c r="J962" s="167"/>
      <c r="K962" s="972"/>
      <c r="L962" s="972"/>
      <c r="M962" s="972"/>
      <c r="N962" s="972"/>
      <c r="O962" s="976"/>
      <c r="P962" s="978"/>
      <c r="Q962" s="978"/>
      <c r="R962" s="978"/>
      <c r="S962" s="978"/>
      <c r="T962" s="978"/>
      <c r="U962" s="978"/>
      <c r="V962" s="935"/>
      <c r="W962" s="972"/>
      <c r="X962" s="935"/>
      <c r="Y962" s="935"/>
      <c r="Z962" s="935"/>
      <c r="AA962" s="935"/>
    </row>
    <row r="963">
      <c r="A963" s="935"/>
      <c r="B963" s="972"/>
      <c r="C963" s="972"/>
      <c r="D963" s="972"/>
      <c r="E963" s="971"/>
      <c r="F963" s="167"/>
      <c r="G963" s="972"/>
      <c r="H963" s="973"/>
      <c r="I963" s="167"/>
      <c r="J963" s="167"/>
      <c r="K963" s="972"/>
      <c r="L963" s="972"/>
      <c r="M963" s="972"/>
      <c r="N963" s="972"/>
      <c r="O963" s="976"/>
      <c r="P963" s="978"/>
      <c r="Q963" s="978"/>
      <c r="R963" s="978"/>
      <c r="S963" s="978"/>
      <c r="T963" s="978"/>
      <c r="U963" s="978"/>
      <c r="V963" s="935"/>
      <c r="W963" s="972"/>
      <c r="X963" s="935"/>
      <c r="Y963" s="935"/>
      <c r="Z963" s="935"/>
      <c r="AA963" s="935"/>
    </row>
    <row r="964">
      <c r="A964" s="935"/>
      <c r="B964" s="972"/>
      <c r="C964" s="972"/>
      <c r="D964" s="972"/>
      <c r="E964" s="971"/>
      <c r="F964" s="167"/>
      <c r="G964" s="972"/>
      <c r="H964" s="973"/>
      <c r="I964" s="167"/>
      <c r="J964" s="167"/>
      <c r="K964" s="972"/>
      <c r="L964" s="972"/>
      <c r="M964" s="972"/>
      <c r="N964" s="972"/>
      <c r="O964" s="976"/>
      <c r="P964" s="978"/>
      <c r="Q964" s="978"/>
      <c r="R964" s="978"/>
      <c r="S964" s="978"/>
      <c r="T964" s="978"/>
      <c r="U964" s="978"/>
      <c r="V964" s="935"/>
      <c r="W964" s="972"/>
      <c r="X964" s="935"/>
      <c r="Y964" s="935"/>
      <c r="Z964" s="935"/>
      <c r="AA964" s="935"/>
    </row>
    <row r="965">
      <c r="A965" s="935"/>
      <c r="B965" s="972"/>
      <c r="C965" s="972"/>
      <c r="D965" s="972"/>
      <c r="E965" s="971"/>
      <c r="F965" s="167"/>
      <c r="G965" s="972"/>
      <c r="H965" s="973"/>
      <c r="I965" s="167"/>
      <c r="J965" s="167"/>
      <c r="K965" s="972"/>
      <c r="L965" s="972"/>
      <c r="M965" s="972"/>
      <c r="N965" s="972"/>
      <c r="O965" s="976"/>
      <c r="P965" s="978"/>
      <c r="Q965" s="978"/>
      <c r="R965" s="978"/>
      <c r="S965" s="978"/>
      <c r="T965" s="978"/>
      <c r="U965" s="978"/>
      <c r="V965" s="935"/>
      <c r="W965" s="972"/>
      <c r="X965" s="935"/>
      <c r="Y965" s="935"/>
      <c r="Z965" s="935"/>
      <c r="AA965" s="935"/>
    </row>
    <row r="966">
      <c r="A966" s="935"/>
      <c r="B966" s="972"/>
      <c r="C966" s="972"/>
      <c r="D966" s="972"/>
      <c r="E966" s="971"/>
      <c r="F966" s="167"/>
      <c r="G966" s="972"/>
      <c r="H966" s="973"/>
      <c r="I966" s="167"/>
      <c r="J966" s="167"/>
      <c r="K966" s="972"/>
      <c r="L966" s="972"/>
      <c r="M966" s="972"/>
      <c r="N966" s="972"/>
      <c r="O966" s="976"/>
      <c r="P966" s="978"/>
      <c r="Q966" s="978"/>
      <c r="R966" s="978"/>
      <c r="S966" s="978"/>
      <c r="T966" s="978"/>
      <c r="U966" s="978"/>
      <c r="V966" s="935"/>
      <c r="W966" s="972"/>
      <c r="X966" s="935"/>
      <c r="Y966" s="935"/>
      <c r="Z966" s="935"/>
      <c r="AA966" s="935"/>
    </row>
    <row r="967">
      <c r="A967" s="935"/>
      <c r="B967" s="972"/>
      <c r="C967" s="972"/>
      <c r="D967" s="972"/>
      <c r="E967" s="971"/>
      <c r="F967" s="167"/>
      <c r="G967" s="972"/>
      <c r="H967" s="973"/>
      <c r="I967" s="167"/>
      <c r="J967" s="167"/>
      <c r="K967" s="972"/>
      <c r="L967" s="972"/>
      <c r="M967" s="972"/>
      <c r="N967" s="972"/>
      <c r="O967" s="976"/>
      <c r="P967" s="978"/>
      <c r="Q967" s="978"/>
      <c r="R967" s="978"/>
      <c r="S967" s="978"/>
      <c r="T967" s="978"/>
      <c r="U967" s="978"/>
      <c r="V967" s="935"/>
      <c r="W967" s="972"/>
      <c r="X967" s="935"/>
      <c r="Y967" s="935"/>
      <c r="Z967" s="935"/>
      <c r="AA967" s="935"/>
    </row>
    <row r="968">
      <c r="A968" s="935"/>
      <c r="B968" s="972"/>
      <c r="C968" s="972"/>
      <c r="D968" s="972"/>
      <c r="E968" s="971"/>
      <c r="F968" s="167"/>
      <c r="G968" s="972"/>
      <c r="H968" s="973"/>
      <c r="I968" s="167"/>
      <c r="J968" s="167"/>
      <c r="K968" s="972"/>
      <c r="L968" s="972"/>
      <c r="M968" s="972"/>
      <c r="N968" s="972"/>
      <c r="O968" s="976"/>
      <c r="P968" s="978"/>
      <c r="Q968" s="978"/>
      <c r="R968" s="978"/>
      <c r="S968" s="978"/>
      <c r="T968" s="978"/>
      <c r="U968" s="978"/>
      <c r="V968" s="935"/>
      <c r="W968" s="972"/>
      <c r="X968" s="935"/>
      <c r="Y968" s="935"/>
      <c r="Z968" s="935"/>
      <c r="AA968" s="935"/>
    </row>
    <row r="969">
      <c r="A969" s="935"/>
      <c r="B969" s="972"/>
      <c r="C969" s="972"/>
      <c r="D969" s="972"/>
      <c r="E969" s="971"/>
      <c r="F969" s="167"/>
      <c r="G969" s="972"/>
      <c r="H969" s="973"/>
      <c r="I969" s="167"/>
      <c r="J969" s="167"/>
      <c r="K969" s="972"/>
      <c r="L969" s="972"/>
      <c r="M969" s="972"/>
      <c r="N969" s="972"/>
      <c r="O969" s="976"/>
      <c r="P969" s="978"/>
      <c r="Q969" s="978"/>
      <c r="R969" s="978"/>
      <c r="S969" s="978"/>
      <c r="T969" s="978"/>
      <c r="U969" s="978"/>
      <c r="V969" s="935"/>
      <c r="W969" s="972"/>
      <c r="X969" s="935"/>
      <c r="Y969" s="935"/>
      <c r="Z969" s="935"/>
      <c r="AA969" s="935"/>
    </row>
    <row r="970">
      <c r="A970" s="935"/>
      <c r="B970" s="972"/>
      <c r="C970" s="972"/>
      <c r="D970" s="972"/>
      <c r="E970" s="971"/>
      <c r="F970" s="167"/>
      <c r="G970" s="972"/>
      <c r="H970" s="973"/>
      <c r="I970" s="167"/>
      <c r="J970" s="167"/>
      <c r="K970" s="972"/>
      <c r="L970" s="972"/>
      <c r="M970" s="972"/>
      <c r="N970" s="972"/>
      <c r="O970" s="976"/>
      <c r="P970" s="978"/>
      <c r="Q970" s="978"/>
      <c r="R970" s="978"/>
      <c r="S970" s="978"/>
      <c r="T970" s="978"/>
      <c r="U970" s="978"/>
      <c r="V970" s="935"/>
      <c r="W970" s="972"/>
      <c r="X970" s="935"/>
      <c r="Y970" s="935"/>
      <c r="Z970" s="935"/>
      <c r="AA970" s="935"/>
    </row>
    <row r="971">
      <c r="A971" s="935"/>
      <c r="B971" s="972"/>
      <c r="C971" s="972"/>
      <c r="D971" s="972"/>
      <c r="E971" s="971"/>
      <c r="F971" s="167"/>
      <c r="G971" s="972"/>
      <c r="H971" s="973"/>
      <c r="I971" s="167"/>
      <c r="J971" s="167"/>
      <c r="K971" s="972"/>
      <c r="L971" s="972"/>
      <c r="M971" s="972"/>
      <c r="N971" s="972"/>
      <c r="O971" s="976"/>
      <c r="P971" s="978"/>
      <c r="Q971" s="978"/>
      <c r="R971" s="978"/>
      <c r="S971" s="978"/>
      <c r="T971" s="978"/>
      <c r="U971" s="978"/>
      <c r="V971" s="935"/>
      <c r="W971" s="972"/>
      <c r="X971" s="935"/>
      <c r="Y971" s="935"/>
      <c r="Z971" s="935"/>
      <c r="AA971" s="935"/>
    </row>
    <row r="972">
      <c r="A972" s="935"/>
      <c r="B972" s="972"/>
      <c r="C972" s="972"/>
      <c r="D972" s="972"/>
      <c r="E972" s="971"/>
      <c r="F972" s="167"/>
      <c r="G972" s="972"/>
      <c r="H972" s="973"/>
      <c r="I972" s="167"/>
      <c r="J972" s="167"/>
      <c r="K972" s="972"/>
      <c r="L972" s="972"/>
      <c r="M972" s="972"/>
      <c r="N972" s="972"/>
      <c r="O972" s="976"/>
      <c r="P972" s="978"/>
      <c r="Q972" s="978"/>
      <c r="R972" s="978"/>
      <c r="S972" s="978"/>
      <c r="T972" s="978"/>
      <c r="U972" s="978"/>
      <c r="V972" s="935"/>
      <c r="W972" s="972"/>
      <c r="X972" s="935"/>
      <c r="Y972" s="935"/>
      <c r="Z972" s="935"/>
      <c r="AA972" s="935"/>
    </row>
    <row r="973">
      <c r="A973" s="935"/>
      <c r="B973" s="972"/>
      <c r="C973" s="972"/>
      <c r="D973" s="972"/>
      <c r="E973" s="971"/>
      <c r="F973" s="167"/>
      <c r="G973" s="972"/>
      <c r="H973" s="973"/>
      <c r="I973" s="167"/>
      <c r="J973" s="167"/>
      <c r="K973" s="972"/>
      <c r="L973" s="972"/>
      <c r="M973" s="972"/>
      <c r="N973" s="972"/>
      <c r="O973" s="976"/>
      <c r="P973" s="978"/>
      <c r="Q973" s="978"/>
      <c r="R973" s="978"/>
      <c r="S973" s="978"/>
      <c r="T973" s="978"/>
      <c r="U973" s="978"/>
      <c r="V973" s="935"/>
      <c r="W973" s="972"/>
      <c r="X973" s="935"/>
      <c r="Y973" s="935"/>
      <c r="Z973" s="935"/>
      <c r="AA973" s="935"/>
    </row>
    <row r="974">
      <c r="A974" s="935"/>
      <c r="B974" s="972"/>
      <c r="C974" s="972"/>
      <c r="D974" s="972"/>
      <c r="E974" s="971"/>
      <c r="F974" s="167"/>
      <c r="G974" s="972"/>
      <c r="H974" s="973"/>
      <c r="I974" s="167"/>
      <c r="J974" s="167"/>
      <c r="K974" s="972"/>
      <c r="L974" s="972"/>
      <c r="M974" s="972"/>
      <c r="N974" s="972"/>
      <c r="O974" s="976"/>
      <c r="P974" s="978"/>
      <c r="Q974" s="978"/>
      <c r="R974" s="978"/>
      <c r="S974" s="978"/>
      <c r="T974" s="978"/>
      <c r="U974" s="978"/>
      <c r="V974" s="935"/>
      <c r="W974" s="972"/>
      <c r="X974" s="935"/>
      <c r="Y974" s="935"/>
      <c r="Z974" s="935"/>
      <c r="AA974" s="935"/>
    </row>
    <row r="975">
      <c r="A975" s="935"/>
      <c r="B975" s="972"/>
      <c r="C975" s="972"/>
      <c r="D975" s="972"/>
      <c r="E975" s="971"/>
      <c r="F975" s="167"/>
      <c r="G975" s="972"/>
      <c r="H975" s="973"/>
      <c r="I975" s="167"/>
      <c r="J975" s="167"/>
      <c r="K975" s="972"/>
      <c r="L975" s="972"/>
      <c r="M975" s="972"/>
      <c r="N975" s="972"/>
      <c r="O975" s="976"/>
      <c r="P975" s="978"/>
      <c r="Q975" s="978"/>
      <c r="R975" s="978"/>
      <c r="S975" s="978"/>
      <c r="T975" s="978"/>
      <c r="U975" s="978"/>
      <c r="V975" s="935"/>
      <c r="W975" s="972"/>
      <c r="X975" s="935"/>
      <c r="Y975" s="935"/>
      <c r="Z975" s="935"/>
      <c r="AA975" s="935"/>
    </row>
    <row r="976">
      <c r="A976" s="935"/>
      <c r="B976" s="972"/>
      <c r="C976" s="972"/>
      <c r="D976" s="972"/>
      <c r="E976" s="971"/>
      <c r="F976" s="167"/>
      <c r="G976" s="972"/>
      <c r="H976" s="973"/>
      <c r="I976" s="167"/>
      <c r="J976" s="167"/>
      <c r="K976" s="972"/>
      <c r="L976" s="972"/>
      <c r="M976" s="972"/>
      <c r="N976" s="972"/>
      <c r="O976" s="976"/>
      <c r="P976" s="978"/>
      <c r="Q976" s="978"/>
      <c r="R976" s="978"/>
      <c r="S976" s="978"/>
      <c r="T976" s="978"/>
      <c r="U976" s="978"/>
      <c r="V976" s="935"/>
      <c r="W976" s="972"/>
      <c r="X976" s="935"/>
      <c r="Y976" s="935"/>
      <c r="Z976" s="935"/>
      <c r="AA976" s="935"/>
    </row>
    <row r="977">
      <c r="A977" s="935"/>
      <c r="B977" s="972"/>
      <c r="C977" s="972"/>
      <c r="D977" s="972"/>
      <c r="E977" s="971"/>
      <c r="F977" s="167"/>
      <c r="G977" s="972"/>
      <c r="H977" s="973"/>
      <c r="I977" s="167"/>
      <c r="J977" s="167"/>
      <c r="K977" s="972"/>
      <c r="L977" s="972"/>
      <c r="M977" s="972"/>
      <c r="N977" s="972"/>
      <c r="O977" s="976"/>
      <c r="P977" s="978"/>
      <c r="Q977" s="978"/>
      <c r="R977" s="978"/>
      <c r="S977" s="978"/>
      <c r="T977" s="978"/>
      <c r="U977" s="978"/>
      <c r="V977" s="935"/>
      <c r="W977" s="972"/>
      <c r="X977" s="935"/>
      <c r="Y977" s="935"/>
      <c r="Z977" s="935"/>
      <c r="AA977" s="935"/>
    </row>
    <row r="978">
      <c r="A978" s="935"/>
      <c r="B978" s="972"/>
      <c r="C978" s="972"/>
      <c r="D978" s="972"/>
      <c r="E978" s="971"/>
      <c r="F978" s="167"/>
      <c r="G978" s="972"/>
      <c r="H978" s="973"/>
      <c r="I978" s="167"/>
      <c r="J978" s="167"/>
      <c r="K978" s="972"/>
      <c r="L978" s="972"/>
      <c r="M978" s="972"/>
      <c r="N978" s="972"/>
      <c r="O978" s="976"/>
      <c r="P978" s="978"/>
      <c r="Q978" s="978"/>
      <c r="R978" s="978"/>
      <c r="S978" s="978"/>
      <c r="T978" s="978"/>
      <c r="U978" s="978"/>
      <c r="V978" s="935"/>
      <c r="W978" s="972"/>
      <c r="X978" s="935"/>
      <c r="Y978" s="935"/>
      <c r="Z978" s="935"/>
      <c r="AA978" s="935"/>
    </row>
    <row r="979">
      <c r="A979" s="935"/>
      <c r="B979" s="972"/>
      <c r="C979" s="972"/>
      <c r="D979" s="972"/>
      <c r="E979" s="971"/>
      <c r="F979" s="167"/>
      <c r="G979" s="972"/>
      <c r="H979" s="973"/>
      <c r="I979" s="167"/>
      <c r="J979" s="167"/>
      <c r="K979" s="972"/>
      <c r="L979" s="972"/>
      <c r="M979" s="972"/>
      <c r="N979" s="972"/>
      <c r="O979" s="976"/>
      <c r="P979" s="978"/>
      <c r="Q979" s="978"/>
      <c r="R979" s="978"/>
      <c r="S979" s="978"/>
      <c r="T979" s="978"/>
      <c r="U979" s="978"/>
      <c r="V979" s="935"/>
      <c r="W979" s="972"/>
      <c r="X979" s="935"/>
      <c r="Y979" s="935"/>
      <c r="Z979" s="935"/>
      <c r="AA979" s="935"/>
    </row>
    <row r="980">
      <c r="A980" s="935"/>
      <c r="B980" s="972"/>
      <c r="C980" s="972"/>
      <c r="D980" s="972"/>
      <c r="E980" s="971"/>
      <c r="F980" s="167"/>
      <c r="G980" s="972"/>
      <c r="H980" s="973"/>
      <c r="I980" s="167"/>
      <c r="J980" s="167"/>
      <c r="K980" s="972"/>
      <c r="L980" s="972"/>
      <c r="M980" s="972"/>
      <c r="N980" s="972"/>
      <c r="O980" s="976"/>
      <c r="P980" s="978"/>
      <c r="Q980" s="978"/>
      <c r="R980" s="978"/>
      <c r="S980" s="978"/>
      <c r="T980" s="978"/>
      <c r="U980" s="978"/>
      <c r="V980" s="935"/>
      <c r="W980" s="972"/>
      <c r="X980" s="935"/>
      <c r="Y980" s="935"/>
      <c r="Z980" s="935"/>
      <c r="AA980" s="935"/>
    </row>
    <row r="981">
      <c r="A981" s="935"/>
      <c r="B981" s="972"/>
      <c r="C981" s="972"/>
      <c r="D981" s="972"/>
      <c r="E981" s="971"/>
      <c r="F981" s="167"/>
      <c r="G981" s="972"/>
      <c r="H981" s="973"/>
      <c r="I981" s="167"/>
      <c r="J981" s="167"/>
      <c r="K981" s="972"/>
      <c r="L981" s="972"/>
      <c r="M981" s="972"/>
      <c r="N981" s="972"/>
      <c r="O981" s="976"/>
      <c r="P981" s="978"/>
      <c r="Q981" s="978"/>
      <c r="R981" s="978"/>
      <c r="S981" s="978"/>
      <c r="T981" s="978"/>
      <c r="U981" s="978"/>
      <c r="V981" s="935"/>
      <c r="W981" s="972"/>
      <c r="X981" s="935"/>
      <c r="Y981" s="935"/>
      <c r="Z981" s="935"/>
      <c r="AA981" s="935"/>
    </row>
    <row r="982">
      <c r="A982" s="935"/>
      <c r="B982" s="972"/>
      <c r="C982" s="972"/>
      <c r="D982" s="972"/>
      <c r="E982" s="971"/>
      <c r="F982" s="167"/>
      <c r="G982" s="972"/>
      <c r="H982" s="973"/>
      <c r="I982" s="167"/>
      <c r="J982" s="167"/>
      <c r="K982" s="972"/>
      <c r="L982" s="972"/>
      <c r="M982" s="972"/>
      <c r="N982" s="972"/>
      <c r="O982" s="976"/>
      <c r="P982" s="978"/>
      <c r="Q982" s="978"/>
      <c r="R982" s="978"/>
      <c r="S982" s="978"/>
      <c r="T982" s="978"/>
      <c r="U982" s="978"/>
      <c r="V982" s="935"/>
      <c r="W982" s="972"/>
      <c r="X982" s="935"/>
      <c r="Y982" s="935"/>
      <c r="Z982" s="935"/>
      <c r="AA982" s="935"/>
    </row>
    <row r="983">
      <c r="A983" s="935"/>
      <c r="B983" s="972"/>
      <c r="C983" s="972"/>
      <c r="D983" s="972"/>
      <c r="E983" s="971"/>
      <c r="F983" s="167"/>
      <c r="G983" s="972"/>
      <c r="H983" s="973"/>
      <c r="I983" s="167"/>
      <c r="J983" s="167"/>
      <c r="K983" s="972"/>
      <c r="L983" s="972"/>
      <c r="M983" s="972"/>
      <c r="N983" s="972"/>
      <c r="O983" s="976"/>
      <c r="P983" s="978"/>
      <c r="Q983" s="978"/>
      <c r="R983" s="978"/>
      <c r="S983" s="978"/>
      <c r="T983" s="978"/>
      <c r="U983" s="978"/>
      <c r="V983" s="935"/>
      <c r="W983" s="972"/>
      <c r="X983" s="935"/>
      <c r="Y983" s="935"/>
      <c r="Z983" s="935"/>
      <c r="AA983" s="935"/>
    </row>
    <row r="984">
      <c r="A984" s="935"/>
      <c r="B984" s="972"/>
      <c r="C984" s="972"/>
      <c r="D984" s="972"/>
      <c r="E984" s="971"/>
      <c r="F984" s="167"/>
      <c r="G984" s="972"/>
      <c r="H984" s="973"/>
      <c r="I984" s="167"/>
      <c r="J984" s="167"/>
      <c r="K984" s="972"/>
      <c r="L984" s="972"/>
      <c r="M984" s="972"/>
      <c r="N984" s="972"/>
      <c r="O984" s="976"/>
      <c r="P984" s="978"/>
      <c r="Q984" s="978"/>
      <c r="R984" s="978"/>
      <c r="S984" s="978"/>
      <c r="T984" s="978"/>
      <c r="U984" s="978"/>
      <c r="V984" s="935"/>
      <c r="W984" s="972"/>
      <c r="X984" s="935"/>
      <c r="Y984" s="935"/>
      <c r="Z984" s="935"/>
      <c r="AA984" s="935"/>
    </row>
    <row r="985">
      <c r="A985" s="935"/>
      <c r="B985" s="972"/>
      <c r="C985" s="972"/>
      <c r="D985" s="972"/>
      <c r="E985" s="971"/>
      <c r="F985" s="167"/>
      <c r="G985" s="972"/>
      <c r="H985" s="973"/>
      <c r="I985" s="167"/>
      <c r="J985" s="167"/>
      <c r="K985" s="972"/>
      <c r="L985" s="972"/>
      <c r="M985" s="972"/>
      <c r="N985" s="972"/>
      <c r="O985" s="976"/>
      <c r="P985" s="978"/>
      <c r="Q985" s="978"/>
      <c r="R985" s="978"/>
      <c r="S985" s="978"/>
      <c r="T985" s="978"/>
      <c r="U985" s="978"/>
      <c r="V985" s="935"/>
      <c r="W985" s="972"/>
      <c r="X985" s="935"/>
      <c r="Y985" s="935"/>
      <c r="Z985" s="935"/>
      <c r="AA985" s="935"/>
    </row>
    <row r="986">
      <c r="A986" s="935"/>
      <c r="B986" s="972"/>
      <c r="C986" s="972"/>
      <c r="D986" s="972"/>
      <c r="E986" s="971"/>
      <c r="F986" s="167"/>
      <c r="G986" s="972"/>
      <c r="H986" s="973"/>
      <c r="I986" s="167"/>
      <c r="J986" s="167"/>
      <c r="K986" s="972"/>
      <c r="L986" s="972"/>
      <c r="M986" s="972"/>
      <c r="N986" s="972"/>
      <c r="O986" s="976"/>
      <c r="P986" s="978"/>
      <c r="Q986" s="978"/>
      <c r="R986" s="978"/>
      <c r="S986" s="978"/>
      <c r="T986" s="978"/>
      <c r="U986" s="978"/>
      <c r="V986" s="935"/>
      <c r="W986" s="972"/>
      <c r="X986" s="935"/>
      <c r="Y986" s="935"/>
      <c r="Z986" s="935"/>
      <c r="AA986" s="935"/>
    </row>
    <row r="987">
      <c r="A987" s="935"/>
      <c r="B987" s="972"/>
      <c r="C987" s="972"/>
      <c r="D987" s="972"/>
      <c r="E987" s="971"/>
      <c r="F987" s="167"/>
      <c r="G987" s="972"/>
      <c r="H987" s="973"/>
      <c r="I987" s="167"/>
      <c r="J987" s="167"/>
      <c r="K987" s="972"/>
      <c r="L987" s="972"/>
      <c r="M987" s="972"/>
      <c r="N987" s="972"/>
      <c r="O987" s="976"/>
      <c r="P987" s="978"/>
      <c r="Q987" s="978"/>
      <c r="R987" s="978"/>
      <c r="S987" s="978"/>
      <c r="T987" s="978"/>
      <c r="U987" s="978"/>
      <c r="V987" s="935"/>
      <c r="W987" s="972"/>
      <c r="X987" s="935"/>
      <c r="Y987" s="935"/>
      <c r="Z987" s="935"/>
      <c r="AA987" s="935"/>
    </row>
    <row r="988">
      <c r="A988" s="935"/>
      <c r="B988" s="972"/>
      <c r="C988" s="972"/>
      <c r="D988" s="972"/>
      <c r="E988" s="971"/>
      <c r="F988" s="167"/>
      <c r="G988" s="972"/>
      <c r="H988" s="973"/>
      <c r="I988" s="167"/>
      <c r="J988" s="167"/>
      <c r="K988" s="972"/>
      <c r="L988" s="972"/>
      <c r="M988" s="972"/>
      <c r="N988" s="972"/>
      <c r="O988" s="976"/>
      <c r="P988" s="978"/>
      <c r="Q988" s="978"/>
      <c r="R988" s="978"/>
      <c r="S988" s="978"/>
      <c r="T988" s="978"/>
      <c r="U988" s="978"/>
      <c r="V988" s="935"/>
      <c r="W988" s="972"/>
      <c r="X988" s="935"/>
      <c r="Y988" s="935"/>
      <c r="Z988" s="935"/>
      <c r="AA988" s="935"/>
    </row>
    <row r="989">
      <c r="A989" s="935"/>
      <c r="B989" s="972"/>
      <c r="C989" s="972"/>
      <c r="D989" s="972"/>
      <c r="E989" s="971"/>
      <c r="F989" s="167"/>
      <c r="G989" s="972"/>
      <c r="H989" s="973"/>
      <c r="I989" s="167"/>
      <c r="J989" s="167"/>
      <c r="K989" s="972"/>
      <c r="L989" s="972"/>
      <c r="M989" s="972"/>
      <c r="N989" s="972"/>
      <c r="O989" s="976"/>
      <c r="P989" s="978"/>
      <c r="Q989" s="978"/>
      <c r="R989" s="978"/>
      <c r="S989" s="978"/>
      <c r="T989" s="978"/>
      <c r="U989" s="978"/>
      <c r="V989" s="935"/>
      <c r="W989" s="972"/>
      <c r="X989" s="935"/>
      <c r="Y989" s="935"/>
      <c r="Z989" s="935"/>
      <c r="AA989" s="935"/>
    </row>
    <row r="990">
      <c r="A990" s="935"/>
      <c r="B990" s="972"/>
      <c r="C990" s="972"/>
      <c r="D990" s="972"/>
      <c r="E990" s="971"/>
      <c r="F990" s="167"/>
      <c r="G990" s="972"/>
      <c r="H990" s="973"/>
      <c r="I990" s="167"/>
      <c r="J990" s="167"/>
      <c r="K990" s="972"/>
      <c r="L990" s="972"/>
      <c r="M990" s="972"/>
      <c r="N990" s="972"/>
      <c r="O990" s="976"/>
      <c r="P990" s="978"/>
      <c r="Q990" s="978"/>
      <c r="R990" s="978"/>
      <c r="S990" s="978"/>
      <c r="T990" s="978"/>
      <c r="U990" s="978"/>
      <c r="V990" s="935"/>
      <c r="W990" s="972"/>
      <c r="X990" s="935"/>
      <c r="Y990" s="935"/>
      <c r="Z990" s="935"/>
      <c r="AA990" s="935"/>
    </row>
    <row r="991">
      <c r="A991" s="935"/>
      <c r="B991" s="972"/>
      <c r="C991" s="972"/>
      <c r="D991" s="972"/>
      <c r="E991" s="971"/>
      <c r="F991" s="167"/>
      <c r="G991" s="972"/>
      <c r="H991" s="973"/>
      <c r="I991" s="167"/>
      <c r="J991" s="167"/>
      <c r="K991" s="972"/>
      <c r="L991" s="972"/>
      <c r="M991" s="972"/>
      <c r="N991" s="972"/>
      <c r="O991" s="976"/>
      <c r="P991" s="978"/>
      <c r="Q991" s="978"/>
      <c r="R991" s="978"/>
      <c r="S991" s="978"/>
      <c r="T991" s="978"/>
      <c r="U991" s="978"/>
      <c r="V991" s="935"/>
      <c r="W991" s="972"/>
      <c r="X991" s="935"/>
      <c r="Y991" s="935"/>
      <c r="Z991" s="935"/>
      <c r="AA991" s="935"/>
    </row>
    <row r="992">
      <c r="A992" s="935"/>
      <c r="B992" s="972"/>
      <c r="C992" s="972"/>
      <c r="D992" s="972"/>
      <c r="E992" s="971"/>
      <c r="F992" s="167"/>
      <c r="G992" s="972"/>
      <c r="H992" s="973"/>
      <c r="I992" s="167"/>
      <c r="J992" s="167"/>
      <c r="K992" s="972"/>
      <c r="L992" s="972"/>
      <c r="M992" s="972"/>
      <c r="N992" s="972"/>
      <c r="O992" s="976"/>
      <c r="P992" s="978"/>
      <c r="Q992" s="978"/>
      <c r="R992" s="978"/>
      <c r="S992" s="978"/>
      <c r="T992" s="978"/>
      <c r="U992" s="978"/>
      <c r="V992" s="935"/>
      <c r="W992" s="972"/>
      <c r="X992" s="935"/>
      <c r="Y992" s="935"/>
      <c r="Z992" s="935"/>
      <c r="AA992" s="935"/>
    </row>
    <row r="993">
      <c r="A993" s="935"/>
      <c r="B993" s="972"/>
      <c r="C993" s="972"/>
      <c r="D993" s="972"/>
      <c r="E993" s="971"/>
      <c r="F993" s="167"/>
      <c r="G993" s="972"/>
      <c r="H993" s="973"/>
      <c r="I993" s="167"/>
      <c r="J993" s="167"/>
      <c r="K993" s="972"/>
      <c r="L993" s="972"/>
      <c r="M993" s="972"/>
      <c r="N993" s="972"/>
      <c r="O993" s="976"/>
      <c r="P993" s="978"/>
      <c r="Q993" s="978"/>
      <c r="R993" s="978"/>
      <c r="S993" s="978"/>
      <c r="T993" s="978"/>
      <c r="U993" s="978"/>
      <c r="V993" s="935"/>
      <c r="W993" s="972"/>
      <c r="X993" s="935"/>
      <c r="Y993" s="935"/>
      <c r="Z993" s="935"/>
      <c r="AA993" s="935"/>
    </row>
    <row r="994">
      <c r="A994" s="935"/>
      <c r="B994" s="972"/>
      <c r="C994" s="972"/>
      <c r="D994" s="972"/>
      <c r="E994" s="971"/>
      <c r="F994" s="167"/>
      <c r="G994" s="972"/>
      <c r="H994" s="973"/>
      <c r="I994" s="167"/>
      <c r="J994" s="167"/>
      <c r="K994" s="972"/>
      <c r="L994" s="972"/>
      <c r="M994" s="972"/>
      <c r="N994" s="972"/>
      <c r="O994" s="976"/>
      <c r="P994" s="978"/>
      <c r="Q994" s="978"/>
      <c r="R994" s="978"/>
      <c r="S994" s="978"/>
      <c r="T994" s="978"/>
      <c r="U994" s="978"/>
      <c r="V994" s="935"/>
      <c r="W994" s="972"/>
      <c r="X994" s="935"/>
      <c r="Y994" s="935"/>
      <c r="Z994" s="935"/>
      <c r="AA994" s="935"/>
    </row>
  </sheetData>
  <autoFilter ref="$A$7:$AA$199">
    <filterColumn colId="3">
      <filters>
        <filter val="MP"/>
      </filters>
    </filterColumn>
    <filterColumn colId="7">
      <filters>
        <filter val="Retail Pack"/>
        <filter val="Bulk Pack"/>
      </filters>
    </filterColumn>
    <filterColumn colId="14">
      <filters blank="1">
        <filter val="428.57"/>
        <filter val="430.17"/>
        <filter val="429.66"/>
        <filter val="445.72"/>
        <filter val="429.63"/>
        <filter val="446.03"/>
        <filter val="428.17"/>
        <filter val="441.69"/>
        <filter val="430.60"/>
        <filter val="436.04"/>
        <filter val="430.20"/>
        <filter val="436.08"/>
        <filter val="453.07"/>
        <filter val="447.91"/>
        <filter val="436.07"/>
        <filter val="453.47"/>
        <filter val="430.03"/>
        <filter val="450.55"/>
        <filter val="430.06"/>
        <filter val="427.55"/>
        <filter val="445.62"/>
        <filter val="447.44"/>
        <filter val="426.41"/>
        <filter val="451.63"/>
        <filter val="445.63"/>
        <filter val="447.47"/>
        <filter val="447.04"/>
        <filter val="447.07"/>
        <filter val="441.14"/>
        <filter val="409.82"/>
        <filter val="441.64"/>
        <filter val="435.64"/>
        <filter val="464.81"/>
        <filter val="435.69"/>
        <filter val="434.57"/>
        <filter val="430.50"/>
        <filter val="435.67"/>
        <filter val="434.17"/>
        <filter val="453.37"/>
        <filter val="450.04"/>
        <filter val="430.57"/>
        <filter val="427.23"/>
        <filter val="445.93"/>
        <filter val="451.93"/>
        <filter val="426.51"/>
        <filter val="447.37"/>
        <filter val="445.56"/>
        <filter val="436.60"/>
        <filter val="460.98"/>
        <filter val="435.98"/>
        <filter val="435.97"/>
        <filter val="451.09"/>
        <filter val="435.99"/>
        <filter val="434.47"/>
        <filter val="429.59"/>
        <filter val="428.47"/>
        <filter val="451.42"/>
        <filter val="445.82"/>
        <filter val="436.09"/>
        <filter val="451.82"/>
        <filter val="445.42"/>
        <filter val="441.37"/>
        <filter val="445.06"/>
        <filter val="441.46"/>
        <filter val="464.63"/>
        <filter val="461.76"/>
        <filter val="464.65"/>
        <filter val="452.03"/>
      </filters>
    </filterColumn>
  </autoFilter>
  <conditionalFormatting sqref="I8:I216">
    <cfRule type="cellIs" dxfId="10" priority="1" operator="equal">
      <formula>"Close"</formula>
    </cfRule>
  </conditionalFormatting>
  <conditionalFormatting sqref="I8:I216">
    <cfRule type="cellIs" dxfId="11" priority="2" operator="equal">
      <formula>"Open"</formula>
    </cfRule>
  </conditionalFormatting>
  <conditionalFormatting sqref="E8:E994">
    <cfRule type="expression" dxfId="1" priority="3">
      <formula>$N8="BLK"</formula>
    </cfRule>
  </conditionalFormatting>
  <conditionalFormatting sqref="E8:E994">
    <cfRule type="expression" dxfId="7" priority="4">
      <formula>$N8="PPL"</formula>
    </cfRule>
  </conditionalFormatting>
  <conditionalFormatting sqref="E8:E994">
    <cfRule type="expression" dxfId="3" priority="5">
      <formula>$N8="YEL"</formula>
    </cfRule>
  </conditionalFormatting>
  <conditionalFormatting sqref="J8:J994">
    <cfRule type="containsText" dxfId="22" priority="6" operator="containsText" text="JP">
      <formula>NOT(ISERROR(SEARCH(("JP"),(J8))))</formula>
    </cfRule>
  </conditionalFormatting>
  <conditionalFormatting sqref="J8:J994">
    <cfRule type="containsText" dxfId="23" priority="7" operator="containsText" text="mmwave">
      <formula>NOT(ISERROR(SEARCH(("mmwave"),(J8))))</formula>
    </cfRule>
  </conditionalFormatting>
  <conditionalFormatting sqref="J8:J994">
    <cfRule type="containsText" dxfId="7" priority="8" operator="containsText" text="sub6">
      <formula>NOT(ISERROR(SEARCH(("sub6"),(J8))))</formula>
    </cfRule>
  </conditionalFormatting>
  <conditionalFormatting sqref="E8:E994">
    <cfRule type="expression" dxfId="5" priority="9">
      <formula>$N8="BUE"</formula>
    </cfRule>
  </conditionalFormatting>
  <conditionalFormatting sqref="G3 B8:Q994 R8:T199 U8:U994 W213 R216:T994">
    <cfRule type="expression" dxfId="16" priority="10">
      <formula>$I3="Close"</formula>
    </cfRule>
  </conditionalFormatting>
  <conditionalFormatting sqref="D8:D994">
    <cfRule type="containsText" dxfId="10" priority="11" operator="containsText" text="PVT">
      <formula>NOT(ISERROR(SEARCH(("PVT"),(D8))))</formula>
    </cfRule>
  </conditionalFormatting>
  <conditionalFormatting sqref="G3 B8:Q994 R8:T199 U8:U994 W213 R216:T994">
    <cfRule type="expression" dxfId="24" priority="12">
      <formula>$H3="Cancel"</formula>
    </cfRule>
  </conditionalFormatting>
  <conditionalFormatting sqref="W8:W994">
    <cfRule type="containsText" dxfId="10" priority="13" operator="containsText" text="No demand">
      <formula>NOT(ISERROR(SEARCH(("No demand"),(W8))))</formula>
    </cfRule>
  </conditionalFormatting>
  <hyperlinks>
    <hyperlink r:id="rId1" ref="Q6"/>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4" max="4" width="19.88"/>
  </cols>
  <sheetData>
    <row r="1">
      <c r="A1" s="514"/>
      <c r="B1" s="514"/>
      <c r="C1" s="514"/>
      <c r="D1" s="514"/>
      <c r="E1" s="514"/>
      <c r="F1" s="514"/>
      <c r="G1" s="514"/>
      <c r="H1" s="514"/>
      <c r="I1" s="514"/>
      <c r="J1" s="514"/>
      <c r="K1" s="514"/>
      <c r="L1" s="514"/>
      <c r="M1" s="514"/>
      <c r="N1" s="992"/>
      <c r="O1" s="992"/>
      <c r="P1" s="993"/>
      <c r="Q1" s="993"/>
      <c r="R1" s="993"/>
      <c r="S1" s="514"/>
      <c r="T1" s="514"/>
      <c r="U1" s="514"/>
      <c r="V1" s="514"/>
      <c r="W1" s="514"/>
      <c r="X1" s="514"/>
      <c r="Y1" s="514"/>
    </row>
    <row r="2">
      <c r="A2" s="994" t="s">
        <v>1858</v>
      </c>
      <c r="B2" s="995" t="s">
        <v>2021</v>
      </c>
      <c r="C2" s="995" t="s">
        <v>276</v>
      </c>
      <c r="D2" s="996" t="s">
        <v>2196</v>
      </c>
      <c r="E2" s="995" t="s">
        <v>344</v>
      </c>
      <c r="F2" s="995" t="s">
        <v>341</v>
      </c>
      <c r="G2" s="997" t="s">
        <v>2186</v>
      </c>
      <c r="H2" s="998" t="s">
        <v>2023</v>
      </c>
      <c r="I2" s="999" t="s">
        <v>346</v>
      </c>
      <c r="J2" s="999" t="s">
        <v>2197</v>
      </c>
      <c r="K2" s="994" t="s">
        <v>2198</v>
      </c>
      <c r="L2" s="995" t="s">
        <v>2009</v>
      </c>
      <c r="M2" s="995" t="s">
        <v>1577</v>
      </c>
      <c r="N2" s="1000" t="s">
        <v>2199</v>
      </c>
      <c r="O2" s="1000" t="s">
        <v>2200</v>
      </c>
      <c r="P2" s="1001" t="s">
        <v>2201</v>
      </c>
      <c r="Q2" s="1001" t="s">
        <v>2202</v>
      </c>
      <c r="R2" s="1001" t="s">
        <v>2203</v>
      </c>
      <c r="S2" s="995" t="s">
        <v>2190</v>
      </c>
      <c r="T2" s="514"/>
      <c r="U2" s="514"/>
      <c r="V2" s="514"/>
      <c r="W2" s="514"/>
      <c r="X2" s="514"/>
      <c r="Y2" s="514"/>
    </row>
    <row r="3">
      <c r="A3" s="1002">
        <v>1.0</v>
      </c>
      <c r="B3" s="1003" t="s">
        <v>277</v>
      </c>
      <c r="C3" s="1003" t="s">
        <v>278</v>
      </c>
      <c r="D3" s="1004" t="s">
        <v>409</v>
      </c>
      <c r="E3" s="1005" t="s">
        <v>410</v>
      </c>
      <c r="F3" s="1003" t="s">
        <v>282</v>
      </c>
      <c r="G3" s="1005" t="s">
        <v>408</v>
      </c>
      <c r="H3" s="1006" t="s">
        <v>1362</v>
      </c>
      <c r="I3" s="1007" t="s">
        <v>1337</v>
      </c>
      <c r="J3" s="1003" t="s">
        <v>1097</v>
      </c>
      <c r="K3" s="1003" t="str">
        <f t="array" ref="K3">if(isblank(D3),"",xlookup(D3,'FL5_POR_包裝對照表 (Mapping Table)'!E:E,'FL5_POR_包裝對照表 (Mapping Table)'!AN:AN,"",0,1))</f>
        <v>G950-15935-00</v>
      </c>
      <c r="L3" s="1003" t="s">
        <v>1585</v>
      </c>
      <c r="M3" s="1003" t="s">
        <v>1367</v>
      </c>
      <c r="N3" s="1008">
        <v>447.07</v>
      </c>
      <c r="O3" s="1008">
        <v>440.09</v>
      </c>
      <c r="P3" s="1009">
        <v>45779.0</v>
      </c>
      <c r="Q3" s="1009">
        <v>45782.0</v>
      </c>
      <c r="R3" s="1009">
        <v>45782.0</v>
      </c>
      <c r="S3" s="1010"/>
      <c r="T3" s="514"/>
      <c r="U3" s="514"/>
      <c r="V3" s="514"/>
      <c r="W3" s="514"/>
      <c r="X3" s="514"/>
      <c r="Y3" s="514"/>
    </row>
    <row r="4">
      <c r="A4" s="1011">
        <v>2.0</v>
      </c>
      <c r="B4" s="1012" t="s">
        <v>277</v>
      </c>
      <c r="C4" s="1012" t="s">
        <v>278</v>
      </c>
      <c r="D4" s="1013" t="s">
        <v>424</v>
      </c>
      <c r="E4" s="1014" t="s">
        <v>410</v>
      </c>
      <c r="F4" s="1012" t="s">
        <v>282</v>
      </c>
      <c r="G4" s="1014" t="s">
        <v>408</v>
      </c>
      <c r="H4" s="1006" t="s">
        <v>1362</v>
      </c>
      <c r="I4" s="1015" t="s">
        <v>1337</v>
      </c>
      <c r="J4" s="1012" t="s">
        <v>1097</v>
      </c>
      <c r="K4" s="1003" t="str">
        <f t="array" ref="K4">if(isblank(D4),"",xlookup(D4,'FL5_POR_包裝對照表 (Mapping Table)'!E:E,'FL5_POR_包裝對照表 (Mapping Table)'!AN:AN,"",0,1))</f>
        <v>G950-15935-01</v>
      </c>
      <c r="L4" s="1012" t="s">
        <v>1596</v>
      </c>
      <c r="M4" s="1012" t="s">
        <v>1594</v>
      </c>
      <c r="N4" s="1016">
        <v>426.41</v>
      </c>
      <c r="O4" s="1016">
        <v>440.39</v>
      </c>
      <c r="P4" s="1009">
        <v>45779.0</v>
      </c>
      <c r="Q4" s="1009">
        <v>45782.0</v>
      </c>
      <c r="R4" s="1009">
        <v>45782.0</v>
      </c>
      <c r="S4" s="1017"/>
      <c r="T4" s="514"/>
      <c r="U4" s="514"/>
      <c r="V4" s="514"/>
      <c r="W4" s="514"/>
      <c r="X4" s="514"/>
      <c r="Y4" s="514"/>
    </row>
    <row r="5">
      <c r="A5" s="1018">
        <v>3.0</v>
      </c>
      <c r="B5" s="1019" t="s">
        <v>277</v>
      </c>
      <c r="C5" s="1019" t="s">
        <v>2043</v>
      </c>
      <c r="D5" s="1020" t="s">
        <v>430</v>
      </c>
      <c r="E5" s="1021" t="s">
        <v>410</v>
      </c>
      <c r="F5" s="1019" t="s">
        <v>282</v>
      </c>
      <c r="G5" s="1021" t="s">
        <v>408</v>
      </c>
      <c r="H5" s="1019" t="s">
        <v>1362</v>
      </c>
      <c r="I5" s="1021" t="s">
        <v>1337</v>
      </c>
      <c r="J5" s="1019" t="s">
        <v>1097</v>
      </c>
      <c r="K5" s="1022" t="str">
        <f t="array" ref="K5">if(isblank(D5),"",xlookup(D5,'FL5_POR_包裝對照表 (Mapping Table)'!E:E,'FL5_POR_包裝對照表 (Mapping Table)'!AN:AN,"",0,1))</f>
        <v>G950-15935-02</v>
      </c>
      <c r="L5" s="1019" t="s">
        <v>1606</v>
      </c>
      <c r="M5" s="1019" t="s">
        <v>1604</v>
      </c>
      <c r="N5" s="1023">
        <v>464.65</v>
      </c>
      <c r="O5" s="1024">
        <v>440.49</v>
      </c>
      <c r="P5" s="1025">
        <v>45765.0</v>
      </c>
      <c r="Q5" s="1025">
        <v>45771.0</v>
      </c>
      <c r="R5" s="1025">
        <v>45765.0</v>
      </c>
      <c r="S5" s="1026"/>
      <c r="T5" s="514"/>
      <c r="U5" s="514"/>
      <c r="V5" s="514"/>
      <c r="W5" s="514"/>
      <c r="X5" s="514"/>
      <c r="Y5" s="514"/>
    </row>
    <row r="6">
      <c r="A6" s="1027">
        <v>4.0</v>
      </c>
      <c r="B6" s="1019" t="s">
        <v>277</v>
      </c>
      <c r="C6" s="1019" t="s">
        <v>2043</v>
      </c>
      <c r="D6" s="1020" t="s">
        <v>436</v>
      </c>
      <c r="E6" s="1021" t="s">
        <v>410</v>
      </c>
      <c r="F6" s="1019" t="s">
        <v>282</v>
      </c>
      <c r="G6" s="1021" t="s">
        <v>408</v>
      </c>
      <c r="H6" s="1019" t="s">
        <v>1362</v>
      </c>
      <c r="I6" s="1021" t="s">
        <v>1337</v>
      </c>
      <c r="J6" s="1019" t="s">
        <v>1097</v>
      </c>
      <c r="K6" s="1022" t="str">
        <f t="array" ref="K6">if(isblank(D6),"",xlookup(D6,'FL5_POR_包裝對照表 (Mapping Table)'!E:E,'FL5_POR_包裝對照表 (Mapping Table)'!AN:AN,"",0,1))</f>
        <v>G950-15935-03</v>
      </c>
      <c r="L6" s="1019" t="s">
        <v>1614</v>
      </c>
      <c r="M6" s="1019" t="s">
        <v>1339</v>
      </c>
      <c r="N6" s="1023">
        <v>461.76</v>
      </c>
      <c r="O6" s="1024">
        <v>440.49</v>
      </c>
      <c r="P6" s="1025">
        <v>45765.0</v>
      </c>
      <c r="Q6" s="1025">
        <v>45771.0</v>
      </c>
      <c r="R6" s="1025">
        <v>45765.0</v>
      </c>
      <c r="S6" s="1026"/>
      <c r="T6" s="514"/>
      <c r="U6" s="514"/>
      <c r="V6" s="514"/>
      <c r="W6" s="514"/>
      <c r="X6" s="514"/>
      <c r="Y6" s="514"/>
    </row>
    <row r="7">
      <c r="A7" s="1018">
        <v>5.0</v>
      </c>
      <c r="B7" s="1019" t="s">
        <v>277</v>
      </c>
      <c r="C7" s="1019" t="s">
        <v>2043</v>
      </c>
      <c r="D7" s="1028" t="s">
        <v>442</v>
      </c>
      <c r="E7" s="1021" t="s">
        <v>443</v>
      </c>
      <c r="F7" s="1019" t="s">
        <v>282</v>
      </c>
      <c r="G7" s="1021" t="s">
        <v>408</v>
      </c>
      <c r="H7" s="1019" t="s">
        <v>1362</v>
      </c>
      <c r="I7" s="1021" t="s">
        <v>1337</v>
      </c>
      <c r="J7" s="1019" t="s">
        <v>305</v>
      </c>
      <c r="K7" s="1022" t="str">
        <f t="array" ref="K7">if(isblank(D7),"",xlookup(D7,'FL5_POR_包裝對照表 (Mapping Table)'!E:E,'FL5_POR_包裝對照表 (Mapping Table)'!AN:AN,"",0,1))</f>
        <v>G950-15935-00</v>
      </c>
      <c r="L7" s="1019" t="s">
        <v>1585</v>
      </c>
      <c r="M7" s="1019" t="s">
        <v>1367</v>
      </c>
      <c r="N7" s="1023">
        <v>464.63</v>
      </c>
      <c r="O7" s="1024">
        <v>440.09</v>
      </c>
      <c r="P7" s="1025">
        <v>45765.0</v>
      </c>
      <c r="Q7" s="1025">
        <v>45771.0</v>
      </c>
      <c r="R7" s="1025">
        <v>45765.0</v>
      </c>
      <c r="S7" s="1026"/>
      <c r="T7" s="514"/>
      <c r="U7" s="514"/>
      <c r="V7" s="514"/>
      <c r="W7" s="514"/>
      <c r="X7" s="514"/>
      <c r="Y7" s="514"/>
    </row>
    <row r="8">
      <c r="A8" s="1011">
        <v>6.0</v>
      </c>
      <c r="B8" s="1012" t="s">
        <v>277</v>
      </c>
      <c r="C8" s="1012" t="s">
        <v>278</v>
      </c>
      <c r="D8" s="1029" t="s">
        <v>451</v>
      </c>
      <c r="E8" s="1014" t="s">
        <v>443</v>
      </c>
      <c r="F8" s="1012" t="s">
        <v>282</v>
      </c>
      <c r="G8" s="1014" t="s">
        <v>408</v>
      </c>
      <c r="H8" s="1006" t="s">
        <v>1362</v>
      </c>
      <c r="I8" s="1015" t="s">
        <v>1337</v>
      </c>
      <c r="J8" s="1012" t="s">
        <v>305</v>
      </c>
      <c r="K8" s="1003" t="str">
        <f t="array" ref="K8">if(isblank(D8),"",xlookup(D8,'FL5_POR_包裝對照表 (Mapping Table)'!E:E,'FL5_POR_包裝對照表 (Mapping Table)'!AN:AN,"",0,1))</f>
        <v>G950-15935-03</v>
      </c>
      <c r="L8" s="1012" t="s">
        <v>1614</v>
      </c>
      <c r="M8" s="1012" t="s">
        <v>1339</v>
      </c>
      <c r="N8" s="1016">
        <v>426.51</v>
      </c>
      <c r="O8" s="1016">
        <v>440.49</v>
      </c>
      <c r="P8" s="1009">
        <v>45779.0</v>
      </c>
      <c r="Q8" s="1009">
        <v>45782.0</v>
      </c>
      <c r="R8" s="1009">
        <v>45782.0</v>
      </c>
      <c r="S8" s="1017"/>
      <c r="T8" s="514"/>
      <c r="U8" s="514"/>
      <c r="V8" s="514"/>
      <c r="W8" s="514"/>
      <c r="X8" s="514"/>
      <c r="Y8" s="514"/>
    </row>
    <row r="9">
      <c r="A9" s="1018">
        <v>7.0</v>
      </c>
      <c r="B9" s="1019" t="s">
        <v>277</v>
      </c>
      <c r="C9" s="1019" t="s">
        <v>2043</v>
      </c>
      <c r="D9" s="1028" t="s">
        <v>457</v>
      </c>
      <c r="E9" s="1021" t="s">
        <v>458</v>
      </c>
      <c r="F9" s="1019" t="s">
        <v>282</v>
      </c>
      <c r="G9" s="1021" t="s">
        <v>408</v>
      </c>
      <c r="H9" s="1019" t="s">
        <v>1362</v>
      </c>
      <c r="I9" s="1021" t="s">
        <v>1337</v>
      </c>
      <c r="J9" s="1019" t="s">
        <v>1087</v>
      </c>
      <c r="K9" s="1022" t="str">
        <f t="array" ref="K9">if(isblank(D9),"",xlookup(D9,'FL5_POR_包裝對照表 (Mapping Table)'!E:E,'FL5_POR_包裝對照表 (Mapping Table)'!AN:AN,"",0,1))</f>
        <v>G950-15935-00</v>
      </c>
      <c r="L9" s="1019" t="s">
        <v>1585</v>
      </c>
      <c r="M9" s="1019" t="s">
        <v>1367</v>
      </c>
      <c r="N9" s="1023">
        <v>464.63</v>
      </c>
      <c r="O9" s="1024">
        <v>440.09</v>
      </c>
      <c r="P9" s="1025">
        <v>45765.0</v>
      </c>
      <c r="Q9" s="1025">
        <v>45771.0</v>
      </c>
      <c r="R9" s="1025">
        <v>45765.0</v>
      </c>
      <c r="S9" s="1026"/>
      <c r="T9" s="514"/>
      <c r="U9" s="514"/>
      <c r="V9" s="514"/>
      <c r="W9" s="514"/>
      <c r="X9" s="514"/>
      <c r="Y9" s="514"/>
    </row>
    <row r="10">
      <c r="A10" s="1011">
        <v>8.0</v>
      </c>
      <c r="B10" s="1012" t="s">
        <v>277</v>
      </c>
      <c r="C10" s="1012" t="s">
        <v>278</v>
      </c>
      <c r="D10" s="1029" t="s">
        <v>464</v>
      </c>
      <c r="E10" s="1014" t="s">
        <v>458</v>
      </c>
      <c r="F10" s="1012" t="s">
        <v>282</v>
      </c>
      <c r="G10" s="1014" t="s">
        <v>408</v>
      </c>
      <c r="H10" s="1006" t="s">
        <v>1362</v>
      </c>
      <c r="I10" s="1015" t="s">
        <v>1337</v>
      </c>
      <c r="J10" s="1012" t="s">
        <v>1087</v>
      </c>
      <c r="K10" s="1003" t="str">
        <f t="array" ref="K10">if(isblank(D10),"",xlookup(D10,'FL5_POR_包裝對照表 (Mapping Table)'!E:E,'FL5_POR_包裝對照表 (Mapping Table)'!AN:AN,"",0,1))</f>
        <v>G950-15935-03</v>
      </c>
      <c r="L10" s="1012" t="s">
        <v>1614</v>
      </c>
      <c r="M10" s="1012" t="s">
        <v>1339</v>
      </c>
      <c r="N10" s="1016">
        <v>426.51</v>
      </c>
      <c r="O10" s="1016">
        <v>440.49</v>
      </c>
      <c r="P10" s="1009">
        <v>45779.0</v>
      </c>
      <c r="Q10" s="1009">
        <v>45782.0</v>
      </c>
      <c r="R10" s="1009">
        <v>45782.0</v>
      </c>
      <c r="S10" s="1017"/>
      <c r="T10" s="514"/>
      <c r="U10" s="514"/>
      <c r="V10" s="514"/>
      <c r="W10" s="514"/>
      <c r="X10" s="514"/>
      <c r="Y10" s="514"/>
    </row>
    <row r="11">
      <c r="A11" s="1018">
        <v>9.0</v>
      </c>
      <c r="B11" s="1019" t="s">
        <v>277</v>
      </c>
      <c r="C11" s="1019" t="s">
        <v>2043</v>
      </c>
      <c r="D11" s="1028" t="s">
        <v>469</v>
      </c>
      <c r="E11" s="1021" t="s">
        <v>470</v>
      </c>
      <c r="F11" s="1019" t="s">
        <v>282</v>
      </c>
      <c r="G11" s="1021" t="s">
        <v>408</v>
      </c>
      <c r="H11" s="1019" t="s">
        <v>1362</v>
      </c>
      <c r="I11" s="1021" t="s">
        <v>1337</v>
      </c>
      <c r="J11" s="1019" t="s">
        <v>1368</v>
      </c>
      <c r="K11" s="1022" t="str">
        <f t="array" ref="K11">if(isblank(D11),"",xlookup(D11,'FL5_POR_包裝對照表 (Mapping Table)'!E:E,'FL5_POR_包裝對照表 (Mapping Table)'!AN:AN,"",0,1))</f>
        <v>G950-15935-00</v>
      </c>
      <c r="L11" s="1019" t="s">
        <v>1585</v>
      </c>
      <c r="M11" s="1019" t="s">
        <v>1367</v>
      </c>
      <c r="N11" s="1023">
        <v>464.81</v>
      </c>
      <c r="O11" s="1024">
        <v>440.09</v>
      </c>
      <c r="P11" s="1025">
        <v>45765.0</v>
      </c>
      <c r="Q11" s="1025">
        <v>45771.0</v>
      </c>
      <c r="R11" s="1025">
        <v>45765.0</v>
      </c>
      <c r="S11" s="1026"/>
      <c r="T11" s="514"/>
      <c r="U11" s="514"/>
      <c r="V11" s="514"/>
      <c r="W11" s="514"/>
      <c r="X11" s="514"/>
      <c r="Y11" s="514"/>
    </row>
    <row r="12">
      <c r="A12" s="1027">
        <v>10.0</v>
      </c>
      <c r="B12" s="1019" t="s">
        <v>277</v>
      </c>
      <c r="C12" s="1019" t="s">
        <v>2043</v>
      </c>
      <c r="D12" s="1020" t="s">
        <v>476</v>
      </c>
      <c r="E12" s="1021" t="s">
        <v>470</v>
      </c>
      <c r="F12" s="1019" t="s">
        <v>282</v>
      </c>
      <c r="G12" s="1021" t="s">
        <v>408</v>
      </c>
      <c r="H12" s="1019" t="s">
        <v>1362</v>
      </c>
      <c r="I12" s="1021" t="s">
        <v>1337</v>
      </c>
      <c r="J12" s="1019" t="s">
        <v>1368</v>
      </c>
      <c r="K12" s="1022" t="str">
        <f t="array" ref="K12">if(isblank(D12),"",xlookup(D12,'FL5_POR_包裝對照表 (Mapping Table)'!E:E,'FL5_POR_包裝對照表 (Mapping Table)'!AN:AN,"",0,1))</f>
        <v>G950-15935-01</v>
      </c>
      <c r="L12" s="1019" t="s">
        <v>1596</v>
      </c>
      <c r="M12" s="1019" t="s">
        <v>1594</v>
      </c>
      <c r="N12" s="1023">
        <v>460.98</v>
      </c>
      <c r="O12" s="1024">
        <v>440.39</v>
      </c>
      <c r="P12" s="1025">
        <v>45765.0</v>
      </c>
      <c r="Q12" s="1025">
        <v>45771.0</v>
      </c>
      <c r="R12" s="1025">
        <v>45766.0</v>
      </c>
      <c r="S12" s="1026"/>
      <c r="T12" s="514"/>
      <c r="U12" s="514"/>
      <c r="V12" s="514"/>
      <c r="W12" s="514"/>
      <c r="X12" s="514"/>
      <c r="Y12" s="514"/>
    </row>
    <row r="13">
      <c r="A13" s="1002">
        <v>11.0</v>
      </c>
      <c r="B13" s="1012" t="s">
        <v>277</v>
      </c>
      <c r="C13" s="1012" t="s">
        <v>278</v>
      </c>
      <c r="D13" s="1030" t="s">
        <v>481</v>
      </c>
      <c r="E13" s="1014" t="s">
        <v>470</v>
      </c>
      <c r="F13" s="1012" t="s">
        <v>282</v>
      </c>
      <c r="G13" s="1014" t="s">
        <v>408</v>
      </c>
      <c r="H13" s="1006" t="s">
        <v>1362</v>
      </c>
      <c r="I13" s="1015" t="s">
        <v>1337</v>
      </c>
      <c r="J13" s="1012" t="s">
        <v>1368</v>
      </c>
      <c r="K13" s="1003" t="str">
        <f t="array" ref="K13">if(isblank(D13),"",xlookup(D13,'FL5_POR_包裝對照表 (Mapping Table)'!E:E,'FL5_POR_包裝對照表 (Mapping Table)'!AN:AN,"",0,1))</f>
        <v>G950-15935-02</v>
      </c>
      <c r="L13" s="1012" t="s">
        <v>1606</v>
      </c>
      <c r="M13" s="1012" t="s">
        <v>1604</v>
      </c>
      <c r="N13" s="1016">
        <v>426.51</v>
      </c>
      <c r="O13" s="1016">
        <v>440.49</v>
      </c>
      <c r="P13" s="1009">
        <v>45779.0</v>
      </c>
      <c r="Q13" s="1009">
        <v>45782.0</v>
      </c>
      <c r="R13" s="1009">
        <v>45782.0</v>
      </c>
      <c r="S13" s="1017"/>
      <c r="T13" s="514"/>
      <c r="U13" s="514"/>
      <c r="V13" s="514"/>
      <c r="W13" s="514"/>
      <c r="X13" s="514"/>
      <c r="Y13" s="514"/>
    </row>
    <row r="14">
      <c r="A14" s="1011">
        <v>12.0</v>
      </c>
      <c r="B14" s="1012" t="s">
        <v>277</v>
      </c>
      <c r="C14" s="1012" t="s">
        <v>278</v>
      </c>
      <c r="D14" s="1029" t="s">
        <v>486</v>
      </c>
      <c r="E14" s="1014" t="s">
        <v>470</v>
      </c>
      <c r="F14" s="1012" t="s">
        <v>282</v>
      </c>
      <c r="G14" s="1014" t="s">
        <v>408</v>
      </c>
      <c r="H14" s="1006" t="s">
        <v>1362</v>
      </c>
      <c r="I14" s="1015" t="s">
        <v>1337</v>
      </c>
      <c r="J14" s="1012" t="s">
        <v>1368</v>
      </c>
      <c r="K14" s="1003" t="str">
        <f t="array" ref="K14">if(isblank(D14),"",xlookup(D14,'FL5_POR_包裝對照表 (Mapping Table)'!E:E,'FL5_POR_包裝對照表 (Mapping Table)'!AN:AN,"",0,1))</f>
        <v>G950-15935-03</v>
      </c>
      <c r="L14" s="1012" t="s">
        <v>1614</v>
      </c>
      <c r="M14" s="1012" t="s">
        <v>1339</v>
      </c>
      <c r="N14" s="1016">
        <v>426.51</v>
      </c>
      <c r="O14" s="1016">
        <v>440.49</v>
      </c>
      <c r="P14" s="1009">
        <v>45779.0</v>
      </c>
      <c r="Q14" s="1009">
        <v>45782.0</v>
      </c>
      <c r="R14" s="1009">
        <v>45782.0</v>
      </c>
      <c r="S14" s="1017"/>
      <c r="T14" s="514"/>
      <c r="U14" s="514"/>
      <c r="V14" s="514"/>
      <c r="W14" s="514"/>
      <c r="X14" s="514"/>
      <c r="Y14" s="514"/>
    </row>
    <row r="15">
      <c r="A15" s="1018">
        <v>13.0</v>
      </c>
      <c r="B15" s="1019" t="s">
        <v>277</v>
      </c>
      <c r="C15" s="1019" t="s">
        <v>2043</v>
      </c>
      <c r="D15" s="1028" t="s">
        <v>491</v>
      </c>
      <c r="E15" s="1021" t="s">
        <v>492</v>
      </c>
      <c r="F15" s="1019" t="s">
        <v>282</v>
      </c>
      <c r="G15" s="1021" t="s">
        <v>408</v>
      </c>
      <c r="H15" s="1019" t="s">
        <v>1362</v>
      </c>
      <c r="I15" s="1021" t="s">
        <v>1397</v>
      </c>
      <c r="J15" s="1019" t="s">
        <v>1399</v>
      </c>
      <c r="K15" s="1022" t="str">
        <f t="array" ref="K15">if(isblank(D15),"",xlookup(D15,'FL5_POR_包裝對照表 (Mapping Table)'!E:E,'FL5_POR_包裝對照表 (Mapping Table)'!AN:AN,"",0,1))</f>
        <v>G950-15935-10</v>
      </c>
      <c r="L15" s="1019" t="s">
        <v>1585</v>
      </c>
      <c r="M15" s="1019" t="s">
        <v>1367</v>
      </c>
      <c r="N15" s="1023">
        <v>427.23</v>
      </c>
      <c r="O15" s="1024">
        <v>422.71</v>
      </c>
      <c r="P15" s="1025">
        <v>45765.0</v>
      </c>
      <c r="Q15" s="1025">
        <v>45771.0</v>
      </c>
      <c r="R15" s="1025">
        <v>45767.0</v>
      </c>
      <c r="S15" s="1026"/>
      <c r="T15" s="514"/>
      <c r="U15" s="514"/>
      <c r="V15" s="514"/>
      <c r="W15" s="514"/>
      <c r="X15" s="514"/>
      <c r="Y15" s="514"/>
    </row>
    <row r="16">
      <c r="A16" s="1027">
        <v>14.0</v>
      </c>
      <c r="B16" s="1019" t="s">
        <v>277</v>
      </c>
      <c r="C16" s="1019" t="s">
        <v>2043</v>
      </c>
      <c r="D16" s="1020" t="s">
        <v>505</v>
      </c>
      <c r="E16" s="1021" t="s">
        <v>492</v>
      </c>
      <c r="F16" s="1019" t="s">
        <v>282</v>
      </c>
      <c r="G16" s="1021" t="s">
        <v>408</v>
      </c>
      <c r="H16" s="1019" t="s">
        <v>1362</v>
      </c>
      <c r="I16" s="1021" t="s">
        <v>1397</v>
      </c>
      <c r="J16" s="1019" t="s">
        <v>1399</v>
      </c>
      <c r="K16" s="1022" t="str">
        <f t="array" ref="K16">if(isblank(D16),"",xlookup(D16,'FL5_POR_包裝對照表 (Mapping Table)'!E:E,'FL5_POR_包裝對照表 (Mapping Table)'!AN:AN,"",0,1))</f>
        <v>G950-15935-11</v>
      </c>
      <c r="L16" s="1019" t="s">
        <v>1596</v>
      </c>
      <c r="M16" s="1019" t="s">
        <v>1594</v>
      </c>
      <c r="N16" s="1023">
        <v>441.37</v>
      </c>
      <c r="O16" s="1024">
        <v>423.01</v>
      </c>
      <c r="P16" s="1025">
        <v>45765.0</v>
      </c>
      <c r="Q16" s="1025">
        <v>45771.0</v>
      </c>
      <c r="R16" s="1025">
        <v>45768.0</v>
      </c>
      <c r="S16" s="1026"/>
      <c r="T16" s="514"/>
      <c r="U16" s="514"/>
      <c r="V16" s="514"/>
      <c r="W16" s="514"/>
      <c r="X16" s="514"/>
      <c r="Y16" s="514"/>
    </row>
    <row r="17">
      <c r="A17" s="1018">
        <v>15.0</v>
      </c>
      <c r="B17" s="1019" t="s">
        <v>277</v>
      </c>
      <c r="C17" s="1019" t="s">
        <v>2043</v>
      </c>
      <c r="D17" s="1020" t="s">
        <v>512</v>
      </c>
      <c r="E17" s="1021" t="s">
        <v>492</v>
      </c>
      <c r="F17" s="1019" t="s">
        <v>282</v>
      </c>
      <c r="G17" s="1021" t="s">
        <v>408</v>
      </c>
      <c r="H17" s="1019" t="s">
        <v>1362</v>
      </c>
      <c r="I17" s="1021" t="s">
        <v>1397</v>
      </c>
      <c r="J17" s="1019" t="s">
        <v>1399</v>
      </c>
      <c r="K17" s="1022" t="str">
        <f t="array" ref="K17">if(isblank(D17),"",xlookup(D17,'FL5_POR_包裝對照表 (Mapping Table)'!E:E,'FL5_POR_包裝對照表 (Mapping Table)'!AN:AN,"",0,1))</f>
        <v>G950-15935-12</v>
      </c>
      <c r="L17" s="1019" t="s">
        <v>1606</v>
      </c>
      <c r="M17" s="1019" t="s">
        <v>1604</v>
      </c>
      <c r="N17" s="1023">
        <v>445.06</v>
      </c>
      <c r="O17" s="1024">
        <v>423.11</v>
      </c>
      <c r="P17" s="1025">
        <v>45765.0</v>
      </c>
      <c r="Q17" s="1025">
        <v>45771.0</v>
      </c>
      <c r="R17" s="1025">
        <v>45769.0</v>
      </c>
      <c r="S17" s="1026"/>
      <c r="T17" s="514"/>
      <c r="U17" s="514"/>
      <c r="V17" s="514"/>
      <c r="W17" s="514"/>
      <c r="X17" s="514"/>
      <c r="Y17" s="514"/>
    </row>
    <row r="18">
      <c r="A18" s="1027">
        <v>16.0</v>
      </c>
      <c r="B18" s="1019" t="s">
        <v>277</v>
      </c>
      <c r="C18" s="1019" t="s">
        <v>2043</v>
      </c>
      <c r="D18" s="1020" t="s">
        <v>519</v>
      </c>
      <c r="E18" s="1021" t="s">
        <v>492</v>
      </c>
      <c r="F18" s="1019" t="s">
        <v>282</v>
      </c>
      <c r="G18" s="1021" t="s">
        <v>408</v>
      </c>
      <c r="H18" s="1019" t="s">
        <v>1362</v>
      </c>
      <c r="I18" s="1021" t="s">
        <v>1397</v>
      </c>
      <c r="J18" s="1019" t="s">
        <v>1399</v>
      </c>
      <c r="K18" s="1022" t="str">
        <f t="array" ref="K18">if(isblank(D18),"",xlookup(D18,'FL5_POR_包裝對照表 (Mapping Table)'!E:E,'FL5_POR_包裝對照表 (Mapping Table)'!AN:AN,"",0,1))</f>
        <v>G950-15935-13</v>
      </c>
      <c r="L18" s="1019" t="s">
        <v>1614</v>
      </c>
      <c r="M18" s="1019" t="s">
        <v>1339</v>
      </c>
      <c r="N18" s="1023">
        <v>441.14</v>
      </c>
      <c r="O18" s="1024">
        <v>423.11</v>
      </c>
      <c r="P18" s="1025">
        <v>45765.0</v>
      </c>
      <c r="Q18" s="1025">
        <v>45771.0</v>
      </c>
      <c r="R18" s="1025">
        <v>45770.0</v>
      </c>
      <c r="S18" s="1026"/>
      <c r="T18" s="514"/>
      <c r="U18" s="514"/>
      <c r="V18" s="514"/>
      <c r="W18" s="514"/>
      <c r="X18" s="514"/>
      <c r="Y18" s="514"/>
    </row>
    <row r="19">
      <c r="A19" s="1002">
        <v>17.0</v>
      </c>
      <c r="B19" s="1012" t="s">
        <v>277</v>
      </c>
      <c r="C19" s="1012" t="s">
        <v>278</v>
      </c>
      <c r="D19" s="1031" t="s">
        <v>526</v>
      </c>
      <c r="E19" s="1014" t="s">
        <v>527</v>
      </c>
      <c r="F19" s="1012" t="s">
        <v>282</v>
      </c>
      <c r="G19" s="1014" t="s">
        <v>408</v>
      </c>
      <c r="H19" s="1006" t="s">
        <v>1362</v>
      </c>
      <c r="I19" s="1032" t="s">
        <v>1397</v>
      </c>
      <c r="J19" s="1012" t="s">
        <v>1399</v>
      </c>
      <c r="K19" s="1003" t="str">
        <f t="array" ref="K19">if(isblank(D19),"",xlookup(D19,'FL5_POR_包裝對照表 (Mapping Table)'!E:E,'FL5_POR_包裝對照表 (Mapping Table)'!AN:AN,"",0,1))</f>
        <v>G950-15935-10</v>
      </c>
      <c r="L19" s="1012" t="s">
        <v>1585</v>
      </c>
      <c r="M19" s="1012" t="s">
        <v>1367</v>
      </c>
      <c r="N19" s="1016">
        <v>430.2</v>
      </c>
      <c r="O19" s="1016">
        <v>423.22</v>
      </c>
      <c r="P19" s="1009">
        <v>45779.0</v>
      </c>
      <c r="Q19" s="1009">
        <v>45782.0</v>
      </c>
      <c r="R19" s="1009">
        <v>45782.0</v>
      </c>
      <c r="S19" s="1017"/>
      <c r="T19" s="514"/>
      <c r="U19" s="514"/>
      <c r="V19" s="514"/>
      <c r="W19" s="514"/>
      <c r="X19" s="514"/>
      <c r="Y19" s="514"/>
    </row>
    <row r="20">
      <c r="A20" s="1011">
        <v>18.0</v>
      </c>
      <c r="B20" s="1012" t="s">
        <v>277</v>
      </c>
      <c r="C20" s="1012" t="s">
        <v>278</v>
      </c>
      <c r="D20" s="1013" t="s">
        <v>535</v>
      </c>
      <c r="E20" s="1014" t="s">
        <v>527</v>
      </c>
      <c r="F20" s="1012" t="s">
        <v>282</v>
      </c>
      <c r="G20" s="1014" t="s">
        <v>408</v>
      </c>
      <c r="H20" s="1006" t="s">
        <v>1362</v>
      </c>
      <c r="I20" s="1032" t="s">
        <v>1397</v>
      </c>
      <c r="J20" s="1012" t="s">
        <v>1399</v>
      </c>
      <c r="K20" s="1003" t="str">
        <f t="array" ref="K20">if(isblank(D20),"",xlookup(D20,'FL5_POR_包裝對照表 (Mapping Table)'!E:E,'FL5_POR_包裝對照表 (Mapping Table)'!AN:AN,"",0,1))</f>
        <v>G950-15935-11</v>
      </c>
      <c r="L20" s="1012" t="s">
        <v>1596</v>
      </c>
      <c r="M20" s="1012" t="s">
        <v>1594</v>
      </c>
      <c r="N20" s="1016">
        <v>409.82</v>
      </c>
      <c r="O20" s="1016">
        <v>423.52</v>
      </c>
      <c r="P20" s="1009">
        <v>45779.0</v>
      </c>
      <c r="Q20" s="1009">
        <v>45782.0</v>
      </c>
      <c r="R20" s="1009">
        <v>45782.0</v>
      </c>
      <c r="S20" s="1017"/>
      <c r="T20" s="514"/>
      <c r="U20" s="514"/>
      <c r="V20" s="514"/>
      <c r="W20" s="514"/>
      <c r="X20" s="514"/>
      <c r="Y20" s="514"/>
    </row>
    <row r="21">
      <c r="A21" s="1018">
        <v>19.0</v>
      </c>
      <c r="B21" s="1019" t="s">
        <v>277</v>
      </c>
      <c r="C21" s="1019" t="s">
        <v>2043</v>
      </c>
      <c r="D21" s="1020" t="s">
        <v>541</v>
      </c>
      <c r="E21" s="1021" t="s">
        <v>527</v>
      </c>
      <c r="F21" s="1019" t="s">
        <v>282</v>
      </c>
      <c r="G21" s="1021" t="s">
        <v>408</v>
      </c>
      <c r="H21" s="1019" t="s">
        <v>1362</v>
      </c>
      <c r="I21" s="1021" t="s">
        <v>1397</v>
      </c>
      <c r="J21" s="1019" t="s">
        <v>1399</v>
      </c>
      <c r="K21" s="1022" t="str">
        <f t="array" ref="K21">if(isblank(D21),"",xlookup(D21,'FL5_POR_包裝對照表 (Mapping Table)'!E:E,'FL5_POR_包裝對照表 (Mapping Table)'!AN:AN,"",0,1))</f>
        <v>G950-15935-12</v>
      </c>
      <c r="L21" s="1019" t="s">
        <v>1606</v>
      </c>
      <c r="M21" s="1019" t="s">
        <v>1604</v>
      </c>
      <c r="N21" s="1023">
        <v>445.56</v>
      </c>
      <c r="O21" s="1024">
        <v>423.62</v>
      </c>
      <c r="P21" s="1025">
        <v>45765.0</v>
      </c>
      <c r="Q21" s="1025">
        <v>45771.0</v>
      </c>
      <c r="R21" s="1025">
        <v>45771.0</v>
      </c>
      <c r="S21" s="1026"/>
      <c r="T21" s="514"/>
      <c r="U21" s="514"/>
      <c r="V21" s="514"/>
      <c r="W21" s="514"/>
      <c r="X21" s="514"/>
      <c r="Y21" s="514"/>
    </row>
    <row r="22">
      <c r="A22" s="1027">
        <v>20.0</v>
      </c>
      <c r="B22" s="1019" t="s">
        <v>277</v>
      </c>
      <c r="C22" s="1019" t="s">
        <v>2043</v>
      </c>
      <c r="D22" s="1020" t="s">
        <v>547</v>
      </c>
      <c r="E22" s="1021" t="s">
        <v>527</v>
      </c>
      <c r="F22" s="1019" t="s">
        <v>282</v>
      </c>
      <c r="G22" s="1021" t="s">
        <v>408</v>
      </c>
      <c r="H22" s="1019" t="s">
        <v>1362</v>
      </c>
      <c r="I22" s="1021" t="s">
        <v>1397</v>
      </c>
      <c r="J22" s="1019" t="s">
        <v>1399</v>
      </c>
      <c r="K22" s="1022" t="str">
        <f t="array" ref="K22">if(isblank(D22),"",xlookup(D22,'FL5_POR_包裝對照表 (Mapping Table)'!E:E,'FL5_POR_包裝對照表 (Mapping Table)'!AN:AN,"",0,1))</f>
        <v>G950-15935-13</v>
      </c>
      <c r="L22" s="1019" t="s">
        <v>1614</v>
      </c>
      <c r="M22" s="1019" t="s">
        <v>1339</v>
      </c>
      <c r="N22" s="1023">
        <v>441.64</v>
      </c>
      <c r="O22" s="1024">
        <v>423.62</v>
      </c>
      <c r="P22" s="1025">
        <v>45765.0</v>
      </c>
      <c r="Q22" s="1025">
        <v>45771.0</v>
      </c>
      <c r="R22" s="1025">
        <v>45772.0</v>
      </c>
      <c r="S22" s="1026"/>
      <c r="T22" s="514"/>
      <c r="U22" s="514"/>
      <c r="V22" s="514"/>
      <c r="W22" s="514"/>
      <c r="X22" s="514"/>
      <c r="Y22" s="514"/>
    </row>
    <row r="23">
      <c r="A23" s="1018">
        <v>21.0</v>
      </c>
      <c r="B23" s="1019" t="s">
        <v>277</v>
      </c>
      <c r="C23" s="1019" t="s">
        <v>2043</v>
      </c>
      <c r="D23" s="1028" t="s">
        <v>553</v>
      </c>
      <c r="E23" s="1021" t="s">
        <v>554</v>
      </c>
      <c r="F23" s="1019" t="s">
        <v>282</v>
      </c>
      <c r="G23" s="1021" t="s">
        <v>408</v>
      </c>
      <c r="H23" s="1019" t="s">
        <v>1362</v>
      </c>
      <c r="I23" s="1021" t="s">
        <v>1385</v>
      </c>
      <c r="J23" s="1019" t="s">
        <v>1385</v>
      </c>
      <c r="K23" s="1022" t="str">
        <f t="array" ref="K23">if(isblank(D23),"",xlookup(D23,'FL5_POR_包裝對照表 (Mapping Table)'!E:E,'FL5_POR_包裝對照表 (Mapping Table)'!AN:AN,"",0,1))</f>
        <v>G950-15935-10</v>
      </c>
      <c r="L23" s="1019" t="s">
        <v>1585</v>
      </c>
      <c r="M23" s="1019" t="s">
        <v>1367</v>
      </c>
      <c r="N23" s="1023">
        <v>427.55</v>
      </c>
      <c r="O23" s="1024">
        <v>422.69</v>
      </c>
      <c r="P23" s="1025">
        <v>45765.0</v>
      </c>
      <c r="Q23" s="1025">
        <v>45771.0</v>
      </c>
      <c r="R23" s="1025">
        <v>45773.0</v>
      </c>
      <c r="S23" s="1026"/>
      <c r="T23" s="514"/>
      <c r="U23" s="514"/>
      <c r="V23" s="514"/>
      <c r="W23" s="514"/>
      <c r="X23" s="514"/>
      <c r="Y23" s="514"/>
    </row>
    <row r="24">
      <c r="A24" s="1027">
        <v>22.0</v>
      </c>
      <c r="B24" s="1019" t="s">
        <v>277</v>
      </c>
      <c r="C24" s="1019" t="s">
        <v>2043</v>
      </c>
      <c r="D24" s="1020" t="s">
        <v>564</v>
      </c>
      <c r="E24" s="1021" t="s">
        <v>554</v>
      </c>
      <c r="F24" s="1019" t="s">
        <v>282</v>
      </c>
      <c r="G24" s="1021" t="s">
        <v>408</v>
      </c>
      <c r="H24" s="1019" t="s">
        <v>1362</v>
      </c>
      <c r="I24" s="1021" t="s">
        <v>1385</v>
      </c>
      <c r="J24" s="1019" t="s">
        <v>1385</v>
      </c>
      <c r="K24" s="1022" t="str">
        <f t="array" ref="K24">if(isblank(D24),"",xlookup(D24,'FL5_POR_包裝對照表 (Mapping Table)'!E:E,'FL5_POR_包裝對照表 (Mapping Table)'!AN:AN,"",0,1))</f>
        <v>G950-15935-11</v>
      </c>
      <c r="L24" s="1019" t="s">
        <v>1596</v>
      </c>
      <c r="M24" s="1019" t="s">
        <v>1594</v>
      </c>
      <c r="N24" s="1023">
        <v>441.69</v>
      </c>
      <c r="O24" s="1024">
        <v>422.99</v>
      </c>
      <c r="P24" s="1025">
        <v>45765.0</v>
      </c>
      <c r="Q24" s="1025">
        <v>45771.0</v>
      </c>
      <c r="R24" s="1025">
        <v>45774.0</v>
      </c>
      <c r="S24" s="1026"/>
      <c r="T24" s="514"/>
      <c r="U24" s="514"/>
      <c r="V24" s="514"/>
      <c r="W24" s="514"/>
      <c r="X24" s="514"/>
      <c r="Y24" s="514"/>
    </row>
    <row r="25">
      <c r="A25" s="1018">
        <v>23.0</v>
      </c>
      <c r="B25" s="1019" t="s">
        <v>277</v>
      </c>
      <c r="C25" s="1019" t="s">
        <v>2043</v>
      </c>
      <c r="D25" s="1020" t="s">
        <v>570</v>
      </c>
      <c r="E25" s="1021" t="s">
        <v>554</v>
      </c>
      <c r="F25" s="1019" t="s">
        <v>282</v>
      </c>
      <c r="G25" s="1021" t="s">
        <v>408</v>
      </c>
      <c r="H25" s="1019" t="s">
        <v>1362</v>
      </c>
      <c r="I25" s="1021" t="s">
        <v>1385</v>
      </c>
      <c r="J25" s="1019" t="s">
        <v>1385</v>
      </c>
      <c r="K25" s="1022" t="str">
        <f t="array" ref="K25">if(isblank(D25),"",xlookup(D25,'FL5_POR_包裝對照表 (Mapping Table)'!E:E,'FL5_POR_包裝對照表 (Mapping Table)'!AN:AN,"",0,1))</f>
        <v>G950-15935-12</v>
      </c>
      <c r="L25" s="1019" t="s">
        <v>1606</v>
      </c>
      <c r="M25" s="1019" t="s">
        <v>1604</v>
      </c>
      <c r="N25" s="1023">
        <v>445.62</v>
      </c>
      <c r="O25" s="1024">
        <v>423.09</v>
      </c>
      <c r="P25" s="1025">
        <v>45765.0</v>
      </c>
      <c r="Q25" s="1025">
        <v>45771.0</v>
      </c>
      <c r="R25" s="1025">
        <v>45775.0</v>
      </c>
      <c r="S25" s="1026"/>
      <c r="T25" s="514"/>
      <c r="U25" s="514"/>
      <c r="V25" s="514"/>
      <c r="W25" s="514"/>
      <c r="X25" s="514"/>
      <c r="Y25" s="514"/>
    </row>
    <row r="26">
      <c r="A26" s="1027">
        <v>24.0</v>
      </c>
      <c r="B26" s="1019" t="s">
        <v>277</v>
      </c>
      <c r="C26" s="1019" t="s">
        <v>2043</v>
      </c>
      <c r="D26" s="1020" t="s">
        <v>576</v>
      </c>
      <c r="E26" s="1021" t="s">
        <v>554</v>
      </c>
      <c r="F26" s="1019" t="s">
        <v>282</v>
      </c>
      <c r="G26" s="1021" t="s">
        <v>408</v>
      </c>
      <c r="H26" s="1019" t="s">
        <v>1362</v>
      </c>
      <c r="I26" s="1021" t="s">
        <v>1385</v>
      </c>
      <c r="J26" s="1019" t="s">
        <v>1385</v>
      </c>
      <c r="K26" s="1022" t="str">
        <f t="array" ref="K26">if(isblank(D26),"",xlookup(D26,'FL5_POR_包裝對照表 (Mapping Table)'!E:E,'FL5_POR_包裝對照表 (Mapping Table)'!AN:AN,"",0,1))</f>
        <v>G950-15935-13</v>
      </c>
      <c r="L26" s="1019" t="s">
        <v>1614</v>
      </c>
      <c r="M26" s="1019" t="s">
        <v>1339</v>
      </c>
      <c r="N26" s="1023">
        <v>441.46</v>
      </c>
      <c r="O26" s="1024">
        <v>423.09</v>
      </c>
      <c r="P26" s="1025">
        <v>45765.0</v>
      </c>
      <c r="Q26" s="1025">
        <v>45771.0</v>
      </c>
      <c r="R26" s="1025">
        <v>45776.0</v>
      </c>
      <c r="S26" s="1026"/>
      <c r="T26" s="514"/>
      <c r="U26" s="514"/>
      <c r="V26" s="514"/>
      <c r="W26" s="514"/>
      <c r="X26" s="514"/>
      <c r="Y26" s="514"/>
    </row>
    <row r="27">
      <c r="A27" s="1033">
        <v>25.0</v>
      </c>
      <c r="B27" s="1034" t="s">
        <v>277</v>
      </c>
      <c r="C27" s="1034" t="s">
        <v>278</v>
      </c>
      <c r="D27" s="1035" t="s">
        <v>582</v>
      </c>
      <c r="E27" s="1036" t="s">
        <v>583</v>
      </c>
      <c r="F27" s="1034" t="s">
        <v>282</v>
      </c>
      <c r="G27" s="1036" t="s">
        <v>291</v>
      </c>
      <c r="H27" s="1034" t="s">
        <v>2057</v>
      </c>
      <c r="I27" s="1036" t="s">
        <v>1397</v>
      </c>
      <c r="J27" s="1034" t="s">
        <v>1399</v>
      </c>
      <c r="K27" s="1037" t="str">
        <f t="array" ref="K27">if(isblank(D27),"",xlookup(D27,'FL5_POR_包裝對照表 (Mapping Table)'!E:E,'FL5_POR_包裝對照表 (Mapping Table)'!AN:AN,"",0,1))</f>
        <v>TBD</v>
      </c>
      <c r="L27" s="1034" t="s">
        <v>1585</v>
      </c>
      <c r="M27" s="1034" t="s">
        <v>1367</v>
      </c>
      <c r="N27" s="1038"/>
      <c r="O27" s="1038"/>
      <c r="P27" s="1039"/>
      <c r="Q27" s="1039"/>
      <c r="R27" s="1039"/>
      <c r="S27" s="1040"/>
      <c r="T27" s="514"/>
      <c r="U27" s="514"/>
      <c r="V27" s="514"/>
      <c r="W27" s="514"/>
      <c r="X27" s="514"/>
      <c r="Y27" s="514"/>
    </row>
    <row r="28">
      <c r="A28" s="1041">
        <v>26.0</v>
      </c>
      <c r="B28" s="1034" t="s">
        <v>277</v>
      </c>
      <c r="C28" s="1034" t="s">
        <v>278</v>
      </c>
      <c r="D28" s="1042" t="s">
        <v>587</v>
      </c>
      <c r="E28" s="1036" t="s">
        <v>583</v>
      </c>
      <c r="F28" s="1034" t="s">
        <v>282</v>
      </c>
      <c r="G28" s="1036" t="s">
        <v>291</v>
      </c>
      <c r="H28" s="1034" t="s">
        <v>2057</v>
      </c>
      <c r="I28" s="1036" t="s">
        <v>1397</v>
      </c>
      <c r="J28" s="1034" t="s">
        <v>1399</v>
      </c>
      <c r="K28" s="1037" t="str">
        <f t="array" ref="K28">if(isblank(D28),"",xlookup(D28,'FL5_POR_包裝對照表 (Mapping Table)'!E:E,'FL5_POR_包裝對照表 (Mapping Table)'!AN:AN,"",0,1))</f>
        <v>TBD</v>
      </c>
      <c r="L28" s="1034" t="s">
        <v>1596</v>
      </c>
      <c r="M28" s="1034" t="s">
        <v>1594</v>
      </c>
      <c r="N28" s="1038"/>
      <c r="O28" s="1038"/>
      <c r="P28" s="1039"/>
      <c r="Q28" s="1039"/>
      <c r="R28" s="1039"/>
      <c r="S28" s="1040"/>
      <c r="T28" s="514"/>
      <c r="U28" s="514"/>
      <c r="V28" s="514"/>
      <c r="W28" s="514"/>
      <c r="X28" s="514"/>
      <c r="Y28" s="514"/>
    </row>
    <row r="29">
      <c r="A29" s="1033">
        <v>27.0</v>
      </c>
      <c r="B29" s="1034" t="s">
        <v>277</v>
      </c>
      <c r="C29" s="1034" t="s">
        <v>278</v>
      </c>
      <c r="D29" s="1042" t="s">
        <v>589</v>
      </c>
      <c r="E29" s="1036" t="s">
        <v>583</v>
      </c>
      <c r="F29" s="1034" t="s">
        <v>282</v>
      </c>
      <c r="G29" s="1036" t="s">
        <v>291</v>
      </c>
      <c r="H29" s="1034" t="s">
        <v>2057</v>
      </c>
      <c r="I29" s="1036" t="s">
        <v>1397</v>
      </c>
      <c r="J29" s="1034" t="s">
        <v>1399</v>
      </c>
      <c r="K29" s="1037" t="str">
        <f t="array" ref="K29">if(isblank(D29),"",xlookup(D29,'FL5_POR_包裝對照表 (Mapping Table)'!E:E,'FL5_POR_包裝對照表 (Mapping Table)'!AN:AN,"",0,1))</f>
        <v>TBD</v>
      </c>
      <c r="L29" s="1034" t="s">
        <v>1606</v>
      </c>
      <c r="M29" s="1034" t="s">
        <v>1604</v>
      </c>
      <c r="N29" s="1038"/>
      <c r="O29" s="1038"/>
      <c r="P29" s="1039"/>
      <c r="Q29" s="1039"/>
      <c r="R29" s="1039"/>
      <c r="S29" s="1040"/>
      <c r="T29" s="514"/>
      <c r="U29" s="514"/>
      <c r="V29" s="514"/>
      <c r="W29" s="514"/>
      <c r="X29" s="514"/>
      <c r="Y29" s="514"/>
    </row>
    <row r="30">
      <c r="A30" s="1041">
        <v>28.0</v>
      </c>
      <c r="B30" s="1034" t="s">
        <v>277</v>
      </c>
      <c r="C30" s="1034" t="s">
        <v>278</v>
      </c>
      <c r="D30" s="1042" t="s">
        <v>591</v>
      </c>
      <c r="E30" s="1036" t="s">
        <v>583</v>
      </c>
      <c r="F30" s="1034" t="s">
        <v>282</v>
      </c>
      <c r="G30" s="1036" t="s">
        <v>291</v>
      </c>
      <c r="H30" s="1034" t="s">
        <v>2057</v>
      </c>
      <c r="I30" s="1036" t="s">
        <v>1397</v>
      </c>
      <c r="J30" s="1034" t="s">
        <v>1399</v>
      </c>
      <c r="K30" s="1037" t="str">
        <f t="array" ref="K30">if(isblank(D30),"",xlookup(D30,'FL5_POR_包裝對照表 (Mapping Table)'!E:E,'FL5_POR_包裝對照表 (Mapping Table)'!AN:AN,"",0,1))</f>
        <v>TBD</v>
      </c>
      <c r="L30" s="1034" t="s">
        <v>1614</v>
      </c>
      <c r="M30" s="1034" t="s">
        <v>1339</v>
      </c>
      <c r="N30" s="1038"/>
      <c r="O30" s="1038"/>
      <c r="P30" s="1039"/>
      <c r="Q30" s="1039"/>
      <c r="R30" s="1039"/>
      <c r="S30" s="1040"/>
      <c r="T30" s="514"/>
      <c r="U30" s="514"/>
      <c r="V30" s="514"/>
      <c r="W30" s="514"/>
      <c r="X30" s="514"/>
      <c r="Y30" s="514"/>
    </row>
    <row r="31">
      <c r="A31" s="1002">
        <v>29.0</v>
      </c>
      <c r="B31" s="1012" t="s">
        <v>277</v>
      </c>
      <c r="C31" s="1012" t="s">
        <v>278</v>
      </c>
      <c r="D31" s="1031" t="s">
        <v>593</v>
      </c>
      <c r="E31" s="1014" t="s">
        <v>410</v>
      </c>
      <c r="F31" s="1012" t="s">
        <v>282</v>
      </c>
      <c r="G31" s="1014" t="s">
        <v>408</v>
      </c>
      <c r="H31" s="1006" t="s">
        <v>1362</v>
      </c>
      <c r="I31" s="1015" t="s">
        <v>1337</v>
      </c>
      <c r="J31" s="1012" t="s">
        <v>1097</v>
      </c>
      <c r="K31" s="1003" t="str">
        <f t="array" ref="K31">if(isblank(D31),"",xlookup(D31,'FL5_POR_包裝對照表 (Mapping Table)'!E:E,'FL5_POR_包裝對照表 (Mapping Table)'!AN:AN,"",0,1))</f>
        <v>G950-15935-04</v>
      </c>
      <c r="L31" s="1012" t="s">
        <v>1585</v>
      </c>
      <c r="M31" s="1012" t="s">
        <v>1367</v>
      </c>
      <c r="N31" s="1016">
        <v>453.07</v>
      </c>
      <c r="O31" s="1016">
        <v>446.09</v>
      </c>
      <c r="P31" s="1009">
        <v>45779.0</v>
      </c>
      <c r="Q31" s="1009">
        <v>45782.0</v>
      </c>
      <c r="R31" s="1009">
        <v>45782.0</v>
      </c>
      <c r="S31" s="1017"/>
      <c r="T31" s="514"/>
      <c r="U31" s="514"/>
      <c r="V31" s="514"/>
      <c r="W31" s="514"/>
      <c r="X31" s="514"/>
      <c r="Y31" s="514"/>
    </row>
    <row r="32">
      <c r="A32" s="1011">
        <v>30.0</v>
      </c>
      <c r="B32" s="1012" t="s">
        <v>277</v>
      </c>
      <c r="C32" s="1012" t="s">
        <v>278</v>
      </c>
      <c r="D32" s="1029" t="s">
        <v>599</v>
      </c>
      <c r="E32" s="1014" t="s">
        <v>410</v>
      </c>
      <c r="F32" s="1012" t="s">
        <v>282</v>
      </c>
      <c r="G32" s="1014" t="s">
        <v>408</v>
      </c>
      <c r="H32" s="1006" t="s">
        <v>1362</v>
      </c>
      <c r="I32" s="1015" t="s">
        <v>1337</v>
      </c>
      <c r="J32" s="1012" t="s">
        <v>1097</v>
      </c>
      <c r="K32" s="1003" t="str">
        <f t="array" ref="K32">if(isblank(D32),"",xlookup(D32,'FL5_POR_包裝對照表 (Mapping Table)'!E:E,'FL5_POR_包裝對照表 (Mapping Table)'!AN:AN,"",0,1))</f>
        <v>G950-15935-07</v>
      </c>
      <c r="L32" s="1012" t="s">
        <v>1614</v>
      </c>
      <c r="M32" s="1012" t="s">
        <v>1339</v>
      </c>
      <c r="N32" s="1016">
        <v>453.47</v>
      </c>
      <c r="O32" s="1016">
        <v>446.49</v>
      </c>
      <c r="P32" s="1009">
        <v>45779.0</v>
      </c>
      <c r="Q32" s="1009">
        <v>45782.0</v>
      </c>
      <c r="R32" s="1009">
        <v>45782.0</v>
      </c>
      <c r="S32" s="1017"/>
      <c r="T32" s="514"/>
      <c r="U32" s="514"/>
      <c r="V32" s="514"/>
      <c r="W32" s="514"/>
      <c r="X32" s="514"/>
      <c r="Y32" s="514"/>
    </row>
    <row r="33">
      <c r="A33" s="1002">
        <v>31.0</v>
      </c>
      <c r="B33" s="1012" t="s">
        <v>277</v>
      </c>
      <c r="C33" s="1012" t="s">
        <v>278</v>
      </c>
      <c r="D33" s="1031" t="s">
        <v>604</v>
      </c>
      <c r="E33" s="1014" t="s">
        <v>458</v>
      </c>
      <c r="F33" s="1012" t="s">
        <v>282</v>
      </c>
      <c r="G33" s="1014" t="s">
        <v>408</v>
      </c>
      <c r="H33" s="1006" t="s">
        <v>1362</v>
      </c>
      <c r="I33" s="1015" t="s">
        <v>1337</v>
      </c>
      <c r="J33" s="1012" t="s">
        <v>1087</v>
      </c>
      <c r="K33" s="1003" t="str">
        <f t="array" ref="K33">if(isblank(D33),"",xlookup(D33,'FL5_POR_包裝對照表 (Mapping Table)'!E:E,'FL5_POR_包裝對照表 (Mapping Table)'!AN:AN,"",0,1))</f>
        <v>G950-15935-04</v>
      </c>
      <c r="L33" s="1012" t="s">
        <v>1585</v>
      </c>
      <c r="M33" s="1012" t="s">
        <v>1367</v>
      </c>
      <c r="N33" s="1016">
        <v>453.07</v>
      </c>
      <c r="O33" s="1016">
        <v>446.09</v>
      </c>
      <c r="P33" s="1009">
        <v>45779.0</v>
      </c>
      <c r="Q33" s="1009">
        <v>45782.0</v>
      </c>
      <c r="R33" s="1009">
        <v>45782.0</v>
      </c>
      <c r="S33" s="1017"/>
      <c r="T33" s="514"/>
      <c r="U33" s="514"/>
      <c r="V33" s="514"/>
      <c r="W33" s="514"/>
      <c r="X33" s="514"/>
      <c r="Y33" s="514"/>
    </row>
    <row r="34">
      <c r="A34" s="1011">
        <v>32.0</v>
      </c>
      <c r="B34" s="1012" t="s">
        <v>277</v>
      </c>
      <c r="C34" s="1012" t="s">
        <v>278</v>
      </c>
      <c r="D34" s="1031" t="s">
        <v>609</v>
      </c>
      <c r="E34" s="1014" t="s">
        <v>470</v>
      </c>
      <c r="F34" s="1012" t="s">
        <v>282</v>
      </c>
      <c r="G34" s="1014" t="s">
        <v>408</v>
      </c>
      <c r="H34" s="1006" t="s">
        <v>1362</v>
      </c>
      <c r="I34" s="1015" t="s">
        <v>1337</v>
      </c>
      <c r="J34" s="1012" t="s">
        <v>1368</v>
      </c>
      <c r="K34" s="1003" t="str">
        <f t="array" ref="K34">if(isblank(D34),"",xlookup(D34,'FL5_POR_包裝對照表 (Mapping Table)'!E:E,'FL5_POR_包裝對照表 (Mapping Table)'!AN:AN,"",0,1))</f>
        <v>G950-15935-04</v>
      </c>
      <c r="L34" s="1012" t="s">
        <v>1585</v>
      </c>
      <c r="M34" s="1012" t="s">
        <v>1367</v>
      </c>
      <c r="N34" s="1016">
        <v>453.07</v>
      </c>
      <c r="O34" s="1016">
        <v>446.09</v>
      </c>
      <c r="P34" s="1009">
        <v>45779.0</v>
      </c>
      <c r="Q34" s="1009">
        <v>45782.0</v>
      </c>
      <c r="R34" s="1009">
        <v>45782.0</v>
      </c>
      <c r="S34" s="1017"/>
      <c r="T34" s="514"/>
      <c r="U34" s="514"/>
      <c r="V34" s="514"/>
      <c r="W34" s="514"/>
      <c r="X34" s="514"/>
      <c r="Y34" s="514"/>
    </row>
    <row r="35">
      <c r="A35" s="1002">
        <v>33.0</v>
      </c>
      <c r="B35" s="1012" t="s">
        <v>277</v>
      </c>
      <c r="C35" s="1012" t="s">
        <v>278</v>
      </c>
      <c r="D35" s="1013" t="s">
        <v>614</v>
      </c>
      <c r="E35" s="1014" t="s">
        <v>470</v>
      </c>
      <c r="F35" s="1012" t="s">
        <v>282</v>
      </c>
      <c r="G35" s="1014" t="s">
        <v>408</v>
      </c>
      <c r="H35" s="1006" t="s">
        <v>1362</v>
      </c>
      <c r="I35" s="1015" t="s">
        <v>1337</v>
      </c>
      <c r="J35" s="1012" t="s">
        <v>1368</v>
      </c>
      <c r="K35" s="1003" t="str">
        <f t="array" ref="K35">if(isblank(D35),"",xlookup(D35,'FL5_POR_包裝對照表 (Mapping Table)'!E:E,'FL5_POR_包裝對照表 (Mapping Table)'!AN:AN,"",0,1))</f>
        <v>G950-15935-05</v>
      </c>
      <c r="L35" s="1012" t="s">
        <v>1596</v>
      </c>
      <c r="M35" s="1012" t="s">
        <v>1594</v>
      </c>
      <c r="N35" s="1016">
        <v>453.37</v>
      </c>
      <c r="O35" s="1016">
        <v>446.39</v>
      </c>
      <c r="P35" s="1009">
        <v>45779.0</v>
      </c>
      <c r="Q35" s="1009">
        <v>45782.0</v>
      </c>
      <c r="R35" s="1009">
        <v>45782.0</v>
      </c>
      <c r="S35" s="1017"/>
      <c r="T35" s="514"/>
      <c r="U35" s="514"/>
      <c r="V35" s="514"/>
      <c r="W35" s="514"/>
      <c r="X35" s="514"/>
      <c r="Y35" s="514"/>
    </row>
    <row r="36">
      <c r="A36" s="1011">
        <v>34.0</v>
      </c>
      <c r="B36" s="1012" t="s">
        <v>277</v>
      </c>
      <c r="C36" s="1012" t="s">
        <v>278</v>
      </c>
      <c r="D36" s="1030" t="s">
        <v>619</v>
      </c>
      <c r="E36" s="1014" t="s">
        <v>470</v>
      </c>
      <c r="F36" s="1012" t="s">
        <v>282</v>
      </c>
      <c r="G36" s="1014" t="s">
        <v>408</v>
      </c>
      <c r="H36" s="1006" t="s">
        <v>1362</v>
      </c>
      <c r="I36" s="1015" t="s">
        <v>1337</v>
      </c>
      <c r="J36" s="1012" t="s">
        <v>1368</v>
      </c>
      <c r="K36" s="1003" t="str">
        <f t="array" ref="K36">if(isblank(D36),"",xlookup(D36,'FL5_POR_包裝對照表 (Mapping Table)'!E:E,'FL5_POR_包裝對照表 (Mapping Table)'!AN:AN,"",0,1))</f>
        <v>G950-15935-06</v>
      </c>
      <c r="L36" s="1012" t="s">
        <v>1606</v>
      </c>
      <c r="M36" s="1012" t="s">
        <v>1604</v>
      </c>
      <c r="N36" s="1016">
        <v>453.47</v>
      </c>
      <c r="O36" s="1016">
        <v>446.49</v>
      </c>
      <c r="P36" s="1009">
        <v>45779.0</v>
      </c>
      <c r="Q36" s="1009">
        <v>45782.0</v>
      </c>
      <c r="R36" s="1009">
        <v>45782.0</v>
      </c>
      <c r="S36" s="1017"/>
      <c r="T36" s="514"/>
      <c r="U36" s="514"/>
      <c r="V36" s="514"/>
      <c r="W36" s="514"/>
      <c r="X36" s="514"/>
      <c r="Y36" s="514"/>
    </row>
    <row r="37">
      <c r="A37" s="1002">
        <v>35.0</v>
      </c>
      <c r="B37" s="1012" t="s">
        <v>277</v>
      </c>
      <c r="C37" s="1012" t="s">
        <v>278</v>
      </c>
      <c r="D37" s="1029" t="s">
        <v>624</v>
      </c>
      <c r="E37" s="1014" t="s">
        <v>470</v>
      </c>
      <c r="F37" s="1012" t="s">
        <v>282</v>
      </c>
      <c r="G37" s="1014" t="s">
        <v>408</v>
      </c>
      <c r="H37" s="1006" t="s">
        <v>1362</v>
      </c>
      <c r="I37" s="1015" t="s">
        <v>1337</v>
      </c>
      <c r="J37" s="1012" t="s">
        <v>1368</v>
      </c>
      <c r="K37" s="1003" t="str">
        <f t="array" ref="K37">if(isblank(D37),"",xlookup(D37,'FL5_POR_包裝對照表 (Mapping Table)'!E:E,'FL5_POR_包裝對照表 (Mapping Table)'!AN:AN,"",0,1))</f>
        <v>G950-15935-07</v>
      </c>
      <c r="L37" s="1012" t="s">
        <v>1614</v>
      </c>
      <c r="M37" s="1012" t="s">
        <v>1339</v>
      </c>
      <c r="N37" s="1016">
        <v>453.47</v>
      </c>
      <c r="O37" s="1016">
        <v>446.49</v>
      </c>
      <c r="P37" s="1009">
        <v>45779.0</v>
      </c>
      <c r="Q37" s="1009">
        <v>45782.0</v>
      </c>
      <c r="R37" s="1009">
        <v>45782.0</v>
      </c>
      <c r="S37" s="1017"/>
      <c r="T37" s="514"/>
      <c r="U37" s="514"/>
      <c r="V37" s="514"/>
      <c r="W37" s="514"/>
      <c r="X37" s="514"/>
      <c r="Y37" s="514"/>
    </row>
    <row r="38">
      <c r="A38" s="1011">
        <v>36.0</v>
      </c>
      <c r="B38" s="1012" t="s">
        <v>277</v>
      </c>
      <c r="C38" s="1012" t="s">
        <v>278</v>
      </c>
      <c r="D38" s="1031" t="s">
        <v>629</v>
      </c>
      <c r="E38" s="1014" t="s">
        <v>492</v>
      </c>
      <c r="F38" s="1012" t="s">
        <v>282</v>
      </c>
      <c r="G38" s="1014" t="s">
        <v>408</v>
      </c>
      <c r="H38" s="1006" t="s">
        <v>1362</v>
      </c>
      <c r="I38" s="1032" t="s">
        <v>1397</v>
      </c>
      <c r="J38" s="1012" t="s">
        <v>1399</v>
      </c>
      <c r="K38" s="1003" t="str">
        <f t="array" ref="K38">if(isblank(D38),"",xlookup(D38,'FL5_POR_包裝對照表 (Mapping Table)'!E:E,'FL5_POR_包裝對照表 (Mapping Table)'!AN:AN,"",0,1))</f>
        <v>G950-15935-14</v>
      </c>
      <c r="L38" s="1012" t="s">
        <v>1585</v>
      </c>
      <c r="M38" s="1012" t="s">
        <v>1367</v>
      </c>
      <c r="N38" s="1016">
        <v>435.69</v>
      </c>
      <c r="O38" s="1016">
        <v>428.71</v>
      </c>
      <c r="P38" s="1009">
        <v>45779.0</v>
      </c>
      <c r="Q38" s="1009">
        <v>45782.0</v>
      </c>
      <c r="R38" s="1009">
        <v>45782.0</v>
      </c>
      <c r="S38" s="1017"/>
      <c r="T38" s="514"/>
      <c r="U38" s="514"/>
      <c r="V38" s="514"/>
      <c r="W38" s="514"/>
      <c r="X38" s="514"/>
      <c r="Y38" s="514"/>
    </row>
    <row r="39">
      <c r="A39" s="1002">
        <v>37.0</v>
      </c>
      <c r="B39" s="1012" t="s">
        <v>277</v>
      </c>
      <c r="C39" s="1012" t="s">
        <v>278</v>
      </c>
      <c r="D39" s="1013" t="s">
        <v>636</v>
      </c>
      <c r="E39" s="1014" t="s">
        <v>492</v>
      </c>
      <c r="F39" s="1012" t="s">
        <v>282</v>
      </c>
      <c r="G39" s="1014" t="s">
        <v>408</v>
      </c>
      <c r="H39" s="1006" t="s">
        <v>1362</v>
      </c>
      <c r="I39" s="1032" t="s">
        <v>1397</v>
      </c>
      <c r="J39" s="1012" t="s">
        <v>1399</v>
      </c>
      <c r="K39" s="1003" t="str">
        <f t="array" ref="K39">if(isblank(D39),"",xlookup(D39,'FL5_POR_包裝對照表 (Mapping Table)'!E:E,'FL5_POR_包裝對照表 (Mapping Table)'!AN:AN,"",0,1))</f>
        <v>G950-15935-15</v>
      </c>
      <c r="L39" s="1012" t="s">
        <v>1596</v>
      </c>
      <c r="M39" s="1012" t="s">
        <v>1594</v>
      </c>
      <c r="N39" s="1016">
        <v>435.99</v>
      </c>
      <c r="O39" s="1016">
        <v>429.01</v>
      </c>
      <c r="P39" s="1009">
        <v>45779.0</v>
      </c>
      <c r="Q39" s="1009">
        <v>45782.0</v>
      </c>
      <c r="R39" s="1009">
        <v>45782.0</v>
      </c>
      <c r="S39" s="1017"/>
      <c r="T39" s="514"/>
      <c r="U39" s="514"/>
      <c r="V39" s="514"/>
      <c r="W39" s="514"/>
      <c r="X39" s="514"/>
      <c r="Y39" s="514"/>
    </row>
    <row r="40">
      <c r="A40" s="1011">
        <v>38.0</v>
      </c>
      <c r="B40" s="1012" t="s">
        <v>277</v>
      </c>
      <c r="C40" s="1012" t="s">
        <v>278</v>
      </c>
      <c r="D40" s="1030" t="s">
        <v>643</v>
      </c>
      <c r="E40" s="1014" t="s">
        <v>492</v>
      </c>
      <c r="F40" s="1012" t="s">
        <v>282</v>
      </c>
      <c r="G40" s="1014" t="s">
        <v>408</v>
      </c>
      <c r="H40" s="1006" t="s">
        <v>1362</v>
      </c>
      <c r="I40" s="1032" t="s">
        <v>1397</v>
      </c>
      <c r="J40" s="1012" t="s">
        <v>1399</v>
      </c>
      <c r="K40" s="1003" t="str">
        <f t="array" ref="K40">if(isblank(D40),"",xlookup(D40,'FL5_POR_包裝對照表 (Mapping Table)'!E:E,'FL5_POR_包裝對照表 (Mapping Table)'!AN:AN,"",0,1))</f>
        <v>G950-15935-16</v>
      </c>
      <c r="L40" s="1012" t="s">
        <v>1606</v>
      </c>
      <c r="M40" s="1012" t="s">
        <v>1604</v>
      </c>
      <c r="N40" s="1016">
        <v>436.09</v>
      </c>
      <c r="O40" s="1016">
        <v>429.11</v>
      </c>
      <c r="P40" s="1009">
        <v>45779.0</v>
      </c>
      <c r="Q40" s="1009">
        <v>45782.0</v>
      </c>
      <c r="R40" s="1009">
        <v>45782.0</v>
      </c>
      <c r="S40" s="1017"/>
      <c r="T40" s="514"/>
      <c r="U40" s="514"/>
      <c r="V40" s="514"/>
      <c r="W40" s="514"/>
      <c r="X40" s="514"/>
      <c r="Y40" s="514"/>
    </row>
    <row r="41">
      <c r="A41" s="1002">
        <v>39.0</v>
      </c>
      <c r="B41" s="1012" t="s">
        <v>277</v>
      </c>
      <c r="C41" s="1012" t="s">
        <v>278</v>
      </c>
      <c r="D41" s="1029" t="s">
        <v>650</v>
      </c>
      <c r="E41" s="1014" t="s">
        <v>492</v>
      </c>
      <c r="F41" s="1012" t="s">
        <v>282</v>
      </c>
      <c r="G41" s="1014" t="s">
        <v>408</v>
      </c>
      <c r="H41" s="1006" t="s">
        <v>1362</v>
      </c>
      <c r="I41" s="1032" t="s">
        <v>1397</v>
      </c>
      <c r="J41" s="1012" t="s">
        <v>1399</v>
      </c>
      <c r="K41" s="1003" t="str">
        <f t="array" ref="K41">if(isblank(D41),"",xlookup(D41,'FL5_POR_包裝對照表 (Mapping Table)'!E:E,'FL5_POR_包裝對照表 (Mapping Table)'!AN:AN,"",0,1))</f>
        <v>G950-15935-17</v>
      </c>
      <c r="L41" s="1012" t="s">
        <v>1614</v>
      </c>
      <c r="M41" s="1012" t="s">
        <v>1339</v>
      </c>
      <c r="N41" s="1016">
        <v>436.09</v>
      </c>
      <c r="O41" s="1016">
        <v>429.11</v>
      </c>
      <c r="P41" s="1009">
        <v>45779.0</v>
      </c>
      <c r="Q41" s="1009">
        <v>45782.0</v>
      </c>
      <c r="R41" s="1009">
        <v>45782.0</v>
      </c>
      <c r="S41" s="1017"/>
      <c r="T41" s="514"/>
      <c r="U41" s="514"/>
      <c r="V41" s="514"/>
      <c r="W41" s="514"/>
      <c r="X41" s="514"/>
      <c r="Y41" s="514"/>
    </row>
    <row r="42">
      <c r="A42" s="1027">
        <v>40.0</v>
      </c>
      <c r="B42" s="1019" t="s">
        <v>277</v>
      </c>
      <c r="C42" s="1019" t="s">
        <v>2043</v>
      </c>
      <c r="D42" s="1028" t="s">
        <v>657</v>
      </c>
      <c r="E42" s="1021" t="s">
        <v>527</v>
      </c>
      <c r="F42" s="1019" t="s">
        <v>282</v>
      </c>
      <c r="G42" s="1021" t="s">
        <v>408</v>
      </c>
      <c r="H42" s="1019" t="s">
        <v>1362</v>
      </c>
      <c r="I42" s="1021" t="s">
        <v>1397</v>
      </c>
      <c r="J42" s="1019" t="s">
        <v>1399</v>
      </c>
      <c r="K42" s="1022" t="str">
        <f t="array" ref="K42">if(isblank(D42),"",xlookup(D42,'FL5_POR_包裝對照表 (Mapping Table)'!E:E,'FL5_POR_包裝對照表 (Mapping Table)'!AN:AN,"",0,1))</f>
        <v>G950-15935-14</v>
      </c>
      <c r="L42" s="1019" t="s">
        <v>1585</v>
      </c>
      <c r="M42" s="1019" t="s">
        <v>1367</v>
      </c>
      <c r="N42" s="1023">
        <v>450.55</v>
      </c>
      <c r="O42" s="1024">
        <v>429.22</v>
      </c>
      <c r="P42" s="1025">
        <v>45765.0</v>
      </c>
      <c r="Q42" s="1025">
        <v>45771.0</v>
      </c>
      <c r="R42" s="1025">
        <v>45777.0</v>
      </c>
      <c r="S42" s="1026"/>
      <c r="T42" s="514"/>
      <c r="U42" s="514"/>
      <c r="V42" s="514"/>
      <c r="W42" s="514"/>
      <c r="X42" s="514"/>
      <c r="Y42" s="514"/>
    </row>
    <row r="43">
      <c r="A43" s="1018">
        <v>41.0</v>
      </c>
      <c r="B43" s="1019" t="s">
        <v>277</v>
      </c>
      <c r="C43" s="1019" t="s">
        <v>2043</v>
      </c>
      <c r="D43" s="1020" t="s">
        <v>663</v>
      </c>
      <c r="E43" s="1021" t="s">
        <v>527</v>
      </c>
      <c r="F43" s="1019" t="s">
        <v>282</v>
      </c>
      <c r="G43" s="1021" t="s">
        <v>408</v>
      </c>
      <c r="H43" s="1019" t="s">
        <v>1362</v>
      </c>
      <c r="I43" s="1021" t="s">
        <v>1397</v>
      </c>
      <c r="J43" s="1019" t="s">
        <v>1399</v>
      </c>
      <c r="K43" s="1022" t="str">
        <f t="array" ref="K43">if(isblank(D43),"",xlookup(D43,'FL5_POR_包裝對照表 (Mapping Table)'!E:E,'FL5_POR_包裝對照表 (Mapping Table)'!AN:AN,"",0,1))</f>
        <v>G950-15935-15</v>
      </c>
      <c r="L43" s="1019" t="s">
        <v>1596</v>
      </c>
      <c r="M43" s="1019" t="s">
        <v>1594</v>
      </c>
      <c r="N43" s="1023">
        <v>447.91</v>
      </c>
      <c r="O43" s="1024">
        <v>429.52</v>
      </c>
      <c r="P43" s="1025">
        <v>45765.0</v>
      </c>
      <c r="Q43" s="1025">
        <v>45771.0</v>
      </c>
      <c r="R43" s="1025">
        <v>45778.0</v>
      </c>
      <c r="S43" s="1026"/>
      <c r="T43" s="514"/>
      <c r="U43" s="514"/>
      <c r="V43" s="514"/>
      <c r="W43" s="514"/>
      <c r="X43" s="514"/>
      <c r="Y43" s="514"/>
    </row>
    <row r="44">
      <c r="A44" s="1011">
        <v>42.0</v>
      </c>
      <c r="B44" s="1012" t="s">
        <v>277</v>
      </c>
      <c r="C44" s="1012" t="s">
        <v>278</v>
      </c>
      <c r="D44" s="1030" t="s">
        <v>669</v>
      </c>
      <c r="E44" s="1014" t="s">
        <v>527</v>
      </c>
      <c r="F44" s="1012" t="s">
        <v>282</v>
      </c>
      <c r="G44" s="1014" t="s">
        <v>408</v>
      </c>
      <c r="H44" s="1006" t="s">
        <v>1362</v>
      </c>
      <c r="I44" s="1032" t="s">
        <v>1397</v>
      </c>
      <c r="J44" s="1012" t="s">
        <v>1399</v>
      </c>
      <c r="K44" s="1003" t="str">
        <f t="array" ref="K44">if(isblank(D44),"",xlookup(D44,'FL5_POR_包裝對照表 (Mapping Table)'!E:E,'FL5_POR_包裝對照表 (Mapping Table)'!AN:AN,"",0,1))</f>
        <v>G950-15935-16</v>
      </c>
      <c r="L44" s="1012" t="s">
        <v>1606</v>
      </c>
      <c r="M44" s="1012" t="s">
        <v>1604</v>
      </c>
      <c r="N44" s="1016">
        <v>436.6</v>
      </c>
      <c r="O44" s="1016">
        <v>429.62</v>
      </c>
      <c r="P44" s="1009">
        <v>45779.0</v>
      </c>
      <c r="Q44" s="1009">
        <v>45782.0</v>
      </c>
      <c r="R44" s="1009">
        <v>45782.0</v>
      </c>
      <c r="S44" s="1017"/>
      <c r="T44" s="514"/>
      <c r="U44" s="514"/>
      <c r="V44" s="514"/>
      <c r="W44" s="514"/>
      <c r="X44" s="514"/>
      <c r="Y44" s="514"/>
    </row>
    <row r="45">
      <c r="A45" s="1002">
        <v>43.0</v>
      </c>
      <c r="B45" s="1012" t="s">
        <v>277</v>
      </c>
      <c r="C45" s="1012" t="s">
        <v>278</v>
      </c>
      <c r="D45" s="1029" t="s">
        <v>675</v>
      </c>
      <c r="E45" s="1014" t="s">
        <v>527</v>
      </c>
      <c r="F45" s="1012" t="s">
        <v>282</v>
      </c>
      <c r="G45" s="1014" t="s">
        <v>408</v>
      </c>
      <c r="H45" s="1006" t="s">
        <v>1362</v>
      </c>
      <c r="I45" s="1032" t="s">
        <v>1397</v>
      </c>
      <c r="J45" s="1012" t="s">
        <v>1399</v>
      </c>
      <c r="K45" s="1003" t="str">
        <f t="array" ref="K45">if(isblank(D45),"",xlookup(D45,'FL5_POR_包裝對照表 (Mapping Table)'!E:E,'FL5_POR_包裝對照表 (Mapping Table)'!AN:AN,"",0,1))</f>
        <v>G950-15935-17</v>
      </c>
      <c r="L45" s="1012" t="s">
        <v>1614</v>
      </c>
      <c r="M45" s="1012" t="s">
        <v>1339</v>
      </c>
      <c r="N45" s="1016">
        <v>436.6</v>
      </c>
      <c r="O45" s="1016">
        <v>429.62</v>
      </c>
      <c r="P45" s="1009">
        <v>45779.0</v>
      </c>
      <c r="Q45" s="1009">
        <v>45782.0</v>
      </c>
      <c r="R45" s="1009">
        <v>45782.0</v>
      </c>
      <c r="S45" s="1017"/>
      <c r="T45" s="514"/>
      <c r="U45" s="514"/>
      <c r="V45" s="514"/>
      <c r="W45" s="514"/>
      <c r="X45" s="514"/>
      <c r="Y45" s="514"/>
    </row>
    <row r="46">
      <c r="A46" s="1027">
        <v>44.0</v>
      </c>
      <c r="B46" s="1019" t="s">
        <v>277</v>
      </c>
      <c r="C46" s="1019" t="s">
        <v>2043</v>
      </c>
      <c r="D46" s="1028" t="s">
        <v>681</v>
      </c>
      <c r="E46" s="1021" t="s">
        <v>583</v>
      </c>
      <c r="F46" s="1019" t="s">
        <v>282</v>
      </c>
      <c r="G46" s="1021" t="s">
        <v>408</v>
      </c>
      <c r="H46" s="1019" t="s">
        <v>1362</v>
      </c>
      <c r="I46" s="1021" t="s">
        <v>1397</v>
      </c>
      <c r="J46" s="1019" t="s">
        <v>1399</v>
      </c>
      <c r="K46" s="1022" t="str">
        <f t="array" ref="K46">if(isblank(D46),"",xlookup(D46,'FL5_POR_包裝對照表 (Mapping Table)'!E:E,'FL5_POR_包裝對照表 (Mapping Table)'!AN:AN,"",0,1))</f>
        <v>G950-15935-14</v>
      </c>
      <c r="L46" s="1019" t="s">
        <v>1585</v>
      </c>
      <c r="M46" s="1019" t="s">
        <v>1367</v>
      </c>
      <c r="N46" s="1023">
        <v>450.04</v>
      </c>
      <c r="O46" s="1024">
        <v>428.7</v>
      </c>
      <c r="P46" s="1025">
        <v>45765.0</v>
      </c>
      <c r="Q46" s="1025">
        <v>45771.0</v>
      </c>
      <c r="R46" s="1025">
        <v>45779.0</v>
      </c>
      <c r="S46" s="1026"/>
      <c r="T46" s="514"/>
      <c r="U46" s="514"/>
      <c r="V46" s="514"/>
      <c r="W46" s="514"/>
      <c r="X46" s="514"/>
      <c r="Y46" s="514"/>
    </row>
    <row r="47">
      <c r="A47" s="1002">
        <v>45.0</v>
      </c>
      <c r="B47" s="1012" t="s">
        <v>277</v>
      </c>
      <c r="C47" s="1012" t="s">
        <v>278</v>
      </c>
      <c r="D47" s="1013" t="s">
        <v>687</v>
      </c>
      <c r="E47" s="1014" t="s">
        <v>583</v>
      </c>
      <c r="F47" s="1012" t="s">
        <v>282</v>
      </c>
      <c r="G47" s="1014" t="s">
        <v>408</v>
      </c>
      <c r="H47" s="1006" t="s">
        <v>1362</v>
      </c>
      <c r="I47" s="1032" t="s">
        <v>1397</v>
      </c>
      <c r="J47" s="1012" t="s">
        <v>1399</v>
      </c>
      <c r="K47" s="1003" t="str">
        <f t="array" ref="K47">if(isblank(D47),"",xlookup(D47,'FL5_POR_包裝對照表 (Mapping Table)'!E:E,'FL5_POR_包裝對照表 (Mapping Table)'!AN:AN,"",0,1))</f>
        <v>G950-15935-15</v>
      </c>
      <c r="L47" s="1012" t="s">
        <v>1596</v>
      </c>
      <c r="M47" s="1012" t="s">
        <v>1594</v>
      </c>
      <c r="N47" s="1016">
        <v>435.98</v>
      </c>
      <c r="O47" s="1016">
        <v>429.0</v>
      </c>
      <c r="P47" s="1009">
        <v>45779.0</v>
      </c>
      <c r="Q47" s="1009">
        <v>45782.0</v>
      </c>
      <c r="R47" s="1009">
        <v>45782.0</v>
      </c>
      <c r="S47" s="1017"/>
      <c r="T47" s="514"/>
      <c r="U47" s="514"/>
      <c r="V47" s="514"/>
      <c r="W47" s="514"/>
      <c r="X47" s="514"/>
      <c r="Y47" s="514"/>
    </row>
    <row r="48">
      <c r="A48" s="1027">
        <v>46.0</v>
      </c>
      <c r="B48" s="1019" t="s">
        <v>277</v>
      </c>
      <c r="C48" s="1019" t="s">
        <v>2043</v>
      </c>
      <c r="D48" s="1020" t="s">
        <v>693</v>
      </c>
      <c r="E48" s="1021" t="s">
        <v>583</v>
      </c>
      <c r="F48" s="1019" t="s">
        <v>282</v>
      </c>
      <c r="G48" s="1021" t="s">
        <v>408</v>
      </c>
      <c r="H48" s="1019" t="s">
        <v>1362</v>
      </c>
      <c r="I48" s="1021" t="s">
        <v>1397</v>
      </c>
      <c r="J48" s="1019" t="s">
        <v>1399</v>
      </c>
      <c r="K48" s="1022" t="str">
        <f t="array" ref="K48">if(isblank(D48),"",xlookup(D48,'FL5_POR_包裝對照表 (Mapping Table)'!E:E,'FL5_POR_包裝對照表 (Mapping Table)'!AN:AN,"",0,1))</f>
        <v>G950-15935-16</v>
      </c>
      <c r="L48" s="1019" t="s">
        <v>1606</v>
      </c>
      <c r="M48" s="1019" t="s">
        <v>1604</v>
      </c>
      <c r="N48" s="1023">
        <v>451.09</v>
      </c>
      <c r="O48" s="1024">
        <v>429.1</v>
      </c>
      <c r="P48" s="1025">
        <v>45765.0</v>
      </c>
      <c r="Q48" s="1025">
        <v>45771.0</v>
      </c>
      <c r="R48" s="1025">
        <v>45780.0</v>
      </c>
      <c r="S48" s="1026"/>
      <c r="T48" s="514"/>
      <c r="U48" s="514"/>
      <c r="V48" s="514"/>
      <c r="W48" s="514"/>
      <c r="X48" s="514"/>
      <c r="Y48" s="514"/>
    </row>
    <row r="49">
      <c r="A49" s="1002">
        <v>47.0</v>
      </c>
      <c r="B49" s="1012" t="s">
        <v>277</v>
      </c>
      <c r="C49" s="1012" t="s">
        <v>278</v>
      </c>
      <c r="D49" s="1029" t="s">
        <v>699</v>
      </c>
      <c r="E49" s="1014" t="s">
        <v>583</v>
      </c>
      <c r="F49" s="1012" t="s">
        <v>282</v>
      </c>
      <c r="G49" s="1014" t="s">
        <v>408</v>
      </c>
      <c r="H49" s="1006" t="s">
        <v>1362</v>
      </c>
      <c r="I49" s="1032" t="s">
        <v>1397</v>
      </c>
      <c r="J49" s="1012" t="s">
        <v>1399</v>
      </c>
      <c r="K49" s="1003" t="str">
        <f t="array" ref="K49">if(isblank(D49),"",xlookup(D49,'FL5_POR_包裝對照表 (Mapping Table)'!E:E,'FL5_POR_包裝對照表 (Mapping Table)'!AN:AN,"",0,1))</f>
        <v>G950-15935-17</v>
      </c>
      <c r="L49" s="1012" t="s">
        <v>1614</v>
      </c>
      <c r="M49" s="1012" t="s">
        <v>1339</v>
      </c>
      <c r="N49" s="1016">
        <v>436.08</v>
      </c>
      <c r="O49" s="1016">
        <v>429.1</v>
      </c>
      <c r="P49" s="1009">
        <v>45779.0</v>
      </c>
      <c r="Q49" s="1009">
        <v>45782.0</v>
      </c>
      <c r="R49" s="1009">
        <v>45782.0</v>
      </c>
      <c r="S49" s="1017"/>
      <c r="T49" s="514"/>
      <c r="U49" s="514"/>
      <c r="V49" s="514"/>
      <c r="W49" s="514"/>
      <c r="X49" s="514"/>
      <c r="Y49" s="514"/>
    </row>
    <row r="50">
      <c r="A50" s="1011">
        <v>48.0</v>
      </c>
      <c r="B50" s="1012" t="s">
        <v>277</v>
      </c>
      <c r="C50" s="1012" t="s">
        <v>278</v>
      </c>
      <c r="D50" s="1031" t="s">
        <v>705</v>
      </c>
      <c r="E50" s="1014" t="s">
        <v>554</v>
      </c>
      <c r="F50" s="1012" t="s">
        <v>282</v>
      </c>
      <c r="G50" s="1014" t="s">
        <v>408</v>
      </c>
      <c r="H50" s="1006" t="s">
        <v>1362</v>
      </c>
      <c r="I50" s="1043" t="s">
        <v>1385</v>
      </c>
      <c r="J50" s="1012" t="s">
        <v>1385</v>
      </c>
      <c r="K50" s="1003" t="str">
        <f t="array" ref="K50">if(isblank(D50),"",xlookup(D50,'FL5_POR_包裝對照表 (Mapping Table)'!E:E,'FL5_POR_包裝對照表 (Mapping Table)'!AN:AN,"",0,1))</f>
        <v>G950-15935-14</v>
      </c>
      <c r="L50" s="1012" t="s">
        <v>1585</v>
      </c>
      <c r="M50" s="1012" t="s">
        <v>1367</v>
      </c>
      <c r="N50" s="1016">
        <v>435.67</v>
      </c>
      <c r="O50" s="1016">
        <v>428.69</v>
      </c>
      <c r="P50" s="1009">
        <v>45779.0</v>
      </c>
      <c r="Q50" s="1009">
        <v>45782.0</v>
      </c>
      <c r="R50" s="1009">
        <v>45782.0</v>
      </c>
      <c r="S50" s="1017"/>
      <c r="T50" s="514"/>
      <c r="U50" s="514"/>
      <c r="V50" s="514"/>
      <c r="W50" s="514"/>
      <c r="X50" s="514"/>
      <c r="Y50" s="514"/>
    </row>
    <row r="51">
      <c r="A51" s="1002">
        <v>49.0</v>
      </c>
      <c r="B51" s="1012" t="s">
        <v>277</v>
      </c>
      <c r="C51" s="1012" t="s">
        <v>278</v>
      </c>
      <c r="D51" s="1013" t="s">
        <v>711</v>
      </c>
      <c r="E51" s="1014" t="s">
        <v>554</v>
      </c>
      <c r="F51" s="1012" t="s">
        <v>282</v>
      </c>
      <c r="G51" s="1014" t="s">
        <v>408</v>
      </c>
      <c r="H51" s="1006" t="s">
        <v>1362</v>
      </c>
      <c r="I51" s="1043" t="s">
        <v>1385</v>
      </c>
      <c r="J51" s="1012" t="s">
        <v>1385</v>
      </c>
      <c r="K51" s="1003" t="str">
        <f t="array" ref="K51">if(isblank(D51),"",xlookup(D51,'FL5_POR_包裝對照表 (Mapping Table)'!E:E,'FL5_POR_包裝對照表 (Mapping Table)'!AN:AN,"",0,1))</f>
        <v>G950-15935-15</v>
      </c>
      <c r="L51" s="1012" t="s">
        <v>1596</v>
      </c>
      <c r="M51" s="1012" t="s">
        <v>1594</v>
      </c>
      <c r="N51" s="1016">
        <v>435.97</v>
      </c>
      <c r="O51" s="1016">
        <v>428.99</v>
      </c>
      <c r="P51" s="1009">
        <v>45779.0</v>
      </c>
      <c r="Q51" s="1009">
        <v>45782.0</v>
      </c>
      <c r="R51" s="1009">
        <v>45782.0</v>
      </c>
      <c r="S51" s="1017"/>
      <c r="T51" s="514"/>
      <c r="U51" s="514"/>
      <c r="V51" s="514"/>
      <c r="W51" s="514"/>
      <c r="X51" s="514"/>
      <c r="Y51" s="514"/>
    </row>
    <row r="52">
      <c r="A52" s="1011">
        <v>50.0</v>
      </c>
      <c r="B52" s="1012" t="s">
        <v>277</v>
      </c>
      <c r="C52" s="1012" t="s">
        <v>278</v>
      </c>
      <c r="D52" s="1030" t="s">
        <v>717</v>
      </c>
      <c r="E52" s="1014" t="s">
        <v>554</v>
      </c>
      <c r="F52" s="1012" t="s">
        <v>282</v>
      </c>
      <c r="G52" s="1014" t="s">
        <v>408</v>
      </c>
      <c r="H52" s="1006" t="s">
        <v>1362</v>
      </c>
      <c r="I52" s="1043" t="s">
        <v>1385</v>
      </c>
      <c r="J52" s="1012" t="s">
        <v>1385</v>
      </c>
      <c r="K52" s="1003" t="str">
        <f t="array" ref="K52">if(isblank(D52),"",xlookup(D52,'FL5_POR_包裝對照表 (Mapping Table)'!E:E,'FL5_POR_包裝對照表 (Mapping Table)'!AN:AN,"",0,1))</f>
        <v>G950-15935-16</v>
      </c>
      <c r="L52" s="1012" t="s">
        <v>1606</v>
      </c>
      <c r="M52" s="1012" t="s">
        <v>1604</v>
      </c>
      <c r="N52" s="1016">
        <v>436.07</v>
      </c>
      <c r="O52" s="1016">
        <v>429.09</v>
      </c>
      <c r="P52" s="1009">
        <v>45779.0</v>
      </c>
      <c r="Q52" s="1009">
        <v>45782.0</v>
      </c>
      <c r="R52" s="1009">
        <v>45782.0</v>
      </c>
      <c r="S52" s="1017"/>
      <c r="T52" s="514"/>
      <c r="U52" s="514"/>
      <c r="V52" s="514"/>
      <c r="W52" s="514"/>
      <c r="X52" s="514"/>
      <c r="Y52" s="514"/>
    </row>
    <row r="53">
      <c r="A53" s="1002">
        <v>51.0</v>
      </c>
      <c r="B53" s="1012" t="s">
        <v>277</v>
      </c>
      <c r="C53" s="1012" t="s">
        <v>278</v>
      </c>
      <c r="D53" s="1029" t="s">
        <v>723</v>
      </c>
      <c r="E53" s="1014" t="s">
        <v>554</v>
      </c>
      <c r="F53" s="1012" t="s">
        <v>282</v>
      </c>
      <c r="G53" s="1014" t="s">
        <v>408</v>
      </c>
      <c r="H53" s="1006" t="s">
        <v>1362</v>
      </c>
      <c r="I53" s="1043" t="s">
        <v>1385</v>
      </c>
      <c r="J53" s="1012" t="s">
        <v>1385</v>
      </c>
      <c r="K53" s="1003" t="str">
        <f t="array" ref="K53">if(isblank(D53),"",xlookup(D53,'FL5_POR_包裝對照表 (Mapping Table)'!E:E,'FL5_POR_包裝對照表 (Mapping Table)'!AN:AN,"",0,1))</f>
        <v>G950-15935-17</v>
      </c>
      <c r="L53" s="1012" t="s">
        <v>1614</v>
      </c>
      <c r="M53" s="1012" t="s">
        <v>1339</v>
      </c>
      <c r="N53" s="1016">
        <v>436.07</v>
      </c>
      <c r="O53" s="1016">
        <v>429.09</v>
      </c>
      <c r="P53" s="1009">
        <v>45779.0</v>
      </c>
      <c r="Q53" s="1009">
        <v>45782.0</v>
      </c>
      <c r="R53" s="1009">
        <v>45782.0</v>
      </c>
      <c r="S53" s="1017"/>
      <c r="T53" s="514"/>
      <c r="U53" s="514"/>
      <c r="V53" s="514"/>
      <c r="W53" s="514"/>
      <c r="X53" s="514"/>
      <c r="Y53" s="514"/>
    </row>
    <row r="54">
      <c r="A54" s="1011">
        <v>52.0</v>
      </c>
      <c r="B54" s="1012" t="s">
        <v>277</v>
      </c>
      <c r="C54" s="1012" t="s">
        <v>278</v>
      </c>
      <c r="D54" s="1031" t="s">
        <v>729</v>
      </c>
      <c r="E54" s="1014" t="s">
        <v>410</v>
      </c>
      <c r="F54" s="1012" t="s">
        <v>286</v>
      </c>
      <c r="G54" s="1014" t="s">
        <v>408</v>
      </c>
      <c r="H54" s="1006" t="s">
        <v>1362</v>
      </c>
      <c r="I54" s="1015" t="s">
        <v>1337</v>
      </c>
      <c r="J54" s="1012" t="s">
        <v>1097</v>
      </c>
      <c r="K54" s="1003" t="str">
        <f t="array" ref="K54">if(isblank(D54),"",xlookup(D54,'FL5_POR_包裝對照表 (Mapping Table)'!E:E,'FL5_POR_包裝對照表 (Mapping Table)'!AN:AN,"",0,1))</f>
        <v>G950-15935-00</v>
      </c>
      <c r="L54" s="1012" t="s">
        <v>1585</v>
      </c>
      <c r="M54" s="1012" t="s">
        <v>1367</v>
      </c>
      <c r="N54" s="1016">
        <v>447.07</v>
      </c>
      <c r="O54" s="1016">
        <v>440.09</v>
      </c>
      <c r="P54" s="1009">
        <v>45779.0</v>
      </c>
      <c r="Q54" s="1009">
        <v>45782.0</v>
      </c>
      <c r="R54" s="1009">
        <v>45782.0</v>
      </c>
      <c r="S54" s="1017"/>
      <c r="T54" s="514"/>
      <c r="U54" s="514"/>
      <c r="V54" s="514"/>
      <c r="W54" s="514"/>
      <c r="X54" s="514"/>
      <c r="Y54" s="514"/>
    </row>
    <row r="55">
      <c r="A55" s="1002">
        <v>53.0</v>
      </c>
      <c r="B55" s="1012" t="s">
        <v>277</v>
      </c>
      <c r="C55" s="1012" t="s">
        <v>278</v>
      </c>
      <c r="D55" s="1013" t="s">
        <v>734</v>
      </c>
      <c r="E55" s="1014" t="s">
        <v>410</v>
      </c>
      <c r="F55" s="1012" t="s">
        <v>286</v>
      </c>
      <c r="G55" s="1014" t="s">
        <v>408</v>
      </c>
      <c r="H55" s="1006" t="s">
        <v>1362</v>
      </c>
      <c r="I55" s="1015" t="s">
        <v>1337</v>
      </c>
      <c r="J55" s="1012" t="s">
        <v>1097</v>
      </c>
      <c r="K55" s="1003" t="str">
        <f t="array" ref="K55">if(isblank(D55),"",xlookup(D55,'FL5_POR_包裝對照表 (Mapping Table)'!E:E,'FL5_POR_包裝對照表 (Mapping Table)'!AN:AN,"",0,1))</f>
        <v>G950-15935-01</v>
      </c>
      <c r="L55" s="1012" t="s">
        <v>1596</v>
      </c>
      <c r="M55" s="1012" t="s">
        <v>1594</v>
      </c>
      <c r="N55" s="1016">
        <v>447.37</v>
      </c>
      <c r="O55" s="1016">
        <v>440.39</v>
      </c>
      <c r="P55" s="1009">
        <v>45779.0</v>
      </c>
      <c r="Q55" s="1009">
        <v>45782.0</v>
      </c>
      <c r="R55" s="1009">
        <v>45782.0</v>
      </c>
      <c r="S55" s="1017"/>
      <c r="T55" s="514"/>
      <c r="U55" s="514"/>
      <c r="V55" s="514"/>
      <c r="W55" s="514"/>
      <c r="X55" s="514"/>
      <c r="Y55" s="514"/>
    </row>
    <row r="56">
      <c r="A56" s="1011">
        <v>54.0</v>
      </c>
      <c r="B56" s="1012" t="s">
        <v>277</v>
      </c>
      <c r="C56" s="1012" t="s">
        <v>278</v>
      </c>
      <c r="D56" s="1030" t="s">
        <v>739</v>
      </c>
      <c r="E56" s="1014" t="s">
        <v>410</v>
      </c>
      <c r="F56" s="1012" t="s">
        <v>286</v>
      </c>
      <c r="G56" s="1014" t="s">
        <v>408</v>
      </c>
      <c r="H56" s="1006" t="s">
        <v>1362</v>
      </c>
      <c r="I56" s="1015" t="s">
        <v>1337</v>
      </c>
      <c r="J56" s="1012" t="s">
        <v>1097</v>
      </c>
      <c r="K56" s="1003" t="str">
        <f t="array" ref="K56">if(isblank(D56),"",xlookup(D56,'FL5_POR_包裝對照表 (Mapping Table)'!E:E,'FL5_POR_包裝對照表 (Mapping Table)'!AN:AN,"",0,1))</f>
        <v>G950-15935-02</v>
      </c>
      <c r="L56" s="1012" t="s">
        <v>1606</v>
      </c>
      <c r="M56" s="1012" t="s">
        <v>1604</v>
      </c>
      <c r="N56" s="1016">
        <v>447.47</v>
      </c>
      <c r="O56" s="1016">
        <v>440.49</v>
      </c>
      <c r="P56" s="1009">
        <v>45779.0</v>
      </c>
      <c r="Q56" s="1009">
        <v>45782.0</v>
      </c>
      <c r="R56" s="1009">
        <v>45782.0</v>
      </c>
      <c r="S56" s="1017"/>
      <c r="T56" s="514"/>
      <c r="U56" s="514"/>
      <c r="V56" s="514"/>
      <c r="W56" s="514"/>
      <c r="X56" s="514"/>
      <c r="Y56" s="514"/>
    </row>
    <row r="57">
      <c r="A57" s="1002">
        <v>55.0</v>
      </c>
      <c r="B57" s="1012" t="s">
        <v>277</v>
      </c>
      <c r="C57" s="1012" t="s">
        <v>278</v>
      </c>
      <c r="D57" s="1029" t="s">
        <v>744</v>
      </c>
      <c r="E57" s="1014" t="s">
        <v>410</v>
      </c>
      <c r="F57" s="1012" t="s">
        <v>286</v>
      </c>
      <c r="G57" s="1014" t="s">
        <v>408</v>
      </c>
      <c r="H57" s="1006" t="s">
        <v>1362</v>
      </c>
      <c r="I57" s="1015" t="s">
        <v>1337</v>
      </c>
      <c r="J57" s="1012" t="s">
        <v>1097</v>
      </c>
      <c r="K57" s="1003" t="str">
        <f t="array" ref="K57">if(isblank(D57),"",xlookup(D57,'FL5_POR_包裝對照表 (Mapping Table)'!E:E,'FL5_POR_包裝對照表 (Mapping Table)'!AN:AN,"",0,1))</f>
        <v>G950-15935-03</v>
      </c>
      <c r="L57" s="1012" t="s">
        <v>1614</v>
      </c>
      <c r="M57" s="1012" t="s">
        <v>1339</v>
      </c>
      <c r="N57" s="1016">
        <v>447.47</v>
      </c>
      <c r="O57" s="1016">
        <v>440.49</v>
      </c>
      <c r="P57" s="1009">
        <v>45779.0</v>
      </c>
      <c r="Q57" s="1009">
        <v>45782.0</v>
      </c>
      <c r="R57" s="1009">
        <v>45782.0</v>
      </c>
      <c r="S57" s="1017"/>
      <c r="T57" s="514"/>
      <c r="U57" s="514"/>
      <c r="V57" s="514"/>
      <c r="W57" s="514"/>
      <c r="X57" s="514"/>
      <c r="Y57" s="514"/>
    </row>
    <row r="58">
      <c r="A58" s="1011">
        <v>56.0</v>
      </c>
      <c r="B58" s="1012" t="s">
        <v>277</v>
      </c>
      <c r="C58" s="1012" t="s">
        <v>278</v>
      </c>
      <c r="D58" s="1029" t="s">
        <v>749</v>
      </c>
      <c r="E58" s="1014" t="s">
        <v>458</v>
      </c>
      <c r="F58" s="1012" t="s">
        <v>286</v>
      </c>
      <c r="G58" s="1014" t="s">
        <v>408</v>
      </c>
      <c r="H58" s="1006" t="s">
        <v>1362</v>
      </c>
      <c r="I58" s="1015" t="s">
        <v>1337</v>
      </c>
      <c r="J58" s="1012" t="s">
        <v>1087</v>
      </c>
      <c r="K58" s="1003" t="str">
        <f t="array" ref="K58">if(isblank(D58),"",xlookup(D58,'FL5_POR_包裝對照表 (Mapping Table)'!E:E,'FL5_POR_包裝對照表 (Mapping Table)'!AN:AN,"",0,1))</f>
        <v>G950-15935-03</v>
      </c>
      <c r="L58" s="1012" t="s">
        <v>1614</v>
      </c>
      <c r="M58" s="1012" t="s">
        <v>1339</v>
      </c>
      <c r="N58" s="1016">
        <v>447.47</v>
      </c>
      <c r="O58" s="1016">
        <v>440.49</v>
      </c>
      <c r="P58" s="1009">
        <v>45779.0</v>
      </c>
      <c r="Q58" s="1009">
        <v>45782.0</v>
      </c>
      <c r="R58" s="1009">
        <v>45782.0</v>
      </c>
      <c r="S58" s="1017"/>
      <c r="T58" s="514"/>
      <c r="U58" s="514"/>
      <c r="V58" s="514"/>
      <c r="W58" s="514"/>
      <c r="X58" s="514"/>
      <c r="Y58" s="514"/>
    </row>
    <row r="59">
      <c r="A59" s="1002">
        <v>57.0</v>
      </c>
      <c r="B59" s="1012" t="s">
        <v>277</v>
      </c>
      <c r="C59" s="1012" t="s">
        <v>278</v>
      </c>
      <c r="D59" s="1031" t="s">
        <v>754</v>
      </c>
      <c r="E59" s="1014" t="s">
        <v>410</v>
      </c>
      <c r="F59" s="1012" t="s">
        <v>286</v>
      </c>
      <c r="G59" s="1014" t="s">
        <v>408</v>
      </c>
      <c r="H59" s="1006" t="s">
        <v>1362</v>
      </c>
      <c r="I59" s="1015" t="s">
        <v>1337</v>
      </c>
      <c r="J59" s="1012" t="s">
        <v>1097</v>
      </c>
      <c r="K59" s="1003" t="str">
        <f t="array" ref="K59">if(isblank(D59),"",xlookup(D59,'FL5_POR_包裝對照表 (Mapping Table)'!E:E,'FL5_POR_包裝對照表 (Mapping Table)'!AN:AN,"",0,1))</f>
        <v>G950-15935-04</v>
      </c>
      <c r="L59" s="1012" t="s">
        <v>1585</v>
      </c>
      <c r="M59" s="1012" t="s">
        <v>1367</v>
      </c>
      <c r="N59" s="1016">
        <v>453.07</v>
      </c>
      <c r="O59" s="1016">
        <v>446.09</v>
      </c>
      <c r="P59" s="1009">
        <v>45779.0</v>
      </c>
      <c r="Q59" s="1009">
        <v>45782.0</v>
      </c>
      <c r="R59" s="1009">
        <v>45782.0</v>
      </c>
      <c r="S59" s="1017"/>
      <c r="T59" s="514"/>
      <c r="U59" s="514"/>
      <c r="V59" s="514"/>
      <c r="W59" s="514"/>
      <c r="X59" s="514"/>
      <c r="Y59" s="514"/>
    </row>
    <row r="60">
      <c r="A60" s="1011">
        <v>58.0</v>
      </c>
      <c r="B60" s="1012" t="s">
        <v>277</v>
      </c>
      <c r="C60" s="1012" t="s">
        <v>278</v>
      </c>
      <c r="D60" s="1029" t="s">
        <v>759</v>
      </c>
      <c r="E60" s="1014" t="s">
        <v>410</v>
      </c>
      <c r="F60" s="1012" t="s">
        <v>286</v>
      </c>
      <c r="G60" s="1014" t="s">
        <v>408</v>
      </c>
      <c r="H60" s="1006" t="s">
        <v>1362</v>
      </c>
      <c r="I60" s="1015" t="s">
        <v>1337</v>
      </c>
      <c r="J60" s="1012" t="s">
        <v>1097</v>
      </c>
      <c r="K60" s="1003" t="str">
        <f t="array" ref="K60">if(isblank(D60),"",xlookup(D60,'FL5_POR_包裝對照表 (Mapping Table)'!E:E,'FL5_POR_包裝對照表 (Mapping Table)'!AN:AN,"",0,1))</f>
        <v>G950-15935-07</v>
      </c>
      <c r="L60" s="1012" t="s">
        <v>1614</v>
      </c>
      <c r="M60" s="1012" t="s">
        <v>1339</v>
      </c>
      <c r="N60" s="1016">
        <v>453.47</v>
      </c>
      <c r="O60" s="1016">
        <v>446.49</v>
      </c>
      <c r="P60" s="1009">
        <v>45779.0</v>
      </c>
      <c r="Q60" s="1009">
        <v>45782.0</v>
      </c>
      <c r="R60" s="1009">
        <v>45782.0</v>
      </c>
      <c r="S60" s="1017"/>
      <c r="T60" s="514"/>
      <c r="U60" s="514"/>
      <c r="V60" s="514"/>
      <c r="W60" s="514"/>
      <c r="X60" s="514"/>
      <c r="Y60" s="514"/>
    </row>
    <row r="61">
      <c r="A61" s="1002">
        <v>59.0</v>
      </c>
      <c r="B61" s="1012" t="s">
        <v>277</v>
      </c>
      <c r="C61" s="1012" t="s">
        <v>278</v>
      </c>
      <c r="D61" s="1031" t="s">
        <v>765</v>
      </c>
      <c r="E61" s="1014" t="s">
        <v>410</v>
      </c>
      <c r="F61" s="1012" t="s">
        <v>289</v>
      </c>
      <c r="G61" s="1014" t="s">
        <v>764</v>
      </c>
      <c r="H61" s="1006" t="s">
        <v>1362</v>
      </c>
      <c r="I61" s="1015" t="s">
        <v>1337</v>
      </c>
      <c r="J61" s="1012" t="s">
        <v>1097</v>
      </c>
      <c r="K61" s="1003" t="str">
        <f t="array" ref="K61">if(isblank(D61),"",xlookup(D61,'FL5_POR_包裝對照表 (Mapping Table)'!E:E,'FL5_POR_包裝對照表 (Mapping Table)'!AN:AN,"",0,1))</f>
        <v>G950-15935-00</v>
      </c>
      <c r="L61" s="1012" t="s">
        <v>1585</v>
      </c>
      <c r="M61" s="1012" t="s">
        <v>1367</v>
      </c>
      <c r="N61" s="1016">
        <v>445.42</v>
      </c>
      <c r="O61" s="1016">
        <v>438.44</v>
      </c>
      <c r="P61" s="1009">
        <v>45779.0</v>
      </c>
      <c r="Q61" s="1009">
        <v>45782.0</v>
      </c>
      <c r="R61" s="1009">
        <v>45782.0</v>
      </c>
      <c r="S61" s="1017"/>
      <c r="T61" s="514"/>
      <c r="U61" s="514"/>
      <c r="V61" s="514"/>
      <c r="W61" s="514"/>
      <c r="X61" s="514"/>
      <c r="Y61" s="514"/>
    </row>
    <row r="62">
      <c r="A62" s="1011">
        <v>60.0</v>
      </c>
      <c r="B62" s="1012" t="s">
        <v>277</v>
      </c>
      <c r="C62" s="1012" t="s">
        <v>278</v>
      </c>
      <c r="D62" s="1013" t="s">
        <v>772</v>
      </c>
      <c r="E62" s="1014" t="s">
        <v>410</v>
      </c>
      <c r="F62" s="1012" t="s">
        <v>289</v>
      </c>
      <c r="G62" s="1014" t="s">
        <v>764</v>
      </c>
      <c r="H62" s="1006" t="s">
        <v>1362</v>
      </c>
      <c r="I62" s="1015" t="s">
        <v>1337</v>
      </c>
      <c r="J62" s="1012" t="s">
        <v>1097</v>
      </c>
      <c r="K62" s="1003" t="str">
        <f t="array" ref="K62">if(isblank(D62),"",xlookup(D62,'FL5_POR_包裝對照表 (Mapping Table)'!E:E,'FL5_POR_包裝對照表 (Mapping Table)'!AN:AN,"",0,1))</f>
        <v>G950-15935-01</v>
      </c>
      <c r="L62" s="1012" t="s">
        <v>1596</v>
      </c>
      <c r="M62" s="1012" t="s">
        <v>1594</v>
      </c>
      <c r="N62" s="1016">
        <v>445.72</v>
      </c>
      <c r="O62" s="1016">
        <v>438.74</v>
      </c>
      <c r="P62" s="1009">
        <v>45779.0</v>
      </c>
      <c r="Q62" s="1009">
        <v>45782.0</v>
      </c>
      <c r="R62" s="1009">
        <v>45782.0</v>
      </c>
      <c r="S62" s="1017"/>
      <c r="T62" s="514"/>
      <c r="U62" s="514"/>
      <c r="V62" s="514"/>
      <c r="W62" s="514"/>
      <c r="X62" s="514"/>
      <c r="Y62" s="514"/>
    </row>
    <row r="63">
      <c r="A63" s="1002">
        <v>61.0</v>
      </c>
      <c r="B63" s="1012" t="s">
        <v>277</v>
      </c>
      <c r="C63" s="1012" t="s">
        <v>278</v>
      </c>
      <c r="D63" s="1030" t="s">
        <v>777</v>
      </c>
      <c r="E63" s="1014" t="s">
        <v>410</v>
      </c>
      <c r="F63" s="1012" t="s">
        <v>289</v>
      </c>
      <c r="G63" s="1014" t="s">
        <v>764</v>
      </c>
      <c r="H63" s="1006" t="s">
        <v>1362</v>
      </c>
      <c r="I63" s="1015" t="s">
        <v>1337</v>
      </c>
      <c r="J63" s="1012" t="s">
        <v>1097</v>
      </c>
      <c r="K63" s="1003" t="str">
        <f t="array" ref="K63">if(isblank(D63),"",xlookup(D63,'FL5_POR_包裝對照表 (Mapping Table)'!E:E,'FL5_POR_包裝對照表 (Mapping Table)'!AN:AN,"",0,1))</f>
        <v>G950-15935-02</v>
      </c>
      <c r="L63" s="1012" t="s">
        <v>1606</v>
      </c>
      <c r="M63" s="1012" t="s">
        <v>1604</v>
      </c>
      <c r="N63" s="1016">
        <v>445.82</v>
      </c>
      <c r="O63" s="1016">
        <v>438.84</v>
      </c>
      <c r="P63" s="1009">
        <v>45779.0</v>
      </c>
      <c r="Q63" s="1009">
        <v>45782.0</v>
      </c>
      <c r="R63" s="1009">
        <v>45782.0</v>
      </c>
      <c r="S63" s="1017"/>
      <c r="T63" s="514"/>
      <c r="U63" s="514"/>
      <c r="V63" s="514"/>
      <c r="W63" s="514"/>
      <c r="X63" s="514"/>
      <c r="Y63" s="514"/>
    </row>
    <row r="64">
      <c r="A64" s="1011">
        <v>62.0</v>
      </c>
      <c r="B64" s="1012" t="s">
        <v>277</v>
      </c>
      <c r="C64" s="1012" t="s">
        <v>278</v>
      </c>
      <c r="D64" s="1029" t="s">
        <v>782</v>
      </c>
      <c r="E64" s="1014" t="s">
        <v>410</v>
      </c>
      <c r="F64" s="1012" t="s">
        <v>289</v>
      </c>
      <c r="G64" s="1014" t="s">
        <v>764</v>
      </c>
      <c r="H64" s="1006" t="s">
        <v>1362</v>
      </c>
      <c r="I64" s="1015" t="s">
        <v>1337</v>
      </c>
      <c r="J64" s="1012" t="s">
        <v>1097</v>
      </c>
      <c r="K64" s="1003" t="str">
        <f t="array" ref="K64">if(isblank(D64),"",xlookup(D64,'FL5_POR_包裝對照表 (Mapping Table)'!E:E,'FL5_POR_包裝對照表 (Mapping Table)'!AN:AN,"",0,1))</f>
        <v>G950-15935-03</v>
      </c>
      <c r="L64" s="1012" t="s">
        <v>1614</v>
      </c>
      <c r="M64" s="1012" t="s">
        <v>1339</v>
      </c>
      <c r="N64" s="1016">
        <v>445.82</v>
      </c>
      <c r="O64" s="1016">
        <v>438.84</v>
      </c>
      <c r="P64" s="1009">
        <v>45779.0</v>
      </c>
      <c r="Q64" s="1009">
        <v>45782.0</v>
      </c>
      <c r="R64" s="1009">
        <v>45782.0</v>
      </c>
      <c r="S64" s="1017"/>
      <c r="T64" s="514"/>
      <c r="U64" s="514"/>
      <c r="V64" s="514"/>
      <c r="W64" s="514"/>
      <c r="X64" s="514"/>
      <c r="Y64" s="514"/>
    </row>
    <row r="65">
      <c r="A65" s="1002">
        <v>63.0</v>
      </c>
      <c r="B65" s="1012" t="s">
        <v>277</v>
      </c>
      <c r="C65" s="1012" t="s">
        <v>278</v>
      </c>
      <c r="D65" s="1031" t="s">
        <v>787</v>
      </c>
      <c r="E65" s="1014" t="s">
        <v>458</v>
      </c>
      <c r="F65" s="1012" t="s">
        <v>289</v>
      </c>
      <c r="G65" s="1014" t="s">
        <v>764</v>
      </c>
      <c r="H65" s="1006" t="s">
        <v>1362</v>
      </c>
      <c r="I65" s="1015" t="s">
        <v>1337</v>
      </c>
      <c r="J65" s="1012" t="s">
        <v>1087</v>
      </c>
      <c r="K65" s="1003" t="str">
        <f t="array" ref="K65">if(isblank(D65),"",xlookup(D65,'FL5_POR_包裝對照表 (Mapping Table)'!E:E,'FL5_POR_包裝對照表 (Mapping Table)'!AN:AN,"",0,1))</f>
        <v>G950-15935-00</v>
      </c>
      <c r="L65" s="1012" t="s">
        <v>1585</v>
      </c>
      <c r="M65" s="1012" t="s">
        <v>1367</v>
      </c>
      <c r="N65" s="1016">
        <v>445.63</v>
      </c>
      <c r="O65" s="1016">
        <v>438.65</v>
      </c>
      <c r="P65" s="1009">
        <v>45779.0</v>
      </c>
      <c r="Q65" s="1009">
        <v>45782.0</v>
      </c>
      <c r="R65" s="1009">
        <v>45782.0</v>
      </c>
      <c r="S65" s="1017"/>
      <c r="T65" s="514"/>
      <c r="U65" s="514"/>
      <c r="V65" s="514"/>
      <c r="W65" s="514"/>
      <c r="X65" s="514"/>
      <c r="Y65" s="514"/>
    </row>
    <row r="66">
      <c r="A66" s="1011">
        <v>64.0</v>
      </c>
      <c r="B66" s="1012" t="s">
        <v>277</v>
      </c>
      <c r="C66" s="1012" t="s">
        <v>278</v>
      </c>
      <c r="D66" s="1029" t="s">
        <v>793</v>
      </c>
      <c r="E66" s="1014" t="s">
        <v>458</v>
      </c>
      <c r="F66" s="1012" t="s">
        <v>289</v>
      </c>
      <c r="G66" s="1014" t="s">
        <v>764</v>
      </c>
      <c r="H66" s="1006" t="s">
        <v>1362</v>
      </c>
      <c r="I66" s="1015" t="s">
        <v>1337</v>
      </c>
      <c r="J66" s="1012" t="s">
        <v>1087</v>
      </c>
      <c r="K66" s="1003" t="str">
        <f t="array" ref="K66">if(isblank(D66),"",xlookup(D66,'FL5_POR_包裝對照表 (Mapping Table)'!E:E,'FL5_POR_包裝對照表 (Mapping Table)'!AN:AN,"",0,1))</f>
        <v>G950-15935-03</v>
      </c>
      <c r="L66" s="1012" t="s">
        <v>1614</v>
      </c>
      <c r="M66" s="1012" t="s">
        <v>1339</v>
      </c>
      <c r="N66" s="1016">
        <v>446.03</v>
      </c>
      <c r="O66" s="1016">
        <v>439.05</v>
      </c>
      <c r="P66" s="1009">
        <v>45779.0</v>
      </c>
      <c r="Q66" s="1009">
        <v>45782.0</v>
      </c>
      <c r="R66" s="1009">
        <v>45782.0</v>
      </c>
      <c r="S66" s="1017"/>
      <c r="T66" s="514"/>
      <c r="U66" s="514"/>
      <c r="V66" s="514"/>
      <c r="W66" s="514"/>
      <c r="X66" s="514"/>
      <c r="Y66" s="514"/>
    </row>
    <row r="67">
      <c r="A67" s="1002">
        <v>65.0</v>
      </c>
      <c r="B67" s="1012" t="s">
        <v>277</v>
      </c>
      <c r="C67" s="1012" t="s">
        <v>278</v>
      </c>
      <c r="D67" s="1031" t="s">
        <v>798</v>
      </c>
      <c r="E67" s="1014" t="s">
        <v>470</v>
      </c>
      <c r="F67" s="1012" t="s">
        <v>289</v>
      </c>
      <c r="G67" s="1014" t="s">
        <v>764</v>
      </c>
      <c r="H67" s="1006" t="s">
        <v>1362</v>
      </c>
      <c r="I67" s="1015" t="s">
        <v>1337</v>
      </c>
      <c r="J67" s="1012" t="s">
        <v>1368</v>
      </c>
      <c r="K67" s="1003" t="str">
        <f t="array" ref="K67">if(isblank(D67),"",xlookup(D67,'FL5_POR_包裝對照表 (Mapping Table)'!E:E,'FL5_POR_包裝對照表 (Mapping Table)'!AN:AN,"",0,1))</f>
        <v>G950-15935-00</v>
      </c>
      <c r="L67" s="1012" t="s">
        <v>1585</v>
      </c>
      <c r="M67" s="1012" t="s">
        <v>1367</v>
      </c>
      <c r="N67" s="1016">
        <v>445.63</v>
      </c>
      <c r="O67" s="1016">
        <v>438.65</v>
      </c>
      <c r="P67" s="1009">
        <v>45779.0</v>
      </c>
      <c r="Q67" s="1009">
        <v>45782.0</v>
      </c>
      <c r="R67" s="1009">
        <v>45782.0</v>
      </c>
      <c r="S67" s="1017"/>
      <c r="T67" s="514"/>
      <c r="U67" s="514"/>
      <c r="V67" s="514"/>
      <c r="W67" s="514"/>
      <c r="X67" s="514"/>
      <c r="Y67" s="514"/>
    </row>
    <row r="68">
      <c r="A68" s="1011">
        <v>66.0</v>
      </c>
      <c r="B68" s="1012" t="s">
        <v>277</v>
      </c>
      <c r="C68" s="1012" t="s">
        <v>278</v>
      </c>
      <c r="D68" s="1013" t="s">
        <v>803</v>
      </c>
      <c r="E68" s="1014" t="s">
        <v>470</v>
      </c>
      <c r="F68" s="1012" t="s">
        <v>289</v>
      </c>
      <c r="G68" s="1014" t="s">
        <v>764</v>
      </c>
      <c r="H68" s="1006" t="s">
        <v>1362</v>
      </c>
      <c r="I68" s="1015" t="s">
        <v>1337</v>
      </c>
      <c r="J68" s="1012" t="s">
        <v>1368</v>
      </c>
      <c r="K68" s="1003" t="str">
        <f t="array" ref="K68">if(isblank(D68),"",xlookup(D68,'FL5_POR_包裝對照表 (Mapping Table)'!E:E,'FL5_POR_包裝對照表 (Mapping Table)'!AN:AN,"",0,1))</f>
        <v>G950-15935-01</v>
      </c>
      <c r="L68" s="1012" t="s">
        <v>1596</v>
      </c>
      <c r="M68" s="1012" t="s">
        <v>1594</v>
      </c>
      <c r="N68" s="1016">
        <v>445.93</v>
      </c>
      <c r="O68" s="1016">
        <v>438.95</v>
      </c>
      <c r="P68" s="1009">
        <v>45779.0</v>
      </c>
      <c r="Q68" s="1009">
        <v>45782.0</v>
      </c>
      <c r="R68" s="1009">
        <v>45782.0</v>
      </c>
      <c r="S68" s="1017"/>
      <c r="T68" s="514"/>
      <c r="U68" s="514"/>
      <c r="V68" s="514"/>
      <c r="W68" s="514"/>
      <c r="X68" s="514"/>
      <c r="Y68" s="514"/>
    </row>
    <row r="69">
      <c r="A69" s="1002">
        <v>67.0</v>
      </c>
      <c r="B69" s="1012" t="s">
        <v>277</v>
      </c>
      <c r="C69" s="1012" t="s">
        <v>278</v>
      </c>
      <c r="D69" s="1030" t="s">
        <v>807</v>
      </c>
      <c r="E69" s="1014" t="s">
        <v>470</v>
      </c>
      <c r="F69" s="1012" t="s">
        <v>289</v>
      </c>
      <c r="G69" s="1014" t="s">
        <v>764</v>
      </c>
      <c r="H69" s="1006" t="s">
        <v>1362</v>
      </c>
      <c r="I69" s="1015" t="s">
        <v>1337</v>
      </c>
      <c r="J69" s="1012" t="s">
        <v>1368</v>
      </c>
      <c r="K69" s="1003" t="str">
        <f t="array" ref="K69">if(isblank(D69),"",xlookup(D69,'FL5_POR_包裝對照表 (Mapping Table)'!E:E,'FL5_POR_包裝對照表 (Mapping Table)'!AN:AN,"",0,1))</f>
        <v>G950-15935-02</v>
      </c>
      <c r="L69" s="1012" t="s">
        <v>1606</v>
      </c>
      <c r="M69" s="1012" t="s">
        <v>1604</v>
      </c>
      <c r="N69" s="1016">
        <v>446.03</v>
      </c>
      <c r="O69" s="1016">
        <v>439.05</v>
      </c>
      <c r="P69" s="1009">
        <v>45779.0</v>
      </c>
      <c r="Q69" s="1009">
        <v>45782.0</v>
      </c>
      <c r="R69" s="1009">
        <v>45782.0</v>
      </c>
      <c r="S69" s="1017"/>
      <c r="T69" s="514"/>
      <c r="U69" s="514"/>
      <c r="V69" s="514"/>
      <c r="W69" s="514"/>
      <c r="X69" s="514"/>
      <c r="Y69" s="514"/>
    </row>
    <row r="70">
      <c r="A70" s="1011">
        <v>68.0</v>
      </c>
      <c r="B70" s="1012" t="s">
        <v>277</v>
      </c>
      <c r="C70" s="1012" t="s">
        <v>278</v>
      </c>
      <c r="D70" s="1029" t="s">
        <v>812</v>
      </c>
      <c r="E70" s="1014" t="s">
        <v>470</v>
      </c>
      <c r="F70" s="1012" t="s">
        <v>289</v>
      </c>
      <c r="G70" s="1014" t="s">
        <v>764</v>
      </c>
      <c r="H70" s="1006" t="s">
        <v>1362</v>
      </c>
      <c r="I70" s="1015" t="s">
        <v>1337</v>
      </c>
      <c r="J70" s="1012" t="s">
        <v>1368</v>
      </c>
      <c r="K70" s="1003" t="str">
        <f t="array" ref="K70">if(isblank(D70),"",xlookup(D70,'FL5_POR_包裝對照表 (Mapping Table)'!E:E,'FL5_POR_包裝對照表 (Mapping Table)'!AN:AN,"",0,1))</f>
        <v>G950-15935-03</v>
      </c>
      <c r="L70" s="1012" t="s">
        <v>1614</v>
      </c>
      <c r="M70" s="1012" t="s">
        <v>1339</v>
      </c>
      <c r="N70" s="1016">
        <v>446.03</v>
      </c>
      <c r="O70" s="1016">
        <v>439.05</v>
      </c>
      <c r="P70" s="1009">
        <v>45779.0</v>
      </c>
      <c r="Q70" s="1009">
        <v>45782.0</v>
      </c>
      <c r="R70" s="1009">
        <v>45782.0</v>
      </c>
      <c r="S70" s="1017"/>
      <c r="T70" s="514"/>
      <c r="U70" s="514"/>
      <c r="V70" s="514"/>
      <c r="W70" s="514"/>
      <c r="X70" s="514"/>
      <c r="Y70" s="514"/>
    </row>
    <row r="71">
      <c r="A71" s="1002">
        <v>69.0</v>
      </c>
      <c r="B71" s="1012" t="s">
        <v>277</v>
      </c>
      <c r="C71" s="1012" t="s">
        <v>278</v>
      </c>
      <c r="D71" s="1031" t="s">
        <v>816</v>
      </c>
      <c r="E71" s="1014" t="s">
        <v>817</v>
      </c>
      <c r="F71" s="1012" t="s">
        <v>289</v>
      </c>
      <c r="G71" s="1014" t="s">
        <v>764</v>
      </c>
      <c r="H71" s="1006" t="s">
        <v>1362</v>
      </c>
      <c r="I71" s="1032" t="s">
        <v>1397</v>
      </c>
      <c r="J71" s="1012" t="s">
        <v>1399</v>
      </c>
      <c r="K71" s="1003" t="str">
        <f t="array" ref="K71">if(isblank(D71),"",xlookup(D71,'FL5_POR_包裝對照表 (Mapping Table)'!E:E,'FL5_POR_包裝對照表 (Mapping Table)'!AN:AN,"",0,1))</f>
        <v>G950-15935-10</v>
      </c>
      <c r="L71" s="1012" t="s">
        <v>1585</v>
      </c>
      <c r="M71" s="1012" t="s">
        <v>1367</v>
      </c>
      <c r="N71" s="1016">
        <v>428.17</v>
      </c>
      <c r="O71" s="1016">
        <v>421.19</v>
      </c>
      <c r="P71" s="1009">
        <v>45779.0</v>
      </c>
      <c r="Q71" s="1009">
        <v>45782.0</v>
      </c>
      <c r="R71" s="1009">
        <v>45782.0</v>
      </c>
      <c r="S71" s="1017"/>
      <c r="T71" s="514"/>
      <c r="U71" s="514"/>
      <c r="V71" s="514"/>
      <c r="W71" s="514"/>
      <c r="X71" s="514"/>
      <c r="Y71" s="514"/>
    </row>
    <row r="72">
      <c r="A72" s="1011">
        <v>70.0</v>
      </c>
      <c r="B72" s="1012" t="s">
        <v>277</v>
      </c>
      <c r="C72" s="1012" t="s">
        <v>278</v>
      </c>
      <c r="D72" s="1013" t="s">
        <v>824</v>
      </c>
      <c r="E72" s="1014" t="s">
        <v>817</v>
      </c>
      <c r="F72" s="1012" t="s">
        <v>289</v>
      </c>
      <c r="G72" s="1014" t="s">
        <v>764</v>
      </c>
      <c r="H72" s="1006" t="s">
        <v>1362</v>
      </c>
      <c r="I72" s="1032" t="s">
        <v>1397</v>
      </c>
      <c r="J72" s="1012" t="s">
        <v>1399</v>
      </c>
      <c r="K72" s="1003" t="str">
        <f t="array" ref="K72">if(isblank(D72),"",xlookup(D72,'FL5_POR_包裝對照表 (Mapping Table)'!E:E,'FL5_POR_包裝對照表 (Mapping Table)'!AN:AN,"",0,1))</f>
        <v>G950-15935-11</v>
      </c>
      <c r="L72" s="1012" t="s">
        <v>1596</v>
      </c>
      <c r="M72" s="1012" t="s">
        <v>1594</v>
      </c>
      <c r="N72" s="1016">
        <v>428.47</v>
      </c>
      <c r="O72" s="1016">
        <v>421.49</v>
      </c>
      <c r="P72" s="1009">
        <v>45779.0</v>
      </c>
      <c r="Q72" s="1009">
        <v>45782.0</v>
      </c>
      <c r="R72" s="1009">
        <v>45782.0</v>
      </c>
      <c r="S72" s="1017"/>
      <c r="T72" s="514"/>
      <c r="U72" s="514"/>
      <c r="V72" s="514"/>
      <c r="W72" s="514"/>
      <c r="X72" s="514"/>
      <c r="Y72" s="514"/>
    </row>
    <row r="73">
      <c r="A73" s="1002">
        <v>71.0</v>
      </c>
      <c r="B73" s="1012" t="s">
        <v>277</v>
      </c>
      <c r="C73" s="1012" t="s">
        <v>278</v>
      </c>
      <c r="D73" s="1030" t="s">
        <v>828</v>
      </c>
      <c r="E73" s="1014" t="s">
        <v>817</v>
      </c>
      <c r="F73" s="1012" t="s">
        <v>289</v>
      </c>
      <c r="G73" s="1014" t="s">
        <v>764</v>
      </c>
      <c r="H73" s="1006" t="s">
        <v>1362</v>
      </c>
      <c r="I73" s="1032" t="s">
        <v>1397</v>
      </c>
      <c r="J73" s="1012" t="s">
        <v>1399</v>
      </c>
      <c r="K73" s="1003" t="str">
        <f t="array" ref="K73">if(isblank(D73),"",xlookup(D73,'FL5_POR_包裝對照表 (Mapping Table)'!E:E,'FL5_POR_包裝對照表 (Mapping Table)'!AN:AN,"",0,1))</f>
        <v>G950-15935-12</v>
      </c>
      <c r="L73" s="1012" t="s">
        <v>1606</v>
      </c>
      <c r="M73" s="1012" t="s">
        <v>1604</v>
      </c>
      <c r="N73" s="1016">
        <v>428.57</v>
      </c>
      <c r="O73" s="1016">
        <v>421.59</v>
      </c>
      <c r="P73" s="1009">
        <v>45779.0</v>
      </c>
      <c r="Q73" s="1009">
        <v>45782.0</v>
      </c>
      <c r="R73" s="1009">
        <v>45782.0</v>
      </c>
      <c r="S73" s="1017"/>
      <c r="T73" s="514"/>
      <c r="U73" s="514"/>
      <c r="V73" s="514"/>
      <c r="W73" s="514"/>
      <c r="X73" s="514"/>
      <c r="Y73" s="514"/>
    </row>
    <row r="74">
      <c r="A74" s="1011">
        <v>72.0</v>
      </c>
      <c r="B74" s="1012" t="s">
        <v>277</v>
      </c>
      <c r="C74" s="1012" t="s">
        <v>278</v>
      </c>
      <c r="D74" s="1029" t="s">
        <v>832</v>
      </c>
      <c r="E74" s="1014" t="s">
        <v>817</v>
      </c>
      <c r="F74" s="1012" t="s">
        <v>289</v>
      </c>
      <c r="G74" s="1014" t="s">
        <v>764</v>
      </c>
      <c r="H74" s="1006" t="s">
        <v>1362</v>
      </c>
      <c r="I74" s="1032" t="s">
        <v>1397</v>
      </c>
      <c r="J74" s="1012" t="s">
        <v>1399</v>
      </c>
      <c r="K74" s="1003" t="str">
        <f t="array" ref="K74">if(isblank(D74),"",xlookup(D74,'FL5_POR_包裝對照表 (Mapping Table)'!E:E,'FL5_POR_包裝對照表 (Mapping Table)'!AN:AN,"",0,1))</f>
        <v>G950-15935-13</v>
      </c>
      <c r="L74" s="1012" t="s">
        <v>1614</v>
      </c>
      <c r="M74" s="1012" t="s">
        <v>1339</v>
      </c>
      <c r="N74" s="1016">
        <v>428.57</v>
      </c>
      <c r="O74" s="1016">
        <v>421.59</v>
      </c>
      <c r="P74" s="1009">
        <v>45779.0</v>
      </c>
      <c r="Q74" s="1009">
        <v>45782.0</v>
      </c>
      <c r="R74" s="1009">
        <v>45782.0</v>
      </c>
      <c r="S74" s="1017"/>
      <c r="T74" s="514"/>
      <c r="U74" s="514"/>
      <c r="V74" s="514"/>
      <c r="W74" s="514"/>
      <c r="X74" s="514"/>
      <c r="Y74" s="514"/>
    </row>
    <row r="75">
      <c r="A75" s="1002">
        <v>73.0</v>
      </c>
      <c r="B75" s="1012" t="s">
        <v>277</v>
      </c>
      <c r="C75" s="1012" t="s">
        <v>278</v>
      </c>
      <c r="D75" s="1031" t="s">
        <v>837</v>
      </c>
      <c r="E75" s="1014" t="s">
        <v>527</v>
      </c>
      <c r="F75" s="1012" t="s">
        <v>289</v>
      </c>
      <c r="G75" s="1014" t="s">
        <v>764</v>
      </c>
      <c r="H75" s="1006" t="s">
        <v>1362</v>
      </c>
      <c r="I75" s="1032" t="s">
        <v>1397</v>
      </c>
      <c r="J75" s="1012" t="s">
        <v>1399</v>
      </c>
      <c r="K75" s="1003" t="str">
        <f t="array" ref="K75">if(isblank(D75),"",xlookup(D75,'FL5_POR_包裝對照表 (Mapping Table)'!E:E,'FL5_POR_包裝對照表 (Mapping Table)'!AN:AN,"",0,1))</f>
        <v>G950-15935-10</v>
      </c>
      <c r="L75" s="1012" t="s">
        <v>1585</v>
      </c>
      <c r="M75" s="1012" t="s">
        <v>1367</v>
      </c>
      <c r="N75" s="1016">
        <v>428.17</v>
      </c>
      <c r="O75" s="1016">
        <v>421.19</v>
      </c>
      <c r="P75" s="1009">
        <v>45779.0</v>
      </c>
      <c r="Q75" s="1009">
        <v>45782.0</v>
      </c>
      <c r="R75" s="1009">
        <v>45782.0</v>
      </c>
      <c r="S75" s="1017"/>
      <c r="T75" s="514"/>
      <c r="U75" s="514"/>
      <c r="V75" s="514"/>
      <c r="W75" s="514"/>
      <c r="X75" s="514"/>
      <c r="Y75" s="514"/>
    </row>
    <row r="76">
      <c r="A76" s="1011">
        <v>74.0</v>
      </c>
      <c r="B76" s="1012" t="s">
        <v>277</v>
      </c>
      <c r="C76" s="1012" t="s">
        <v>278</v>
      </c>
      <c r="D76" s="1013" t="s">
        <v>842</v>
      </c>
      <c r="E76" s="1014" t="s">
        <v>527</v>
      </c>
      <c r="F76" s="1012" t="s">
        <v>289</v>
      </c>
      <c r="G76" s="1014" t="s">
        <v>764</v>
      </c>
      <c r="H76" s="1006" t="s">
        <v>1362</v>
      </c>
      <c r="I76" s="1032" t="s">
        <v>1397</v>
      </c>
      <c r="J76" s="1012" t="s">
        <v>1399</v>
      </c>
      <c r="K76" s="1003" t="str">
        <f t="array" ref="K76">if(isblank(D76),"",xlookup(D76,'FL5_POR_包裝對照表 (Mapping Table)'!E:E,'FL5_POR_包裝對照表 (Mapping Table)'!AN:AN,"",0,1))</f>
        <v>G950-15935-11</v>
      </c>
      <c r="L76" s="1012" t="s">
        <v>1596</v>
      </c>
      <c r="M76" s="1012" t="s">
        <v>1594</v>
      </c>
      <c r="N76" s="1016">
        <v>428.47</v>
      </c>
      <c r="O76" s="1016">
        <v>421.49</v>
      </c>
      <c r="P76" s="1009">
        <v>45779.0</v>
      </c>
      <c r="Q76" s="1009">
        <v>45782.0</v>
      </c>
      <c r="R76" s="1009">
        <v>45782.0</v>
      </c>
      <c r="S76" s="1017"/>
      <c r="T76" s="514"/>
      <c r="U76" s="514"/>
      <c r="V76" s="514"/>
      <c r="W76" s="514"/>
      <c r="X76" s="514"/>
      <c r="Y76" s="514"/>
    </row>
    <row r="77">
      <c r="A77" s="1002">
        <v>75.0</v>
      </c>
      <c r="B77" s="1012" t="s">
        <v>277</v>
      </c>
      <c r="C77" s="1012" t="s">
        <v>278</v>
      </c>
      <c r="D77" s="1030" t="s">
        <v>847</v>
      </c>
      <c r="E77" s="1014" t="s">
        <v>527</v>
      </c>
      <c r="F77" s="1012" t="s">
        <v>289</v>
      </c>
      <c r="G77" s="1014" t="s">
        <v>764</v>
      </c>
      <c r="H77" s="1006" t="s">
        <v>1362</v>
      </c>
      <c r="I77" s="1032" t="s">
        <v>1397</v>
      </c>
      <c r="J77" s="1012" t="s">
        <v>1399</v>
      </c>
      <c r="K77" s="1003" t="str">
        <f t="array" ref="K77">if(isblank(D77),"",xlookup(D77,'FL5_POR_包裝對照表 (Mapping Table)'!E:E,'FL5_POR_包裝對照表 (Mapping Table)'!AN:AN,"",0,1))</f>
        <v>G950-15935-12</v>
      </c>
      <c r="L77" s="1012" t="s">
        <v>1606</v>
      </c>
      <c r="M77" s="1012" t="s">
        <v>1604</v>
      </c>
      <c r="N77" s="1016">
        <v>428.57</v>
      </c>
      <c r="O77" s="1016">
        <v>421.59</v>
      </c>
      <c r="P77" s="1009">
        <v>45779.0</v>
      </c>
      <c r="Q77" s="1009">
        <v>45782.0</v>
      </c>
      <c r="R77" s="1009">
        <v>45782.0</v>
      </c>
      <c r="S77" s="1017"/>
      <c r="T77" s="514"/>
      <c r="U77" s="514"/>
      <c r="V77" s="514"/>
      <c r="W77" s="514"/>
      <c r="X77" s="514"/>
      <c r="Y77" s="514"/>
    </row>
    <row r="78">
      <c r="A78" s="1011">
        <v>76.0</v>
      </c>
      <c r="B78" s="1012" t="s">
        <v>277</v>
      </c>
      <c r="C78" s="1012" t="s">
        <v>278</v>
      </c>
      <c r="D78" s="1029" t="s">
        <v>852</v>
      </c>
      <c r="E78" s="1014" t="s">
        <v>527</v>
      </c>
      <c r="F78" s="1012" t="s">
        <v>289</v>
      </c>
      <c r="G78" s="1014" t="s">
        <v>764</v>
      </c>
      <c r="H78" s="1006" t="s">
        <v>1362</v>
      </c>
      <c r="I78" s="1032" t="s">
        <v>1397</v>
      </c>
      <c r="J78" s="1012" t="s">
        <v>1399</v>
      </c>
      <c r="K78" s="1003" t="str">
        <f t="array" ref="K78">if(isblank(D78),"",xlookup(D78,'FL5_POR_包裝對照表 (Mapping Table)'!E:E,'FL5_POR_包裝對照表 (Mapping Table)'!AN:AN,"",0,1))</f>
        <v>G950-15935-13</v>
      </c>
      <c r="L78" s="1012" t="s">
        <v>1614</v>
      </c>
      <c r="M78" s="1012" t="s">
        <v>1339</v>
      </c>
      <c r="N78" s="1016">
        <v>428.57</v>
      </c>
      <c r="O78" s="1016">
        <v>421.59</v>
      </c>
      <c r="P78" s="1009">
        <v>45779.0</v>
      </c>
      <c r="Q78" s="1009">
        <v>45782.0</v>
      </c>
      <c r="R78" s="1009">
        <v>45782.0</v>
      </c>
      <c r="S78" s="1017"/>
      <c r="T78" s="514"/>
      <c r="U78" s="514"/>
      <c r="V78" s="514"/>
      <c r="W78" s="514"/>
      <c r="X78" s="514"/>
      <c r="Y78" s="514"/>
    </row>
    <row r="79">
      <c r="A79" s="1002">
        <v>77.0</v>
      </c>
      <c r="B79" s="1012" t="s">
        <v>277</v>
      </c>
      <c r="C79" s="1012" t="s">
        <v>278</v>
      </c>
      <c r="D79" s="1031" t="s">
        <v>857</v>
      </c>
      <c r="E79" s="1014" t="s">
        <v>410</v>
      </c>
      <c r="F79" s="1012" t="s">
        <v>289</v>
      </c>
      <c r="G79" s="1014" t="s">
        <v>764</v>
      </c>
      <c r="H79" s="1006" t="s">
        <v>1362</v>
      </c>
      <c r="I79" s="1015" t="s">
        <v>1337</v>
      </c>
      <c r="J79" s="1012" t="s">
        <v>1097</v>
      </c>
      <c r="K79" s="1003" t="str">
        <f t="array" ref="K79">if(isblank(D79),"",xlookup(D79,'FL5_POR_包裝對照表 (Mapping Table)'!E:E,'FL5_POR_包裝對照表 (Mapping Table)'!AN:AN,"",0,1))</f>
        <v>G950-15935-04</v>
      </c>
      <c r="L79" s="1012" t="s">
        <v>1585</v>
      </c>
      <c r="M79" s="1012" t="s">
        <v>1367</v>
      </c>
      <c r="N79" s="1016">
        <v>451.42</v>
      </c>
      <c r="O79" s="1016">
        <v>444.44</v>
      </c>
      <c r="P79" s="1009">
        <v>45779.0</v>
      </c>
      <c r="Q79" s="1009">
        <v>45782.0</v>
      </c>
      <c r="R79" s="1009">
        <v>45782.0</v>
      </c>
      <c r="S79" s="1017"/>
      <c r="T79" s="514"/>
      <c r="U79" s="514"/>
      <c r="V79" s="514"/>
      <c r="W79" s="514"/>
      <c r="X79" s="514"/>
      <c r="Y79" s="514"/>
    </row>
    <row r="80">
      <c r="A80" s="1011">
        <v>78.0</v>
      </c>
      <c r="B80" s="1012" t="s">
        <v>277</v>
      </c>
      <c r="C80" s="1012" t="s">
        <v>278</v>
      </c>
      <c r="D80" s="1029" t="s">
        <v>862</v>
      </c>
      <c r="E80" s="1014" t="s">
        <v>410</v>
      </c>
      <c r="F80" s="1012" t="s">
        <v>289</v>
      </c>
      <c r="G80" s="1014" t="s">
        <v>764</v>
      </c>
      <c r="H80" s="1006" t="s">
        <v>1362</v>
      </c>
      <c r="I80" s="1015" t="s">
        <v>1337</v>
      </c>
      <c r="J80" s="1012" t="s">
        <v>1097</v>
      </c>
      <c r="K80" s="1003" t="str">
        <f t="array" ref="K80">if(isblank(D80),"",xlookup(D80,'FL5_POR_包裝對照表 (Mapping Table)'!E:E,'FL5_POR_包裝對照表 (Mapping Table)'!AN:AN,"",0,1))</f>
        <v>G950-15935-07</v>
      </c>
      <c r="L80" s="1012" t="s">
        <v>1614</v>
      </c>
      <c r="M80" s="1012" t="s">
        <v>1339</v>
      </c>
      <c r="N80" s="1016">
        <v>451.82</v>
      </c>
      <c r="O80" s="1016">
        <v>444.84</v>
      </c>
      <c r="P80" s="1009">
        <v>45779.0</v>
      </c>
      <c r="Q80" s="1009">
        <v>45782.0</v>
      </c>
      <c r="R80" s="1009">
        <v>45782.0</v>
      </c>
      <c r="S80" s="1017"/>
      <c r="T80" s="514"/>
      <c r="U80" s="514"/>
      <c r="V80" s="514"/>
      <c r="W80" s="514"/>
      <c r="X80" s="514"/>
      <c r="Y80" s="514"/>
    </row>
    <row r="81">
      <c r="A81" s="1002">
        <v>79.0</v>
      </c>
      <c r="B81" s="1012" t="s">
        <v>277</v>
      </c>
      <c r="C81" s="1012" t="s">
        <v>278</v>
      </c>
      <c r="D81" s="1031" t="s">
        <v>867</v>
      </c>
      <c r="E81" s="1014" t="s">
        <v>458</v>
      </c>
      <c r="F81" s="1012" t="s">
        <v>289</v>
      </c>
      <c r="G81" s="1014" t="s">
        <v>764</v>
      </c>
      <c r="H81" s="1006" t="s">
        <v>1362</v>
      </c>
      <c r="I81" s="1015" t="s">
        <v>1337</v>
      </c>
      <c r="J81" s="1012" t="s">
        <v>1087</v>
      </c>
      <c r="K81" s="1003" t="str">
        <f t="array" ref="K81">if(isblank(D81),"",xlookup(D81,'FL5_POR_包裝對照表 (Mapping Table)'!E:E,'FL5_POR_包裝對照表 (Mapping Table)'!AN:AN,"",0,1))</f>
        <v>G950-15935-04</v>
      </c>
      <c r="L81" s="1012" t="s">
        <v>1585</v>
      </c>
      <c r="M81" s="1012" t="s">
        <v>1367</v>
      </c>
      <c r="N81" s="1016">
        <v>451.63</v>
      </c>
      <c r="O81" s="1016">
        <v>444.65</v>
      </c>
      <c r="P81" s="1009">
        <v>45779.0</v>
      </c>
      <c r="Q81" s="1009">
        <v>45782.0</v>
      </c>
      <c r="R81" s="1009">
        <v>45782.0</v>
      </c>
      <c r="S81" s="1017"/>
      <c r="T81" s="514"/>
      <c r="U81" s="514"/>
      <c r="V81" s="514"/>
      <c r="W81" s="514"/>
      <c r="X81" s="514"/>
      <c r="Y81" s="514"/>
    </row>
    <row r="82">
      <c r="A82" s="1011">
        <v>80.0</v>
      </c>
      <c r="B82" s="1012" t="s">
        <v>277</v>
      </c>
      <c r="C82" s="1012" t="s">
        <v>278</v>
      </c>
      <c r="D82" s="1031" t="s">
        <v>872</v>
      </c>
      <c r="E82" s="1014" t="s">
        <v>470</v>
      </c>
      <c r="F82" s="1012" t="s">
        <v>289</v>
      </c>
      <c r="G82" s="1014" t="s">
        <v>764</v>
      </c>
      <c r="H82" s="1006" t="s">
        <v>1362</v>
      </c>
      <c r="I82" s="1015" t="s">
        <v>1337</v>
      </c>
      <c r="J82" s="1012" t="s">
        <v>1368</v>
      </c>
      <c r="K82" s="1003" t="str">
        <f t="array" ref="K82">if(isblank(D82),"",xlookup(D82,'FL5_POR_包裝對照表 (Mapping Table)'!E:E,'FL5_POR_包裝對照表 (Mapping Table)'!AN:AN,"",0,1))</f>
        <v>G950-15935-04</v>
      </c>
      <c r="L82" s="1012" t="s">
        <v>1585</v>
      </c>
      <c r="M82" s="1012" t="s">
        <v>1367</v>
      </c>
      <c r="N82" s="1016">
        <v>451.63</v>
      </c>
      <c r="O82" s="1016">
        <v>444.65</v>
      </c>
      <c r="P82" s="1009">
        <v>45779.0</v>
      </c>
      <c r="Q82" s="1009">
        <v>45782.0</v>
      </c>
      <c r="R82" s="1009">
        <v>45782.0</v>
      </c>
      <c r="S82" s="1017"/>
      <c r="T82" s="514"/>
      <c r="U82" s="514"/>
      <c r="V82" s="514"/>
      <c r="W82" s="514"/>
      <c r="X82" s="514"/>
      <c r="Y82" s="514"/>
    </row>
    <row r="83">
      <c r="A83" s="1002">
        <v>81.0</v>
      </c>
      <c r="B83" s="1012" t="s">
        <v>277</v>
      </c>
      <c r="C83" s="1012" t="s">
        <v>278</v>
      </c>
      <c r="D83" s="1013" t="s">
        <v>877</v>
      </c>
      <c r="E83" s="1014" t="s">
        <v>470</v>
      </c>
      <c r="F83" s="1012" t="s">
        <v>289</v>
      </c>
      <c r="G83" s="1014" t="s">
        <v>764</v>
      </c>
      <c r="H83" s="1006" t="s">
        <v>1362</v>
      </c>
      <c r="I83" s="1015" t="s">
        <v>1337</v>
      </c>
      <c r="J83" s="1012" t="s">
        <v>1368</v>
      </c>
      <c r="K83" s="1003" t="str">
        <f t="array" ref="K83">if(isblank(D83),"",xlookup(D83,'FL5_POR_包裝對照表 (Mapping Table)'!E:E,'FL5_POR_包裝對照表 (Mapping Table)'!AN:AN,"",0,1))</f>
        <v>G950-15935-05</v>
      </c>
      <c r="L83" s="1012" t="s">
        <v>1596</v>
      </c>
      <c r="M83" s="1012" t="s">
        <v>1594</v>
      </c>
      <c r="N83" s="1016">
        <v>451.93</v>
      </c>
      <c r="O83" s="1016">
        <v>444.95</v>
      </c>
      <c r="P83" s="1009">
        <v>45779.0</v>
      </c>
      <c r="Q83" s="1009">
        <v>45782.0</v>
      </c>
      <c r="R83" s="1009">
        <v>45782.0</v>
      </c>
      <c r="S83" s="1017"/>
      <c r="T83" s="514"/>
      <c r="U83" s="514"/>
      <c r="V83" s="514"/>
      <c r="W83" s="514"/>
      <c r="X83" s="514"/>
      <c r="Y83" s="514"/>
    </row>
    <row r="84">
      <c r="A84" s="1011">
        <v>82.0</v>
      </c>
      <c r="B84" s="1012" t="s">
        <v>277</v>
      </c>
      <c r="C84" s="1012" t="s">
        <v>278</v>
      </c>
      <c r="D84" s="1030" t="s">
        <v>882</v>
      </c>
      <c r="E84" s="1014" t="s">
        <v>470</v>
      </c>
      <c r="F84" s="1012" t="s">
        <v>289</v>
      </c>
      <c r="G84" s="1014" t="s">
        <v>764</v>
      </c>
      <c r="H84" s="1006" t="s">
        <v>1362</v>
      </c>
      <c r="I84" s="1015" t="s">
        <v>1337</v>
      </c>
      <c r="J84" s="1012" t="s">
        <v>1368</v>
      </c>
      <c r="K84" s="1003" t="str">
        <f t="array" ref="K84">if(isblank(D84),"",xlookup(D84,'FL5_POR_包裝對照表 (Mapping Table)'!E:E,'FL5_POR_包裝對照表 (Mapping Table)'!AN:AN,"",0,1))</f>
        <v>G950-15935-06</v>
      </c>
      <c r="L84" s="1012" t="s">
        <v>1606</v>
      </c>
      <c r="M84" s="1012" t="s">
        <v>1604</v>
      </c>
      <c r="N84" s="1016">
        <v>452.03</v>
      </c>
      <c r="O84" s="1016">
        <v>445.05</v>
      </c>
      <c r="P84" s="1009">
        <v>45779.0</v>
      </c>
      <c r="Q84" s="1009">
        <v>45782.0</v>
      </c>
      <c r="R84" s="1009">
        <v>45782.0</v>
      </c>
      <c r="S84" s="1017"/>
      <c r="T84" s="514"/>
      <c r="U84" s="514"/>
      <c r="V84" s="514"/>
      <c r="W84" s="514"/>
      <c r="X84" s="514"/>
      <c r="Y84" s="514"/>
    </row>
    <row r="85">
      <c r="A85" s="1002">
        <v>83.0</v>
      </c>
      <c r="B85" s="1012" t="s">
        <v>277</v>
      </c>
      <c r="C85" s="1012" t="s">
        <v>278</v>
      </c>
      <c r="D85" s="1029" t="s">
        <v>887</v>
      </c>
      <c r="E85" s="1014" t="s">
        <v>470</v>
      </c>
      <c r="F85" s="1012" t="s">
        <v>289</v>
      </c>
      <c r="G85" s="1014" t="s">
        <v>764</v>
      </c>
      <c r="H85" s="1006" t="s">
        <v>1362</v>
      </c>
      <c r="I85" s="1015" t="s">
        <v>1337</v>
      </c>
      <c r="J85" s="1012" t="s">
        <v>1368</v>
      </c>
      <c r="K85" s="1003" t="str">
        <f t="array" ref="K85">if(isblank(D85),"",xlookup(D85,'FL5_POR_包裝對照表 (Mapping Table)'!E:E,'FL5_POR_包裝對照表 (Mapping Table)'!AN:AN,"",0,1))</f>
        <v>G950-15935-07</v>
      </c>
      <c r="L85" s="1012" t="s">
        <v>1614</v>
      </c>
      <c r="M85" s="1012" t="s">
        <v>1339</v>
      </c>
      <c r="N85" s="1016">
        <v>452.03</v>
      </c>
      <c r="O85" s="1016">
        <v>445.05</v>
      </c>
      <c r="P85" s="1009">
        <v>45779.0</v>
      </c>
      <c r="Q85" s="1009">
        <v>45782.0</v>
      </c>
      <c r="R85" s="1009">
        <v>45782.0</v>
      </c>
      <c r="S85" s="1017"/>
      <c r="T85" s="514"/>
      <c r="U85" s="514"/>
      <c r="V85" s="514"/>
      <c r="W85" s="514"/>
      <c r="X85" s="514"/>
      <c r="Y85" s="514"/>
    </row>
    <row r="86">
      <c r="A86" s="1011">
        <v>84.0</v>
      </c>
      <c r="B86" s="1012" t="s">
        <v>277</v>
      </c>
      <c r="C86" s="1012" t="s">
        <v>278</v>
      </c>
      <c r="D86" s="1031" t="s">
        <v>891</v>
      </c>
      <c r="E86" s="1014" t="s">
        <v>817</v>
      </c>
      <c r="F86" s="1012" t="s">
        <v>289</v>
      </c>
      <c r="G86" s="1014" t="s">
        <v>764</v>
      </c>
      <c r="H86" s="1006" t="s">
        <v>1362</v>
      </c>
      <c r="I86" s="1032" t="s">
        <v>1397</v>
      </c>
      <c r="J86" s="1012" t="s">
        <v>1399</v>
      </c>
      <c r="K86" s="1003" t="str">
        <f t="array" ref="K86">if(isblank(D86),"",xlookup(D86,'FL5_POR_包裝對照表 (Mapping Table)'!E:E,'FL5_POR_包裝對照表 (Mapping Table)'!AN:AN,"",0,1))</f>
        <v>G950-15935-14</v>
      </c>
      <c r="L86" s="1012" t="s">
        <v>1585</v>
      </c>
      <c r="M86" s="1012" t="s">
        <v>1367</v>
      </c>
      <c r="N86" s="1016">
        <v>434.17</v>
      </c>
      <c r="O86" s="1016">
        <v>427.19</v>
      </c>
      <c r="P86" s="1009">
        <v>45779.0</v>
      </c>
      <c r="Q86" s="1009">
        <v>45782.0</v>
      </c>
      <c r="R86" s="1009">
        <v>45782.0</v>
      </c>
      <c r="S86" s="1017"/>
      <c r="T86" s="514"/>
      <c r="U86" s="514"/>
      <c r="V86" s="514"/>
      <c r="W86" s="514"/>
      <c r="X86" s="514"/>
      <c r="Y86" s="514"/>
    </row>
    <row r="87">
      <c r="A87" s="1002">
        <v>85.0</v>
      </c>
      <c r="B87" s="1012" t="s">
        <v>277</v>
      </c>
      <c r="C87" s="1012" t="s">
        <v>278</v>
      </c>
      <c r="D87" s="1013" t="s">
        <v>896</v>
      </c>
      <c r="E87" s="1014" t="s">
        <v>817</v>
      </c>
      <c r="F87" s="1012" t="s">
        <v>289</v>
      </c>
      <c r="G87" s="1014" t="s">
        <v>764</v>
      </c>
      <c r="H87" s="1006" t="s">
        <v>1362</v>
      </c>
      <c r="I87" s="1032" t="s">
        <v>1397</v>
      </c>
      <c r="J87" s="1012" t="s">
        <v>1399</v>
      </c>
      <c r="K87" s="1003" t="str">
        <f t="array" ref="K87">if(isblank(D87),"",xlookup(D87,'FL5_POR_包裝對照表 (Mapping Table)'!E:E,'FL5_POR_包裝對照表 (Mapping Table)'!AN:AN,"",0,1))</f>
        <v>G950-15935-15</v>
      </c>
      <c r="L87" s="1012" t="s">
        <v>1596</v>
      </c>
      <c r="M87" s="1012" t="s">
        <v>1594</v>
      </c>
      <c r="N87" s="1016">
        <v>434.47</v>
      </c>
      <c r="O87" s="1016">
        <v>427.49</v>
      </c>
      <c r="P87" s="1009">
        <v>45779.0</v>
      </c>
      <c r="Q87" s="1009">
        <v>45782.0</v>
      </c>
      <c r="R87" s="1009">
        <v>45782.0</v>
      </c>
      <c r="S87" s="1017"/>
      <c r="T87" s="514"/>
      <c r="U87" s="514"/>
      <c r="V87" s="514"/>
      <c r="W87" s="514"/>
      <c r="X87" s="514"/>
      <c r="Y87" s="514"/>
    </row>
    <row r="88">
      <c r="A88" s="1011">
        <v>86.0</v>
      </c>
      <c r="B88" s="1012" t="s">
        <v>277</v>
      </c>
      <c r="C88" s="1012" t="s">
        <v>278</v>
      </c>
      <c r="D88" s="1030" t="s">
        <v>901</v>
      </c>
      <c r="E88" s="1014" t="s">
        <v>817</v>
      </c>
      <c r="F88" s="1012" t="s">
        <v>289</v>
      </c>
      <c r="G88" s="1014" t="s">
        <v>764</v>
      </c>
      <c r="H88" s="1006" t="s">
        <v>1362</v>
      </c>
      <c r="I88" s="1032" t="s">
        <v>1397</v>
      </c>
      <c r="J88" s="1012" t="s">
        <v>1399</v>
      </c>
      <c r="K88" s="1003" t="str">
        <f t="array" ref="K88">if(isblank(D88),"",xlookup(D88,'FL5_POR_包裝對照表 (Mapping Table)'!E:E,'FL5_POR_包裝對照表 (Mapping Table)'!AN:AN,"",0,1))</f>
        <v>G950-15935-16</v>
      </c>
      <c r="L88" s="1012" t="s">
        <v>1606</v>
      </c>
      <c r="M88" s="1012" t="s">
        <v>1604</v>
      </c>
      <c r="N88" s="1016">
        <v>434.57</v>
      </c>
      <c r="O88" s="1016">
        <v>427.59</v>
      </c>
      <c r="P88" s="1009">
        <v>45779.0</v>
      </c>
      <c r="Q88" s="1009">
        <v>45782.0</v>
      </c>
      <c r="R88" s="1009">
        <v>45782.0</v>
      </c>
      <c r="S88" s="1017"/>
      <c r="T88" s="514"/>
      <c r="U88" s="514"/>
      <c r="V88" s="514"/>
      <c r="W88" s="514"/>
      <c r="X88" s="514"/>
      <c r="Y88" s="514"/>
    </row>
    <row r="89">
      <c r="A89" s="1002">
        <v>87.0</v>
      </c>
      <c r="B89" s="1012" t="s">
        <v>277</v>
      </c>
      <c r="C89" s="1012" t="s">
        <v>278</v>
      </c>
      <c r="D89" s="1029" t="s">
        <v>906</v>
      </c>
      <c r="E89" s="1014" t="s">
        <v>817</v>
      </c>
      <c r="F89" s="1012" t="s">
        <v>289</v>
      </c>
      <c r="G89" s="1014" t="s">
        <v>764</v>
      </c>
      <c r="H89" s="1006" t="s">
        <v>1362</v>
      </c>
      <c r="I89" s="1032" t="s">
        <v>1397</v>
      </c>
      <c r="J89" s="1012" t="s">
        <v>1399</v>
      </c>
      <c r="K89" s="1003" t="str">
        <f t="array" ref="K89">if(isblank(D89),"",xlookup(D89,'FL5_POR_包裝對照表 (Mapping Table)'!E:E,'FL5_POR_包裝對照表 (Mapping Table)'!AN:AN,"",0,1))</f>
        <v>G950-15935-17</v>
      </c>
      <c r="L89" s="1012" t="s">
        <v>1614</v>
      </c>
      <c r="M89" s="1012" t="s">
        <v>1339</v>
      </c>
      <c r="N89" s="1016">
        <v>434.57</v>
      </c>
      <c r="O89" s="1016">
        <v>427.59</v>
      </c>
      <c r="P89" s="1009">
        <v>45779.0</v>
      </c>
      <c r="Q89" s="1009">
        <v>45782.0</v>
      </c>
      <c r="R89" s="1009">
        <v>45782.0</v>
      </c>
      <c r="S89" s="1017"/>
      <c r="T89" s="514"/>
      <c r="U89" s="514"/>
      <c r="V89" s="514"/>
      <c r="W89" s="514"/>
      <c r="X89" s="514"/>
      <c r="Y89" s="514"/>
    </row>
    <row r="90">
      <c r="A90" s="1011">
        <v>88.0</v>
      </c>
      <c r="B90" s="1012" t="s">
        <v>277</v>
      </c>
      <c r="C90" s="1012" t="s">
        <v>278</v>
      </c>
      <c r="D90" s="1031" t="s">
        <v>911</v>
      </c>
      <c r="E90" s="1014" t="s">
        <v>527</v>
      </c>
      <c r="F90" s="1012" t="s">
        <v>289</v>
      </c>
      <c r="G90" s="1014" t="s">
        <v>764</v>
      </c>
      <c r="H90" s="1006" t="s">
        <v>1362</v>
      </c>
      <c r="I90" s="1032" t="s">
        <v>1397</v>
      </c>
      <c r="J90" s="1012" t="s">
        <v>1399</v>
      </c>
      <c r="K90" s="1003" t="str">
        <f t="array" ref="K90">if(isblank(D90),"",xlookup(D90,'FL5_POR_包裝對照表 (Mapping Table)'!E:E,'FL5_POR_包裝對照表 (Mapping Table)'!AN:AN,"",0,1))</f>
        <v>G950-15935-14</v>
      </c>
      <c r="L90" s="1012" t="s">
        <v>1585</v>
      </c>
      <c r="M90" s="1012" t="s">
        <v>1367</v>
      </c>
      <c r="N90" s="1016">
        <v>434.17</v>
      </c>
      <c r="O90" s="1016">
        <v>427.19</v>
      </c>
      <c r="P90" s="1009">
        <v>45779.0</v>
      </c>
      <c r="Q90" s="1009">
        <v>45782.0</v>
      </c>
      <c r="R90" s="1009">
        <v>45782.0</v>
      </c>
      <c r="S90" s="1017"/>
      <c r="T90" s="514"/>
      <c r="U90" s="514"/>
      <c r="V90" s="514"/>
      <c r="W90" s="514"/>
      <c r="X90" s="514"/>
      <c r="Y90" s="514"/>
    </row>
    <row r="91">
      <c r="A91" s="1002">
        <v>89.0</v>
      </c>
      <c r="B91" s="1012" t="s">
        <v>277</v>
      </c>
      <c r="C91" s="1012" t="s">
        <v>278</v>
      </c>
      <c r="D91" s="1013" t="s">
        <v>916</v>
      </c>
      <c r="E91" s="1014" t="s">
        <v>527</v>
      </c>
      <c r="F91" s="1012" t="s">
        <v>289</v>
      </c>
      <c r="G91" s="1014" t="s">
        <v>764</v>
      </c>
      <c r="H91" s="1006" t="s">
        <v>1362</v>
      </c>
      <c r="I91" s="1032" t="s">
        <v>1397</v>
      </c>
      <c r="J91" s="1012" t="s">
        <v>1399</v>
      </c>
      <c r="K91" s="1003" t="str">
        <f t="array" ref="K91">if(isblank(D91),"",xlookup(D91,'FL5_POR_包裝對照表 (Mapping Table)'!E:E,'FL5_POR_包裝對照表 (Mapping Table)'!AN:AN,"",0,1))</f>
        <v>G950-15935-15</v>
      </c>
      <c r="L91" s="1012" t="s">
        <v>1596</v>
      </c>
      <c r="M91" s="1012" t="s">
        <v>1594</v>
      </c>
      <c r="N91" s="1016">
        <v>434.47</v>
      </c>
      <c r="O91" s="1016">
        <v>427.49</v>
      </c>
      <c r="P91" s="1009">
        <v>45779.0</v>
      </c>
      <c r="Q91" s="1009">
        <v>45782.0</v>
      </c>
      <c r="R91" s="1009">
        <v>45782.0</v>
      </c>
      <c r="S91" s="1017"/>
      <c r="T91" s="514"/>
      <c r="U91" s="514"/>
      <c r="V91" s="514"/>
      <c r="W91" s="514"/>
      <c r="X91" s="514"/>
      <c r="Y91" s="514"/>
    </row>
    <row r="92">
      <c r="A92" s="1011">
        <v>90.0</v>
      </c>
      <c r="B92" s="1012" t="s">
        <v>277</v>
      </c>
      <c r="C92" s="1012" t="s">
        <v>278</v>
      </c>
      <c r="D92" s="1030" t="s">
        <v>921</v>
      </c>
      <c r="E92" s="1014" t="s">
        <v>527</v>
      </c>
      <c r="F92" s="1012" t="s">
        <v>289</v>
      </c>
      <c r="G92" s="1014" t="s">
        <v>764</v>
      </c>
      <c r="H92" s="1006" t="s">
        <v>1362</v>
      </c>
      <c r="I92" s="1032" t="s">
        <v>1397</v>
      </c>
      <c r="J92" s="1012" t="s">
        <v>1399</v>
      </c>
      <c r="K92" s="1003" t="str">
        <f t="array" ref="K92">if(isblank(D92),"",xlookup(D92,'FL5_POR_包裝對照表 (Mapping Table)'!E:E,'FL5_POR_包裝對照表 (Mapping Table)'!AN:AN,"",0,1))</f>
        <v>G950-15935-16</v>
      </c>
      <c r="L92" s="1012" t="s">
        <v>1606</v>
      </c>
      <c r="M92" s="1012" t="s">
        <v>1604</v>
      </c>
      <c r="N92" s="1016">
        <v>434.57</v>
      </c>
      <c r="O92" s="1016">
        <v>427.59</v>
      </c>
      <c r="P92" s="1009">
        <v>45779.0</v>
      </c>
      <c r="Q92" s="1009">
        <v>45782.0</v>
      </c>
      <c r="R92" s="1009">
        <v>45782.0</v>
      </c>
      <c r="S92" s="1017"/>
      <c r="T92" s="514"/>
      <c r="U92" s="514"/>
      <c r="V92" s="514"/>
      <c r="W92" s="514"/>
      <c r="X92" s="514"/>
      <c r="Y92" s="514"/>
    </row>
    <row r="93">
      <c r="A93" s="1002">
        <v>91.0</v>
      </c>
      <c r="B93" s="1012" t="s">
        <v>277</v>
      </c>
      <c r="C93" s="1012" t="s">
        <v>278</v>
      </c>
      <c r="D93" s="1029" t="s">
        <v>926</v>
      </c>
      <c r="E93" s="1014" t="s">
        <v>527</v>
      </c>
      <c r="F93" s="1012" t="s">
        <v>289</v>
      </c>
      <c r="G93" s="1014" t="s">
        <v>764</v>
      </c>
      <c r="H93" s="1006" t="s">
        <v>1362</v>
      </c>
      <c r="I93" s="1032" t="s">
        <v>1397</v>
      </c>
      <c r="J93" s="1012" t="s">
        <v>1399</v>
      </c>
      <c r="K93" s="1003" t="str">
        <f t="array" ref="K93">if(isblank(D93),"",xlookup(D93,'FL5_POR_包裝對照表 (Mapping Table)'!E:E,'FL5_POR_包裝對照表 (Mapping Table)'!AN:AN,"",0,1))</f>
        <v>G950-15935-17</v>
      </c>
      <c r="L93" s="1012" t="s">
        <v>1614</v>
      </c>
      <c r="M93" s="1012" t="s">
        <v>1339</v>
      </c>
      <c r="N93" s="1016">
        <v>434.57</v>
      </c>
      <c r="O93" s="1016">
        <v>427.59</v>
      </c>
      <c r="P93" s="1009">
        <v>45779.0</v>
      </c>
      <c r="Q93" s="1009">
        <v>45782.0</v>
      </c>
      <c r="R93" s="1009">
        <v>45782.0</v>
      </c>
      <c r="S93" s="1017"/>
      <c r="T93" s="514"/>
      <c r="U93" s="514"/>
      <c r="V93" s="514"/>
      <c r="W93" s="514"/>
      <c r="X93" s="514"/>
      <c r="Y93" s="514"/>
    </row>
    <row r="94">
      <c r="A94" s="1011">
        <v>92.0</v>
      </c>
      <c r="B94" s="1012" t="s">
        <v>277</v>
      </c>
      <c r="C94" s="1012" t="s">
        <v>278</v>
      </c>
      <c r="D94" s="1031" t="s">
        <v>931</v>
      </c>
      <c r="E94" s="1014" t="s">
        <v>470</v>
      </c>
      <c r="F94" s="1012" t="s">
        <v>283</v>
      </c>
      <c r="G94" s="1014" t="s">
        <v>408</v>
      </c>
      <c r="H94" s="1006" t="s">
        <v>1362</v>
      </c>
      <c r="I94" s="1015" t="s">
        <v>1337</v>
      </c>
      <c r="J94" s="1012" t="s">
        <v>1368</v>
      </c>
      <c r="K94" s="1003" t="str">
        <f t="array" ref="K94">if(isblank(D94),"",xlookup(D94,'FL5_POR_包裝對照表 (Mapping Table)'!E:E,'FL5_POR_包裝對照表 (Mapping Table)'!AN:AN,"",0,1))</f>
        <v>G950-15935-00</v>
      </c>
      <c r="L94" s="1012" t="s">
        <v>1585</v>
      </c>
      <c r="M94" s="1012" t="s">
        <v>1367</v>
      </c>
      <c r="N94" s="1016">
        <v>464.81</v>
      </c>
      <c r="O94" s="1016">
        <v>440.09</v>
      </c>
      <c r="P94" s="1009">
        <v>45779.0</v>
      </c>
      <c r="Q94" s="1009">
        <v>45782.0</v>
      </c>
      <c r="R94" s="1009">
        <v>45782.0</v>
      </c>
      <c r="S94" s="1017"/>
      <c r="T94" s="514"/>
      <c r="U94" s="514"/>
      <c r="V94" s="514"/>
      <c r="W94" s="514"/>
      <c r="X94" s="514"/>
      <c r="Y94" s="514"/>
    </row>
    <row r="95">
      <c r="A95" s="1002">
        <v>93.0</v>
      </c>
      <c r="B95" s="1012" t="s">
        <v>277</v>
      </c>
      <c r="C95" s="1012" t="s">
        <v>278</v>
      </c>
      <c r="D95" s="1013" t="s">
        <v>936</v>
      </c>
      <c r="E95" s="1014" t="s">
        <v>470</v>
      </c>
      <c r="F95" s="1012" t="s">
        <v>283</v>
      </c>
      <c r="G95" s="1014" t="s">
        <v>408</v>
      </c>
      <c r="H95" s="1006" t="s">
        <v>1362</v>
      </c>
      <c r="I95" s="1015" t="s">
        <v>1337</v>
      </c>
      <c r="J95" s="1012" t="s">
        <v>1368</v>
      </c>
      <c r="K95" s="1003" t="str">
        <f t="array" ref="K95">if(isblank(D95),"",xlookup(D95,'FL5_POR_包裝對照表 (Mapping Table)'!E:E,'FL5_POR_包裝對照表 (Mapping Table)'!AN:AN,"",0,1))</f>
        <v>G950-15935-01</v>
      </c>
      <c r="L95" s="1012" t="s">
        <v>1596</v>
      </c>
      <c r="M95" s="1012" t="s">
        <v>1594</v>
      </c>
      <c r="N95" s="1016">
        <v>460.98</v>
      </c>
      <c r="O95" s="1016">
        <v>440.39</v>
      </c>
      <c r="P95" s="1009">
        <v>45779.0</v>
      </c>
      <c r="Q95" s="1009">
        <v>45782.0</v>
      </c>
      <c r="R95" s="1009">
        <v>45782.0</v>
      </c>
      <c r="S95" s="1017"/>
      <c r="T95" s="514"/>
      <c r="U95" s="514"/>
      <c r="V95" s="514"/>
      <c r="W95" s="514"/>
      <c r="X95" s="514"/>
      <c r="Y95" s="514"/>
    </row>
    <row r="96">
      <c r="A96" s="1011">
        <v>94.0</v>
      </c>
      <c r="B96" s="1012" t="s">
        <v>277</v>
      </c>
      <c r="C96" s="1012" t="s">
        <v>278</v>
      </c>
      <c r="D96" s="1030" t="s">
        <v>941</v>
      </c>
      <c r="E96" s="1014" t="s">
        <v>470</v>
      </c>
      <c r="F96" s="1012" t="s">
        <v>283</v>
      </c>
      <c r="G96" s="1014" t="s">
        <v>408</v>
      </c>
      <c r="H96" s="1006" t="s">
        <v>1362</v>
      </c>
      <c r="I96" s="1015" t="s">
        <v>1337</v>
      </c>
      <c r="J96" s="1012" t="s">
        <v>1368</v>
      </c>
      <c r="K96" s="1003" t="str">
        <f t="array" ref="K96">if(isblank(D96),"",xlookup(D96,'FL5_POR_包裝對照表 (Mapping Table)'!E:E,'FL5_POR_包裝對照表 (Mapping Table)'!AN:AN,"",0,1))</f>
        <v>G950-15935-02</v>
      </c>
      <c r="L96" s="1012" t="s">
        <v>1606</v>
      </c>
      <c r="M96" s="1012" t="s">
        <v>1604</v>
      </c>
      <c r="N96" s="1016">
        <v>426.51</v>
      </c>
      <c r="O96" s="1016">
        <v>440.49</v>
      </c>
      <c r="P96" s="1009">
        <v>45779.0</v>
      </c>
      <c r="Q96" s="1009">
        <v>45782.0</v>
      </c>
      <c r="R96" s="1009">
        <v>45782.0</v>
      </c>
      <c r="S96" s="1017"/>
      <c r="T96" s="514"/>
      <c r="U96" s="514"/>
      <c r="V96" s="514"/>
      <c r="W96" s="514"/>
      <c r="X96" s="514"/>
      <c r="Y96" s="514"/>
    </row>
    <row r="97">
      <c r="A97" s="1002">
        <v>95.0</v>
      </c>
      <c r="B97" s="1012" t="s">
        <v>277</v>
      </c>
      <c r="C97" s="1012" t="s">
        <v>278</v>
      </c>
      <c r="D97" s="1029" t="s">
        <v>946</v>
      </c>
      <c r="E97" s="1014" t="s">
        <v>470</v>
      </c>
      <c r="F97" s="1012" t="s">
        <v>283</v>
      </c>
      <c r="G97" s="1014" t="s">
        <v>408</v>
      </c>
      <c r="H97" s="1006" t="s">
        <v>1362</v>
      </c>
      <c r="I97" s="1015" t="s">
        <v>1337</v>
      </c>
      <c r="J97" s="1012" t="s">
        <v>1368</v>
      </c>
      <c r="K97" s="1003" t="str">
        <f t="array" ref="K97">if(isblank(D97),"",xlookup(D97,'FL5_POR_包裝對照表 (Mapping Table)'!E:E,'FL5_POR_包裝對照表 (Mapping Table)'!AN:AN,"",0,1))</f>
        <v>G950-15935-03</v>
      </c>
      <c r="L97" s="1012" t="s">
        <v>1614</v>
      </c>
      <c r="M97" s="1012" t="s">
        <v>1339</v>
      </c>
      <c r="N97" s="1016">
        <v>426.51</v>
      </c>
      <c r="O97" s="1016">
        <v>440.49</v>
      </c>
      <c r="P97" s="1009">
        <v>45779.0</v>
      </c>
      <c r="Q97" s="1009">
        <v>45782.0</v>
      </c>
      <c r="R97" s="1009">
        <v>45782.0</v>
      </c>
      <c r="S97" s="1017"/>
      <c r="T97" s="514"/>
      <c r="U97" s="514"/>
      <c r="V97" s="514"/>
      <c r="W97" s="514"/>
      <c r="X97" s="514"/>
      <c r="Y97" s="514"/>
    </row>
    <row r="98">
      <c r="A98" s="1011">
        <v>96.0</v>
      </c>
      <c r="B98" s="1012" t="s">
        <v>277</v>
      </c>
      <c r="C98" s="1012" t="s">
        <v>278</v>
      </c>
      <c r="D98" s="1031" t="s">
        <v>951</v>
      </c>
      <c r="E98" s="1014" t="s">
        <v>554</v>
      </c>
      <c r="F98" s="1012" t="s">
        <v>283</v>
      </c>
      <c r="G98" s="1014" t="s">
        <v>408</v>
      </c>
      <c r="H98" s="1006" t="s">
        <v>1362</v>
      </c>
      <c r="I98" s="1043" t="s">
        <v>1385</v>
      </c>
      <c r="J98" s="1012" t="s">
        <v>1385</v>
      </c>
      <c r="K98" s="1003" t="str">
        <f t="array" ref="K98">if(isblank(D98),"",xlookup(D98,'FL5_POR_包裝對照表 (Mapping Table)'!E:E,'FL5_POR_包裝對照表 (Mapping Table)'!AN:AN,"",0,1))</f>
        <v>G950-15935-10</v>
      </c>
      <c r="L98" s="1012" t="s">
        <v>1585</v>
      </c>
      <c r="M98" s="1012" t="s">
        <v>1367</v>
      </c>
      <c r="N98" s="1016">
        <v>427.55</v>
      </c>
      <c r="O98" s="1016">
        <v>422.69</v>
      </c>
      <c r="P98" s="1009">
        <v>45779.0</v>
      </c>
      <c r="Q98" s="1009">
        <v>45782.0</v>
      </c>
      <c r="R98" s="1009">
        <v>45782.0</v>
      </c>
      <c r="S98" s="1017"/>
      <c r="T98" s="514"/>
      <c r="U98" s="514"/>
      <c r="V98" s="514"/>
      <c r="W98" s="514"/>
      <c r="X98" s="514"/>
      <c r="Y98" s="514"/>
    </row>
    <row r="99">
      <c r="A99" s="1002">
        <v>97.0</v>
      </c>
      <c r="B99" s="1012" t="s">
        <v>277</v>
      </c>
      <c r="C99" s="1012" t="s">
        <v>278</v>
      </c>
      <c r="D99" s="1013" t="s">
        <v>956</v>
      </c>
      <c r="E99" s="1014" t="s">
        <v>554</v>
      </c>
      <c r="F99" s="1012" t="s">
        <v>283</v>
      </c>
      <c r="G99" s="1014" t="s">
        <v>408</v>
      </c>
      <c r="H99" s="1006" t="s">
        <v>1362</v>
      </c>
      <c r="I99" s="1043" t="s">
        <v>1385</v>
      </c>
      <c r="J99" s="1012" t="s">
        <v>1385</v>
      </c>
      <c r="K99" s="1003" t="str">
        <f t="array" ref="K99">if(isblank(D99),"",xlookup(D99,'FL5_POR_包裝對照表 (Mapping Table)'!E:E,'FL5_POR_包裝對照表 (Mapping Table)'!AN:AN,"",0,1))</f>
        <v>G950-15935-11</v>
      </c>
      <c r="L99" s="1012" t="s">
        <v>1596</v>
      </c>
      <c r="M99" s="1012" t="s">
        <v>1594</v>
      </c>
      <c r="N99" s="1016">
        <v>441.69</v>
      </c>
      <c r="O99" s="1016">
        <v>422.99</v>
      </c>
      <c r="P99" s="1009">
        <v>45779.0</v>
      </c>
      <c r="Q99" s="1009">
        <v>45782.0</v>
      </c>
      <c r="R99" s="1009">
        <v>45782.0</v>
      </c>
      <c r="S99" s="1017"/>
      <c r="T99" s="514"/>
      <c r="U99" s="514"/>
      <c r="V99" s="514"/>
      <c r="W99" s="514"/>
      <c r="X99" s="514"/>
      <c r="Y99" s="514"/>
    </row>
    <row r="100">
      <c r="A100" s="1011">
        <v>98.0</v>
      </c>
      <c r="B100" s="1012" t="s">
        <v>277</v>
      </c>
      <c r="C100" s="1012" t="s">
        <v>278</v>
      </c>
      <c r="D100" s="1030" t="s">
        <v>961</v>
      </c>
      <c r="E100" s="1014" t="s">
        <v>554</v>
      </c>
      <c r="F100" s="1012" t="s">
        <v>283</v>
      </c>
      <c r="G100" s="1014" t="s">
        <v>408</v>
      </c>
      <c r="H100" s="1006" t="s">
        <v>1362</v>
      </c>
      <c r="I100" s="1043" t="s">
        <v>1385</v>
      </c>
      <c r="J100" s="1012" t="s">
        <v>1385</v>
      </c>
      <c r="K100" s="1003" t="str">
        <f t="array" ref="K100">if(isblank(D100),"",xlookup(D100,'FL5_POR_包裝對照表 (Mapping Table)'!E:E,'FL5_POR_包裝對照表 (Mapping Table)'!AN:AN,"",0,1))</f>
        <v>G950-15935-12</v>
      </c>
      <c r="L100" s="1012" t="s">
        <v>1606</v>
      </c>
      <c r="M100" s="1012" t="s">
        <v>1604</v>
      </c>
      <c r="N100" s="1016">
        <v>445.62</v>
      </c>
      <c r="O100" s="1016">
        <v>423.09</v>
      </c>
      <c r="P100" s="1009">
        <v>45779.0</v>
      </c>
      <c r="Q100" s="1009">
        <v>45782.0</v>
      </c>
      <c r="R100" s="1009">
        <v>45782.0</v>
      </c>
      <c r="S100" s="1017"/>
      <c r="T100" s="514"/>
      <c r="U100" s="514"/>
      <c r="V100" s="514"/>
      <c r="W100" s="514"/>
      <c r="X100" s="514"/>
      <c r="Y100" s="514"/>
    </row>
    <row r="101">
      <c r="A101" s="1002">
        <v>99.0</v>
      </c>
      <c r="B101" s="1012" t="s">
        <v>277</v>
      </c>
      <c r="C101" s="1012" t="s">
        <v>278</v>
      </c>
      <c r="D101" s="1029" t="s">
        <v>966</v>
      </c>
      <c r="E101" s="1014" t="s">
        <v>554</v>
      </c>
      <c r="F101" s="1012" t="s">
        <v>283</v>
      </c>
      <c r="G101" s="1014" t="s">
        <v>408</v>
      </c>
      <c r="H101" s="1006" t="s">
        <v>1362</v>
      </c>
      <c r="I101" s="1043" t="s">
        <v>1385</v>
      </c>
      <c r="J101" s="1012" t="s">
        <v>1385</v>
      </c>
      <c r="K101" s="1003" t="str">
        <f t="array" ref="K101">if(isblank(D101),"",xlookup(D101,'FL5_POR_包裝對照表 (Mapping Table)'!E:E,'FL5_POR_包裝對照表 (Mapping Table)'!AN:AN,"",0,1))</f>
        <v>G950-15935-13</v>
      </c>
      <c r="L101" s="1012" t="s">
        <v>1614</v>
      </c>
      <c r="M101" s="1012" t="s">
        <v>1339</v>
      </c>
      <c r="N101" s="1016">
        <v>441.46</v>
      </c>
      <c r="O101" s="1016">
        <v>423.09</v>
      </c>
      <c r="P101" s="1009">
        <v>45779.0</v>
      </c>
      <c r="Q101" s="1009">
        <v>45782.0</v>
      </c>
      <c r="R101" s="1009">
        <v>45782.0</v>
      </c>
      <c r="S101" s="1017"/>
      <c r="T101" s="514"/>
      <c r="U101" s="514"/>
      <c r="V101" s="514"/>
      <c r="W101" s="514"/>
      <c r="X101" s="514"/>
      <c r="Y101" s="514"/>
    </row>
    <row r="102">
      <c r="A102" s="1011">
        <v>100.0</v>
      </c>
      <c r="B102" s="1012" t="s">
        <v>277</v>
      </c>
      <c r="C102" s="1012" t="s">
        <v>278</v>
      </c>
      <c r="D102" s="1031" t="s">
        <v>971</v>
      </c>
      <c r="E102" s="1014" t="s">
        <v>492</v>
      </c>
      <c r="F102" s="1012" t="s">
        <v>283</v>
      </c>
      <c r="G102" s="1014" t="s">
        <v>408</v>
      </c>
      <c r="H102" s="1006" t="s">
        <v>1362</v>
      </c>
      <c r="I102" s="1032" t="s">
        <v>1397</v>
      </c>
      <c r="J102" s="1012" t="s">
        <v>1399</v>
      </c>
      <c r="K102" s="1003" t="str">
        <f t="array" ref="K102">if(isblank(D102),"",xlookup(D102,'FL5_POR_包裝對照表 (Mapping Table)'!E:E,'FL5_POR_包裝對照表 (Mapping Table)'!AN:AN,"",0,1))</f>
        <v>G950-15935-10</v>
      </c>
      <c r="L102" s="1012" t="s">
        <v>1585</v>
      </c>
      <c r="M102" s="1012" t="s">
        <v>1367</v>
      </c>
      <c r="N102" s="1016">
        <v>427.23</v>
      </c>
      <c r="O102" s="1016">
        <v>422.71</v>
      </c>
      <c r="P102" s="1009">
        <v>45779.0</v>
      </c>
      <c r="Q102" s="1009">
        <v>45782.0</v>
      </c>
      <c r="R102" s="1009">
        <v>45782.0</v>
      </c>
      <c r="S102" s="1017"/>
      <c r="T102" s="514"/>
      <c r="U102" s="514"/>
      <c r="V102" s="514"/>
      <c r="W102" s="514"/>
      <c r="X102" s="514"/>
      <c r="Y102" s="514"/>
    </row>
    <row r="103">
      <c r="A103" s="1002">
        <v>101.0</v>
      </c>
      <c r="B103" s="1012" t="s">
        <v>277</v>
      </c>
      <c r="C103" s="1012" t="s">
        <v>278</v>
      </c>
      <c r="D103" s="1013" t="s">
        <v>976</v>
      </c>
      <c r="E103" s="1014" t="s">
        <v>492</v>
      </c>
      <c r="F103" s="1012" t="s">
        <v>283</v>
      </c>
      <c r="G103" s="1014" t="s">
        <v>408</v>
      </c>
      <c r="H103" s="1006" t="s">
        <v>1362</v>
      </c>
      <c r="I103" s="1032" t="s">
        <v>1397</v>
      </c>
      <c r="J103" s="1012" t="s">
        <v>1399</v>
      </c>
      <c r="K103" s="1003" t="str">
        <f t="array" ref="K103">if(isblank(D103),"",xlookup(D103,'FL5_POR_包裝對照表 (Mapping Table)'!E:E,'FL5_POR_包裝對照表 (Mapping Table)'!AN:AN,"",0,1))</f>
        <v>G950-15935-11</v>
      </c>
      <c r="L103" s="1012" t="s">
        <v>1596</v>
      </c>
      <c r="M103" s="1012" t="s">
        <v>1594</v>
      </c>
      <c r="N103" s="1016">
        <v>441.37</v>
      </c>
      <c r="O103" s="1016">
        <v>423.01</v>
      </c>
      <c r="P103" s="1009">
        <v>45779.0</v>
      </c>
      <c r="Q103" s="1009">
        <v>45782.0</v>
      </c>
      <c r="R103" s="1009">
        <v>45782.0</v>
      </c>
      <c r="S103" s="1017"/>
      <c r="T103" s="514"/>
      <c r="U103" s="514"/>
      <c r="V103" s="514"/>
      <c r="W103" s="514"/>
      <c r="X103" s="514"/>
      <c r="Y103" s="514"/>
    </row>
    <row r="104">
      <c r="A104" s="1011">
        <v>102.0</v>
      </c>
      <c r="B104" s="1012" t="s">
        <v>277</v>
      </c>
      <c r="C104" s="1012" t="s">
        <v>278</v>
      </c>
      <c r="D104" s="1030" t="s">
        <v>981</v>
      </c>
      <c r="E104" s="1014" t="s">
        <v>492</v>
      </c>
      <c r="F104" s="1012" t="s">
        <v>283</v>
      </c>
      <c r="G104" s="1014" t="s">
        <v>408</v>
      </c>
      <c r="H104" s="1006" t="s">
        <v>1362</v>
      </c>
      <c r="I104" s="1032" t="s">
        <v>1397</v>
      </c>
      <c r="J104" s="1012" t="s">
        <v>1399</v>
      </c>
      <c r="K104" s="1003" t="str">
        <f t="array" ref="K104">if(isblank(D104),"",xlookup(D104,'FL5_POR_包裝對照表 (Mapping Table)'!E:E,'FL5_POR_包裝對照表 (Mapping Table)'!AN:AN,"",0,1))</f>
        <v>G950-15935-12</v>
      </c>
      <c r="L104" s="1012" t="s">
        <v>1606</v>
      </c>
      <c r="M104" s="1012" t="s">
        <v>1604</v>
      </c>
      <c r="N104" s="1016">
        <v>445.06</v>
      </c>
      <c r="O104" s="1016">
        <v>423.11</v>
      </c>
      <c r="P104" s="1009">
        <v>45779.0</v>
      </c>
      <c r="Q104" s="1009">
        <v>45782.0</v>
      </c>
      <c r="R104" s="1009">
        <v>45782.0</v>
      </c>
      <c r="S104" s="1017"/>
      <c r="T104" s="514"/>
      <c r="U104" s="514"/>
      <c r="V104" s="514"/>
      <c r="W104" s="514"/>
      <c r="X104" s="514"/>
      <c r="Y104" s="514"/>
    </row>
    <row r="105">
      <c r="A105" s="1002">
        <v>103.0</v>
      </c>
      <c r="B105" s="1012" t="s">
        <v>277</v>
      </c>
      <c r="C105" s="1012" t="s">
        <v>278</v>
      </c>
      <c r="D105" s="1029" t="s">
        <v>986</v>
      </c>
      <c r="E105" s="1014" t="s">
        <v>492</v>
      </c>
      <c r="F105" s="1012" t="s">
        <v>283</v>
      </c>
      <c r="G105" s="1014" t="s">
        <v>408</v>
      </c>
      <c r="H105" s="1006" t="s">
        <v>1362</v>
      </c>
      <c r="I105" s="1032" t="s">
        <v>1397</v>
      </c>
      <c r="J105" s="1012" t="s">
        <v>1399</v>
      </c>
      <c r="K105" s="1003" t="str">
        <f t="array" ref="K105">if(isblank(D105),"",xlookup(D105,'FL5_POR_包裝對照表 (Mapping Table)'!E:E,'FL5_POR_包裝對照表 (Mapping Table)'!AN:AN,"",0,1))</f>
        <v>G950-15935-13</v>
      </c>
      <c r="L105" s="1012" t="s">
        <v>1614</v>
      </c>
      <c r="M105" s="1012" t="s">
        <v>1339</v>
      </c>
      <c r="N105" s="1016">
        <v>441.14</v>
      </c>
      <c r="O105" s="1016">
        <v>423.11</v>
      </c>
      <c r="P105" s="1009">
        <v>45779.0</v>
      </c>
      <c r="Q105" s="1009">
        <v>45782.0</v>
      </c>
      <c r="R105" s="1009">
        <v>45782.0</v>
      </c>
      <c r="S105" s="1017"/>
      <c r="T105" s="514"/>
      <c r="U105" s="514"/>
      <c r="V105" s="514"/>
      <c r="W105" s="514"/>
      <c r="X105" s="514"/>
      <c r="Y105" s="514"/>
    </row>
    <row r="106">
      <c r="A106" s="1011">
        <v>104.0</v>
      </c>
      <c r="B106" s="1012" t="s">
        <v>277</v>
      </c>
      <c r="C106" s="1012" t="s">
        <v>278</v>
      </c>
      <c r="D106" s="1031" t="s">
        <v>991</v>
      </c>
      <c r="E106" s="1014" t="s">
        <v>992</v>
      </c>
      <c r="F106" s="1012" t="s">
        <v>283</v>
      </c>
      <c r="G106" s="1014" t="s">
        <v>408</v>
      </c>
      <c r="H106" s="1006" t="s">
        <v>1362</v>
      </c>
      <c r="I106" s="1032" t="s">
        <v>1397</v>
      </c>
      <c r="J106" s="1012" t="s">
        <v>1399</v>
      </c>
      <c r="K106" s="1003" t="str">
        <f t="array" ref="K106">if(isblank(D106),"",xlookup(D106,'FL5_POR_包裝對照表 (Mapping Table)'!E:E,'FL5_POR_包裝對照表 (Mapping Table)'!AN:AN,"",0,1))</f>
        <v>G950-15935-10</v>
      </c>
      <c r="L106" s="1012" t="s">
        <v>1585</v>
      </c>
      <c r="M106" s="1012" t="s">
        <v>1367</v>
      </c>
      <c r="N106" s="1016">
        <v>430.2</v>
      </c>
      <c r="O106" s="1016">
        <v>423.22</v>
      </c>
      <c r="P106" s="1009">
        <v>45779.0</v>
      </c>
      <c r="Q106" s="1009">
        <v>45782.0</v>
      </c>
      <c r="R106" s="1009">
        <v>45782.0</v>
      </c>
      <c r="S106" s="1017"/>
      <c r="T106" s="514"/>
      <c r="U106" s="514"/>
      <c r="V106" s="514"/>
      <c r="W106" s="514"/>
      <c r="X106" s="514"/>
      <c r="Y106" s="514"/>
    </row>
    <row r="107">
      <c r="A107" s="1002">
        <v>105.0</v>
      </c>
      <c r="B107" s="1012" t="s">
        <v>277</v>
      </c>
      <c r="C107" s="1012" t="s">
        <v>278</v>
      </c>
      <c r="D107" s="1013" t="s">
        <v>997</v>
      </c>
      <c r="E107" s="1014" t="s">
        <v>992</v>
      </c>
      <c r="F107" s="1012" t="s">
        <v>283</v>
      </c>
      <c r="G107" s="1014" t="s">
        <v>408</v>
      </c>
      <c r="H107" s="1006" t="s">
        <v>1362</v>
      </c>
      <c r="I107" s="1032" t="s">
        <v>1397</v>
      </c>
      <c r="J107" s="1012" t="s">
        <v>1399</v>
      </c>
      <c r="K107" s="1003" t="str">
        <f t="array" ref="K107">if(isblank(D107),"",xlookup(D107,'FL5_POR_包裝對照表 (Mapping Table)'!E:E,'FL5_POR_包裝對照表 (Mapping Table)'!AN:AN,"",0,1))</f>
        <v>G950-15935-11</v>
      </c>
      <c r="L107" s="1012" t="s">
        <v>1596</v>
      </c>
      <c r="M107" s="1012" t="s">
        <v>1594</v>
      </c>
      <c r="N107" s="1016">
        <v>430.5</v>
      </c>
      <c r="O107" s="1016">
        <v>423.52</v>
      </c>
      <c r="P107" s="1009">
        <v>45779.0</v>
      </c>
      <c r="Q107" s="1009">
        <v>45782.0</v>
      </c>
      <c r="R107" s="1009">
        <v>45782.0</v>
      </c>
      <c r="S107" s="1017"/>
      <c r="T107" s="514"/>
      <c r="U107" s="514"/>
      <c r="V107" s="514"/>
      <c r="W107" s="514"/>
      <c r="X107" s="514"/>
      <c r="Y107" s="514"/>
    </row>
    <row r="108">
      <c r="A108" s="1011">
        <v>106.0</v>
      </c>
      <c r="B108" s="1012" t="s">
        <v>277</v>
      </c>
      <c r="C108" s="1012" t="s">
        <v>278</v>
      </c>
      <c r="D108" s="1030" t="s">
        <v>1002</v>
      </c>
      <c r="E108" s="1014" t="s">
        <v>992</v>
      </c>
      <c r="F108" s="1012" t="s">
        <v>283</v>
      </c>
      <c r="G108" s="1014" t="s">
        <v>408</v>
      </c>
      <c r="H108" s="1006" t="s">
        <v>1362</v>
      </c>
      <c r="I108" s="1032" t="s">
        <v>1397</v>
      </c>
      <c r="J108" s="1012" t="s">
        <v>1399</v>
      </c>
      <c r="K108" s="1003" t="str">
        <f t="array" ref="K108">if(isblank(D108),"",xlookup(D108,'FL5_POR_包裝對照表 (Mapping Table)'!E:E,'FL5_POR_包裝對照表 (Mapping Table)'!AN:AN,"",0,1))</f>
        <v>G950-15935-12</v>
      </c>
      <c r="L108" s="1012" t="s">
        <v>1606</v>
      </c>
      <c r="M108" s="1012" t="s">
        <v>1604</v>
      </c>
      <c r="N108" s="1016">
        <v>430.6</v>
      </c>
      <c r="O108" s="1016">
        <v>423.62</v>
      </c>
      <c r="P108" s="1009">
        <v>45779.0</v>
      </c>
      <c r="Q108" s="1009">
        <v>45782.0</v>
      </c>
      <c r="R108" s="1009">
        <v>45782.0</v>
      </c>
      <c r="S108" s="1017"/>
      <c r="T108" s="514"/>
      <c r="U108" s="514"/>
      <c r="V108" s="514"/>
      <c r="W108" s="514"/>
      <c r="X108" s="514"/>
      <c r="Y108" s="514"/>
    </row>
    <row r="109">
      <c r="A109" s="1002">
        <v>107.0</v>
      </c>
      <c r="B109" s="1012" t="s">
        <v>277</v>
      </c>
      <c r="C109" s="1012" t="s">
        <v>278</v>
      </c>
      <c r="D109" s="1029" t="s">
        <v>1007</v>
      </c>
      <c r="E109" s="1014" t="s">
        <v>992</v>
      </c>
      <c r="F109" s="1012" t="s">
        <v>283</v>
      </c>
      <c r="G109" s="1014" t="s">
        <v>408</v>
      </c>
      <c r="H109" s="1006" t="s">
        <v>1362</v>
      </c>
      <c r="I109" s="1032" t="s">
        <v>1397</v>
      </c>
      <c r="J109" s="1012" t="s">
        <v>1399</v>
      </c>
      <c r="K109" s="1003" t="str">
        <f t="array" ref="K109">if(isblank(D109),"",xlookup(D109,'FL5_POR_包裝對照表 (Mapping Table)'!E:E,'FL5_POR_包裝對照表 (Mapping Table)'!AN:AN,"",0,1))</f>
        <v>G950-15935-13</v>
      </c>
      <c r="L109" s="1012" t="s">
        <v>1614</v>
      </c>
      <c r="M109" s="1012" t="s">
        <v>1339</v>
      </c>
      <c r="N109" s="1016">
        <v>430.6</v>
      </c>
      <c r="O109" s="1016">
        <v>423.62</v>
      </c>
      <c r="P109" s="1009">
        <v>45779.0</v>
      </c>
      <c r="Q109" s="1009">
        <v>45782.0</v>
      </c>
      <c r="R109" s="1009">
        <v>45782.0</v>
      </c>
      <c r="S109" s="1017"/>
      <c r="T109" s="514"/>
      <c r="U109" s="514"/>
      <c r="V109" s="514"/>
      <c r="W109" s="514"/>
      <c r="X109" s="514"/>
      <c r="Y109" s="514"/>
    </row>
    <row r="110">
      <c r="A110" s="1011">
        <v>108.0</v>
      </c>
      <c r="B110" s="1012" t="s">
        <v>277</v>
      </c>
      <c r="C110" s="1012" t="s">
        <v>278</v>
      </c>
      <c r="D110" s="1031" t="s">
        <v>1012</v>
      </c>
      <c r="E110" s="1014" t="s">
        <v>458</v>
      </c>
      <c r="F110" s="1012" t="s">
        <v>287</v>
      </c>
      <c r="G110" s="1014" t="s">
        <v>408</v>
      </c>
      <c r="H110" s="1006" t="s">
        <v>1362</v>
      </c>
      <c r="I110" s="1015" t="s">
        <v>1337</v>
      </c>
      <c r="J110" s="1012" t="s">
        <v>1087</v>
      </c>
      <c r="K110" s="1003" t="str">
        <f t="array" ref="K110">if(isblank(D110),"",xlookup(D110,'FL5_POR_包裝對照表 (Mapping Table)'!E:E,'FL5_POR_包裝對照表 (Mapping Table)'!AN:AN,"",0,1))</f>
        <v>G950-15935-00</v>
      </c>
      <c r="L110" s="1012" t="s">
        <v>1585</v>
      </c>
      <c r="M110" s="1012" t="s">
        <v>1367</v>
      </c>
      <c r="N110" s="1016">
        <v>447.04</v>
      </c>
      <c r="O110" s="1016">
        <v>440.06</v>
      </c>
      <c r="P110" s="1009">
        <v>45779.0</v>
      </c>
      <c r="Q110" s="1009">
        <v>45782.0</v>
      </c>
      <c r="R110" s="1009">
        <v>45782.0</v>
      </c>
      <c r="S110" s="1017"/>
      <c r="T110" s="514"/>
      <c r="U110" s="514"/>
      <c r="V110" s="514"/>
      <c r="W110" s="514"/>
      <c r="X110" s="514"/>
      <c r="Y110" s="514"/>
    </row>
    <row r="111">
      <c r="A111" s="1002">
        <v>109.0</v>
      </c>
      <c r="B111" s="1012" t="s">
        <v>277</v>
      </c>
      <c r="C111" s="1012" t="s">
        <v>278</v>
      </c>
      <c r="D111" s="1029" t="s">
        <v>1017</v>
      </c>
      <c r="E111" s="1014" t="s">
        <v>458</v>
      </c>
      <c r="F111" s="1012" t="s">
        <v>287</v>
      </c>
      <c r="G111" s="1014" t="s">
        <v>408</v>
      </c>
      <c r="H111" s="1006" t="s">
        <v>1362</v>
      </c>
      <c r="I111" s="1015" t="s">
        <v>1337</v>
      </c>
      <c r="J111" s="1012" t="s">
        <v>1087</v>
      </c>
      <c r="K111" s="1003" t="str">
        <f t="array" ref="K111">if(isblank(D111),"",xlookup(D111,'FL5_POR_包裝對照表 (Mapping Table)'!E:E,'FL5_POR_包裝對照表 (Mapping Table)'!AN:AN,"",0,1))</f>
        <v>G950-15935-03</v>
      </c>
      <c r="L111" s="1012" t="s">
        <v>1614</v>
      </c>
      <c r="M111" s="1012" t="s">
        <v>1339</v>
      </c>
      <c r="N111" s="1016">
        <v>447.44</v>
      </c>
      <c r="O111" s="1016">
        <v>440.46</v>
      </c>
      <c r="P111" s="1009">
        <v>45779.0</v>
      </c>
      <c r="Q111" s="1009">
        <v>45782.0</v>
      </c>
      <c r="R111" s="1009">
        <v>45782.0</v>
      </c>
      <c r="S111" s="1017"/>
      <c r="T111" s="514"/>
      <c r="U111" s="514"/>
      <c r="V111" s="514"/>
      <c r="W111" s="514"/>
      <c r="X111" s="514"/>
      <c r="Y111" s="514"/>
    </row>
    <row r="112">
      <c r="A112" s="1011">
        <v>110.0</v>
      </c>
      <c r="B112" s="1012" t="s">
        <v>277</v>
      </c>
      <c r="C112" s="1012" t="s">
        <v>278</v>
      </c>
      <c r="D112" s="1031" t="s">
        <v>1022</v>
      </c>
      <c r="E112" s="1014" t="s">
        <v>1023</v>
      </c>
      <c r="F112" s="1012" t="s">
        <v>287</v>
      </c>
      <c r="G112" s="1014" t="s">
        <v>408</v>
      </c>
      <c r="H112" s="1006" t="s">
        <v>1362</v>
      </c>
      <c r="I112" s="1015" t="s">
        <v>1337</v>
      </c>
      <c r="J112" s="1012" t="s">
        <v>305</v>
      </c>
      <c r="K112" s="1003" t="str">
        <f t="array" ref="K112">if(isblank(D112),"",xlookup(D112,'FL5_POR_包裝對照表 (Mapping Table)'!E:E,'FL5_POR_包裝對照表 (Mapping Table)'!AN:AN,"",0,1))</f>
        <v>G950-15935-00</v>
      </c>
      <c r="L112" s="1012" t="s">
        <v>1585</v>
      </c>
      <c r="M112" s="1012" t="s">
        <v>1367</v>
      </c>
      <c r="N112" s="1016">
        <v>447.04</v>
      </c>
      <c r="O112" s="1016">
        <v>440.06</v>
      </c>
      <c r="P112" s="1009">
        <v>45779.0</v>
      </c>
      <c r="Q112" s="1009">
        <v>45782.0</v>
      </c>
      <c r="R112" s="1009">
        <v>45782.0</v>
      </c>
      <c r="S112" s="1017"/>
      <c r="T112" s="514"/>
      <c r="U112" s="514"/>
      <c r="V112" s="514"/>
      <c r="W112" s="514"/>
      <c r="X112" s="514"/>
      <c r="Y112" s="514"/>
    </row>
    <row r="113">
      <c r="A113" s="1002">
        <v>111.0</v>
      </c>
      <c r="B113" s="1012" t="s">
        <v>277</v>
      </c>
      <c r="C113" s="1012" t="s">
        <v>278</v>
      </c>
      <c r="D113" s="1029" t="s">
        <v>1028</v>
      </c>
      <c r="E113" s="1014" t="s">
        <v>1023</v>
      </c>
      <c r="F113" s="1012" t="s">
        <v>287</v>
      </c>
      <c r="G113" s="1014" t="s">
        <v>408</v>
      </c>
      <c r="H113" s="1006" t="s">
        <v>1362</v>
      </c>
      <c r="I113" s="1015" t="s">
        <v>1337</v>
      </c>
      <c r="J113" s="1012" t="s">
        <v>305</v>
      </c>
      <c r="K113" s="1003" t="str">
        <f t="array" ref="K113">if(isblank(D113),"",xlookup(D113,'FL5_POR_包裝對照表 (Mapping Table)'!E:E,'FL5_POR_包裝對照表 (Mapping Table)'!AN:AN,"",0,1))</f>
        <v>G950-15935-03</v>
      </c>
      <c r="L113" s="1012" t="s">
        <v>1614</v>
      </c>
      <c r="M113" s="1012" t="s">
        <v>1339</v>
      </c>
      <c r="N113" s="1016">
        <v>447.44</v>
      </c>
      <c r="O113" s="1016">
        <v>440.46</v>
      </c>
      <c r="P113" s="1009">
        <v>45779.0</v>
      </c>
      <c r="Q113" s="1009">
        <v>45782.0</v>
      </c>
      <c r="R113" s="1009">
        <v>45782.0</v>
      </c>
      <c r="S113" s="1017"/>
      <c r="T113" s="514"/>
      <c r="U113" s="514"/>
      <c r="V113" s="514"/>
      <c r="W113" s="514"/>
      <c r="X113" s="514"/>
      <c r="Y113" s="514"/>
    </row>
    <row r="114">
      <c r="A114" s="1011">
        <v>112.0</v>
      </c>
      <c r="B114" s="1012" t="s">
        <v>277</v>
      </c>
      <c r="C114" s="1012" t="s">
        <v>278</v>
      </c>
      <c r="D114" s="1031" t="s">
        <v>1034</v>
      </c>
      <c r="E114" s="1014" t="s">
        <v>470</v>
      </c>
      <c r="F114" s="1012" t="s">
        <v>287</v>
      </c>
      <c r="G114" s="1014" t="s">
        <v>408</v>
      </c>
      <c r="H114" s="1006" t="s">
        <v>1362</v>
      </c>
      <c r="I114" s="1015" t="s">
        <v>1337</v>
      </c>
      <c r="J114" s="1012" t="s">
        <v>1368</v>
      </c>
      <c r="K114" s="1003" t="str">
        <f t="array" ref="K114">if(isblank(D114),"",xlookup(D114,'FL5_POR_包裝對照表 (Mapping Table)'!E:E,'FL5_POR_包裝對照表 (Mapping Table)'!AN:AN,"",0,1))</f>
        <v>G950-15935-00</v>
      </c>
      <c r="L114" s="1012" t="s">
        <v>1585</v>
      </c>
      <c r="M114" s="1012" t="s">
        <v>1367</v>
      </c>
      <c r="N114" s="1016">
        <v>429.59</v>
      </c>
      <c r="O114" s="1016">
        <v>422.61</v>
      </c>
      <c r="P114" s="1009">
        <v>45779.0</v>
      </c>
      <c r="Q114" s="1009">
        <v>45782.0</v>
      </c>
      <c r="R114" s="1009">
        <v>45782.0</v>
      </c>
      <c r="S114" s="1017"/>
      <c r="T114" s="514"/>
      <c r="U114" s="514"/>
      <c r="V114" s="514"/>
      <c r="W114" s="514"/>
      <c r="X114" s="514"/>
      <c r="Y114" s="514"/>
    </row>
    <row r="115">
      <c r="A115" s="1002">
        <v>113.0</v>
      </c>
      <c r="B115" s="1012" t="s">
        <v>277</v>
      </c>
      <c r="C115" s="1012" t="s">
        <v>278</v>
      </c>
      <c r="D115" s="1029" t="s">
        <v>1039</v>
      </c>
      <c r="E115" s="1014" t="s">
        <v>470</v>
      </c>
      <c r="F115" s="1012" t="s">
        <v>287</v>
      </c>
      <c r="G115" s="1014" t="s">
        <v>408</v>
      </c>
      <c r="H115" s="1006" t="s">
        <v>1362</v>
      </c>
      <c r="I115" s="1015" t="s">
        <v>1337</v>
      </c>
      <c r="J115" s="1012" t="s">
        <v>1368</v>
      </c>
      <c r="K115" s="1003" t="str">
        <f t="array" ref="K115">if(isblank(D115),"",xlookup(D115,'FL5_POR_包裝對照表 (Mapping Table)'!E:E,'FL5_POR_包裝對照表 (Mapping Table)'!AN:AN,"",0,1))</f>
        <v>G950-15935-03</v>
      </c>
      <c r="L115" s="1012" t="s">
        <v>1614</v>
      </c>
      <c r="M115" s="1012" t="s">
        <v>1339</v>
      </c>
      <c r="N115" s="1016">
        <v>447.44</v>
      </c>
      <c r="O115" s="1016">
        <v>440.46</v>
      </c>
      <c r="P115" s="1009">
        <v>45779.0</v>
      </c>
      <c r="Q115" s="1009">
        <v>45782.0</v>
      </c>
      <c r="R115" s="1009">
        <v>45782.0</v>
      </c>
      <c r="S115" s="1017"/>
      <c r="T115" s="514"/>
      <c r="U115" s="514"/>
      <c r="V115" s="514"/>
      <c r="W115" s="514"/>
      <c r="X115" s="514"/>
      <c r="Y115" s="514"/>
    </row>
    <row r="116">
      <c r="A116" s="1011">
        <v>114.0</v>
      </c>
      <c r="B116" s="1012" t="s">
        <v>277</v>
      </c>
      <c r="C116" s="1012" t="s">
        <v>278</v>
      </c>
      <c r="D116" s="1031" t="s">
        <v>1044</v>
      </c>
      <c r="E116" s="1014" t="s">
        <v>554</v>
      </c>
      <c r="F116" s="1012" t="s">
        <v>287</v>
      </c>
      <c r="G116" s="1014" t="s">
        <v>408</v>
      </c>
      <c r="H116" s="1006" t="s">
        <v>1362</v>
      </c>
      <c r="I116" s="1043" t="s">
        <v>1385</v>
      </c>
      <c r="J116" s="1012" t="s">
        <v>1385</v>
      </c>
      <c r="K116" s="1003" t="str">
        <f t="array" ref="K116">if(isblank(D116),"",xlookup(D116,'FL5_POR_包裝對照表 (Mapping Table)'!E:E,'FL5_POR_包裝對照表 (Mapping Table)'!AN:AN,"",0,1))</f>
        <v>G950-15935-10</v>
      </c>
      <c r="L116" s="1012" t="s">
        <v>1585</v>
      </c>
      <c r="M116" s="1012" t="s">
        <v>1367</v>
      </c>
      <c r="N116" s="1016">
        <v>429.63</v>
      </c>
      <c r="O116" s="1016">
        <v>422.65</v>
      </c>
      <c r="P116" s="1009">
        <v>45779.0</v>
      </c>
      <c r="Q116" s="1009">
        <v>45782.0</v>
      </c>
      <c r="R116" s="1009">
        <v>45782.0</v>
      </c>
      <c r="S116" s="1017"/>
      <c r="T116" s="514"/>
      <c r="U116" s="514"/>
      <c r="V116" s="514"/>
      <c r="W116" s="514"/>
      <c r="X116" s="514"/>
      <c r="Y116" s="514"/>
    </row>
    <row r="117">
      <c r="A117" s="1002">
        <v>115.0</v>
      </c>
      <c r="B117" s="1012" t="s">
        <v>277</v>
      </c>
      <c r="C117" s="1012" t="s">
        <v>278</v>
      </c>
      <c r="D117" s="1029" t="s">
        <v>1050</v>
      </c>
      <c r="E117" s="1014" t="s">
        <v>554</v>
      </c>
      <c r="F117" s="1012" t="s">
        <v>287</v>
      </c>
      <c r="G117" s="1014" t="s">
        <v>408</v>
      </c>
      <c r="H117" s="1006" t="s">
        <v>1362</v>
      </c>
      <c r="I117" s="1043" t="s">
        <v>1385</v>
      </c>
      <c r="J117" s="1012" t="s">
        <v>1385</v>
      </c>
      <c r="K117" s="1003" t="str">
        <f t="array" ref="K117">if(isblank(D117),"",xlookup(D117,'FL5_POR_包裝對照表 (Mapping Table)'!E:E,'FL5_POR_包裝對照表 (Mapping Table)'!AN:AN,"",0,1))</f>
        <v>G950-15935-13</v>
      </c>
      <c r="L117" s="1012" t="s">
        <v>1614</v>
      </c>
      <c r="M117" s="1012" t="s">
        <v>1339</v>
      </c>
      <c r="N117" s="1016">
        <v>430.03</v>
      </c>
      <c r="O117" s="1016">
        <v>423.05</v>
      </c>
      <c r="P117" s="1009">
        <v>45779.0</v>
      </c>
      <c r="Q117" s="1009">
        <v>45782.0</v>
      </c>
      <c r="R117" s="1009">
        <v>45782.0</v>
      </c>
      <c r="S117" s="1017"/>
      <c r="T117" s="514"/>
      <c r="U117" s="514"/>
      <c r="V117" s="514"/>
      <c r="W117" s="514"/>
      <c r="X117" s="514"/>
      <c r="Y117" s="514"/>
    </row>
    <row r="118">
      <c r="A118" s="1011">
        <v>116.0</v>
      </c>
      <c r="B118" s="1012" t="s">
        <v>277</v>
      </c>
      <c r="C118" s="1012" t="s">
        <v>278</v>
      </c>
      <c r="D118" s="1031" t="s">
        <v>1055</v>
      </c>
      <c r="E118" s="1014" t="s">
        <v>492</v>
      </c>
      <c r="F118" s="1012" t="s">
        <v>287</v>
      </c>
      <c r="G118" s="1014" t="s">
        <v>408</v>
      </c>
      <c r="H118" s="1006" t="s">
        <v>1362</v>
      </c>
      <c r="I118" s="1032" t="s">
        <v>1397</v>
      </c>
      <c r="J118" s="1012" t="s">
        <v>1399</v>
      </c>
      <c r="K118" s="1003" t="str">
        <f t="array" ref="K118">if(isblank(D118),"",xlookup(D118,'FL5_POR_包裝對照表 (Mapping Table)'!E:E,'FL5_POR_包裝對照表 (Mapping Table)'!AN:AN,"",0,1))</f>
        <v>G950-15935-10</v>
      </c>
      <c r="L118" s="1012" t="s">
        <v>1585</v>
      </c>
      <c r="M118" s="1012" t="s">
        <v>1367</v>
      </c>
      <c r="N118" s="1016">
        <v>429.66</v>
      </c>
      <c r="O118" s="1016">
        <v>422.68</v>
      </c>
      <c r="P118" s="1009">
        <v>45779.0</v>
      </c>
      <c r="Q118" s="1009">
        <v>45782.0</v>
      </c>
      <c r="R118" s="1009">
        <v>45782.0</v>
      </c>
      <c r="S118" s="1017"/>
      <c r="T118" s="514"/>
      <c r="U118" s="514"/>
      <c r="V118" s="514"/>
      <c r="W118" s="514"/>
      <c r="X118" s="514"/>
      <c r="Y118" s="514"/>
    </row>
    <row r="119">
      <c r="A119" s="1002">
        <v>117.0</v>
      </c>
      <c r="B119" s="1012" t="s">
        <v>277</v>
      </c>
      <c r="C119" s="1012" t="s">
        <v>278</v>
      </c>
      <c r="D119" s="1029" t="s">
        <v>1061</v>
      </c>
      <c r="E119" s="1014" t="s">
        <v>492</v>
      </c>
      <c r="F119" s="1012" t="s">
        <v>287</v>
      </c>
      <c r="G119" s="1014" t="s">
        <v>408</v>
      </c>
      <c r="H119" s="1006" t="s">
        <v>1362</v>
      </c>
      <c r="I119" s="1032" t="s">
        <v>1397</v>
      </c>
      <c r="J119" s="1012" t="s">
        <v>1399</v>
      </c>
      <c r="K119" s="1003" t="str">
        <f t="array" ref="K119">if(isblank(D119),"",xlookup(D119,'FL5_POR_包裝對照表 (Mapping Table)'!E:E,'FL5_POR_包裝對照表 (Mapping Table)'!AN:AN,"",0,1))</f>
        <v>G950-15935-13</v>
      </c>
      <c r="L119" s="1012" t="s">
        <v>1614</v>
      </c>
      <c r="M119" s="1012" t="s">
        <v>1339</v>
      </c>
      <c r="N119" s="1016">
        <v>430.06</v>
      </c>
      <c r="O119" s="1016">
        <v>423.08</v>
      </c>
      <c r="P119" s="1009">
        <v>45779.0</v>
      </c>
      <c r="Q119" s="1009">
        <v>45782.0</v>
      </c>
      <c r="R119" s="1009">
        <v>45782.0</v>
      </c>
      <c r="S119" s="1017"/>
      <c r="T119" s="514"/>
      <c r="U119" s="514"/>
      <c r="V119" s="514"/>
      <c r="W119" s="514"/>
      <c r="X119" s="514"/>
      <c r="Y119" s="514"/>
    </row>
    <row r="120">
      <c r="A120" s="1011">
        <v>118.0</v>
      </c>
      <c r="B120" s="1012" t="s">
        <v>277</v>
      </c>
      <c r="C120" s="1012" t="s">
        <v>278</v>
      </c>
      <c r="D120" s="1031" t="s">
        <v>1066</v>
      </c>
      <c r="E120" s="1014" t="s">
        <v>992</v>
      </c>
      <c r="F120" s="1012" t="s">
        <v>287</v>
      </c>
      <c r="G120" s="1014" t="s">
        <v>408</v>
      </c>
      <c r="H120" s="1006" t="s">
        <v>1362</v>
      </c>
      <c r="I120" s="1032" t="s">
        <v>1397</v>
      </c>
      <c r="J120" s="1012" t="s">
        <v>1399</v>
      </c>
      <c r="K120" s="1003" t="str">
        <f t="array" ref="K120">if(isblank(D120),"",xlookup(D120,'FL5_POR_包裝對照表 (Mapping Table)'!E:E,'FL5_POR_包裝對照表 (Mapping Table)'!AN:AN,"",0,1))</f>
        <v>G950-15935-10</v>
      </c>
      <c r="L120" s="1012" t="s">
        <v>1585</v>
      </c>
      <c r="M120" s="1012" t="s">
        <v>1367</v>
      </c>
      <c r="N120" s="1016">
        <v>430.17</v>
      </c>
      <c r="O120" s="1016">
        <v>423.19</v>
      </c>
      <c r="P120" s="1009">
        <v>45779.0</v>
      </c>
      <c r="Q120" s="1009">
        <v>45782.0</v>
      </c>
      <c r="R120" s="1009">
        <v>45782.0</v>
      </c>
      <c r="S120" s="1017"/>
      <c r="T120" s="514"/>
      <c r="U120" s="514"/>
      <c r="V120" s="514"/>
      <c r="W120" s="514"/>
      <c r="X120" s="514"/>
      <c r="Y120" s="514"/>
    </row>
    <row r="121">
      <c r="A121" s="1002">
        <v>119.0</v>
      </c>
      <c r="B121" s="1012" t="s">
        <v>277</v>
      </c>
      <c r="C121" s="1012" t="s">
        <v>278</v>
      </c>
      <c r="D121" s="1029" t="s">
        <v>1071</v>
      </c>
      <c r="E121" s="1014" t="s">
        <v>992</v>
      </c>
      <c r="F121" s="1012" t="s">
        <v>287</v>
      </c>
      <c r="G121" s="1014" t="s">
        <v>408</v>
      </c>
      <c r="H121" s="1006" t="s">
        <v>1362</v>
      </c>
      <c r="I121" s="1032" t="s">
        <v>1397</v>
      </c>
      <c r="J121" s="1012" t="s">
        <v>1399</v>
      </c>
      <c r="K121" s="1003" t="str">
        <f t="array" ref="K121">if(isblank(D121),"",xlookup(D121,'FL5_POR_包裝對照表 (Mapping Table)'!E:E,'FL5_POR_包裝對照表 (Mapping Table)'!AN:AN,"",0,1))</f>
        <v>G950-15935-13</v>
      </c>
      <c r="L121" s="1012" t="s">
        <v>1614</v>
      </c>
      <c r="M121" s="1012" t="s">
        <v>1339</v>
      </c>
      <c r="N121" s="1016">
        <v>430.57</v>
      </c>
      <c r="O121" s="1016">
        <v>423.59</v>
      </c>
      <c r="P121" s="1009">
        <v>45779.0</v>
      </c>
      <c r="Q121" s="1009">
        <v>45782.0</v>
      </c>
      <c r="R121" s="1009">
        <v>45782.0</v>
      </c>
      <c r="S121" s="1017"/>
      <c r="T121" s="514"/>
      <c r="U121" s="514"/>
      <c r="V121" s="514"/>
      <c r="W121" s="514"/>
      <c r="X121" s="514"/>
      <c r="Y121" s="514"/>
    </row>
    <row r="122">
      <c r="A122" s="1011">
        <v>120.0</v>
      </c>
      <c r="B122" s="1012" t="s">
        <v>277</v>
      </c>
      <c r="C122" s="1012" t="s">
        <v>278</v>
      </c>
      <c r="D122" s="1031" t="s">
        <v>1076</v>
      </c>
      <c r="E122" s="1014" t="s">
        <v>583</v>
      </c>
      <c r="F122" s="1012" t="s">
        <v>287</v>
      </c>
      <c r="G122" s="1014" t="s">
        <v>408</v>
      </c>
      <c r="H122" s="1006" t="s">
        <v>1362</v>
      </c>
      <c r="I122" s="1032" t="s">
        <v>1397</v>
      </c>
      <c r="J122" s="1012" t="s">
        <v>1399</v>
      </c>
      <c r="K122" s="1003" t="str">
        <f t="array" ref="K122">if(isblank(D122),"",xlookup(D122,'FL5_POR_包裝對照表 (Mapping Table)'!E:E,'FL5_POR_包裝對照表 (Mapping Table)'!AN:AN,"",0,1))</f>
        <v>G950-15935-14</v>
      </c>
      <c r="L122" s="1012" t="s">
        <v>1585</v>
      </c>
      <c r="M122" s="1012" t="s">
        <v>1367</v>
      </c>
      <c r="N122" s="1016">
        <v>435.64</v>
      </c>
      <c r="O122" s="1016">
        <v>428.66</v>
      </c>
      <c r="P122" s="1009">
        <v>45779.0</v>
      </c>
      <c r="Q122" s="1009">
        <v>45782.0</v>
      </c>
      <c r="R122" s="1009">
        <v>45782.0</v>
      </c>
      <c r="S122" s="1017"/>
      <c r="T122" s="514"/>
      <c r="U122" s="514"/>
      <c r="V122" s="514"/>
      <c r="W122" s="514"/>
      <c r="X122" s="514"/>
      <c r="Y122" s="514"/>
    </row>
    <row r="123">
      <c r="A123" s="1002">
        <v>121.0</v>
      </c>
      <c r="B123" s="1012" t="s">
        <v>277</v>
      </c>
      <c r="C123" s="1012" t="s">
        <v>278</v>
      </c>
      <c r="D123" s="1029" t="s">
        <v>1081</v>
      </c>
      <c r="E123" s="1014" t="s">
        <v>583</v>
      </c>
      <c r="F123" s="1012" t="s">
        <v>287</v>
      </c>
      <c r="G123" s="1014" t="s">
        <v>408</v>
      </c>
      <c r="H123" s="1006" t="s">
        <v>1362</v>
      </c>
      <c r="I123" s="1032" t="s">
        <v>1397</v>
      </c>
      <c r="J123" s="1012" t="s">
        <v>1399</v>
      </c>
      <c r="K123" s="1003" t="str">
        <f t="array" ref="K123">if(isblank(D123),"",xlookup(D123,'FL5_POR_包裝對照表 (Mapping Table)'!E:E,'FL5_POR_包裝對照表 (Mapping Table)'!AN:AN,"",0,1))</f>
        <v>G950-15935-17</v>
      </c>
      <c r="L123" s="1012" t="s">
        <v>1614</v>
      </c>
      <c r="M123" s="1012" t="s">
        <v>1339</v>
      </c>
      <c r="N123" s="1016">
        <v>436.04</v>
      </c>
      <c r="O123" s="1016">
        <v>429.06</v>
      </c>
      <c r="P123" s="1009">
        <v>45779.0</v>
      </c>
      <c r="Q123" s="1009">
        <v>45782.0</v>
      </c>
      <c r="R123" s="1009">
        <v>45782.0</v>
      </c>
      <c r="S123" s="1017"/>
      <c r="T123" s="514"/>
      <c r="U123" s="514"/>
      <c r="V123" s="514"/>
      <c r="W123" s="514"/>
      <c r="X123" s="514"/>
      <c r="Y123" s="514"/>
    </row>
    <row r="124">
      <c r="A124" s="1011">
        <v>122.0</v>
      </c>
      <c r="B124" s="1012" t="s">
        <v>277</v>
      </c>
      <c r="C124" s="1012" t="s">
        <v>278</v>
      </c>
      <c r="D124" s="1031" t="s">
        <v>1086</v>
      </c>
      <c r="E124" s="1014" t="s">
        <v>1087</v>
      </c>
      <c r="F124" s="1012" t="s">
        <v>290</v>
      </c>
      <c r="G124" s="1014" t="s">
        <v>408</v>
      </c>
      <c r="H124" s="1044" t="s">
        <v>2057</v>
      </c>
      <c r="I124" s="1015" t="s">
        <v>1337</v>
      </c>
      <c r="J124" s="1012" t="s">
        <v>1087</v>
      </c>
      <c r="K124" s="1003" t="str">
        <f t="array" ref="K124">if(isblank(D124),"",xlookup(D124,'FL5_POR_包裝對照表 (Mapping Table)'!E:E,'FL5_POR_包裝對照表 (Mapping Table)'!AN:AN,"",0,1))</f>
        <v>TBD</v>
      </c>
      <c r="L124" s="1012" t="s">
        <v>1585</v>
      </c>
      <c r="M124" s="1012" t="s">
        <v>1367</v>
      </c>
      <c r="N124" s="1045" t="e">
        <v>#N/A</v>
      </c>
      <c r="O124" s="1045" t="e">
        <v>#N/A</v>
      </c>
      <c r="P124" s="1009"/>
      <c r="Q124" s="1009"/>
      <c r="R124" s="1009"/>
      <c r="S124" s="1017"/>
      <c r="T124" s="514"/>
      <c r="U124" s="514"/>
      <c r="V124" s="514"/>
      <c r="W124" s="514"/>
      <c r="X124" s="514"/>
      <c r="Y124" s="514"/>
    </row>
    <row r="125">
      <c r="A125" s="1002">
        <v>123.0</v>
      </c>
      <c r="B125" s="1012" t="s">
        <v>277</v>
      </c>
      <c r="C125" s="1012" t="s">
        <v>278</v>
      </c>
      <c r="D125" s="1029" t="s">
        <v>1092</v>
      </c>
      <c r="E125" s="1014" t="s">
        <v>1087</v>
      </c>
      <c r="F125" s="1012" t="s">
        <v>290</v>
      </c>
      <c r="G125" s="1014" t="s">
        <v>408</v>
      </c>
      <c r="H125" s="1044" t="s">
        <v>2057</v>
      </c>
      <c r="I125" s="1015" t="s">
        <v>1337</v>
      </c>
      <c r="J125" s="1012" t="s">
        <v>1087</v>
      </c>
      <c r="K125" s="1003" t="str">
        <f t="array" ref="K125">if(isblank(D125),"",xlookup(D125,'FL5_POR_包裝對照表 (Mapping Table)'!E:E,'FL5_POR_包裝對照表 (Mapping Table)'!AN:AN,"",0,1))</f>
        <v>TBD</v>
      </c>
      <c r="L125" s="1012" t="s">
        <v>1614</v>
      </c>
      <c r="M125" s="1012" t="s">
        <v>1339</v>
      </c>
      <c r="N125" s="1045" t="e">
        <v>#N/A</v>
      </c>
      <c r="O125" s="1045" t="e">
        <v>#N/A</v>
      </c>
      <c r="P125" s="1046"/>
      <c r="Q125" s="1046"/>
      <c r="R125" s="1046"/>
      <c r="S125" s="1017"/>
      <c r="T125" s="514"/>
      <c r="U125" s="514"/>
      <c r="V125" s="514"/>
      <c r="W125" s="514"/>
      <c r="X125" s="514"/>
      <c r="Y125" s="514"/>
    </row>
    <row r="126">
      <c r="A126" s="1011">
        <v>124.0</v>
      </c>
      <c r="B126" s="1012" t="s">
        <v>277</v>
      </c>
      <c r="C126" s="1012" t="s">
        <v>278</v>
      </c>
      <c r="D126" s="1031" t="s">
        <v>1096</v>
      </c>
      <c r="E126" s="1014" t="s">
        <v>1097</v>
      </c>
      <c r="F126" s="1012" t="s">
        <v>290</v>
      </c>
      <c r="G126" s="1014" t="s">
        <v>408</v>
      </c>
      <c r="H126" s="1044" t="s">
        <v>2057</v>
      </c>
      <c r="I126" s="1015" t="s">
        <v>1337</v>
      </c>
      <c r="J126" s="1012" t="s">
        <v>1097</v>
      </c>
      <c r="K126" s="1003" t="str">
        <f t="array" ref="K126">if(isblank(D126),"",xlookup(D126,'FL5_POR_包裝對照表 (Mapping Table)'!E:E,'FL5_POR_包裝對照表 (Mapping Table)'!AN:AN,"",0,1))</f>
        <v>TBD</v>
      </c>
      <c r="L126" s="1012" t="s">
        <v>1585</v>
      </c>
      <c r="M126" s="1012" t="s">
        <v>1367</v>
      </c>
      <c r="N126" s="1045" t="e">
        <v>#N/A</v>
      </c>
      <c r="O126" s="1045" t="e">
        <v>#N/A</v>
      </c>
      <c r="P126" s="1046"/>
      <c r="Q126" s="1046"/>
      <c r="R126" s="1046"/>
      <c r="S126" s="1017"/>
      <c r="T126" s="514"/>
      <c r="U126" s="514"/>
      <c r="V126" s="514"/>
      <c r="W126" s="514"/>
      <c r="X126" s="514"/>
      <c r="Y126" s="514"/>
    </row>
    <row r="127">
      <c r="A127" s="1002">
        <v>125.0</v>
      </c>
      <c r="B127" s="1012" t="s">
        <v>277</v>
      </c>
      <c r="C127" s="1012" t="s">
        <v>278</v>
      </c>
      <c r="D127" s="1013" t="s">
        <v>1101</v>
      </c>
      <c r="E127" s="1014" t="s">
        <v>1097</v>
      </c>
      <c r="F127" s="1012" t="s">
        <v>290</v>
      </c>
      <c r="G127" s="1014" t="s">
        <v>408</v>
      </c>
      <c r="H127" s="1044" t="s">
        <v>2057</v>
      </c>
      <c r="I127" s="1015" t="s">
        <v>1337</v>
      </c>
      <c r="J127" s="1012" t="s">
        <v>1097</v>
      </c>
      <c r="K127" s="1003" t="str">
        <f t="array" ref="K127">if(isblank(D127),"",xlookup(D127,'FL5_POR_包裝對照表 (Mapping Table)'!E:E,'FL5_POR_包裝對照表 (Mapping Table)'!AN:AN,"",0,1))</f>
        <v>TBD</v>
      </c>
      <c r="L127" s="1012" t="s">
        <v>1596</v>
      </c>
      <c r="M127" s="1012" t="s">
        <v>1594</v>
      </c>
      <c r="N127" s="1045" t="e">
        <v>#N/A</v>
      </c>
      <c r="O127" s="1045" t="e">
        <v>#N/A</v>
      </c>
      <c r="P127" s="1046"/>
      <c r="Q127" s="1046"/>
      <c r="R127" s="1046"/>
      <c r="S127" s="1017"/>
      <c r="T127" s="514"/>
      <c r="U127" s="514"/>
      <c r="V127" s="514"/>
      <c r="W127" s="514"/>
      <c r="X127" s="514"/>
      <c r="Y127" s="514"/>
    </row>
    <row r="128">
      <c r="A128" s="1011">
        <v>126.0</v>
      </c>
      <c r="B128" s="1012" t="s">
        <v>277</v>
      </c>
      <c r="C128" s="1012" t="s">
        <v>278</v>
      </c>
      <c r="D128" s="1030" t="s">
        <v>1105</v>
      </c>
      <c r="E128" s="1014" t="s">
        <v>1097</v>
      </c>
      <c r="F128" s="1012" t="s">
        <v>290</v>
      </c>
      <c r="G128" s="1014" t="s">
        <v>408</v>
      </c>
      <c r="H128" s="1044" t="s">
        <v>2057</v>
      </c>
      <c r="I128" s="1015" t="s">
        <v>1337</v>
      </c>
      <c r="J128" s="1012" t="s">
        <v>1097</v>
      </c>
      <c r="K128" s="1003" t="str">
        <f t="array" ref="K128">if(isblank(D128),"",xlookup(D128,'FL5_POR_包裝對照表 (Mapping Table)'!E:E,'FL5_POR_包裝對照表 (Mapping Table)'!AN:AN,"",0,1))</f>
        <v>TBD</v>
      </c>
      <c r="L128" s="1012" t="s">
        <v>1606</v>
      </c>
      <c r="M128" s="1012" t="s">
        <v>1604</v>
      </c>
      <c r="N128" s="1045" t="e">
        <v>#N/A</v>
      </c>
      <c r="O128" s="1045" t="e">
        <v>#N/A</v>
      </c>
      <c r="P128" s="1046"/>
      <c r="Q128" s="1046"/>
      <c r="R128" s="1046"/>
      <c r="S128" s="1017"/>
      <c r="T128" s="514"/>
      <c r="U128" s="514"/>
      <c r="V128" s="514"/>
      <c r="W128" s="514"/>
      <c r="X128" s="514"/>
      <c r="Y128" s="514"/>
    </row>
    <row r="129">
      <c r="A129" s="1002">
        <v>127.0</v>
      </c>
      <c r="B129" s="1012" t="s">
        <v>277</v>
      </c>
      <c r="C129" s="1012" t="s">
        <v>278</v>
      </c>
      <c r="D129" s="1029" t="s">
        <v>1109</v>
      </c>
      <c r="E129" s="1014" t="s">
        <v>1097</v>
      </c>
      <c r="F129" s="1012" t="s">
        <v>290</v>
      </c>
      <c r="G129" s="1014" t="s">
        <v>408</v>
      </c>
      <c r="H129" s="1044" t="s">
        <v>2057</v>
      </c>
      <c r="I129" s="1015" t="s">
        <v>1337</v>
      </c>
      <c r="J129" s="1012" t="s">
        <v>1097</v>
      </c>
      <c r="K129" s="1003" t="str">
        <f t="array" ref="K129">if(isblank(D129),"",xlookup(D129,'FL5_POR_包裝對照表 (Mapping Table)'!E:E,'FL5_POR_包裝對照表 (Mapping Table)'!AN:AN,"",0,1))</f>
        <v>TBD</v>
      </c>
      <c r="L129" s="1012" t="s">
        <v>1614</v>
      </c>
      <c r="M129" s="1012" t="s">
        <v>1339</v>
      </c>
      <c r="N129" s="1045" t="e">
        <v>#N/A</v>
      </c>
      <c r="O129" s="1045" t="e">
        <v>#N/A</v>
      </c>
      <c r="P129" s="1046"/>
      <c r="Q129" s="1046"/>
      <c r="R129" s="1046"/>
      <c r="S129" s="1017"/>
      <c r="T129" s="514"/>
      <c r="U129" s="514"/>
      <c r="V129" s="514"/>
      <c r="W129" s="514"/>
      <c r="X129" s="514"/>
      <c r="Y129" s="514"/>
    </row>
    <row r="130">
      <c r="A130" s="1011">
        <v>128.0</v>
      </c>
      <c r="B130" s="1012" t="s">
        <v>277</v>
      </c>
      <c r="C130" s="1012" t="s">
        <v>278</v>
      </c>
      <c r="D130" s="1031" t="s">
        <v>1113</v>
      </c>
      <c r="E130" s="1014" t="s">
        <v>305</v>
      </c>
      <c r="F130" s="1012" t="s">
        <v>290</v>
      </c>
      <c r="G130" s="1014" t="s">
        <v>408</v>
      </c>
      <c r="H130" s="1044" t="s">
        <v>2057</v>
      </c>
      <c r="I130" s="1015" t="s">
        <v>1337</v>
      </c>
      <c r="J130" s="1012" t="s">
        <v>305</v>
      </c>
      <c r="K130" s="1003" t="str">
        <f t="array" ref="K130">if(isblank(D130),"",xlookup(D130,'FL5_POR_包裝對照表 (Mapping Table)'!E:E,'FL5_POR_包裝對照表 (Mapping Table)'!AN:AN,"",0,1))</f>
        <v>TBD</v>
      </c>
      <c r="L130" s="1012" t="s">
        <v>1585</v>
      </c>
      <c r="M130" s="1012" t="s">
        <v>1367</v>
      </c>
      <c r="N130" s="1045" t="e">
        <v>#N/A</v>
      </c>
      <c r="O130" s="1045" t="e">
        <v>#N/A</v>
      </c>
      <c r="P130" s="1046"/>
      <c r="Q130" s="1046"/>
      <c r="R130" s="1046"/>
      <c r="S130" s="1017"/>
      <c r="T130" s="514"/>
      <c r="U130" s="514"/>
      <c r="V130" s="514"/>
      <c r="W130" s="514"/>
      <c r="X130" s="514"/>
      <c r="Y130" s="514"/>
    </row>
    <row r="131">
      <c r="A131" s="1002">
        <v>129.0</v>
      </c>
      <c r="B131" s="1012" t="s">
        <v>277</v>
      </c>
      <c r="C131" s="1012" t="s">
        <v>278</v>
      </c>
      <c r="D131" s="1029" t="s">
        <v>1117</v>
      </c>
      <c r="E131" s="1014" t="s">
        <v>305</v>
      </c>
      <c r="F131" s="1012" t="s">
        <v>290</v>
      </c>
      <c r="G131" s="1014" t="s">
        <v>408</v>
      </c>
      <c r="H131" s="1044" t="s">
        <v>2057</v>
      </c>
      <c r="I131" s="1015" t="s">
        <v>1337</v>
      </c>
      <c r="J131" s="1012" t="s">
        <v>305</v>
      </c>
      <c r="K131" s="1003" t="str">
        <f t="array" ref="K131">if(isblank(D131),"",xlookup(D131,'FL5_POR_包裝對照表 (Mapping Table)'!E:E,'FL5_POR_包裝對照表 (Mapping Table)'!AN:AN,"",0,1))</f>
        <v>TBD</v>
      </c>
      <c r="L131" s="1012" t="s">
        <v>1614</v>
      </c>
      <c r="M131" s="1012" t="s">
        <v>1339</v>
      </c>
      <c r="N131" s="1045" t="e">
        <v>#N/A</v>
      </c>
      <c r="O131" s="1045" t="e">
        <v>#N/A</v>
      </c>
      <c r="P131" s="1046"/>
      <c r="Q131" s="1046"/>
      <c r="R131" s="1046"/>
      <c r="S131" s="1017"/>
      <c r="T131" s="514"/>
      <c r="U131" s="514"/>
      <c r="V131" s="514"/>
      <c r="W131" s="514"/>
      <c r="X131" s="514"/>
      <c r="Y131" s="514"/>
    </row>
    <row r="132">
      <c r="A132" s="1011">
        <v>130.0</v>
      </c>
      <c r="B132" s="1012" t="s">
        <v>277</v>
      </c>
      <c r="C132" s="1012" t="s">
        <v>278</v>
      </c>
      <c r="D132" s="1031" t="s">
        <v>1121</v>
      </c>
      <c r="E132" s="1014" t="s">
        <v>1122</v>
      </c>
      <c r="F132" s="1012" t="s">
        <v>290</v>
      </c>
      <c r="G132" s="1014" t="s">
        <v>408</v>
      </c>
      <c r="H132" s="1044" t="s">
        <v>2057</v>
      </c>
      <c r="I132" s="1015" t="s">
        <v>1337</v>
      </c>
      <c r="J132" s="1012" t="s">
        <v>1368</v>
      </c>
      <c r="K132" s="1003" t="str">
        <f t="array" ref="K132">if(isblank(D132),"",xlookup(D132,'FL5_POR_包裝對照表 (Mapping Table)'!E:E,'FL5_POR_包裝對照表 (Mapping Table)'!AN:AN,"",0,1))</f>
        <v>TBD</v>
      </c>
      <c r="L132" s="1012" t="s">
        <v>1585</v>
      </c>
      <c r="M132" s="1012" t="s">
        <v>1367</v>
      </c>
      <c r="N132" s="1045" t="e">
        <v>#N/A</v>
      </c>
      <c r="O132" s="1045" t="e">
        <v>#N/A</v>
      </c>
      <c r="P132" s="1046"/>
      <c r="Q132" s="1046"/>
      <c r="R132" s="1046"/>
      <c r="S132" s="1017"/>
      <c r="T132" s="514"/>
      <c r="U132" s="514"/>
      <c r="V132" s="514"/>
      <c r="W132" s="514"/>
      <c r="X132" s="514"/>
      <c r="Y132" s="514"/>
    </row>
    <row r="133">
      <c r="A133" s="1002">
        <v>131.0</v>
      </c>
      <c r="B133" s="1012" t="s">
        <v>277</v>
      </c>
      <c r="C133" s="1012" t="s">
        <v>278</v>
      </c>
      <c r="D133" s="1013" t="s">
        <v>1126</v>
      </c>
      <c r="E133" s="1014" t="s">
        <v>1122</v>
      </c>
      <c r="F133" s="1012" t="s">
        <v>290</v>
      </c>
      <c r="G133" s="1014" t="s">
        <v>408</v>
      </c>
      <c r="H133" s="1044" t="s">
        <v>2057</v>
      </c>
      <c r="I133" s="1015" t="s">
        <v>1337</v>
      </c>
      <c r="J133" s="1012" t="s">
        <v>1368</v>
      </c>
      <c r="K133" s="1003" t="str">
        <f t="array" ref="K133">if(isblank(D133),"",xlookup(D133,'FL5_POR_包裝對照表 (Mapping Table)'!E:E,'FL5_POR_包裝對照表 (Mapping Table)'!AN:AN,"",0,1))</f>
        <v>TBD</v>
      </c>
      <c r="L133" s="1012" t="s">
        <v>1596</v>
      </c>
      <c r="M133" s="1012" t="s">
        <v>1594</v>
      </c>
      <c r="N133" s="1045" t="e">
        <v>#N/A</v>
      </c>
      <c r="O133" s="1045" t="e">
        <v>#N/A</v>
      </c>
      <c r="P133" s="1046"/>
      <c r="Q133" s="1046"/>
      <c r="R133" s="1046"/>
      <c r="S133" s="1017"/>
      <c r="T133" s="514"/>
      <c r="U133" s="514"/>
      <c r="V133" s="514"/>
      <c r="W133" s="514"/>
      <c r="X133" s="514"/>
      <c r="Y133" s="514"/>
    </row>
    <row r="134">
      <c r="A134" s="1011">
        <v>132.0</v>
      </c>
      <c r="B134" s="1012" t="s">
        <v>277</v>
      </c>
      <c r="C134" s="1012" t="s">
        <v>278</v>
      </c>
      <c r="D134" s="1030" t="s">
        <v>1130</v>
      </c>
      <c r="E134" s="1014" t="s">
        <v>1122</v>
      </c>
      <c r="F134" s="1012" t="s">
        <v>290</v>
      </c>
      <c r="G134" s="1014" t="s">
        <v>408</v>
      </c>
      <c r="H134" s="1044" t="s">
        <v>2057</v>
      </c>
      <c r="I134" s="1015" t="s">
        <v>1337</v>
      </c>
      <c r="J134" s="1012" t="s">
        <v>1368</v>
      </c>
      <c r="K134" s="1003" t="str">
        <f t="array" ref="K134">if(isblank(D134),"",xlookup(D134,'FL5_POR_包裝對照表 (Mapping Table)'!E:E,'FL5_POR_包裝對照表 (Mapping Table)'!AN:AN,"",0,1))</f>
        <v>TBD</v>
      </c>
      <c r="L134" s="1012" t="s">
        <v>1606</v>
      </c>
      <c r="M134" s="1012" t="s">
        <v>1604</v>
      </c>
      <c r="N134" s="1045" t="e">
        <v>#N/A</v>
      </c>
      <c r="O134" s="1045" t="e">
        <v>#N/A</v>
      </c>
      <c r="P134" s="1046"/>
      <c r="Q134" s="1046"/>
      <c r="R134" s="1046"/>
      <c r="S134" s="1017"/>
      <c r="T134" s="514"/>
      <c r="U134" s="514"/>
      <c r="V134" s="514"/>
      <c r="W134" s="514"/>
      <c r="X134" s="514"/>
      <c r="Y134" s="514"/>
    </row>
    <row r="135">
      <c r="A135" s="1002">
        <v>133.0</v>
      </c>
      <c r="B135" s="1012" t="s">
        <v>277</v>
      </c>
      <c r="C135" s="1012" t="s">
        <v>278</v>
      </c>
      <c r="D135" s="1029" t="s">
        <v>1134</v>
      </c>
      <c r="E135" s="1014" t="s">
        <v>1122</v>
      </c>
      <c r="F135" s="1012" t="s">
        <v>290</v>
      </c>
      <c r="G135" s="1014" t="s">
        <v>408</v>
      </c>
      <c r="H135" s="1044" t="s">
        <v>2057</v>
      </c>
      <c r="I135" s="1015" t="s">
        <v>1337</v>
      </c>
      <c r="J135" s="1012" t="s">
        <v>1368</v>
      </c>
      <c r="K135" s="1003" t="str">
        <f t="array" ref="K135">if(isblank(D135),"",xlookup(D135,'FL5_POR_包裝對照表 (Mapping Table)'!E:E,'FL5_POR_包裝對照表 (Mapping Table)'!AN:AN,"",0,1))</f>
        <v>TBD</v>
      </c>
      <c r="L135" s="1012" t="s">
        <v>1614</v>
      </c>
      <c r="M135" s="1012" t="s">
        <v>1339</v>
      </c>
      <c r="N135" s="1045" t="e">
        <v>#N/A</v>
      </c>
      <c r="O135" s="1045" t="e">
        <v>#N/A</v>
      </c>
      <c r="P135" s="1046"/>
      <c r="Q135" s="1046"/>
      <c r="R135" s="1046"/>
      <c r="S135" s="1017"/>
      <c r="T135" s="514"/>
      <c r="U135" s="514"/>
      <c r="V135" s="514"/>
      <c r="W135" s="514"/>
      <c r="X135" s="514"/>
      <c r="Y135" s="514"/>
    </row>
    <row r="136">
      <c r="A136" s="1011">
        <v>134.0</v>
      </c>
      <c r="B136" s="1012" t="s">
        <v>277</v>
      </c>
      <c r="C136" s="1012" t="s">
        <v>278</v>
      </c>
      <c r="D136" s="1031" t="s">
        <v>1138</v>
      </c>
      <c r="E136" s="1014" t="s">
        <v>554</v>
      </c>
      <c r="F136" s="1012" t="s">
        <v>290</v>
      </c>
      <c r="G136" s="1014" t="s">
        <v>408</v>
      </c>
      <c r="H136" s="1044" t="s">
        <v>2057</v>
      </c>
      <c r="I136" s="1043" t="s">
        <v>1385</v>
      </c>
      <c r="J136" s="1012" t="s">
        <v>1385</v>
      </c>
      <c r="K136" s="1003" t="str">
        <f t="array" ref="K136">if(isblank(D136),"",xlookup(D136,'FL5_POR_包裝對照表 (Mapping Table)'!E:E,'FL5_POR_包裝對照表 (Mapping Table)'!AN:AN,"",0,1))</f>
        <v>TBD</v>
      </c>
      <c r="L136" s="1012" t="s">
        <v>1585</v>
      </c>
      <c r="M136" s="1012" t="s">
        <v>1367</v>
      </c>
      <c r="N136" s="1045" t="e">
        <v>#N/A</v>
      </c>
      <c r="O136" s="1045" t="e">
        <v>#N/A</v>
      </c>
      <c r="P136" s="1046"/>
      <c r="Q136" s="1046"/>
      <c r="R136" s="1046"/>
      <c r="S136" s="1017"/>
      <c r="T136" s="514"/>
      <c r="U136" s="514"/>
      <c r="V136" s="514"/>
      <c r="W136" s="514"/>
      <c r="X136" s="514"/>
      <c r="Y136" s="514"/>
    </row>
    <row r="137">
      <c r="A137" s="1002">
        <v>135.0</v>
      </c>
      <c r="B137" s="1012" t="s">
        <v>277</v>
      </c>
      <c r="C137" s="1012" t="s">
        <v>278</v>
      </c>
      <c r="D137" s="1013" t="s">
        <v>1143</v>
      </c>
      <c r="E137" s="1014" t="s">
        <v>554</v>
      </c>
      <c r="F137" s="1012" t="s">
        <v>290</v>
      </c>
      <c r="G137" s="1014" t="s">
        <v>408</v>
      </c>
      <c r="H137" s="1044" t="s">
        <v>2057</v>
      </c>
      <c r="I137" s="1043" t="s">
        <v>1385</v>
      </c>
      <c r="J137" s="1012" t="s">
        <v>1385</v>
      </c>
      <c r="K137" s="1003" t="str">
        <f t="array" ref="K137">if(isblank(D137),"",xlookup(D137,'FL5_POR_包裝對照表 (Mapping Table)'!E:E,'FL5_POR_包裝對照表 (Mapping Table)'!AN:AN,"",0,1))</f>
        <v>TBD</v>
      </c>
      <c r="L137" s="1012" t="s">
        <v>1596</v>
      </c>
      <c r="M137" s="1012" t="s">
        <v>1594</v>
      </c>
      <c r="N137" s="1045" t="e">
        <v>#N/A</v>
      </c>
      <c r="O137" s="1045" t="e">
        <v>#N/A</v>
      </c>
      <c r="P137" s="1046"/>
      <c r="Q137" s="1046"/>
      <c r="R137" s="1046"/>
      <c r="S137" s="1017"/>
      <c r="T137" s="514"/>
      <c r="U137" s="514"/>
      <c r="V137" s="514"/>
      <c r="W137" s="514"/>
      <c r="X137" s="514"/>
      <c r="Y137" s="514"/>
    </row>
    <row r="138">
      <c r="A138" s="1011">
        <v>136.0</v>
      </c>
      <c r="B138" s="1012" t="s">
        <v>277</v>
      </c>
      <c r="C138" s="1012" t="s">
        <v>278</v>
      </c>
      <c r="D138" s="1030" t="s">
        <v>1147</v>
      </c>
      <c r="E138" s="1014" t="s">
        <v>554</v>
      </c>
      <c r="F138" s="1012" t="s">
        <v>290</v>
      </c>
      <c r="G138" s="1014" t="s">
        <v>408</v>
      </c>
      <c r="H138" s="1044" t="s">
        <v>2057</v>
      </c>
      <c r="I138" s="1043" t="s">
        <v>1385</v>
      </c>
      <c r="J138" s="1012" t="s">
        <v>1385</v>
      </c>
      <c r="K138" s="1003" t="str">
        <f t="array" ref="K138">if(isblank(D138),"",xlookup(D138,'FL5_POR_包裝對照表 (Mapping Table)'!E:E,'FL5_POR_包裝對照表 (Mapping Table)'!AN:AN,"",0,1))</f>
        <v>TBD</v>
      </c>
      <c r="L138" s="1012" t="s">
        <v>1606</v>
      </c>
      <c r="M138" s="1012" t="s">
        <v>1604</v>
      </c>
      <c r="N138" s="1045" t="e">
        <v>#N/A</v>
      </c>
      <c r="O138" s="1045" t="e">
        <v>#N/A</v>
      </c>
      <c r="P138" s="1046"/>
      <c r="Q138" s="1046"/>
      <c r="R138" s="1046"/>
      <c r="S138" s="1017"/>
      <c r="T138" s="514"/>
      <c r="U138" s="514"/>
      <c r="V138" s="514"/>
      <c r="W138" s="514"/>
      <c r="X138" s="514"/>
      <c r="Y138" s="514"/>
    </row>
    <row r="139">
      <c r="A139" s="1002">
        <v>137.0</v>
      </c>
      <c r="B139" s="1012" t="s">
        <v>277</v>
      </c>
      <c r="C139" s="1012" t="s">
        <v>278</v>
      </c>
      <c r="D139" s="1029" t="s">
        <v>1151</v>
      </c>
      <c r="E139" s="1014" t="s">
        <v>554</v>
      </c>
      <c r="F139" s="1012" t="s">
        <v>290</v>
      </c>
      <c r="G139" s="1014" t="s">
        <v>408</v>
      </c>
      <c r="H139" s="1044" t="s">
        <v>2057</v>
      </c>
      <c r="I139" s="1043" t="s">
        <v>1385</v>
      </c>
      <c r="J139" s="1012" t="s">
        <v>1385</v>
      </c>
      <c r="K139" s="1003" t="str">
        <f t="array" ref="K139">if(isblank(D139),"",xlookup(D139,'FL5_POR_包裝對照表 (Mapping Table)'!E:E,'FL5_POR_包裝對照表 (Mapping Table)'!AN:AN,"",0,1))</f>
        <v>TBD</v>
      </c>
      <c r="L139" s="1012" t="s">
        <v>1614</v>
      </c>
      <c r="M139" s="1012" t="s">
        <v>1339</v>
      </c>
      <c r="N139" s="1045" t="e">
        <v>#N/A</v>
      </c>
      <c r="O139" s="1045" t="e">
        <v>#N/A</v>
      </c>
      <c r="P139" s="1046"/>
      <c r="Q139" s="1046"/>
      <c r="R139" s="1046"/>
      <c r="S139" s="1017"/>
      <c r="T139" s="514"/>
      <c r="U139" s="514"/>
      <c r="V139" s="514"/>
      <c r="W139" s="514"/>
      <c r="X139" s="514"/>
      <c r="Y139" s="514"/>
    </row>
    <row r="140">
      <c r="A140" s="1011">
        <v>138.0</v>
      </c>
      <c r="B140" s="1012" t="s">
        <v>277</v>
      </c>
      <c r="C140" s="1012" t="s">
        <v>278</v>
      </c>
      <c r="D140" s="1031" t="s">
        <v>1155</v>
      </c>
      <c r="E140" s="1014" t="s">
        <v>2204</v>
      </c>
      <c r="F140" s="1012" t="s">
        <v>290</v>
      </c>
      <c r="G140" s="1014" t="s">
        <v>408</v>
      </c>
      <c r="H140" s="1044" t="s">
        <v>2057</v>
      </c>
      <c r="I140" s="1032" t="s">
        <v>1397</v>
      </c>
      <c r="J140" s="1012" t="s">
        <v>1399</v>
      </c>
      <c r="K140" s="1003" t="str">
        <f t="array" ref="K140">if(isblank(D140),"",xlookup(D140,'FL5_POR_包裝對照表 (Mapping Table)'!E:E,'FL5_POR_包裝對照表 (Mapping Table)'!AN:AN,"",0,1))</f>
        <v>TBD</v>
      </c>
      <c r="L140" s="1012" t="s">
        <v>1585</v>
      </c>
      <c r="M140" s="1012" t="s">
        <v>1367</v>
      </c>
      <c r="N140" s="1045" t="e">
        <v>#N/A</v>
      </c>
      <c r="O140" s="1045" t="e">
        <v>#N/A</v>
      </c>
      <c r="P140" s="1046"/>
      <c r="Q140" s="1046"/>
      <c r="R140" s="1046"/>
      <c r="S140" s="1017"/>
      <c r="T140" s="514"/>
      <c r="U140" s="514"/>
      <c r="V140" s="514"/>
      <c r="W140" s="514"/>
      <c r="X140" s="514"/>
      <c r="Y140" s="514"/>
    </row>
    <row r="141">
      <c r="A141" s="1002">
        <v>139.0</v>
      </c>
      <c r="B141" s="1012" t="s">
        <v>277</v>
      </c>
      <c r="C141" s="1012" t="s">
        <v>278</v>
      </c>
      <c r="D141" s="1013" t="s">
        <v>1160</v>
      </c>
      <c r="E141" s="1014" t="s">
        <v>2204</v>
      </c>
      <c r="F141" s="1012" t="s">
        <v>290</v>
      </c>
      <c r="G141" s="1014" t="s">
        <v>408</v>
      </c>
      <c r="H141" s="1044" t="s">
        <v>2057</v>
      </c>
      <c r="I141" s="1032" t="s">
        <v>1397</v>
      </c>
      <c r="J141" s="1012" t="s">
        <v>1399</v>
      </c>
      <c r="K141" s="1003" t="str">
        <f t="array" ref="K141">if(isblank(D141),"",xlookup(D141,'FL5_POR_包裝對照表 (Mapping Table)'!E:E,'FL5_POR_包裝對照表 (Mapping Table)'!AN:AN,"",0,1))</f>
        <v>TBD</v>
      </c>
      <c r="L141" s="1012" t="s">
        <v>1596</v>
      </c>
      <c r="M141" s="1012" t="s">
        <v>1594</v>
      </c>
      <c r="N141" s="1045" t="e">
        <v>#N/A</v>
      </c>
      <c r="O141" s="1045" t="e">
        <v>#N/A</v>
      </c>
      <c r="P141" s="1046"/>
      <c r="Q141" s="1046"/>
      <c r="R141" s="1046"/>
      <c r="S141" s="1017"/>
      <c r="T141" s="514"/>
      <c r="U141" s="514"/>
      <c r="V141" s="514"/>
      <c r="W141" s="514"/>
      <c r="X141" s="514"/>
      <c r="Y141" s="514"/>
    </row>
    <row r="142">
      <c r="A142" s="1011">
        <v>140.0</v>
      </c>
      <c r="B142" s="1012" t="s">
        <v>277</v>
      </c>
      <c r="C142" s="1012" t="s">
        <v>278</v>
      </c>
      <c r="D142" s="1030" t="s">
        <v>1164</v>
      </c>
      <c r="E142" s="1014" t="s">
        <v>2204</v>
      </c>
      <c r="F142" s="1012" t="s">
        <v>290</v>
      </c>
      <c r="G142" s="1014" t="s">
        <v>408</v>
      </c>
      <c r="H142" s="1044" t="s">
        <v>2057</v>
      </c>
      <c r="I142" s="1032" t="s">
        <v>1397</v>
      </c>
      <c r="J142" s="1012" t="s">
        <v>1399</v>
      </c>
      <c r="K142" s="1003" t="str">
        <f t="array" ref="K142">if(isblank(D142),"",xlookup(D142,'FL5_POR_包裝對照表 (Mapping Table)'!E:E,'FL5_POR_包裝對照表 (Mapping Table)'!AN:AN,"",0,1))</f>
        <v>TBD</v>
      </c>
      <c r="L142" s="1012" t="s">
        <v>1606</v>
      </c>
      <c r="M142" s="1012" t="s">
        <v>1604</v>
      </c>
      <c r="N142" s="1045" t="e">
        <v>#N/A</v>
      </c>
      <c r="O142" s="1045" t="e">
        <v>#N/A</v>
      </c>
      <c r="P142" s="1046"/>
      <c r="Q142" s="1046"/>
      <c r="R142" s="1046"/>
      <c r="S142" s="1017"/>
      <c r="T142" s="514"/>
      <c r="U142" s="514"/>
      <c r="V142" s="514"/>
      <c r="W142" s="514"/>
      <c r="X142" s="514"/>
      <c r="Y142" s="514"/>
    </row>
    <row r="143">
      <c r="A143" s="1002">
        <v>141.0</v>
      </c>
      <c r="B143" s="1012" t="s">
        <v>277</v>
      </c>
      <c r="C143" s="1012" t="s">
        <v>278</v>
      </c>
      <c r="D143" s="1029" t="s">
        <v>1168</v>
      </c>
      <c r="E143" s="1014" t="s">
        <v>2204</v>
      </c>
      <c r="F143" s="1012" t="s">
        <v>290</v>
      </c>
      <c r="G143" s="1014" t="s">
        <v>408</v>
      </c>
      <c r="H143" s="1044" t="s">
        <v>2057</v>
      </c>
      <c r="I143" s="1032" t="s">
        <v>1397</v>
      </c>
      <c r="J143" s="1012" t="s">
        <v>1399</v>
      </c>
      <c r="K143" s="1003" t="str">
        <f t="array" ref="K143">if(isblank(D143),"",xlookup(D143,'FL5_POR_包裝對照表 (Mapping Table)'!E:E,'FL5_POR_包裝對照表 (Mapping Table)'!AN:AN,"",0,1))</f>
        <v>TBD</v>
      </c>
      <c r="L143" s="1012" t="s">
        <v>1614</v>
      </c>
      <c r="M143" s="1012" t="s">
        <v>1339</v>
      </c>
      <c r="N143" s="1045" t="e">
        <v>#N/A</v>
      </c>
      <c r="O143" s="1045" t="e">
        <v>#N/A</v>
      </c>
      <c r="P143" s="1046"/>
      <c r="Q143" s="1046"/>
      <c r="R143" s="1046"/>
      <c r="S143" s="1017"/>
      <c r="T143" s="514"/>
      <c r="U143" s="514"/>
      <c r="V143" s="514"/>
      <c r="W143" s="514"/>
      <c r="X143" s="514"/>
      <c r="Y143" s="514"/>
    </row>
    <row r="144">
      <c r="A144" s="1011">
        <v>142.0</v>
      </c>
      <c r="B144" s="1012" t="s">
        <v>277</v>
      </c>
      <c r="C144" s="1012" t="s">
        <v>278</v>
      </c>
      <c r="D144" s="1031" t="s">
        <v>1172</v>
      </c>
      <c r="E144" s="1014" t="s">
        <v>1173</v>
      </c>
      <c r="F144" s="1012" t="s">
        <v>284</v>
      </c>
      <c r="G144" s="1014" t="s">
        <v>408</v>
      </c>
      <c r="H144" s="1006" t="s">
        <v>1362</v>
      </c>
      <c r="I144" s="1015" t="s">
        <v>1337</v>
      </c>
      <c r="J144" s="1012" t="s">
        <v>1097</v>
      </c>
      <c r="K144" s="1003" t="str">
        <f t="array" ref="K144">if(isblank(D144),"",xlookup(D144,'FL5_POR_包裝對照表 (Mapping Table)'!E:E,'FL5_POR_包裝對照表 (Mapping Table)'!AN:AN,"",0,1))</f>
        <v>TBD</v>
      </c>
      <c r="L144" s="1012" t="s">
        <v>1585</v>
      </c>
      <c r="M144" s="1012" t="s">
        <v>1367</v>
      </c>
      <c r="N144" s="1016">
        <v>447.07</v>
      </c>
      <c r="O144" s="1016">
        <v>440.09</v>
      </c>
      <c r="P144" s="1009">
        <v>45779.0</v>
      </c>
      <c r="Q144" s="1009">
        <v>45782.0</v>
      </c>
      <c r="R144" s="1009">
        <v>45782.0</v>
      </c>
      <c r="S144" s="1017"/>
      <c r="T144" s="514"/>
      <c r="U144" s="514"/>
      <c r="V144" s="514"/>
      <c r="W144" s="514"/>
      <c r="X144" s="514"/>
      <c r="Y144" s="514"/>
    </row>
    <row r="145">
      <c r="A145" s="1002">
        <v>143.0</v>
      </c>
      <c r="B145" s="1012" t="s">
        <v>277</v>
      </c>
      <c r="C145" s="1012" t="s">
        <v>278</v>
      </c>
      <c r="D145" s="1013" t="s">
        <v>1178</v>
      </c>
      <c r="E145" s="1014" t="s">
        <v>1173</v>
      </c>
      <c r="F145" s="1012" t="s">
        <v>284</v>
      </c>
      <c r="G145" s="1014" t="s">
        <v>408</v>
      </c>
      <c r="H145" s="1006" t="s">
        <v>1362</v>
      </c>
      <c r="I145" s="1015" t="s">
        <v>1337</v>
      </c>
      <c r="J145" s="1012" t="s">
        <v>1097</v>
      </c>
      <c r="K145" s="1003" t="str">
        <f t="array" ref="K145">if(isblank(D145),"",xlookup(D145,'FL5_POR_包裝對照表 (Mapping Table)'!E:E,'FL5_POR_包裝對照表 (Mapping Table)'!AN:AN,"",0,1))</f>
        <v>TBD</v>
      </c>
      <c r="L145" s="1012" t="s">
        <v>1596</v>
      </c>
      <c r="M145" s="1012" t="s">
        <v>1594</v>
      </c>
      <c r="N145" s="1016">
        <v>426.41</v>
      </c>
      <c r="O145" s="1016">
        <v>440.39</v>
      </c>
      <c r="P145" s="1009">
        <v>45779.0</v>
      </c>
      <c r="Q145" s="1009">
        <v>45782.0</v>
      </c>
      <c r="R145" s="1009">
        <v>45782.0</v>
      </c>
      <c r="S145" s="1017"/>
      <c r="T145" s="514"/>
      <c r="U145" s="514"/>
      <c r="V145" s="514"/>
      <c r="W145" s="514"/>
      <c r="X145" s="514"/>
      <c r="Y145" s="514"/>
    </row>
    <row r="146">
      <c r="A146" s="1011">
        <v>144.0</v>
      </c>
      <c r="B146" s="1012" t="s">
        <v>277</v>
      </c>
      <c r="C146" s="1012" t="s">
        <v>278</v>
      </c>
      <c r="D146" s="1030" t="s">
        <v>1182</v>
      </c>
      <c r="E146" s="1014" t="s">
        <v>1173</v>
      </c>
      <c r="F146" s="1012" t="s">
        <v>284</v>
      </c>
      <c r="G146" s="1014" t="s">
        <v>408</v>
      </c>
      <c r="H146" s="1006" t="s">
        <v>1362</v>
      </c>
      <c r="I146" s="1015" t="s">
        <v>1337</v>
      </c>
      <c r="J146" s="1012" t="s">
        <v>1097</v>
      </c>
      <c r="K146" s="1003" t="str">
        <f t="array" ref="K146">if(isblank(D146),"",xlookup(D146,'FL5_POR_包裝對照表 (Mapping Table)'!E:E,'FL5_POR_包裝對照表 (Mapping Table)'!AN:AN,"",0,1))</f>
        <v>TBD</v>
      </c>
      <c r="L146" s="1012" t="s">
        <v>1606</v>
      </c>
      <c r="M146" s="1012" t="s">
        <v>1604</v>
      </c>
      <c r="N146" s="1016">
        <v>464.65</v>
      </c>
      <c r="O146" s="1016">
        <v>440.49</v>
      </c>
      <c r="P146" s="1009">
        <v>45779.0</v>
      </c>
      <c r="Q146" s="1009">
        <v>45782.0</v>
      </c>
      <c r="R146" s="1009">
        <v>45782.0</v>
      </c>
      <c r="S146" s="1017"/>
      <c r="T146" s="514"/>
      <c r="U146" s="514"/>
      <c r="V146" s="514"/>
      <c r="W146" s="514"/>
      <c r="X146" s="514"/>
      <c r="Y146" s="514"/>
    </row>
    <row r="147">
      <c r="A147" s="1002">
        <v>145.0</v>
      </c>
      <c r="B147" s="1012" t="s">
        <v>277</v>
      </c>
      <c r="C147" s="1012" t="s">
        <v>278</v>
      </c>
      <c r="D147" s="1029" t="s">
        <v>1186</v>
      </c>
      <c r="E147" s="1014" t="s">
        <v>1173</v>
      </c>
      <c r="F147" s="1012" t="s">
        <v>284</v>
      </c>
      <c r="G147" s="1014" t="s">
        <v>408</v>
      </c>
      <c r="H147" s="1006" t="s">
        <v>1362</v>
      </c>
      <c r="I147" s="1015" t="s">
        <v>1337</v>
      </c>
      <c r="J147" s="1012" t="s">
        <v>1097</v>
      </c>
      <c r="K147" s="1003" t="str">
        <f t="array" ref="K147">if(isblank(D147),"",xlookup(D147,'FL5_POR_包裝對照表 (Mapping Table)'!E:E,'FL5_POR_包裝對照表 (Mapping Table)'!AN:AN,"",0,1))</f>
        <v>TBD</v>
      </c>
      <c r="L147" s="1012" t="s">
        <v>1614</v>
      </c>
      <c r="M147" s="1012" t="s">
        <v>1339</v>
      </c>
      <c r="N147" s="1016">
        <v>461.76</v>
      </c>
      <c r="O147" s="1016">
        <v>440.49</v>
      </c>
      <c r="P147" s="1009">
        <v>45779.0</v>
      </c>
      <c r="Q147" s="1009">
        <v>45782.0</v>
      </c>
      <c r="R147" s="1009">
        <v>45782.0</v>
      </c>
      <c r="S147" s="1017"/>
      <c r="T147" s="514"/>
      <c r="U147" s="514"/>
      <c r="V147" s="514"/>
      <c r="W147" s="514"/>
      <c r="X147" s="514"/>
      <c r="Y147" s="514"/>
    </row>
    <row r="148">
      <c r="A148" s="1011">
        <v>146.0</v>
      </c>
      <c r="B148" s="1012" t="s">
        <v>277</v>
      </c>
      <c r="C148" s="1012" t="s">
        <v>278</v>
      </c>
      <c r="D148" s="1031" t="s">
        <v>1190</v>
      </c>
      <c r="E148" s="1014" t="s">
        <v>1191</v>
      </c>
      <c r="F148" s="1012" t="s">
        <v>284</v>
      </c>
      <c r="G148" s="1014" t="s">
        <v>408</v>
      </c>
      <c r="H148" s="1006" t="s">
        <v>1362</v>
      </c>
      <c r="I148" s="1015" t="s">
        <v>1337</v>
      </c>
      <c r="J148" s="1012" t="s">
        <v>305</v>
      </c>
      <c r="K148" s="1003" t="str">
        <f t="array" ref="K148">if(isblank(D148),"",xlookup(D148,'FL5_POR_包裝對照表 (Mapping Table)'!E:E,'FL5_POR_包裝對照表 (Mapping Table)'!AN:AN,"",0,1))</f>
        <v>TBD</v>
      </c>
      <c r="L148" s="1012" t="s">
        <v>1585</v>
      </c>
      <c r="M148" s="1012" t="s">
        <v>1367</v>
      </c>
      <c r="N148" s="1016">
        <v>464.63</v>
      </c>
      <c r="O148" s="1016">
        <v>440.09</v>
      </c>
      <c r="P148" s="1009">
        <v>45779.0</v>
      </c>
      <c r="Q148" s="1009">
        <v>45782.0</v>
      </c>
      <c r="R148" s="1009">
        <v>45782.0</v>
      </c>
      <c r="S148" s="1017"/>
      <c r="T148" s="514"/>
      <c r="U148" s="514"/>
      <c r="V148" s="514"/>
      <c r="W148" s="514"/>
      <c r="X148" s="514"/>
      <c r="Y148" s="514"/>
    </row>
    <row r="149">
      <c r="A149" s="1002">
        <v>147.0</v>
      </c>
      <c r="B149" s="1012" t="s">
        <v>277</v>
      </c>
      <c r="C149" s="1012" t="s">
        <v>278</v>
      </c>
      <c r="D149" s="1029" t="s">
        <v>1195</v>
      </c>
      <c r="E149" s="1014" t="s">
        <v>1191</v>
      </c>
      <c r="F149" s="1012" t="s">
        <v>284</v>
      </c>
      <c r="G149" s="1014" t="s">
        <v>408</v>
      </c>
      <c r="H149" s="1006" t="s">
        <v>1362</v>
      </c>
      <c r="I149" s="1015" t="s">
        <v>1337</v>
      </c>
      <c r="J149" s="1012" t="s">
        <v>305</v>
      </c>
      <c r="K149" s="1003" t="str">
        <f t="array" ref="K149">if(isblank(D149),"",xlookup(D149,'FL5_POR_包裝對照表 (Mapping Table)'!E:E,'FL5_POR_包裝對照表 (Mapping Table)'!AN:AN,"",0,1))</f>
        <v>TBD</v>
      </c>
      <c r="L149" s="1012" t="s">
        <v>1614</v>
      </c>
      <c r="M149" s="1012" t="s">
        <v>1339</v>
      </c>
      <c r="N149" s="1016">
        <v>426.51</v>
      </c>
      <c r="O149" s="1016">
        <v>440.49</v>
      </c>
      <c r="P149" s="1009">
        <v>45779.0</v>
      </c>
      <c r="Q149" s="1009">
        <v>45782.0</v>
      </c>
      <c r="R149" s="1009">
        <v>45782.0</v>
      </c>
      <c r="S149" s="1017"/>
      <c r="T149" s="514"/>
      <c r="U149" s="514"/>
      <c r="V149" s="514"/>
      <c r="W149" s="514"/>
      <c r="X149" s="514"/>
      <c r="Y149" s="514"/>
    </row>
    <row r="150">
      <c r="A150" s="1011">
        <v>148.0</v>
      </c>
      <c r="B150" s="1012" t="s">
        <v>277</v>
      </c>
      <c r="C150" s="1012" t="s">
        <v>278</v>
      </c>
      <c r="D150" s="1031" t="s">
        <v>1199</v>
      </c>
      <c r="E150" s="1014" t="s">
        <v>2205</v>
      </c>
      <c r="F150" s="1012" t="s">
        <v>284</v>
      </c>
      <c r="G150" s="1014" t="s">
        <v>408</v>
      </c>
      <c r="H150" s="1006" t="s">
        <v>1362</v>
      </c>
      <c r="I150" s="1015" t="s">
        <v>1337</v>
      </c>
      <c r="J150" s="1012" t="s">
        <v>1087</v>
      </c>
      <c r="K150" s="1003" t="str">
        <f t="array" ref="K150">if(isblank(D150),"",xlookup(D150,'FL5_POR_包裝對照表 (Mapping Table)'!E:E,'FL5_POR_包裝對照表 (Mapping Table)'!AN:AN,"",0,1))</f>
        <v>TBD</v>
      </c>
      <c r="L150" s="1012" t="s">
        <v>1585</v>
      </c>
      <c r="M150" s="1012" t="s">
        <v>1367</v>
      </c>
      <c r="N150" s="1016">
        <v>464.63</v>
      </c>
      <c r="O150" s="1016">
        <v>440.09</v>
      </c>
      <c r="P150" s="1009">
        <v>45779.0</v>
      </c>
      <c r="Q150" s="1009">
        <v>45782.0</v>
      </c>
      <c r="R150" s="1009">
        <v>45782.0</v>
      </c>
      <c r="S150" s="1017"/>
      <c r="T150" s="514"/>
      <c r="U150" s="514"/>
      <c r="V150" s="514"/>
      <c r="W150" s="514"/>
      <c r="X150" s="514"/>
      <c r="Y150" s="514"/>
    </row>
    <row r="151">
      <c r="A151" s="1002">
        <v>149.0</v>
      </c>
      <c r="B151" s="1012" t="s">
        <v>277</v>
      </c>
      <c r="C151" s="1012" t="s">
        <v>278</v>
      </c>
      <c r="D151" s="1029" t="s">
        <v>1204</v>
      </c>
      <c r="E151" s="1014" t="s">
        <v>2205</v>
      </c>
      <c r="F151" s="1012" t="s">
        <v>284</v>
      </c>
      <c r="G151" s="1014" t="s">
        <v>408</v>
      </c>
      <c r="H151" s="1006" t="s">
        <v>1362</v>
      </c>
      <c r="I151" s="1015" t="s">
        <v>1337</v>
      </c>
      <c r="J151" s="1012" t="s">
        <v>1087</v>
      </c>
      <c r="K151" s="1003" t="str">
        <f t="array" ref="K151">if(isblank(D151),"",xlookup(D151,'FL5_POR_包裝對照表 (Mapping Table)'!E:E,'FL5_POR_包裝對照表 (Mapping Table)'!AN:AN,"",0,1))</f>
        <v>TBD</v>
      </c>
      <c r="L151" s="1012" t="s">
        <v>1614</v>
      </c>
      <c r="M151" s="1012" t="s">
        <v>1339</v>
      </c>
      <c r="N151" s="1016">
        <v>426.51</v>
      </c>
      <c r="O151" s="1016">
        <v>440.49</v>
      </c>
      <c r="P151" s="1009">
        <v>45779.0</v>
      </c>
      <c r="Q151" s="1009">
        <v>45782.0</v>
      </c>
      <c r="R151" s="1009">
        <v>45782.0</v>
      </c>
      <c r="S151" s="1017"/>
      <c r="T151" s="514"/>
      <c r="U151" s="514"/>
      <c r="V151" s="514"/>
      <c r="W151" s="514"/>
      <c r="X151" s="514"/>
      <c r="Y151" s="514"/>
    </row>
    <row r="152">
      <c r="A152" s="1011">
        <v>150.0</v>
      </c>
      <c r="B152" s="1012" t="s">
        <v>277</v>
      </c>
      <c r="C152" s="1012" t="s">
        <v>278</v>
      </c>
      <c r="D152" s="1031" t="s">
        <v>1208</v>
      </c>
      <c r="E152" s="1014" t="s">
        <v>1209</v>
      </c>
      <c r="F152" s="1012" t="s">
        <v>284</v>
      </c>
      <c r="G152" s="1014" t="s">
        <v>408</v>
      </c>
      <c r="H152" s="1006" t="s">
        <v>1362</v>
      </c>
      <c r="I152" s="1015" t="s">
        <v>1337</v>
      </c>
      <c r="J152" s="1012" t="s">
        <v>1368</v>
      </c>
      <c r="K152" s="1003" t="str">
        <f t="array" ref="K152">if(isblank(D152),"",xlookup(D152,'FL5_POR_包裝對照表 (Mapping Table)'!E:E,'FL5_POR_包裝對照表 (Mapping Table)'!AN:AN,"",0,1))</f>
        <v>TBD</v>
      </c>
      <c r="L152" s="1012" t="s">
        <v>1585</v>
      </c>
      <c r="M152" s="1012" t="s">
        <v>1367</v>
      </c>
      <c r="N152" s="1016">
        <v>464.81</v>
      </c>
      <c r="O152" s="1016">
        <v>440.09</v>
      </c>
      <c r="P152" s="1009">
        <v>45779.0</v>
      </c>
      <c r="Q152" s="1009">
        <v>45782.0</v>
      </c>
      <c r="R152" s="1009">
        <v>45782.0</v>
      </c>
      <c r="S152" s="1017"/>
      <c r="T152" s="514"/>
      <c r="U152" s="514"/>
      <c r="V152" s="514"/>
      <c r="W152" s="514"/>
      <c r="X152" s="514"/>
      <c r="Y152" s="514"/>
    </row>
    <row r="153">
      <c r="A153" s="1002">
        <v>151.0</v>
      </c>
      <c r="B153" s="1012" t="s">
        <v>277</v>
      </c>
      <c r="C153" s="1012" t="s">
        <v>278</v>
      </c>
      <c r="D153" s="1013" t="s">
        <v>1213</v>
      </c>
      <c r="E153" s="1014" t="s">
        <v>1209</v>
      </c>
      <c r="F153" s="1012" t="s">
        <v>284</v>
      </c>
      <c r="G153" s="1014" t="s">
        <v>408</v>
      </c>
      <c r="H153" s="1006" t="s">
        <v>1362</v>
      </c>
      <c r="I153" s="1015" t="s">
        <v>1337</v>
      </c>
      <c r="J153" s="1012" t="s">
        <v>1368</v>
      </c>
      <c r="K153" s="1003" t="str">
        <f t="array" ref="K153">if(isblank(D153),"",xlookup(D153,'FL5_POR_包裝對照表 (Mapping Table)'!E:E,'FL5_POR_包裝對照表 (Mapping Table)'!AN:AN,"",0,1))</f>
        <v>TBD</v>
      </c>
      <c r="L153" s="1012" t="s">
        <v>1596</v>
      </c>
      <c r="M153" s="1012" t="s">
        <v>1594</v>
      </c>
      <c r="N153" s="1016">
        <v>460.98</v>
      </c>
      <c r="O153" s="1016">
        <v>440.39</v>
      </c>
      <c r="P153" s="1009">
        <v>45779.0</v>
      </c>
      <c r="Q153" s="1009">
        <v>45782.0</v>
      </c>
      <c r="R153" s="1009">
        <v>45782.0</v>
      </c>
      <c r="S153" s="1017"/>
      <c r="T153" s="514"/>
      <c r="U153" s="514"/>
      <c r="V153" s="514"/>
      <c r="W153" s="514"/>
      <c r="X153" s="514"/>
      <c r="Y153" s="514"/>
    </row>
    <row r="154">
      <c r="A154" s="1011">
        <v>152.0</v>
      </c>
      <c r="B154" s="1012" t="s">
        <v>277</v>
      </c>
      <c r="C154" s="1012" t="s">
        <v>278</v>
      </c>
      <c r="D154" s="1030" t="s">
        <v>1217</v>
      </c>
      <c r="E154" s="1014" t="s">
        <v>1209</v>
      </c>
      <c r="F154" s="1012" t="s">
        <v>284</v>
      </c>
      <c r="G154" s="1014" t="s">
        <v>408</v>
      </c>
      <c r="H154" s="1006" t="s">
        <v>1362</v>
      </c>
      <c r="I154" s="1015" t="s">
        <v>1337</v>
      </c>
      <c r="J154" s="1012" t="s">
        <v>1368</v>
      </c>
      <c r="K154" s="1003" t="str">
        <f t="array" ref="K154">if(isblank(D154),"",xlookup(D154,'FL5_POR_包裝對照表 (Mapping Table)'!E:E,'FL5_POR_包裝對照表 (Mapping Table)'!AN:AN,"",0,1))</f>
        <v>TBD</v>
      </c>
      <c r="L154" s="1012" t="s">
        <v>1606</v>
      </c>
      <c r="M154" s="1012" t="s">
        <v>1604</v>
      </c>
      <c r="N154" s="1016">
        <v>426.51</v>
      </c>
      <c r="O154" s="1016">
        <v>440.49</v>
      </c>
      <c r="P154" s="1009">
        <v>45779.0</v>
      </c>
      <c r="Q154" s="1009">
        <v>45782.0</v>
      </c>
      <c r="R154" s="1009">
        <v>45782.0</v>
      </c>
      <c r="S154" s="1017"/>
      <c r="T154" s="514"/>
      <c r="U154" s="514"/>
      <c r="V154" s="514"/>
      <c r="W154" s="514"/>
      <c r="X154" s="514"/>
      <c r="Y154" s="514"/>
    </row>
    <row r="155">
      <c r="A155" s="1002">
        <v>153.0</v>
      </c>
      <c r="B155" s="1012" t="s">
        <v>277</v>
      </c>
      <c r="C155" s="1012" t="s">
        <v>278</v>
      </c>
      <c r="D155" s="1029" t="s">
        <v>1221</v>
      </c>
      <c r="E155" s="1014" t="s">
        <v>1209</v>
      </c>
      <c r="F155" s="1012" t="s">
        <v>284</v>
      </c>
      <c r="G155" s="1014" t="s">
        <v>408</v>
      </c>
      <c r="H155" s="1006" t="s">
        <v>1362</v>
      </c>
      <c r="I155" s="1015" t="s">
        <v>1337</v>
      </c>
      <c r="J155" s="1012" t="s">
        <v>1368</v>
      </c>
      <c r="K155" s="1003" t="str">
        <f t="array" ref="K155">if(isblank(D155),"",xlookup(D155,'FL5_POR_包裝對照表 (Mapping Table)'!E:E,'FL5_POR_包裝對照表 (Mapping Table)'!AN:AN,"",0,1))</f>
        <v>TBD</v>
      </c>
      <c r="L155" s="1012" t="s">
        <v>1614</v>
      </c>
      <c r="M155" s="1012" t="s">
        <v>1339</v>
      </c>
      <c r="N155" s="1016">
        <v>426.51</v>
      </c>
      <c r="O155" s="1016">
        <v>440.49</v>
      </c>
      <c r="P155" s="1009">
        <v>45779.0</v>
      </c>
      <c r="Q155" s="1009">
        <v>45782.0</v>
      </c>
      <c r="R155" s="1009">
        <v>45782.0</v>
      </c>
      <c r="S155" s="1017"/>
      <c r="T155" s="514"/>
      <c r="U155" s="514"/>
      <c r="V155" s="514"/>
      <c r="W155" s="514"/>
      <c r="X155" s="514"/>
      <c r="Y155" s="514"/>
    </row>
    <row r="156">
      <c r="A156" s="1011">
        <v>154.0</v>
      </c>
      <c r="B156" s="1012" t="s">
        <v>277</v>
      </c>
      <c r="C156" s="1012" t="s">
        <v>278</v>
      </c>
      <c r="D156" s="1031" t="s">
        <v>1225</v>
      </c>
      <c r="E156" s="1014" t="s">
        <v>492</v>
      </c>
      <c r="F156" s="1012" t="s">
        <v>284</v>
      </c>
      <c r="G156" s="1014" t="s">
        <v>408</v>
      </c>
      <c r="H156" s="1006" t="s">
        <v>1362</v>
      </c>
      <c r="I156" s="1032" t="s">
        <v>1397</v>
      </c>
      <c r="J156" s="1012" t="s">
        <v>1399</v>
      </c>
      <c r="K156" s="1003" t="str">
        <f t="array" ref="K156">if(isblank(D156),"",xlookup(D156,'FL5_POR_包裝對照表 (Mapping Table)'!E:E,'FL5_POR_包裝對照表 (Mapping Table)'!AN:AN,"",0,1))</f>
        <v>TBD</v>
      </c>
      <c r="L156" s="1012" t="s">
        <v>1585</v>
      </c>
      <c r="M156" s="1012" t="s">
        <v>1367</v>
      </c>
      <c r="N156" s="1016">
        <v>427.23</v>
      </c>
      <c r="O156" s="1016">
        <v>422.71</v>
      </c>
      <c r="P156" s="1009">
        <v>45779.0</v>
      </c>
      <c r="Q156" s="1009">
        <v>45782.0</v>
      </c>
      <c r="R156" s="1009">
        <v>45782.0</v>
      </c>
      <c r="S156" s="1017"/>
      <c r="T156" s="514"/>
      <c r="U156" s="514"/>
      <c r="V156" s="514"/>
      <c r="W156" s="514"/>
      <c r="X156" s="514"/>
      <c r="Y156" s="514"/>
    </row>
    <row r="157">
      <c r="A157" s="1002">
        <v>155.0</v>
      </c>
      <c r="B157" s="1012" t="s">
        <v>277</v>
      </c>
      <c r="C157" s="1012" t="s">
        <v>278</v>
      </c>
      <c r="D157" s="1013" t="s">
        <v>1229</v>
      </c>
      <c r="E157" s="1014" t="s">
        <v>492</v>
      </c>
      <c r="F157" s="1012" t="s">
        <v>284</v>
      </c>
      <c r="G157" s="1014" t="s">
        <v>408</v>
      </c>
      <c r="H157" s="1006" t="s">
        <v>1362</v>
      </c>
      <c r="I157" s="1032" t="s">
        <v>1397</v>
      </c>
      <c r="J157" s="1012" t="s">
        <v>1399</v>
      </c>
      <c r="K157" s="1003" t="str">
        <f t="array" ref="K157">if(isblank(D157),"",xlookup(D157,'FL5_POR_包裝對照表 (Mapping Table)'!E:E,'FL5_POR_包裝對照表 (Mapping Table)'!AN:AN,"",0,1))</f>
        <v>TBD</v>
      </c>
      <c r="L157" s="1012" t="s">
        <v>1596</v>
      </c>
      <c r="M157" s="1012" t="s">
        <v>1594</v>
      </c>
      <c r="N157" s="1016">
        <v>441.37</v>
      </c>
      <c r="O157" s="1016">
        <v>423.01</v>
      </c>
      <c r="P157" s="1009">
        <v>45779.0</v>
      </c>
      <c r="Q157" s="1009">
        <v>45782.0</v>
      </c>
      <c r="R157" s="1009">
        <v>45782.0</v>
      </c>
      <c r="S157" s="1017"/>
      <c r="T157" s="514"/>
      <c r="U157" s="514"/>
      <c r="V157" s="514"/>
      <c r="W157" s="514"/>
      <c r="X157" s="514"/>
      <c r="Y157" s="514"/>
    </row>
    <row r="158">
      <c r="A158" s="1011">
        <v>156.0</v>
      </c>
      <c r="B158" s="1012" t="s">
        <v>277</v>
      </c>
      <c r="C158" s="1012" t="s">
        <v>278</v>
      </c>
      <c r="D158" s="1030" t="s">
        <v>1233</v>
      </c>
      <c r="E158" s="1014" t="s">
        <v>492</v>
      </c>
      <c r="F158" s="1012" t="s">
        <v>284</v>
      </c>
      <c r="G158" s="1014" t="s">
        <v>408</v>
      </c>
      <c r="H158" s="1006" t="s">
        <v>1362</v>
      </c>
      <c r="I158" s="1032" t="s">
        <v>1397</v>
      </c>
      <c r="J158" s="1012" t="s">
        <v>1399</v>
      </c>
      <c r="K158" s="1003" t="str">
        <f t="array" ref="K158">if(isblank(D158),"",xlookup(D158,'FL5_POR_包裝對照表 (Mapping Table)'!E:E,'FL5_POR_包裝對照表 (Mapping Table)'!AN:AN,"",0,1))</f>
        <v>TBD</v>
      </c>
      <c r="L158" s="1012" t="s">
        <v>1606</v>
      </c>
      <c r="M158" s="1012" t="s">
        <v>1604</v>
      </c>
      <c r="N158" s="1016">
        <v>445.06</v>
      </c>
      <c r="O158" s="1016">
        <v>423.11</v>
      </c>
      <c r="P158" s="1009">
        <v>45779.0</v>
      </c>
      <c r="Q158" s="1009">
        <v>45782.0</v>
      </c>
      <c r="R158" s="1009">
        <v>45782.0</v>
      </c>
      <c r="S158" s="1017"/>
      <c r="T158" s="514"/>
      <c r="U158" s="514"/>
      <c r="V158" s="514"/>
      <c r="W158" s="514"/>
      <c r="X158" s="514"/>
      <c r="Y158" s="514"/>
    </row>
    <row r="159">
      <c r="A159" s="1002">
        <v>157.0</v>
      </c>
      <c r="B159" s="1012" t="s">
        <v>277</v>
      </c>
      <c r="C159" s="1012" t="s">
        <v>278</v>
      </c>
      <c r="D159" s="1029" t="s">
        <v>1237</v>
      </c>
      <c r="E159" s="1014" t="s">
        <v>492</v>
      </c>
      <c r="F159" s="1012" t="s">
        <v>284</v>
      </c>
      <c r="G159" s="1014" t="s">
        <v>408</v>
      </c>
      <c r="H159" s="1006" t="s">
        <v>1362</v>
      </c>
      <c r="I159" s="1032" t="s">
        <v>1397</v>
      </c>
      <c r="J159" s="1012" t="s">
        <v>1399</v>
      </c>
      <c r="K159" s="1003" t="str">
        <f t="array" ref="K159">if(isblank(D159),"",xlookup(D159,'FL5_POR_包裝對照表 (Mapping Table)'!E:E,'FL5_POR_包裝對照表 (Mapping Table)'!AN:AN,"",0,1))</f>
        <v>TBD</v>
      </c>
      <c r="L159" s="1012" t="s">
        <v>1614</v>
      </c>
      <c r="M159" s="1012" t="s">
        <v>1339</v>
      </c>
      <c r="N159" s="1016">
        <v>441.14</v>
      </c>
      <c r="O159" s="1016">
        <v>423.11</v>
      </c>
      <c r="P159" s="1009">
        <v>45779.0</v>
      </c>
      <c r="Q159" s="1009">
        <v>45782.0</v>
      </c>
      <c r="R159" s="1009">
        <v>45782.0</v>
      </c>
      <c r="S159" s="1017"/>
      <c r="T159" s="514"/>
      <c r="U159" s="514"/>
      <c r="V159" s="514"/>
      <c r="W159" s="514"/>
      <c r="X159" s="514"/>
      <c r="Y159" s="514"/>
    </row>
    <row r="160">
      <c r="A160" s="1011">
        <v>158.0</v>
      </c>
      <c r="B160" s="1012" t="s">
        <v>277</v>
      </c>
      <c r="C160" s="1012" t="s">
        <v>278</v>
      </c>
      <c r="D160" s="1031" t="s">
        <v>1241</v>
      </c>
      <c r="E160" s="1014" t="s">
        <v>2206</v>
      </c>
      <c r="F160" s="1012" t="s">
        <v>284</v>
      </c>
      <c r="G160" s="1014" t="s">
        <v>408</v>
      </c>
      <c r="H160" s="1006" t="s">
        <v>1362</v>
      </c>
      <c r="I160" s="1032" t="s">
        <v>1397</v>
      </c>
      <c r="J160" s="1012" t="s">
        <v>1399</v>
      </c>
      <c r="K160" s="1003" t="str">
        <f t="array" ref="K160">if(isblank(D160),"",xlookup(D160,'FL5_POR_包裝對照表 (Mapping Table)'!E:E,'FL5_POR_包裝對照表 (Mapping Table)'!AN:AN,"",0,1))</f>
        <v>TBD</v>
      </c>
      <c r="L160" s="1012" t="s">
        <v>1585</v>
      </c>
      <c r="M160" s="1012" t="s">
        <v>1367</v>
      </c>
      <c r="N160" s="1016">
        <v>430.2</v>
      </c>
      <c r="O160" s="1016">
        <v>423.22</v>
      </c>
      <c r="P160" s="1009">
        <v>45779.0</v>
      </c>
      <c r="Q160" s="1009">
        <v>45782.0</v>
      </c>
      <c r="R160" s="1009">
        <v>45782.0</v>
      </c>
      <c r="S160" s="1017"/>
      <c r="T160" s="514"/>
      <c r="U160" s="514"/>
      <c r="V160" s="514"/>
      <c r="W160" s="514"/>
      <c r="X160" s="514"/>
      <c r="Y160" s="514"/>
    </row>
    <row r="161">
      <c r="A161" s="1002">
        <v>159.0</v>
      </c>
      <c r="B161" s="1012" t="s">
        <v>277</v>
      </c>
      <c r="C161" s="1012" t="s">
        <v>278</v>
      </c>
      <c r="D161" s="1013" t="s">
        <v>1246</v>
      </c>
      <c r="E161" s="1014" t="s">
        <v>2206</v>
      </c>
      <c r="F161" s="1012" t="s">
        <v>284</v>
      </c>
      <c r="G161" s="1014" t="s">
        <v>408</v>
      </c>
      <c r="H161" s="1006" t="s">
        <v>1362</v>
      </c>
      <c r="I161" s="1032" t="s">
        <v>1397</v>
      </c>
      <c r="J161" s="1012" t="s">
        <v>1399</v>
      </c>
      <c r="K161" s="1003" t="str">
        <f t="array" ref="K161">if(isblank(D161),"",xlookup(D161,'FL5_POR_包裝對照表 (Mapping Table)'!E:E,'FL5_POR_包裝對照表 (Mapping Table)'!AN:AN,"",0,1))</f>
        <v>TBD</v>
      </c>
      <c r="L161" s="1012" t="s">
        <v>1596</v>
      </c>
      <c r="M161" s="1012" t="s">
        <v>1594</v>
      </c>
      <c r="N161" s="1016">
        <v>430.5</v>
      </c>
      <c r="O161" s="1016">
        <v>423.52</v>
      </c>
      <c r="P161" s="1009">
        <v>45779.0</v>
      </c>
      <c r="Q161" s="1009">
        <v>45782.0</v>
      </c>
      <c r="R161" s="1009">
        <v>45782.0</v>
      </c>
      <c r="S161" s="1017"/>
      <c r="T161" s="514"/>
      <c r="U161" s="514"/>
      <c r="V161" s="514"/>
      <c r="W161" s="514"/>
      <c r="X161" s="514"/>
      <c r="Y161" s="514"/>
    </row>
    <row r="162">
      <c r="A162" s="1011">
        <v>160.0</v>
      </c>
      <c r="B162" s="1012" t="s">
        <v>277</v>
      </c>
      <c r="C162" s="1012" t="s">
        <v>278</v>
      </c>
      <c r="D162" s="1030" t="s">
        <v>1250</v>
      </c>
      <c r="E162" s="1014" t="s">
        <v>2206</v>
      </c>
      <c r="F162" s="1012" t="s">
        <v>284</v>
      </c>
      <c r="G162" s="1014" t="s">
        <v>408</v>
      </c>
      <c r="H162" s="1006" t="s">
        <v>1362</v>
      </c>
      <c r="I162" s="1032" t="s">
        <v>1397</v>
      </c>
      <c r="J162" s="1012" t="s">
        <v>1399</v>
      </c>
      <c r="K162" s="1003" t="str">
        <f t="array" ref="K162">if(isblank(D162),"",xlookup(D162,'FL5_POR_包裝對照表 (Mapping Table)'!E:E,'FL5_POR_包裝對照表 (Mapping Table)'!AN:AN,"",0,1))</f>
        <v>TBD</v>
      </c>
      <c r="L162" s="1012" t="s">
        <v>1606</v>
      </c>
      <c r="M162" s="1012" t="s">
        <v>1604</v>
      </c>
      <c r="N162" s="1016">
        <v>430.6</v>
      </c>
      <c r="O162" s="1016">
        <v>423.62</v>
      </c>
      <c r="P162" s="1009">
        <v>45779.0</v>
      </c>
      <c r="Q162" s="1009">
        <v>45782.0</v>
      </c>
      <c r="R162" s="1009">
        <v>45782.0</v>
      </c>
      <c r="S162" s="1017"/>
      <c r="T162" s="514"/>
      <c r="U162" s="514"/>
      <c r="V162" s="514"/>
      <c r="W162" s="514"/>
      <c r="X162" s="514"/>
      <c r="Y162" s="514"/>
    </row>
    <row r="163">
      <c r="A163" s="1002">
        <v>161.0</v>
      </c>
      <c r="B163" s="1012" t="s">
        <v>277</v>
      </c>
      <c r="C163" s="1012" t="s">
        <v>278</v>
      </c>
      <c r="D163" s="1029" t="s">
        <v>1254</v>
      </c>
      <c r="E163" s="1014" t="s">
        <v>2206</v>
      </c>
      <c r="F163" s="1012" t="s">
        <v>284</v>
      </c>
      <c r="G163" s="1014" t="s">
        <v>408</v>
      </c>
      <c r="H163" s="1006" t="s">
        <v>1362</v>
      </c>
      <c r="I163" s="1032" t="s">
        <v>1397</v>
      </c>
      <c r="J163" s="1012" t="s">
        <v>1399</v>
      </c>
      <c r="K163" s="1003" t="str">
        <f t="array" ref="K163">if(isblank(D163),"",xlookup(D163,'FL5_POR_包裝對照表 (Mapping Table)'!E:E,'FL5_POR_包裝對照表 (Mapping Table)'!AN:AN,"",0,1))</f>
        <v>TBD</v>
      </c>
      <c r="L163" s="1012" t="s">
        <v>1614</v>
      </c>
      <c r="M163" s="1012" t="s">
        <v>1339</v>
      </c>
      <c r="N163" s="1016">
        <v>430.6</v>
      </c>
      <c r="O163" s="1016">
        <v>423.62</v>
      </c>
      <c r="P163" s="1009">
        <v>45779.0</v>
      </c>
      <c r="Q163" s="1009">
        <v>45782.0</v>
      </c>
      <c r="R163" s="1009">
        <v>45782.0</v>
      </c>
      <c r="S163" s="1017"/>
      <c r="T163" s="514"/>
      <c r="U163" s="514"/>
      <c r="V163" s="514"/>
      <c r="W163" s="514"/>
      <c r="X163" s="514"/>
      <c r="Y163" s="514"/>
    </row>
    <row r="164">
      <c r="A164" s="1011">
        <v>162.0</v>
      </c>
      <c r="B164" s="1012" t="s">
        <v>277</v>
      </c>
      <c r="C164" s="1012" t="s">
        <v>278</v>
      </c>
      <c r="D164" s="1031" t="s">
        <v>1258</v>
      </c>
      <c r="E164" s="1014" t="s">
        <v>554</v>
      </c>
      <c r="F164" s="1012" t="s">
        <v>284</v>
      </c>
      <c r="G164" s="1014" t="s">
        <v>408</v>
      </c>
      <c r="H164" s="1006" t="s">
        <v>1362</v>
      </c>
      <c r="I164" s="1043" t="s">
        <v>1385</v>
      </c>
      <c r="J164" s="1012" t="s">
        <v>1385</v>
      </c>
      <c r="K164" s="1003" t="str">
        <f t="array" ref="K164">if(isblank(D164),"",xlookup(D164,'FL5_POR_包裝對照表 (Mapping Table)'!E:E,'FL5_POR_包裝對照表 (Mapping Table)'!AN:AN,"",0,1))</f>
        <v>TBD</v>
      </c>
      <c r="L164" s="1012" t="s">
        <v>1585</v>
      </c>
      <c r="M164" s="1012" t="s">
        <v>1367</v>
      </c>
      <c r="N164" s="1016">
        <v>427.55</v>
      </c>
      <c r="O164" s="1016">
        <v>422.69</v>
      </c>
      <c r="P164" s="1009">
        <v>45779.0</v>
      </c>
      <c r="Q164" s="1009">
        <v>45782.0</v>
      </c>
      <c r="R164" s="1009">
        <v>45782.0</v>
      </c>
      <c r="S164" s="1017"/>
      <c r="T164" s="514"/>
      <c r="U164" s="514"/>
      <c r="V164" s="514"/>
      <c r="W164" s="514"/>
      <c r="X164" s="514"/>
      <c r="Y164" s="514"/>
    </row>
    <row r="165">
      <c r="A165" s="1002">
        <v>163.0</v>
      </c>
      <c r="B165" s="1012" t="s">
        <v>277</v>
      </c>
      <c r="C165" s="1012" t="s">
        <v>278</v>
      </c>
      <c r="D165" s="1013" t="s">
        <v>1262</v>
      </c>
      <c r="E165" s="1014" t="s">
        <v>554</v>
      </c>
      <c r="F165" s="1012" t="s">
        <v>284</v>
      </c>
      <c r="G165" s="1014" t="s">
        <v>408</v>
      </c>
      <c r="H165" s="1006" t="s">
        <v>1362</v>
      </c>
      <c r="I165" s="1043" t="s">
        <v>1385</v>
      </c>
      <c r="J165" s="1012" t="s">
        <v>1385</v>
      </c>
      <c r="K165" s="1003" t="str">
        <f t="array" ref="K165">if(isblank(D165),"",xlookup(D165,'FL5_POR_包裝對照表 (Mapping Table)'!E:E,'FL5_POR_包裝對照表 (Mapping Table)'!AN:AN,"",0,1))</f>
        <v>TBD</v>
      </c>
      <c r="L165" s="1012" t="s">
        <v>1596</v>
      </c>
      <c r="M165" s="1012" t="s">
        <v>1594</v>
      </c>
      <c r="N165" s="1016">
        <v>441.69</v>
      </c>
      <c r="O165" s="1016">
        <v>422.99</v>
      </c>
      <c r="P165" s="1009">
        <v>45779.0</v>
      </c>
      <c r="Q165" s="1009">
        <v>45782.0</v>
      </c>
      <c r="R165" s="1009">
        <v>45782.0</v>
      </c>
      <c r="S165" s="1017"/>
      <c r="T165" s="514"/>
      <c r="U165" s="514"/>
      <c r="V165" s="514"/>
      <c r="W165" s="514"/>
      <c r="X165" s="514"/>
      <c r="Y165" s="514"/>
    </row>
    <row r="166">
      <c r="A166" s="1011">
        <v>164.0</v>
      </c>
      <c r="B166" s="1012" t="s">
        <v>277</v>
      </c>
      <c r="C166" s="1012" t="s">
        <v>278</v>
      </c>
      <c r="D166" s="1030" t="s">
        <v>1266</v>
      </c>
      <c r="E166" s="1014" t="s">
        <v>554</v>
      </c>
      <c r="F166" s="1012" t="s">
        <v>284</v>
      </c>
      <c r="G166" s="1014" t="s">
        <v>408</v>
      </c>
      <c r="H166" s="1006" t="s">
        <v>1362</v>
      </c>
      <c r="I166" s="1043" t="s">
        <v>1385</v>
      </c>
      <c r="J166" s="1012" t="s">
        <v>1385</v>
      </c>
      <c r="K166" s="1003" t="str">
        <f t="array" ref="K166">if(isblank(D166),"",xlookup(D166,'FL5_POR_包裝對照表 (Mapping Table)'!E:E,'FL5_POR_包裝對照表 (Mapping Table)'!AN:AN,"",0,1))</f>
        <v>TBD</v>
      </c>
      <c r="L166" s="1012" t="s">
        <v>1606</v>
      </c>
      <c r="M166" s="1012" t="s">
        <v>1604</v>
      </c>
      <c r="N166" s="1016">
        <v>445.62</v>
      </c>
      <c r="O166" s="1016">
        <v>423.09</v>
      </c>
      <c r="P166" s="1009">
        <v>45779.0</v>
      </c>
      <c r="Q166" s="1009">
        <v>45782.0</v>
      </c>
      <c r="R166" s="1009">
        <v>45782.0</v>
      </c>
      <c r="S166" s="1017"/>
      <c r="T166" s="514"/>
      <c r="U166" s="514"/>
      <c r="V166" s="514"/>
      <c r="W166" s="514"/>
      <c r="X166" s="514"/>
      <c r="Y166" s="514"/>
    </row>
    <row r="167">
      <c r="A167" s="1002">
        <v>165.0</v>
      </c>
      <c r="B167" s="1012" t="s">
        <v>277</v>
      </c>
      <c r="C167" s="1012" t="s">
        <v>278</v>
      </c>
      <c r="D167" s="1029" t="s">
        <v>1270</v>
      </c>
      <c r="E167" s="1014" t="s">
        <v>554</v>
      </c>
      <c r="F167" s="1012" t="s">
        <v>284</v>
      </c>
      <c r="G167" s="1014" t="s">
        <v>408</v>
      </c>
      <c r="H167" s="1006" t="s">
        <v>1362</v>
      </c>
      <c r="I167" s="1043" t="s">
        <v>1385</v>
      </c>
      <c r="J167" s="1012" t="s">
        <v>1385</v>
      </c>
      <c r="K167" s="1003" t="str">
        <f t="array" ref="K167">if(isblank(D167),"",xlookup(D167,'FL5_POR_包裝對照表 (Mapping Table)'!E:E,'FL5_POR_包裝對照表 (Mapping Table)'!AN:AN,"",0,1))</f>
        <v>TBD</v>
      </c>
      <c r="L167" s="1012" t="s">
        <v>1614</v>
      </c>
      <c r="M167" s="1012" t="s">
        <v>1339</v>
      </c>
      <c r="N167" s="1016">
        <v>441.46</v>
      </c>
      <c r="O167" s="1016">
        <v>423.09</v>
      </c>
      <c r="P167" s="1009">
        <v>45779.0</v>
      </c>
      <c r="Q167" s="1009">
        <v>45782.0</v>
      </c>
      <c r="R167" s="1009">
        <v>45782.0</v>
      </c>
      <c r="S167" s="1017"/>
      <c r="T167" s="514"/>
      <c r="U167" s="514"/>
      <c r="V167" s="514"/>
      <c r="W167" s="514"/>
      <c r="X167" s="514"/>
      <c r="Y167" s="514"/>
    </row>
    <row r="168">
      <c r="A168" s="1041">
        <v>166.0</v>
      </c>
      <c r="B168" s="1034" t="s">
        <v>277</v>
      </c>
      <c r="C168" s="1034" t="s">
        <v>278</v>
      </c>
      <c r="D168" s="1035" t="s">
        <v>1274</v>
      </c>
      <c r="E168" s="1036" t="s">
        <v>583</v>
      </c>
      <c r="F168" s="1034" t="s">
        <v>284</v>
      </c>
      <c r="G168" s="1036" t="s">
        <v>291</v>
      </c>
      <c r="H168" s="1034" t="s">
        <v>2057</v>
      </c>
      <c r="I168" s="1036" t="s">
        <v>1397</v>
      </c>
      <c r="J168" s="1034" t="s">
        <v>1399</v>
      </c>
      <c r="K168" s="1037" t="str">
        <f t="array" ref="K168">if(isblank(D168),"",xlookup(D168,'FL5_POR_包裝對照表 (Mapping Table)'!E:E,'FL5_POR_包裝對照表 (Mapping Table)'!AN:AN,"",0,1))</f>
        <v>TBD</v>
      </c>
      <c r="L168" s="1034" t="s">
        <v>1585</v>
      </c>
      <c r="M168" s="1034" t="s">
        <v>1367</v>
      </c>
      <c r="N168" s="1038"/>
      <c r="O168" s="1038"/>
      <c r="P168" s="1039"/>
      <c r="Q168" s="1039"/>
      <c r="R168" s="1039"/>
      <c r="S168" s="1040"/>
      <c r="T168" s="514"/>
      <c r="U168" s="514"/>
      <c r="V168" s="514"/>
      <c r="W168" s="514"/>
      <c r="X168" s="514"/>
      <c r="Y168" s="514"/>
    </row>
    <row r="169">
      <c r="A169" s="1033">
        <v>167.0</v>
      </c>
      <c r="B169" s="1034" t="s">
        <v>277</v>
      </c>
      <c r="C169" s="1034" t="s">
        <v>278</v>
      </c>
      <c r="D169" s="1042" t="s">
        <v>1276</v>
      </c>
      <c r="E169" s="1036" t="s">
        <v>583</v>
      </c>
      <c r="F169" s="1034" t="s">
        <v>284</v>
      </c>
      <c r="G169" s="1036" t="s">
        <v>291</v>
      </c>
      <c r="H169" s="1034" t="s">
        <v>2057</v>
      </c>
      <c r="I169" s="1036" t="s">
        <v>1397</v>
      </c>
      <c r="J169" s="1034" t="s">
        <v>1399</v>
      </c>
      <c r="K169" s="1037" t="str">
        <f t="array" ref="K169">if(isblank(D169),"",xlookup(D169,'FL5_POR_包裝對照表 (Mapping Table)'!E:E,'FL5_POR_包裝對照表 (Mapping Table)'!AN:AN,"",0,1))</f>
        <v>TBD</v>
      </c>
      <c r="L169" s="1034" t="s">
        <v>1596</v>
      </c>
      <c r="M169" s="1034" t="s">
        <v>1594</v>
      </c>
      <c r="N169" s="1038"/>
      <c r="O169" s="1038"/>
      <c r="P169" s="1039"/>
      <c r="Q169" s="1039"/>
      <c r="R169" s="1039"/>
      <c r="S169" s="1040"/>
      <c r="T169" s="514"/>
      <c r="U169" s="514"/>
      <c r="V169" s="514"/>
      <c r="W169" s="514"/>
      <c r="X169" s="514"/>
      <c r="Y169" s="514"/>
    </row>
    <row r="170">
      <c r="A170" s="1041">
        <v>168.0</v>
      </c>
      <c r="B170" s="1034" t="s">
        <v>277</v>
      </c>
      <c r="C170" s="1034" t="s">
        <v>278</v>
      </c>
      <c r="D170" s="1042" t="s">
        <v>1278</v>
      </c>
      <c r="E170" s="1036" t="s">
        <v>583</v>
      </c>
      <c r="F170" s="1034" t="s">
        <v>284</v>
      </c>
      <c r="G170" s="1036" t="s">
        <v>291</v>
      </c>
      <c r="H170" s="1034" t="s">
        <v>2057</v>
      </c>
      <c r="I170" s="1036" t="s">
        <v>1397</v>
      </c>
      <c r="J170" s="1034" t="s">
        <v>1399</v>
      </c>
      <c r="K170" s="1037" t="str">
        <f t="array" ref="K170">if(isblank(D170),"",xlookup(D170,'FL5_POR_包裝對照表 (Mapping Table)'!E:E,'FL5_POR_包裝對照表 (Mapping Table)'!AN:AN,"",0,1))</f>
        <v>TBD</v>
      </c>
      <c r="L170" s="1034" t="s">
        <v>1606</v>
      </c>
      <c r="M170" s="1034" t="s">
        <v>1604</v>
      </c>
      <c r="N170" s="1038"/>
      <c r="O170" s="1038"/>
      <c r="P170" s="1039"/>
      <c r="Q170" s="1039"/>
      <c r="R170" s="1039"/>
      <c r="S170" s="1040"/>
      <c r="T170" s="514"/>
      <c r="U170" s="514"/>
      <c r="V170" s="514"/>
      <c r="W170" s="514"/>
      <c r="X170" s="514"/>
      <c r="Y170" s="514"/>
    </row>
    <row r="171">
      <c r="A171" s="1033">
        <v>169.0</v>
      </c>
      <c r="B171" s="1034" t="s">
        <v>277</v>
      </c>
      <c r="C171" s="1034" t="s">
        <v>278</v>
      </c>
      <c r="D171" s="1042" t="s">
        <v>1280</v>
      </c>
      <c r="E171" s="1036" t="s">
        <v>583</v>
      </c>
      <c r="F171" s="1034" t="s">
        <v>284</v>
      </c>
      <c r="G171" s="1036" t="s">
        <v>291</v>
      </c>
      <c r="H171" s="1034" t="s">
        <v>2057</v>
      </c>
      <c r="I171" s="1036" t="s">
        <v>1397</v>
      </c>
      <c r="J171" s="1034" t="s">
        <v>1399</v>
      </c>
      <c r="K171" s="1037" t="str">
        <f t="array" ref="K171">if(isblank(D171),"",xlookup(D171,'FL5_POR_包裝對照表 (Mapping Table)'!E:E,'FL5_POR_包裝對照表 (Mapping Table)'!AN:AN,"",0,1))</f>
        <v>TBD</v>
      </c>
      <c r="L171" s="1034" t="s">
        <v>1614</v>
      </c>
      <c r="M171" s="1034" t="s">
        <v>1339</v>
      </c>
      <c r="N171" s="1038"/>
      <c r="O171" s="1038"/>
      <c r="P171" s="1039"/>
      <c r="Q171" s="1039"/>
      <c r="R171" s="1039"/>
      <c r="S171" s="1040"/>
      <c r="T171" s="514"/>
      <c r="U171" s="514"/>
      <c r="V171" s="514"/>
      <c r="W171" s="514"/>
      <c r="X171" s="514"/>
      <c r="Y171" s="514"/>
    </row>
    <row r="172">
      <c r="A172" s="1011">
        <v>170.0</v>
      </c>
      <c r="B172" s="1012" t="s">
        <v>277</v>
      </c>
      <c r="C172" s="1012" t="s">
        <v>278</v>
      </c>
      <c r="D172" s="1031" t="s">
        <v>1282</v>
      </c>
      <c r="E172" s="1014" t="s">
        <v>1173</v>
      </c>
      <c r="F172" s="1012" t="s">
        <v>284</v>
      </c>
      <c r="G172" s="1014" t="s">
        <v>408</v>
      </c>
      <c r="H172" s="1006" t="s">
        <v>1362</v>
      </c>
      <c r="I172" s="1015" t="s">
        <v>1337</v>
      </c>
      <c r="J172" s="1012" t="s">
        <v>1097</v>
      </c>
      <c r="K172" s="1003" t="str">
        <f t="array" ref="K172">if(isblank(D172),"",xlookup(D172,'FL5_POR_包裝對照表 (Mapping Table)'!E:E,'FL5_POR_包裝對照表 (Mapping Table)'!AN:AN,"",0,1))</f>
        <v>TBD</v>
      </c>
      <c r="L172" s="1012" t="s">
        <v>1585</v>
      </c>
      <c r="M172" s="1012" t="s">
        <v>1367</v>
      </c>
      <c r="N172" s="1016">
        <v>453.07</v>
      </c>
      <c r="O172" s="1016">
        <v>446.09</v>
      </c>
      <c r="P172" s="1009">
        <v>45779.0</v>
      </c>
      <c r="Q172" s="1009">
        <v>45782.0</v>
      </c>
      <c r="R172" s="1009">
        <v>45782.0</v>
      </c>
      <c r="S172" s="1017"/>
      <c r="T172" s="514"/>
      <c r="U172" s="514"/>
      <c r="V172" s="514"/>
      <c r="W172" s="514"/>
      <c r="X172" s="514"/>
      <c r="Y172" s="514"/>
    </row>
    <row r="173">
      <c r="A173" s="1002">
        <v>171.0</v>
      </c>
      <c r="B173" s="1012" t="s">
        <v>277</v>
      </c>
      <c r="C173" s="1012" t="s">
        <v>278</v>
      </c>
      <c r="D173" s="1029" t="s">
        <v>1286</v>
      </c>
      <c r="E173" s="1014" t="s">
        <v>1173</v>
      </c>
      <c r="F173" s="1012" t="s">
        <v>284</v>
      </c>
      <c r="G173" s="1014" t="s">
        <v>408</v>
      </c>
      <c r="H173" s="1006" t="s">
        <v>1362</v>
      </c>
      <c r="I173" s="1015" t="s">
        <v>1337</v>
      </c>
      <c r="J173" s="1012" t="s">
        <v>1097</v>
      </c>
      <c r="K173" s="1003" t="str">
        <f t="array" ref="K173">if(isblank(D173),"",xlookup(D173,'FL5_POR_包裝對照表 (Mapping Table)'!E:E,'FL5_POR_包裝對照表 (Mapping Table)'!AN:AN,"",0,1))</f>
        <v>TBD</v>
      </c>
      <c r="L173" s="1012" t="s">
        <v>1614</v>
      </c>
      <c r="M173" s="1012" t="s">
        <v>1339</v>
      </c>
      <c r="N173" s="1016">
        <v>453.47</v>
      </c>
      <c r="O173" s="1016">
        <v>446.49</v>
      </c>
      <c r="P173" s="1009">
        <v>45779.0</v>
      </c>
      <c r="Q173" s="1009">
        <v>45782.0</v>
      </c>
      <c r="R173" s="1009">
        <v>45782.0</v>
      </c>
      <c r="S173" s="1017"/>
      <c r="T173" s="514"/>
      <c r="U173" s="514"/>
      <c r="V173" s="514"/>
      <c r="W173" s="514"/>
      <c r="X173" s="514"/>
      <c r="Y173" s="514"/>
    </row>
    <row r="174">
      <c r="A174" s="1011">
        <v>172.0</v>
      </c>
      <c r="B174" s="1012" t="s">
        <v>277</v>
      </c>
      <c r="C174" s="1012" t="s">
        <v>278</v>
      </c>
      <c r="D174" s="1031" t="s">
        <v>1290</v>
      </c>
      <c r="E174" s="1014" t="s">
        <v>2205</v>
      </c>
      <c r="F174" s="1012" t="s">
        <v>284</v>
      </c>
      <c r="G174" s="1014" t="s">
        <v>408</v>
      </c>
      <c r="H174" s="1006" t="s">
        <v>1362</v>
      </c>
      <c r="I174" s="1015" t="s">
        <v>1337</v>
      </c>
      <c r="J174" s="1012" t="s">
        <v>1087</v>
      </c>
      <c r="K174" s="1003" t="str">
        <f t="array" ref="K174">if(isblank(D174),"",xlookup(D174,'FL5_POR_包裝對照表 (Mapping Table)'!E:E,'FL5_POR_包裝對照表 (Mapping Table)'!AN:AN,"",0,1))</f>
        <v>TBD</v>
      </c>
      <c r="L174" s="1012" t="s">
        <v>1585</v>
      </c>
      <c r="M174" s="1012" t="s">
        <v>1367</v>
      </c>
      <c r="N174" s="1016">
        <v>453.07</v>
      </c>
      <c r="O174" s="1016">
        <v>446.09</v>
      </c>
      <c r="P174" s="1009">
        <v>45779.0</v>
      </c>
      <c r="Q174" s="1009">
        <v>45782.0</v>
      </c>
      <c r="R174" s="1009">
        <v>45782.0</v>
      </c>
      <c r="S174" s="1017"/>
      <c r="T174" s="514"/>
      <c r="U174" s="514"/>
      <c r="V174" s="514"/>
      <c r="W174" s="514"/>
      <c r="X174" s="514"/>
      <c r="Y174" s="514"/>
    </row>
    <row r="175">
      <c r="A175" s="1002">
        <v>173.0</v>
      </c>
      <c r="B175" s="1012" t="s">
        <v>277</v>
      </c>
      <c r="C175" s="1012" t="s">
        <v>278</v>
      </c>
      <c r="D175" s="1031" t="s">
        <v>1294</v>
      </c>
      <c r="E175" s="1014" t="s">
        <v>1209</v>
      </c>
      <c r="F175" s="1012" t="s">
        <v>284</v>
      </c>
      <c r="G175" s="1014" t="s">
        <v>408</v>
      </c>
      <c r="H175" s="1006" t="s">
        <v>1362</v>
      </c>
      <c r="I175" s="1015" t="s">
        <v>1337</v>
      </c>
      <c r="J175" s="1012" t="s">
        <v>1368</v>
      </c>
      <c r="K175" s="1003" t="str">
        <f t="array" ref="K175">if(isblank(D175),"",xlookup(D175,'FL5_POR_包裝對照表 (Mapping Table)'!E:E,'FL5_POR_包裝對照表 (Mapping Table)'!AN:AN,"",0,1))</f>
        <v>TBD</v>
      </c>
      <c r="L175" s="1012" t="s">
        <v>1585</v>
      </c>
      <c r="M175" s="1012" t="s">
        <v>1367</v>
      </c>
      <c r="N175" s="1016">
        <v>453.07</v>
      </c>
      <c r="O175" s="1016">
        <v>446.09</v>
      </c>
      <c r="P175" s="1009">
        <v>45779.0</v>
      </c>
      <c r="Q175" s="1009">
        <v>45782.0</v>
      </c>
      <c r="R175" s="1009">
        <v>45782.0</v>
      </c>
      <c r="S175" s="1017"/>
      <c r="T175" s="514"/>
      <c r="U175" s="514"/>
      <c r="V175" s="514"/>
      <c r="W175" s="514"/>
      <c r="X175" s="514"/>
      <c r="Y175" s="514"/>
    </row>
    <row r="176">
      <c r="A176" s="1011">
        <v>174.0</v>
      </c>
      <c r="B176" s="1012" t="s">
        <v>277</v>
      </c>
      <c r="C176" s="1012" t="s">
        <v>278</v>
      </c>
      <c r="D176" s="1013" t="s">
        <v>1298</v>
      </c>
      <c r="E176" s="1014" t="s">
        <v>1209</v>
      </c>
      <c r="F176" s="1012" t="s">
        <v>284</v>
      </c>
      <c r="G176" s="1014" t="s">
        <v>408</v>
      </c>
      <c r="H176" s="1006" t="s">
        <v>1362</v>
      </c>
      <c r="I176" s="1015" t="s">
        <v>1337</v>
      </c>
      <c r="J176" s="1012" t="s">
        <v>1368</v>
      </c>
      <c r="K176" s="1003" t="str">
        <f t="array" ref="K176">if(isblank(D176),"",xlookup(D176,'FL5_POR_包裝對照表 (Mapping Table)'!E:E,'FL5_POR_包裝對照表 (Mapping Table)'!AN:AN,"",0,1))</f>
        <v>TBD</v>
      </c>
      <c r="L176" s="1012" t="s">
        <v>1596</v>
      </c>
      <c r="M176" s="1012" t="s">
        <v>1594</v>
      </c>
      <c r="N176" s="1016">
        <v>453.37</v>
      </c>
      <c r="O176" s="1016">
        <v>446.39</v>
      </c>
      <c r="P176" s="1009">
        <v>45779.0</v>
      </c>
      <c r="Q176" s="1009">
        <v>45782.0</v>
      </c>
      <c r="R176" s="1009">
        <v>45782.0</v>
      </c>
      <c r="S176" s="1017"/>
      <c r="T176" s="514"/>
      <c r="U176" s="514"/>
      <c r="V176" s="514"/>
      <c r="W176" s="514"/>
      <c r="X176" s="514"/>
      <c r="Y176" s="514"/>
    </row>
    <row r="177">
      <c r="A177" s="1002">
        <v>175.0</v>
      </c>
      <c r="B177" s="1012" t="s">
        <v>277</v>
      </c>
      <c r="C177" s="1012" t="s">
        <v>278</v>
      </c>
      <c r="D177" s="1030" t="s">
        <v>1300</v>
      </c>
      <c r="E177" s="1014" t="s">
        <v>1209</v>
      </c>
      <c r="F177" s="1012" t="s">
        <v>284</v>
      </c>
      <c r="G177" s="1014" t="s">
        <v>408</v>
      </c>
      <c r="H177" s="1006" t="s">
        <v>1362</v>
      </c>
      <c r="I177" s="1015" t="s">
        <v>1337</v>
      </c>
      <c r="J177" s="1012" t="s">
        <v>1368</v>
      </c>
      <c r="K177" s="1003" t="str">
        <f t="array" ref="K177">if(isblank(D177),"",xlookup(D177,'FL5_POR_包裝對照表 (Mapping Table)'!E:E,'FL5_POR_包裝對照表 (Mapping Table)'!AN:AN,"",0,1))</f>
        <v>TBD</v>
      </c>
      <c r="L177" s="1012" t="s">
        <v>1606</v>
      </c>
      <c r="M177" s="1012" t="s">
        <v>1604</v>
      </c>
      <c r="N177" s="1016">
        <v>453.47</v>
      </c>
      <c r="O177" s="1016">
        <v>446.49</v>
      </c>
      <c r="P177" s="1009">
        <v>45779.0</v>
      </c>
      <c r="Q177" s="1009">
        <v>45782.0</v>
      </c>
      <c r="R177" s="1009">
        <v>45782.0</v>
      </c>
      <c r="S177" s="1017"/>
      <c r="T177" s="514"/>
      <c r="U177" s="514"/>
      <c r="V177" s="514"/>
      <c r="W177" s="514"/>
      <c r="X177" s="514"/>
      <c r="Y177" s="514"/>
    </row>
    <row r="178">
      <c r="A178" s="1011">
        <v>176.0</v>
      </c>
      <c r="B178" s="1012" t="s">
        <v>277</v>
      </c>
      <c r="C178" s="1012" t="s">
        <v>278</v>
      </c>
      <c r="D178" s="1029" t="s">
        <v>1302</v>
      </c>
      <c r="E178" s="1014" t="s">
        <v>1209</v>
      </c>
      <c r="F178" s="1012" t="s">
        <v>284</v>
      </c>
      <c r="G178" s="1014" t="s">
        <v>408</v>
      </c>
      <c r="H178" s="1006" t="s">
        <v>1362</v>
      </c>
      <c r="I178" s="1015" t="s">
        <v>1337</v>
      </c>
      <c r="J178" s="1012" t="s">
        <v>1368</v>
      </c>
      <c r="K178" s="1003" t="str">
        <f t="array" ref="K178">if(isblank(D178),"",xlookup(D178,'FL5_POR_包裝對照表 (Mapping Table)'!E:E,'FL5_POR_包裝對照表 (Mapping Table)'!AN:AN,"",0,1))</f>
        <v>TBD</v>
      </c>
      <c r="L178" s="1012" t="s">
        <v>1614</v>
      </c>
      <c r="M178" s="1012" t="s">
        <v>1339</v>
      </c>
      <c r="N178" s="1016">
        <v>453.47</v>
      </c>
      <c r="O178" s="1016">
        <v>446.49</v>
      </c>
      <c r="P178" s="1009">
        <v>45779.0</v>
      </c>
      <c r="Q178" s="1009">
        <v>45782.0</v>
      </c>
      <c r="R178" s="1009">
        <v>45782.0</v>
      </c>
      <c r="S178" s="1017"/>
      <c r="T178" s="514"/>
      <c r="U178" s="514"/>
      <c r="V178" s="514"/>
      <c r="W178" s="514"/>
      <c r="X178" s="514"/>
      <c r="Y178" s="514"/>
    </row>
    <row r="179">
      <c r="A179" s="1002">
        <v>177.0</v>
      </c>
      <c r="B179" s="1012" t="s">
        <v>277</v>
      </c>
      <c r="C179" s="1012" t="s">
        <v>278</v>
      </c>
      <c r="D179" s="1031" t="s">
        <v>1304</v>
      </c>
      <c r="E179" s="1014" t="s">
        <v>492</v>
      </c>
      <c r="F179" s="1012" t="s">
        <v>284</v>
      </c>
      <c r="G179" s="1014" t="s">
        <v>408</v>
      </c>
      <c r="H179" s="1006" t="s">
        <v>1362</v>
      </c>
      <c r="I179" s="1032" t="s">
        <v>1397</v>
      </c>
      <c r="J179" s="1012" t="s">
        <v>1399</v>
      </c>
      <c r="K179" s="1003" t="str">
        <f t="array" ref="K179">if(isblank(D179),"",xlookup(D179,'FL5_POR_包裝對照表 (Mapping Table)'!E:E,'FL5_POR_包裝對照表 (Mapping Table)'!AN:AN,"",0,1))</f>
        <v>TBD</v>
      </c>
      <c r="L179" s="1012" t="s">
        <v>1585</v>
      </c>
      <c r="M179" s="1012" t="s">
        <v>1367</v>
      </c>
      <c r="N179" s="1016">
        <v>435.69</v>
      </c>
      <c r="O179" s="1016">
        <v>428.71</v>
      </c>
      <c r="P179" s="1009">
        <v>45779.0</v>
      </c>
      <c r="Q179" s="1009">
        <v>45782.0</v>
      </c>
      <c r="R179" s="1009">
        <v>45782.0</v>
      </c>
      <c r="S179" s="1017"/>
      <c r="T179" s="514"/>
      <c r="U179" s="514"/>
      <c r="V179" s="514"/>
      <c r="W179" s="514"/>
      <c r="X179" s="514"/>
      <c r="Y179" s="514"/>
    </row>
    <row r="180">
      <c r="A180" s="1011">
        <v>178.0</v>
      </c>
      <c r="B180" s="1012" t="s">
        <v>277</v>
      </c>
      <c r="C180" s="1012" t="s">
        <v>278</v>
      </c>
      <c r="D180" s="1013" t="s">
        <v>1306</v>
      </c>
      <c r="E180" s="1014" t="s">
        <v>492</v>
      </c>
      <c r="F180" s="1012" t="s">
        <v>284</v>
      </c>
      <c r="G180" s="1014" t="s">
        <v>408</v>
      </c>
      <c r="H180" s="1006" t="s">
        <v>1362</v>
      </c>
      <c r="I180" s="1032" t="s">
        <v>1397</v>
      </c>
      <c r="J180" s="1012" t="s">
        <v>1399</v>
      </c>
      <c r="K180" s="1003" t="str">
        <f t="array" ref="K180">if(isblank(D180),"",xlookup(D180,'FL5_POR_包裝對照表 (Mapping Table)'!E:E,'FL5_POR_包裝對照表 (Mapping Table)'!AN:AN,"",0,1))</f>
        <v>TBD</v>
      </c>
      <c r="L180" s="1012" t="s">
        <v>1596</v>
      </c>
      <c r="M180" s="1012" t="s">
        <v>1594</v>
      </c>
      <c r="N180" s="1016">
        <v>435.99</v>
      </c>
      <c r="O180" s="1016">
        <v>429.01</v>
      </c>
      <c r="P180" s="1009">
        <v>45779.0</v>
      </c>
      <c r="Q180" s="1009">
        <v>45782.0</v>
      </c>
      <c r="R180" s="1009">
        <v>45782.0</v>
      </c>
      <c r="S180" s="1017"/>
      <c r="T180" s="514"/>
      <c r="U180" s="514"/>
      <c r="V180" s="514"/>
      <c r="W180" s="514"/>
      <c r="X180" s="514"/>
      <c r="Y180" s="514"/>
    </row>
    <row r="181">
      <c r="A181" s="1002">
        <v>179.0</v>
      </c>
      <c r="B181" s="1012" t="s">
        <v>277</v>
      </c>
      <c r="C181" s="1012" t="s">
        <v>278</v>
      </c>
      <c r="D181" s="1030" t="s">
        <v>1308</v>
      </c>
      <c r="E181" s="1014" t="s">
        <v>492</v>
      </c>
      <c r="F181" s="1012" t="s">
        <v>284</v>
      </c>
      <c r="G181" s="1014" t="s">
        <v>408</v>
      </c>
      <c r="H181" s="1006" t="s">
        <v>1362</v>
      </c>
      <c r="I181" s="1032" t="s">
        <v>1397</v>
      </c>
      <c r="J181" s="1012" t="s">
        <v>1399</v>
      </c>
      <c r="K181" s="1003" t="str">
        <f t="array" ref="K181">if(isblank(D181),"",xlookup(D181,'FL5_POR_包裝對照表 (Mapping Table)'!E:E,'FL5_POR_包裝對照表 (Mapping Table)'!AN:AN,"",0,1))</f>
        <v>TBD</v>
      </c>
      <c r="L181" s="1012" t="s">
        <v>1606</v>
      </c>
      <c r="M181" s="1012" t="s">
        <v>1604</v>
      </c>
      <c r="N181" s="1016">
        <v>436.09</v>
      </c>
      <c r="O181" s="1016">
        <v>429.11</v>
      </c>
      <c r="P181" s="1009">
        <v>45779.0</v>
      </c>
      <c r="Q181" s="1009">
        <v>45782.0</v>
      </c>
      <c r="R181" s="1009">
        <v>45782.0</v>
      </c>
      <c r="S181" s="1017"/>
      <c r="T181" s="514"/>
      <c r="U181" s="514"/>
      <c r="V181" s="514"/>
      <c r="W181" s="514"/>
      <c r="X181" s="514"/>
      <c r="Y181" s="514"/>
    </row>
    <row r="182">
      <c r="A182" s="1011">
        <v>180.0</v>
      </c>
      <c r="B182" s="1012" t="s">
        <v>277</v>
      </c>
      <c r="C182" s="1012" t="s">
        <v>278</v>
      </c>
      <c r="D182" s="1029" t="s">
        <v>1310</v>
      </c>
      <c r="E182" s="1014" t="s">
        <v>492</v>
      </c>
      <c r="F182" s="1012" t="s">
        <v>284</v>
      </c>
      <c r="G182" s="1014" t="s">
        <v>408</v>
      </c>
      <c r="H182" s="1006" t="s">
        <v>1362</v>
      </c>
      <c r="I182" s="1032" t="s">
        <v>1397</v>
      </c>
      <c r="J182" s="1012" t="s">
        <v>1399</v>
      </c>
      <c r="K182" s="1003" t="str">
        <f t="array" ref="K182">if(isblank(D182),"",xlookup(D182,'FL5_POR_包裝對照表 (Mapping Table)'!E:E,'FL5_POR_包裝對照表 (Mapping Table)'!AN:AN,"",0,1))</f>
        <v>TBD</v>
      </c>
      <c r="L182" s="1012" t="s">
        <v>1614</v>
      </c>
      <c r="M182" s="1012" t="s">
        <v>1339</v>
      </c>
      <c r="N182" s="1016">
        <v>436.09</v>
      </c>
      <c r="O182" s="1016">
        <v>429.11</v>
      </c>
      <c r="P182" s="1009">
        <v>45779.0</v>
      </c>
      <c r="Q182" s="1009">
        <v>45782.0</v>
      </c>
      <c r="R182" s="1009">
        <v>45782.0</v>
      </c>
      <c r="S182" s="1017"/>
      <c r="T182" s="514"/>
      <c r="U182" s="514"/>
      <c r="V182" s="514"/>
      <c r="W182" s="514"/>
      <c r="X182" s="514"/>
      <c r="Y182" s="514"/>
    </row>
    <row r="183">
      <c r="A183" s="1002">
        <v>181.0</v>
      </c>
      <c r="B183" s="1012" t="s">
        <v>277</v>
      </c>
      <c r="C183" s="1012" t="s">
        <v>278</v>
      </c>
      <c r="D183" s="1031" t="s">
        <v>1312</v>
      </c>
      <c r="E183" s="1014" t="s">
        <v>2206</v>
      </c>
      <c r="F183" s="1012" t="s">
        <v>284</v>
      </c>
      <c r="G183" s="1014" t="s">
        <v>408</v>
      </c>
      <c r="H183" s="1006" t="s">
        <v>1362</v>
      </c>
      <c r="I183" s="1032" t="s">
        <v>1397</v>
      </c>
      <c r="J183" s="1012" t="s">
        <v>1399</v>
      </c>
      <c r="K183" s="1003" t="str">
        <f t="array" ref="K183">if(isblank(D183),"",xlookup(D183,'FL5_POR_包裝對照表 (Mapping Table)'!E:E,'FL5_POR_包裝對照表 (Mapping Table)'!AN:AN,"",0,1))</f>
        <v>TBD</v>
      </c>
      <c r="L183" s="1012" t="s">
        <v>1585</v>
      </c>
      <c r="M183" s="1012" t="s">
        <v>1367</v>
      </c>
      <c r="N183" s="1016">
        <v>450.55</v>
      </c>
      <c r="O183" s="1016">
        <v>429.22</v>
      </c>
      <c r="P183" s="1009">
        <v>45779.0</v>
      </c>
      <c r="Q183" s="1009">
        <v>45782.0</v>
      </c>
      <c r="R183" s="1009">
        <v>45782.0</v>
      </c>
      <c r="S183" s="1017"/>
      <c r="T183" s="514"/>
      <c r="U183" s="514"/>
      <c r="V183" s="514"/>
      <c r="W183" s="514"/>
      <c r="X183" s="514"/>
      <c r="Y183" s="514"/>
    </row>
    <row r="184">
      <c r="A184" s="1011">
        <v>182.0</v>
      </c>
      <c r="B184" s="1012" t="s">
        <v>277</v>
      </c>
      <c r="C184" s="1012" t="s">
        <v>278</v>
      </c>
      <c r="D184" s="1013" t="s">
        <v>1314</v>
      </c>
      <c r="E184" s="1014" t="s">
        <v>2206</v>
      </c>
      <c r="F184" s="1012" t="s">
        <v>284</v>
      </c>
      <c r="G184" s="1014" t="s">
        <v>408</v>
      </c>
      <c r="H184" s="1006" t="s">
        <v>1362</v>
      </c>
      <c r="I184" s="1032" t="s">
        <v>1397</v>
      </c>
      <c r="J184" s="1012" t="s">
        <v>1399</v>
      </c>
      <c r="K184" s="1003" t="str">
        <f t="array" ref="K184">if(isblank(D184),"",xlookup(D184,'FL5_POR_包裝對照表 (Mapping Table)'!E:E,'FL5_POR_包裝對照表 (Mapping Table)'!AN:AN,"",0,1))</f>
        <v>TBD</v>
      </c>
      <c r="L184" s="1012" t="s">
        <v>1596</v>
      </c>
      <c r="M184" s="1012" t="s">
        <v>1594</v>
      </c>
      <c r="N184" s="1016">
        <v>447.91</v>
      </c>
      <c r="O184" s="1016">
        <v>429.52</v>
      </c>
      <c r="P184" s="1009">
        <v>45779.0</v>
      </c>
      <c r="Q184" s="1009">
        <v>45782.0</v>
      </c>
      <c r="R184" s="1009">
        <v>45782.0</v>
      </c>
      <c r="S184" s="1017"/>
      <c r="T184" s="514"/>
      <c r="U184" s="514"/>
      <c r="V184" s="514"/>
      <c r="W184" s="514"/>
      <c r="X184" s="514"/>
      <c r="Y184" s="514"/>
    </row>
    <row r="185">
      <c r="A185" s="1002">
        <v>183.0</v>
      </c>
      <c r="B185" s="1012" t="s">
        <v>277</v>
      </c>
      <c r="C185" s="1012" t="s">
        <v>278</v>
      </c>
      <c r="D185" s="1030" t="s">
        <v>1316</v>
      </c>
      <c r="E185" s="1014" t="s">
        <v>2206</v>
      </c>
      <c r="F185" s="1012" t="s">
        <v>284</v>
      </c>
      <c r="G185" s="1014" t="s">
        <v>408</v>
      </c>
      <c r="H185" s="1006" t="s">
        <v>1362</v>
      </c>
      <c r="I185" s="1032" t="s">
        <v>1397</v>
      </c>
      <c r="J185" s="1012" t="s">
        <v>1399</v>
      </c>
      <c r="K185" s="1003" t="str">
        <f t="array" ref="K185">if(isblank(D185),"",xlookup(D185,'FL5_POR_包裝對照表 (Mapping Table)'!E:E,'FL5_POR_包裝對照表 (Mapping Table)'!AN:AN,"",0,1))</f>
        <v>TBD</v>
      </c>
      <c r="L185" s="1012" t="s">
        <v>1606</v>
      </c>
      <c r="M185" s="1012" t="s">
        <v>1604</v>
      </c>
      <c r="N185" s="1016">
        <v>436.6</v>
      </c>
      <c r="O185" s="1016">
        <v>429.62</v>
      </c>
      <c r="P185" s="1009">
        <v>45779.0</v>
      </c>
      <c r="Q185" s="1009">
        <v>45782.0</v>
      </c>
      <c r="R185" s="1009">
        <v>45782.0</v>
      </c>
      <c r="S185" s="1017"/>
      <c r="T185" s="514"/>
      <c r="U185" s="514"/>
      <c r="V185" s="514"/>
      <c r="W185" s="514"/>
      <c r="X185" s="514"/>
      <c r="Y185" s="514"/>
    </row>
    <row r="186">
      <c r="A186" s="1011">
        <v>184.0</v>
      </c>
      <c r="B186" s="1012" t="s">
        <v>277</v>
      </c>
      <c r="C186" s="1012" t="s">
        <v>278</v>
      </c>
      <c r="D186" s="1029" t="s">
        <v>1318</v>
      </c>
      <c r="E186" s="1014" t="s">
        <v>2206</v>
      </c>
      <c r="F186" s="1012" t="s">
        <v>284</v>
      </c>
      <c r="G186" s="1014" t="s">
        <v>408</v>
      </c>
      <c r="H186" s="1006" t="s">
        <v>1362</v>
      </c>
      <c r="I186" s="1032" t="s">
        <v>1397</v>
      </c>
      <c r="J186" s="1012" t="s">
        <v>1399</v>
      </c>
      <c r="K186" s="1003" t="str">
        <f t="array" ref="K186">if(isblank(D186),"",xlookup(D186,'FL5_POR_包裝對照表 (Mapping Table)'!E:E,'FL5_POR_包裝對照表 (Mapping Table)'!AN:AN,"",0,1))</f>
        <v>TBD</v>
      </c>
      <c r="L186" s="1012" t="s">
        <v>1614</v>
      </c>
      <c r="M186" s="1012" t="s">
        <v>1339</v>
      </c>
      <c r="N186" s="1016">
        <v>436.6</v>
      </c>
      <c r="O186" s="1016">
        <v>429.62</v>
      </c>
      <c r="P186" s="1009">
        <v>45779.0</v>
      </c>
      <c r="Q186" s="1009">
        <v>45782.0</v>
      </c>
      <c r="R186" s="1009">
        <v>45782.0</v>
      </c>
      <c r="S186" s="1017"/>
      <c r="T186" s="514"/>
      <c r="U186" s="514"/>
      <c r="V186" s="514"/>
      <c r="W186" s="514"/>
      <c r="X186" s="514"/>
      <c r="Y186" s="514"/>
    </row>
    <row r="187">
      <c r="A187" s="1002">
        <v>185.0</v>
      </c>
      <c r="B187" s="1012" t="s">
        <v>277</v>
      </c>
      <c r="C187" s="1012" t="s">
        <v>278</v>
      </c>
      <c r="D187" s="1031" t="s">
        <v>1320</v>
      </c>
      <c r="E187" s="1014" t="s">
        <v>583</v>
      </c>
      <c r="F187" s="1012" t="s">
        <v>284</v>
      </c>
      <c r="G187" s="1014" t="s">
        <v>408</v>
      </c>
      <c r="H187" s="1006" t="s">
        <v>1362</v>
      </c>
      <c r="I187" s="1032" t="s">
        <v>1397</v>
      </c>
      <c r="J187" s="1012" t="s">
        <v>1399</v>
      </c>
      <c r="K187" s="1003" t="str">
        <f t="array" ref="K187">if(isblank(D187),"",xlookup(D187,'FL5_POR_包裝對照表 (Mapping Table)'!E:E,'FL5_POR_包裝對照表 (Mapping Table)'!AN:AN,"",0,1))</f>
        <v>TBD</v>
      </c>
      <c r="L187" s="1012" t="s">
        <v>1585</v>
      </c>
      <c r="M187" s="1012" t="s">
        <v>1367</v>
      </c>
      <c r="N187" s="1016">
        <v>450.04</v>
      </c>
      <c r="O187" s="1016">
        <v>428.7</v>
      </c>
      <c r="P187" s="1009">
        <v>45779.0</v>
      </c>
      <c r="Q187" s="1009">
        <v>45782.0</v>
      </c>
      <c r="R187" s="1009">
        <v>45782.0</v>
      </c>
      <c r="S187" s="1017"/>
      <c r="T187" s="514"/>
      <c r="U187" s="514"/>
      <c r="V187" s="514"/>
      <c r="W187" s="514"/>
      <c r="X187" s="514"/>
      <c r="Y187" s="514"/>
    </row>
    <row r="188">
      <c r="A188" s="1011">
        <v>186.0</v>
      </c>
      <c r="B188" s="1012" t="s">
        <v>277</v>
      </c>
      <c r="C188" s="1012" t="s">
        <v>278</v>
      </c>
      <c r="D188" s="1013" t="s">
        <v>1322</v>
      </c>
      <c r="E188" s="1014" t="s">
        <v>583</v>
      </c>
      <c r="F188" s="1012" t="s">
        <v>284</v>
      </c>
      <c r="G188" s="1014" t="s">
        <v>408</v>
      </c>
      <c r="H188" s="1006" t="s">
        <v>1362</v>
      </c>
      <c r="I188" s="1032" t="s">
        <v>1397</v>
      </c>
      <c r="J188" s="1012" t="s">
        <v>1399</v>
      </c>
      <c r="K188" s="1003" t="str">
        <f t="array" ref="K188">if(isblank(D188),"",xlookup(D188,'FL5_POR_包裝對照表 (Mapping Table)'!E:E,'FL5_POR_包裝對照表 (Mapping Table)'!AN:AN,"",0,1))</f>
        <v>TBD</v>
      </c>
      <c r="L188" s="1012" t="s">
        <v>1596</v>
      </c>
      <c r="M188" s="1012" t="s">
        <v>1594</v>
      </c>
      <c r="N188" s="1016">
        <v>435.98</v>
      </c>
      <c r="O188" s="1016">
        <v>429.0</v>
      </c>
      <c r="P188" s="1009">
        <v>45779.0</v>
      </c>
      <c r="Q188" s="1009">
        <v>45782.0</v>
      </c>
      <c r="R188" s="1009">
        <v>45782.0</v>
      </c>
      <c r="S188" s="1017"/>
      <c r="T188" s="514"/>
      <c r="U188" s="514"/>
      <c r="V188" s="514"/>
      <c r="W188" s="514"/>
      <c r="X188" s="514"/>
      <c r="Y188" s="514"/>
    </row>
    <row r="189">
      <c r="A189" s="1002">
        <v>187.0</v>
      </c>
      <c r="B189" s="1012" t="s">
        <v>277</v>
      </c>
      <c r="C189" s="1012" t="s">
        <v>278</v>
      </c>
      <c r="D189" s="1030" t="s">
        <v>1324</v>
      </c>
      <c r="E189" s="1014" t="s">
        <v>583</v>
      </c>
      <c r="F189" s="1012" t="s">
        <v>284</v>
      </c>
      <c r="G189" s="1014" t="s">
        <v>408</v>
      </c>
      <c r="H189" s="1006" t="s">
        <v>1362</v>
      </c>
      <c r="I189" s="1032" t="s">
        <v>1397</v>
      </c>
      <c r="J189" s="1012" t="s">
        <v>1399</v>
      </c>
      <c r="K189" s="1003" t="str">
        <f t="array" ref="K189">if(isblank(D189),"",xlookup(D189,'FL5_POR_包裝對照表 (Mapping Table)'!E:E,'FL5_POR_包裝對照表 (Mapping Table)'!AN:AN,"",0,1))</f>
        <v>TBD</v>
      </c>
      <c r="L189" s="1012" t="s">
        <v>1606</v>
      </c>
      <c r="M189" s="1012" t="s">
        <v>1604</v>
      </c>
      <c r="N189" s="1047">
        <v>451.09</v>
      </c>
      <c r="O189" s="1047">
        <v>429.1</v>
      </c>
      <c r="P189" s="983">
        <v>45779.0</v>
      </c>
      <c r="Q189" s="983">
        <v>45782.0</v>
      </c>
      <c r="R189" s="983">
        <v>45782.0</v>
      </c>
      <c r="S189" s="1048"/>
      <c r="T189" s="514"/>
      <c r="U189" s="514"/>
      <c r="V189" s="514"/>
      <c r="W189" s="514"/>
      <c r="X189" s="514"/>
      <c r="Y189" s="514"/>
    </row>
    <row r="190">
      <c r="A190" s="1011">
        <v>188.0</v>
      </c>
      <c r="B190" s="1012" t="s">
        <v>277</v>
      </c>
      <c r="C190" s="1012" t="s">
        <v>278</v>
      </c>
      <c r="D190" s="1029" t="s">
        <v>1326</v>
      </c>
      <c r="E190" s="1014" t="s">
        <v>583</v>
      </c>
      <c r="F190" s="1012" t="s">
        <v>284</v>
      </c>
      <c r="G190" s="1014" t="s">
        <v>408</v>
      </c>
      <c r="H190" s="1006" t="s">
        <v>1362</v>
      </c>
      <c r="I190" s="1032" t="s">
        <v>1397</v>
      </c>
      <c r="J190" s="1012" t="s">
        <v>1399</v>
      </c>
      <c r="K190" s="1003" t="str">
        <f t="array" ref="K190">if(isblank(D190),"",xlookup(D190,'FL5_POR_包裝對照表 (Mapping Table)'!E:E,'FL5_POR_包裝對照表 (Mapping Table)'!AN:AN,"",0,1))</f>
        <v>TBD</v>
      </c>
      <c r="L190" s="1012" t="s">
        <v>1614</v>
      </c>
      <c r="M190" s="1012" t="s">
        <v>1339</v>
      </c>
      <c r="N190" s="1047">
        <v>436.08</v>
      </c>
      <c r="O190" s="1047">
        <v>429.1</v>
      </c>
      <c r="P190" s="983">
        <v>45779.0</v>
      </c>
      <c r="Q190" s="983">
        <v>45782.0</v>
      </c>
      <c r="R190" s="983">
        <v>45782.0</v>
      </c>
      <c r="S190" s="1048"/>
      <c r="T190" s="514"/>
      <c r="U190" s="514"/>
      <c r="V190" s="514"/>
      <c r="W190" s="514"/>
      <c r="X190" s="514"/>
      <c r="Y190" s="514"/>
    </row>
    <row r="191">
      <c r="A191" s="1002">
        <v>189.0</v>
      </c>
      <c r="B191" s="1012" t="s">
        <v>277</v>
      </c>
      <c r="C191" s="1012" t="s">
        <v>278</v>
      </c>
      <c r="D191" s="1031" t="s">
        <v>1328</v>
      </c>
      <c r="E191" s="1014" t="s">
        <v>554</v>
      </c>
      <c r="F191" s="1012" t="s">
        <v>284</v>
      </c>
      <c r="G191" s="1014" t="s">
        <v>408</v>
      </c>
      <c r="H191" s="1006" t="s">
        <v>1362</v>
      </c>
      <c r="I191" s="1043" t="s">
        <v>1385</v>
      </c>
      <c r="J191" s="1012" t="s">
        <v>1385</v>
      </c>
      <c r="K191" s="1003" t="str">
        <f t="array" ref="K191">if(isblank(D191),"",xlookup(D191,'FL5_POR_包裝對照表 (Mapping Table)'!E:E,'FL5_POR_包裝對照表 (Mapping Table)'!AN:AN,"",0,1))</f>
        <v>TBD</v>
      </c>
      <c r="L191" s="1012" t="s">
        <v>1585</v>
      </c>
      <c r="M191" s="1012" t="s">
        <v>1367</v>
      </c>
      <c r="N191" s="1047">
        <v>435.67</v>
      </c>
      <c r="O191" s="1047">
        <v>428.69</v>
      </c>
      <c r="P191" s="983">
        <v>45779.0</v>
      </c>
      <c r="Q191" s="983">
        <v>45782.0</v>
      </c>
      <c r="R191" s="983">
        <v>45782.0</v>
      </c>
      <c r="S191" s="1048"/>
      <c r="T191" s="514"/>
      <c r="U191" s="514"/>
      <c r="V191" s="514"/>
      <c r="W191" s="514"/>
      <c r="X191" s="514"/>
      <c r="Y191" s="514"/>
    </row>
    <row r="192">
      <c r="A192" s="1011">
        <v>190.0</v>
      </c>
      <c r="B192" s="1012" t="s">
        <v>277</v>
      </c>
      <c r="C192" s="1012" t="s">
        <v>278</v>
      </c>
      <c r="D192" s="1013" t="s">
        <v>1330</v>
      </c>
      <c r="E192" s="1014" t="s">
        <v>554</v>
      </c>
      <c r="F192" s="1012" t="s">
        <v>284</v>
      </c>
      <c r="G192" s="1014" t="s">
        <v>408</v>
      </c>
      <c r="H192" s="1006" t="s">
        <v>1362</v>
      </c>
      <c r="I192" s="1043" t="s">
        <v>1385</v>
      </c>
      <c r="J192" s="1012" t="s">
        <v>1385</v>
      </c>
      <c r="K192" s="1003" t="str">
        <f t="array" ref="K192">if(isblank(D192),"",xlookup(D192,'FL5_POR_包裝對照表 (Mapping Table)'!E:E,'FL5_POR_包裝對照表 (Mapping Table)'!AN:AN,"",0,1))</f>
        <v>TBD</v>
      </c>
      <c r="L192" s="1012" t="s">
        <v>1596</v>
      </c>
      <c r="M192" s="1012" t="s">
        <v>1594</v>
      </c>
      <c r="N192" s="1047">
        <v>435.97</v>
      </c>
      <c r="O192" s="1047">
        <v>428.99</v>
      </c>
      <c r="P192" s="983">
        <v>45779.0</v>
      </c>
      <c r="Q192" s="983">
        <v>45782.0</v>
      </c>
      <c r="R192" s="983">
        <v>45782.0</v>
      </c>
      <c r="S192" s="1048"/>
      <c r="T192" s="514"/>
      <c r="U192" s="514"/>
      <c r="V192" s="514"/>
      <c r="W192" s="514"/>
      <c r="X192" s="514"/>
      <c r="Y192" s="514"/>
    </row>
    <row r="193">
      <c r="A193" s="1002">
        <v>191.0</v>
      </c>
      <c r="B193" s="1012" t="s">
        <v>277</v>
      </c>
      <c r="C193" s="1012" t="s">
        <v>278</v>
      </c>
      <c r="D193" s="1030" t="s">
        <v>1332</v>
      </c>
      <c r="E193" s="1014" t="s">
        <v>554</v>
      </c>
      <c r="F193" s="1012" t="s">
        <v>284</v>
      </c>
      <c r="G193" s="1014" t="s">
        <v>408</v>
      </c>
      <c r="H193" s="1006" t="s">
        <v>1362</v>
      </c>
      <c r="I193" s="1043" t="s">
        <v>1385</v>
      </c>
      <c r="J193" s="1012" t="s">
        <v>1385</v>
      </c>
      <c r="K193" s="1003" t="str">
        <f t="array" ref="K193">if(isblank(D193),"",xlookup(D193,'FL5_POR_包裝對照表 (Mapping Table)'!E:E,'FL5_POR_包裝對照表 (Mapping Table)'!AN:AN,"",0,1))</f>
        <v>TBD</v>
      </c>
      <c r="L193" s="1012" t="s">
        <v>1606</v>
      </c>
      <c r="M193" s="1012" t="s">
        <v>1604</v>
      </c>
      <c r="N193" s="1047">
        <v>436.07</v>
      </c>
      <c r="O193" s="1047">
        <v>429.09</v>
      </c>
      <c r="P193" s="983">
        <v>45779.0</v>
      </c>
      <c r="Q193" s="983">
        <v>45782.0</v>
      </c>
      <c r="R193" s="983">
        <v>45782.0</v>
      </c>
      <c r="S193" s="1048"/>
      <c r="T193" s="514"/>
      <c r="U193" s="514"/>
      <c r="V193" s="514"/>
      <c r="W193" s="514"/>
      <c r="X193" s="514"/>
      <c r="Y193" s="514"/>
    </row>
    <row r="194">
      <c r="A194" s="1011">
        <v>192.0</v>
      </c>
      <c r="B194" s="1012" t="s">
        <v>277</v>
      </c>
      <c r="C194" s="1012" t="s">
        <v>278</v>
      </c>
      <c r="D194" s="1029" t="s">
        <v>1334</v>
      </c>
      <c r="E194" s="1014" t="s">
        <v>554</v>
      </c>
      <c r="F194" s="1012" t="s">
        <v>284</v>
      </c>
      <c r="G194" s="1014" t="s">
        <v>408</v>
      </c>
      <c r="H194" s="1006" t="s">
        <v>1362</v>
      </c>
      <c r="I194" s="1043" t="s">
        <v>1385</v>
      </c>
      <c r="J194" s="1012" t="s">
        <v>1385</v>
      </c>
      <c r="K194" s="1003" t="str">
        <f t="array" ref="K194">if(isblank(D194),"",xlookup(D194,'FL5_POR_包裝對照表 (Mapping Table)'!E:E,'FL5_POR_包裝對照表 (Mapping Table)'!AN:AN,"",0,1))</f>
        <v>TBD</v>
      </c>
      <c r="L194" s="1012" t="s">
        <v>1614</v>
      </c>
      <c r="M194" s="1012" t="s">
        <v>1339</v>
      </c>
      <c r="N194" s="1047">
        <v>436.07</v>
      </c>
      <c r="O194" s="1047">
        <v>429.09</v>
      </c>
      <c r="P194" s="983">
        <v>45779.0</v>
      </c>
      <c r="Q194" s="983">
        <v>45782.0</v>
      </c>
      <c r="R194" s="983">
        <v>45782.0</v>
      </c>
      <c r="S194" s="1048"/>
      <c r="T194" s="514"/>
      <c r="U194" s="514"/>
      <c r="V194" s="514"/>
      <c r="W194" s="514"/>
      <c r="X194" s="514"/>
      <c r="Y194" s="514"/>
    </row>
    <row r="195">
      <c r="A195" s="1002">
        <v>193.0</v>
      </c>
      <c r="B195" s="1012" t="s">
        <v>277</v>
      </c>
      <c r="C195" s="1012" t="s">
        <v>278</v>
      </c>
      <c r="D195" s="1049" t="s">
        <v>2081</v>
      </c>
      <c r="E195" s="1050" t="s">
        <v>2082</v>
      </c>
      <c r="F195" s="1051" t="s">
        <v>2192</v>
      </c>
      <c r="G195" s="1052" t="s">
        <v>764</v>
      </c>
      <c r="H195" s="1006" t="s">
        <v>1362</v>
      </c>
      <c r="I195" s="1053"/>
      <c r="J195" s="1054"/>
      <c r="K195" s="1003" t="str">
        <f t="array" ref="K195">if(isblank(D195),"",xlookup(D195,'FL5_POR_包裝對照表 (Mapping Table)'!E:E,'FL5_POR_包裝對照表 (Mapping Table)'!AN:AN,"",0,1))</f>
        <v/>
      </c>
      <c r="L195" s="1055"/>
      <c r="M195" s="1012" t="s">
        <v>1367</v>
      </c>
      <c r="N195" s="1056">
        <v>22.27</v>
      </c>
      <c r="O195" s="1056" t="s">
        <v>1368</v>
      </c>
      <c r="P195" s="983">
        <v>45789.0</v>
      </c>
      <c r="Q195" s="983">
        <v>45790.0</v>
      </c>
      <c r="R195" s="1057"/>
      <c r="S195" s="1058"/>
      <c r="T195" s="514"/>
      <c r="U195" s="514"/>
      <c r="V195" s="514"/>
      <c r="W195" s="514"/>
      <c r="X195" s="514"/>
      <c r="Y195" s="514"/>
    </row>
    <row r="196">
      <c r="A196" s="1011">
        <v>194.0</v>
      </c>
      <c r="B196" s="1012" t="s">
        <v>277</v>
      </c>
      <c r="C196" s="1012" t="s">
        <v>278</v>
      </c>
      <c r="D196" s="1049" t="s">
        <v>2084</v>
      </c>
      <c r="E196" s="1059" t="s">
        <v>2082</v>
      </c>
      <c r="F196" s="1060" t="s">
        <v>2192</v>
      </c>
      <c r="G196" s="1052" t="s">
        <v>764</v>
      </c>
      <c r="H196" s="1006" t="s">
        <v>1362</v>
      </c>
      <c r="I196" s="1053"/>
      <c r="J196" s="1054"/>
      <c r="K196" s="1003" t="str">
        <f t="array" ref="K196">if(isblank(D196),"",xlookup(D196,'FL5_POR_包裝對照表 (Mapping Table)'!E:E,'FL5_POR_包裝對照表 (Mapping Table)'!AN:AN,"",0,1))</f>
        <v/>
      </c>
      <c r="L196" s="1055"/>
      <c r="M196" s="1012" t="s">
        <v>1594</v>
      </c>
      <c r="N196" s="1056">
        <v>22.57</v>
      </c>
      <c r="O196" s="1056" t="s">
        <v>1368</v>
      </c>
      <c r="P196" s="983">
        <v>45789.0</v>
      </c>
      <c r="Q196" s="983">
        <v>45790.0</v>
      </c>
      <c r="R196" s="1057"/>
      <c r="S196" s="1058"/>
      <c r="T196" s="514"/>
      <c r="U196" s="514"/>
      <c r="V196" s="514"/>
      <c r="W196" s="514"/>
      <c r="X196" s="514"/>
      <c r="Y196" s="514"/>
    </row>
    <row r="197">
      <c r="A197" s="1002">
        <v>195.0</v>
      </c>
      <c r="B197" s="1012" t="s">
        <v>277</v>
      </c>
      <c r="C197" s="1012" t="s">
        <v>278</v>
      </c>
      <c r="D197" s="1049" t="s">
        <v>2086</v>
      </c>
      <c r="E197" s="1059" t="s">
        <v>2082</v>
      </c>
      <c r="F197" s="1060" t="s">
        <v>2192</v>
      </c>
      <c r="G197" s="1052" t="s">
        <v>764</v>
      </c>
      <c r="H197" s="1006" t="s">
        <v>1362</v>
      </c>
      <c r="I197" s="1053"/>
      <c r="J197" s="1054"/>
      <c r="K197" s="1003" t="str">
        <f t="array" ref="K197">if(isblank(D197),"",xlookup(D197,'FL5_POR_包裝對照表 (Mapping Table)'!E:E,'FL5_POR_包裝對照表 (Mapping Table)'!AN:AN,"",0,1))</f>
        <v/>
      </c>
      <c r="L197" s="1055"/>
      <c r="M197" s="1012" t="s">
        <v>1604</v>
      </c>
      <c r="N197" s="1056">
        <v>22.67</v>
      </c>
      <c r="O197" s="1056" t="s">
        <v>1368</v>
      </c>
      <c r="P197" s="983">
        <v>45789.0</v>
      </c>
      <c r="Q197" s="983">
        <v>45790.0</v>
      </c>
      <c r="R197" s="1057"/>
      <c r="S197" s="1058"/>
      <c r="T197" s="514"/>
      <c r="U197" s="514"/>
      <c r="V197" s="514"/>
      <c r="W197" s="514"/>
      <c r="X197" s="514"/>
      <c r="Y197" s="514"/>
    </row>
    <row r="198">
      <c r="A198" s="1011">
        <v>196.0</v>
      </c>
      <c r="B198" s="1012" t="s">
        <v>277</v>
      </c>
      <c r="C198" s="1012" t="s">
        <v>278</v>
      </c>
      <c r="D198" s="1049" t="s">
        <v>2088</v>
      </c>
      <c r="E198" s="1059" t="s">
        <v>2082</v>
      </c>
      <c r="F198" s="1060" t="s">
        <v>2192</v>
      </c>
      <c r="G198" s="1052" t="s">
        <v>764</v>
      </c>
      <c r="H198" s="1006" t="s">
        <v>1362</v>
      </c>
      <c r="I198" s="1053"/>
      <c r="J198" s="1054"/>
      <c r="K198" s="1003" t="str">
        <f t="array" ref="K198">if(isblank(D198),"",xlookup(D198,'FL5_POR_包裝對照表 (Mapping Table)'!E:E,'FL5_POR_包裝對照表 (Mapping Table)'!AN:AN,"",0,1))</f>
        <v/>
      </c>
      <c r="L198" s="1055"/>
      <c r="M198" s="1012" t="s">
        <v>1339</v>
      </c>
      <c r="N198" s="1056">
        <v>22.67</v>
      </c>
      <c r="O198" s="1056" t="s">
        <v>1368</v>
      </c>
      <c r="P198" s="983">
        <v>45789.0</v>
      </c>
      <c r="Q198" s="983">
        <v>45790.0</v>
      </c>
      <c r="R198" s="1057"/>
      <c r="S198" s="1058"/>
      <c r="T198" s="514"/>
      <c r="U198" s="514"/>
      <c r="V198" s="514"/>
      <c r="W198" s="514"/>
      <c r="X198" s="514"/>
      <c r="Y198" s="514"/>
    </row>
    <row r="199">
      <c r="A199" s="1002">
        <v>197.0</v>
      </c>
      <c r="B199" s="1012" t="s">
        <v>277</v>
      </c>
      <c r="C199" s="1012" t="s">
        <v>278</v>
      </c>
      <c r="D199" s="1049" t="s">
        <v>2090</v>
      </c>
      <c r="E199" s="1059" t="s">
        <v>2091</v>
      </c>
      <c r="F199" s="1060" t="s">
        <v>2193</v>
      </c>
      <c r="G199" s="1052" t="s">
        <v>764</v>
      </c>
      <c r="H199" s="1006" t="s">
        <v>1362</v>
      </c>
      <c r="I199" s="1053"/>
      <c r="J199" s="1054"/>
      <c r="K199" s="1003" t="str">
        <f t="array" ref="K199">if(isblank(D199),"",xlookup(D199,'FL5_POR_包裝對照表 (Mapping Table)'!E:E,'FL5_POR_包裝對照表 (Mapping Table)'!AN:AN,"",0,1))</f>
        <v/>
      </c>
      <c r="L199" s="1055"/>
      <c r="M199" s="1012" t="s">
        <v>1367</v>
      </c>
      <c r="N199" s="1056">
        <v>4.55</v>
      </c>
      <c r="O199" s="1056" t="s">
        <v>1368</v>
      </c>
      <c r="P199" s="983">
        <v>45789.0</v>
      </c>
      <c r="Q199" s="983">
        <v>45790.0</v>
      </c>
      <c r="R199" s="1057"/>
      <c r="S199" s="1058"/>
      <c r="T199" s="514"/>
      <c r="U199" s="514"/>
      <c r="V199" s="514"/>
      <c r="W199" s="514"/>
      <c r="X199" s="514"/>
      <c r="Y199" s="514"/>
    </row>
    <row r="200">
      <c r="A200" s="1011">
        <v>198.0</v>
      </c>
      <c r="B200" s="1012" t="s">
        <v>277</v>
      </c>
      <c r="C200" s="1012" t="s">
        <v>278</v>
      </c>
      <c r="D200" s="1049" t="s">
        <v>2094</v>
      </c>
      <c r="E200" s="1059" t="s">
        <v>2091</v>
      </c>
      <c r="F200" s="1060" t="s">
        <v>2193</v>
      </c>
      <c r="G200" s="1052" t="s">
        <v>764</v>
      </c>
      <c r="H200" s="1006" t="s">
        <v>1362</v>
      </c>
      <c r="I200" s="1053"/>
      <c r="J200" s="1054"/>
      <c r="K200" s="1003" t="str">
        <f t="array" ref="K200">if(isblank(D200),"",xlookup(D200,'FL5_POR_包裝對照表 (Mapping Table)'!E:E,'FL5_POR_包裝對照表 (Mapping Table)'!AN:AN,"",0,1))</f>
        <v/>
      </c>
      <c r="L200" s="1055"/>
      <c r="M200" s="1012" t="s">
        <v>1594</v>
      </c>
      <c r="N200" s="1056">
        <v>4.85</v>
      </c>
      <c r="O200" s="1056" t="s">
        <v>1368</v>
      </c>
      <c r="P200" s="983">
        <v>45789.0</v>
      </c>
      <c r="Q200" s="983">
        <v>45790.0</v>
      </c>
      <c r="R200" s="1057"/>
      <c r="S200" s="1058"/>
      <c r="T200" s="514"/>
      <c r="U200" s="514"/>
      <c r="V200" s="514"/>
      <c r="W200" s="514"/>
      <c r="X200" s="514"/>
      <c r="Y200" s="514"/>
    </row>
    <row r="201">
      <c r="A201" s="1002">
        <v>199.0</v>
      </c>
      <c r="B201" s="1012" t="s">
        <v>277</v>
      </c>
      <c r="C201" s="1012" t="s">
        <v>278</v>
      </c>
      <c r="D201" s="1049" t="s">
        <v>2096</v>
      </c>
      <c r="E201" s="1059" t="s">
        <v>2091</v>
      </c>
      <c r="F201" s="1060" t="s">
        <v>2193</v>
      </c>
      <c r="G201" s="1052" t="s">
        <v>764</v>
      </c>
      <c r="H201" s="1006" t="s">
        <v>1362</v>
      </c>
      <c r="I201" s="1053"/>
      <c r="J201" s="1054"/>
      <c r="K201" s="1003" t="str">
        <f t="array" ref="K201">if(isblank(D201),"",xlookup(D201,'FL5_POR_包裝對照表 (Mapping Table)'!E:E,'FL5_POR_包裝對照表 (Mapping Table)'!AN:AN,"",0,1))</f>
        <v/>
      </c>
      <c r="L201" s="1055"/>
      <c r="M201" s="1012" t="s">
        <v>1604</v>
      </c>
      <c r="N201" s="1056">
        <v>4.95</v>
      </c>
      <c r="O201" s="1056" t="s">
        <v>1368</v>
      </c>
      <c r="P201" s="983">
        <v>45789.0</v>
      </c>
      <c r="Q201" s="983">
        <v>45790.0</v>
      </c>
      <c r="R201" s="1057"/>
      <c r="S201" s="1058"/>
      <c r="T201" s="514"/>
      <c r="U201" s="514"/>
      <c r="V201" s="514"/>
      <c r="W201" s="514"/>
      <c r="X201" s="514"/>
      <c r="Y201" s="514"/>
    </row>
    <row r="202">
      <c r="A202" s="1011">
        <v>200.0</v>
      </c>
      <c r="B202" s="1012" t="s">
        <v>277</v>
      </c>
      <c r="C202" s="1012" t="s">
        <v>278</v>
      </c>
      <c r="D202" s="1061" t="s">
        <v>2098</v>
      </c>
      <c r="E202" s="1059" t="s">
        <v>2091</v>
      </c>
      <c r="F202" s="1060" t="s">
        <v>2193</v>
      </c>
      <c r="G202" s="1062" t="s">
        <v>764</v>
      </c>
      <c r="H202" s="1063" t="s">
        <v>1362</v>
      </c>
      <c r="I202" s="1048"/>
      <c r="J202" s="1058"/>
      <c r="K202" s="1002" t="str">
        <f t="array" ref="K202">if(isblank(D202),"",xlookup(D202,'FL5_POR_包裝對照表 (Mapping Table)'!E:E,'FL5_POR_包裝對照表 (Mapping Table)'!AN:AN,"",0,1))</f>
        <v/>
      </c>
      <c r="L202" s="1058"/>
      <c r="M202" s="1002" t="s">
        <v>1339</v>
      </c>
      <c r="N202" s="1056">
        <v>4.95</v>
      </c>
      <c r="O202" s="1056" t="s">
        <v>1368</v>
      </c>
      <c r="P202" s="983">
        <v>45789.0</v>
      </c>
      <c r="Q202" s="983">
        <v>45790.0</v>
      </c>
      <c r="R202" s="1057"/>
      <c r="S202" s="1058"/>
      <c r="T202" s="514"/>
      <c r="U202" s="514"/>
      <c r="V202" s="514"/>
      <c r="W202" s="514"/>
      <c r="X202" s="514"/>
      <c r="Y202" s="514"/>
    </row>
    <row r="203">
      <c r="A203" s="1002">
        <v>201.0</v>
      </c>
      <c r="B203" s="1012" t="s">
        <v>277</v>
      </c>
      <c r="C203" s="1012" t="s">
        <v>278</v>
      </c>
      <c r="D203" s="1064" t="s">
        <v>2100</v>
      </c>
      <c r="E203" s="1065" t="s">
        <v>2101</v>
      </c>
      <c r="F203" s="1066" t="s">
        <v>2194</v>
      </c>
      <c r="G203" s="1050" t="s">
        <v>764</v>
      </c>
      <c r="H203" s="1063" t="s">
        <v>1362</v>
      </c>
      <c r="I203" s="1067"/>
      <c r="J203" s="1058"/>
      <c r="K203" s="1002" t="str">
        <f t="array" ref="K203">if(isblank(D203),"",xlookup(D203,'FL5_POR_包裝對照表 (Mapping Table)'!E:E,'FL5_POR_包裝對照表 (Mapping Table)'!AN:AN,"",0,1))</f>
        <v/>
      </c>
      <c r="L203" s="1068"/>
      <c r="M203" s="1068"/>
      <c r="N203" s="1069">
        <v>19.84</v>
      </c>
      <c r="O203" s="1070" t="s">
        <v>1368</v>
      </c>
      <c r="P203" s="983">
        <v>45813.0</v>
      </c>
      <c r="Q203" s="983">
        <v>45814.0</v>
      </c>
      <c r="R203" s="983">
        <v>45817.0</v>
      </c>
      <c r="S203" s="1058"/>
      <c r="T203" s="514"/>
      <c r="U203" s="514"/>
      <c r="V203" s="514"/>
      <c r="W203" s="514"/>
      <c r="X203" s="514"/>
      <c r="Y203" s="514"/>
    </row>
    <row r="204">
      <c r="A204" s="1011">
        <v>202.0</v>
      </c>
      <c r="B204" s="1012" t="s">
        <v>277</v>
      </c>
      <c r="C204" s="1012" t="s">
        <v>278</v>
      </c>
      <c r="D204" s="1071" t="s">
        <v>2103</v>
      </c>
      <c r="E204" s="1065" t="s">
        <v>2104</v>
      </c>
      <c r="F204" s="1051" t="s">
        <v>2192</v>
      </c>
      <c r="G204" s="1050" t="s">
        <v>764</v>
      </c>
      <c r="H204" s="1063" t="s">
        <v>1362</v>
      </c>
      <c r="I204" s="1067"/>
      <c r="J204" s="1058"/>
      <c r="K204" s="1002" t="str">
        <f t="array" ref="K204">if(isblank(D204),"",xlookup(D204,'FL5_POR_包裝對照表 (Mapping Table)'!E:E,'FL5_POR_包裝對照表 (Mapping Table)'!AN:AN,"",0,1))</f>
        <v/>
      </c>
      <c r="L204" s="1068"/>
      <c r="M204" s="1072" t="s">
        <v>1367</v>
      </c>
      <c r="N204" s="1069">
        <v>23.42</v>
      </c>
      <c r="O204" s="1070" t="s">
        <v>1368</v>
      </c>
      <c r="P204" s="983">
        <v>45813.0</v>
      </c>
      <c r="Q204" s="983">
        <v>45814.0</v>
      </c>
      <c r="R204" s="983">
        <v>45817.0</v>
      </c>
      <c r="S204" s="1058"/>
      <c r="T204" s="514"/>
      <c r="U204" s="514"/>
      <c r="V204" s="514"/>
      <c r="W204" s="514"/>
      <c r="X204" s="514"/>
      <c r="Y204" s="514"/>
    </row>
    <row r="205">
      <c r="A205" s="1002">
        <v>203.0</v>
      </c>
      <c r="B205" s="1002" t="s">
        <v>277</v>
      </c>
      <c r="C205" s="1002" t="s">
        <v>278</v>
      </c>
      <c r="D205" s="1073" t="s">
        <v>2106</v>
      </c>
      <c r="E205" s="1065" t="s">
        <v>2104</v>
      </c>
      <c r="F205" s="1051" t="s">
        <v>2192</v>
      </c>
      <c r="G205" s="1050" t="s">
        <v>764</v>
      </c>
      <c r="H205" s="1063" t="s">
        <v>1362</v>
      </c>
      <c r="I205" s="1067"/>
      <c r="J205" s="1058"/>
      <c r="K205" s="1002" t="str">
        <f t="array" ref="K205">if(isblank(D205),"",xlookup(D205,'FL5_POR_包裝對照表 (Mapping Table)'!E:E,'FL5_POR_包裝對照表 (Mapping Table)'!AN:AN,"",0,1))</f>
        <v/>
      </c>
      <c r="L205" s="1068"/>
      <c r="M205" s="1072" t="s">
        <v>1594</v>
      </c>
      <c r="N205" s="1069">
        <v>23.88</v>
      </c>
      <c r="O205" s="1070" t="s">
        <v>1368</v>
      </c>
      <c r="P205" s="983">
        <v>45813.0</v>
      </c>
      <c r="Q205" s="983">
        <v>45814.0</v>
      </c>
      <c r="R205" s="983">
        <v>45817.0</v>
      </c>
      <c r="S205" s="1058"/>
      <c r="T205" s="514"/>
      <c r="U205" s="514"/>
      <c r="V205" s="514"/>
      <c r="W205" s="514"/>
      <c r="X205" s="514"/>
      <c r="Y205" s="514"/>
    </row>
    <row r="206">
      <c r="A206" s="1002">
        <v>204.0</v>
      </c>
      <c r="B206" s="1002" t="s">
        <v>277</v>
      </c>
      <c r="C206" s="1002" t="s">
        <v>278</v>
      </c>
      <c r="D206" s="1074" t="s">
        <v>2107</v>
      </c>
      <c r="E206" s="1065" t="s">
        <v>2104</v>
      </c>
      <c r="F206" s="1051" t="s">
        <v>2192</v>
      </c>
      <c r="G206" s="1050" t="s">
        <v>764</v>
      </c>
      <c r="H206" s="1063" t="s">
        <v>1362</v>
      </c>
      <c r="I206" s="1067"/>
      <c r="J206" s="1058"/>
      <c r="K206" s="1002" t="str">
        <f t="array" ref="K206">if(isblank(D206),"",xlookup(D206,'FL5_POR_包裝對照表 (Mapping Table)'!E:E,'FL5_POR_包裝對照表 (Mapping Table)'!AN:AN,"",0,1))</f>
        <v/>
      </c>
      <c r="L206" s="1068"/>
      <c r="M206" s="1072" t="s">
        <v>1604</v>
      </c>
      <c r="N206" s="1069">
        <v>23.66</v>
      </c>
      <c r="O206" s="1070" t="s">
        <v>1368</v>
      </c>
      <c r="P206" s="983">
        <v>45813.0</v>
      </c>
      <c r="Q206" s="983">
        <v>45814.0</v>
      </c>
      <c r="R206" s="983">
        <v>45817.0</v>
      </c>
      <c r="S206" s="1058"/>
      <c r="T206" s="514"/>
      <c r="U206" s="514"/>
      <c r="V206" s="514"/>
      <c r="W206" s="514"/>
      <c r="X206" s="514"/>
      <c r="Y206" s="514"/>
    </row>
    <row r="207">
      <c r="A207" s="1002">
        <v>205.0</v>
      </c>
      <c r="B207" s="1002" t="s">
        <v>277</v>
      </c>
      <c r="C207" s="1002" t="s">
        <v>278</v>
      </c>
      <c r="D207" s="1075" t="s">
        <v>2108</v>
      </c>
      <c r="E207" s="1065" t="s">
        <v>2104</v>
      </c>
      <c r="F207" s="1051" t="s">
        <v>2192</v>
      </c>
      <c r="G207" s="1050" t="s">
        <v>764</v>
      </c>
      <c r="H207" s="1063" t="s">
        <v>1362</v>
      </c>
      <c r="I207" s="1067"/>
      <c r="J207" s="1058"/>
      <c r="K207" s="1002" t="str">
        <f t="array" ref="K207">if(isblank(D207),"",xlookup(D207,'FL5_POR_包裝對照表 (Mapping Table)'!E:E,'FL5_POR_包裝對照表 (Mapping Table)'!AN:AN,"",0,1))</f>
        <v/>
      </c>
      <c r="L207" s="1068"/>
      <c r="M207" s="1072" t="s">
        <v>1339</v>
      </c>
      <c r="N207" s="1069">
        <v>23.98</v>
      </c>
      <c r="O207" s="1070" t="s">
        <v>1368</v>
      </c>
      <c r="P207" s="983">
        <v>45813.0</v>
      </c>
      <c r="Q207" s="983">
        <v>45814.0</v>
      </c>
      <c r="R207" s="983">
        <v>45817.0</v>
      </c>
      <c r="S207" s="1058"/>
      <c r="T207" s="514"/>
      <c r="U207" s="514"/>
      <c r="V207" s="514"/>
      <c r="W207" s="514"/>
      <c r="X207" s="514"/>
      <c r="Y207" s="514"/>
    </row>
    <row r="208">
      <c r="A208" s="1002">
        <v>206.0</v>
      </c>
      <c r="B208" s="1002" t="s">
        <v>277</v>
      </c>
      <c r="C208" s="1002" t="s">
        <v>278</v>
      </c>
      <c r="D208" s="1076" t="s">
        <v>2173</v>
      </c>
      <c r="E208" s="1065" t="s">
        <v>52</v>
      </c>
      <c r="F208" s="1077" t="s">
        <v>2195</v>
      </c>
      <c r="G208" s="1050" t="s">
        <v>764</v>
      </c>
      <c r="H208" s="1063" t="s">
        <v>1362</v>
      </c>
      <c r="I208" s="1078" t="s">
        <v>1337</v>
      </c>
      <c r="J208" s="1079"/>
      <c r="K208" s="1079"/>
      <c r="L208" s="1068"/>
      <c r="M208" s="1066" t="s">
        <v>1594</v>
      </c>
      <c r="N208" s="1069">
        <v>439.03</v>
      </c>
      <c r="O208" s="1070" t="s">
        <v>1368</v>
      </c>
      <c r="P208" s="983">
        <v>45813.0</v>
      </c>
      <c r="Q208" s="983">
        <v>45814.0</v>
      </c>
      <c r="R208" s="983">
        <v>45817.0</v>
      </c>
      <c r="S208" s="1079"/>
      <c r="T208" s="514"/>
      <c r="U208" s="514"/>
      <c r="V208" s="514"/>
      <c r="W208" s="514"/>
      <c r="X208" s="514"/>
      <c r="Y208" s="514"/>
    </row>
    <row r="209">
      <c r="A209" s="1002">
        <v>207.0</v>
      </c>
      <c r="B209" s="1002" t="s">
        <v>277</v>
      </c>
      <c r="C209" s="1002" t="s">
        <v>278</v>
      </c>
      <c r="D209" s="1080" t="s">
        <v>2175</v>
      </c>
      <c r="E209" s="1065" t="s">
        <v>52</v>
      </c>
      <c r="F209" s="1077" t="s">
        <v>2195</v>
      </c>
      <c r="G209" s="1050" t="s">
        <v>764</v>
      </c>
      <c r="H209" s="1063" t="s">
        <v>1362</v>
      </c>
      <c r="I209" s="1078" t="s">
        <v>1337</v>
      </c>
      <c r="J209" s="1079"/>
      <c r="K209" s="1079"/>
      <c r="L209" s="1068"/>
      <c r="M209" s="1066" t="s">
        <v>1604</v>
      </c>
      <c r="N209" s="1069">
        <v>439.53</v>
      </c>
      <c r="O209" s="1070" t="s">
        <v>1368</v>
      </c>
      <c r="P209" s="983">
        <v>45813.0</v>
      </c>
      <c r="Q209" s="983">
        <v>45814.0</v>
      </c>
      <c r="R209" s="983">
        <v>45817.0</v>
      </c>
      <c r="S209" s="1079"/>
      <c r="T209" s="514"/>
      <c r="U209" s="514"/>
      <c r="V209" s="514"/>
      <c r="W209" s="514"/>
      <c r="X209" s="514"/>
      <c r="Y209" s="514"/>
    </row>
    <row r="210">
      <c r="A210" s="1002">
        <v>208.0</v>
      </c>
      <c r="B210" s="1002" t="s">
        <v>277</v>
      </c>
      <c r="C210" s="1002" t="s">
        <v>278</v>
      </c>
      <c r="D210" s="1081" t="s">
        <v>2177</v>
      </c>
      <c r="E210" s="1065" t="s">
        <v>52</v>
      </c>
      <c r="F210" s="1077" t="s">
        <v>2195</v>
      </c>
      <c r="G210" s="1050" t="s">
        <v>764</v>
      </c>
      <c r="H210" s="1063" t="s">
        <v>1362</v>
      </c>
      <c r="I210" s="1078" t="s">
        <v>1337</v>
      </c>
      <c r="J210" s="1079"/>
      <c r="K210" s="1079"/>
      <c r="L210" s="1068"/>
      <c r="M210" s="1066" t="s">
        <v>1339</v>
      </c>
      <c r="N210" s="1069">
        <v>439.13</v>
      </c>
      <c r="O210" s="1070" t="s">
        <v>1368</v>
      </c>
      <c r="P210" s="983">
        <v>45813.0</v>
      </c>
      <c r="Q210" s="983">
        <v>45814.0</v>
      </c>
      <c r="R210" s="983">
        <v>45817.0</v>
      </c>
      <c r="S210" s="1079"/>
      <c r="T210" s="514"/>
      <c r="U210" s="514"/>
      <c r="V210" s="514"/>
      <c r="W210" s="514"/>
      <c r="X210" s="514"/>
      <c r="Y210" s="514"/>
    </row>
    <row r="211">
      <c r="A211" s="514"/>
      <c r="B211" s="514"/>
      <c r="C211" s="514"/>
      <c r="D211" s="514"/>
      <c r="E211" s="514"/>
      <c r="F211" s="514"/>
      <c r="G211" s="514"/>
      <c r="H211" s="514"/>
      <c r="I211" s="514"/>
      <c r="J211" s="514"/>
      <c r="K211" s="514"/>
      <c r="L211" s="514"/>
      <c r="M211" s="514"/>
      <c r="N211" s="992"/>
      <c r="O211" s="992"/>
      <c r="P211" s="993"/>
      <c r="Q211" s="993"/>
      <c r="R211" s="993"/>
      <c r="S211" s="514"/>
      <c r="T211" s="514"/>
      <c r="U211" s="514"/>
      <c r="V211" s="514"/>
      <c r="W211" s="514"/>
      <c r="X211" s="514"/>
      <c r="Y211" s="514"/>
    </row>
    <row r="212">
      <c r="A212" s="514"/>
      <c r="B212" s="514"/>
      <c r="C212" s="514"/>
      <c r="D212" s="514"/>
      <c r="E212" s="514"/>
      <c r="F212" s="514"/>
      <c r="G212" s="514"/>
      <c r="H212" s="514"/>
      <c r="I212" s="514"/>
      <c r="J212" s="514"/>
      <c r="K212" s="514"/>
      <c r="L212" s="514"/>
      <c r="M212" s="514"/>
      <c r="N212" s="992"/>
      <c r="O212" s="992"/>
      <c r="P212" s="993"/>
      <c r="Q212" s="993"/>
      <c r="R212" s="993"/>
      <c r="S212" s="514"/>
      <c r="T212" s="514"/>
      <c r="U212" s="514"/>
      <c r="V212" s="514"/>
      <c r="W212" s="514"/>
      <c r="X212" s="514"/>
      <c r="Y212" s="514"/>
    </row>
    <row r="213">
      <c r="A213" s="514"/>
      <c r="B213" s="514"/>
      <c r="C213" s="514"/>
      <c r="D213" s="514"/>
      <c r="E213" s="514"/>
      <c r="F213" s="514"/>
      <c r="G213" s="514"/>
      <c r="H213" s="514"/>
      <c r="I213" s="514"/>
      <c r="J213" s="514"/>
      <c r="K213" s="514"/>
      <c r="L213" s="514"/>
      <c r="M213" s="514"/>
      <c r="N213" s="992"/>
      <c r="O213" s="992"/>
      <c r="P213" s="993"/>
      <c r="Q213" s="993"/>
      <c r="R213" s="993"/>
      <c r="S213" s="514"/>
      <c r="T213" s="514"/>
      <c r="U213" s="514"/>
      <c r="V213" s="514"/>
      <c r="W213" s="514"/>
      <c r="X213" s="514"/>
      <c r="Y213" s="514"/>
    </row>
    <row r="214">
      <c r="A214" s="514"/>
      <c r="B214" s="514"/>
      <c r="C214" s="514"/>
      <c r="D214" s="514"/>
      <c r="E214" s="514"/>
      <c r="F214" s="514"/>
      <c r="G214" s="514"/>
      <c r="H214" s="514"/>
      <c r="I214" s="514"/>
      <c r="J214" s="514"/>
      <c r="K214" s="514"/>
      <c r="L214" s="514"/>
      <c r="M214" s="514"/>
      <c r="N214" s="992"/>
      <c r="O214" s="992"/>
      <c r="P214" s="993"/>
      <c r="Q214" s="993"/>
      <c r="R214" s="993"/>
      <c r="S214" s="514"/>
      <c r="T214" s="514"/>
      <c r="U214" s="514"/>
      <c r="V214" s="514"/>
      <c r="W214" s="514"/>
      <c r="X214" s="514"/>
      <c r="Y214" s="514"/>
    </row>
    <row r="215">
      <c r="A215" s="514"/>
      <c r="B215" s="514"/>
      <c r="C215" s="514"/>
      <c r="D215" s="514"/>
      <c r="E215" s="514"/>
      <c r="F215" s="514"/>
      <c r="G215" s="514"/>
      <c r="H215" s="514"/>
      <c r="I215" s="514"/>
      <c r="J215" s="514"/>
      <c r="K215" s="514"/>
      <c r="L215" s="514"/>
      <c r="M215" s="514"/>
      <c r="N215" s="992"/>
      <c r="O215" s="992"/>
      <c r="P215" s="993"/>
      <c r="Q215" s="993"/>
      <c r="R215" s="993"/>
      <c r="S215" s="514"/>
      <c r="T215" s="514"/>
      <c r="U215" s="514"/>
      <c r="V215" s="514"/>
      <c r="W215" s="514"/>
      <c r="X215" s="514"/>
      <c r="Y215" s="514"/>
    </row>
    <row r="216">
      <c r="A216" s="514"/>
      <c r="B216" s="514"/>
      <c r="C216" s="514"/>
      <c r="D216" s="514"/>
      <c r="E216" s="514"/>
      <c r="F216" s="514"/>
      <c r="G216" s="514"/>
      <c r="H216" s="514"/>
      <c r="I216" s="514"/>
      <c r="J216" s="514"/>
      <c r="K216" s="514"/>
      <c r="L216" s="514"/>
      <c r="M216" s="514"/>
      <c r="N216" s="992"/>
      <c r="O216" s="992"/>
      <c r="P216" s="993"/>
      <c r="Q216" s="993"/>
      <c r="R216" s="993"/>
      <c r="S216" s="514"/>
      <c r="T216" s="514"/>
      <c r="U216" s="514"/>
      <c r="V216" s="514"/>
      <c r="W216" s="514"/>
      <c r="X216" s="514"/>
      <c r="Y216" s="514"/>
    </row>
    <row r="217">
      <c r="A217" s="514"/>
      <c r="B217" s="514"/>
      <c r="C217" s="514"/>
      <c r="D217" s="514"/>
      <c r="E217" s="514"/>
      <c r="F217" s="514"/>
      <c r="G217" s="514"/>
      <c r="H217" s="514"/>
      <c r="I217" s="514"/>
      <c r="J217" s="514"/>
      <c r="K217" s="514"/>
      <c r="L217" s="514"/>
      <c r="M217" s="514"/>
      <c r="N217" s="992"/>
      <c r="O217" s="992"/>
      <c r="P217" s="993"/>
      <c r="Q217" s="993"/>
      <c r="R217" s="993"/>
      <c r="S217" s="514"/>
      <c r="T217" s="514"/>
      <c r="U217" s="514"/>
      <c r="V217" s="514"/>
      <c r="W217" s="514"/>
      <c r="X217" s="514"/>
      <c r="Y217" s="514"/>
    </row>
    <row r="218">
      <c r="A218" s="514"/>
      <c r="B218" s="514"/>
      <c r="C218" s="514"/>
      <c r="D218" s="514"/>
      <c r="E218" s="514"/>
      <c r="F218" s="514"/>
      <c r="G218" s="514"/>
      <c r="H218" s="514"/>
      <c r="I218" s="514"/>
      <c r="J218" s="514"/>
      <c r="K218" s="514"/>
      <c r="L218" s="514"/>
      <c r="M218" s="514"/>
      <c r="N218" s="992"/>
      <c r="O218" s="992"/>
      <c r="P218" s="993"/>
      <c r="Q218" s="993"/>
      <c r="R218" s="993"/>
      <c r="S218" s="514"/>
      <c r="T218" s="514"/>
      <c r="U218" s="514"/>
      <c r="V218" s="514"/>
      <c r="W218" s="514"/>
      <c r="X218" s="514"/>
      <c r="Y218" s="514"/>
    </row>
    <row r="219">
      <c r="A219" s="514"/>
      <c r="B219" s="514"/>
      <c r="C219" s="514"/>
      <c r="D219" s="514"/>
      <c r="E219" s="514"/>
      <c r="F219" s="514"/>
      <c r="G219" s="514"/>
      <c r="H219" s="514"/>
      <c r="I219" s="514"/>
      <c r="J219" s="514"/>
      <c r="K219" s="514"/>
      <c r="L219" s="514"/>
      <c r="M219" s="514"/>
      <c r="N219" s="992"/>
      <c r="O219" s="992"/>
      <c r="P219" s="993"/>
      <c r="Q219" s="993"/>
      <c r="R219" s="993"/>
      <c r="S219" s="514"/>
      <c r="T219" s="514"/>
      <c r="U219" s="514"/>
      <c r="V219" s="514"/>
      <c r="W219" s="514"/>
      <c r="X219" s="514"/>
      <c r="Y219" s="514"/>
    </row>
    <row r="220">
      <c r="A220" s="514"/>
      <c r="B220" s="514"/>
      <c r="C220" s="514"/>
      <c r="D220" s="514"/>
      <c r="E220" s="514"/>
      <c r="F220" s="514"/>
      <c r="G220" s="514"/>
      <c r="H220" s="514"/>
      <c r="I220" s="514"/>
      <c r="J220" s="514"/>
      <c r="K220" s="514"/>
      <c r="L220" s="514"/>
      <c r="M220" s="514"/>
      <c r="N220" s="992"/>
      <c r="O220" s="992"/>
      <c r="P220" s="993"/>
      <c r="Q220" s="993"/>
      <c r="R220" s="993"/>
      <c r="S220" s="514"/>
      <c r="T220" s="514"/>
      <c r="U220" s="514"/>
      <c r="V220" s="514"/>
      <c r="W220" s="514"/>
      <c r="X220" s="514"/>
      <c r="Y220" s="514"/>
    </row>
    <row r="221">
      <c r="A221" s="514"/>
      <c r="B221" s="514"/>
      <c r="C221" s="514"/>
      <c r="D221" s="514"/>
      <c r="E221" s="514"/>
      <c r="F221" s="514"/>
      <c r="G221" s="514"/>
      <c r="H221" s="514"/>
      <c r="I221" s="514"/>
      <c r="J221" s="514"/>
      <c r="K221" s="514"/>
      <c r="L221" s="514"/>
      <c r="M221" s="514"/>
      <c r="N221" s="992"/>
      <c r="O221" s="992"/>
      <c r="P221" s="993"/>
      <c r="Q221" s="993"/>
      <c r="R221" s="993"/>
      <c r="S221" s="514"/>
      <c r="T221" s="514"/>
      <c r="U221" s="514"/>
      <c r="V221" s="514"/>
      <c r="W221" s="514"/>
      <c r="X221" s="514"/>
      <c r="Y221" s="514"/>
    </row>
    <row r="222">
      <c r="A222" s="514"/>
      <c r="B222" s="514"/>
      <c r="C222" s="514"/>
      <c r="D222" s="514"/>
      <c r="E222" s="514"/>
      <c r="F222" s="514"/>
      <c r="G222" s="514"/>
      <c r="H222" s="514"/>
      <c r="I222" s="514"/>
      <c r="J222" s="514"/>
      <c r="K222" s="514"/>
      <c r="L222" s="514"/>
      <c r="M222" s="514"/>
      <c r="N222" s="992"/>
      <c r="O222" s="992"/>
      <c r="P222" s="993"/>
      <c r="Q222" s="993"/>
      <c r="R222" s="993"/>
      <c r="S222" s="514"/>
      <c r="T222" s="514"/>
      <c r="U222" s="514"/>
      <c r="V222" s="514"/>
      <c r="W222" s="514"/>
      <c r="X222" s="514"/>
      <c r="Y222" s="514"/>
    </row>
    <row r="223">
      <c r="A223" s="514"/>
      <c r="B223" s="514"/>
      <c r="C223" s="514"/>
      <c r="D223" s="514"/>
      <c r="E223" s="514"/>
      <c r="F223" s="514"/>
      <c r="G223" s="514"/>
      <c r="H223" s="514"/>
      <c r="I223" s="514"/>
      <c r="J223" s="514"/>
      <c r="K223" s="514"/>
      <c r="L223" s="514"/>
      <c r="M223" s="514"/>
      <c r="N223" s="992"/>
      <c r="O223" s="992"/>
      <c r="P223" s="993"/>
      <c r="Q223" s="993"/>
      <c r="R223" s="993"/>
      <c r="S223" s="514"/>
      <c r="T223" s="514"/>
      <c r="U223" s="514"/>
      <c r="V223" s="514"/>
      <c r="W223" s="514"/>
      <c r="X223" s="514"/>
      <c r="Y223" s="514"/>
    </row>
    <row r="224">
      <c r="A224" s="514"/>
      <c r="B224" s="514"/>
      <c r="C224" s="514"/>
      <c r="D224" s="514"/>
      <c r="E224" s="514"/>
      <c r="F224" s="514"/>
      <c r="G224" s="514"/>
      <c r="H224" s="514"/>
      <c r="I224" s="514"/>
      <c r="J224" s="514"/>
      <c r="K224" s="514"/>
      <c r="L224" s="514"/>
      <c r="M224" s="514"/>
      <c r="N224" s="992"/>
      <c r="O224" s="992"/>
      <c r="P224" s="993"/>
      <c r="Q224" s="993"/>
      <c r="R224" s="993"/>
      <c r="S224" s="514"/>
      <c r="T224" s="514"/>
      <c r="U224" s="514"/>
      <c r="V224" s="514"/>
      <c r="W224" s="514"/>
      <c r="X224" s="514"/>
      <c r="Y224" s="514"/>
    </row>
    <row r="225">
      <c r="A225" s="514"/>
      <c r="B225" s="514"/>
      <c r="C225" s="514"/>
      <c r="D225" s="514"/>
      <c r="E225" s="514"/>
      <c r="F225" s="514"/>
      <c r="G225" s="514"/>
      <c r="H225" s="514"/>
      <c r="I225" s="514"/>
      <c r="J225" s="514"/>
      <c r="K225" s="514"/>
      <c r="L225" s="514"/>
      <c r="M225" s="514"/>
      <c r="N225" s="992"/>
      <c r="O225" s="992"/>
      <c r="P225" s="993"/>
      <c r="Q225" s="993"/>
      <c r="R225" s="993"/>
      <c r="S225" s="514"/>
      <c r="T225" s="514"/>
      <c r="U225" s="514"/>
      <c r="V225" s="514"/>
      <c r="W225" s="514"/>
      <c r="X225" s="514"/>
      <c r="Y225" s="514"/>
    </row>
    <row r="226">
      <c r="A226" s="514"/>
      <c r="B226" s="514"/>
      <c r="C226" s="514"/>
      <c r="D226" s="514"/>
      <c r="E226" s="514"/>
      <c r="F226" s="514"/>
      <c r="G226" s="514"/>
      <c r="H226" s="514"/>
      <c r="I226" s="514"/>
      <c r="J226" s="514"/>
      <c r="K226" s="514"/>
      <c r="L226" s="514"/>
      <c r="M226" s="514"/>
      <c r="N226" s="992"/>
      <c r="O226" s="992"/>
      <c r="P226" s="993"/>
      <c r="Q226" s="993"/>
      <c r="R226" s="993"/>
      <c r="S226" s="514"/>
      <c r="T226" s="514"/>
      <c r="U226" s="514"/>
      <c r="V226" s="514"/>
      <c r="W226" s="514"/>
      <c r="X226" s="514"/>
      <c r="Y226" s="514"/>
    </row>
    <row r="227">
      <c r="A227" s="514"/>
      <c r="B227" s="514"/>
      <c r="C227" s="514"/>
      <c r="D227" s="514"/>
      <c r="E227" s="514"/>
      <c r="F227" s="514"/>
      <c r="G227" s="514"/>
      <c r="H227" s="514"/>
      <c r="I227" s="514"/>
      <c r="J227" s="514"/>
      <c r="K227" s="514"/>
      <c r="L227" s="514"/>
      <c r="M227" s="514"/>
      <c r="N227" s="992"/>
      <c r="O227" s="992"/>
      <c r="P227" s="993"/>
      <c r="Q227" s="993"/>
      <c r="R227" s="993"/>
      <c r="S227" s="514"/>
      <c r="T227" s="514"/>
      <c r="U227" s="514"/>
      <c r="V227" s="514"/>
      <c r="W227" s="514"/>
      <c r="X227" s="514"/>
      <c r="Y227" s="514"/>
    </row>
    <row r="228">
      <c r="A228" s="514"/>
      <c r="B228" s="514"/>
      <c r="C228" s="514"/>
      <c r="D228" s="514"/>
      <c r="E228" s="514"/>
      <c r="F228" s="514"/>
      <c r="G228" s="514"/>
      <c r="H228" s="514"/>
      <c r="I228" s="514"/>
      <c r="J228" s="514"/>
      <c r="K228" s="514"/>
      <c r="L228" s="514"/>
      <c r="M228" s="514"/>
      <c r="N228" s="992"/>
      <c r="O228" s="992"/>
      <c r="P228" s="993"/>
      <c r="Q228" s="993"/>
      <c r="R228" s="993"/>
      <c r="S228" s="514"/>
      <c r="T228" s="514"/>
      <c r="U228" s="514"/>
      <c r="V228" s="514"/>
      <c r="W228" s="514"/>
      <c r="X228" s="514"/>
      <c r="Y228" s="514"/>
    </row>
    <row r="229">
      <c r="A229" s="514"/>
      <c r="B229" s="514"/>
      <c r="C229" s="514"/>
      <c r="D229" s="514"/>
      <c r="E229" s="514"/>
      <c r="F229" s="514"/>
      <c r="G229" s="514"/>
      <c r="H229" s="514"/>
      <c r="I229" s="514"/>
      <c r="J229" s="514"/>
      <c r="K229" s="514"/>
      <c r="L229" s="514"/>
      <c r="M229" s="514"/>
      <c r="N229" s="992"/>
      <c r="O229" s="992"/>
      <c r="P229" s="993"/>
      <c r="Q229" s="993"/>
      <c r="R229" s="993"/>
      <c r="S229" s="514"/>
      <c r="T229" s="514"/>
      <c r="U229" s="514"/>
      <c r="V229" s="514"/>
      <c r="W229" s="514"/>
      <c r="X229" s="514"/>
      <c r="Y229" s="514"/>
    </row>
    <row r="230">
      <c r="A230" s="514"/>
      <c r="B230" s="514"/>
      <c r="C230" s="514"/>
      <c r="D230" s="514"/>
      <c r="E230" s="514"/>
      <c r="F230" s="514"/>
      <c r="G230" s="514"/>
      <c r="H230" s="514"/>
      <c r="I230" s="514"/>
      <c r="J230" s="514"/>
      <c r="K230" s="514"/>
      <c r="L230" s="514"/>
      <c r="M230" s="514"/>
      <c r="N230" s="992"/>
      <c r="O230" s="992"/>
      <c r="P230" s="993"/>
      <c r="Q230" s="993"/>
      <c r="R230" s="993"/>
      <c r="S230" s="514"/>
      <c r="T230" s="514"/>
      <c r="U230" s="514"/>
      <c r="V230" s="514"/>
      <c r="W230" s="514"/>
      <c r="X230" s="514"/>
      <c r="Y230" s="514"/>
    </row>
    <row r="231">
      <c r="A231" s="514"/>
      <c r="B231" s="514"/>
      <c r="C231" s="514"/>
      <c r="D231" s="514"/>
      <c r="E231" s="514"/>
      <c r="F231" s="514"/>
      <c r="G231" s="514"/>
      <c r="H231" s="514"/>
      <c r="I231" s="514"/>
      <c r="J231" s="514"/>
      <c r="K231" s="514"/>
      <c r="L231" s="514"/>
      <c r="M231" s="514"/>
      <c r="N231" s="992"/>
      <c r="O231" s="992"/>
      <c r="P231" s="993"/>
      <c r="Q231" s="993"/>
      <c r="R231" s="993"/>
      <c r="S231" s="514"/>
      <c r="T231" s="514"/>
      <c r="U231" s="514"/>
      <c r="V231" s="514"/>
      <c r="W231" s="514"/>
      <c r="X231" s="514"/>
      <c r="Y231" s="514"/>
    </row>
    <row r="232">
      <c r="A232" s="514"/>
      <c r="B232" s="514"/>
      <c r="C232" s="514"/>
      <c r="D232" s="514"/>
      <c r="E232" s="514"/>
      <c r="F232" s="514"/>
      <c r="G232" s="514"/>
      <c r="H232" s="514"/>
      <c r="I232" s="514"/>
      <c r="J232" s="514"/>
      <c r="K232" s="514"/>
      <c r="L232" s="514"/>
      <c r="M232" s="514"/>
      <c r="N232" s="992"/>
      <c r="O232" s="992"/>
      <c r="P232" s="993"/>
      <c r="Q232" s="993"/>
      <c r="R232" s="993"/>
      <c r="S232" s="514"/>
      <c r="T232" s="514"/>
      <c r="U232" s="514"/>
      <c r="V232" s="514"/>
      <c r="W232" s="514"/>
      <c r="X232" s="514"/>
      <c r="Y232" s="514"/>
    </row>
    <row r="233">
      <c r="A233" s="514"/>
      <c r="B233" s="514"/>
      <c r="C233" s="514"/>
      <c r="D233" s="514"/>
      <c r="E233" s="514"/>
      <c r="F233" s="514"/>
      <c r="G233" s="514"/>
      <c r="H233" s="514"/>
      <c r="I233" s="514"/>
      <c r="J233" s="514"/>
      <c r="K233" s="514"/>
      <c r="L233" s="514"/>
      <c r="M233" s="514"/>
      <c r="N233" s="992"/>
      <c r="O233" s="992"/>
      <c r="P233" s="993"/>
      <c r="Q233" s="993"/>
      <c r="R233" s="993"/>
      <c r="S233" s="514"/>
      <c r="T233" s="514"/>
      <c r="U233" s="514"/>
      <c r="V233" s="514"/>
      <c r="W233" s="514"/>
      <c r="X233" s="514"/>
      <c r="Y233" s="514"/>
    </row>
    <row r="234">
      <c r="A234" s="514"/>
      <c r="B234" s="514"/>
      <c r="C234" s="514"/>
      <c r="D234" s="514"/>
      <c r="E234" s="514"/>
      <c r="F234" s="514"/>
      <c r="G234" s="514"/>
      <c r="H234" s="514"/>
      <c r="I234" s="514"/>
      <c r="J234" s="514"/>
      <c r="K234" s="514"/>
      <c r="L234" s="514"/>
      <c r="M234" s="514"/>
      <c r="N234" s="992"/>
      <c r="O234" s="992"/>
      <c r="P234" s="993"/>
      <c r="Q234" s="993"/>
      <c r="R234" s="993"/>
      <c r="S234" s="514"/>
      <c r="T234" s="514"/>
      <c r="U234" s="514"/>
      <c r="V234" s="514"/>
      <c r="W234" s="514"/>
      <c r="X234" s="514"/>
      <c r="Y234" s="514"/>
    </row>
    <row r="235">
      <c r="A235" s="514"/>
      <c r="B235" s="514"/>
      <c r="C235" s="514"/>
      <c r="D235" s="514"/>
      <c r="E235" s="514"/>
      <c r="F235" s="514"/>
      <c r="G235" s="514"/>
      <c r="H235" s="514"/>
      <c r="I235" s="514"/>
      <c r="J235" s="514"/>
      <c r="K235" s="514"/>
      <c r="L235" s="514"/>
      <c r="M235" s="514"/>
      <c r="N235" s="992"/>
      <c r="O235" s="992"/>
      <c r="P235" s="993"/>
      <c r="Q235" s="993"/>
      <c r="R235" s="993"/>
      <c r="S235" s="514"/>
      <c r="T235" s="514"/>
      <c r="U235" s="514"/>
      <c r="V235" s="514"/>
      <c r="W235" s="514"/>
      <c r="X235" s="514"/>
      <c r="Y235" s="514"/>
    </row>
    <row r="236">
      <c r="A236" s="514"/>
      <c r="B236" s="514"/>
      <c r="C236" s="514"/>
      <c r="D236" s="514"/>
      <c r="E236" s="514"/>
      <c r="F236" s="514"/>
      <c r="G236" s="514"/>
      <c r="H236" s="514"/>
      <c r="I236" s="514"/>
      <c r="J236" s="514"/>
      <c r="K236" s="514"/>
      <c r="L236" s="514"/>
      <c r="M236" s="514"/>
      <c r="N236" s="992"/>
      <c r="O236" s="992"/>
      <c r="P236" s="993"/>
      <c r="Q236" s="993"/>
      <c r="R236" s="993"/>
      <c r="S236" s="514"/>
      <c r="T236" s="514"/>
      <c r="U236" s="514"/>
      <c r="V236" s="514"/>
      <c r="W236" s="514"/>
      <c r="X236" s="514"/>
      <c r="Y236" s="514"/>
    </row>
    <row r="237">
      <c r="A237" s="514"/>
      <c r="B237" s="514"/>
      <c r="C237" s="514"/>
      <c r="D237" s="514"/>
      <c r="E237" s="514"/>
      <c r="F237" s="514"/>
      <c r="G237" s="514"/>
      <c r="H237" s="514"/>
      <c r="I237" s="514"/>
      <c r="J237" s="514"/>
      <c r="K237" s="514"/>
      <c r="L237" s="514"/>
      <c r="M237" s="514"/>
      <c r="N237" s="992"/>
      <c r="O237" s="992"/>
      <c r="P237" s="993"/>
      <c r="Q237" s="993"/>
      <c r="R237" s="993"/>
      <c r="S237" s="514"/>
      <c r="T237" s="514"/>
      <c r="U237" s="514"/>
      <c r="V237" s="514"/>
      <c r="W237" s="514"/>
      <c r="X237" s="514"/>
      <c r="Y237" s="514"/>
    </row>
    <row r="238">
      <c r="A238" s="514"/>
      <c r="B238" s="514"/>
      <c r="C238" s="514"/>
      <c r="D238" s="514"/>
      <c r="E238" s="514"/>
      <c r="F238" s="514"/>
      <c r="G238" s="514"/>
      <c r="H238" s="514"/>
      <c r="I238" s="514"/>
      <c r="J238" s="514"/>
      <c r="K238" s="514"/>
      <c r="L238" s="514"/>
      <c r="M238" s="514"/>
      <c r="N238" s="992"/>
      <c r="O238" s="992"/>
      <c r="P238" s="993"/>
      <c r="Q238" s="993"/>
      <c r="R238" s="993"/>
      <c r="S238" s="514"/>
      <c r="T238" s="514"/>
      <c r="U238" s="514"/>
      <c r="V238" s="514"/>
      <c r="W238" s="514"/>
      <c r="X238" s="514"/>
      <c r="Y238" s="514"/>
    </row>
    <row r="239">
      <c r="A239" s="514"/>
      <c r="B239" s="514"/>
      <c r="C239" s="514"/>
      <c r="D239" s="514"/>
      <c r="E239" s="514"/>
      <c r="F239" s="514"/>
      <c r="G239" s="514"/>
      <c r="H239" s="514"/>
      <c r="I239" s="514"/>
      <c r="J239" s="514"/>
      <c r="K239" s="514"/>
      <c r="L239" s="514"/>
      <c r="M239" s="514"/>
      <c r="N239" s="992"/>
      <c r="O239" s="992"/>
      <c r="P239" s="993"/>
      <c r="Q239" s="993"/>
      <c r="R239" s="993"/>
      <c r="S239" s="514"/>
      <c r="T239" s="514"/>
      <c r="U239" s="514"/>
      <c r="V239" s="514"/>
      <c r="W239" s="514"/>
      <c r="X239" s="514"/>
      <c r="Y239" s="514"/>
    </row>
    <row r="240">
      <c r="A240" s="514"/>
      <c r="B240" s="514"/>
      <c r="C240" s="514"/>
      <c r="D240" s="514"/>
      <c r="E240" s="514"/>
      <c r="F240" s="514"/>
      <c r="G240" s="514"/>
      <c r="H240" s="514"/>
      <c r="I240" s="514"/>
      <c r="J240" s="514"/>
      <c r="K240" s="514"/>
      <c r="L240" s="514"/>
      <c r="M240" s="514"/>
      <c r="N240" s="992"/>
      <c r="O240" s="992"/>
      <c r="P240" s="993"/>
      <c r="Q240" s="993"/>
      <c r="R240" s="993"/>
      <c r="S240" s="514"/>
      <c r="T240" s="514"/>
      <c r="U240" s="514"/>
      <c r="V240" s="514"/>
      <c r="W240" s="514"/>
      <c r="X240" s="514"/>
      <c r="Y240" s="514"/>
    </row>
    <row r="241">
      <c r="A241" s="514"/>
      <c r="B241" s="514"/>
      <c r="C241" s="514"/>
      <c r="D241" s="514"/>
      <c r="E241" s="514"/>
      <c r="F241" s="514"/>
      <c r="G241" s="514"/>
      <c r="H241" s="514"/>
      <c r="I241" s="514"/>
      <c r="J241" s="514"/>
      <c r="K241" s="514"/>
      <c r="L241" s="514"/>
      <c r="M241" s="514"/>
      <c r="N241" s="992"/>
      <c r="O241" s="992"/>
      <c r="P241" s="993"/>
      <c r="Q241" s="993"/>
      <c r="R241" s="993"/>
      <c r="S241" s="514"/>
      <c r="T241" s="514"/>
      <c r="U241" s="514"/>
      <c r="V241" s="514"/>
      <c r="W241" s="514"/>
      <c r="X241" s="514"/>
      <c r="Y241" s="514"/>
    </row>
    <row r="242">
      <c r="A242" s="514"/>
      <c r="B242" s="514"/>
      <c r="C242" s="514"/>
      <c r="D242" s="514"/>
      <c r="E242" s="514"/>
      <c r="F242" s="514"/>
      <c r="G242" s="514"/>
      <c r="H242" s="514"/>
      <c r="I242" s="514"/>
      <c r="J242" s="514"/>
      <c r="K242" s="514"/>
      <c r="L242" s="514"/>
      <c r="M242" s="514"/>
      <c r="N242" s="992"/>
      <c r="O242" s="992"/>
      <c r="P242" s="993"/>
      <c r="Q242" s="993"/>
      <c r="R242" s="993"/>
      <c r="S242" s="514"/>
      <c r="T242" s="514"/>
      <c r="U242" s="514"/>
      <c r="V242" s="514"/>
      <c r="W242" s="514"/>
      <c r="X242" s="514"/>
      <c r="Y242" s="514"/>
    </row>
    <row r="243">
      <c r="A243" s="514"/>
      <c r="B243" s="514"/>
      <c r="C243" s="514"/>
      <c r="D243" s="514"/>
      <c r="E243" s="514"/>
      <c r="F243" s="514"/>
      <c r="G243" s="514"/>
      <c r="H243" s="514"/>
      <c r="I243" s="514"/>
      <c r="J243" s="514"/>
      <c r="K243" s="514"/>
      <c r="L243" s="514"/>
      <c r="M243" s="514"/>
      <c r="N243" s="992"/>
      <c r="O243" s="992"/>
      <c r="P243" s="993"/>
      <c r="Q243" s="993"/>
      <c r="R243" s="993"/>
      <c r="S243" s="514"/>
      <c r="T243" s="514"/>
      <c r="U243" s="514"/>
      <c r="V243" s="514"/>
      <c r="W243" s="514"/>
      <c r="X243" s="514"/>
      <c r="Y243" s="514"/>
    </row>
    <row r="244">
      <c r="A244" s="514"/>
      <c r="B244" s="514"/>
      <c r="C244" s="514"/>
      <c r="D244" s="514"/>
      <c r="E244" s="514"/>
      <c r="F244" s="514"/>
      <c r="G244" s="514"/>
      <c r="H244" s="514"/>
      <c r="I244" s="514"/>
      <c r="J244" s="514"/>
      <c r="K244" s="514"/>
      <c r="L244" s="514"/>
      <c r="M244" s="514"/>
      <c r="N244" s="992"/>
      <c r="O244" s="992"/>
      <c r="P244" s="993"/>
      <c r="Q244" s="993"/>
      <c r="R244" s="993"/>
      <c r="S244" s="514"/>
      <c r="T244" s="514"/>
      <c r="U244" s="514"/>
      <c r="V244" s="514"/>
      <c r="W244" s="514"/>
      <c r="X244" s="514"/>
      <c r="Y244" s="514"/>
    </row>
    <row r="245">
      <c r="A245" s="514"/>
      <c r="B245" s="514"/>
      <c r="C245" s="514"/>
      <c r="D245" s="514"/>
      <c r="E245" s="514"/>
      <c r="F245" s="514"/>
      <c r="G245" s="514"/>
      <c r="H245" s="514"/>
      <c r="I245" s="514"/>
      <c r="J245" s="514"/>
      <c r="K245" s="514"/>
      <c r="L245" s="514"/>
      <c r="M245" s="514"/>
      <c r="N245" s="992"/>
      <c r="O245" s="992"/>
      <c r="P245" s="993"/>
      <c r="Q245" s="993"/>
      <c r="R245" s="993"/>
      <c r="S245" s="514"/>
      <c r="T245" s="514"/>
      <c r="U245" s="514"/>
      <c r="V245" s="514"/>
      <c r="W245" s="514"/>
      <c r="X245" s="514"/>
      <c r="Y245" s="514"/>
    </row>
    <row r="246">
      <c r="A246" s="514"/>
      <c r="B246" s="514"/>
      <c r="C246" s="514"/>
      <c r="D246" s="514"/>
      <c r="E246" s="514"/>
      <c r="F246" s="514"/>
      <c r="G246" s="514"/>
      <c r="H246" s="514"/>
      <c r="I246" s="514"/>
      <c r="J246" s="514"/>
      <c r="K246" s="514"/>
      <c r="L246" s="514"/>
      <c r="M246" s="514"/>
      <c r="N246" s="992"/>
      <c r="O246" s="992"/>
      <c r="P246" s="993"/>
      <c r="Q246" s="993"/>
      <c r="R246" s="993"/>
      <c r="S246" s="514"/>
      <c r="T246" s="514"/>
      <c r="U246" s="514"/>
      <c r="V246" s="514"/>
      <c r="W246" s="514"/>
      <c r="X246" s="514"/>
      <c r="Y246" s="514"/>
    </row>
    <row r="247">
      <c r="A247" s="514"/>
      <c r="B247" s="514"/>
      <c r="C247" s="514"/>
      <c r="D247" s="514"/>
      <c r="E247" s="514"/>
      <c r="F247" s="514"/>
      <c r="G247" s="514"/>
      <c r="H247" s="514"/>
      <c r="I247" s="514"/>
      <c r="J247" s="514"/>
      <c r="K247" s="514"/>
      <c r="L247" s="514"/>
      <c r="M247" s="514"/>
      <c r="N247" s="992"/>
      <c r="O247" s="992"/>
      <c r="P247" s="993"/>
      <c r="Q247" s="993"/>
      <c r="R247" s="993"/>
      <c r="S247" s="514"/>
      <c r="T247" s="514"/>
      <c r="U247" s="514"/>
      <c r="V247" s="514"/>
      <c r="W247" s="514"/>
      <c r="X247" s="514"/>
      <c r="Y247" s="514"/>
    </row>
    <row r="248">
      <c r="A248" s="514"/>
      <c r="B248" s="514"/>
      <c r="C248" s="514"/>
      <c r="D248" s="514"/>
      <c r="E248" s="514"/>
      <c r="F248" s="514"/>
      <c r="G248" s="514"/>
      <c r="H248" s="514"/>
      <c r="I248" s="514"/>
      <c r="J248" s="514"/>
      <c r="K248" s="514"/>
      <c r="L248" s="514"/>
      <c r="M248" s="514"/>
      <c r="N248" s="992"/>
      <c r="O248" s="992"/>
      <c r="P248" s="993"/>
      <c r="Q248" s="993"/>
      <c r="R248" s="993"/>
      <c r="S248" s="514"/>
      <c r="T248" s="514"/>
      <c r="U248" s="514"/>
      <c r="V248" s="514"/>
      <c r="W248" s="514"/>
      <c r="X248" s="514"/>
      <c r="Y248" s="514"/>
    </row>
    <row r="249">
      <c r="A249" s="514"/>
      <c r="B249" s="514"/>
      <c r="C249" s="514"/>
      <c r="D249" s="514"/>
      <c r="E249" s="514"/>
      <c r="F249" s="514"/>
      <c r="G249" s="514"/>
      <c r="H249" s="514"/>
      <c r="I249" s="514"/>
      <c r="J249" s="514"/>
      <c r="K249" s="514"/>
      <c r="L249" s="514"/>
      <c r="M249" s="514"/>
      <c r="N249" s="992"/>
      <c r="O249" s="992"/>
      <c r="P249" s="993"/>
      <c r="Q249" s="993"/>
      <c r="R249" s="993"/>
      <c r="S249" s="514"/>
      <c r="T249" s="514"/>
      <c r="U249" s="514"/>
      <c r="V249" s="514"/>
      <c r="W249" s="514"/>
      <c r="X249" s="514"/>
      <c r="Y249" s="514"/>
    </row>
    <row r="250">
      <c r="A250" s="514"/>
      <c r="B250" s="514"/>
      <c r="C250" s="514"/>
      <c r="D250" s="514"/>
      <c r="E250" s="514"/>
      <c r="F250" s="514"/>
      <c r="G250" s="514"/>
      <c r="H250" s="514"/>
      <c r="I250" s="514"/>
      <c r="J250" s="514"/>
      <c r="K250" s="514"/>
      <c r="L250" s="514"/>
      <c r="M250" s="514"/>
      <c r="N250" s="992"/>
      <c r="O250" s="992"/>
      <c r="P250" s="993"/>
      <c r="Q250" s="993"/>
      <c r="R250" s="993"/>
      <c r="S250" s="514"/>
      <c r="T250" s="514"/>
      <c r="U250" s="514"/>
      <c r="V250" s="514"/>
      <c r="W250" s="514"/>
      <c r="X250" s="514"/>
      <c r="Y250" s="514"/>
    </row>
    <row r="251">
      <c r="A251" s="514"/>
      <c r="B251" s="514"/>
      <c r="C251" s="514"/>
      <c r="D251" s="514"/>
      <c r="E251" s="514"/>
      <c r="F251" s="514"/>
      <c r="G251" s="514"/>
      <c r="H251" s="514"/>
      <c r="I251" s="514"/>
      <c r="J251" s="514"/>
      <c r="K251" s="514"/>
      <c r="L251" s="514"/>
      <c r="M251" s="514"/>
      <c r="N251" s="992"/>
      <c r="O251" s="992"/>
      <c r="P251" s="993"/>
      <c r="Q251" s="993"/>
      <c r="R251" s="993"/>
      <c r="S251" s="514"/>
      <c r="T251" s="514"/>
      <c r="U251" s="514"/>
      <c r="V251" s="514"/>
      <c r="W251" s="514"/>
      <c r="X251" s="514"/>
      <c r="Y251" s="514"/>
    </row>
    <row r="252">
      <c r="A252" s="514"/>
      <c r="B252" s="514"/>
      <c r="C252" s="514"/>
      <c r="D252" s="514"/>
      <c r="E252" s="514"/>
      <c r="F252" s="514"/>
      <c r="G252" s="514"/>
      <c r="H252" s="514"/>
      <c r="I252" s="514"/>
      <c r="J252" s="514"/>
      <c r="K252" s="514"/>
      <c r="L252" s="514"/>
      <c r="M252" s="514"/>
      <c r="N252" s="992"/>
      <c r="O252" s="992"/>
      <c r="P252" s="993"/>
      <c r="Q252" s="993"/>
      <c r="R252" s="993"/>
      <c r="S252" s="514"/>
      <c r="T252" s="514"/>
      <c r="U252" s="514"/>
      <c r="V252" s="514"/>
      <c r="W252" s="514"/>
      <c r="X252" s="514"/>
      <c r="Y252" s="514"/>
    </row>
    <row r="253">
      <c r="A253" s="514"/>
      <c r="B253" s="514"/>
      <c r="C253" s="514"/>
      <c r="D253" s="514"/>
      <c r="E253" s="514"/>
      <c r="F253" s="514"/>
      <c r="G253" s="514"/>
      <c r="H253" s="514"/>
      <c r="I253" s="514"/>
      <c r="J253" s="514"/>
      <c r="K253" s="514"/>
      <c r="L253" s="514"/>
      <c r="M253" s="514"/>
      <c r="N253" s="992"/>
      <c r="O253" s="992"/>
      <c r="P253" s="993"/>
      <c r="Q253" s="993"/>
      <c r="R253" s="993"/>
      <c r="S253" s="514"/>
      <c r="T253" s="514"/>
      <c r="U253" s="514"/>
      <c r="V253" s="514"/>
      <c r="W253" s="514"/>
      <c r="X253" s="514"/>
      <c r="Y253" s="514"/>
    </row>
    <row r="254">
      <c r="A254" s="514"/>
      <c r="B254" s="514"/>
      <c r="C254" s="514"/>
      <c r="D254" s="514"/>
      <c r="E254" s="514"/>
      <c r="F254" s="514"/>
      <c r="G254" s="514"/>
      <c r="H254" s="514"/>
      <c r="I254" s="514"/>
      <c r="J254" s="514"/>
      <c r="K254" s="514"/>
      <c r="L254" s="514"/>
      <c r="M254" s="514"/>
      <c r="N254" s="992"/>
      <c r="O254" s="992"/>
      <c r="P254" s="993"/>
      <c r="Q254" s="993"/>
      <c r="R254" s="993"/>
      <c r="S254" s="514"/>
      <c r="T254" s="514"/>
      <c r="U254" s="514"/>
      <c r="V254" s="514"/>
      <c r="W254" s="514"/>
      <c r="X254" s="514"/>
      <c r="Y254" s="514"/>
    </row>
    <row r="255">
      <c r="A255" s="514"/>
      <c r="B255" s="514"/>
      <c r="C255" s="514"/>
      <c r="D255" s="514"/>
      <c r="E255" s="514"/>
      <c r="F255" s="514"/>
      <c r="G255" s="514"/>
      <c r="H255" s="514"/>
      <c r="I255" s="514"/>
      <c r="J255" s="514"/>
      <c r="K255" s="514"/>
      <c r="L255" s="514"/>
      <c r="M255" s="514"/>
      <c r="N255" s="992"/>
      <c r="O255" s="992"/>
      <c r="P255" s="993"/>
      <c r="Q255" s="993"/>
      <c r="R255" s="993"/>
      <c r="S255" s="514"/>
      <c r="T255" s="514"/>
      <c r="U255" s="514"/>
      <c r="V255" s="514"/>
      <c r="W255" s="514"/>
      <c r="X255" s="514"/>
      <c r="Y255" s="514"/>
    </row>
    <row r="256">
      <c r="A256" s="514"/>
      <c r="B256" s="514"/>
      <c r="C256" s="514"/>
      <c r="D256" s="514"/>
      <c r="E256" s="514"/>
      <c r="F256" s="514"/>
      <c r="G256" s="514"/>
      <c r="H256" s="514"/>
      <c r="I256" s="514"/>
      <c r="J256" s="514"/>
      <c r="K256" s="514"/>
      <c r="L256" s="514"/>
      <c r="M256" s="514"/>
      <c r="N256" s="992"/>
      <c r="O256" s="992"/>
      <c r="P256" s="993"/>
      <c r="Q256" s="993"/>
      <c r="R256" s="993"/>
      <c r="S256" s="514"/>
      <c r="T256" s="514"/>
      <c r="U256" s="514"/>
      <c r="V256" s="514"/>
      <c r="W256" s="514"/>
      <c r="X256" s="514"/>
      <c r="Y256" s="514"/>
    </row>
    <row r="257">
      <c r="A257" s="514"/>
      <c r="B257" s="514"/>
      <c r="C257" s="514"/>
      <c r="D257" s="514"/>
      <c r="E257" s="514"/>
      <c r="F257" s="514"/>
      <c r="G257" s="514"/>
      <c r="H257" s="514"/>
      <c r="I257" s="514"/>
      <c r="J257" s="514"/>
      <c r="K257" s="514"/>
      <c r="L257" s="514"/>
      <c r="M257" s="514"/>
      <c r="N257" s="992"/>
      <c r="O257" s="992"/>
      <c r="P257" s="993"/>
      <c r="Q257" s="993"/>
      <c r="R257" s="993"/>
      <c r="S257" s="514"/>
      <c r="T257" s="514"/>
      <c r="U257" s="514"/>
      <c r="V257" s="514"/>
      <c r="W257" s="514"/>
      <c r="X257" s="514"/>
      <c r="Y257" s="514"/>
    </row>
    <row r="258">
      <c r="A258" s="514"/>
      <c r="B258" s="514"/>
      <c r="C258" s="514"/>
      <c r="D258" s="514"/>
      <c r="E258" s="514"/>
      <c r="F258" s="514"/>
      <c r="G258" s="514"/>
      <c r="H258" s="514"/>
      <c r="I258" s="514"/>
      <c r="J258" s="514"/>
      <c r="K258" s="514"/>
      <c r="L258" s="514"/>
      <c r="M258" s="514"/>
      <c r="N258" s="992"/>
      <c r="O258" s="992"/>
      <c r="P258" s="993"/>
      <c r="Q258" s="993"/>
      <c r="R258" s="993"/>
      <c r="S258" s="514"/>
      <c r="T258" s="514"/>
      <c r="U258" s="514"/>
      <c r="V258" s="514"/>
      <c r="W258" s="514"/>
      <c r="X258" s="514"/>
      <c r="Y258" s="514"/>
    </row>
    <row r="259">
      <c r="A259" s="514"/>
      <c r="B259" s="514"/>
      <c r="C259" s="514"/>
      <c r="D259" s="514"/>
      <c r="E259" s="514"/>
      <c r="F259" s="514"/>
      <c r="G259" s="514"/>
      <c r="H259" s="514"/>
      <c r="I259" s="514"/>
      <c r="J259" s="514"/>
      <c r="K259" s="514"/>
      <c r="L259" s="514"/>
      <c r="M259" s="514"/>
      <c r="N259" s="992"/>
      <c r="O259" s="992"/>
      <c r="P259" s="993"/>
      <c r="Q259" s="993"/>
      <c r="R259" s="993"/>
      <c r="S259" s="514"/>
      <c r="T259" s="514"/>
      <c r="U259" s="514"/>
      <c r="V259" s="514"/>
      <c r="W259" s="514"/>
      <c r="X259" s="514"/>
      <c r="Y259" s="514"/>
    </row>
    <row r="260">
      <c r="A260" s="514"/>
      <c r="B260" s="514"/>
      <c r="C260" s="514"/>
      <c r="D260" s="514"/>
      <c r="E260" s="514"/>
      <c r="F260" s="514"/>
      <c r="G260" s="514"/>
      <c r="H260" s="514"/>
      <c r="I260" s="514"/>
      <c r="J260" s="514"/>
      <c r="K260" s="514"/>
      <c r="L260" s="514"/>
      <c r="M260" s="514"/>
      <c r="N260" s="992"/>
      <c r="O260" s="992"/>
      <c r="P260" s="993"/>
      <c r="Q260" s="993"/>
      <c r="R260" s="993"/>
      <c r="S260" s="514"/>
      <c r="T260" s="514"/>
      <c r="U260" s="514"/>
      <c r="V260" s="514"/>
      <c r="W260" s="514"/>
      <c r="X260" s="514"/>
      <c r="Y260" s="514"/>
    </row>
    <row r="261">
      <c r="A261" s="514"/>
      <c r="B261" s="514"/>
      <c r="C261" s="514"/>
      <c r="D261" s="514"/>
      <c r="E261" s="514"/>
      <c r="F261" s="514"/>
      <c r="G261" s="514"/>
      <c r="H261" s="514"/>
      <c r="I261" s="514"/>
      <c r="J261" s="514"/>
      <c r="K261" s="514"/>
      <c r="L261" s="514"/>
      <c r="M261" s="514"/>
      <c r="N261" s="992"/>
      <c r="O261" s="992"/>
      <c r="P261" s="993"/>
      <c r="Q261" s="993"/>
      <c r="R261" s="993"/>
      <c r="S261" s="514"/>
      <c r="T261" s="514"/>
      <c r="U261" s="514"/>
      <c r="V261" s="514"/>
      <c r="W261" s="514"/>
      <c r="X261" s="514"/>
      <c r="Y261" s="514"/>
    </row>
    <row r="262">
      <c r="A262" s="514"/>
      <c r="B262" s="514"/>
      <c r="C262" s="514"/>
      <c r="D262" s="514"/>
      <c r="E262" s="514"/>
      <c r="F262" s="514"/>
      <c r="G262" s="514"/>
      <c r="H262" s="514"/>
      <c r="I262" s="514"/>
      <c r="J262" s="514"/>
      <c r="K262" s="514"/>
      <c r="L262" s="514"/>
      <c r="M262" s="514"/>
      <c r="N262" s="992"/>
      <c r="O262" s="992"/>
      <c r="P262" s="993"/>
      <c r="Q262" s="993"/>
      <c r="R262" s="993"/>
      <c r="S262" s="514"/>
      <c r="T262" s="514"/>
      <c r="U262" s="514"/>
      <c r="V262" s="514"/>
      <c r="W262" s="514"/>
      <c r="X262" s="514"/>
      <c r="Y262" s="514"/>
    </row>
    <row r="263">
      <c r="A263" s="514"/>
      <c r="B263" s="514"/>
      <c r="C263" s="514"/>
      <c r="D263" s="514"/>
      <c r="E263" s="514"/>
      <c r="F263" s="514"/>
      <c r="G263" s="514"/>
      <c r="H263" s="514"/>
      <c r="I263" s="514"/>
      <c r="J263" s="514"/>
      <c r="K263" s="514"/>
      <c r="L263" s="514"/>
      <c r="M263" s="514"/>
      <c r="N263" s="992"/>
      <c r="O263" s="992"/>
      <c r="P263" s="993"/>
      <c r="Q263" s="993"/>
      <c r="R263" s="993"/>
      <c r="S263" s="514"/>
      <c r="T263" s="514"/>
      <c r="U263" s="514"/>
      <c r="V263" s="514"/>
      <c r="W263" s="514"/>
      <c r="X263" s="514"/>
      <c r="Y263" s="514"/>
    </row>
    <row r="264">
      <c r="A264" s="514"/>
      <c r="B264" s="514"/>
      <c r="C264" s="514"/>
      <c r="D264" s="514"/>
      <c r="E264" s="514"/>
      <c r="F264" s="514"/>
      <c r="G264" s="514"/>
      <c r="H264" s="514"/>
      <c r="I264" s="514"/>
      <c r="J264" s="514"/>
      <c r="K264" s="514"/>
      <c r="L264" s="514"/>
      <c r="M264" s="514"/>
      <c r="N264" s="992"/>
      <c r="O264" s="992"/>
      <c r="P264" s="993"/>
      <c r="Q264" s="993"/>
      <c r="R264" s="993"/>
      <c r="S264" s="514"/>
      <c r="T264" s="514"/>
      <c r="U264" s="514"/>
      <c r="V264" s="514"/>
      <c r="W264" s="514"/>
      <c r="X264" s="514"/>
      <c r="Y264" s="514"/>
    </row>
    <row r="265">
      <c r="A265" s="514"/>
      <c r="B265" s="514"/>
      <c r="C265" s="514"/>
      <c r="D265" s="514"/>
      <c r="E265" s="514"/>
      <c r="F265" s="514"/>
      <c r="G265" s="514"/>
      <c r="H265" s="514"/>
      <c r="I265" s="514"/>
      <c r="J265" s="514"/>
      <c r="K265" s="514"/>
      <c r="L265" s="514"/>
      <c r="M265" s="514"/>
      <c r="N265" s="992"/>
      <c r="O265" s="992"/>
      <c r="P265" s="993"/>
      <c r="Q265" s="993"/>
      <c r="R265" s="993"/>
      <c r="S265" s="514"/>
      <c r="T265" s="514"/>
      <c r="U265" s="514"/>
      <c r="V265" s="514"/>
      <c r="W265" s="514"/>
      <c r="X265" s="514"/>
      <c r="Y265" s="514"/>
    </row>
    <row r="266">
      <c r="A266" s="514"/>
      <c r="B266" s="514"/>
      <c r="C266" s="514"/>
      <c r="D266" s="514"/>
      <c r="E266" s="514"/>
      <c r="F266" s="514"/>
      <c r="G266" s="514"/>
      <c r="H266" s="514"/>
      <c r="I266" s="514"/>
      <c r="J266" s="514"/>
      <c r="K266" s="514"/>
      <c r="L266" s="514"/>
      <c r="M266" s="514"/>
      <c r="N266" s="992"/>
      <c r="O266" s="992"/>
      <c r="P266" s="993"/>
      <c r="Q266" s="993"/>
      <c r="R266" s="993"/>
      <c r="S266" s="514"/>
      <c r="T266" s="514"/>
      <c r="U266" s="514"/>
      <c r="V266" s="514"/>
      <c r="W266" s="514"/>
      <c r="X266" s="514"/>
      <c r="Y266" s="514"/>
    </row>
    <row r="267">
      <c r="A267" s="514"/>
      <c r="B267" s="514"/>
      <c r="C267" s="514"/>
      <c r="D267" s="514"/>
      <c r="E267" s="514"/>
      <c r="F267" s="514"/>
      <c r="G267" s="514"/>
      <c r="H267" s="514"/>
      <c r="I267" s="514"/>
      <c r="J267" s="514"/>
      <c r="K267" s="514"/>
      <c r="L267" s="514"/>
      <c r="M267" s="514"/>
      <c r="N267" s="992"/>
      <c r="O267" s="992"/>
      <c r="P267" s="993"/>
      <c r="Q267" s="993"/>
      <c r="R267" s="993"/>
      <c r="S267" s="514"/>
      <c r="T267" s="514"/>
      <c r="U267" s="514"/>
      <c r="V267" s="514"/>
      <c r="W267" s="514"/>
      <c r="X267" s="514"/>
      <c r="Y267" s="514"/>
    </row>
    <row r="268">
      <c r="A268" s="514"/>
      <c r="B268" s="514"/>
      <c r="C268" s="514"/>
      <c r="D268" s="514"/>
      <c r="E268" s="514"/>
      <c r="F268" s="514"/>
      <c r="G268" s="514"/>
      <c r="H268" s="514"/>
      <c r="I268" s="514"/>
      <c r="J268" s="514"/>
      <c r="K268" s="514"/>
      <c r="L268" s="514"/>
      <c r="M268" s="514"/>
      <c r="N268" s="992"/>
      <c r="O268" s="992"/>
      <c r="P268" s="993"/>
      <c r="Q268" s="993"/>
      <c r="R268" s="993"/>
      <c r="S268" s="514"/>
      <c r="T268" s="514"/>
      <c r="U268" s="514"/>
      <c r="V268" s="514"/>
      <c r="W268" s="514"/>
      <c r="X268" s="514"/>
      <c r="Y268" s="514"/>
    </row>
    <row r="269">
      <c r="A269" s="514"/>
      <c r="B269" s="514"/>
      <c r="C269" s="514"/>
      <c r="D269" s="514"/>
      <c r="E269" s="514"/>
      <c r="F269" s="514"/>
      <c r="G269" s="514"/>
      <c r="H269" s="514"/>
      <c r="I269" s="514"/>
      <c r="J269" s="514"/>
      <c r="K269" s="514"/>
      <c r="L269" s="514"/>
      <c r="M269" s="514"/>
      <c r="N269" s="992"/>
      <c r="O269" s="992"/>
      <c r="P269" s="993"/>
      <c r="Q269" s="993"/>
      <c r="R269" s="993"/>
      <c r="S269" s="514"/>
      <c r="T269" s="514"/>
      <c r="U269" s="514"/>
      <c r="V269" s="514"/>
      <c r="W269" s="514"/>
      <c r="X269" s="514"/>
      <c r="Y269" s="514"/>
    </row>
    <row r="270">
      <c r="A270" s="514"/>
      <c r="B270" s="514"/>
      <c r="C270" s="514"/>
      <c r="D270" s="514"/>
      <c r="E270" s="514"/>
      <c r="F270" s="514"/>
      <c r="G270" s="514"/>
      <c r="H270" s="514"/>
      <c r="I270" s="514"/>
      <c r="J270" s="514"/>
      <c r="K270" s="514"/>
      <c r="L270" s="514"/>
      <c r="M270" s="514"/>
      <c r="N270" s="992"/>
      <c r="O270" s="992"/>
      <c r="P270" s="993"/>
      <c r="Q270" s="993"/>
      <c r="R270" s="993"/>
      <c r="S270" s="514"/>
      <c r="T270" s="514"/>
      <c r="U270" s="514"/>
      <c r="V270" s="514"/>
      <c r="W270" s="514"/>
      <c r="X270" s="514"/>
      <c r="Y270" s="514"/>
    </row>
    <row r="271">
      <c r="A271" s="514"/>
      <c r="B271" s="514"/>
      <c r="C271" s="514"/>
      <c r="D271" s="514"/>
      <c r="E271" s="514"/>
      <c r="F271" s="514"/>
      <c r="G271" s="514"/>
      <c r="H271" s="514"/>
      <c r="I271" s="514"/>
      <c r="J271" s="514"/>
      <c r="K271" s="514"/>
      <c r="L271" s="514"/>
      <c r="M271" s="514"/>
      <c r="N271" s="992"/>
      <c r="O271" s="992"/>
      <c r="P271" s="993"/>
      <c r="Q271" s="993"/>
      <c r="R271" s="993"/>
      <c r="S271" s="514"/>
      <c r="T271" s="514"/>
      <c r="U271" s="514"/>
      <c r="V271" s="514"/>
      <c r="W271" s="514"/>
      <c r="X271" s="514"/>
      <c r="Y271" s="514"/>
    </row>
    <row r="272">
      <c r="A272" s="514"/>
      <c r="B272" s="514"/>
      <c r="C272" s="514"/>
      <c r="D272" s="514"/>
      <c r="E272" s="514"/>
      <c r="F272" s="514"/>
      <c r="G272" s="514"/>
      <c r="H272" s="514"/>
      <c r="I272" s="514"/>
      <c r="J272" s="514"/>
      <c r="K272" s="514"/>
      <c r="L272" s="514"/>
      <c r="M272" s="514"/>
      <c r="N272" s="992"/>
      <c r="O272" s="992"/>
      <c r="P272" s="993"/>
      <c r="Q272" s="993"/>
      <c r="R272" s="993"/>
      <c r="S272" s="514"/>
      <c r="T272" s="514"/>
      <c r="U272" s="514"/>
      <c r="V272" s="514"/>
      <c r="W272" s="514"/>
      <c r="X272" s="514"/>
      <c r="Y272" s="514"/>
    </row>
    <row r="273">
      <c r="A273" s="514"/>
      <c r="B273" s="514"/>
      <c r="C273" s="514"/>
      <c r="D273" s="514"/>
      <c r="E273" s="514"/>
      <c r="F273" s="514"/>
      <c r="G273" s="514"/>
      <c r="H273" s="514"/>
      <c r="I273" s="514"/>
      <c r="J273" s="514"/>
      <c r="K273" s="514"/>
      <c r="L273" s="514"/>
      <c r="M273" s="514"/>
      <c r="N273" s="992"/>
      <c r="O273" s="992"/>
      <c r="P273" s="993"/>
      <c r="Q273" s="993"/>
      <c r="R273" s="993"/>
      <c r="S273" s="514"/>
      <c r="T273" s="514"/>
      <c r="U273" s="514"/>
      <c r="V273" s="514"/>
      <c r="W273" s="514"/>
      <c r="X273" s="514"/>
      <c r="Y273" s="514"/>
    </row>
    <row r="274">
      <c r="A274" s="514"/>
      <c r="B274" s="514"/>
      <c r="C274" s="514"/>
      <c r="D274" s="514"/>
      <c r="E274" s="514"/>
      <c r="F274" s="514"/>
      <c r="G274" s="514"/>
      <c r="H274" s="514"/>
      <c r="I274" s="514"/>
      <c r="J274" s="514"/>
      <c r="K274" s="514"/>
      <c r="L274" s="514"/>
      <c r="M274" s="514"/>
      <c r="N274" s="992"/>
      <c r="O274" s="992"/>
      <c r="P274" s="993"/>
      <c r="Q274" s="993"/>
      <c r="R274" s="993"/>
      <c r="S274" s="514"/>
      <c r="T274" s="514"/>
      <c r="U274" s="514"/>
      <c r="V274" s="514"/>
      <c r="W274" s="514"/>
      <c r="X274" s="514"/>
      <c r="Y274" s="514"/>
    </row>
    <row r="275">
      <c r="A275" s="514"/>
      <c r="B275" s="514"/>
      <c r="C275" s="514"/>
      <c r="D275" s="514"/>
      <c r="E275" s="514"/>
      <c r="F275" s="514"/>
      <c r="G275" s="514"/>
      <c r="H275" s="514"/>
      <c r="I275" s="514"/>
      <c r="J275" s="514"/>
      <c r="K275" s="514"/>
      <c r="L275" s="514"/>
      <c r="M275" s="514"/>
      <c r="N275" s="992"/>
      <c r="O275" s="992"/>
      <c r="P275" s="993"/>
      <c r="Q275" s="993"/>
      <c r="R275" s="993"/>
      <c r="S275" s="514"/>
      <c r="T275" s="514"/>
      <c r="U275" s="514"/>
      <c r="V275" s="514"/>
      <c r="W275" s="514"/>
      <c r="X275" s="514"/>
      <c r="Y275" s="514"/>
    </row>
    <row r="276">
      <c r="A276" s="514"/>
      <c r="B276" s="514"/>
      <c r="C276" s="514"/>
      <c r="D276" s="514"/>
      <c r="E276" s="514"/>
      <c r="F276" s="514"/>
      <c r="G276" s="514"/>
      <c r="H276" s="514"/>
      <c r="I276" s="514"/>
      <c r="J276" s="514"/>
      <c r="K276" s="514"/>
      <c r="L276" s="514"/>
      <c r="M276" s="514"/>
      <c r="N276" s="992"/>
      <c r="O276" s="992"/>
      <c r="P276" s="993"/>
      <c r="Q276" s="993"/>
      <c r="R276" s="993"/>
      <c r="S276" s="514"/>
      <c r="T276" s="514"/>
      <c r="U276" s="514"/>
      <c r="V276" s="514"/>
      <c r="W276" s="514"/>
      <c r="X276" s="514"/>
      <c r="Y276" s="514"/>
    </row>
    <row r="277">
      <c r="A277" s="514"/>
      <c r="B277" s="514"/>
      <c r="C277" s="514"/>
      <c r="D277" s="514"/>
      <c r="E277" s="514"/>
      <c r="F277" s="514"/>
      <c r="G277" s="514"/>
      <c r="H277" s="514"/>
      <c r="I277" s="514"/>
      <c r="J277" s="514"/>
      <c r="K277" s="514"/>
      <c r="L277" s="514"/>
      <c r="M277" s="514"/>
      <c r="N277" s="992"/>
      <c r="O277" s="992"/>
      <c r="P277" s="993"/>
      <c r="Q277" s="993"/>
      <c r="R277" s="993"/>
      <c r="S277" s="514"/>
      <c r="T277" s="514"/>
      <c r="U277" s="514"/>
      <c r="V277" s="514"/>
      <c r="W277" s="514"/>
      <c r="X277" s="514"/>
      <c r="Y277" s="514"/>
    </row>
    <row r="278">
      <c r="A278" s="514"/>
      <c r="B278" s="514"/>
      <c r="C278" s="514"/>
      <c r="D278" s="514"/>
      <c r="E278" s="514"/>
      <c r="F278" s="514"/>
      <c r="G278" s="514"/>
      <c r="H278" s="514"/>
      <c r="I278" s="514"/>
      <c r="J278" s="514"/>
      <c r="K278" s="514"/>
      <c r="L278" s="514"/>
      <c r="M278" s="514"/>
      <c r="N278" s="992"/>
      <c r="O278" s="992"/>
      <c r="P278" s="993"/>
      <c r="Q278" s="993"/>
      <c r="R278" s="993"/>
      <c r="S278" s="514"/>
      <c r="T278" s="514"/>
      <c r="U278" s="514"/>
      <c r="V278" s="514"/>
      <c r="W278" s="514"/>
      <c r="X278" s="514"/>
      <c r="Y278" s="514"/>
    </row>
    <row r="279">
      <c r="A279" s="514"/>
      <c r="B279" s="514"/>
      <c r="C279" s="514"/>
      <c r="D279" s="514"/>
      <c r="E279" s="514"/>
      <c r="F279" s="514"/>
      <c r="G279" s="514"/>
      <c r="H279" s="514"/>
      <c r="I279" s="514"/>
      <c r="J279" s="514"/>
      <c r="K279" s="514"/>
      <c r="L279" s="514"/>
      <c r="M279" s="514"/>
      <c r="N279" s="992"/>
      <c r="O279" s="992"/>
      <c r="P279" s="993"/>
      <c r="Q279" s="993"/>
      <c r="R279" s="993"/>
      <c r="S279" s="514"/>
      <c r="T279" s="514"/>
      <c r="U279" s="514"/>
      <c r="V279" s="514"/>
      <c r="W279" s="514"/>
      <c r="X279" s="514"/>
      <c r="Y279" s="514"/>
    </row>
    <row r="280">
      <c r="A280" s="514"/>
      <c r="B280" s="514"/>
      <c r="C280" s="514"/>
      <c r="D280" s="514"/>
      <c r="E280" s="514"/>
      <c r="F280" s="514"/>
      <c r="G280" s="514"/>
      <c r="H280" s="514"/>
      <c r="I280" s="514"/>
      <c r="J280" s="514"/>
      <c r="K280" s="514"/>
      <c r="L280" s="514"/>
      <c r="M280" s="514"/>
      <c r="N280" s="992"/>
      <c r="O280" s="992"/>
      <c r="P280" s="993"/>
      <c r="Q280" s="993"/>
      <c r="R280" s="993"/>
      <c r="S280" s="514"/>
      <c r="T280" s="514"/>
      <c r="U280" s="514"/>
      <c r="V280" s="514"/>
      <c r="W280" s="514"/>
      <c r="X280" s="514"/>
      <c r="Y280" s="514"/>
    </row>
    <row r="281">
      <c r="A281" s="514"/>
      <c r="B281" s="514"/>
      <c r="C281" s="514"/>
      <c r="D281" s="514"/>
      <c r="E281" s="514"/>
      <c r="F281" s="514"/>
      <c r="G281" s="514"/>
      <c r="H281" s="514"/>
      <c r="I281" s="514"/>
      <c r="J281" s="514"/>
      <c r="K281" s="514"/>
      <c r="L281" s="514"/>
      <c r="M281" s="514"/>
      <c r="N281" s="992"/>
      <c r="O281" s="992"/>
      <c r="P281" s="993"/>
      <c r="Q281" s="993"/>
      <c r="R281" s="993"/>
      <c r="S281" s="514"/>
      <c r="T281" s="514"/>
      <c r="U281" s="514"/>
      <c r="V281" s="514"/>
      <c r="W281" s="514"/>
      <c r="X281" s="514"/>
      <c r="Y281" s="514"/>
    </row>
    <row r="282">
      <c r="A282" s="514"/>
      <c r="B282" s="514"/>
      <c r="C282" s="514"/>
      <c r="D282" s="514"/>
      <c r="E282" s="514"/>
      <c r="F282" s="514"/>
      <c r="G282" s="514"/>
      <c r="H282" s="514"/>
      <c r="I282" s="514"/>
      <c r="J282" s="514"/>
      <c r="K282" s="514"/>
      <c r="L282" s="514"/>
      <c r="M282" s="514"/>
      <c r="N282" s="992"/>
      <c r="O282" s="992"/>
      <c r="P282" s="993"/>
      <c r="Q282" s="993"/>
      <c r="R282" s="993"/>
      <c r="S282" s="514"/>
      <c r="T282" s="514"/>
      <c r="U282" s="514"/>
      <c r="V282" s="514"/>
      <c r="W282" s="514"/>
      <c r="X282" s="514"/>
      <c r="Y282" s="514"/>
    </row>
    <row r="283">
      <c r="A283" s="514"/>
      <c r="B283" s="514"/>
      <c r="C283" s="514"/>
      <c r="D283" s="514"/>
      <c r="E283" s="514"/>
      <c r="F283" s="514"/>
      <c r="G283" s="514"/>
      <c r="H283" s="514"/>
      <c r="I283" s="514"/>
      <c r="J283" s="514"/>
      <c r="K283" s="514"/>
      <c r="L283" s="514"/>
      <c r="M283" s="514"/>
      <c r="N283" s="992"/>
      <c r="O283" s="992"/>
      <c r="P283" s="993"/>
      <c r="Q283" s="993"/>
      <c r="R283" s="993"/>
      <c r="S283" s="514"/>
      <c r="T283" s="514"/>
      <c r="U283" s="514"/>
      <c r="V283" s="514"/>
      <c r="W283" s="514"/>
      <c r="X283" s="514"/>
      <c r="Y283" s="514"/>
    </row>
    <row r="284">
      <c r="A284" s="514"/>
      <c r="B284" s="514"/>
      <c r="C284" s="514"/>
      <c r="D284" s="514"/>
      <c r="E284" s="514"/>
      <c r="F284" s="514"/>
      <c r="G284" s="514"/>
      <c r="H284" s="514"/>
      <c r="I284" s="514"/>
      <c r="J284" s="514"/>
      <c r="K284" s="514"/>
      <c r="L284" s="514"/>
      <c r="M284" s="514"/>
      <c r="N284" s="992"/>
      <c r="O284" s="992"/>
      <c r="P284" s="993"/>
      <c r="Q284" s="993"/>
      <c r="R284" s="993"/>
      <c r="S284" s="514"/>
      <c r="T284" s="514"/>
      <c r="U284" s="514"/>
      <c r="V284" s="514"/>
      <c r="W284" s="514"/>
      <c r="X284" s="514"/>
      <c r="Y284" s="514"/>
    </row>
    <row r="285">
      <c r="A285" s="514"/>
      <c r="B285" s="514"/>
      <c r="C285" s="514"/>
      <c r="D285" s="514"/>
      <c r="E285" s="514"/>
      <c r="F285" s="514"/>
      <c r="G285" s="514"/>
      <c r="H285" s="514"/>
      <c r="I285" s="514"/>
      <c r="J285" s="514"/>
      <c r="K285" s="514"/>
      <c r="L285" s="514"/>
      <c r="M285" s="514"/>
      <c r="N285" s="992"/>
      <c r="O285" s="992"/>
      <c r="P285" s="993"/>
      <c r="Q285" s="993"/>
      <c r="R285" s="993"/>
      <c r="S285" s="514"/>
      <c r="T285" s="514"/>
      <c r="U285" s="514"/>
      <c r="V285" s="514"/>
      <c r="W285" s="514"/>
      <c r="X285" s="514"/>
      <c r="Y285" s="514"/>
    </row>
    <row r="286">
      <c r="A286" s="514"/>
      <c r="B286" s="514"/>
      <c r="C286" s="514"/>
      <c r="D286" s="514"/>
      <c r="E286" s="514"/>
      <c r="F286" s="514"/>
      <c r="G286" s="514"/>
      <c r="H286" s="514"/>
      <c r="I286" s="514"/>
      <c r="J286" s="514"/>
      <c r="K286" s="514"/>
      <c r="L286" s="514"/>
      <c r="M286" s="514"/>
      <c r="N286" s="992"/>
      <c r="O286" s="992"/>
      <c r="P286" s="993"/>
      <c r="Q286" s="993"/>
      <c r="R286" s="993"/>
      <c r="S286" s="514"/>
      <c r="T286" s="514"/>
      <c r="U286" s="514"/>
      <c r="V286" s="514"/>
      <c r="W286" s="514"/>
      <c r="X286" s="514"/>
      <c r="Y286" s="514"/>
    </row>
    <row r="287">
      <c r="A287" s="514"/>
      <c r="B287" s="514"/>
      <c r="C287" s="514"/>
      <c r="D287" s="514"/>
      <c r="E287" s="514"/>
      <c r="F287" s="514"/>
      <c r="G287" s="514"/>
      <c r="H287" s="514"/>
      <c r="I287" s="514"/>
      <c r="J287" s="514"/>
      <c r="K287" s="514"/>
      <c r="L287" s="514"/>
      <c r="M287" s="514"/>
      <c r="N287" s="992"/>
      <c r="O287" s="992"/>
      <c r="P287" s="993"/>
      <c r="Q287" s="993"/>
      <c r="R287" s="993"/>
      <c r="S287" s="514"/>
      <c r="T287" s="514"/>
      <c r="U287" s="514"/>
      <c r="V287" s="514"/>
      <c r="W287" s="514"/>
      <c r="X287" s="514"/>
      <c r="Y287" s="514"/>
    </row>
    <row r="288">
      <c r="A288" s="514"/>
      <c r="B288" s="514"/>
      <c r="C288" s="514"/>
      <c r="D288" s="514"/>
      <c r="E288" s="514"/>
      <c r="F288" s="514"/>
      <c r="G288" s="514"/>
      <c r="H288" s="514"/>
      <c r="I288" s="514"/>
      <c r="J288" s="514"/>
      <c r="K288" s="514"/>
      <c r="L288" s="514"/>
      <c r="M288" s="514"/>
      <c r="N288" s="992"/>
      <c r="O288" s="992"/>
      <c r="P288" s="993"/>
      <c r="Q288" s="993"/>
      <c r="R288" s="993"/>
      <c r="S288" s="514"/>
      <c r="T288" s="514"/>
      <c r="U288" s="514"/>
      <c r="V288" s="514"/>
      <c r="W288" s="514"/>
      <c r="X288" s="514"/>
      <c r="Y288" s="514"/>
    </row>
    <row r="289">
      <c r="A289" s="514"/>
      <c r="B289" s="514"/>
      <c r="C289" s="514"/>
      <c r="D289" s="514"/>
      <c r="E289" s="514"/>
      <c r="F289" s="514"/>
      <c r="G289" s="514"/>
      <c r="H289" s="514"/>
      <c r="I289" s="514"/>
      <c r="J289" s="514"/>
      <c r="K289" s="514"/>
      <c r="L289" s="514"/>
      <c r="M289" s="514"/>
      <c r="N289" s="992"/>
      <c r="O289" s="992"/>
      <c r="P289" s="993"/>
      <c r="Q289" s="993"/>
      <c r="R289" s="993"/>
      <c r="S289" s="514"/>
      <c r="T289" s="514"/>
      <c r="U289" s="514"/>
      <c r="V289" s="514"/>
      <c r="W289" s="514"/>
      <c r="X289" s="514"/>
      <c r="Y289" s="514"/>
    </row>
    <row r="290">
      <c r="A290" s="514"/>
      <c r="B290" s="514"/>
      <c r="C290" s="514"/>
      <c r="D290" s="514"/>
      <c r="E290" s="514"/>
      <c r="F290" s="514"/>
      <c r="G290" s="514"/>
      <c r="H290" s="514"/>
      <c r="I290" s="514"/>
      <c r="J290" s="514"/>
      <c r="K290" s="514"/>
      <c r="L290" s="514"/>
      <c r="M290" s="514"/>
      <c r="N290" s="992"/>
      <c r="O290" s="992"/>
      <c r="P290" s="993"/>
      <c r="Q290" s="993"/>
      <c r="R290" s="993"/>
      <c r="S290" s="514"/>
      <c r="T290" s="514"/>
      <c r="U290" s="514"/>
      <c r="V290" s="514"/>
      <c r="W290" s="514"/>
      <c r="X290" s="514"/>
      <c r="Y290" s="514"/>
    </row>
    <row r="291">
      <c r="A291" s="514"/>
      <c r="B291" s="514"/>
      <c r="C291" s="514"/>
      <c r="D291" s="514"/>
      <c r="E291" s="514"/>
      <c r="F291" s="514"/>
      <c r="G291" s="514"/>
      <c r="H291" s="514"/>
      <c r="I291" s="514"/>
      <c r="J291" s="514"/>
      <c r="K291" s="514"/>
      <c r="L291" s="514"/>
      <c r="M291" s="514"/>
      <c r="N291" s="992"/>
      <c r="O291" s="992"/>
      <c r="P291" s="993"/>
      <c r="Q291" s="993"/>
      <c r="R291" s="993"/>
      <c r="S291" s="514"/>
      <c r="T291" s="514"/>
      <c r="U291" s="514"/>
      <c r="V291" s="514"/>
      <c r="W291" s="514"/>
      <c r="X291" s="514"/>
      <c r="Y291" s="514"/>
    </row>
    <row r="292">
      <c r="A292" s="514"/>
      <c r="B292" s="514"/>
      <c r="C292" s="514"/>
      <c r="D292" s="514"/>
      <c r="E292" s="514"/>
      <c r="F292" s="514"/>
      <c r="G292" s="514"/>
      <c r="H292" s="514"/>
      <c r="I292" s="514"/>
      <c r="J292" s="514"/>
      <c r="K292" s="514"/>
      <c r="L292" s="514"/>
      <c r="M292" s="514"/>
      <c r="N292" s="992"/>
      <c r="O292" s="992"/>
      <c r="P292" s="993"/>
      <c r="Q292" s="993"/>
      <c r="R292" s="993"/>
      <c r="S292" s="514"/>
      <c r="T292" s="514"/>
      <c r="U292" s="514"/>
      <c r="V292" s="514"/>
      <c r="W292" s="514"/>
      <c r="X292" s="514"/>
      <c r="Y292" s="514"/>
    </row>
    <row r="293">
      <c r="A293" s="514"/>
      <c r="B293" s="514"/>
      <c r="C293" s="514"/>
      <c r="D293" s="514"/>
      <c r="E293" s="514"/>
      <c r="F293" s="514"/>
      <c r="G293" s="514"/>
      <c r="H293" s="514"/>
      <c r="I293" s="514"/>
      <c r="J293" s="514"/>
      <c r="K293" s="514"/>
      <c r="L293" s="514"/>
      <c r="M293" s="514"/>
      <c r="N293" s="992"/>
      <c r="O293" s="992"/>
      <c r="P293" s="993"/>
      <c r="Q293" s="993"/>
      <c r="R293" s="993"/>
      <c r="S293" s="514"/>
      <c r="T293" s="514"/>
      <c r="U293" s="514"/>
      <c r="V293" s="514"/>
      <c r="W293" s="514"/>
      <c r="X293" s="514"/>
      <c r="Y293" s="514"/>
    </row>
    <row r="294">
      <c r="A294" s="514"/>
      <c r="B294" s="514"/>
      <c r="C294" s="514"/>
      <c r="D294" s="514"/>
      <c r="E294" s="514"/>
      <c r="F294" s="514"/>
      <c r="G294" s="514"/>
      <c r="H294" s="514"/>
      <c r="I294" s="514"/>
      <c r="J294" s="514"/>
      <c r="K294" s="514"/>
      <c r="L294" s="514"/>
      <c r="M294" s="514"/>
      <c r="N294" s="992"/>
      <c r="O294" s="992"/>
      <c r="P294" s="993"/>
      <c r="Q294" s="993"/>
      <c r="R294" s="993"/>
      <c r="S294" s="514"/>
      <c r="T294" s="514"/>
      <c r="U294" s="514"/>
      <c r="V294" s="514"/>
      <c r="W294" s="514"/>
      <c r="X294" s="514"/>
      <c r="Y294" s="514"/>
    </row>
    <row r="295">
      <c r="A295" s="514"/>
      <c r="B295" s="514"/>
      <c r="C295" s="514"/>
      <c r="D295" s="514"/>
      <c r="E295" s="514"/>
      <c r="F295" s="514"/>
      <c r="G295" s="514"/>
      <c r="H295" s="514"/>
      <c r="I295" s="514"/>
      <c r="J295" s="514"/>
      <c r="K295" s="514"/>
      <c r="L295" s="514"/>
      <c r="M295" s="514"/>
      <c r="N295" s="992"/>
      <c r="O295" s="992"/>
      <c r="P295" s="993"/>
      <c r="Q295" s="993"/>
      <c r="R295" s="993"/>
      <c r="S295" s="514"/>
      <c r="T295" s="514"/>
      <c r="U295" s="514"/>
      <c r="V295" s="514"/>
      <c r="W295" s="514"/>
      <c r="X295" s="514"/>
      <c r="Y295" s="514"/>
    </row>
    <row r="296">
      <c r="A296" s="514"/>
      <c r="B296" s="514"/>
      <c r="C296" s="514"/>
      <c r="D296" s="514"/>
      <c r="E296" s="514"/>
      <c r="F296" s="514"/>
      <c r="G296" s="514"/>
      <c r="H296" s="514"/>
      <c r="I296" s="514"/>
      <c r="J296" s="514"/>
      <c r="K296" s="514"/>
      <c r="L296" s="514"/>
      <c r="M296" s="514"/>
      <c r="N296" s="992"/>
      <c r="O296" s="992"/>
      <c r="P296" s="993"/>
      <c r="Q296" s="993"/>
      <c r="R296" s="993"/>
      <c r="S296" s="514"/>
      <c r="T296" s="514"/>
      <c r="U296" s="514"/>
      <c r="V296" s="514"/>
      <c r="W296" s="514"/>
      <c r="X296" s="514"/>
      <c r="Y296" s="514"/>
    </row>
    <row r="297">
      <c r="A297" s="514"/>
      <c r="B297" s="514"/>
      <c r="C297" s="514"/>
      <c r="D297" s="514"/>
      <c r="E297" s="514"/>
      <c r="F297" s="514"/>
      <c r="G297" s="514"/>
      <c r="H297" s="514"/>
      <c r="I297" s="514"/>
      <c r="J297" s="514"/>
      <c r="K297" s="514"/>
      <c r="L297" s="514"/>
      <c r="M297" s="514"/>
      <c r="N297" s="992"/>
      <c r="O297" s="992"/>
      <c r="P297" s="993"/>
      <c r="Q297" s="993"/>
      <c r="R297" s="993"/>
      <c r="S297" s="514"/>
      <c r="T297" s="514"/>
      <c r="U297" s="514"/>
      <c r="V297" s="514"/>
      <c r="W297" s="514"/>
      <c r="X297" s="514"/>
      <c r="Y297" s="514"/>
    </row>
    <row r="298">
      <c r="A298" s="514"/>
      <c r="B298" s="514"/>
      <c r="C298" s="514"/>
      <c r="D298" s="514"/>
      <c r="E298" s="514"/>
      <c r="F298" s="514"/>
      <c r="G298" s="514"/>
      <c r="H298" s="514"/>
      <c r="I298" s="514"/>
      <c r="J298" s="514"/>
      <c r="K298" s="514"/>
      <c r="L298" s="514"/>
      <c r="M298" s="514"/>
      <c r="N298" s="992"/>
      <c r="O298" s="992"/>
      <c r="P298" s="993"/>
      <c r="Q298" s="993"/>
      <c r="R298" s="993"/>
      <c r="S298" s="514"/>
      <c r="T298" s="514"/>
      <c r="U298" s="514"/>
      <c r="V298" s="514"/>
      <c r="W298" s="514"/>
      <c r="X298" s="514"/>
      <c r="Y298" s="514"/>
    </row>
    <row r="299">
      <c r="A299" s="514"/>
      <c r="B299" s="514"/>
      <c r="C299" s="514"/>
      <c r="D299" s="514"/>
      <c r="E299" s="514"/>
      <c r="F299" s="514"/>
      <c r="G299" s="514"/>
      <c r="H299" s="514"/>
      <c r="I299" s="514"/>
      <c r="J299" s="514"/>
      <c r="K299" s="514"/>
      <c r="L299" s="514"/>
      <c r="M299" s="514"/>
      <c r="N299" s="992"/>
      <c r="O299" s="992"/>
      <c r="P299" s="993"/>
      <c r="Q299" s="993"/>
      <c r="R299" s="993"/>
      <c r="S299" s="514"/>
      <c r="T299" s="514"/>
      <c r="U299" s="514"/>
      <c r="V299" s="514"/>
      <c r="W299" s="514"/>
      <c r="X299" s="514"/>
      <c r="Y299" s="514"/>
    </row>
    <row r="300">
      <c r="A300" s="514"/>
      <c r="B300" s="514"/>
      <c r="C300" s="514"/>
      <c r="D300" s="514"/>
      <c r="E300" s="514"/>
      <c r="F300" s="514"/>
      <c r="G300" s="514"/>
      <c r="H300" s="514"/>
      <c r="I300" s="514"/>
      <c r="J300" s="514"/>
      <c r="K300" s="514"/>
      <c r="L300" s="514"/>
      <c r="M300" s="514"/>
      <c r="N300" s="992"/>
      <c r="O300" s="992"/>
      <c r="P300" s="993"/>
      <c r="Q300" s="993"/>
      <c r="R300" s="993"/>
      <c r="S300" s="514"/>
      <c r="T300" s="514"/>
      <c r="U300" s="514"/>
      <c r="V300" s="514"/>
      <c r="W300" s="514"/>
      <c r="X300" s="514"/>
      <c r="Y300" s="514"/>
    </row>
    <row r="301">
      <c r="A301" s="514"/>
      <c r="B301" s="514"/>
      <c r="C301" s="514"/>
      <c r="D301" s="514"/>
      <c r="E301" s="514"/>
      <c r="F301" s="514"/>
      <c r="G301" s="514"/>
      <c r="H301" s="514"/>
      <c r="I301" s="514"/>
      <c r="J301" s="514"/>
      <c r="K301" s="514"/>
      <c r="L301" s="514"/>
      <c r="M301" s="514"/>
      <c r="N301" s="992"/>
      <c r="O301" s="992"/>
      <c r="P301" s="993"/>
      <c r="Q301" s="993"/>
      <c r="R301" s="993"/>
      <c r="S301" s="514"/>
      <c r="T301" s="514"/>
      <c r="U301" s="514"/>
      <c r="V301" s="514"/>
      <c r="W301" s="514"/>
      <c r="X301" s="514"/>
      <c r="Y301" s="514"/>
    </row>
    <row r="302">
      <c r="A302" s="514"/>
      <c r="B302" s="514"/>
      <c r="C302" s="514"/>
      <c r="D302" s="514"/>
      <c r="E302" s="514"/>
      <c r="F302" s="514"/>
      <c r="G302" s="514"/>
      <c r="H302" s="514"/>
      <c r="I302" s="514"/>
      <c r="J302" s="514"/>
      <c r="K302" s="514"/>
      <c r="L302" s="514"/>
      <c r="M302" s="514"/>
      <c r="N302" s="992"/>
      <c r="O302" s="992"/>
      <c r="P302" s="993"/>
      <c r="Q302" s="993"/>
      <c r="R302" s="993"/>
      <c r="S302" s="514"/>
      <c r="T302" s="514"/>
      <c r="U302" s="514"/>
      <c r="V302" s="514"/>
      <c r="W302" s="514"/>
      <c r="X302" s="514"/>
      <c r="Y302" s="514"/>
    </row>
    <row r="303">
      <c r="A303" s="514"/>
      <c r="B303" s="514"/>
      <c r="C303" s="514"/>
      <c r="D303" s="514"/>
      <c r="E303" s="514"/>
      <c r="F303" s="514"/>
      <c r="G303" s="514"/>
      <c r="H303" s="514"/>
      <c r="I303" s="514"/>
      <c r="J303" s="514"/>
      <c r="K303" s="514"/>
      <c r="L303" s="514"/>
      <c r="M303" s="514"/>
      <c r="N303" s="992"/>
      <c r="O303" s="992"/>
      <c r="P303" s="993"/>
      <c r="Q303" s="993"/>
      <c r="R303" s="993"/>
      <c r="S303" s="514"/>
      <c r="T303" s="514"/>
      <c r="U303" s="514"/>
      <c r="V303" s="514"/>
      <c r="W303" s="514"/>
      <c r="X303" s="514"/>
      <c r="Y303" s="514"/>
    </row>
    <row r="304">
      <c r="A304" s="514"/>
      <c r="B304" s="514"/>
      <c r="C304" s="514"/>
      <c r="D304" s="514"/>
      <c r="E304" s="514"/>
      <c r="F304" s="514"/>
      <c r="G304" s="514"/>
      <c r="H304" s="514"/>
      <c r="I304" s="514"/>
      <c r="J304" s="514"/>
      <c r="K304" s="514"/>
      <c r="L304" s="514"/>
      <c r="M304" s="514"/>
      <c r="N304" s="992"/>
      <c r="O304" s="992"/>
      <c r="P304" s="993"/>
      <c r="Q304" s="993"/>
      <c r="R304" s="993"/>
      <c r="S304" s="514"/>
      <c r="T304" s="514"/>
      <c r="U304" s="514"/>
      <c r="V304" s="514"/>
      <c r="W304" s="514"/>
      <c r="X304" s="514"/>
      <c r="Y304" s="514"/>
    </row>
    <row r="305">
      <c r="A305" s="514"/>
      <c r="B305" s="514"/>
      <c r="C305" s="514"/>
      <c r="D305" s="514"/>
      <c r="E305" s="514"/>
      <c r="F305" s="514"/>
      <c r="G305" s="514"/>
      <c r="H305" s="514"/>
      <c r="I305" s="514"/>
      <c r="J305" s="514"/>
      <c r="K305" s="514"/>
      <c r="L305" s="514"/>
      <c r="M305" s="514"/>
      <c r="N305" s="992"/>
      <c r="O305" s="992"/>
      <c r="P305" s="993"/>
      <c r="Q305" s="993"/>
      <c r="R305" s="993"/>
      <c r="S305" s="514"/>
      <c r="T305" s="514"/>
      <c r="U305" s="514"/>
      <c r="V305" s="514"/>
      <c r="W305" s="514"/>
      <c r="X305" s="514"/>
      <c r="Y305" s="514"/>
    </row>
    <row r="306">
      <c r="A306" s="514"/>
      <c r="B306" s="514"/>
      <c r="C306" s="514"/>
      <c r="D306" s="514"/>
      <c r="E306" s="514"/>
      <c r="F306" s="514"/>
      <c r="G306" s="514"/>
      <c r="H306" s="514"/>
      <c r="I306" s="514"/>
      <c r="J306" s="514"/>
      <c r="K306" s="514"/>
      <c r="L306" s="514"/>
      <c r="M306" s="514"/>
      <c r="N306" s="992"/>
      <c r="O306" s="992"/>
      <c r="P306" s="993"/>
      <c r="Q306" s="993"/>
      <c r="R306" s="993"/>
      <c r="S306" s="514"/>
      <c r="T306" s="514"/>
      <c r="U306" s="514"/>
      <c r="V306" s="514"/>
      <c r="W306" s="514"/>
      <c r="X306" s="514"/>
      <c r="Y306" s="514"/>
    </row>
    <row r="307">
      <c r="A307" s="514"/>
      <c r="B307" s="514"/>
      <c r="C307" s="514"/>
      <c r="D307" s="514"/>
      <c r="E307" s="514"/>
      <c r="F307" s="514"/>
      <c r="G307" s="514"/>
      <c r="H307" s="514"/>
      <c r="I307" s="514"/>
      <c r="J307" s="514"/>
      <c r="K307" s="514"/>
      <c r="L307" s="514"/>
      <c r="M307" s="514"/>
      <c r="N307" s="992"/>
      <c r="O307" s="992"/>
      <c r="P307" s="993"/>
      <c r="Q307" s="993"/>
      <c r="R307" s="993"/>
      <c r="S307" s="514"/>
      <c r="T307" s="514"/>
      <c r="U307" s="514"/>
      <c r="V307" s="514"/>
      <c r="W307" s="514"/>
      <c r="X307" s="514"/>
      <c r="Y307" s="514"/>
    </row>
    <row r="308">
      <c r="A308" s="514"/>
      <c r="B308" s="514"/>
      <c r="C308" s="514"/>
      <c r="D308" s="514"/>
      <c r="E308" s="514"/>
      <c r="F308" s="514"/>
      <c r="G308" s="514"/>
      <c r="H308" s="514"/>
      <c r="I308" s="514"/>
      <c r="J308" s="514"/>
      <c r="K308" s="514"/>
      <c r="L308" s="514"/>
      <c r="M308" s="514"/>
      <c r="N308" s="992"/>
      <c r="O308" s="992"/>
      <c r="P308" s="993"/>
      <c r="Q308" s="993"/>
      <c r="R308" s="993"/>
      <c r="S308" s="514"/>
      <c r="T308" s="514"/>
      <c r="U308" s="514"/>
      <c r="V308" s="514"/>
      <c r="W308" s="514"/>
      <c r="X308" s="514"/>
      <c r="Y308" s="514"/>
    </row>
    <row r="309">
      <c r="A309" s="514"/>
      <c r="B309" s="514"/>
      <c r="C309" s="514"/>
      <c r="D309" s="514"/>
      <c r="E309" s="514"/>
      <c r="F309" s="514"/>
      <c r="G309" s="514"/>
      <c r="H309" s="514"/>
      <c r="I309" s="514"/>
      <c r="J309" s="514"/>
      <c r="K309" s="514"/>
      <c r="L309" s="514"/>
      <c r="M309" s="514"/>
      <c r="N309" s="992"/>
      <c r="O309" s="992"/>
      <c r="P309" s="993"/>
      <c r="Q309" s="993"/>
      <c r="R309" s="993"/>
      <c r="S309" s="514"/>
      <c r="T309" s="514"/>
      <c r="U309" s="514"/>
      <c r="V309" s="514"/>
      <c r="W309" s="514"/>
      <c r="X309" s="514"/>
      <c r="Y309" s="514"/>
    </row>
    <row r="310">
      <c r="A310" s="514"/>
      <c r="B310" s="514"/>
      <c r="C310" s="514"/>
      <c r="D310" s="514"/>
      <c r="E310" s="514"/>
      <c r="F310" s="514"/>
      <c r="G310" s="514"/>
      <c r="H310" s="514"/>
      <c r="I310" s="514"/>
      <c r="J310" s="514"/>
      <c r="K310" s="514"/>
      <c r="L310" s="514"/>
      <c r="M310" s="514"/>
      <c r="N310" s="992"/>
      <c r="O310" s="992"/>
      <c r="P310" s="993"/>
      <c r="Q310" s="993"/>
      <c r="R310" s="993"/>
      <c r="S310" s="514"/>
      <c r="T310" s="514"/>
      <c r="U310" s="514"/>
      <c r="V310" s="514"/>
      <c r="W310" s="514"/>
      <c r="X310" s="514"/>
      <c r="Y310" s="514"/>
    </row>
    <row r="311">
      <c r="A311" s="514"/>
      <c r="B311" s="514"/>
      <c r="C311" s="514"/>
      <c r="D311" s="514"/>
      <c r="E311" s="514"/>
      <c r="F311" s="514"/>
      <c r="G311" s="514"/>
      <c r="H311" s="514"/>
      <c r="I311" s="514"/>
      <c r="J311" s="514"/>
      <c r="K311" s="514"/>
      <c r="L311" s="514"/>
      <c r="M311" s="514"/>
      <c r="N311" s="992"/>
      <c r="O311" s="992"/>
      <c r="P311" s="993"/>
      <c r="Q311" s="993"/>
      <c r="R311" s="993"/>
      <c r="S311" s="514"/>
      <c r="T311" s="514"/>
      <c r="U311" s="514"/>
      <c r="V311" s="514"/>
      <c r="W311" s="514"/>
      <c r="X311" s="514"/>
      <c r="Y311" s="514"/>
    </row>
    <row r="312">
      <c r="A312" s="514"/>
      <c r="B312" s="514"/>
      <c r="C312" s="514"/>
      <c r="D312" s="514"/>
      <c r="E312" s="514"/>
      <c r="F312" s="514"/>
      <c r="G312" s="514"/>
      <c r="H312" s="514"/>
      <c r="I312" s="514"/>
      <c r="J312" s="514"/>
      <c r="K312" s="514"/>
      <c r="L312" s="514"/>
      <c r="M312" s="514"/>
      <c r="N312" s="992"/>
      <c r="O312" s="992"/>
      <c r="P312" s="993"/>
      <c r="Q312" s="993"/>
      <c r="R312" s="993"/>
      <c r="S312" s="514"/>
      <c r="T312" s="514"/>
      <c r="U312" s="514"/>
      <c r="V312" s="514"/>
      <c r="W312" s="514"/>
      <c r="X312" s="514"/>
      <c r="Y312" s="514"/>
    </row>
    <row r="313">
      <c r="A313" s="514"/>
      <c r="B313" s="514"/>
      <c r="C313" s="514"/>
      <c r="D313" s="514"/>
      <c r="E313" s="514"/>
      <c r="F313" s="514"/>
      <c r="G313" s="514"/>
      <c r="H313" s="514"/>
      <c r="I313" s="514"/>
      <c r="J313" s="514"/>
      <c r="K313" s="514"/>
      <c r="L313" s="514"/>
      <c r="M313" s="514"/>
      <c r="N313" s="992"/>
      <c r="O313" s="992"/>
      <c r="P313" s="993"/>
      <c r="Q313" s="993"/>
      <c r="R313" s="993"/>
      <c r="S313" s="514"/>
      <c r="T313" s="514"/>
      <c r="U313" s="514"/>
      <c r="V313" s="514"/>
      <c r="W313" s="514"/>
      <c r="X313" s="514"/>
      <c r="Y313" s="514"/>
    </row>
    <row r="314">
      <c r="A314" s="514"/>
      <c r="B314" s="514"/>
      <c r="C314" s="514"/>
      <c r="D314" s="514"/>
      <c r="E314" s="514"/>
      <c r="F314" s="514"/>
      <c r="G314" s="514"/>
      <c r="H314" s="514"/>
      <c r="I314" s="514"/>
      <c r="J314" s="514"/>
      <c r="K314" s="514"/>
      <c r="L314" s="514"/>
      <c r="M314" s="514"/>
      <c r="N314" s="992"/>
      <c r="O314" s="992"/>
      <c r="P314" s="993"/>
      <c r="Q314" s="993"/>
      <c r="R314" s="993"/>
      <c r="S314" s="514"/>
      <c r="T314" s="514"/>
      <c r="U314" s="514"/>
      <c r="V314" s="514"/>
      <c r="W314" s="514"/>
      <c r="X314" s="514"/>
      <c r="Y314" s="514"/>
    </row>
    <row r="315">
      <c r="A315" s="514"/>
      <c r="B315" s="514"/>
      <c r="C315" s="514"/>
      <c r="D315" s="514"/>
      <c r="E315" s="514"/>
      <c r="F315" s="514"/>
      <c r="G315" s="514"/>
      <c r="H315" s="514"/>
      <c r="I315" s="514"/>
      <c r="J315" s="514"/>
      <c r="K315" s="514"/>
      <c r="L315" s="514"/>
      <c r="M315" s="514"/>
      <c r="N315" s="992"/>
      <c r="O315" s="992"/>
      <c r="P315" s="993"/>
      <c r="Q315" s="993"/>
      <c r="R315" s="993"/>
      <c r="S315" s="514"/>
      <c r="T315" s="514"/>
      <c r="U315" s="514"/>
      <c r="V315" s="514"/>
      <c r="W315" s="514"/>
      <c r="X315" s="514"/>
      <c r="Y315" s="514"/>
    </row>
    <row r="316">
      <c r="A316" s="514"/>
      <c r="B316" s="514"/>
      <c r="C316" s="514"/>
      <c r="D316" s="514"/>
      <c r="E316" s="514"/>
      <c r="F316" s="514"/>
      <c r="G316" s="514"/>
      <c r="H316" s="514"/>
      <c r="I316" s="514"/>
      <c r="J316" s="514"/>
      <c r="K316" s="514"/>
      <c r="L316" s="514"/>
      <c r="M316" s="514"/>
      <c r="N316" s="992"/>
      <c r="O316" s="992"/>
      <c r="P316" s="993"/>
      <c r="Q316" s="993"/>
      <c r="R316" s="993"/>
      <c r="S316" s="514"/>
      <c r="T316" s="514"/>
      <c r="U316" s="514"/>
      <c r="V316" s="514"/>
      <c r="W316" s="514"/>
      <c r="X316" s="514"/>
      <c r="Y316" s="514"/>
    </row>
    <row r="317">
      <c r="A317" s="514"/>
      <c r="B317" s="514"/>
      <c r="C317" s="514"/>
      <c r="D317" s="514"/>
      <c r="E317" s="514"/>
      <c r="F317" s="514"/>
      <c r="G317" s="514"/>
      <c r="H317" s="514"/>
      <c r="I317" s="514"/>
      <c r="J317" s="514"/>
      <c r="K317" s="514"/>
      <c r="L317" s="514"/>
      <c r="M317" s="514"/>
      <c r="N317" s="992"/>
      <c r="O317" s="992"/>
      <c r="P317" s="993"/>
      <c r="Q317" s="993"/>
      <c r="R317" s="993"/>
      <c r="S317" s="514"/>
      <c r="T317" s="514"/>
      <c r="U317" s="514"/>
      <c r="V317" s="514"/>
      <c r="W317" s="514"/>
      <c r="X317" s="514"/>
      <c r="Y317" s="514"/>
    </row>
    <row r="318">
      <c r="A318" s="514"/>
      <c r="B318" s="514"/>
      <c r="C318" s="514"/>
      <c r="D318" s="514"/>
      <c r="E318" s="514"/>
      <c r="F318" s="514"/>
      <c r="G318" s="514"/>
      <c r="H318" s="514"/>
      <c r="I318" s="514"/>
      <c r="J318" s="514"/>
      <c r="K318" s="514"/>
      <c r="L318" s="514"/>
      <c r="M318" s="514"/>
      <c r="N318" s="992"/>
      <c r="O318" s="992"/>
      <c r="P318" s="993"/>
      <c r="Q318" s="993"/>
      <c r="R318" s="993"/>
      <c r="S318" s="514"/>
      <c r="T318" s="514"/>
      <c r="U318" s="514"/>
      <c r="V318" s="514"/>
      <c r="W318" s="514"/>
      <c r="X318" s="514"/>
      <c r="Y318" s="514"/>
    </row>
    <row r="319">
      <c r="A319" s="514"/>
      <c r="B319" s="514"/>
      <c r="C319" s="514"/>
      <c r="D319" s="514"/>
      <c r="E319" s="514"/>
      <c r="F319" s="514"/>
      <c r="G319" s="514"/>
      <c r="H319" s="514"/>
      <c r="I319" s="514"/>
      <c r="J319" s="514"/>
      <c r="K319" s="514"/>
      <c r="L319" s="514"/>
      <c r="M319" s="514"/>
      <c r="N319" s="992"/>
      <c r="O319" s="992"/>
      <c r="P319" s="993"/>
      <c r="Q319" s="993"/>
      <c r="R319" s="993"/>
      <c r="S319" s="514"/>
      <c r="T319" s="514"/>
      <c r="U319" s="514"/>
      <c r="V319" s="514"/>
      <c r="W319" s="514"/>
      <c r="X319" s="514"/>
      <c r="Y319" s="514"/>
    </row>
    <row r="320">
      <c r="A320" s="514"/>
      <c r="B320" s="514"/>
      <c r="C320" s="514"/>
      <c r="D320" s="514"/>
      <c r="E320" s="514"/>
      <c r="F320" s="514"/>
      <c r="G320" s="514"/>
      <c r="H320" s="514"/>
      <c r="I320" s="514"/>
      <c r="J320" s="514"/>
      <c r="K320" s="514"/>
      <c r="L320" s="514"/>
      <c r="M320" s="514"/>
      <c r="N320" s="992"/>
      <c r="O320" s="992"/>
      <c r="P320" s="993"/>
      <c r="Q320" s="993"/>
      <c r="R320" s="993"/>
      <c r="S320" s="514"/>
      <c r="T320" s="514"/>
      <c r="U320" s="514"/>
      <c r="V320" s="514"/>
      <c r="W320" s="514"/>
      <c r="X320" s="514"/>
      <c r="Y320" s="514"/>
    </row>
    <row r="321">
      <c r="A321" s="514"/>
      <c r="B321" s="514"/>
      <c r="C321" s="514"/>
      <c r="D321" s="514"/>
      <c r="E321" s="514"/>
      <c r="F321" s="514"/>
      <c r="G321" s="514"/>
      <c r="H321" s="514"/>
      <c r="I321" s="514"/>
      <c r="J321" s="514"/>
      <c r="K321" s="514"/>
      <c r="L321" s="514"/>
      <c r="M321" s="514"/>
      <c r="N321" s="992"/>
      <c r="O321" s="992"/>
      <c r="P321" s="993"/>
      <c r="Q321" s="993"/>
      <c r="R321" s="993"/>
      <c r="S321" s="514"/>
      <c r="T321" s="514"/>
      <c r="U321" s="514"/>
      <c r="V321" s="514"/>
      <c r="W321" s="514"/>
      <c r="X321" s="514"/>
      <c r="Y321" s="514"/>
    </row>
    <row r="322">
      <c r="A322" s="514"/>
      <c r="B322" s="514"/>
      <c r="C322" s="514"/>
      <c r="D322" s="514"/>
      <c r="E322" s="514"/>
      <c r="F322" s="514"/>
      <c r="G322" s="514"/>
      <c r="H322" s="514"/>
      <c r="I322" s="514"/>
      <c r="J322" s="514"/>
      <c r="K322" s="514"/>
      <c r="L322" s="514"/>
      <c r="M322" s="514"/>
      <c r="N322" s="992"/>
      <c r="O322" s="992"/>
      <c r="P322" s="993"/>
      <c r="Q322" s="993"/>
      <c r="R322" s="993"/>
      <c r="S322" s="514"/>
      <c r="T322" s="514"/>
      <c r="U322" s="514"/>
      <c r="V322" s="514"/>
      <c r="W322" s="514"/>
      <c r="X322" s="514"/>
      <c r="Y322" s="514"/>
    </row>
    <row r="323">
      <c r="A323" s="514"/>
      <c r="B323" s="514"/>
      <c r="C323" s="514"/>
      <c r="D323" s="514"/>
      <c r="E323" s="514"/>
      <c r="F323" s="514"/>
      <c r="G323" s="514"/>
      <c r="H323" s="514"/>
      <c r="I323" s="514"/>
      <c r="J323" s="514"/>
      <c r="K323" s="514"/>
      <c r="L323" s="514"/>
      <c r="M323" s="514"/>
      <c r="N323" s="992"/>
      <c r="O323" s="992"/>
      <c r="P323" s="993"/>
      <c r="Q323" s="993"/>
      <c r="R323" s="993"/>
      <c r="S323" s="514"/>
      <c r="T323" s="514"/>
      <c r="U323" s="514"/>
      <c r="V323" s="514"/>
      <c r="W323" s="514"/>
      <c r="X323" s="514"/>
      <c r="Y323" s="514"/>
    </row>
    <row r="324">
      <c r="A324" s="514"/>
      <c r="B324" s="514"/>
      <c r="C324" s="514"/>
      <c r="D324" s="514"/>
      <c r="E324" s="514"/>
      <c r="F324" s="514"/>
      <c r="G324" s="514"/>
      <c r="H324" s="514"/>
      <c r="I324" s="514"/>
      <c r="J324" s="514"/>
      <c r="K324" s="514"/>
      <c r="L324" s="514"/>
      <c r="M324" s="514"/>
      <c r="N324" s="992"/>
      <c r="O324" s="992"/>
      <c r="P324" s="993"/>
      <c r="Q324" s="993"/>
      <c r="R324" s="993"/>
      <c r="S324" s="514"/>
      <c r="T324" s="514"/>
      <c r="U324" s="514"/>
      <c r="V324" s="514"/>
      <c r="W324" s="514"/>
      <c r="X324" s="514"/>
      <c r="Y324" s="514"/>
    </row>
    <row r="325">
      <c r="A325" s="514"/>
      <c r="B325" s="514"/>
      <c r="C325" s="514"/>
      <c r="D325" s="514"/>
      <c r="E325" s="514"/>
      <c r="F325" s="514"/>
      <c r="G325" s="514"/>
      <c r="H325" s="514"/>
      <c r="I325" s="514"/>
      <c r="J325" s="514"/>
      <c r="K325" s="514"/>
      <c r="L325" s="514"/>
      <c r="M325" s="514"/>
      <c r="N325" s="992"/>
      <c r="O325" s="992"/>
      <c r="P325" s="993"/>
      <c r="Q325" s="993"/>
      <c r="R325" s="993"/>
      <c r="S325" s="514"/>
      <c r="T325" s="514"/>
      <c r="U325" s="514"/>
      <c r="V325" s="514"/>
      <c r="W325" s="514"/>
      <c r="X325" s="514"/>
      <c r="Y325" s="514"/>
    </row>
    <row r="326">
      <c r="A326" s="514"/>
      <c r="B326" s="514"/>
      <c r="C326" s="514"/>
      <c r="D326" s="514"/>
      <c r="E326" s="514"/>
      <c r="F326" s="514"/>
      <c r="G326" s="514"/>
      <c r="H326" s="514"/>
      <c r="I326" s="514"/>
      <c r="J326" s="514"/>
      <c r="K326" s="514"/>
      <c r="L326" s="514"/>
      <c r="M326" s="514"/>
      <c r="N326" s="992"/>
      <c r="O326" s="992"/>
      <c r="P326" s="993"/>
      <c r="Q326" s="993"/>
      <c r="R326" s="993"/>
      <c r="S326" s="514"/>
      <c r="T326" s="514"/>
      <c r="U326" s="514"/>
      <c r="V326" s="514"/>
      <c r="W326" s="514"/>
      <c r="X326" s="514"/>
      <c r="Y326" s="514"/>
    </row>
    <row r="327">
      <c r="A327" s="514"/>
      <c r="B327" s="514"/>
      <c r="C327" s="514"/>
      <c r="D327" s="514"/>
      <c r="E327" s="514"/>
      <c r="F327" s="514"/>
      <c r="G327" s="514"/>
      <c r="H327" s="514"/>
      <c r="I327" s="514"/>
      <c r="J327" s="514"/>
      <c r="K327" s="514"/>
      <c r="L327" s="514"/>
      <c r="M327" s="514"/>
      <c r="N327" s="992"/>
      <c r="O327" s="992"/>
      <c r="P327" s="993"/>
      <c r="Q327" s="993"/>
      <c r="R327" s="993"/>
      <c r="S327" s="514"/>
      <c r="T327" s="514"/>
      <c r="U327" s="514"/>
      <c r="V327" s="514"/>
      <c r="W327" s="514"/>
      <c r="X327" s="514"/>
      <c r="Y327" s="514"/>
    </row>
    <row r="328">
      <c r="A328" s="514"/>
      <c r="B328" s="514"/>
      <c r="C328" s="514"/>
      <c r="D328" s="514"/>
      <c r="E328" s="514"/>
      <c r="F328" s="514"/>
      <c r="G328" s="514"/>
      <c r="H328" s="514"/>
      <c r="I328" s="514"/>
      <c r="J328" s="514"/>
      <c r="K328" s="514"/>
      <c r="L328" s="514"/>
      <c r="M328" s="514"/>
      <c r="N328" s="992"/>
      <c r="O328" s="992"/>
      <c r="P328" s="993"/>
      <c r="Q328" s="993"/>
      <c r="R328" s="993"/>
      <c r="S328" s="514"/>
      <c r="T328" s="514"/>
      <c r="U328" s="514"/>
      <c r="V328" s="514"/>
      <c r="W328" s="514"/>
      <c r="X328" s="514"/>
      <c r="Y328" s="514"/>
    </row>
    <row r="329">
      <c r="A329" s="514"/>
      <c r="B329" s="514"/>
      <c r="C329" s="514"/>
      <c r="D329" s="514"/>
      <c r="E329" s="514"/>
      <c r="F329" s="514"/>
      <c r="G329" s="514"/>
      <c r="H329" s="514"/>
      <c r="I329" s="514"/>
      <c r="J329" s="514"/>
      <c r="K329" s="514"/>
      <c r="L329" s="514"/>
      <c r="M329" s="514"/>
      <c r="N329" s="992"/>
      <c r="O329" s="992"/>
      <c r="P329" s="993"/>
      <c r="Q329" s="993"/>
      <c r="R329" s="993"/>
      <c r="S329" s="514"/>
      <c r="T329" s="514"/>
      <c r="U329" s="514"/>
      <c r="V329" s="514"/>
      <c r="W329" s="514"/>
      <c r="X329" s="514"/>
      <c r="Y329" s="514"/>
    </row>
    <row r="330">
      <c r="A330" s="514"/>
      <c r="B330" s="514"/>
      <c r="C330" s="514"/>
      <c r="D330" s="514"/>
      <c r="E330" s="514"/>
      <c r="F330" s="514"/>
      <c r="G330" s="514"/>
      <c r="H330" s="514"/>
      <c r="I330" s="514"/>
      <c r="J330" s="514"/>
      <c r="K330" s="514"/>
      <c r="L330" s="514"/>
      <c r="M330" s="514"/>
      <c r="N330" s="992"/>
      <c r="O330" s="992"/>
      <c r="P330" s="993"/>
      <c r="Q330" s="993"/>
      <c r="R330" s="993"/>
      <c r="S330" s="514"/>
      <c r="T330" s="514"/>
      <c r="U330" s="514"/>
      <c r="V330" s="514"/>
      <c r="W330" s="514"/>
      <c r="X330" s="514"/>
      <c r="Y330" s="514"/>
    </row>
    <row r="331">
      <c r="A331" s="514"/>
      <c r="B331" s="514"/>
      <c r="C331" s="514"/>
      <c r="D331" s="514"/>
      <c r="E331" s="514"/>
      <c r="F331" s="514"/>
      <c r="G331" s="514"/>
      <c r="H331" s="514"/>
      <c r="I331" s="514"/>
      <c r="J331" s="514"/>
      <c r="K331" s="514"/>
      <c r="L331" s="514"/>
      <c r="M331" s="514"/>
      <c r="N331" s="992"/>
      <c r="O331" s="992"/>
      <c r="P331" s="993"/>
      <c r="Q331" s="993"/>
      <c r="R331" s="993"/>
      <c r="S331" s="514"/>
      <c r="T331" s="514"/>
      <c r="U331" s="514"/>
      <c r="V331" s="514"/>
      <c r="W331" s="514"/>
      <c r="X331" s="514"/>
      <c r="Y331" s="514"/>
    </row>
    <row r="332">
      <c r="A332" s="514"/>
      <c r="B332" s="514"/>
      <c r="C332" s="514"/>
      <c r="D332" s="514"/>
      <c r="E332" s="514"/>
      <c r="F332" s="514"/>
      <c r="G332" s="514"/>
      <c r="H332" s="514"/>
      <c r="I332" s="514"/>
      <c r="J332" s="514"/>
      <c r="K332" s="514"/>
      <c r="L332" s="514"/>
      <c r="M332" s="514"/>
      <c r="N332" s="992"/>
      <c r="O332" s="992"/>
      <c r="P332" s="993"/>
      <c r="Q332" s="993"/>
      <c r="R332" s="993"/>
      <c r="S332" s="514"/>
      <c r="T332" s="514"/>
      <c r="U332" s="514"/>
      <c r="V332" s="514"/>
      <c r="W332" s="514"/>
      <c r="X332" s="514"/>
      <c r="Y332" s="514"/>
    </row>
    <row r="333">
      <c r="A333" s="514"/>
      <c r="B333" s="514"/>
      <c r="C333" s="514"/>
      <c r="D333" s="514"/>
      <c r="E333" s="514"/>
      <c r="F333" s="514"/>
      <c r="G333" s="514"/>
      <c r="H333" s="514"/>
      <c r="I333" s="514"/>
      <c r="J333" s="514"/>
      <c r="K333" s="514"/>
      <c r="L333" s="514"/>
      <c r="M333" s="514"/>
      <c r="N333" s="992"/>
      <c r="O333" s="992"/>
      <c r="P333" s="993"/>
      <c r="Q333" s="993"/>
      <c r="R333" s="993"/>
      <c r="S333" s="514"/>
      <c r="T333" s="514"/>
      <c r="U333" s="514"/>
      <c r="V333" s="514"/>
      <c r="W333" s="514"/>
      <c r="X333" s="514"/>
      <c r="Y333" s="514"/>
    </row>
    <row r="334">
      <c r="A334" s="514"/>
      <c r="B334" s="514"/>
      <c r="C334" s="514"/>
      <c r="D334" s="514"/>
      <c r="E334" s="514"/>
      <c r="F334" s="514"/>
      <c r="G334" s="514"/>
      <c r="H334" s="514"/>
      <c r="I334" s="514"/>
      <c r="J334" s="514"/>
      <c r="K334" s="514"/>
      <c r="L334" s="514"/>
      <c r="M334" s="514"/>
      <c r="N334" s="992"/>
      <c r="O334" s="992"/>
      <c r="P334" s="993"/>
      <c r="Q334" s="993"/>
      <c r="R334" s="993"/>
      <c r="S334" s="514"/>
      <c r="T334" s="514"/>
      <c r="U334" s="514"/>
      <c r="V334" s="514"/>
      <c r="W334" s="514"/>
      <c r="X334" s="514"/>
      <c r="Y334" s="514"/>
    </row>
    <row r="335">
      <c r="A335" s="514"/>
      <c r="B335" s="514"/>
      <c r="C335" s="514"/>
      <c r="D335" s="514"/>
      <c r="E335" s="514"/>
      <c r="F335" s="514"/>
      <c r="G335" s="514"/>
      <c r="H335" s="514"/>
      <c r="I335" s="514"/>
      <c r="J335" s="514"/>
      <c r="K335" s="514"/>
      <c r="L335" s="514"/>
      <c r="M335" s="514"/>
      <c r="N335" s="992"/>
      <c r="O335" s="992"/>
      <c r="P335" s="993"/>
      <c r="Q335" s="993"/>
      <c r="R335" s="993"/>
      <c r="S335" s="514"/>
      <c r="T335" s="514"/>
      <c r="U335" s="514"/>
      <c r="V335" s="514"/>
      <c r="W335" s="514"/>
      <c r="X335" s="514"/>
      <c r="Y335" s="514"/>
    </row>
    <row r="336">
      <c r="A336" s="514"/>
      <c r="B336" s="514"/>
      <c r="C336" s="514"/>
      <c r="D336" s="514"/>
      <c r="E336" s="514"/>
      <c r="F336" s="514"/>
      <c r="G336" s="514"/>
      <c r="H336" s="514"/>
      <c r="I336" s="514"/>
      <c r="J336" s="514"/>
      <c r="K336" s="514"/>
      <c r="L336" s="514"/>
      <c r="M336" s="514"/>
      <c r="N336" s="992"/>
      <c r="O336" s="992"/>
      <c r="P336" s="993"/>
      <c r="Q336" s="993"/>
      <c r="R336" s="993"/>
      <c r="S336" s="514"/>
      <c r="T336" s="514"/>
      <c r="U336" s="514"/>
      <c r="V336" s="514"/>
      <c r="W336" s="514"/>
      <c r="X336" s="514"/>
      <c r="Y336" s="514"/>
    </row>
    <row r="337">
      <c r="A337" s="514"/>
      <c r="B337" s="514"/>
      <c r="C337" s="514"/>
      <c r="D337" s="514"/>
      <c r="E337" s="514"/>
      <c r="F337" s="514"/>
      <c r="G337" s="514"/>
      <c r="H337" s="514"/>
      <c r="I337" s="514"/>
      <c r="J337" s="514"/>
      <c r="K337" s="514"/>
      <c r="L337" s="514"/>
      <c r="M337" s="514"/>
      <c r="N337" s="992"/>
      <c r="O337" s="992"/>
      <c r="P337" s="993"/>
      <c r="Q337" s="993"/>
      <c r="R337" s="993"/>
      <c r="S337" s="514"/>
      <c r="T337" s="514"/>
      <c r="U337" s="514"/>
      <c r="V337" s="514"/>
      <c r="W337" s="514"/>
      <c r="X337" s="514"/>
      <c r="Y337" s="514"/>
    </row>
    <row r="338">
      <c r="A338" s="514"/>
      <c r="B338" s="514"/>
      <c r="C338" s="514"/>
      <c r="D338" s="514"/>
      <c r="E338" s="514"/>
      <c r="F338" s="514"/>
      <c r="G338" s="514"/>
      <c r="H338" s="514"/>
      <c r="I338" s="514"/>
      <c r="J338" s="514"/>
      <c r="K338" s="514"/>
      <c r="L338" s="514"/>
      <c r="M338" s="514"/>
      <c r="N338" s="992"/>
      <c r="O338" s="992"/>
      <c r="P338" s="993"/>
      <c r="Q338" s="993"/>
      <c r="R338" s="993"/>
      <c r="S338" s="514"/>
      <c r="T338" s="514"/>
      <c r="U338" s="514"/>
      <c r="V338" s="514"/>
      <c r="W338" s="514"/>
      <c r="X338" s="514"/>
      <c r="Y338" s="514"/>
    </row>
    <row r="339">
      <c r="A339" s="514"/>
      <c r="B339" s="514"/>
      <c r="C339" s="514"/>
      <c r="D339" s="514"/>
      <c r="E339" s="514"/>
      <c r="F339" s="514"/>
      <c r="G339" s="514"/>
      <c r="H339" s="514"/>
      <c r="I339" s="514"/>
      <c r="J339" s="514"/>
      <c r="K339" s="514"/>
      <c r="L339" s="514"/>
      <c r="M339" s="514"/>
      <c r="N339" s="992"/>
      <c r="O339" s="992"/>
      <c r="P339" s="993"/>
      <c r="Q339" s="993"/>
      <c r="R339" s="993"/>
      <c r="S339" s="514"/>
      <c r="T339" s="514"/>
      <c r="U339" s="514"/>
      <c r="V339" s="514"/>
      <c r="W339" s="514"/>
      <c r="X339" s="514"/>
      <c r="Y339" s="514"/>
    </row>
    <row r="340">
      <c r="A340" s="514"/>
      <c r="B340" s="514"/>
      <c r="C340" s="514"/>
      <c r="D340" s="514"/>
      <c r="E340" s="514"/>
      <c r="F340" s="514"/>
      <c r="G340" s="514"/>
      <c r="H340" s="514"/>
      <c r="I340" s="514"/>
      <c r="J340" s="514"/>
      <c r="K340" s="514"/>
      <c r="L340" s="514"/>
      <c r="M340" s="514"/>
      <c r="N340" s="992"/>
      <c r="O340" s="992"/>
      <c r="P340" s="993"/>
      <c r="Q340" s="993"/>
      <c r="R340" s="993"/>
      <c r="S340" s="514"/>
      <c r="T340" s="514"/>
      <c r="U340" s="514"/>
      <c r="V340" s="514"/>
      <c r="W340" s="514"/>
      <c r="X340" s="514"/>
      <c r="Y340" s="514"/>
    </row>
    <row r="341">
      <c r="A341" s="514"/>
      <c r="B341" s="514"/>
      <c r="C341" s="514"/>
      <c r="D341" s="514"/>
      <c r="E341" s="514"/>
      <c r="F341" s="514"/>
      <c r="G341" s="514"/>
      <c r="H341" s="514"/>
      <c r="I341" s="514"/>
      <c r="J341" s="514"/>
      <c r="K341" s="514"/>
      <c r="L341" s="514"/>
      <c r="M341" s="514"/>
      <c r="N341" s="992"/>
      <c r="O341" s="992"/>
      <c r="P341" s="993"/>
      <c r="Q341" s="993"/>
      <c r="R341" s="993"/>
      <c r="S341" s="514"/>
      <c r="T341" s="514"/>
      <c r="U341" s="514"/>
      <c r="V341" s="514"/>
      <c r="W341" s="514"/>
      <c r="X341" s="514"/>
      <c r="Y341" s="514"/>
    </row>
    <row r="342">
      <c r="A342" s="514"/>
      <c r="B342" s="514"/>
      <c r="C342" s="514"/>
      <c r="D342" s="514"/>
      <c r="E342" s="514"/>
      <c r="F342" s="514"/>
      <c r="G342" s="514"/>
      <c r="H342" s="514"/>
      <c r="I342" s="514"/>
      <c r="J342" s="514"/>
      <c r="K342" s="514"/>
      <c r="L342" s="514"/>
      <c r="M342" s="514"/>
      <c r="N342" s="992"/>
      <c r="O342" s="992"/>
      <c r="P342" s="993"/>
      <c r="Q342" s="993"/>
      <c r="R342" s="993"/>
      <c r="S342" s="514"/>
      <c r="T342" s="514"/>
      <c r="U342" s="514"/>
      <c r="V342" s="514"/>
      <c r="W342" s="514"/>
      <c r="X342" s="514"/>
      <c r="Y342" s="514"/>
    </row>
    <row r="343">
      <c r="A343" s="514"/>
      <c r="B343" s="514"/>
      <c r="C343" s="514"/>
      <c r="D343" s="514"/>
      <c r="E343" s="514"/>
      <c r="F343" s="514"/>
      <c r="G343" s="514"/>
      <c r="H343" s="514"/>
      <c r="I343" s="514"/>
      <c r="J343" s="514"/>
      <c r="K343" s="514"/>
      <c r="L343" s="514"/>
      <c r="M343" s="514"/>
      <c r="N343" s="992"/>
      <c r="O343" s="992"/>
      <c r="P343" s="993"/>
      <c r="Q343" s="993"/>
      <c r="R343" s="993"/>
      <c r="S343" s="514"/>
      <c r="T343" s="514"/>
      <c r="U343" s="514"/>
      <c r="V343" s="514"/>
      <c r="W343" s="514"/>
      <c r="X343" s="514"/>
      <c r="Y343" s="514"/>
    </row>
    <row r="344">
      <c r="A344" s="514"/>
      <c r="B344" s="514"/>
      <c r="C344" s="514"/>
      <c r="D344" s="514"/>
      <c r="E344" s="514"/>
      <c r="F344" s="514"/>
      <c r="G344" s="514"/>
      <c r="H344" s="514"/>
      <c r="I344" s="514"/>
      <c r="J344" s="514"/>
      <c r="K344" s="514"/>
      <c r="L344" s="514"/>
      <c r="M344" s="514"/>
      <c r="N344" s="992"/>
      <c r="O344" s="992"/>
      <c r="P344" s="993"/>
      <c r="Q344" s="993"/>
      <c r="R344" s="993"/>
      <c r="S344" s="514"/>
      <c r="T344" s="514"/>
      <c r="U344" s="514"/>
      <c r="V344" s="514"/>
      <c r="W344" s="514"/>
      <c r="X344" s="514"/>
      <c r="Y344" s="514"/>
    </row>
    <row r="345">
      <c r="A345" s="514"/>
      <c r="B345" s="514"/>
      <c r="C345" s="514"/>
      <c r="D345" s="514"/>
      <c r="E345" s="514"/>
      <c r="F345" s="514"/>
      <c r="G345" s="514"/>
      <c r="H345" s="514"/>
      <c r="I345" s="514"/>
      <c r="J345" s="514"/>
      <c r="K345" s="514"/>
      <c r="L345" s="514"/>
      <c r="M345" s="514"/>
      <c r="N345" s="992"/>
      <c r="O345" s="992"/>
      <c r="P345" s="993"/>
      <c r="Q345" s="993"/>
      <c r="R345" s="993"/>
      <c r="S345" s="514"/>
      <c r="T345" s="514"/>
      <c r="U345" s="514"/>
      <c r="V345" s="514"/>
      <c r="W345" s="514"/>
      <c r="X345" s="514"/>
      <c r="Y345" s="514"/>
    </row>
    <row r="346">
      <c r="A346" s="514"/>
      <c r="B346" s="514"/>
      <c r="C346" s="514"/>
      <c r="D346" s="514"/>
      <c r="E346" s="514"/>
      <c r="F346" s="514"/>
      <c r="G346" s="514"/>
      <c r="H346" s="514"/>
      <c r="I346" s="514"/>
      <c r="J346" s="514"/>
      <c r="K346" s="514"/>
      <c r="L346" s="514"/>
      <c r="M346" s="514"/>
      <c r="N346" s="992"/>
      <c r="O346" s="992"/>
      <c r="P346" s="993"/>
      <c r="Q346" s="993"/>
      <c r="R346" s="993"/>
      <c r="S346" s="514"/>
      <c r="T346" s="514"/>
      <c r="U346" s="514"/>
      <c r="V346" s="514"/>
      <c r="W346" s="514"/>
      <c r="X346" s="514"/>
      <c r="Y346" s="514"/>
    </row>
    <row r="347">
      <c r="A347" s="514"/>
      <c r="B347" s="514"/>
      <c r="C347" s="514"/>
      <c r="D347" s="514"/>
      <c r="E347" s="514"/>
      <c r="F347" s="514"/>
      <c r="G347" s="514"/>
      <c r="H347" s="514"/>
      <c r="I347" s="514"/>
      <c r="J347" s="514"/>
      <c r="K347" s="514"/>
      <c r="L347" s="514"/>
      <c r="M347" s="514"/>
      <c r="N347" s="992"/>
      <c r="O347" s="992"/>
      <c r="P347" s="993"/>
      <c r="Q347" s="993"/>
      <c r="R347" s="993"/>
      <c r="S347" s="514"/>
      <c r="T347" s="514"/>
      <c r="U347" s="514"/>
      <c r="V347" s="514"/>
      <c r="W347" s="514"/>
      <c r="X347" s="514"/>
      <c r="Y347" s="514"/>
    </row>
    <row r="348">
      <c r="A348" s="514"/>
      <c r="B348" s="514"/>
      <c r="C348" s="514"/>
      <c r="D348" s="514"/>
      <c r="E348" s="514"/>
      <c r="F348" s="514"/>
      <c r="G348" s="514"/>
      <c r="H348" s="514"/>
      <c r="I348" s="514"/>
      <c r="J348" s="514"/>
      <c r="K348" s="514"/>
      <c r="L348" s="514"/>
      <c r="M348" s="514"/>
      <c r="N348" s="992"/>
      <c r="O348" s="992"/>
      <c r="P348" s="993"/>
      <c r="Q348" s="993"/>
      <c r="R348" s="993"/>
      <c r="S348" s="514"/>
      <c r="T348" s="514"/>
      <c r="U348" s="514"/>
      <c r="V348" s="514"/>
      <c r="W348" s="514"/>
      <c r="X348" s="514"/>
      <c r="Y348" s="514"/>
    </row>
    <row r="349">
      <c r="A349" s="514"/>
      <c r="B349" s="514"/>
      <c r="C349" s="514"/>
      <c r="D349" s="514"/>
      <c r="E349" s="514"/>
      <c r="F349" s="514"/>
      <c r="G349" s="514"/>
      <c r="H349" s="514"/>
      <c r="I349" s="514"/>
      <c r="J349" s="514"/>
      <c r="K349" s="514"/>
      <c r="L349" s="514"/>
      <c r="M349" s="514"/>
      <c r="N349" s="992"/>
      <c r="O349" s="992"/>
      <c r="P349" s="993"/>
      <c r="Q349" s="993"/>
      <c r="R349" s="993"/>
      <c r="S349" s="514"/>
      <c r="T349" s="514"/>
      <c r="U349" s="514"/>
      <c r="V349" s="514"/>
      <c r="W349" s="514"/>
      <c r="X349" s="514"/>
      <c r="Y349" s="514"/>
    </row>
    <row r="350">
      <c r="A350" s="514"/>
      <c r="B350" s="514"/>
      <c r="C350" s="514"/>
      <c r="D350" s="514"/>
      <c r="E350" s="514"/>
      <c r="F350" s="514"/>
      <c r="G350" s="514"/>
      <c r="H350" s="514"/>
      <c r="I350" s="514"/>
      <c r="J350" s="514"/>
      <c r="K350" s="514"/>
      <c r="L350" s="514"/>
      <c r="M350" s="514"/>
      <c r="N350" s="992"/>
      <c r="O350" s="992"/>
      <c r="P350" s="993"/>
      <c r="Q350" s="993"/>
      <c r="R350" s="993"/>
      <c r="S350" s="514"/>
      <c r="T350" s="514"/>
      <c r="U350" s="514"/>
      <c r="V350" s="514"/>
      <c r="W350" s="514"/>
      <c r="X350" s="514"/>
      <c r="Y350" s="514"/>
    </row>
    <row r="351">
      <c r="A351" s="514"/>
      <c r="B351" s="514"/>
      <c r="C351" s="514"/>
      <c r="D351" s="514"/>
      <c r="E351" s="514"/>
      <c r="F351" s="514"/>
      <c r="G351" s="514"/>
      <c r="H351" s="514"/>
      <c r="I351" s="514"/>
      <c r="J351" s="514"/>
      <c r="K351" s="514"/>
      <c r="L351" s="514"/>
      <c r="M351" s="514"/>
      <c r="N351" s="992"/>
      <c r="O351" s="992"/>
      <c r="P351" s="993"/>
      <c r="Q351" s="993"/>
      <c r="R351" s="993"/>
      <c r="S351" s="514"/>
      <c r="T351" s="514"/>
      <c r="U351" s="514"/>
      <c r="V351" s="514"/>
      <c r="W351" s="514"/>
      <c r="X351" s="514"/>
      <c r="Y351" s="514"/>
    </row>
    <row r="352">
      <c r="A352" s="514"/>
      <c r="B352" s="514"/>
      <c r="C352" s="514"/>
      <c r="D352" s="514"/>
      <c r="E352" s="514"/>
      <c r="F352" s="514"/>
      <c r="G352" s="514"/>
      <c r="H352" s="514"/>
      <c r="I352" s="514"/>
      <c r="J352" s="514"/>
      <c r="K352" s="514"/>
      <c r="L352" s="514"/>
      <c r="M352" s="514"/>
      <c r="N352" s="992"/>
      <c r="O352" s="992"/>
      <c r="P352" s="993"/>
      <c r="Q352" s="993"/>
      <c r="R352" s="993"/>
      <c r="S352" s="514"/>
      <c r="T352" s="514"/>
      <c r="U352" s="514"/>
      <c r="V352" s="514"/>
      <c r="W352" s="514"/>
      <c r="X352" s="514"/>
      <c r="Y352" s="514"/>
    </row>
    <row r="353">
      <c r="A353" s="514"/>
      <c r="B353" s="514"/>
      <c r="C353" s="514"/>
      <c r="D353" s="514"/>
      <c r="E353" s="514"/>
      <c r="F353" s="514"/>
      <c r="G353" s="514"/>
      <c r="H353" s="514"/>
      <c r="I353" s="514"/>
      <c r="J353" s="514"/>
      <c r="K353" s="514"/>
      <c r="L353" s="514"/>
      <c r="M353" s="514"/>
      <c r="N353" s="992"/>
      <c r="O353" s="992"/>
      <c r="P353" s="993"/>
      <c r="Q353" s="993"/>
      <c r="R353" s="993"/>
      <c r="S353" s="514"/>
      <c r="T353" s="514"/>
      <c r="U353" s="514"/>
      <c r="V353" s="514"/>
      <c r="W353" s="514"/>
      <c r="X353" s="514"/>
      <c r="Y353" s="514"/>
    </row>
    <row r="354">
      <c r="A354" s="514"/>
      <c r="B354" s="514"/>
      <c r="C354" s="514"/>
      <c r="D354" s="514"/>
      <c r="E354" s="514"/>
      <c r="F354" s="514"/>
      <c r="G354" s="514"/>
      <c r="H354" s="514"/>
      <c r="I354" s="514"/>
      <c r="J354" s="514"/>
      <c r="K354" s="514"/>
      <c r="L354" s="514"/>
      <c r="M354" s="514"/>
      <c r="N354" s="992"/>
      <c r="O354" s="992"/>
      <c r="P354" s="993"/>
      <c r="Q354" s="993"/>
      <c r="R354" s="993"/>
      <c r="S354" s="514"/>
      <c r="T354" s="514"/>
      <c r="U354" s="514"/>
      <c r="V354" s="514"/>
      <c r="W354" s="514"/>
      <c r="X354" s="514"/>
      <c r="Y354" s="514"/>
    </row>
    <row r="355">
      <c r="A355" s="514"/>
      <c r="B355" s="514"/>
      <c r="C355" s="514"/>
      <c r="D355" s="514"/>
      <c r="E355" s="514"/>
      <c r="F355" s="514"/>
      <c r="G355" s="514"/>
      <c r="H355" s="514"/>
      <c r="I355" s="514"/>
      <c r="J355" s="514"/>
      <c r="K355" s="514"/>
      <c r="L355" s="514"/>
      <c r="M355" s="514"/>
      <c r="N355" s="992"/>
      <c r="O355" s="992"/>
      <c r="P355" s="993"/>
      <c r="Q355" s="993"/>
      <c r="R355" s="993"/>
      <c r="S355" s="514"/>
      <c r="T355" s="514"/>
      <c r="U355" s="514"/>
      <c r="V355" s="514"/>
      <c r="W355" s="514"/>
      <c r="X355" s="514"/>
      <c r="Y355" s="514"/>
    </row>
    <row r="356">
      <c r="A356" s="514"/>
      <c r="B356" s="514"/>
      <c r="C356" s="514"/>
      <c r="D356" s="514"/>
      <c r="E356" s="514"/>
      <c r="F356" s="514"/>
      <c r="G356" s="514"/>
      <c r="H356" s="514"/>
      <c r="I356" s="514"/>
      <c r="J356" s="514"/>
      <c r="K356" s="514"/>
      <c r="L356" s="514"/>
      <c r="M356" s="514"/>
      <c r="N356" s="992"/>
      <c r="O356" s="992"/>
      <c r="P356" s="993"/>
      <c r="Q356" s="993"/>
      <c r="R356" s="993"/>
      <c r="S356" s="514"/>
      <c r="T356" s="514"/>
      <c r="U356" s="514"/>
      <c r="V356" s="514"/>
      <c r="W356" s="514"/>
      <c r="X356" s="514"/>
      <c r="Y356" s="514"/>
    </row>
    <row r="357">
      <c r="A357" s="514"/>
      <c r="B357" s="514"/>
      <c r="C357" s="514"/>
      <c r="D357" s="514"/>
      <c r="E357" s="514"/>
      <c r="F357" s="514"/>
      <c r="G357" s="514"/>
      <c r="H357" s="514"/>
      <c r="I357" s="514"/>
      <c r="J357" s="514"/>
      <c r="K357" s="514"/>
      <c r="L357" s="514"/>
      <c r="M357" s="514"/>
      <c r="N357" s="992"/>
      <c r="O357" s="992"/>
      <c r="P357" s="993"/>
      <c r="Q357" s="993"/>
      <c r="R357" s="993"/>
      <c r="S357" s="514"/>
      <c r="T357" s="514"/>
      <c r="U357" s="514"/>
      <c r="V357" s="514"/>
      <c r="W357" s="514"/>
      <c r="X357" s="514"/>
      <c r="Y357" s="514"/>
    </row>
    <row r="358">
      <c r="A358" s="514"/>
      <c r="B358" s="514"/>
      <c r="C358" s="514"/>
      <c r="D358" s="514"/>
      <c r="E358" s="514"/>
      <c r="F358" s="514"/>
      <c r="G358" s="514"/>
      <c r="H358" s="514"/>
      <c r="I358" s="514"/>
      <c r="J358" s="514"/>
      <c r="K358" s="514"/>
      <c r="L358" s="514"/>
      <c r="M358" s="514"/>
      <c r="N358" s="992"/>
      <c r="O358" s="992"/>
      <c r="P358" s="993"/>
      <c r="Q358" s="993"/>
      <c r="R358" s="993"/>
      <c r="S358" s="514"/>
      <c r="T358" s="514"/>
      <c r="U358" s="514"/>
      <c r="V358" s="514"/>
      <c r="W358" s="514"/>
      <c r="X358" s="514"/>
      <c r="Y358" s="514"/>
    </row>
    <row r="359">
      <c r="A359" s="514"/>
      <c r="B359" s="514"/>
      <c r="C359" s="514"/>
      <c r="D359" s="514"/>
      <c r="E359" s="514"/>
      <c r="F359" s="514"/>
      <c r="G359" s="514"/>
      <c r="H359" s="514"/>
      <c r="I359" s="514"/>
      <c r="J359" s="514"/>
      <c r="K359" s="514"/>
      <c r="L359" s="514"/>
      <c r="M359" s="514"/>
      <c r="N359" s="992"/>
      <c r="O359" s="992"/>
      <c r="P359" s="993"/>
      <c r="Q359" s="993"/>
      <c r="R359" s="993"/>
      <c r="S359" s="514"/>
      <c r="T359" s="514"/>
      <c r="U359" s="514"/>
      <c r="V359" s="514"/>
      <c r="W359" s="514"/>
      <c r="X359" s="514"/>
      <c r="Y359" s="514"/>
    </row>
    <row r="360">
      <c r="A360" s="514"/>
      <c r="B360" s="514"/>
      <c r="C360" s="514"/>
      <c r="D360" s="514"/>
      <c r="E360" s="514"/>
      <c r="F360" s="514"/>
      <c r="G360" s="514"/>
      <c r="H360" s="514"/>
      <c r="I360" s="514"/>
      <c r="J360" s="514"/>
      <c r="K360" s="514"/>
      <c r="L360" s="514"/>
      <c r="M360" s="514"/>
      <c r="N360" s="992"/>
      <c r="O360" s="992"/>
      <c r="P360" s="993"/>
      <c r="Q360" s="993"/>
      <c r="R360" s="993"/>
      <c r="S360" s="514"/>
      <c r="T360" s="514"/>
      <c r="U360" s="514"/>
      <c r="V360" s="514"/>
      <c r="W360" s="514"/>
      <c r="X360" s="514"/>
      <c r="Y360" s="514"/>
    </row>
    <row r="361">
      <c r="A361" s="514"/>
      <c r="B361" s="514"/>
      <c r="C361" s="514"/>
      <c r="D361" s="514"/>
      <c r="E361" s="514"/>
      <c r="F361" s="514"/>
      <c r="G361" s="514"/>
      <c r="H361" s="514"/>
      <c r="I361" s="514"/>
      <c r="J361" s="514"/>
      <c r="K361" s="514"/>
      <c r="L361" s="514"/>
      <c r="M361" s="514"/>
      <c r="N361" s="992"/>
      <c r="O361" s="992"/>
      <c r="P361" s="993"/>
      <c r="Q361" s="993"/>
      <c r="R361" s="993"/>
      <c r="S361" s="514"/>
      <c r="T361" s="514"/>
      <c r="U361" s="514"/>
      <c r="V361" s="514"/>
      <c r="W361" s="514"/>
      <c r="X361" s="514"/>
      <c r="Y361" s="514"/>
    </row>
    <row r="362">
      <c r="A362" s="514"/>
      <c r="B362" s="514"/>
      <c r="C362" s="514"/>
      <c r="D362" s="514"/>
      <c r="E362" s="514"/>
      <c r="F362" s="514"/>
      <c r="G362" s="514"/>
      <c r="H362" s="514"/>
      <c r="I362" s="514"/>
      <c r="J362" s="514"/>
      <c r="K362" s="514"/>
      <c r="L362" s="514"/>
      <c r="M362" s="514"/>
      <c r="N362" s="992"/>
      <c r="O362" s="992"/>
      <c r="P362" s="993"/>
      <c r="Q362" s="993"/>
      <c r="R362" s="993"/>
      <c r="S362" s="514"/>
      <c r="T362" s="514"/>
      <c r="U362" s="514"/>
      <c r="V362" s="514"/>
      <c r="W362" s="514"/>
      <c r="X362" s="514"/>
      <c r="Y362" s="514"/>
    </row>
    <row r="363">
      <c r="A363" s="514"/>
      <c r="B363" s="514"/>
      <c r="C363" s="514"/>
      <c r="D363" s="514"/>
      <c r="E363" s="514"/>
      <c r="F363" s="514"/>
      <c r="G363" s="514"/>
      <c r="H363" s="514"/>
      <c r="I363" s="514"/>
      <c r="J363" s="514"/>
      <c r="K363" s="514"/>
      <c r="L363" s="514"/>
      <c r="M363" s="514"/>
      <c r="N363" s="992"/>
      <c r="O363" s="992"/>
      <c r="P363" s="993"/>
      <c r="Q363" s="993"/>
      <c r="R363" s="993"/>
      <c r="S363" s="514"/>
      <c r="T363" s="514"/>
      <c r="U363" s="514"/>
      <c r="V363" s="514"/>
      <c r="W363" s="514"/>
      <c r="X363" s="514"/>
      <c r="Y363" s="514"/>
    </row>
    <row r="364">
      <c r="A364" s="514"/>
      <c r="B364" s="514"/>
      <c r="C364" s="514"/>
      <c r="D364" s="514"/>
      <c r="E364" s="514"/>
      <c r="F364" s="514"/>
      <c r="G364" s="514"/>
      <c r="H364" s="514"/>
      <c r="I364" s="514"/>
      <c r="J364" s="514"/>
      <c r="K364" s="514"/>
      <c r="L364" s="514"/>
      <c r="M364" s="514"/>
      <c r="N364" s="992"/>
      <c r="O364" s="992"/>
      <c r="P364" s="993"/>
      <c r="Q364" s="993"/>
      <c r="R364" s="993"/>
      <c r="S364" s="514"/>
      <c r="T364" s="514"/>
      <c r="U364" s="514"/>
      <c r="V364" s="514"/>
      <c r="W364" s="514"/>
      <c r="X364" s="514"/>
      <c r="Y364" s="514"/>
    </row>
    <row r="365">
      <c r="A365" s="514"/>
      <c r="B365" s="514"/>
      <c r="C365" s="514"/>
      <c r="D365" s="514"/>
      <c r="E365" s="514"/>
      <c r="F365" s="514"/>
      <c r="G365" s="514"/>
      <c r="H365" s="514"/>
      <c r="I365" s="514"/>
      <c r="J365" s="514"/>
      <c r="K365" s="514"/>
      <c r="L365" s="514"/>
      <c r="M365" s="514"/>
      <c r="N365" s="992"/>
      <c r="O365" s="992"/>
      <c r="P365" s="993"/>
      <c r="Q365" s="993"/>
      <c r="R365" s="993"/>
      <c r="S365" s="514"/>
      <c r="T365" s="514"/>
      <c r="U365" s="514"/>
      <c r="V365" s="514"/>
      <c r="W365" s="514"/>
      <c r="X365" s="514"/>
      <c r="Y365" s="514"/>
    </row>
    <row r="366">
      <c r="A366" s="514"/>
      <c r="B366" s="514"/>
      <c r="C366" s="514"/>
      <c r="D366" s="514"/>
      <c r="E366" s="514"/>
      <c r="F366" s="514"/>
      <c r="G366" s="514"/>
      <c r="H366" s="514"/>
      <c r="I366" s="514"/>
      <c r="J366" s="514"/>
      <c r="K366" s="514"/>
      <c r="L366" s="514"/>
      <c r="M366" s="514"/>
      <c r="N366" s="992"/>
      <c r="O366" s="992"/>
      <c r="P366" s="993"/>
      <c r="Q366" s="993"/>
      <c r="R366" s="993"/>
      <c r="S366" s="514"/>
      <c r="T366" s="514"/>
      <c r="U366" s="514"/>
      <c r="V366" s="514"/>
      <c r="W366" s="514"/>
      <c r="X366" s="514"/>
      <c r="Y366" s="514"/>
    </row>
    <row r="367">
      <c r="A367" s="514"/>
      <c r="B367" s="514"/>
      <c r="C367" s="514"/>
      <c r="D367" s="514"/>
      <c r="E367" s="514"/>
      <c r="F367" s="514"/>
      <c r="G367" s="514"/>
      <c r="H367" s="514"/>
      <c r="I367" s="514"/>
      <c r="J367" s="514"/>
      <c r="K367" s="514"/>
      <c r="L367" s="514"/>
      <c r="M367" s="514"/>
      <c r="N367" s="992"/>
      <c r="O367" s="992"/>
      <c r="P367" s="993"/>
      <c r="Q367" s="993"/>
      <c r="R367" s="993"/>
      <c r="S367" s="514"/>
      <c r="T367" s="514"/>
      <c r="U367" s="514"/>
      <c r="V367" s="514"/>
      <c r="W367" s="514"/>
      <c r="X367" s="514"/>
      <c r="Y367" s="514"/>
    </row>
    <row r="368">
      <c r="A368" s="514"/>
      <c r="B368" s="514"/>
      <c r="C368" s="514"/>
      <c r="D368" s="514"/>
      <c r="E368" s="514"/>
      <c r="F368" s="514"/>
      <c r="G368" s="514"/>
      <c r="H368" s="514"/>
      <c r="I368" s="514"/>
      <c r="J368" s="514"/>
      <c r="K368" s="514"/>
      <c r="L368" s="514"/>
      <c r="M368" s="514"/>
      <c r="N368" s="992"/>
      <c r="O368" s="992"/>
      <c r="P368" s="993"/>
      <c r="Q368" s="993"/>
      <c r="R368" s="993"/>
      <c r="S368" s="514"/>
      <c r="T368" s="514"/>
      <c r="U368" s="514"/>
      <c r="V368" s="514"/>
      <c r="W368" s="514"/>
      <c r="X368" s="514"/>
      <c r="Y368" s="514"/>
    </row>
    <row r="369">
      <c r="A369" s="514"/>
      <c r="B369" s="514"/>
      <c r="C369" s="514"/>
      <c r="D369" s="514"/>
      <c r="E369" s="514"/>
      <c r="F369" s="514"/>
      <c r="G369" s="514"/>
      <c r="H369" s="514"/>
      <c r="I369" s="514"/>
      <c r="J369" s="514"/>
      <c r="K369" s="514"/>
      <c r="L369" s="514"/>
      <c r="M369" s="514"/>
      <c r="N369" s="992"/>
      <c r="O369" s="992"/>
      <c r="P369" s="993"/>
      <c r="Q369" s="993"/>
      <c r="R369" s="993"/>
      <c r="S369" s="514"/>
      <c r="T369" s="514"/>
      <c r="U369" s="514"/>
      <c r="V369" s="514"/>
      <c r="W369" s="514"/>
      <c r="X369" s="514"/>
      <c r="Y369" s="514"/>
    </row>
    <row r="370">
      <c r="A370" s="514"/>
      <c r="B370" s="514"/>
      <c r="C370" s="514"/>
      <c r="D370" s="514"/>
      <c r="E370" s="514"/>
      <c r="F370" s="514"/>
      <c r="G370" s="514"/>
      <c r="H370" s="514"/>
      <c r="I370" s="514"/>
      <c r="J370" s="514"/>
      <c r="K370" s="514"/>
      <c r="L370" s="514"/>
      <c r="M370" s="514"/>
      <c r="N370" s="992"/>
      <c r="O370" s="992"/>
      <c r="P370" s="993"/>
      <c r="Q370" s="993"/>
      <c r="R370" s="993"/>
      <c r="S370" s="514"/>
      <c r="T370" s="514"/>
      <c r="U370" s="514"/>
      <c r="V370" s="514"/>
      <c r="W370" s="514"/>
      <c r="X370" s="514"/>
      <c r="Y370" s="514"/>
    </row>
    <row r="371">
      <c r="A371" s="514"/>
      <c r="B371" s="514"/>
      <c r="C371" s="514"/>
      <c r="D371" s="514"/>
      <c r="E371" s="514"/>
      <c r="F371" s="514"/>
      <c r="G371" s="514"/>
      <c r="H371" s="514"/>
      <c r="I371" s="514"/>
      <c r="J371" s="514"/>
      <c r="K371" s="514"/>
      <c r="L371" s="514"/>
      <c r="M371" s="514"/>
      <c r="N371" s="992"/>
      <c r="O371" s="992"/>
      <c r="P371" s="993"/>
      <c r="Q371" s="993"/>
      <c r="R371" s="993"/>
      <c r="S371" s="514"/>
      <c r="T371" s="514"/>
      <c r="U371" s="514"/>
      <c r="V371" s="514"/>
      <c r="W371" s="514"/>
      <c r="X371" s="514"/>
      <c r="Y371" s="514"/>
    </row>
    <row r="372">
      <c r="A372" s="514"/>
      <c r="B372" s="514"/>
      <c r="C372" s="514"/>
      <c r="D372" s="514"/>
      <c r="E372" s="514"/>
      <c r="F372" s="514"/>
      <c r="G372" s="514"/>
      <c r="H372" s="514"/>
      <c r="I372" s="514"/>
      <c r="J372" s="514"/>
      <c r="K372" s="514"/>
      <c r="L372" s="514"/>
      <c r="M372" s="514"/>
      <c r="N372" s="992"/>
      <c r="O372" s="992"/>
      <c r="P372" s="993"/>
      <c r="Q372" s="993"/>
      <c r="R372" s="993"/>
      <c r="S372" s="514"/>
      <c r="T372" s="514"/>
      <c r="U372" s="514"/>
      <c r="V372" s="514"/>
      <c r="W372" s="514"/>
      <c r="X372" s="514"/>
      <c r="Y372" s="514"/>
    </row>
    <row r="373">
      <c r="A373" s="514"/>
      <c r="B373" s="514"/>
      <c r="C373" s="514"/>
      <c r="D373" s="514"/>
      <c r="E373" s="514"/>
      <c r="F373" s="514"/>
      <c r="G373" s="514"/>
      <c r="H373" s="514"/>
      <c r="I373" s="514"/>
      <c r="J373" s="514"/>
      <c r="K373" s="514"/>
      <c r="L373" s="514"/>
      <c r="M373" s="514"/>
      <c r="N373" s="992"/>
      <c r="O373" s="992"/>
      <c r="P373" s="993"/>
      <c r="Q373" s="993"/>
      <c r="R373" s="993"/>
      <c r="S373" s="514"/>
      <c r="T373" s="514"/>
      <c r="U373" s="514"/>
      <c r="V373" s="514"/>
      <c r="W373" s="514"/>
      <c r="X373" s="514"/>
      <c r="Y373" s="514"/>
    </row>
    <row r="374">
      <c r="A374" s="514"/>
      <c r="B374" s="514"/>
      <c r="C374" s="514"/>
      <c r="D374" s="514"/>
      <c r="E374" s="514"/>
      <c r="F374" s="514"/>
      <c r="G374" s="514"/>
      <c r="H374" s="514"/>
      <c r="I374" s="514"/>
      <c r="J374" s="514"/>
      <c r="K374" s="514"/>
      <c r="L374" s="514"/>
      <c r="M374" s="514"/>
      <c r="N374" s="992"/>
      <c r="O374" s="992"/>
      <c r="P374" s="993"/>
      <c r="Q374" s="993"/>
      <c r="R374" s="993"/>
      <c r="S374" s="514"/>
      <c r="T374" s="514"/>
      <c r="U374" s="514"/>
      <c r="V374" s="514"/>
      <c r="W374" s="514"/>
      <c r="X374" s="514"/>
      <c r="Y374" s="514"/>
    </row>
    <row r="375">
      <c r="A375" s="514"/>
      <c r="B375" s="514"/>
      <c r="C375" s="514"/>
      <c r="D375" s="514"/>
      <c r="E375" s="514"/>
      <c r="F375" s="514"/>
      <c r="G375" s="514"/>
      <c r="H375" s="514"/>
      <c r="I375" s="514"/>
      <c r="J375" s="514"/>
      <c r="K375" s="514"/>
      <c r="L375" s="514"/>
      <c r="M375" s="514"/>
      <c r="N375" s="992"/>
      <c r="O375" s="992"/>
      <c r="P375" s="993"/>
      <c r="Q375" s="993"/>
      <c r="R375" s="993"/>
      <c r="S375" s="514"/>
      <c r="T375" s="514"/>
      <c r="U375" s="514"/>
      <c r="V375" s="514"/>
      <c r="W375" s="514"/>
      <c r="X375" s="514"/>
      <c r="Y375" s="514"/>
    </row>
    <row r="376">
      <c r="A376" s="514"/>
      <c r="B376" s="514"/>
      <c r="C376" s="514"/>
      <c r="D376" s="514"/>
      <c r="E376" s="514"/>
      <c r="F376" s="514"/>
      <c r="G376" s="514"/>
      <c r="H376" s="514"/>
      <c r="I376" s="514"/>
      <c r="J376" s="514"/>
      <c r="K376" s="514"/>
      <c r="L376" s="514"/>
      <c r="M376" s="514"/>
      <c r="N376" s="992"/>
      <c r="O376" s="992"/>
      <c r="P376" s="993"/>
      <c r="Q376" s="993"/>
      <c r="R376" s="993"/>
      <c r="S376" s="514"/>
      <c r="T376" s="514"/>
      <c r="U376" s="514"/>
      <c r="V376" s="514"/>
      <c r="W376" s="514"/>
      <c r="X376" s="514"/>
      <c r="Y376" s="514"/>
    </row>
    <row r="377">
      <c r="A377" s="514"/>
      <c r="B377" s="514"/>
      <c r="C377" s="514"/>
      <c r="D377" s="514"/>
      <c r="E377" s="514"/>
      <c r="F377" s="514"/>
      <c r="G377" s="514"/>
      <c r="H377" s="514"/>
      <c r="I377" s="514"/>
      <c r="J377" s="514"/>
      <c r="K377" s="514"/>
      <c r="L377" s="514"/>
      <c r="M377" s="514"/>
      <c r="N377" s="992"/>
      <c r="O377" s="992"/>
      <c r="P377" s="993"/>
      <c r="Q377" s="993"/>
      <c r="R377" s="993"/>
      <c r="S377" s="514"/>
      <c r="T377" s="514"/>
      <c r="U377" s="514"/>
      <c r="V377" s="514"/>
      <c r="W377" s="514"/>
      <c r="X377" s="514"/>
      <c r="Y377" s="514"/>
    </row>
    <row r="378">
      <c r="A378" s="514"/>
      <c r="B378" s="514"/>
      <c r="C378" s="514"/>
      <c r="D378" s="514"/>
      <c r="E378" s="514"/>
      <c r="F378" s="514"/>
      <c r="G378" s="514"/>
      <c r="H378" s="514"/>
      <c r="I378" s="514"/>
      <c r="J378" s="514"/>
      <c r="K378" s="514"/>
      <c r="L378" s="514"/>
      <c r="M378" s="514"/>
      <c r="N378" s="992"/>
      <c r="O378" s="992"/>
      <c r="P378" s="993"/>
      <c r="Q378" s="993"/>
      <c r="R378" s="993"/>
      <c r="S378" s="514"/>
      <c r="T378" s="514"/>
      <c r="U378" s="514"/>
      <c r="V378" s="514"/>
      <c r="W378" s="514"/>
      <c r="X378" s="514"/>
      <c r="Y378" s="514"/>
    </row>
    <row r="379">
      <c r="A379" s="514"/>
      <c r="B379" s="514"/>
      <c r="C379" s="514"/>
      <c r="D379" s="514"/>
      <c r="E379" s="514"/>
      <c r="F379" s="514"/>
      <c r="G379" s="514"/>
      <c r="H379" s="514"/>
      <c r="I379" s="514"/>
      <c r="J379" s="514"/>
      <c r="K379" s="514"/>
      <c r="L379" s="514"/>
      <c r="M379" s="514"/>
      <c r="N379" s="992"/>
      <c r="O379" s="992"/>
      <c r="P379" s="993"/>
      <c r="Q379" s="993"/>
      <c r="R379" s="993"/>
      <c r="S379" s="514"/>
      <c r="T379" s="514"/>
      <c r="U379" s="514"/>
      <c r="V379" s="514"/>
      <c r="W379" s="514"/>
      <c r="X379" s="514"/>
      <c r="Y379" s="514"/>
    </row>
    <row r="380">
      <c r="A380" s="514"/>
      <c r="B380" s="514"/>
      <c r="C380" s="514"/>
      <c r="D380" s="514"/>
      <c r="E380" s="514"/>
      <c r="F380" s="514"/>
      <c r="G380" s="514"/>
      <c r="H380" s="514"/>
      <c r="I380" s="514"/>
      <c r="J380" s="514"/>
      <c r="K380" s="514"/>
      <c r="L380" s="514"/>
      <c r="M380" s="514"/>
      <c r="N380" s="992"/>
      <c r="O380" s="992"/>
      <c r="P380" s="993"/>
      <c r="Q380" s="993"/>
      <c r="R380" s="993"/>
      <c r="S380" s="514"/>
      <c r="T380" s="514"/>
      <c r="U380" s="514"/>
      <c r="V380" s="514"/>
      <c r="W380" s="514"/>
      <c r="X380" s="514"/>
      <c r="Y380" s="514"/>
    </row>
    <row r="381">
      <c r="A381" s="514"/>
      <c r="B381" s="514"/>
      <c r="C381" s="514"/>
      <c r="D381" s="514"/>
      <c r="E381" s="514"/>
      <c r="F381" s="514"/>
      <c r="G381" s="514"/>
      <c r="H381" s="514"/>
      <c r="I381" s="514"/>
      <c r="J381" s="514"/>
      <c r="K381" s="514"/>
      <c r="L381" s="514"/>
      <c r="M381" s="514"/>
      <c r="N381" s="992"/>
      <c r="O381" s="992"/>
      <c r="P381" s="993"/>
      <c r="Q381" s="993"/>
      <c r="R381" s="993"/>
      <c r="S381" s="514"/>
      <c r="T381" s="514"/>
      <c r="U381" s="514"/>
      <c r="V381" s="514"/>
      <c r="W381" s="514"/>
      <c r="X381" s="514"/>
      <c r="Y381" s="514"/>
    </row>
    <row r="382">
      <c r="A382" s="514"/>
      <c r="B382" s="514"/>
      <c r="C382" s="514"/>
      <c r="D382" s="514"/>
      <c r="E382" s="514"/>
      <c r="F382" s="514"/>
      <c r="G382" s="514"/>
      <c r="H382" s="514"/>
      <c r="I382" s="514"/>
      <c r="J382" s="514"/>
      <c r="K382" s="514"/>
      <c r="L382" s="514"/>
      <c r="M382" s="514"/>
      <c r="N382" s="992"/>
      <c r="O382" s="992"/>
      <c r="P382" s="993"/>
      <c r="Q382" s="993"/>
      <c r="R382" s="993"/>
      <c r="S382" s="514"/>
      <c r="T382" s="514"/>
      <c r="U382" s="514"/>
      <c r="V382" s="514"/>
      <c r="W382" s="514"/>
      <c r="X382" s="514"/>
      <c r="Y382" s="514"/>
    </row>
    <row r="383">
      <c r="A383" s="514"/>
      <c r="B383" s="514"/>
      <c r="C383" s="514"/>
      <c r="D383" s="514"/>
      <c r="E383" s="514"/>
      <c r="F383" s="514"/>
      <c r="G383" s="514"/>
      <c r="H383" s="514"/>
      <c r="I383" s="514"/>
      <c r="J383" s="514"/>
      <c r="K383" s="514"/>
      <c r="L383" s="514"/>
      <c r="M383" s="514"/>
      <c r="N383" s="992"/>
      <c r="O383" s="992"/>
      <c r="P383" s="993"/>
      <c r="Q383" s="993"/>
      <c r="R383" s="993"/>
      <c r="S383" s="514"/>
      <c r="T383" s="514"/>
      <c r="U383" s="514"/>
      <c r="V383" s="514"/>
      <c r="W383" s="514"/>
      <c r="X383" s="514"/>
      <c r="Y383" s="514"/>
    </row>
    <row r="384">
      <c r="A384" s="514"/>
      <c r="B384" s="514"/>
      <c r="C384" s="514"/>
      <c r="D384" s="514"/>
      <c r="E384" s="514"/>
      <c r="F384" s="514"/>
      <c r="G384" s="514"/>
      <c r="H384" s="514"/>
      <c r="I384" s="514"/>
      <c r="J384" s="514"/>
      <c r="K384" s="514"/>
      <c r="L384" s="514"/>
      <c r="M384" s="514"/>
      <c r="N384" s="992"/>
      <c r="O384" s="992"/>
      <c r="P384" s="993"/>
      <c r="Q384" s="993"/>
      <c r="R384" s="993"/>
      <c r="S384" s="514"/>
      <c r="T384" s="514"/>
      <c r="U384" s="514"/>
      <c r="V384" s="514"/>
      <c r="W384" s="514"/>
      <c r="X384" s="514"/>
      <c r="Y384" s="514"/>
    </row>
    <row r="385">
      <c r="A385" s="514"/>
      <c r="B385" s="514"/>
      <c r="C385" s="514"/>
      <c r="D385" s="514"/>
      <c r="E385" s="514"/>
      <c r="F385" s="514"/>
      <c r="G385" s="514"/>
      <c r="H385" s="514"/>
      <c r="I385" s="514"/>
      <c r="J385" s="514"/>
      <c r="K385" s="514"/>
      <c r="L385" s="514"/>
      <c r="M385" s="514"/>
      <c r="N385" s="992"/>
      <c r="O385" s="992"/>
      <c r="P385" s="993"/>
      <c r="Q385" s="993"/>
      <c r="R385" s="993"/>
      <c r="S385" s="514"/>
      <c r="T385" s="514"/>
      <c r="U385" s="514"/>
      <c r="V385" s="514"/>
      <c r="W385" s="514"/>
      <c r="X385" s="514"/>
      <c r="Y385" s="514"/>
    </row>
    <row r="386">
      <c r="A386" s="514"/>
      <c r="B386" s="514"/>
      <c r="C386" s="514"/>
      <c r="D386" s="514"/>
      <c r="E386" s="514"/>
      <c r="F386" s="514"/>
      <c r="G386" s="514"/>
      <c r="H386" s="514"/>
      <c r="I386" s="514"/>
      <c r="J386" s="514"/>
      <c r="K386" s="514"/>
      <c r="L386" s="514"/>
      <c r="M386" s="514"/>
      <c r="N386" s="992"/>
      <c r="O386" s="992"/>
      <c r="P386" s="993"/>
      <c r="Q386" s="993"/>
      <c r="R386" s="993"/>
      <c r="S386" s="514"/>
      <c r="T386" s="514"/>
      <c r="U386" s="514"/>
      <c r="V386" s="514"/>
      <c r="W386" s="514"/>
      <c r="X386" s="514"/>
      <c r="Y386" s="514"/>
    </row>
    <row r="387">
      <c r="A387" s="514"/>
      <c r="B387" s="514"/>
      <c r="C387" s="514"/>
      <c r="D387" s="514"/>
      <c r="E387" s="514"/>
      <c r="F387" s="514"/>
      <c r="G387" s="514"/>
      <c r="H387" s="514"/>
      <c r="I387" s="514"/>
      <c r="J387" s="514"/>
      <c r="K387" s="514"/>
      <c r="L387" s="514"/>
      <c r="M387" s="514"/>
      <c r="N387" s="992"/>
      <c r="O387" s="992"/>
      <c r="P387" s="993"/>
      <c r="Q387" s="993"/>
      <c r="R387" s="993"/>
      <c r="S387" s="514"/>
      <c r="T387" s="514"/>
      <c r="U387" s="514"/>
      <c r="V387" s="514"/>
      <c r="W387" s="514"/>
      <c r="X387" s="514"/>
      <c r="Y387" s="514"/>
    </row>
    <row r="388">
      <c r="A388" s="514"/>
      <c r="B388" s="514"/>
      <c r="C388" s="514"/>
      <c r="D388" s="514"/>
      <c r="E388" s="514"/>
      <c r="F388" s="514"/>
      <c r="G388" s="514"/>
      <c r="H388" s="514"/>
      <c r="I388" s="514"/>
      <c r="J388" s="514"/>
      <c r="K388" s="514"/>
      <c r="L388" s="514"/>
      <c r="M388" s="514"/>
      <c r="N388" s="992"/>
      <c r="O388" s="992"/>
      <c r="P388" s="993"/>
      <c r="Q388" s="993"/>
      <c r="R388" s="993"/>
      <c r="S388" s="514"/>
      <c r="T388" s="514"/>
      <c r="U388" s="514"/>
      <c r="V388" s="514"/>
      <c r="W388" s="514"/>
      <c r="X388" s="514"/>
      <c r="Y388" s="514"/>
    </row>
    <row r="389">
      <c r="A389" s="514"/>
      <c r="B389" s="514"/>
      <c r="C389" s="514"/>
      <c r="D389" s="514"/>
      <c r="E389" s="514"/>
      <c r="F389" s="514"/>
      <c r="G389" s="514"/>
      <c r="H389" s="514"/>
      <c r="I389" s="514"/>
      <c r="J389" s="514"/>
      <c r="K389" s="514"/>
      <c r="L389" s="514"/>
      <c r="M389" s="514"/>
      <c r="N389" s="992"/>
      <c r="O389" s="992"/>
      <c r="P389" s="993"/>
      <c r="Q389" s="993"/>
      <c r="R389" s="993"/>
      <c r="S389" s="514"/>
      <c r="T389" s="514"/>
      <c r="U389" s="514"/>
      <c r="V389" s="514"/>
      <c r="W389" s="514"/>
      <c r="X389" s="514"/>
      <c r="Y389" s="514"/>
    </row>
    <row r="390">
      <c r="A390" s="514"/>
      <c r="B390" s="514"/>
      <c r="C390" s="514"/>
      <c r="D390" s="514"/>
      <c r="E390" s="514"/>
      <c r="F390" s="514"/>
      <c r="G390" s="514"/>
      <c r="H390" s="514"/>
      <c r="I390" s="514"/>
      <c r="J390" s="514"/>
      <c r="K390" s="514"/>
      <c r="L390" s="514"/>
      <c r="M390" s="514"/>
      <c r="N390" s="992"/>
      <c r="O390" s="992"/>
      <c r="P390" s="993"/>
      <c r="Q390" s="993"/>
      <c r="R390" s="993"/>
      <c r="S390" s="514"/>
      <c r="T390" s="514"/>
      <c r="U390" s="514"/>
      <c r="V390" s="514"/>
      <c r="W390" s="514"/>
      <c r="X390" s="514"/>
      <c r="Y390" s="514"/>
    </row>
    <row r="391">
      <c r="A391" s="514"/>
      <c r="B391" s="514"/>
      <c r="C391" s="514"/>
      <c r="D391" s="514"/>
      <c r="E391" s="514"/>
      <c r="F391" s="514"/>
      <c r="G391" s="514"/>
      <c r="H391" s="514"/>
      <c r="I391" s="514"/>
      <c r="J391" s="514"/>
      <c r="K391" s="514"/>
      <c r="L391" s="514"/>
      <c r="M391" s="514"/>
      <c r="N391" s="992"/>
      <c r="O391" s="992"/>
      <c r="P391" s="993"/>
      <c r="Q391" s="993"/>
      <c r="R391" s="993"/>
      <c r="S391" s="514"/>
      <c r="T391" s="514"/>
      <c r="U391" s="514"/>
      <c r="V391" s="514"/>
      <c r="W391" s="514"/>
      <c r="X391" s="514"/>
      <c r="Y391" s="514"/>
    </row>
    <row r="392">
      <c r="A392" s="514"/>
      <c r="B392" s="514"/>
      <c r="C392" s="514"/>
      <c r="D392" s="514"/>
      <c r="E392" s="514"/>
      <c r="F392" s="514"/>
      <c r="G392" s="514"/>
      <c r="H392" s="514"/>
      <c r="I392" s="514"/>
      <c r="J392" s="514"/>
      <c r="K392" s="514"/>
      <c r="L392" s="514"/>
      <c r="M392" s="514"/>
      <c r="N392" s="992"/>
      <c r="O392" s="992"/>
      <c r="P392" s="993"/>
      <c r="Q392" s="993"/>
      <c r="R392" s="993"/>
      <c r="S392" s="514"/>
      <c r="T392" s="514"/>
      <c r="U392" s="514"/>
      <c r="V392" s="514"/>
      <c r="W392" s="514"/>
      <c r="X392" s="514"/>
      <c r="Y392" s="514"/>
    </row>
    <row r="393">
      <c r="A393" s="514"/>
      <c r="B393" s="514"/>
      <c r="C393" s="514"/>
      <c r="D393" s="514"/>
      <c r="E393" s="514"/>
      <c r="F393" s="514"/>
      <c r="G393" s="514"/>
      <c r="H393" s="514"/>
      <c r="I393" s="514"/>
      <c r="J393" s="514"/>
      <c r="K393" s="514"/>
      <c r="L393" s="514"/>
      <c r="M393" s="514"/>
      <c r="N393" s="992"/>
      <c r="O393" s="992"/>
      <c r="P393" s="993"/>
      <c r="Q393" s="993"/>
      <c r="R393" s="993"/>
      <c r="S393" s="514"/>
      <c r="T393" s="514"/>
      <c r="U393" s="514"/>
      <c r="V393" s="514"/>
      <c r="W393" s="514"/>
      <c r="X393" s="514"/>
      <c r="Y393" s="514"/>
    </row>
    <row r="394">
      <c r="A394" s="514"/>
      <c r="B394" s="514"/>
      <c r="C394" s="514"/>
      <c r="D394" s="514"/>
      <c r="E394" s="514"/>
      <c r="F394" s="514"/>
      <c r="G394" s="514"/>
      <c r="H394" s="514"/>
      <c r="I394" s="514"/>
      <c r="J394" s="514"/>
      <c r="K394" s="514"/>
      <c r="L394" s="514"/>
      <c r="M394" s="514"/>
      <c r="N394" s="992"/>
      <c r="O394" s="992"/>
      <c r="P394" s="993"/>
      <c r="Q394" s="993"/>
      <c r="R394" s="993"/>
      <c r="S394" s="514"/>
      <c r="T394" s="514"/>
      <c r="U394" s="514"/>
      <c r="V394" s="514"/>
      <c r="W394" s="514"/>
      <c r="X394" s="514"/>
      <c r="Y394" s="514"/>
    </row>
    <row r="395">
      <c r="A395" s="514"/>
      <c r="B395" s="514"/>
      <c r="C395" s="514"/>
      <c r="D395" s="514"/>
      <c r="E395" s="514"/>
      <c r="F395" s="514"/>
      <c r="G395" s="514"/>
      <c r="H395" s="514"/>
      <c r="I395" s="514"/>
      <c r="J395" s="514"/>
      <c r="K395" s="514"/>
      <c r="L395" s="514"/>
      <c r="M395" s="514"/>
      <c r="N395" s="992"/>
      <c r="O395" s="992"/>
      <c r="P395" s="993"/>
      <c r="Q395" s="993"/>
      <c r="R395" s="993"/>
      <c r="S395" s="514"/>
      <c r="T395" s="514"/>
      <c r="U395" s="514"/>
      <c r="V395" s="514"/>
      <c r="W395" s="514"/>
      <c r="X395" s="514"/>
      <c r="Y395" s="514"/>
    </row>
    <row r="396">
      <c r="A396" s="514"/>
      <c r="B396" s="514"/>
      <c r="C396" s="514"/>
      <c r="D396" s="514"/>
      <c r="E396" s="514"/>
      <c r="F396" s="514"/>
      <c r="G396" s="514"/>
      <c r="H396" s="514"/>
      <c r="I396" s="514"/>
      <c r="J396" s="514"/>
      <c r="K396" s="514"/>
      <c r="L396" s="514"/>
      <c r="M396" s="514"/>
      <c r="N396" s="992"/>
      <c r="O396" s="992"/>
      <c r="P396" s="993"/>
      <c r="Q396" s="993"/>
      <c r="R396" s="993"/>
      <c r="S396" s="514"/>
      <c r="T396" s="514"/>
      <c r="U396" s="514"/>
      <c r="V396" s="514"/>
      <c r="W396" s="514"/>
      <c r="X396" s="514"/>
      <c r="Y396" s="514"/>
    </row>
    <row r="397">
      <c r="A397" s="514"/>
      <c r="B397" s="514"/>
      <c r="C397" s="514"/>
      <c r="D397" s="514"/>
      <c r="E397" s="514"/>
      <c r="F397" s="514"/>
      <c r="G397" s="514"/>
      <c r="H397" s="514"/>
      <c r="I397" s="514"/>
      <c r="J397" s="514"/>
      <c r="K397" s="514"/>
      <c r="L397" s="514"/>
      <c r="M397" s="514"/>
      <c r="N397" s="992"/>
      <c r="O397" s="992"/>
      <c r="P397" s="993"/>
      <c r="Q397" s="993"/>
      <c r="R397" s="993"/>
      <c r="S397" s="514"/>
      <c r="T397" s="514"/>
      <c r="U397" s="514"/>
      <c r="V397" s="514"/>
      <c r="W397" s="514"/>
      <c r="X397" s="514"/>
      <c r="Y397" s="514"/>
    </row>
    <row r="398">
      <c r="A398" s="514"/>
      <c r="B398" s="514"/>
      <c r="C398" s="514"/>
      <c r="D398" s="514"/>
      <c r="E398" s="514"/>
      <c r="F398" s="514"/>
      <c r="G398" s="514"/>
      <c r="H398" s="514"/>
      <c r="I398" s="514"/>
      <c r="J398" s="514"/>
      <c r="K398" s="514"/>
      <c r="L398" s="514"/>
      <c r="M398" s="514"/>
      <c r="N398" s="992"/>
      <c r="O398" s="992"/>
      <c r="P398" s="993"/>
      <c r="Q398" s="993"/>
      <c r="R398" s="993"/>
      <c r="S398" s="514"/>
      <c r="T398" s="514"/>
      <c r="U398" s="514"/>
      <c r="V398" s="514"/>
      <c r="W398" s="514"/>
      <c r="X398" s="514"/>
      <c r="Y398" s="514"/>
    </row>
    <row r="399">
      <c r="A399" s="514"/>
      <c r="B399" s="514"/>
      <c r="C399" s="514"/>
      <c r="D399" s="514"/>
      <c r="E399" s="514"/>
      <c r="F399" s="514"/>
      <c r="G399" s="514"/>
      <c r="H399" s="514"/>
      <c r="I399" s="514"/>
      <c r="J399" s="514"/>
      <c r="K399" s="514"/>
      <c r="L399" s="514"/>
      <c r="M399" s="514"/>
      <c r="N399" s="992"/>
      <c r="O399" s="992"/>
      <c r="P399" s="993"/>
      <c r="Q399" s="993"/>
      <c r="R399" s="993"/>
      <c r="S399" s="514"/>
      <c r="T399" s="514"/>
      <c r="U399" s="514"/>
      <c r="V399" s="514"/>
      <c r="W399" s="514"/>
      <c r="X399" s="514"/>
      <c r="Y399" s="514"/>
    </row>
    <row r="400">
      <c r="A400" s="514"/>
      <c r="B400" s="514"/>
      <c r="C400" s="514"/>
      <c r="D400" s="514"/>
      <c r="E400" s="514"/>
      <c r="F400" s="514"/>
      <c r="G400" s="514"/>
      <c r="H400" s="514"/>
      <c r="I400" s="514"/>
      <c r="J400" s="514"/>
      <c r="K400" s="514"/>
      <c r="L400" s="514"/>
      <c r="M400" s="514"/>
      <c r="N400" s="992"/>
      <c r="O400" s="992"/>
      <c r="P400" s="993"/>
      <c r="Q400" s="993"/>
      <c r="R400" s="993"/>
      <c r="S400" s="514"/>
      <c r="T400" s="514"/>
      <c r="U400" s="514"/>
      <c r="V400" s="514"/>
      <c r="W400" s="514"/>
      <c r="X400" s="514"/>
      <c r="Y400" s="514"/>
    </row>
    <row r="401">
      <c r="A401" s="514"/>
      <c r="B401" s="514"/>
      <c r="C401" s="514"/>
      <c r="D401" s="514"/>
      <c r="E401" s="514"/>
      <c r="F401" s="514"/>
      <c r="G401" s="514"/>
      <c r="H401" s="514"/>
      <c r="I401" s="514"/>
      <c r="J401" s="514"/>
      <c r="K401" s="514"/>
      <c r="L401" s="514"/>
      <c r="M401" s="514"/>
      <c r="N401" s="992"/>
      <c r="O401" s="992"/>
      <c r="P401" s="993"/>
      <c r="Q401" s="993"/>
      <c r="R401" s="993"/>
      <c r="S401" s="514"/>
      <c r="T401" s="514"/>
      <c r="U401" s="514"/>
      <c r="V401" s="514"/>
      <c r="W401" s="514"/>
      <c r="X401" s="514"/>
      <c r="Y401" s="514"/>
    </row>
    <row r="402">
      <c r="A402" s="514"/>
      <c r="B402" s="514"/>
      <c r="C402" s="514"/>
      <c r="D402" s="514"/>
      <c r="E402" s="514"/>
      <c r="F402" s="514"/>
      <c r="G402" s="514"/>
      <c r="H402" s="514"/>
      <c r="I402" s="514"/>
      <c r="J402" s="514"/>
      <c r="K402" s="514"/>
      <c r="L402" s="514"/>
      <c r="M402" s="514"/>
      <c r="N402" s="992"/>
      <c r="O402" s="992"/>
      <c r="P402" s="993"/>
      <c r="Q402" s="993"/>
      <c r="R402" s="993"/>
      <c r="S402" s="514"/>
      <c r="T402" s="514"/>
      <c r="U402" s="514"/>
      <c r="V402" s="514"/>
      <c r="W402" s="514"/>
      <c r="X402" s="514"/>
      <c r="Y402" s="514"/>
    </row>
    <row r="403">
      <c r="A403" s="514"/>
      <c r="B403" s="514"/>
      <c r="C403" s="514"/>
      <c r="D403" s="514"/>
      <c r="E403" s="514"/>
      <c r="F403" s="514"/>
      <c r="G403" s="514"/>
      <c r="H403" s="514"/>
      <c r="I403" s="514"/>
      <c r="J403" s="514"/>
      <c r="K403" s="514"/>
      <c r="L403" s="514"/>
      <c r="M403" s="514"/>
      <c r="N403" s="992"/>
      <c r="O403" s="992"/>
      <c r="P403" s="993"/>
      <c r="Q403" s="993"/>
      <c r="R403" s="993"/>
      <c r="S403" s="514"/>
      <c r="T403" s="514"/>
      <c r="U403" s="514"/>
      <c r="V403" s="514"/>
      <c r="W403" s="514"/>
      <c r="X403" s="514"/>
      <c r="Y403" s="514"/>
    </row>
    <row r="404">
      <c r="A404" s="514"/>
      <c r="B404" s="514"/>
      <c r="C404" s="514"/>
      <c r="D404" s="514"/>
      <c r="E404" s="514"/>
      <c r="F404" s="514"/>
      <c r="G404" s="514"/>
      <c r="H404" s="514"/>
      <c r="I404" s="514"/>
      <c r="J404" s="514"/>
      <c r="K404" s="514"/>
      <c r="L404" s="514"/>
      <c r="M404" s="514"/>
      <c r="N404" s="992"/>
      <c r="O404" s="992"/>
      <c r="P404" s="993"/>
      <c r="Q404" s="993"/>
      <c r="R404" s="993"/>
      <c r="S404" s="514"/>
      <c r="T404" s="514"/>
      <c r="U404" s="514"/>
      <c r="V404" s="514"/>
      <c r="W404" s="514"/>
      <c r="X404" s="514"/>
      <c r="Y404" s="514"/>
    </row>
    <row r="405">
      <c r="A405" s="514"/>
      <c r="B405" s="514"/>
      <c r="C405" s="514"/>
      <c r="D405" s="514"/>
      <c r="E405" s="514"/>
      <c r="F405" s="514"/>
      <c r="G405" s="514"/>
      <c r="H405" s="514"/>
      <c r="I405" s="514"/>
      <c r="J405" s="514"/>
      <c r="K405" s="514"/>
      <c r="L405" s="514"/>
      <c r="M405" s="514"/>
      <c r="N405" s="992"/>
      <c r="O405" s="992"/>
      <c r="P405" s="993"/>
      <c r="Q405" s="993"/>
      <c r="R405" s="993"/>
      <c r="S405" s="514"/>
      <c r="T405" s="514"/>
      <c r="U405" s="514"/>
      <c r="V405" s="514"/>
      <c r="W405" s="514"/>
      <c r="X405" s="514"/>
      <c r="Y405" s="514"/>
    </row>
    <row r="406">
      <c r="A406" s="514"/>
      <c r="B406" s="514"/>
      <c r="C406" s="514"/>
      <c r="D406" s="514"/>
      <c r="E406" s="514"/>
      <c r="F406" s="514"/>
      <c r="G406" s="514"/>
      <c r="H406" s="514"/>
      <c r="I406" s="514"/>
      <c r="J406" s="514"/>
      <c r="K406" s="514"/>
      <c r="L406" s="514"/>
      <c r="M406" s="514"/>
      <c r="N406" s="992"/>
      <c r="O406" s="992"/>
      <c r="P406" s="993"/>
      <c r="Q406" s="993"/>
      <c r="R406" s="993"/>
      <c r="S406" s="514"/>
      <c r="T406" s="514"/>
      <c r="U406" s="514"/>
      <c r="V406" s="514"/>
      <c r="W406" s="514"/>
      <c r="X406" s="514"/>
      <c r="Y406" s="514"/>
    </row>
    <row r="407">
      <c r="A407" s="514"/>
      <c r="B407" s="514"/>
      <c r="C407" s="514"/>
      <c r="D407" s="514"/>
      <c r="E407" s="514"/>
      <c r="F407" s="514"/>
      <c r="G407" s="514"/>
      <c r="H407" s="514"/>
      <c r="I407" s="514"/>
      <c r="J407" s="514"/>
      <c r="K407" s="514"/>
      <c r="L407" s="514"/>
      <c r="M407" s="514"/>
      <c r="N407" s="992"/>
      <c r="O407" s="992"/>
      <c r="P407" s="993"/>
      <c r="Q407" s="993"/>
      <c r="R407" s="993"/>
      <c r="S407" s="514"/>
      <c r="T407" s="514"/>
      <c r="U407" s="514"/>
      <c r="V407" s="514"/>
      <c r="W407" s="514"/>
      <c r="X407" s="514"/>
      <c r="Y407" s="514"/>
    </row>
    <row r="408">
      <c r="A408" s="514"/>
      <c r="B408" s="514"/>
      <c r="C408" s="514"/>
      <c r="D408" s="514"/>
      <c r="E408" s="514"/>
      <c r="F408" s="514"/>
      <c r="G408" s="514"/>
      <c r="H408" s="514"/>
      <c r="I408" s="514"/>
      <c r="J408" s="514"/>
      <c r="K408" s="514"/>
      <c r="L408" s="514"/>
      <c r="M408" s="514"/>
      <c r="N408" s="992"/>
      <c r="O408" s="992"/>
      <c r="P408" s="993"/>
      <c r="Q408" s="993"/>
      <c r="R408" s="993"/>
      <c r="S408" s="514"/>
      <c r="T408" s="514"/>
      <c r="U408" s="514"/>
      <c r="V408" s="514"/>
      <c r="W408" s="514"/>
      <c r="X408" s="514"/>
      <c r="Y408" s="514"/>
    </row>
    <row r="409">
      <c r="A409" s="514"/>
      <c r="B409" s="514"/>
      <c r="C409" s="514"/>
      <c r="D409" s="514"/>
      <c r="E409" s="514"/>
      <c r="F409" s="514"/>
      <c r="G409" s="514"/>
      <c r="H409" s="514"/>
      <c r="I409" s="514"/>
      <c r="J409" s="514"/>
      <c r="K409" s="514"/>
      <c r="L409" s="514"/>
      <c r="M409" s="514"/>
      <c r="N409" s="992"/>
      <c r="O409" s="992"/>
      <c r="P409" s="993"/>
      <c r="Q409" s="993"/>
      <c r="R409" s="993"/>
      <c r="S409" s="514"/>
      <c r="T409" s="514"/>
      <c r="U409" s="514"/>
      <c r="V409" s="514"/>
      <c r="W409" s="514"/>
      <c r="X409" s="514"/>
      <c r="Y409" s="514"/>
    </row>
    <row r="410">
      <c r="A410" s="514"/>
      <c r="B410" s="514"/>
      <c r="C410" s="514"/>
      <c r="D410" s="514"/>
      <c r="E410" s="514"/>
      <c r="F410" s="514"/>
      <c r="G410" s="514"/>
      <c r="H410" s="514"/>
      <c r="I410" s="514"/>
      <c r="J410" s="514"/>
      <c r="K410" s="514"/>
      <c r="L410" s="514"/>
      <c r="M410" s="514"/>
      <c r="N410" s="992"/>
      <c r="O410" s="992"/>
      <c r="P410" s="993"/>
      <c r="Q410" s="993"/>
      <c r="R410" s="993"/>
      <c r="S410" s="514"/>
      <c r="T410" s="514"/>
      <c r="U410" s="514"/>
      <c r="V410" s="514"/>
      <c r="W410" s="514"/>
      <c r="X410" s="514"/>
      <c r="Y410" s="514"/>
    </row>
    <row r="411">
      <c r="A411" s="514"/>
      <c r="B411" s="514"/>
      <c r="C411" s="514"/>
      <c r="D411" s="514"/>
      <c r="E411" s="514"/>
      <c r="F411" s="514"/>
      <c r="G411" s="514"/>
      <c r="H411" s="514"/>
      <c r="I411" s="514"/>
      <c r="J411" s="514"/>
      <c r="K411" s="514"/>
      <c r="L411" s="514"/>
      <c r="M411" s="514"/>
      <c r="N411" s="992"/>
      <c r="O411" s="992"/>
      <c r="P411" s="993"/>
      <c r="Q411" s="993"/>
      <c r="R411" s="993"/>
      <c r="S411" s="514"/>
      <c r="T411" s="514"/>
      <c r="U411" s="514"/>
      <c r="V411" s="514"/>
      <c r="W411" s="514"/>
      <c r="X411" s="514"/>
      <c r="Y411" s="514"/>
    </row>
    <row r="412">
      <c r="A412" s="514"/>
      <c r="B412" s="514"/>
      <c r="C412" s="514"/>
      <c r="D412" s="514"/>
      <c r="E412" s="514"/>
      <c r="F412" s="514"/>
      <c r="G412" s="514"/>
      <c r="H412" s="514"/>
      <c r="I412" s="514"/>
      <c r="J412" s="514"/>
      <c r="K412" s="514"/>
      <c r="L412" s="514"/>
      <c r="M412" s="514"/>
      <c r="N412" s="992"/>
      <c r="O412" s="992"/>
      <c r="P412" s="993"/>
      <c r="Q412" s="993"/>
      <c r="R412" s="993"/>
      <c r="S412" s="514"/>
      <c r="T412" s="514"/>
      <c r="U412" s="514"/>
      <c r="V412" s="514"/>
      <c r="W412" s="514"/>
      <c r="X412" s="514"/>
      <c r="Y412" s="514"/>
    </row>
    <row r="413">
      <c r="A413" s="514"/>
      <c r="B413" s="514"/>
      <c r="C413" s="514"/>
      <c r="D413" s="514"/>
      <c r="E413" s="514"/>
      <c r="F413" s="514"/>
      <c r="G413" s="514"/>
      <c r="H413" s="514"/>
      <c r="I413" s="514"/>
      <c r="J413" s="514"/>
      <c r="K413" s="514"/>
      <c r="L413" s="514"/>
      <c r="M413" s="514"/>
      <c r="N413" s="992"/>
      <c r="O413" s="992"/>
      <c r="P413" s="993"/>
      <c r="Q413" s="993"/>
      <c r="R413" s="993"/>
      <c r="S413" s="514"/>
      <c r="T413" s="514"/>
      <c r="U413" s="514"/>
      <c r="V413" s="514"/>
      <c r="W413" s="514"/>
      <c r="X413" s="514"/>
      <c r="Y413" s="514"/>
    </row>
    <row r="414">
      <c r="A414" s="514"/>
      <c r="B414" s="514"/>
      <c r="C414" s="514"/>
      <c r="D414" s="514"/>
      <c r="E414" s="514"/>
      <c r="F414" s="514"/>
      <c r="G414" s="514"/>
      <c r="H414" s="514"/>
      <c r="I414" s="514"/>
      <c r="J414" s="514"/>
      <c r="K414" s="514"/>
      <c r="L414" s="514"/>
      <c r="M414" s="514"/>
      <c r="N414" s="992"/>
      <c r="O414" s="992"/>
      <c r="P414" s="993"/>
      <c r="Q414" s="993"/>
      <c r="R414" s="993"/>
      <c r="S414" s="514"/>
      <c r="T414" s="514"/>
      <c r="U414" s="514"/>
      <c r="V414" s="514"/>
      <c r="W414" s="514"/>
      <c r="X414" s="514"/>
      <c r="Y414" s="514"/>
    </row>
    <row r="415">
      <c r="A415" s="514"/>
      <c r="B415" s="514"/>
      <c r="C415" s="514"/>
      <c r="D415" s="514"/>
      <c r="E415" s="514"/>
      <c r="F415" s="514"/>
      <c r="G415" s="514"/>
      <c r="H415" s="514"/>
      <c r="I415" s="514"/>
      <c r="J415" s="514"/>
      <c r="K415" s="514"/>
      <c r="L415" s="514"/>
      <c r="M415" s="514"/>
      <c r="N415" s="992"/>
      <c r="O415" s="992"/>
      <c r="P415" s="993"/>
      <c r="Q415" s="993"/>
      <c r="R415" s="993"/>
      <c r="S415" s="514"/>
      <c r="T415" s="514"/>
      <c r="U415" s="514"/>
      <c r="V415" s="514"/>
      <c r="W415" s="514"/>
      <c r="X415" s="514"/>
      <c r="Y415" s="514"/>
    </row>
    <row r="416">
      <c r="A416" s="514"/>
      <c r="B416" s="514"/>
      <c r="C416" s="514"/>
      <c r="D416" s="514"/>
      <c r="E416" s="514"/>
      <c r="F416" s="514"/>
      <c r="G416" s="514"/>
      <c r="H416" s="514"/>
      <c r="I416" s="514"/>
      <c r="J416" s="514"/>
      <c r="K416" s="514"/>
      <c r="L416" s="514"/>
      <c r="M416" s="514"/>
      <c r="N416" s="992"/>
      <c r="O416" s="992"/>
      <c r="P416" s="993"/>
      <c r="Q416" s="993"/>
      <c r="R416" s="993"/>
      <c r="S416" s="514"/>
      <c r="T416" s="514"/>
      <c r="U416" s="514"/>
      <c r="V416" s="514"/>
      <c r="W416" s="514"/>
      <c r="X416" s="514"/>
      <c r="Y416" s="514"/>
    </row>
    <row r="417">
      <c r="A417" s="514"/>
      <c r="B417" s="514"/>
      <c r="C417" s="514"/>
      <c r="D417" s="514"/>
      <c r="E417" s="514"/>
      <c r="F417" s="514"/>
      <c r="G417" s="514"/>
      <c r="H417" s="514"/>
      <c r="I417" s="514"/>
      <c r="J417" s="514"/>
      <c r="K417" s="514"/>
      <c r="L417" s="514"/>
      <c r="M417" s="514"/>
      <c r="N417" s="992"/>
      <c r="O417" s="992"/>
      <c r="P417" s="993"/>
      <c r="Q417" s="993"/>
      <c r="R417" s="993"/>
      <c r="S417" s="514"/>
      <c r="T417" s="514"/>
      <c r="U417" s="514"/>
      <c r="V417" s="514"/>
      <c r="W417" s="514"/>
      <c r="X417" s="514"/>
      <c r="Y417" s="514"/>
    </row>
    <row r="418">
      <c r="A418" s="514"/>
      <c r="B418" s="514"/>
      <c r="C418" s="514"/>
      <c r="D418" s="514"/>
      <c r="E418" s="514"/>
      <c r="F418" s="514"/>
      <c r="G418" s="514"/>
      <c r="H418" s="514"/>
      <c r="I418" s="514"/>
      <c r="J418" s="514"/>
      <c r="K418" s="514"/>
      <c r="L418" s="514"/>
      <c r="M418" s="514"/>
      <c r="N418" s="992"/>
      <c r="O418" s="992"/>
      <c r="P418" s="993"/>
      <c r="Q418" s="993"/>
      <c r="R418" s="993"/>
      <c r="S418" s="514"/>
      <c r="T418" s="514"/>
      <c r="U418" s="514"/>
      <c r="V418" s="514"/>
      <c r="W418" s="514"/>
      <c r="X418" s="514"/>
      <c r="Y418" s="514"/>
    </row>
    <row r="419">
      <c r="A419" s="514"/>
      <c r="B419" s="514"/>
      <c r="C419" s="514"/>
      <c r="D419" s="514"/>
      <c r="E419" s="514"/>
      <c r="F419" s="514"/>
      <c r="G419" s="514"/>
      <c r="H419" s="514"/>
      <c r="I419" s="514"/>
      <c r="J419" s="514"/>
      <c r="K419" s="514"/>
      <c r="L419" s="514"/>
      <c r="M419" s="514"/>
      <c r="N419" s="992"/>
      <c r="O419" s="992"/>
      <c r="P419" s="993"/>
      <c r="Q419" s="993"/>
      <c r="R419" s="993"/>
      <c r="S419" s="514"/>
      <c r="T419" s="514"/>
      <c r="U419" s="514"/>
      <c r="V419" s="514"/>
      <c r="W419" s="514"/>
      <c r="X419" s="514"/>
      <c r="Y419" s="514"/>
    </row>
    <row r="420">
      <c r="A420" s="514"/>
      <c r="B420" s="514"/>
      <c r="C420" s="514"/>
      <c r="D420" s="514"/>
      <c r="E420" s="514"/>
      <c r="F420" s="514"/>
      <c r="G420" s="514"/>
      <c r="H420" s="514"/>
      <c r="I420" s="514"/>
      <c r="J420" s="514"/>
      <c r="K420" s="514"/>
      <c r="L420" s="514"/>
      <c r="M420" s="514"/>
      <c r="N420" s="992"/>
      <c r="O420" s="992"/>
      <c r="P420" s="993"/>
      <c r="Q420" s="993"/>
      <c r="R420" s="993"/>
      <c r="S420" s="514"/>
      <c r="T420" s="514"/>
      <c r="U420" s="514"/>
      <c r="V420" s="514"/>
      <c r="W420" s="514"/>
      <c r="X420" s="514"/>
      <c r="Y420" s="514"/>
    </row>
    <row r="421">
      <c r="A421" s="514"/>
      <c r="B421" s="514"/>
      <c r="C421" s="514"/>
      <c r="D421" s="514"/>
      <c r="E421" s="514"/>
      <c r="F421" s="514"/>
      <c r="G421" s="514"/>
      <c r="H421" s="514"/>
      <c r="I421" s="514"/>
      <c r="J421" s="514"/>
      <c r="K421" s="514"/>
      <c r="L421" s="514"/>
      <c r="M421" s="514"/>
      <c r="N421" s="992"/>
      <c r="O421" s="992"/>
      <c r="P421" s="993"/>
      <c r="Q421" s="993"/>
      <c r="R421" s="993"/>
      <c r="S421" s="514"/>
      <c r="T421" s="514"/>
      <c r="U421" s="514"/>
      <c r="V421" s="514"/>
      <c r="W421" s="514"/>
      <c r="X421" s="514"/>
      <c r="Y421" s="514"/>
    </row>
    <row r="422">
      <c r="A422" s="514"/>
      <c r="B422" s="514"/>
      <c r="C422" s="514"/>
      <c r="D422" s="514"/>
      <c r="E422" s="514"/>
      <c r="F422" s="514"/>
      <c r="G422" s="514"/>
      <c r="H422" s="514"/>
      <c r="I422" s="514"/>
      <c r="J422" s="514"/>
      <c r="K422" s="514"/>
      <c r="L422" s="514"/>
      <c r="M422" s="514"/>
      <c r="N422" s="992"/>
      <c r="O422" s="992"/>
      <c r="P422" s="993"/>
      <c r="Q422" s="993"/>
      <c r="R422" s="993"/>
      <c r="S422" s="514"/>
      <c r="T422" s="514"/>
      <c r="U422" s="514"/>
      <c r="V422" s="514"/>
      <c r="W422" s="514"/>
      <c r="X422" s="514"/>
      <c r="Y422" s="514"/>
    </row>
    <row r="423">
      <c r="A423" s="514"/>
      <c r="B423" s="514"/>
      <c r="C423" s="514"/>
      <c r="D423" s="514"/>
      <c r="E423" s="514"/>
      <c r="F423" s="514"/>
      <c r="G423" s="514"/>
      <c r="H423" s="514"/>
      <c r="I423" s="514"/>
      <c r="J423" s="514"/>
      <c r="K423" s="514"/>
      <c r="L423" s="514"/>
      <c r="M423" s="514"/>
      <c r="N423" s="992"/>
      <c r="O423" s="992"/>
      <c r="P423" s="993"/>
      <c r="Q423" s="993"/>
      <c r="R423" s="993"/>
      <c r="S423" s="514"/>
      <c r="T423" s="514"/>
      <c r="U423" s="514"/>
      <c r="V423" s="514"/>
      <c r="W423" s="514"/>
      <c r="X423" s="514"/>
      <c r="Y423" s="514"/>
    </row>
    <row r="424">
      <c r="A424" s="514"/>
      <c r="B424" s="514"/>
      <c r="C424" s="514"/>
      <c r="D424" s="514"/>
      <c r="E424" s="514"/>
      <c r="F424" s="514"/>
      <c r="G424" s="514"/>
      <c r="H424" s="514"/>
      <c r="I424" s="514"/>
      <c r="J424" s="514"/>
      <c r="K424" s="514"/>
      <c r="L424" s="514"/>
      <c r="M424" s="514"/>
      <c r="N424" s="992"/>
      <c r="O424" s="992"/>
      <c r="P424" s="993"/>
      <c r="Q424" s="993"/>
      <c r="R424" s="993"/>
      <c r="S424" s="514"/>
      <c r="T424" s="514"/>
      <c r="U424" s="514"/>
      <c r="V424" s="514"/>
      <c r="W424" s="514"/>
      <c r="X424" s="514"/>
      <c r="Y424" s="514"/>
    </row>
    <row r="425">
      <c r="A425" s="514"/>
      <c r="B425" s="514"/>
      <c r="C425" s="514"/>
      <c r="D425" s="514"/>
      <c r="E425" s="514"/>
      <c r="F425" s="514"/>
      <c r="G425" s="514"/>
      <c r="H425" s="514"/>
      <c r="I425" s="514"/>
      <c r="J425" s="514"/>
      <c r="K425" s="514"/>
      <c r="L425" s="514"/>
      <c r="M425" s="514"/>
      <c r="N425" s="992"/>
      <c r="O425" s="992"/>
      <c r="P425" s="993"/>
      <c r="Q425" s="993"/>
      <c r="R425" s="993"/>
      <c r="S425" s="514"/>
      <c r="T425" s="514"/>
      <c r="U425" s="514"/>
      <c r="V425" s="514"/>
      <c r="W425" s="514"/>
      <c r="X425" s="514"/>
      <c r="Y425" s="514"/>
    </row>
    <row r="426">
      <c r="A426" s="514"/>
      <c r="B426" s="514"/>
      <c r="C426" s="514"/>
      <c r="D426" s="514"/>
      <c r="E426" s="514"/>
      <c r="F426" s="514"/>
      <c r="G426" s="514"/>
      <c r="H426" s="514"/>
      <c r="I426" s="514"/>
      <c r="J426" s="514"/>
      <c r="K426" s="514"/>
      <c r="L426" s="514"/>
      <c r="M426" s="514"/>
      <c r="N426" s="992"/>
      <c r="O426" s="992"/>
      <c r="P426" s="993"/>
      <c r="Q426" s="993"/>
      <c r="R426" s="993"/>
      <c r="S426" s="514"/>
      <c r="T426" s="514"/>
      <c r="U426" s="514"/>
      <c r="V426" s="514"/>
      <c r="W426" s="514"/>
      <c r="X426" s="514"/>
      <c r="Y426" s="514"/>
    </row>
    <row r="427">
      <c r="A427" s="514"/>
      <c r="B427" s="514"/>
      <c r="C427" s="514"/>
      <c r="D427" s="514"/>
      <c r="E427" s="514"/>
      <c r="F427" s="514"/>
      <c r="G427" s="514"/>
      <c r="H427" s="514"/>
      <c r="I427" s="514"/>
      <c r="J427" s="514"/>
      <c r="K427" s="514"/>
      <c r="L427" s="514"/>
      <c r="M427" s="514"/>
      <c r="N427" s="992"/>
      <c r="O427" s="992"/>
      <c r="P427" s="993"/>
      <c r="Q427" s="993"/>
      <c r="R427" s="993"/>
      <c r="S427" s="514"/>
      <c r="T427" s="514"/>
      <c r="U427" s="514"/>
      <c r="V427" s="514"/>
      <c r="W427" s="514"/>
      <c r="X427" s="514"/>
      <c r="Y427" s="514"/>
    </row>
    <row r="428">
      <c r="A428" s="514"/>
      <c r="B428" s="514"/>
      <c r="C428" s="514"/>
      <c r="D428" s="514"/>
      <c r="E428" s="514"/>
      <c r="F428" s="514"/>
      <c r="G428" s="514"/>
      <c r="H428" s="514"/>
      <c r="I428" s="514"/>
      <c r="J428" s="514"/>
      <c r="K428" s="514"/>
      <c r="L428" s="514"/>
      <c r="M428" s="514"/>
      <c r="N428" s="992"/>
      <c r="O428" s="992"/>
      <c r="P428" s="993"/>
      <c r="Q428" s="993"/>
      <c r="R428" s="993"/>
      <c r="S428" s="514"/>
      <c r="T428" s="514"/>
      <c r="U428" s="514"/>
      <c r="V428" s="514"/>
      <c r="W428" s="514"/>
      <c r="X428" s="514"/>
      <c r="Y428" s="514"/>
    </row>
    <row r="429">
      <c r="A429" s="514"/>
      <c r="B429" s="514"/>
      <c r="C429" s="514"/>
      <c r="D429" s="514"/>
      <c r="E429" s="514"/>
      <c r="F429" s="514"/>
      <c r="G429" s="514"/>
      <c r="H429" s="514"/>
      <c r="I429" s="514"/>
      <c r="J429" s="514"/>
      <c r="K429" s="514"/>
      <c r="L429" s="514"/>
      <c r="M429" s="514"/>
      <c r="N429" s="992"/>
      <c r="O429" s="992"/>
      <c r="P429" s="993"/>
      <c r="Q429" s="993"/>
      <c r="R429" s="993"/>
      <c r="S429" s="514"/>
      <c r="T429" s="514"/>
      <c r="U429" s="514"/>
      <c r="V429" s="514"/>
      <c r="W429" s="514"/>
      <c r="X429" s="514"/>
      <c r="Y429" s="514"/>
    </row>
    <row r="430">
      <c r="A430" s="514"/>
      <c r="B430" s="514"/>
      <c r="C430" s="514"/>
      <c r="D430" s="514"/>
      <c r="E430" s="514"/>
      <c r="F430" s="514"/>
      <c r="G430" s="514"/>
      <c r="H430" s="514"/>
      <c r="I430" s="514"/>
      <c r="J430" s="514"/>
      <c r="K430" s="514"/>
      <c r="L430" s="514"/>
      <c r="M430" s="514"/>
      <c r="N430" s="992"/>
      <c r="O430" s="992"/>
      <c r="P430" s="993"/>
      <c r="Q430" s="993"/>
      <c r="R430" s="993"/>
      <c r="S430" s="514"/>
      <c r="T430" s="514"/>
      <c r="U430" s="514"/>
      <c r="V430" s="514"/>
      <c r="W430" s="514"/>
      <c r="X430" s="514"/>
      <c r="Y430" s="514"/>
    </row>
    <row r="431">
      <c r="A431" s="514"/>
      <c r="B431" s="514"/>
      <c r="C431" s="514"/>
      <c r="D431" s="514"/>
      <c r="E431" s="514"/>
      <c r="F431" s="514"/>
      <c r="G431" s="514"/>
      <c r="H431" s="514"/>
      <c r="I431" s="514"/>
      <c r="J431" s="514"/>
      <c r="K431" s="514"/>
      <c r="L431" s="514"/>
      <c r="M431" s="514"/>
      <c r="N431" s="992"/>
      <c r="O431" s="992"/>
      <c r="P431" s="993"/>
      <c r="Q431" s="993"/>
      <c r="R431" s="993"/>
      <c r="S431" s="514"/>
      <c r="T431" s="514"/>
      <c r="U431" s="514"/>
      <c r="V431" s="514"/>
      <c r="W431" s="514"/>
      <c r="X431" s="514"/>
      <c r="Y431" s="514"/>
    </row>
    <row r="432">
      <c r="A432" s="514"/>
      <c r="B432" s="514"/>
      <c r="C432" s="514"/>
      <c r="D432" s="514"/>
      <c r="E432" s="514"/>
      <c r="F432" s="514"/>
      <c r="G432" s="514"/>
      <c r="H432" s="514"/>
      <c r="I432" s="514"/>
      <c r="J432" s="514"/>
      <c r="K432" s="514"/>
      <c r="L432" s="514"/>
      <c r="M432" s="514"/>
      <c r="N432" s="992"/>
      <c r="O432" s="992"/>
      <c r="P432" s="993"/>
      <c r="Q432" s="993"/>
      <c r="R432" s="993"/>
      <c r="S432" s="514"/>
      <c r="T432" s="514"/>
      <c r="U432" s="514"/>
      <c r="V432" s="514"/>
      <c r="W432" s="514"/>
      <c r="X432" s="514"/>
      <c r="Y432" s="514"/>
    </row>
    <row r="433">
      <c r="A433" s="514"/>
      <c r="B433" s="514"/>
      <c r="C433" s="514"/>
      <c r="D433" s="514"/>
      <c r="E433" s="514"/>
      <c r="F433" s="514"/>
      <c r="G433" s="514"/>
      <c r="H433" s="514"/>
      <c r="I433" s="514"/>
      <c r="J433" s="514"/>
      <c r="K433" s="514"/>
      <c r="L433" s="514"/>
      <c r="M433" s="514"/>
      <c r="N433" s="992"/>
      <c r="O433" s="992"/>
      <c r="P433" s="993"/>
      <c r="Q433" s="993"/>
      <c r="R433" s="993"/>
      <c r="S433" s="514"/>
      <c r="T433" s="514"/>
      <c r="U433" s="514"/>
      <c r="V433" s="514"/>
      <c r="W433" s="514"/>
      <c r="X433" s="514"/>
      <c r="Y433" s="514"/>
    </row>
    <row r="434">
      <c r="A434" s="514"/>
      <c r="B434" s="514"/>
      <c r="C434" s="514"/>
      <c r="D434" s="514"/>
      <c r="E434" s="514"/>
      <c r="F434" s="514"/>
      <c r="G434" s="514"/>
      <c r="H434" s="514"/>
      <c r="I434" s="514"/>
      <c r="J434" s="514"/>
      <c r="K434" s="514"/>
      <c r="L434" s="514"/>
      <c r="M434" s="514"/>
      <c r="N434" s="992"/>
      <c r="O434" s="992"/>
      <c r="P434" s="993"/>
      <c r="Q434" s="993"/>
      <c r="R434" s="993"/>
      <c r="S434" s="514"/>
      <c r="T434" s="514"/>
      <c r="U434" s="514"/>
      <c r="V434" s="514"/>
      <c r="W434" s="514"/>
      <c r="X434" s="514"/>
      <c r="Y434" s="514"/>
    </row>
    <row r="435">
      <c r="A435" s="514"/>
      <c r="B435" s="514"/>
      <c r="C435" s="514"/>
      <c r="D435" s="514"/>
      <c r="E435" s="514"/>
      <c r="F435" s="514"/>
      <c r="G435" s="514"/>
      <c r="H435" s="514"/>
      <c r="I435" s="514"/>
      <c r="J435" s="514"/>
      <c r="K435" s="514"/>
      <c r="L435" s="514"/>
      <c r="M435" s="514"/>
      <c r="N435" s="992"/>
      <c r="O435" s="992"/>
      <c r="P435" s="993"/>
      <c r="Q435" s="993"/>
      <c r="R435" s="993"/>
      <c r="S435" s="514"/>
      <c r="T435" s="514"/>
      <c r="U435" s="514"/>
      <c r="V435" s="514"/>
      <c r="W435" s="514"/>
      <c r="X435" s="514"/>
      <c r="Y435" s="514"/>
    </row>
    <row r="436">
      <c r="A436" s="514"/>
      <c r="B436" s="514"/>
      <c r="C436" s="514"/>
      <c r="D436" s="514"/>
      <c r="E436" s="514"/>
      <c r="F436" s="514"/>
      <c r="G436" s="514"/>
      <c r="H436" s="514"/>
      <c r="I436" s="514"/>
      <c r="J436" s="514"/>
      <c r="K436" s="514"/>
      <c r="L436" s="514"/>
      <c r="M436" s="514"/>
      <c r="N436" s="992"/>
      <c r="O436" s="992"/>
      <c r="P436" s="993"/>
      <c r="Q436" s="993"/>
      <c r="R436" s="993"/>
      <c r="S436" s="514"/>
      <c r="T436" s="514"/>
      <c r="U436" s="514"/>
      <c r="V436" s="514"/>
      <c r="W436" s="514"/>
      <c r="X436" s="514"/>
      <c r="Y436" s="514"/>
    </row>
    <row r="437">
      <c r="A437" s="514"/>
      <c r="B437" s="514"/>
      <c r="C437" s="514"/>
      <c r="D437" s="514"/>
      <c r="E437" s="514"/>
      <c r="F437" s="514"/>
      <c r="G437" s="514"/>
      <c r="H437" s="514"/>
      <c r="I437" s="514"/>
      <c r="J437" s="514"/>
      <c r="K437" s="514"/>
      <c r="L437" s="514"/>
      <c r="M437" s="514"/>
      <c r="N437" s="992"/>
      <c r="O437" s="992"/>
      <c r="P437" s="993"/>
      <c r="Q437" s="993"/>
      <c r="R437" s="993"/>
      <c r="S437" s="514"/>
      <c r="T437" s="514"/>
      <c r="U437" s="514"/>
      <c r="V437" s="514"/>
      <c r="W437" s="514"/>
      <c r="X437" s="514"/>
      <c r="Y437" s="514"/>
    </row>
    <row r="438">
      <c r="A438" s="514"/>
      <c r="B438" s="514"/>
      <c r="C438" s="514"/>
      <c r="D438" s="514"/>
      <c r="E438" s="514"/>
      <c r="F438" s="514"/>
      <c r="G438" s="514"/>
      <c r="H438" s="514"/>
      <c r="I438" s="514"/>
      <c r="J438" s="514"/>
      <c r="K438" s="514"/>
      <c r="L438" s="514"/>
      <c r="M438" s="514"/>
      <c r="N438" s="992"/>
      <c r="O438" s="992"/>
      <c r="P438" s="993"/>
      <c r="Q438" s="993"/>
      <c r="R438" s="993"/>
      <c r="S438" s="514"/>
      <c r="T438" s="514"/>
      <c r="U438" s="514"/>
      <c r="V438" s="514"/>
      <c r="W438" s="514"/>
      <c r="X438" s="514"/>
      <c r="Y438" s="514"/>
    </row>
    <row r="439">
      <c r="A439" s="514"/>
      <c r="B439" s="514"/>
      <c r="C439" s="514"/>
      <c r="D439" s="514"/>
      <c r="E439" s="514"/>
      <c r="F439" s="514"/>
      <c r="G439" s="514"/>
      <c r="H439" s="514"/>
      <c r="I439" s="514"/>
      <c r="J439" s="514"/>
      <c r="K439" s="514"/>
      <c r="L439" s="514"/>
      <c r="M439" s="514"/>
      <c r="N439" s="992"/>
      <c r="O439" s="992"/>
      <c r="P439" s="993"/>
      <c r="Q439" s="993"/>
      <c r="R439" s="993"/>
      <c r="S439" s="514"/>
      <c r="T439" s="514"/>
      <c r="U439" s="514"/>
      <c r="V439" s="514"/>
      <c r="W439" s="514"/>
      <c r="X439" s="514"/>
      <c r="Y439" s="514"/>
    </row>
    <row r="440">
      <c r="A440" s="514"/>
      <c r="B440" s="514"/>
      <c r="C440" s="514"/>
      <c r="D440" s="514"/>
      <c r="E440" s="514"/>
      <c r="F440" s="514"/>
      <c r="G440" s="514"/>
      <c r="H440" s="514"/>
      <c r="I440" s="514"/>
      <c r="J440" s="514"/>
      <c r="K440" s="514"/>
      <c r="L440" s="514"/>
      <c r="M440" s="514"/>
      <c r="N440" s="992"/>
      <c r="O440" s="992"/>
      <c r="P440" s="993"/>
      <c r="Q440" s="993"/>
      <c r="R440" s="993"/>
      <c r="S440" s="514"/>
      <c r="T440" s="514"/>
      <c r="U440" s="514"/>
      <c r="V440" s="514"/>
      <c r="W440" s="514"/>
      <c r="X440" s="514"/>
      <c r="Y440" s="514"/>
    </row>
    <row r="441">
      <c r="A441" s="514"/>
      <c r="B441" s="514"/>
      <c r="C441" s="514"/>
      <c r="D441" s="514"/>
      <c r="E441" s="514"/>
      <c r="F441" s="514"/>
      <c r="G441" s="514"/>
      <c r="H441" s="514"/>
      <c r="I441" s="514"/>
      <c r="J441" s="514"/>
      <c r="K441" s="514"/>
      <c r="L441" s="514"/>
      <c r="M441" s="514"/>
      <c r="N441" s="992"/>
      <c r="O441" s="992"/>
      <c r="P441" s="993"/>
      <c r="Q441" s="993"/>
      <c r="R441" s="993"/>
      <c r="S441" s="514"/>
      <c r="T441" s="514"/>
      <c r="U441" s="514"/>
      <c r="V441" s="514"/>
      <c r="W441" s="514"/>
      <c r="X441" s="514"/>
      <c r="Y441" s="514"/>
    </row>
    <row r="442">
      <c r="A442" s="514"/>
      <c r="B442" s="514"/>
      <c r="C442" s="514"/>
      <c r="D442" s="514"/>
      <c r="E442" s="514"/>
      <c r="F442" s="514"/>
      <c r="G442" s="514"/>
      <c r="H442" s="514"/>
      <c r="I442" s="514"/>
      <c r="J442" s="514"/>
      <c r="K442" s="514"/>
      <c r="L442" s="514"/>
      <c r="M442" s="514"/>
      <c r="N442" s="992"/>
      <c r="O442" s="992"/>
      <c r="P442" s="993"/>
      <c r="Q442" s="993"/>
      <c r="R442" s="993"/>
      <c r="S442" s="514"/>
      <c r="T442" s="514"/>
      <c r="U442" s="514"/>
      <c r="V442" s="514"/>
      <c r="W442" s="514"/>
      <c r="X442" s="514"/>
      <c r="Y442" s="514"/>
    </row>
    <row r="443">
      <c r="A443" s="514"/>
      <c r="B443" s="514"/>
      <c r="C443" s="514"/>
      <c r="D443" s="514"/>
      <c r="E443" s="514"/>
      <c r="F443" s="514"/>
      <c r="G443" s="514"/>
      <c r="H443" s="514"/>
      <c r="I443" s="514"/>
      <c r="J443" s="514"/>
      <c r="K443" s="514"/>
      <c r="L443" s="514"/>
      <c r="M443" s="514"/>
      <c r="N443" s="992"/>
      <c r="O443" s="992"/>
      <c r="P443" s="993"/>
      <c r="Q443" s="993"/>
      <c r="R443" s="993"/>
      <c r="S443" s="514"/>
      <c r="T443" s="514"/>
      <c r="U443" s="514"/>
      <c r="V443" s="514"/>
      <c r="W443" s="514"/>
      <c r="X443" s="514"/>
      <c r="Y443" s="514"/>
    </row>
    <row r="444">
      <c r="A444" s="514"/>
      <c r="B444" s="514"/>
      <c r="C444" s="514"/>
      <c r="D444" s="514"/>
      <c r="E444" s="514"/>
      <c r="F444" s="514"/>
      <c r="G444" s="514"/>
      <c r="H444" s="514"/>
      <c r="I444" s="514"/>
      <c r="J444" s="514"/>
      <c r="K444" s="514"/>
      <c r="L444" s="514"/>
      <c r="M444" s="514"/>
      <c r="N444" s="992"/>
      <c r="O444" s="992"/>
      <c r="P444" s="993"/>
      <c r="Q444" s="993"/>
      <c r="R444" s="993"/>
      <c r="S444" s="514"/>
      <c r="T444" s="514"/>
      <c r="U444" s="514"/>
      <c r="V444" s="514"/>
      <c r="W444" s="514"/>
      <c r="X444" s="514"/>
      <c r="Y444" s="514"/>
    </row>
    <row r="445">
      <c r="A445" s="514"/>
      <c r="B445" s="514"/>
      <c r="C445" s="514"/>
      <c r="D445" s="514"/>
      <c r="E445" s="514"/>
      <c r="F445" s="514"/>
      <c r="G445" s="514"/>
      <c r="H445" s="514"/>
      <c r="I445" s="514"/>
      <c r="J445" s="514"/>
      <c r="K445" s="514"/>
      <c r="L445" s="514"/>
      <c r="M445" s="514"/>
      <c r="N445" s="992"/>
      <c r="O445" s="992"/>
      <c r="P445" s="993"/>
      <c r="Q445" s="993"/>
      <c r="R445" s="993"/>
      <c r="S445" s="514"/>
      <c r="T445" s="514"/>
      <c r="U445" s="514"/>
      <c r="V445" s="514"/>
      <c r="W445" s="514"/>
      <c r="X445" s="514"/>
      <c r="Y445" s="514"/>
    </row>
    <row r="446">
      <c r="A446" s="514"/>
      <c r="B446" s="514"/>
      <c r="C446" s="514"/>
      <c r="D446" s="514"/>
      <c r="E446" s="514"/>
      <c r="F446" s="514"/>
      <c r="G446" s="514"/>
      <c r="H446" s="514"/>
      <c r="I446" s="514"/>
      <c r="J446" s="514"/>
      <c r="K446" s="514"/>
      <c r="L446" s="514"/>
      <c r="M446" s="514"/>
      <c r="N446" s="992"/>
      <c r="O446" s="992"/>
      <c r="P446" s="993"/>
      <c r="Q446" s="993"/>
      <c r="R446" s="993"/>
      <c r="S446" s="514"/>
      <c r="T446" s="514"/>
      <c r="U446" s="514"/>
      <c r="V446" s="514"/>
      <c r="W446" s="514"/>
      <c r="X446" s="514"/>
      <c r="Y446" s="514"/>
    </row>
    <row r="447">
      <c r="A447" s="514"/>
      <c r="B447" s="514"/>
      <c r="C447" s="514"/>
      <c r="D447" s="514"/>
      <c r="E447" s="514"/>
      <c r="F447" s="514"/>
      <c r="G447" s="514"/>
      <c r="H447" s="514"/>
      <c r="I447" s="514"/>
      <c r="J447" s="514"/>
      <c r="K447" s="514"/>
      <c r="L447" s="514"/>
      <c r="M447" s="514"/>
      <c r="N447" s="992"/>
      <c r="O447" s="992"/>
      <c r="P447" s="993"/>
      <c r="Q447" s="993"/>
      <c r="R447" s="993"/>
      <c r="S447" s="514"/>
      <c r="T447" s="514"/>
      <c r="U447" s="514"/>
      <c r="V447" s="514"/>
      <c r="W447" s="514"/>
      <c r="X447" s="514"/>
      <c r="Y447" s="514"/>
    </row>
    <row r="448">
      <c r="A448" s="514"/>
      <c r="B448" s="514"/>
      <c r="C448" s="514"/>
      <c r="D448" s="514"/>
      <c r="E448" s="514"/>
      <c r="F448" s="514"/>
      <c r="G448" s="514"/>
      <c r="H448" s="514"/>
      <c r="I448" s="514"/>
      <c r="J448" s="514"/>
      <c r="K448" s="514"/>
      <c r="L448" s="514"/>
      <c r="M448" s="514"/>
      <c r="N448" s="992"/>
      <c r="O448" s="992"/>
      <c r="P448" s="993"/>
      <c r="Q448" s="993"/>
      <c r="R448" s="993"/>
      <c r="S448" s="514"/>
      <c r="T448" s="514"/>
      <c r="U448" s="514"/>
      <c r="V448" s="514"/>
      <c r="W448" s="514"/>
      <c r="X448" s="514"/>
      <c r="Y448" s="514"/>
    </row>
    <row r="449">
      <c r="A449" s="514"/>
      <c r="B449" s="514"/>
      <c r="C449" s="514"/>
      <c r="D449" s="514"/>
      <c r="E449" s="514"/>
      <c r="F449" s="514"/>
      <c r="G449" s="514"/>
      <c r="H449" s="514"/>
      <c r="I449" s="514"/>
      <c r="J449" s="514"/>
      <c r="K449" s="514"/>
      <c r="L449" s="514"/>
      <c r="M449" s="514"/>
      <c r="N449" s="992"/>
      <c r="O449" s="992"/>
      <c r="P449" s="993"/>
      <c r="Q449" s="993"/>
      <c r="R449" s="993"/>
      <c r="S449" s="514"/>
      <c r="T449" s="514"/>
      <c r="U449" s="514"/>
      <c r="V449" s="514"/>
      <c r="W449" s="514"/>
      <c r="X449" s="514"/>
      <c r="Y449" s="514"/>
    </row>
    <row r="450">
      <c r="A450" s="514"/>
      <c r="B450" s="514"/>
      <c r="C450" s="514"/>
      <c r="D450" s="514"/>
      <c r="E450" s="514"/>
      <c r="F450" s="514"/>
      <c r="G450" s="514"/>
      <c r="H450" s="514"/>
      <c r="I450" s="514"/>
      <c r="J450" s="514"/>
      <c r="K450" s="514"/>
      <c r="L450" s="514"/>
      <c r="M450" s="514"/>
      <c r="N450" s="992"/>
      <c r="O450" s="992"/>
      <c r="P450" s="993"/>
      <c r="Q450" s="993"/>
      <c r="R450" s="993"/>
      <c r="S450" s="514"/>
      <c r="T450" s="514"/>
      <c r="U450" s="514"/>
      <c r="V450" s="514"/>
      <c r="W450" s="514"/>
      <c r="X450" s="514"/>
      <c r="Y450" s="514"/>
    </row>
    <row r="451">
      <c r="A451" s="514"/>
      <c r="B451" s="514"/>
      <c r="C451" s="514"/>
      <c r="D451" s="514"/>
      <c r="E451" s="514"/>
      <c r="F451" s="514"/>
      <c r="G451" s="514"/>
      <c r="H451" s="514"/>
      <c r="I451" s="514"/>
      <c r="J451" s="514"/>
      <c r="K451" s="514"/>
      <c r="L451" s="514"/>
      <c r="M451" s="514"/>
      <c r="N451" s="992"/>
      <c r="O451" s="992"/>
      <c r="P451" s="993"/>
      <c r="Q451" s="993"/>
      <c r="R451" s="993"/>
      <c r="S451" s="514"/>
      <c r="T451" s="514"/>
      <c r="U451" s="514"/>
      <c r="V451" s="514"/>
      <c r="W451" s="514"/>
      <c r="X451" s="514"/>
      <c r="Y451" s="514"/>
    </row>
    <row r="452">
      <c r="A452" s="514"/>
      <c r="B452" s="514"/>
      <c r="C452" s="514"/>
      <c r="D452" s="514"/>
      <c r="E452" s="514"/>
      <c r="F452" s="514"/>
      <c r="G452" s="514"/>
      <c r="H452" s="514"/>
      <c r="I452" s="514"/>
      <c r="J452" s="514"/>
      <c r="K452" s="514"/>
      <c r="L452" s="514"/>
      <c r="M452" s="514"/>
      <c r="N452" s="992"/>
      <c r="O452" s="992"/>
      <c r="P452" s="993"/>
      <c r="Q452" s="993"/>
      <c r="R452" s="993"/>
      <c r="S452" s="514"/>
      <c r="T452" s="514"/>
      <c r="U452" s="514"/>
      <c r="V452" s="514"/>
      <c r="W452" s="514"/>
      <c r="X452" s="514"/>
      <c r="Y452" s="514"/>
    </row>
    <row r="453">
      <c r="A453" s="514"/>
      <c r="B453" s="514"/>
      <c r="C453" s="514"/>
      <c r="D453" s="514"/>
      <c r="E453" s="514"/>
      <c r="F453" s="514"/>
      <c r="G453" s="514"/>
      <c r="H453" s="514"/>
      <c r="I453" s="514"/>
      <c r="J453" s="514"/>
      <c r="K453" s="514"/>
      <c r="L453" s="514"/>
      <c r="M453" s="514"/>
      <c r="N453" s="992"/>
      <c r="O453" s="992"/>
      <c r="P453" s="993"/>
      <c r="Q453" s="993"/>
      <c r="R453" s="993"/>
      <c r="S453" s="514"/>
      <c r="T453" s="514"/>
      <c r="U453" s="514"/>
      <c r="V453" s="514"/>
      <c r="W453" s="514"/>
      <c r="X453" s="514"/>
      <c r="Y453" s="514"/>
    </row>
    <row r="454">
      <c r="A454" s="514"/>
      <c r="B454" s="514"/>
      <c r="C454" s="514"/>
      <c r="D454" s="514"/>
      <c r="E454" s="514"/>
      <c r="F454" s="514"/>
      <c r="G454" s="514"/>
      <c r="H454" s="514"/>
      <c r="I454" s="514"/>
      <c r="J454" s="514"/>
      <c r="K454" s="514"/>
      <c r="L454" s="514"/>
      <c r="M454" s="514"/>
      <c r="N454" s="992"/>
      <c r="O454" s="992"/>
      <c r="P454" s="993"/>
      <c r="Q454" s="993"/>
      <c r="R454" s="993"/>
      <c r="S454" s="514"/>
      <c r="T454" s="514"/>
      <c r="U454" s="514"/>
      <c r="V454" s="514"/>
      <c r="W454" s="514"/>
      <c r="X454" s="514"/>
      <c r="Y454" s="514"/>
    </row>
    <row r="455">
      <c r="A455" s="514"/>
      <c r="B455" s="514"/>
      <c r="C455" s="514"/>
      <c r="D455" s="514"/>
      <c r="E455" s="514"/>
      <c r="F455" s="514"/>
      <c r="G455" s="514"/>
      <c r="H455" s="514"/>
      <c r="I455" s="514"/>
      <c r="J455" s="514"/>
      <c r="K455" s="514"/>
      <c r="L455" s="514"/>
      <c r="M455" s="514"/>
      <c r="N455" s="992"/>
      <c r="O455" s="992"/>
      <c r="P455" s="993"/>
      <c r="Q455" s="993"/>
      <c r="R455" s="993"/>
      <c r="S455" s="514"/>
      <c r="T455" s="514"/>
      <c r="U455" s="514"/>
      <c r="V455" s="514"/>
      <c r="W455" s="514"/>
      <c r="X455" s="514"/>
      <c r="Y455" s="514"/>
    </row>
    <row r="456">
      <c r="A456" s="514"/>
      <c r="B456" s="514"/>
      <c r="C456" s="514"/>
      <c r="D456" s="514"/>
      <c r="E456" s="514"/>
      <c r="F456" s="514"/>
      <c r="G456" s="514"/>
      <c r="H456" s="514"/>
      <c r="I456" s="514"/>
      <c r="J456" s="514"/>
      <c r="K456" s="514"/>
      <c r="L456" s="514"/>
      <c r="M456" s="514"/>
      <c r="N456" s="992"/>
      <c r="O456" s="992"/>
      <c r="P456" s="993"/>
      <c r="Q456" s="993"/>
      <c r="R456" s="993"/>
      <c r="S456" s="514"/>
      <c r="T456" s="514"/>
      <c r="U456" s="514"/>
      <c r="V456" s="514"/>
      <c r="W456" s="514"/>
      <c r="X456" s="514"/>
      <c r="Y456" s="514"/>
    </row>
    <row r="457">
      <c r="A457" s="514"/>
      <c r="B457" s="514"/>
      <c r="C457" s="514"/>
      <c r="D457" s="514"/>
      <c r="E457" s="514"/>
      <c r="F457" s="514"/>
      <c r="G457" s="514"/>
      <c r="H457" s="514"/>
      <c r="I457" s="514"/>
      <c r="J457" s="514"/>
      <c r="K457" s="514"/>
      <c r="L457" s="514"/>
      <c r="M457" s="514"/>
      <c r="N457" s="992"/>
      <c r="O457" s="992"/>
      <c r="P457" s="993"/>
      <c r="Q457" s="993"/>
      <c r="R457" s="993"/>
      <c r="S457" s="514"/>
      <c r="T457" s="514"/>
      <c r="U457" s="514"/>
      <c r="V457" s="514"/>
      <c r="W457" s="514"/>
      <c r="X457" s="514"/>
      <c r="Y457" s="514"/>
    </row>
    <row r="458">
      <c r="A458" s="514"/>
      <c r="B458" s="514"/>
      <c r="C458" s="514"/>
      <c r="D458" s="514"/>
      <c r="E458" s="514"/>
      <c r="F458" s="514"/>
      <c r="G458" s="514"/>
      <c r="H458" s="514"/>
      <c r="I458" s="514"/>
      <c r="J458" s="514"/>
      <c r="K458" s="514"/>
      <c r="L458" s="514"/>
      <c r="M458" s="514"/>
      <c r="N458" s="992"/>
      <c r="O458" s="992"/>
      <c r="P458" s="993"/>
      <c r="Q458" s="993"/>
      <c r="R458" s="993"/>
      <c r="S458" s="514"/>
      <c r="T458" s="514"/>
      <c r="U458" s="514"/>
      <c r="V458" s="514"/>
      <c r="W458" s="514"/>
      <c r="X458" s="514"/>
      <c r="Y458" s="514"/>
    </row>
    <row r="459">
      <c r="A459" s="514"/>
      <c r="B459" s="514"/>
      <c r="C459" s="514"/>
      <c r="D459" s="514"/>
      <c r="E459" s="514"/>
      <c r="F459" s="514"/>
      <c r="G459" s="514"/>
      <c r="H459" s="514"/>
      <c r="I459" s="514"/>
      <c r="J459" s="514"/>
      <c r="K459" s="514"/>
      <c r="L459" s="514"/>
      <c r="M459" s="514"/>
      <c r="N459" s="992"/>
      <c r="O459" s="992"/>
      <c r="P459" s="993"/>
      <c r="Q459" s="993"/>
      <c r="R459" s="993"/>
      <c r="S459" s="514"/>
      <c r="T459" s="514"/>
      <c r="U459" s="514"/>
      <c r="V459" s="514"/>
      <c r="W459" s="514"/>
      <c r="X459" s="514"/>
      <c r="Y459" s="514"/>
    </row>
    <row r="460">
      <c r="A460" s="514"/>
      <c r="B460" s="514"/>
      <c r="C460" s="514"/>
      <c r="D460" s="514"/>
      <c r="E460" s="514"/>
      <c r="F460" s="514"/>
      <c r="G460" s="514"/>
      <c r="H460" s="514"/>
      <c r="I460" s="514"/>
      <c r="J460" s="514"/>
      <c r="K460" s="514"/>
      <c r="L460" s="514"/>
      <c r="M460" s="514"/>
      <c r="N460" s="992"/>
      <c r="O460" s="992"/>
      <c r="P460" s="993"/>
      <c r="Q460" s="993"/>
      <c r="R460" s="993"/>
      <c r="S460" s="514"/>
      <c r="T460" s="514"/>
      <c r="U460" s="514"/>
      <c r="V460" s="514"/>
      <c r="W460" s="514"/>
      <c r="X460" s="514"/>
      <c r="Y460" s="514"/>
    </row>
    <row r="461">
      <c r="A461" s="514"/>
      <c r="B461" s="514"/>
      <c r="C461" s="514"/>
      <c r="D461" s="514"/>
      <c r="E461" s="514"/>
      <c r="F461" s="514"/>
      <c r="G461" s="514"/>
      <c r="H461" s="514"/>
      <c r="I461" s="514"/>
      <c r="J461" s="514"/>
      <c r="K461" s="514"/>
      <c r="L461" s="514"/>
      <c r="M461" s="514"/>
      <c r="N461" s="992"/>
      <c r="O461" s="992"/>
      <c r="P461" s="993"/>
      <c r="Q461" s="993"/>
      <c r="R461" s="993"/>
      <c r="S461" s="514"/>
      <c r="T461" s="514"/>
      <c r="U461" s="514"/>
      <c r="V461" s="514"/>
      <c r="W461" s="514"/>
      <c r="X461" s="514"/>
      <c r="Y461" s="514"/>
    </row>
    <row r="462">
      <c r="A462" s="514"/>
      <c r="B462" s="514"/>
      <c r="C462" s="514"/>
      <c r="D462" s="514"/>
      <c r="E462" s="514"/>
      <c r="F462" s="514"/>
      <c r="G462" s="514"/>
      <c r="H462" s="514"/>
      <c r="I462" s="514"/>
      <c r="J462" s="514"/>
      <c r="K462" s="514"/>
      <c r="L462" s="514"/>
      <c r="M462" s="514"/>
      <c r="N462" s="992"/>
      <c r="O462" s="992"/>
      <c r="P462" s="993"/>
      <c r="Q462" s="993"/>
      <c r="R462" s="993"/>
      <c r="S462" s="514"/>
      <c r="T462" s="514"/>
      <c r="U462" s="514"/>
      <c r="V462" s="514"/>
      <c r="W462" s="514"/>
      <c r="X462" s="514"/>
      <c r="Y462" s="514"/>
    </row>
    <row r="463">
      <c r="A463" s="514"/>
      <c r="B463" s="514"/>
      <c r="C463" s="514"/>
      <c r="D463" s="514"/>
      <c r="E463" s="514"/>
      <c r="F463" s="514"/>
      <c r="G463" s="514"/>
      <c r="H463" s="514"/>
      <c r="I463" s="514"/>
      <c r="J463" s="514"/>
      <c r="K463" s="514"/>
      <c r="L463" s="514"/>
      <c r="M463" s="514"/>
      <c r="N463" s="992"/>
      <c r="O463" s="992"/>
      <c r="P463" s="993"/>
      <c r="Q463" s="993"/>
      <c r="R463" s="993"/>
      <c r="S463" s="514"/>
      <c r="T463" s="514"/>
      <c r="U463" s="514"/>
      <c r="V463" s="514"/>
      <c r="W463" s="514"/>
      <c r="X463" s="514"/>
      <c r="Y463" s="514"/>
    </row>
    <row r="464">
      <c r="A464" s="514"/>
      <c r="B464" s="514"/>
      <c r="C464" s="514"/>
      <c r="D464" s="514"/>
      <c r="E464" s="514"/>
      <c r="F464" s="514"/>
      <c r="G464" s="514"/>
      <c r="H464" s="514"/>
      <c r="I464" s="514"/>
      <c r="J464" s="514"/>
      <c r="K464" s="514"/>
      <c r="L464" s="514"/>
      <c r="M464" s="514"/>
      <c r="N464" s="992"/>
      <c r="O464" s="992"/>
      <c r="P464" s="993"/>
      <c r="Q464" s="993"/>
      <c r="R464" s="993"/>
      <c r="S464" s="514"/>
      <c r="T464" s="514"/>
      <c r="U464" s="514"/>
      <c r="V464" s="514"/>
      <c r="W464" s="514"/>
      <c r="X464" s="514"/>
      <c r="Y464" s="514"/>
    </row>
    <row r="465">
      <c r="A465" s="514"/>
      <c r="B465" s="514"/>
      <c r="C465" s="514"/>
      <c r="D465" s="514"/>
      <c r="E465" s="514"/>
      <c r="F465" s="514"/>
      <c r="G465" s="514"/>
      <c r="H465" s="514"/>
      <c r="I465" s="514"/>
      <c r="J465" s="514"/>
      <c r="K465" s="514"/>
      <c r="L465" s="514"/>
      <c r="M465" s="514"/>
      <c r="N465" s="992"/>
      <c r="O465" s="992"/>
      <c r="P465" s="993"/>
      <c r="Q465" s="993"/>
      <c r="R465" s="993"/>
      <c r="S465" s="514"/>
      <c r="T465" s="514"/>
      <c r="U465" s="514"/>
      <c r="V465" s="514"/>
      <c r="W465" s="514"/>
      <c r="X465" s="514"/>
      <c r="Y465" s="514"/>
    </row>
    <row r="466">
      <c r="A466" s="514"/>
      <c r="B466" s="514"/>
      <c r="C466" s="514"/>
      <c r="D466" s="514"/>
      <c r="E466" s="514"/>
      <c r="F466" s="514"/>
      <c r="G466" s="514"/>
      <c r="H466" s="514"/>
      <c r="I466" s="514"/>
      <c r="J466" s="514"/>
      <c r="K466" s="514"/>
      <c r="L466" s="514"/>
      <c r="M466" s="514"/>
      <c r="N466" s="992"/>
      <c r="O466" s="992"/>
      <c r="P466" s="993"/>
      <c r="Q466" s="993"/>
      <c r="R466" s="993"/>
      <c r="S466" s="514"/>
      <c r="T466" s="514"/>
      <c r="U466" s="514"/>
      <c r="V466" s="514"/>
      <c r="W466" s="514"/>
      <c r="X466" s="514"/>
      <c r="Y466" s="514"/>
    </row>
    <row r="467">
      <c r="A467" s="514"/>
      <c r="B467" s="514"/>
      <c r="C467" s="514"/>
      <c r="D467" s="514"/>
      <c r="E467" s="514"/>
      <c r="F467" s="514"/>
      <c r="G467" s="514"/>
      <c r="H467" s="514"/>
      <c r="I467" s="514"/>
      <c r="J467" s="514"/>
      <c r="K467" s="514"/>
      <c r="L467" s="514"/>
      <c r="M467" s="514"/>
      <c r="N467" s="992"/>
      <c r="O467" s="992"/>
      <c r="P467" s="993"/>
      <c r="Q467" s="993"/>
      <c r="R467" s="993"/>
      <c r="S467" s="514"/>
      <c r="T467" s="514"/>
      <c r="U467" s="514"/>
      <c r="V467" s="514"/>
      <c r="W467" s="514"/>
      <c r="X467" s="514"/>
      <c r="Y467" s="514"/>
    </row>
    <row r="468">
      <c r="A468" s="514"/>
      <c r="B468" s="514"/>
      <c r="C468" s="514"/>
      <c r="D468" s="514"/>
      <c r="E468" s="514"/>
      <c r="F468" s="514"/>
      <c r="G468" s="514"/>
      <c r="H468" s="514"/>
      <c r="I468" s="514"/>
      <c r="J468" s="514"/>
      <c r="K468" s="514"/>
      <c r="L468" s="514"/>
      <c r="M468" s="514"/>
      <c r="N468" s="992"/>
      <c r="O468" s="992"/>
      <c r="P468" s="993"/>
      <c r="Q468" s="993"/>
      <c r="R468" s="993"/>
      <c r="S468" s="514"/>
      <c r="T468" s="514"/>
      <c r="U468" s="514"/>
      <c r="V468" s="514"/>
      <c r="W468" s="514"/>
      <c r="X468" s="514"/>
      <c r="Y468" s="514"/>
    </row>
    <row r="469">
      <c r="A469" s="514"/>
      <c r="B469" s="514"/>
      <c r="C469" s="514"/>
      <c r="D469" s="514"/>
      <c r="E469" s="514"/>
      <c r="F469" s="514"/>
      <c r="G469" s="514"/>
      <c r="H469" s="514"/>
      <c r="I469" s="514"/>
      <c r="J469" s="514"/>
      <c r="K469" s="514"/>
      <c r="L469" s="514"/>
      <c r="M469" s="514"/>
      <c r="N469" s="992"/>
      <c r="O469" s="992"/>
      <c r="P469" s="993"/>
      <c r="Q469" s="993"/>
      <c r="R469" s="993"/>
      <c r="S469" s="514"/>
      <c r="T469" s="514"/>
      <c r="U469" s="514"/>
      <c r="V469" s="514"/>
      <c r="W469" s="514"/>
      <c r="X469" s="514"/>
      <c r="Y469" s="514"/>
    </row>
    <row r="470">
      <c r="A470" s="514"/>
      <c r="B470" s="514"/>
      <c r="C470" s="514"/>
      <c r="D470" s="514"/>
      <c r="E470" s="514"/>
      <c r="F470" s="514"/>
      <c r="G470" s="514"/>
      <c r="H470" s="514"/>
      <c r="I470" s="514"/>
      <c r="J470" s="514"/>
      <c r="K470" s="514"/>
      <c r="L470" s="514"/>
      <c r="M470" s="514"/>
      <c r="N470" s="992"/>
      <c r="O470" s="992"/>
      <c r="P470" s="993"/>
      <c r="Q470" s="993"/>
      <c r="R470" s="993"/>
      <c r="S470" s="514"/>
      <c r="T470" s="514"/>
      <c r="U470" s="514"/>
      <c r="V470" s="514"/>
      <c r="W470" s="514"/>
      <c r="X470" s="514"/>
      <c r="Y470" s="514"/>
    </row>
    <row r="471">
      <c r="A471" s="514"/>
      <c r="B471" s="514"/>
      <c r="C471" s="514"/>
      <c r="D471" s="514"/>
      <c r="E471" s="514"/>
      <c r="F471" s="514"/>
      <c r="G471" s="514"/>
      <c r="H471" s="514"/>
      <c r="I471" s="514"/>
      <c r="J471" s="514"/>
      <c r="K471" s="514"/>
      <c r="L471" s="514"/>
      <c r="M471" s="514"/>
      <c r="N471" s="992"/>
      <c r="O471" s="992"/>
      <c r="P471" s="993"/>
      <c r="Q471" s="993"/>
      <c r="R471" s="993"/>
      <c r="S471" s="514"/>
      <c r="T471" s="514"/>
      <c r="U471" s="514"/>
      <c r="V471" s="514"/>
      <c r="W471" s="514"/>
      <c r="X471" s="514"/>
      <c r="Y471" s="514"/>
    </row>
    <row r="472">
      <c r="A472" s="514"/>
      <c r="B472" s="514"/>
      <c r="C472" s="514"/>
      <c r="D472" s="514"/>
      <c r="E472" s="514"/>
      <c r="F472" s="514"/>
      <c r="G472" s="514"/>
      <c r="H472" s="514"/>
      <c r="I472" s="514"/>
      <c r="J472" s="514"/>
      <c r="K472" s="514"/>
      <c r="L472" s="514"/>
      <c r="M472" s="514"/>
      <c r="N472" s="992"/>
      <c r="O472" s="992"/>
      <c r="P472" s="993"/>
      <c r="Q472" s="993"/>
      <c r="R472" s="993"/>
      <c r="S472" s="514"/>
      <c r="T472" s="514"/>
      <c r="U472" s="514"/>
      <c r="V472" s="514"/>
      <c r="W472" s="514"/>
      <c r="X472" s="514"/>
      <c r="Y472" s="514"/>
    </row>
    <row r="473">
      <c r="A473" s="514"/>
      <c r="B473" s="514"/>
      <c r="C473" s="514"/>
      <c r="D473" s="514"/>
      <c r="E473" s="514"/>
      <c r="F473" s="514"/>
      <c r="G473" s="514"/>
      <c r="H473" s="514"/>
      <c r="I473" s="514"/>
      <c r="J473" s="514"/>
      <c r="K473" s="514"/>
      <c r="L473" s="514"/>
      <c r="M473" s="514"/>
      <c r="N473" s="992"/>
      <c r="O473" s="992"/>
      <c r="P473" s="993"/>
      <c r="Q473" s="993"/>
      <c r="R473" s="993"/>
      <c r="S473" s="514"/>
      <c r="T473" s="514"/>
      <c r="U473" s="514"/>
      <c r="V473" s="514"/>
      <c r="W473" s="514"/>
      <c r="X473" s="514"/>
      <c r="Y473" s="514"/>
    </row>
    <row r="474">
      <c r="A474" s="514"/>
      <c r="B474" s="514"/>
      <c r="C474" s="514"/>
      <c r="D474" s="514"/>
      <c r="E474" s="514"/>
      <c r="F474" s="514"/>
      <c r="G474" s="514"/>
      <c r="H474" s="514"/>
      <c r="I474" s="514"/>
      <c r="J474" s="514"/>
      <c r="K474" s="514"/>
      <c r="L474" s="514"/>
      <c r="M474" s="514"/>
      <c r="N474" s="992"/>
      <c r="O474" s="992"/>
      <c r="P474" s="993"/>
      <c r="Q474" s="993"/>
      <c r="R474" s="993"/>
      <c r="S474" s="514"/>
      <c r="T474" s="514"/>
      <c r="U474" s="514"/>
      <c r="V474" s="514"/>
      <c r="W474" s="514"/>
      <c r="X474" s="514"/>
      <c r="Y474" s="514"/>
    </row>
    <row r="475">
      <c r="A475" s="514"/>
      <c r="B475" s="514"/>
      <c r="C475" s="514"/>
      <c r="D475" s="514"/>
      <c r="E475" s="514"/>
      <c r="F475" s="514"/>
      <c r="G475" s="514"/>
      <c r="H475" s="514"/>
      <c r="I475" s="514"/>
      <c r="J475" s="514"/>
      <c r="K475" s="514"/>
      <c r="L475" s="514"/>
      <c r="M475" s="514"/>
      <c r="N475" s="992"/>
      <c r="O475" s="992"/>
      <c r="P475" s="993"/>
      <c r="Q475" s="993"/>
      <c r="R475" s="993"/>
      <c r="S475" s="514"/>
      <c r="T475" s="514"/>
      <c r="U475" s="514"/>
      <c r="V475" s="514"/>
      <c r="W475" s="514"/>
      <c r="X475" s="514"/>
      <c r="Y475" s="514"/>
    </row>
    <row r="476">
      <c r="A476" s="514"/>
      <c r="B476" s="514"/>
      <c r="C476" s="514"/>
      <c r="D476" s="514"/>
      <c r="E476" s="514"/>
      <c r="F476" s="514"/>
      <c r="G476" s="514"/>
      <c r="H476" s="514"/>
      <c r="I476" s="514"/>
      <c r="J476" s="514"/>
      <c r="K476" s="514"/>
      <c r="L476" s="514"/>
      <c r="M476" s="514"/>
      <c r="N476" s="992"/>
      <c r="O476" s="992"/>
      <c r="P476" s="993"/>
      <c r="Q476" s="993"/>
      <c r="R476" s="993"/>
      <c r="S476" s="514"/>
      <c r="T476" s="514"/>
      <c r="U476" s="514"/>
      <c r="V476" s="514"/>
      <c r="W476" s="514"/>
      <c r="X476" s="514"/>
      <c r="Y476" s="514"/>
    </row>
    <row r="477">
      <c r="A477" s="514"/>
      <c r="B477" s="514"/>
      <c r="C477" s="514"/>
      <c r="D477" s="514"/>
      <c r="E477" s="514"/>
      <c r="F477" s="514"/>
      <c r="G477" s="514"/>
      <c r="H477" s="514"/>
      <c r="I477" s="514"/>
      <c r="J477" s="514"/>
      <c r="K477" s="514"/>
      <c r="L477" s="514"/>
      <c r="M477" s="514"/>
      <c r="N477" s="992"/>
      <c r="O477" s="992"/>
      <c r="P477" s="993"/>
      <c r="Q477" s="993"/>
      <c r="R477" s="993"/>
      <c r="S477" s="514"/>
      <c r="T477" s="514"/>
      <c r="U477" s="514"/>
      <c r="V477" s="514"/>
      <c r="W477" s="514"/>
      <c r="X477" s="514"/>
      <c r="Y477" s="514"/>
    </row>
    <row r="478">
      <c r="A478" s="514"/>
      <c r="B478" s="514"/>
      <c r="C478" s="514"/>
      <c r="D478" s="514"/>
      <c r="E478" s="514"/>
      <c r="F478" s="514"/>
      <c r="G478" s="514"/>
      <c r="H478" s="514"/>
      <c r="I478" s="514"/>
      <c r="J478" s="514"/>
      <c r="K478" s="514"/>
      <c r="L478" s="514"/>
      <c r="M478" s="514"/>
      <c r="N478" s="992"/>
      <c r="O478" s="992"/>
      <c r="P478" s="993"/>
      <c r="Q478" s="993"/>
      <c r="R478" s="993"/>
      <c r="S478" s="514"/>
      <c r="T478" s="514"/>
      <c r="U478" s="514"/>
      <c r="V478" s="514"/>
      <c r="W478" s="514"/>
      <c r="X478" s="514"/>
      <c r="Y478" s="514"/>
    </row>
    <row r="479">
      <c r="A479" s="514"/>
      <c r="B479" s="514"/>
      <c r="C479" s="514"/>
      <c r="D479" s="514"/>
      <c r="E479" s="514"/>
      <c r="F479" s="514"/>
      <c r="G479" s="514"/>
      <c r="H479" s="514"/>
      <c r="I479" s="514"/>
      <c r="J479" s="514"/>
      <c r="K479" s="514"/>
      <c r="L479" s="514"/>
      <c r="M479" s="514"/>
      <c r="N479" s="992"/>
      <c r="O479" s="992"/>
      <c r="P479" s="993"/>
      <c r="Q479" s="993"/>
      <c r="R479" s="993"/>
      <c r="S479" s="514"/>
      <c r="T479" s="514"/>
      <c r="U479" s="514"/>
      <c r="V479" s="514"/>
      <c r="W479" s="514"/>
      <c r="X479" s="514"/>
      <c r="Y479" s="514"/>
    </row>
    <row r="480">
      <c r="A480" s="514"/>
      <c r="B480" s="514"/>
      <c r="C480" s="514"/>
      <c r="D480" s="514"/>
      <c r="E480" s="514"/>
      <c r="F480" s="514"/>
      <c r="G480" s="514"/>
      <c r="H480" s="514"/>
      <c r="I480" s="514"/>
      <c r="J480" s="514"/>
      <c r="K480" s="514"/>
      <c r="L480" s="514"/>
      <c r="M480" s="514"/>
      <c r="N480" s="992"/>
      <c r="O480" s="992"/>
      <c r="P480" s="993"/>
      <c r="Q480" s="993"/>
      <c r="R480" s="993"/>
      <c r="S480" s="514"/>
      <c r="T480" s="514"/>
      <c r="U480" s="514"/>
      <c r="V480" s="514"/>
      <c r="W480" s="514"/>
      <c r="X480" s="514"/>
      <c r="Y480" s="514"/>
    </row>
    <row r="481">
      <c r="A481" s="514"/>
      <c r="B481" s="514"/>
      <c r="C481" s="514"/>
      <c r="D481" s="514"/>
      <c r="E481" s="514"/>
      <c r="F481" s="514"/>
      <c r="G481" s="514"/>
      <c r="H481" s="514"/>
      <c r="I481" s="514"/>
      <c r="J481" s="514"/>
      <c r="K481" s="514"/>
      <c r="L481" s="514"/>
      <c r="M481" s="514"/>
      <c r="N481" s="992"/>
      <c r="O481" s="992"/>
      <c r="P481" s="993"/>
      <c r="Q481" s="993"/>
      <c r="R481" s="993"/>
      <c r="S481" s="514"/>
      <c r="T481" s="514"/>
      <c r="U481" s="514"/>
      <c r="V481" s="514"/>
      <c r="W481" s="514"/>
      <c r="X481" s="514"/>
      <c r="Y481" s="514"/>
    </row>
    <row r="482">
      <c r="A482" s="514"/>
      <c r="B482" s="514"/>
      <c r="C482" s="514"/>
      <c r="D482" s="514"/>
      <c r="E482" s="514"/>
      <c r="F482" s="514"/>
      <c r="G482" s="514"/>
      <c r="H482" s="514"/>
      <c r="I482" s="514"/>
      <c r="J482" s="514"/>
      <c r="K482" s="514"/>
      <c r="L482" s="514"/>
      <c r="M482" s="514"/>
      <c r="N482" s="992"/>
      <c r="O482" s="992"/>
      <c r="P482" s="993"/>
      <c r="Q482" s="993"/>
      <c r="R482" s="993"/>
      <c r="S482" s="514"/>
      <c r="T482" s="514"/>
      <c r="U482" s="514"/>
      <c r="V482" s="514"/>
      <c r="W482" s="514"/>
      <c r="X482" s="514"/>
      <c r="Y482" s="514"/>
    </row>
    <row r="483">
      <c r="A483" s="514"/>
      <c r="B483" s="514"/>
      <c r="C483" s="514"/>
      <c r="D483" s="514"/>
      <c r="E483" s="514"/>
      <c r="F483" s="514"/>
      <c r="G483" s="514"/>
      <c r="H483" s="514"/>
      <c r="I483" s="514"/>
      <c r="J483" s="514"/>
      <c r="K483" s="514"/>
      <c r="L483" s="514"/>
      <c r="M483" s="514"/>
      <c r="N483" s="992"/>
      <c r="O483" s="992"/>
      <c r="P483" s="993"/>
      <c r="Q483" s="993"/>
      <c r="R483" s="993"/>
      <c r="S483" s="514"/>
      <c r="T483" s="514"/>
      <c r="U483" s="514"/>
      <c r="V483" s="514"/>
      <c r="W483" s="514"/>
      <c r="X483" s="514"/>
      <c r="Y483" s="514"/>
    </row>
    <row r="484">
      <c r="A484" s="514"/>
      <c r="B484" s="514"/>
      <c r="C484" s="514"/>
      <c r="D484" s="514"/>
      <c r="E484" s="514"/>
      <c r="F484" s="514"/>
      <c r="G484" s="514"/>
      <c r="H484" s="514"/>
      <c r="I484" s="514"/>
      <c r="J484" s="514"/>
      <c r="K484" s="514"/>
      <c r="L484" s="514"/>
      <c r="M484" s="514"/>
      <c r="N484" s="992"/>
      <c r="O484" s="992"/>
      <c r="P484" s="993"/>
      <c r="Q484" s="993"/>
      <c r="R484" s="993"/>
      <c r="S484" s="514"/>
      <c r="T484" s="514"/>
      <c r="U484" s="514"/>
      <c r="V484" s="514"/>
      <c r="W484" s="514"/>
      <c r="X484" s="514"/>
      <c r="Y484" s="514"/>
    </row>
    <row r="485">
      <c r="A485" s="514"/>
      <c r="B485" s="514"/>
      <c r="C485" s="514"/>
      <c r="D485" s="514"/>
      <c r="E485" s="514"/>
      <c r="F485" s="514"/>
      <c r="G485" s="514"/>
      <c r="H485" s="514"/>
      <c r="I485" s="514"/>
      <c r="J485" s="514"/>
      <c r="K485" s="514"/>
      <c r="L485" s="514"/>
      <c r="M485" s="514"/>
      <c r="N485" s="992"/>
      <c r="O485" s="992"/>
      <c r="P485" s="993"/>
      <c r="Q485" s="993"/>
      <c r="R485" s="993"/>
      <c r="S485" s="514"/>
      <c r="T485" s="514"/>
      <c r="U485" s="514"/>
      <c r="V485" s="514"/>
      <c r="W485" s="514"/>
      <c r="X485" s="514"/>
      <c r="Y485" s="514"/>
    </row>
    <row r="486">
      <c r="A486" s="514"/>
      <c r="B486" s="514"/>
      <c r="C486" s="514"/>
      <c r="D486" s="514"/>
      <c r="E486" s="514"/>
      <c r="F486" s="514"/>
      <c r="G486" s="514"/>
      <c r="H486" s="514"/>
      <c r="I486" s="514"/>
      <c r="J486" s="514"/>
      <c r="K486" s="514"/>
      <c r="L486" s="514"/>
      <c r="M486" s="514"/>
      <c r="N486" s="992"/>
      <c r="O486" s="992"/>
      <c r="P486" s="993"/>
      <c r="Q486" s="993"/>
      <c r="R486" s="993"/>
      <c r="S486" s="514"/>
      <c r="T486" s="514"/>
      <c r="U486" s="514"/>
      <c r="V486" s="514"/>
      <c r="W486" s="514"/>
      <c r="X486" s="514"/>
      <c r="Y486" s="514"/>
    </row>
    <row r="487">
      <c r="A487" s="514"/>
      <c r="B487" s="514"/>
      <c r="C487" s="514"/>
      <c r="D487" s="514"/>
      <c r="E487" s="514"/>
      <c r="F487" s="514"/>
      <c r="G487" s="514"/>
      <c r="H487" s="514"/>
      <c r="I487" s="514"/>
      <c r="J487" s="514"/>
      <c r="K487" s="514"/>
      <c r="L487" s="514"/>
      <c r="M487" s="514"/>
      <c r="N487" s="992"/>
      <c r="O487" s="992"/>
      <c r="P487" s="993"/>
      <c r="Q487" s="993"/>
      <c r="R487" s="993"/>
      <c r="S487" s="514"/>
      <c r="T487" s="514"/>
      <c r="U487" s="514"/>
      <c r="V487" s="514"/>
      <c r="W487" s="514"/>
      <c r="X487" s="514"/>
      <c r="Y487" s="514"/>
    </row>
    <row r="488">
      <c r="A488" s="514"/>
      <c r="B488" s="514"/>
      <c r="C488" s="514"/>
      <c r="D488" s="514"/>
      <c r="E488" s="514"/>
      <c r="F488" s="514"/>
      <c r="G488" s="514"/>
      <c r="H488" s="514"/>
      <c r="I488" s="514"/>
      <c r="J488" s="514"/>
      <c r="K488" s="514"/>
      <c r="L488" s="514"/>
      <c r="M488" s="514"/>
      <c r="N488" s="992"/>
      <c r="O488" s="992"/>
      <c r="P488" s="993"/>
      <c r="Q488" s="993"/>
      <c r="R488" s="993"/>
      <c r="S488" s="514"/>
      <c r="T488" s="514"/>
      <c r="U488" s="514"/>
      <c r="V488" s="514"/>
      <c r="W488" s="514"/>
      <c r="X488" s="514"/>
      <c r="Y488" s="514"/>
    </row>
    <row r="489">
      <c r="A489" s="514"/>
      <c r="B489" s="514"/>
      <c r="C489" s="514"/>
      <c r="D489" s="514"/>
      <c r="E489" s="514"/>
      <c r="F489" s="514"/>
      <c r="G489" s="514"/>
      <c r="H489" s="514"/>
      <c r="I489" s="514"/>
      <c r="J489" s="514"/>
      <c r="K489" s="514"/>
      <c r="L489" s="514"/>
      <c r="M489" s="514"/>
      <c r="N489" s="992"/>
      <c r="O489" s="992"/>
      <c r="P489" s="993"/>
      <c r="Q489" s="993"/>
      <c r="R489" s="993"/>
      <c r="S489" s="514"/>
      <c r="T489" s="514"/>
      <c r="U489" s="514"/>
      <c r="V489" s="514"/>
      <c r="W489" s="514"/>
      <c r="X489" s="514"/>
      <c r="Y489" s="514"/>
    </row>
    <row r="490">
      <c r="A490" s="514"/>
      <c r="B490" s="514"/>
      <c r="C490" s="514"/>
      <c r="D490" s="514"/>
      <c r="E490" s="514"/>
      <c r="F490" s="514"/>
      <c r="G490" s="514"/>
      <c r="H490" s="514"/>
      <c r="I490" s="514"/>
      <c r="J490" s="514"/>
      <c r="K490" s="514"/>
      <c r="L490" s="514"/>
      <c r="M490" s="514"/>
      <c r="N490" s="992"/>
      <c r="O490" s="992"/>
      <c r="P490" s="993"/>
      <c r="Q490" s="993"/>
      <c r="R490" s="993"/>
      <c r="S490" s="514"/>
      <c r="T490" s="514"/>
      <c r="U490" s="514"/>
      <c r="V490" s="514"/>
      <c r="W490" s="514"/>
      <c r="X490" s="514"/>
      <c r="Y490" s="514"/>
    </row>
    <row r="491">
      <c r="A491" s="514"/>
      <c r="B491" s="514"/>
      <c r="C491" s="514"/>
      <c r="D491" s="514"/>
      <c r="E491" s="514"/>
      <c r="F491" s="514"/>
      <c r="G491" s="514"/>
      <c r="H491" s="514"/>
      <c r="I491" s="514"/>
      <c r="J491" s="514"/>
      <c r="K491" s="514"/>
      <c r="L491" s="514"/>
      <c r="M491" s="514"/>
      <c r="N491" s="992"/>
      <c r="O491" s="992"/>
      <c r="P491" s="993"/>
      <c r="Q491" s="993"/>
      <c r="R491" s="993"/>
      <c r="S491" s="514"/>
      <c r="T491" s="514"/>
      <c r="U491" s="514"/>
      <c r="V491" s="514"/>
      <c r="W491" s="514"/>
      <c r="X491" s="514"/>
      <c r="Y491" s="514"/>
    </row>
    <row r="492">
      <c r="A492" s="514"/>
      <c r="B492" s="514"/>
      <c r="C492" s="514"/>
      <c r="D492" s="514"/>
      <c r="E492" s="514"/>
      <c r="F492" s="514"/>
      <c r="G492" s="514"/>
      <c r="H492" s="514"/>
      <c r="I492" s="514"/>
      <c r="J492" s="514"/>
      <c r="K492" s="514"/>
      <c r="L492" s="514"/>
      <c r="M492" s="514"/>
      <c r="N492" s="992"/>
      <c r="O492" s="992"/>
      <c r="P492" s="993"/>
      <c r="Q492" s="993"/>
      <c r="R492" s="993"/>
      <c r="S492" s="514"/>
      <c r="T492" s="514"/>
      <c r="U492" s="514"/>
      <c r="V492" s="514"/>
      <c r="W492" s="514"/>
      <c r="X492" s="514"/>
      <c r="Y492" s="514"/>
    </row>
    <row r="493">
      <c r="A493" s="514"/>
      <c r="B493" s="514"/>
      <c r="C493" s="514"/>
      <c r="D493" s="514"/>
      <c r="E493" s="514"/>
      <c r="F493" s="514"/>
      <c r="G493" s="514"/>
      <c r="H493" s="514"/>
      <c r="I493" s="514"/>
      <c r="J493" s="514"/>
      <c r="K493" s="514"/>
      <c r="L493" s="514"/>
      <c r="M493" s="514"/>
      <c r="N493" s="992"/>
      <c r="O493" s="992"/>
      <c r="P493" s="993"/>
      <c r="Q493" s="993"/>
      <c r="R493" s="993"/>
      <c r="S493" s="514"/>
      <c r="T493" s="514"/>
      <c r="U493" s="514"/>
      <c r="V493" s="514"/>
      <c r="W493" s="514"/>
      <c r="X493" s="514"/>
      <c r="Y493" s="514"/>
    </row>
    <row r="494">
      <c r="A494" s="514"/>
      <c r="B494" s="514"/>
      <c r="C494" s="514"/>
      <c r="D494" s="514"/>
      <c r="E494" s="514"/>
      <c r="F494" s="514"/>
      <c r="G494" s="514"/>
      <c r="H494" s="514"/>
      <c r="I494" s="514"/>
      <c r="J494" s="514"/>
      <c r="K494" s="514"/>
      <c r="L494" s="514"/>
      <c r="M494" s="514"/>
      <c r="N494" s="992"/>
      <c r="O494" s="992"/>
      <c r="P494" s="993"/>
      <c r="Q494" s="993"/>
      <c r="R494" s="993"/>
      <c r="S494" s="514"/>
      <c r="T494" s="514"/>
      <c r="U494" s="514"/>
      <c r="V494" s="514"/>
      <c r="W494" s="514"/>
      <c r="X494" s="514"/>
      <c r="Y494" s="514"/>
    </row>
    <row r="495">
      <c r="A495" s="514"/>
      <c r="B495" s="514"/>
      <c r="C495" s="514"/>
      <c r="D495" s="514"/>
      <c r="E495" s="514"/>
      <c r="F495" s="514"/>
      <c r="G495" s="514"/>
      <c r="H495" s="514"/>
      <c r="I495" s="514"/>
      <c r="J495" s="514"/>
      <c r="K495" s="514"/>
      <c r="L495" s="514"/>
      <c r="M495" s="514"/>
      <c r="N495" s="992"/>
      <c r="O495" s="992"/>
      <c r="P495" s="993"/>
      <c r="Q495" s="993"/>
      <c r="R495" s="993"/>
      <c r="S495" s="514"/>
      <c r="T495" s="514"/>
      <c r="U495" s="514"/>
      <c r="V495" s="514"/>
      <c r="W495" s="514"/>
      <c r="X495" s="514"/>
      <c r="Y495" s="514"/>
    </row>
    <row r="496">
      <c r="A496" s="514"/>
      <c r="B496" s="514"/>
      <c r="C496" s="514"/>
      <c r="D496" s="514"/>
      <c r="E496" s="514"/>
      <c r="F496" s="514"/>
      <c r="G496" s="514"/>
      <c r="H496" s="514"/>
      <c r="I496" s="514"/>
      <c r="J496" s="514"/>
      <c r="K496" s="514"/>
      <c r="L496" s="514"/>
      <c r="M496" s="514"/>
      <c r="N496" s="992"/>
      <c r="O496" s="992"/>
      <c r="P496" s="993"/>
      <c r="Q496" s="993"/>
      <c r="R496" s="993"/>
      <c r="S496" s="514"/>
      <c r="T496" s="514"/>
      <c r="U496" s="514"/>
      <c r="V496" s="514"/>
      <c r="W496" s="514"/>
      <c r="X496" s="514"/>
      <c r="Y496" s="514"/>
    </row>
    <row r="497">
      <c r="A497" s="514"/>
      <c r="B497" s="514"/>
      <c r="C497" s="514"/>
      <c r="D497" s="514"/>
      <c r="E497" s="514"/>
      <c r="F497" s="514"/>
      <c r="G497" s="514"/>
      <c r="H497" s="514"/>
      <c r="I497" s="514"/>
      <c r="J497" s="514"/>
      <c r="K497" s="514"/>
      <c r="L497" s="514"/>
      <c r="M497" s="514"/>
      <c r="N497" s="992"/>
      <c r="O497" s="992"/>
      <c r="P497" s="993"/>
      <c r="Q497" s="993"/>
      <c r="R497" s="993"/>
      <c r="S497" s="514"/>
      <c r="T497" s="514"/>
      <c r="U497" s="514"/>
      <c r="V497" s="514"/>
      <c r="W497" s="514"/>
      <c r="X497" s="514"/>
      <c r="Y497" s="514"/>
    </row>
    <row r="498">
      <c r="A498" s="514"/>
      <c r="B498" s="514"/>
      <c r="C498" s="514"/>
      <c r="D498" s="514"/>
      <c r="E498" s="514"/>
      <c r="F498" s="514"/>
      <c r="G498" s="514"/>
      <c r="H498" s="514"/>
      <c r="I498" s="514"/>
      <c r="J498" s="514"/>
      <c r="K498" s="514"/>
      <c r="L498" s="514"/>
      <c r="M498" s="514"/>
      <c r="N498" s="992"/>
      <c r="O498" s="992"/>
      <c r="P498" s="993"/>
      <c r="Q498" s="993"/>
      <c r="R498" s="993"/>
      <c r="S498" s="514"/>
      <c r="T498" s="514"/>
      <c r="U498" s="514"/>
      <c r="V498" s="514"/>
      <c r="W498" s="514"/>
      <c r="X498" s="514"/>
      <c r="Y498" s="514"/>
    </row>
    <row r="499">
      <c r="A499" s="514"/>
      <c r="B499" s="514"/>
      <c r="C499" s="514"/>
      <c r="D499" s="514"/>
      <c r="E499" s="514"/>
      <c r="F499" s="514"/>
      <c r="G499" s="514"/>
      <c r="H499" s="514"/>
      <c r="I499" s="514"/>
      <c r="J499" s="514"/>
      <c r="K499" s="514"/>
      <c r="L499" s="514"/>
      <c r="M499" s="514"/>
      <c r="N499" s="992"/>
      <c r="O499" s="992"/>
      <c r="P499" s="993"/>
      <c r="Q499" s="993"/>
      <c r="R499" s="993"/>
      <c r="S499" s="514"/>
      <c r="T499" s="514"/>
      <c r="U499" s="514"/>
      <c r="V499" s="514"/>
      <c r="W499" s="514"/>
      <c r="X499" s="514"/>
      <c r="Y499" s="514"/>
    </row>
    <row r="500">
      <c r="A500" s="514"/>
      <c r="B500" s="514"/>
      <c r="C500" s="514"/>
      <c r="D500" s="514"/>
      <c r="E500" s="514"/>
      <c r="F500" s="514"/>
      <c r="G500" s="514"/>
      <c r="H500" s="514"/>
      <c r="I500" s="514"/>
      <c r="J500" s="514"/>
      <c r="K500" s="514"/>
      <c r="L500" s="514"/>
      <c r="M500" s="514"/>
      <c r="N500" s="992"/>
      <c r="O500" s="992"/>
      <c r="P500" s="993"/>
      <c r="Q500" s="993"/>
      <c r="R500" s="993"/>
      <c r="S500" s="514"/>
      <c r="T500" s="514"/>
      <c r="U500" s="514"/>
      <c r="V500" s="514"/>
      <c r="W500" s="514"/>
      <c r="X500" s="514"/>
      <c r="Y500" s="514"/>
    </row>
    <row r="501">
      <c r="A501" s="514"/>
      <c r="B501" s="514"/>
      <c r="C501" s="514"/>
      <c r="D501" s="514"/>
      <c r="E501" s="514"/>
      <c r="F501" s="514"/>
      <c r="G501" s="514"/>
      <c r="H501" s="514"/>
      <c r="I501" s="514"/>
      <c r="J501" s="514"/>
      <c r="K501" s="514"/>
      <c r="L501" s="514"/>
      <c r="M501" s="514"/>
      <c r="N501" s="992"/>
      <c r="O501" s="992"/>
      <c r="P501" s="993"/>
      <c r="Q501" s="993"/>
      <c r="R501" s="993"/>
      <c r="S501" s="514"/>
      <c r="T501" s="514"/>
      <c r="U501" s="514"/>
      <c r="V501" s="514"/>
      <c r="W501" s="514"/>
      <c r="X501" s="514"/>
      <c r="Y501" s="514"/>
    </row>
    <row r="502">
      <c r="A502" s="514"/>
      <c r="B502" s="514"/>
      <c r="C502" s="514"/>
      <c r="D502" s="514"/>
      <c r="E502" s="514"/>
      <c r="F502" s="514"/>
      <c r="G502" s="514"/>
      <c r="H502" s="514"/>
      <c r="I502" s="514"/>
      <c r="J502" s="514"/>
      <c r="K502" s="514"/>
      <c r="L502" s="514"/>
      <c r="M502" s="514"/>
      <c r="N502" s="992"/>
      <c r="O502" s="992"/>
      <c r="P502" s="993"/>
      <c r="Q502" s="993"/>
      <c r="R502" s="993"/>
      <c r="S502" s="514"/>
      <c r="T502" s="514"/>
      <c r="U502" s="514"/>
      <c r="V502" s="514"/>
      <c r="W502" s="514"/>
      <c r="X502" s="514"/>
      <c r="Y502" s="514"/>
    </row>
    <row r="503">
      <c r="A503" s="514"/>
      <c r="B503" s="514"/>
      <c r="C503" s="514"/>
      <c r="D503" s="514"/>
      <c r="E503" s="514"/>
      <c r="F503" s="514"/>
      <c r="G503" s="514"/>
      <c r="H503" s="514"/>
      <c r="I503" s="514"/>
      <c r="J503" s="514"/>
      <c r="K503" s="514"/>
      <c r="L503" s="514"/>
      <c r="M503" s="514"/>
      <c r="N503" s="992"/>
      <c r="O503" s="992"/>
      <c r="P503" s="993"/>
      <c r="Q503" s="993"/>
      <c r="R503" s="993"/>
      <c r="S503" s="514"/>
      <c r="T503" s="514"/>
      <c r="U503" s="514"/>
      <c r="V503" s="514"/>
      <c r="W503" s="514"/>
      <c r="X503" s="514"/>
      <c r="Y503" s="514"/>
    </row>
    <row r="504">
      <c r="A504" s="514"/>
      <c r="B504" s="514"/>
      <c r="C504" s="514"/>
      <c r="D504" s="514"/>
      <c r="E504" s="514"/>
      <c r="F504" s="514"/>
      <c r="G504" s="514"/>
      <c r="H504" s="514"/>
      <c r="I504" s="514"/>
      <c r="J504" s="514"/>
      <c r="K504" s="514"/>
      <c r="L504" s="514"/>
      <c r="M504" s="514"/>
      <c r="N504" s="992"/>
      <c r="O504" s="992"/>
      <c r="P504" s="993"/>
      <c r="Q504" s="993"/>
      <c r="R504" s="993"/>
      <c r="S504" s="514"/>
      <c r="T504" s="514"/>
      <c r="U504" s="514"/>
      <c r="V504" s="514"/>
      <c r="W504" s="514"/>
      <c r="X504" s="514"/>
      <c r="Y504" s="514"/>
    </row>
    <row r="505">
      <c r="A505" s="514"/>
      <c r="B505" s="514"/>
      <c r="C505" s="514"/>
      <c r="D505" s="514"/>
      <c r="E505" s="514"/>
      <c r="F505" s="514"/>
      <c r="G505" s="514"/>
      <c r="H505" s="514"/>
      <c r="I505" s="514"/>
      <c r="J505" s="514"/>
      <c r="K505" s="514"/>
      <c r="L505" s="514"/>
      <c r="M505" s="514"/>
      <c r="N505" s="992"/>
      <c r="O505" s="992"/>
      <c r="P505" s="993"/>
      <c r="Q505" s="993"/>
      <c r="R505" s="993"/>
      <c r="S505" s="514"/>
      <c r="T505" s="514"/>
      <c r="U505" s="514"/>
      <c r="V505" s="514"/>
      <c r="W505" s="514"/>
      <c r="X505" s="514"/>
      <c r="Y505" s="514"/>
    </row>
    <row r="506">
      <c r="A506" s="514"/>
      <c r="B506" s="514"/>
      <c r="C506" s="514"/>
      <c r="D506" s="514"/>
      <c r="E506" s="514"/>
      <c r="F506" s="514"/>
      <c r="G506" s="514"/>
      <c r="H506" s="514"/>
      <c r="I506" s="514"/>
      <c r="J506" s="514"/>
      <c r="K506" s="514"/>
      <c r="L506" s="514"/>
      <c r="M506" s="514"/>
      <c r="N506" s="992"/>
      <c r="O506" s="992"/>
      <c r="P506" s="993"/>
      <c r="Q506" s="993"/>
      <c r="R506" s="993"/>
      <c r="S506" s="514"/>
      <c r="T506" s="514"/>
      <c r="U506" s="514"/>
      <c r="V506" s="514"/>
      <c r="W506" s="514"/>
      <c r="X506" s="514"/>
      <c r="Y506" s="514"/>
    </row>
    <row r="507">
      <c r="A507" s="514"/>
      <c r="B507" s="514"/>
      <c r="C507" s="514"/>
      <c r="D507" s="514"/>
      <c r="E507" s="514"/>
      <c r="F507" s="514"/>
      <c r="G507" s="514"/>
      <c r="H507" s="514"/>
      <c r="I507" s="514"/>
      <c r="J507" s="514"/>
      <c r="K507" s="514"/>
      <c r="L507" s="514"/>
      <c r="M507" s="514"/>
      <c r="N507" s="992"/>
      <c r="O507" s="992"/>
      <c r="P507" s="993"/>
      <c r="Q507" s="993"/>
      <c r="R507" s="993"/>
      <c r="S507" s="514"/>
      <c r="T507" s="514"/>
      <c r="U507" s="514"/>
      <c r="V507" s="514"/>
      <c r="W507" s="514"/>
      <c r="X507" s="514"/>
      <c r="Y507" s="514"/>
    </row>
    <row r="508">
      <c r="A508" s="514"/>
      <c r="B508" s="514"/>
      <c r="C508" s="514"/>
      <c r="D508" s="514"/>
      <c r="E508" s="514"/>
      <c r="F508" s="514"/>
      <c r="G508" s="514"/>
      <c r="H508" s="514"/>
      <c r="I508" s="514"/>
      <c r="J508" s="514"/>
      <c r="K508" s="514"/>
      <c r="L508" s="514"/>
      <c r="M508" s="514"/>
      <c r="N508" s="992"/>
      <c r="O508" s="992"/>
      <c r="P508" s="993"/>
      <c r="Q508" s="993"/>
      <c r="R508" s="993"/>
      <c r="S508" s="514"/>
      <c r="T508" s="514"/>
      <c r="U508" s="514"/>
      <c r="V508" s="514"/>
      <c r="W508" s="514"/>
      <c r="X508" s="514"/>
      <c r="Y508" s="514"/>
    </row>
    <row r="509">
      <c r="A509" s="514"/>
      <c r="B509" s="514"/>
      <c r="C509" s="514"/>
      <c r="D509" s="514"/>
      <c r="E509" s="514"/>
      <c r="F509" s="514"/>
      <c r="G509" s="514"/>
      <c r="H509" s="514"/>
      <c r="I509" s="514"/>
      <c r="J509" s="514"/>
      <c r="K509" s="514"/>
      <c r="L509" s="514"/>
      <c r="M509" s="514"/>
      <c r="N509" s="992"/>
      <c r="O509" s="992"/>
      <c r="P509" s="993"/>
      <c r="Q509" s="993"/>
      <c r="R509" s="993"/>
      <c r="S509" s="514"/>
      <c r="T509" s="514"/>
      <c r="U509" s="514"/>
      <c r="V509" s="514"/>
      <c r="W509" s="514"/>
      <c r="X509" s="514"/>
      <c r="Y509" s="514"/>
    </row>
    <row r="510">
      <c r="A510" s="514"/>
      <c r="B510" s="514"/>
      <c r="C510" s="514"/>
      <c r="D510" s="514"/>
      <c r="E510" s="514"/>
      <c r="F510" s="514"/>
      <c r="G510" s="514"/>
      <c r="H510" s="514"/>
      <c r="I510" s="514"/>
      <c r="J510" s="514"/>
      <c r="K510" s="514"/>
      <c r="L510" s="514"/>
      <c r="M510" s="514"/>
      <c r="N510" s="992"/>
      <c r="O510" s="992"/>
      <c r="P510" s="993"/>
      <c r="Q510" s="993"/>
      <c r="R510" s="993"/>
      <c r="S510" s="514"/>
      <c r="T510" s="514"/>
      <c r="U510" s="514"/>
      <c r="V510" s="514"/>
      <c r="W510" s="514"/>
      <c r="X510" s="514"/>
      <c r="Y510" s="514"/>
    </row>
    <row r="511">
      <c r="A511" s="514"/>
      <c r="B511" s="514"/>
      <c r="C511" s="514"/>
      <c r="D511" s="514"/>
      <c r="E511" s="514"/>
      <c r="F511" s="514"/>
      <c r="G511" s="514"/>
      <c r="H511" s="514"/>
      <c r="I511" s="514"/>
      <c r="J511" s="514"/>
      <c r="K511" s="514"/>
      <c r="L511" s="514"/>
      <c r="M511" s="514"/>
      <c r="N511" s="992"/>
      <c r="O511" s="992"/>
      <c r="P511" s="993"/>
      <c r="Q511" s="993"/>
      <c r="R511" s="993"/>
      <c r="S511" s="514"/>
      <c r="T511" s="514"/>
      <c r="U511" s="514"/>
      <c r="V511" s="514"/>
      <c r="W511" s="514"/>
      <c r="X511" s="514"/>
      <c r="Y511" s="514"/>
    </row>
    <row r="512">
      <c r="A512" s="514"/>
      <c r="B512" s="514"/>
      <c r="C512" s="514"/>
      <c r="D512" s="514"/>
      <c r="E512" s="514"/>
      <c r="F512" s="514"/>
      <c r="G512" s="514"/>
      <c r="H512" s="514"/>
      <c r="I512" s="514"/>
      <c r="J512" s="514"/>
      <c r="K512" s="514"/>
      <c r="L512" s="514"/>
      <c r="M512" s="514"/>
      <c r="N512" s="992"/>
      <c r="O512" s="992"/>
      <c r="P512" s="993"/>
      <c r="Q512" s="993"/>
      <c r="R512" s="993"/>
      <c r="S512" s="514"/>
      <c r="T512" s="514"/>
      <c r="U512" s="514"/>
      <c r="V512" s="514"/>
      <c r="W512" s="514"/>
      <c r="X512" s="514"/>
      <c r="Y512" s="514"/>
    </row>
    <row r="513">
      <c r="A513" s="514"/>
      <c r="B513" s="514"/>
      <c r="C513" s="514"/>
      <c r="D513" s="514"/>
      <c r="E513" s="514"/>
      <c r="F513" s="514"/>
      <c r="G513" s="514"/>
      <c r="H513" s="514"/>
      <c r="I513" s="514"/>
      <c r="J513" s="514"/>
      <c r="K513" s="514"/>
      <c r="L513" s="514"/>
      <c r="M513" s="514"/>
      <c r="N513" s="992"/>
      <c r="O513" s="992"/>
      <c r="P513" s="993"/>
      <c r="Q513" s="993"/>
      <c r="R513" s="993"/>
      <c r="S513" s="514"/>
      <c r="T513" s="514"/>
      <c r="U513" s="514"/>
      <c r="V513" s="514"/>
      <c r="W513" s="514"/>
      <c r="X513" s="514"/>
      <c r="Y513" s="514"/>
    </row>
    <row r="514">
      <c r="A514" s="514"/>
      <c r="B514" s="514"/>
      <c r="C514" s="514"/>
      <c r="D514" s="514"/>
      <c r="E514" s="514"/>
      <c r="F514" s="514"/>
      <c r="G514" s="514"/>
      <c r="H514" s="514"/>
      <c r="I514" s="514"/>
      <c r="J514" s="514"/>
      <c r="K514" s="514"/>
      <c r="L514" s="514"/>
      <c r="M514" s="514"/>
      <c r="N514" s="992"/>
      <c r="O514" s="992"/>
      <c r="P514" s="993"/>
      <c r="Q514" s="993"/>
      <c r="R514" s="993"/>
      <c r="S514" s="514"/>
      <c r="T514" s="514"/>
      <c r="U514" s="514"/>
      <c r="V514" s="514"/>
      <c r="W514" s="514"/>
      <c r="X514" s="514"/>
      <c r="Y514" s="514"/>
    </row>
    <row r="515">
      <c r="A515" s="514"/>
      <c r="B515" s="514"/>
      <c r="C515" s="514"/>
      <c r="D515" s="514"/>
      <c r="E515" s="514"/>
      <c r="F515" s="514"/>
      <c r="G515" s="514"/>
      <c r="H515" s="514"/>
      <c r="I515" s="514"/>
      <c r="J515" s="514"/>
      <c r="K515" s="514"/>
      <c r="L515" s="514"/>
      <c r="M515" s="514"/>
      <c r="N515" s="992"/>
      <c r="O515" s="992"/>
      <c r="P515" s="993"/>
      <c r="Q515" s="993"/>
      <c r="R515" s="993"/>
      <c r="S515" s="514"/>
      <c r="T515" s="514"/>
      <c r="U515" s="514"/>
      <c r="V515" s="514"/>
      <c r="W515" s="514"/>
      <c r="X515" s="514"/>
      <c r="Y515" s="514"/>
    </row>
    <row r="516">
      <c r="A516" s="514"/>
      <c r="B516" s="514"/>
      <c r="C516" s="514"/>
      <c r="D516" s="514"/>
      <c r="E516" s="514"/>
      <c r="F516" s="514"/>
      <c r="G516" s="514"/>
      <c r="H516" s="514"/>
      <c r="I516" s="514"/>
      <c r="J516" s="514"/>
      <c r="K516" s="514"/>
      <c r="L516" s="514"/>
      <c r="M516" s="514"/>
      <c r="N516" s="992"/>
      <c r="O516" s="992"/>
      <c r="P516" s="993"/>
      <c r="Q516" s="993"/>
      <c r="R516" s="993"/>
      <c r="S516" s="514"/>
      <c r="T516" s="514"/>
      <c r="U516" s="514"/>
      <c r="V516" s="514"/>
      <c r="W516" s="514"/>
      <c r="X516" s="514"/>
      <c r="Y516" s="514"/>
    </row>
    <row r="517">
      <c r="A517" s="514"/>
      <c r="B517" s="514"/>
      <c r="C517" s="514"/>
      <c r="D517" s="514"/>
      <c r="E517" s="514"/>
      <c r="F517" s="514"/>
      <c r="G517" s="514"/>
      <c r="H517" s="514"/>
      <c r="I517" s="514"/>
      <c r="J517" s="514"/>
      <c r="K517" s="514"/>
      <c r="L517" s="514"/>
      <c r="M517" s="514"/>
      <c r="N517" s="992"/>
      <c r="O517" s="992"/>
      <c r="P517" s="993"/>
      <c r="Q517" s="993"/>
      <c r="R517" s="993"/>
      <c r="S517" s="514"/>
      <c r="T517" s="514"/>
      <c r="U517" s="514"/>
      <c r="V517" s="514"/>
      <c r="W517" s="514"/>
      <c r="X517" s="514"/>
      <c r="Y517" s="514"/>
    </row>
    <row r="518">
      <c r="A518" s="514"/>
      <c r="B518" s="514"/>
      <c r="C518" s="514"/>
      <c r="D518" s="514"/>
      <c r="E518" s="514"/>
      <c r="F518" s="514"/>
      <c r="G518" s="514"/>
      <c r="H518" s="514"/>
      <c r="I518" s="514"/>
      <c r="J518" s="514"/>
      <c r="K518" s="514"/>
      <c r="L518" s="514"/>
      <c r="M518" s="514"/>
      <c r="N518" s="992"/>
      <c r="O518" s="992"/>
      <c r="P518" s="993"/>
      <c r="Q518" s="993"/>
      <c r="R518" s="993"/>
      <c r="S518" s="514"/>
      <c r="T518" s="514"/>
      <c r="U518" s="514"/>
      <c r="V518" s="514"/>
      <c r="W518" s="514"/>
      <c r="X518" s="514"/>
      <c r="Y518" s="514"/>
    </row>
    <row r="519">
      <c r="A519" s="514"/>
      <c r="B519" s="514"/>
      <c r="C519" s="514"/>
      <c r="D519" s="514"/>
      <c r="E519" s="514"/>
      <c r="F519" s="514"/>
      <c r="G519" s="514"/>
      <c r="H519" s="514"/>
      <c r="I519" s="514"/>
      <c r="J519" s="514"/>
      <c r="K519" s="514"/>
      <c r="L519" s="514"/>
      <c r="M519" s="514"/>
      <c r="N519" s="992"/>
      <c r="O519" s="992"/>
      <c r="P519" s="993"/>
      <c r="Q519" s="993"/>
      <c r="R519" s="993"/>
      <c r="S519" s="514"/>
      <c r="T519" s="514"/>
      <c r="U519" s="514"/>
      <c r="V519" s="514"/>
      <c r="W519" s="514"/>
      <c r="X519" s="514"/>
      <c r="Y519" s="514"/>
    </row>
    <row r="520">
      <c r="A520" s="514"/>
      <c r="B520" s="514"/>
      <c r="C520" s="514"/>
      <c r="D520" s="514"/>
      <c r="E520" s="514"/>
      <c r="F520" s="514"/>
      <c r="G520" s="514"/>
      <c r="H520" s="514"/>
      <c r="I520" s="514"/>
      <c r="J520" s="514"/>
      <c r="K520" s="514"/>
      <c r="L520" s="514"/>
      <c r="M520" s="514"/>
      <c r="N520" s="992"/>
      <c r="O520" s="992"/>
      <c r="P520" s="993"/>
      <c r="Q520" s="993"/>
      <c r="R520" s="993"/>
      <c r="S520" s="514"/>
      <c r="T520" s="514"/>
      <c r="U520" s="514"/>
      <c r="V520" s="514"/>
      <c r="W520" s="514"/>
      <c r="X520" s="514"/>
      <c r="Y520" s="514"/>
    </row>
    <row r="521">
      <c r="A521" s="514"/>
      <c r="B521" s="514"/>
      <c r="C521" s="514"/>
      <c r="D521" s="514"/>
      <c r="E521" s="514"/>
      <c r="F521" s="514"/>
      <c r="G521" s="514"/>
      <c r="H521" s="514"/>
      <c r="I521" s="514"/>
      <c r="J521" s="514"/>
      <c r="K521" s="514"/>
      <c r="L521" s="514"/>
      <c r="M521" s="514"/>
      <c r="N521" s="992"/>
      <c r="O521" s="992"/>
      <c r="P521" s="993"/>
      <c r="Q521" s="993"/>
      <c r="R521" s="993"/>
      <c r="S521" s="514"/>
      <c r="T521" s="514"/>
      <c r="U521" s="514"/>
      <c r="V521" s="514"/>
      <c r="W521" s="514"/>
      <c r="X521" s="514"/>
      <c r="Y521" s="514"/>
    </row>
    <row r="522">
      <c r="A522" s="514"/>
      <c r="B522" s="514"/>
      <c r="C522" s="514"/>
      <c r="D522" s="514"/>
      <c r="E522" s="514"/>
      <c r="F522" s="514"/>
      <c r="G522" s="514"/>
      <c r="H522" s="514"/>
      <c r="I522" s="514"/>
      <c r="J522" s="514"/>
      <c r="K522" s="514"/>
      <c r="L522" s="514"/>
      <c r="M522" s="514"/>
      <c r="N522" s="992"/>
      <c r="O522" s="992"/>
      <c r="P522" s="993"/>
      <c r="Q522" s="993"/>
      <c r="R522" s="993"/>
      <c r="S522" s="514"/>
      <c r="T522" s="514"/>
      <c r="U522" s="514"/>
      <c r="V522" s="514"/>
      <c r="W522" s="514"/>
      <c r="X522" s="514"/>
      <c r="Y522" s="514"/>
    </row>
    <row r="523">
      <c r="A523" s="514"/>
      <c r="B523" s="514"/>
      <c r="C523" s="514"/>
      <c r="D523" s="514"/>
      <c r="E523" s="514"/>
      <c r="F523" s="514"/>
      <c r="G523" s="514"/>
      <c r="H523" s="514"/>
      <c r="I523" s="514"/>
      <c r="J523" s="514"/>
      <c r="K523" s="514"/>
      <c r="L523" s="514"/>
      <c r="M523" s="514"/>
      <c r="N523" s="992"/>
      <c r="O523" s="992"/>
      <c r="P523" s="993"/>
      <c r="Q523" s="993"/>
      <c r="R523" s="993"/>
      <c r="S523" s="514"/>
      <c r="T523" s="514"/>
      <c r="U523" s="514"/>
      <c r="V523" s="514"/>
      <c r="W523" s="514"/>
      <c r="X523" s="514"/>
      <c r="Y523" s="514"/>
    </row>
    <row r="524">
      <c r="A524" s="514"/>
      <c r="B524" s="514"/>
      <c r="C524" s="514"/>
      <c r="D524" s="514"/>
      <c r="E524" s="514"/>
      <c r="F524" s="514"/>
      <c r="G524" s="514"/>
      <c r="H524" s="514"/>
      <c r="I524" s="514"/>
      <c r="J524" s="514"/>
      <c r="K524" s="514"/>
      <c r="L524" s="514"/>
      <c r="M524" s="514"/>
      <c r="N524" s="992"/>
      <c r="O524" s="992"/>
      <c r="P524" s="993"/>
      <c r="Q524" s="993"/>
      <c r="R524" s="993"/>
      <c r="S524" s="514"/>
      <c r="T524" s="514"/>
      <c r="U524" s="514"/>
      <c r="V524" s="514"/>
      <c r="W524" s="514"/>
      <c r="X524" s="514"/>
      <c r="Y524" s="514"/>
    </row>
    <row r="525">
      <c r="A525" s="514"/>
      <c r="B525" s="514"/>
      <c r="C525" s="514"/>
      <c r="D525" s="514"/>
      <c r="E525" s="514"/>
      <c r="F525" s="514"/>
      <c r="G525" s="514"/>
      <c r="H525" s="514"/>
      <c r="I525" s="514"/>
      <c r="J525" s="514"/>
      <c r="K525" s="514"/>
      <c r="L525" s="514"/>
      <c r="M525" s="514"/>
      <c r="N525" s="992"/>
      <c r="O525" s="992"/>
      <c r="P525" s="993"/>
      <c r="Q525" s="993"/>
      <c r="R525" s="993"/>
      <c r="S525" s="514"/>
      <c r="T525" s="514"/>
      <c r="U525" s="514"/>
      <c r="V525" s="514"/>
      <c r="W525" s="514"/>
      <c r="X525" s="514"/>
      <c r="Y525" s="514"/>
    </row>
    <row r="526">
      <c r="A526" s="514"/>
      <c r="B526" s="514"/>
      <c r="C526" s="514"/>
      <c r="D526" s="514"/>
      <c r="E526" s="514"/>
      <c r="F526" s="514"/>
      <c r="G526" s="514"/>
      <c r="H526" s="514"/>
      <c r="I526" s="514"/>
      <c r="J526" s="514"/>
      <c r="K526" s="514"/>
      <c r="L526" s="514"/>
      <c r="M526" s="514"/>
      <c r="N526" s="992"/>
      <c r="O526" s="992"/>
      <c r="P526" s="993"/>
      <c r="Q526" s="993"/>
      <c r="R526" s="993"/>
      <c r="S526" s="514"/>
      <c r="T526" s="514"/>
      <c r="U526" s="514"/>
      <c r="V526" s="514"/>
      <c r="W526" s="514"/>
      <c r="X526" s="514"/>
      <c r="Y526" s="514"/>
    </row>
    <row r="527">
      <c r="A527" s="514"/>
      <c r="B527" s="514"/>
      <c r="C527" s="514"/>
      <c r="D527" s="514"/>
      <c r="E527" s="514"/>
      <c r="F527" s="514"/>
      <c r="G527" s="514"/>
      <c r="H527" s="514"/>
      <c r="I527" s="514"/>
      <c r="J527" s="514"/>
      <c r="K527" s="514"/>
      <c r="L527" s="514"/>
      <c r="M527" s="514"/>
      <c r="N527" s="992"/>
      <c r="O527" s="992"/>
      <c r="P527" s="993"/>
      <c r="Q527" s="993"/>
      <c r="R527" s="993"/>
      <c r="S527" s="514"/>
      <c r="T527" s="514"/>
      <c r="U527" s="514"/>
      <c r="V527" s="514"/>
      <c r="W527" s="514"/>
      <c r="X527" s="514"/>
      <c r="Y527" s="514"/>
    </row>
    <row r="528">
      <c r="A528" s="514"/>
      <c r="B528" s="514"/>
      <c r="C528" s="514"/>
      <c r="D528" s="514"/>
      <c r="E528" s="514"/>
      <c r="F528" s="514"/>
      <c r="G528" s="514"/>
      <c r="H528" s="514"/>
      <c r="I528" s="514"/>
      <c r="J528" s="514"/>
      <c r="K528" s="514"/>
      <c r="L528" s="514"/>
      <c r="M528" s="514"/>
      <c r="N528" s="992"/>
      <c r="O528" s="992"/>
      <c r="P528" s="993"/>
      <c r="Q528" s="993"/>
      <c r="R528" s="993"/>
      <c r="S528" s="514"/>
      <c r="T528" s="514"/>
      <c r="U528" s="514"/>
      <c r="V528" s="514"/>
      <c r="W528" s="514"/>
      <c r="X528" s="514"/>
      <c r="Y528" s="514"/>
    </row>
    <row r="529">
      <c r="A529" s="514"/>
      <c r="B529" s="514"/>
      <c r="C529" s="514"/>
      <c r="D529" s="514"/>
      <c r="E529" s="514"/>
      <c r="F529" s="514"/>
      <c r="G529" s="514"/>
      <c r="H529" s="514"/>
      <c r="I529" s="514"/>
      <c r="J529" s="514"/>
      <c r="K529" s="514"/>
      <c r="L529" s="514"/>
      <c r="M529" s="514"/>
      <c r="N529" s="992"/>
      <c r="O529" s="992"/>
      <c r="P529" s="993"/>
      <c r="Q529" s="993"/>
      <c r="R529" s="993"/>
      <c r="S529" s="514"/>
      <c r="T529" s="514"/>
      <c r="U529" s="514"/>
      <c r="V529" s="514"/>
      <c r="W529" s="514"/>
      <c r="X529" s="514"/>
      <c r="Y529" s="514"/>
    </row>
    <row r="530">
      <c r="A530" s="514"/>
      <c r="B530" s="514"/>
      <c r="C530" s="514"/>
      <c r="D530" s="514"/>
      <c r="E530" s="514"/>
      <c r="F530" s="514"/>
      <c r="G530" s="514"/>
      <c r="H530" s="514"/>
      <c r="I530" s="514"/>
      <c r="J530" s="514"/>
      <c r="K530" s="514"/>
      <c r="L530" s="514"/>
      <c r="M530" s="514"/>
      <c r="N530" s="992"/>
      <c r="O530" s="992"/>
      <c r="P530" s="993"/>
      <c r="Q530" s="993"/>
      <c r="R530" s="993"/>
      <c r="S530" s="514"/>
      <c r="T530" s="514"/>
      <c r="U530" s="514"/>
      <c r="V530" s="514"/>
      <c r="W530" s="514"/>
      <c r="X530" s="514"/>
      <c r="Y530" s="514"/>
    </row>
    <row r="531">
      <c r="A531" s="514"/>
      <c r="B531" s="514"/>
      <c r="C531" s="514"/>
      <c r="D531" s="514"/>
      <c r="E531" s="514"/>
      <c r="F531" s="514"/>
      <c r="G531" s="514"/>
      <c r="H531" s="514"/>
      <c r="I531" s="514"/>
      <c r="J531" s="514"/>
      <c r="K531" s="514"/>
      <c r="L531" s="514"/>
      <c r="M531" s="514"/>
      <c r="N531" s="992"/>
      <c r="O531" s="992"/>
      <c r="P531" s="993"/>
      <c r="Q531" s="993"/>
      <c r="R531" s="993"/>
      <c r="S531" s="514"/>
      <c r="T531" s="514"/>
      <c r="U531" s="514"/>
      <c r="V531" s="514"/>
      <c r="W531" s="514"/>
      <c r="X531" s="514"/>
      <c r="Y531" s="514"/>
    </row>
    <row r="532">
      <c r="A532" s="514"/>
      <c r="B532" s="514"/>
      <c r="C532" s="514"/>
      <c r="D532" s="514"/>
      <c r="E532" s="514"/>
      <c r="F532" s="514"/>
      <c r="G532" s="514"/>
      <c r="H532" s="514"/>
      <c r="I532" s="514"/>
      <c r="J532" s="514"/>
      <c r="K532" s="514"/>
      <c r="L532" s="514"/>
      <c r="M532" s="514"/>
      <c r="N532" s="992"/>
      <c r="O532" s="992"/>
      <c r="P532" s="993"/>
      <c r="Q532" s="993"/>
      <c r="R532" s="993"/>
      <c r="S532" s="514"/>
      <c r="T532" s="514"/>
      <c r="U532" s="514"/>
      <c r="V532" s="514"/>
      <c r="W532" s="514"/>
      <c r="X532" s="514"/>
      <c r="Y532" s="514"/>
    </row>
    <row r="533">
      <c r="A533" s="514"/>
      <c r="B533" s="514"/>
      <c r="C533" s="514"/>
      <c r="D533" s="514"/>
      <c r="E533" s="514"/>
      <c r="F533" s="514"/>
      <c r="G533" s="514"/>
      <c r="H533" s="514"/>
      <c r="I533" s="514"/>
      <c r="J533" s="514"/>
      <c r="K533" s="514"/>
      <c r="L533" s="514"/>
      <c r="M533" s="514"/>
      <c r="N533" s="992"/>
      <c r="O533" s="992"/>
      <c r="P533" s="993"/>
      <c r="Q533" s="993"/>
      <c r="R533" s="993"/>
      <c r="S533" s="514"/>
      <c r="T533" s="514"/>
      <c r="U533" s="514"/>
      <c r="V533" s="514"/>
      <c r="W533" s="514"/>
      <c r="X533" s="514"/>
      <c r="Y533" s="514"/>
    </row>
    <row r="534">
      <c r="A534" s="514"/>
      <c r="B534" s="514"/>
      <c r="C534" s="514"/>
      <c r="D534" s="514"/>
      <c r="E534" s="514"/>
      <c r="F534" s="514"/>
      <c r="G534" s="514"/>
      <c r="H534" s="514"/>
      <c r="I534" s="514"/>
      <c r="J534" s="514"/>
      <c r="K534" s="514"/>
      <c r="L534" s="514"/>
      <c r="M534" s="514"/>
      <c r="N534" s="992"/>
      <c r="O534" s="992"/>
      <c r="P534" s="993"/>
      <c r="Q534" s="993"/>
      <c r="R534" s="993"/>
      <c r="S534" s="514"/>
      <c r="T534" s="514"/>
      <c r="U534" s="514"/>
      <c r="V534" s="514"/>
      <c r="W534" s="514"/>
      <c r="X534" s="514"/>
      <c r="Y534" s="514"/>
    </row>
    <row r="535">
      <c r="A535" s="514"/>
      <c r="B535" s="514"/>
      <c r="C535" s="514"/>
      <c r="D535" s="514"/>
      <c r="E535" s="514"/>
      <c r="F535" s="514"/>
      <c r="G535" s="514"/>
      <c r="H535" s="514"/>
      <c r="I535" s="514"/>
      <c r="J535" s="514"/>
      <c r="K535" s="514"/>
      <c r="L535" s="514"/>
      <c r="M535" s="514"/>
      <c r="N535" s="992"/>
      <c r="O535" s="992"/>
      <c r="P535" s="993"/>
      <c r="Q535" s="993"/>
      <c r="R535" s="993"/>
      <c r="S535" s="514"/>
      <c r="T535" s="514"/>
      <c r="U535" s="514"/>
      <c r="V535" s="514"/>
      <c r="W535" s="514"/>
      <c r="X535" s="514"/>
      <c r="Y535" s="514"/>
    </row>
    <row r="536">
      <c r="A536" s="514"/>
      <c r="B536" s="514"/>
      <c r="C536" s="514"/>
      <c r="D536" s="514"/>
      <c r="E536" s="514"/>
      <c r="F536" s="514"/>
      <c r="G536" s="514"/>
      <c r="H536" s="514"/>
      <c r="I536" s="514"/>
      <c r="J536" s="514"/>
      <c r="K536" s="514"/>
      <c r="L536" s="514"/>
      <c r="M536" s="514"/>
      <c r="N536" s="992"/>
      <c r="O536" s="992"/>
      <c r="P536" s="993"/>
      <c r="Q536" s="993"/>
      <c r="R536" s="993"/>
      <c r="S536" s="514"/>
      <c r="T536" s="514"/>
      <c r="U536" s="514"/>
      <c r="V536" s="514"/>
      <c r="W536" s="514"/>
      <c r="X536" s="514"/>
      <c r="Y536" s="514"/>
    </row>
    <row r="537">
      <c r="A537" s="514"/>
      <c r="B537" s="514"/>
      <c r="C537" s="514"/>
      <c r="D537" s="514"/>
      <c r="E537" s="514"/>
      <c r="F537" s="514"/>
      <c r="G537" s="514"/>
      <c r="H537" s="514"/>
      <c r="I537" s="514"/>
      <c r="J537" s="514"/>
      <c r="K537" s="514"/>
      <c r="L537" s="514"/>
      <c r="M537" s="514"/>
      <c r="N537" s="992"/>
      <c r="O537" s="992"/>
      <c r="P537" s="993"/>
      <c r="Q537" s="993"/>
      <c r="R537" s="993"/>
      <c r="S537" s="514"/>
      <c r="T537" s="514"/>
      <c r="U537" s="514"/>
      <c r="V537" s="514"/>
      <c r="W537" s="514"/>
      <c r="X537" s="514"/>
      <c r="Y537" s="514"/>
    </row>
    <row r="538">
      <c r="A538" s="514"/>
      <c r="B538" s="514"/>
      <c r="C538" s="514"/>
      <c r="D538" s="514"/>
      <c r="E538" s="514"/>
      <c r="F538" s="514"/>
      <c r="G538" s="514"/>
      <c r="H538" s="514"/>
      <c r="I538" s="514"/>
      <c r="J538" s="514"/>
      <c r="K538" s="514"/>
      <c r="L538" s="514"/>
      <c r="M538" s="514"/>
      <c r="N538" s="992"/>
      <c r="O538" s="992"/>
      <c r="P538" s="993"/>
      <c r="Q538" s="993"/>
      <c r="R538" s="993"/>
      <c r="S538" s="514"/>
      <c r="T538" s="514"/>
      <c r="U538" s="514"/>
      <c r="V538" s="514"/>
      <c r="W538" s="514"/>
      <c r="X538" s="514"/>
      <c r="Y538" s="514"/>
    </row>
    <row r="539">
      <c r="A539" s="514"/>
      <c r="B539" s="514"/>
      <c r="C539" s="514"/>
      <c r="D539" s="514"/>
      <c r="E539" s="514"/>
      <c r="F539" s="514"/>
      <c r="G539" s="514"/>
      <c r="H539" s="514"/>
      <c r="I539" s="514"/>
      <c r="J539" s="514"/>
      <c r="K539" s="514"/>
      <c r="L539" s="514"/>
      <c r="M539" s="514"/>
      <c r="N539" s="992"/>
      <c r="O539" s="992"/>
      <c r="P539" s="993"/>
      <c r="Q539" s="993"/>
      <c r="R539" s="993"/>
      <c r="S539" s="514"/>
      <c r="T539" s="514"/>
      <c r="U539" s="514"/>
      <c r="V539" s="514"/>
      <c r="W539" s="514"/>
      <c r="X539" s="514"/>
      <c r="Y539" s="514"/>
    </row>
    <row r="540">
      <c r="A540" s="514"/>
      <c r="B540" s="514"/>
      <c r="C540" s="514"/>
      <c r="D540" s="514"/>
      <c r="E540" s="514"/>
      <c r="F540" s="514"/>
      <c r="G540" s="514"/>
      <c r="H540" s="514"/>
      <c r="I540" s="514"/>
      <c r="J540" s="514"/>
      <c r="K540" s="514"/>
      <c r="L540" s="514"/>
      <c r="M540" s="514"/>
      <c r="N540" s="992"/>
      <c r="O540" s="992"/>
      <c r="P540" s="993"/>
      <c r="Q540" s="993"/>
      <c r="R540" s="993"/>
      <c r="S540" s="514"/>
      <c r="T540" s="514"/>
      <c r="U540" s="514"/>
      <c r="V540" s="514"/>
      <c r="W540" s="514"/>
      <c r="X540" s="514"/>
      <c r="Y540" s="514"/>
    </row>
    <row r="541">
      <c r="A541" s="514"/>
      <c r="B541" s="514"/>
      <c r="C541" s="514"/>
      <c r="D541" s="514"/>
      <c r="E541" s="514"/>
      <c r="F541" s="514"/>
      <c r="G541" s="514"/>
      <c r="H541" s="514"/>
      <c r="I541" s="514"/>
      <c r="J541" s="514"/>
      <c r="K541" s="514"/>
      <c r="L541" s="514"/>
      <c r="M541" s="514"/>
      <c r="N541" s="992"/>
      <c r="O541" s="992"/>
      <c r="P541" s="993"/>
      <c r="Q541" s="993"/>
      <c r="R541" s="993"/>
      <c r="S541" s="514"/>
      <c r="T541" s="514"/>
      <c r="U541" s="514"/>
      <c r="V541" s="514"/>
      <c r="W541" s="514"/>
      <c r="X541" s="514"/>
      <c r="Y541" s="514"/>
    </row>
    <row r="542">
      <c r="A542" s="514"/>
      <c r="B542" s="514"/>
      <c r="C542" s="514"/>
      <c r="D542" s="514"/>
      <c r="E542" s="514"/>
      <c r="F542" s="514"/>
      <c r="G542" s="514"/>
      <c r="H542" s="514"/>
      <c r="I542" s="514"/>
      <c r="J542" s="514"/>
      <c r="K542" s="514"/>
      <c r="L542" s="514"/>
      <c r="M542" s="514"/>
      <c r="N542" s="992"/>
      <c r="O542" s="992"/>
      <c r="P542" s="993"/>
      <c r="Q542" s="993"/>
      <c r="R542" s="993"/>
      <c r="S542" s="514"/>
      <c r="T542" s="514"/>
      <c r="U542" s="514"/>
      <c r="V542" s="514"/>
      <c r="W542" s="514"/>
      <c r="X542" s="514"/>
      <c r="Y542" s="514"/>
    </row>
    <row r="543">
      <c r="A543" s="514"/>
      <c r="B543" s="514"/>
      <c r="C543" s="514"/>
      <c r="D543" s="514"/>
      <c r="E543" s="514"/>
      <c r="F543" s="514"/>
      <c r="G543" s="514"/>
      <c r="H543" s="514"/>
      <c r="I543" s="514"/>
      <c r="J543" s="514"/>
      <c r="K543" s="514"/>
      <c r="L543" s="514"/>
      <c r="M543" s="514"/>
      <c r="N543" s="992"/>
      <c r="O543" s="992"/>
      <c r="P543" s="993"/>
      <c r="Q543" s="993"/>
      <c r="R543" s="993"/>
      <c r="S543" s="514"/>
      <c r="T543" s="514"/>
      <c r="U543" s="514"/>
      <c r="V543" s="514"/>
      <c r="W543" s="514"/>
      <c r="X543" s="514"/>
      <c r="Y543" s="514"/>
    </row>
    <row r="544">
      <c r="A544" s="514"/>
      <c r="B544" s="514"/>
      <c r="C544" s="514"/>
      <c r="D544" s="514"/>
      <c r="E544" s="514"/>
      <c r="F544" s="514"/>
      <c r="G544" s="514"/>
      <c r="H544" s="514"/>
      <c r="I544" s="514"/>
      <c r="J544" s="514"/>
      <c r="K544" s="514"/>
      <c r="L544" s="514"/>
      <c r="M544" s="514"/>
      <c r="N544" s="992"/>
      <c r="O544" s="992"/>
      <c r="P544" s="993"/>
      <c r="Q544" s="993"/>
      <c r="R544" s="993"/>
      <c r="S544" s="514"/>
      <c r="T544" s="514"/>
      <c r="U544" s="514"/>
      <c r="V544" s="514"/>
      <c r="W544" s="514"/>
      <c r="X544" s="514"/>
      <c r="Y544" s="514"/>
    </row>
    <row r="545">
      <c r="A545" s="514"/>
      <c r="B545" s="514"/>
      <c r="C545" s="514"/>
      <c r="D545" s="514"/>
      <c r="E545" s="514"/>
      <c r="F545" s="514"/>
      <c r="G545" s="514"/>
      <c r="H545" s="514"/>
      <c r="I545" s="514"/>
      <c r="J545" s="514"/>
      <c r="K545" s="514"/>
      <c r="L545" s="514"/>
      <c r="M545" s="514"/>
      <c r="N545" s="992"/>
      <c r="O545" s="992"/>
      <c r="P545" s="993"/>
      <c r="Q545" s="993"/>
      <c r="R545" s="993"/>
      <c r="S545" s="514"/>
      <c r="T545" s="514"/>
      <c r="U545" s="514"/>
      <c r="V545" s="514"/>
      <c r="W545" s="514"/>
      <c r="X545" s="514"/>
      <c r="Y545" s="514"/>
    </row>
    <row r="546">
      <c r="A546" s="514"/>
      <c r="B546" s="514"/>
      <c r="C546" s="514"/>
      <c r="D546" s="514"/>
      <c r="E546" s="514"/>
      <c r="F546" s="514"/>
      <c r="G546" s="514"/>
      <c r="H546" s="514"/>
      <c r="I546" s="514"/>
      <c r="J546" s="514"/>
      <c r="K546" s="514"/>
      <c r="L546" s="514"/>
      <c r="M546" s="514"/>
      <c r="N546" s="992"/>
      <c r="O546" s="992"/>
      <c r="P546" s="993"/>
      <c r="Q546" s="993"/>
      <c r="R546" s="993"/>
      <c r="S546" s="514"/>
      <c r="T546" s="514"/>
      <c r="U546" s="514"/>
      <c r="V546" s="514"/>
      <c r="W546" s="514"/>
      <c r="X546" s="514"/>
      <c r="Y546" s="514"/>
    </row>
    <row r="547">
      <c r="A547" s="514"/>
      <c r="B547" s="514"/>
      <c r="C547" s="514"/>
      <c r="D547" s="514"/>
      <c r="E547" s="514"/>
      <c r="F547" s="514"/>
      <c r="G547" s="514"/>
      <c r="H547" s="514"/>
      <c r="I547" s="514"/>
      <c r="J547" s="514"/>
      <c r="K547" s="514"/>
      <c r="L547" s="514"/>
      <c r="M547" s="514"/>
      <c r="N547" s="992"/>
      <c r="O547" s="992"/>
      <c r="P547" s="993"/>
      <c r="Q547" s="993"/>
      <c r="R547" s="993"/>
      <c r="S547" s="514"/>
      <c r="T547" s="514"/>
      <c r="U547" s="514"/>
      <c r="V547" s="514"/>
      <c r="W547" s="514"/>
      <c r="X547" s="514"/>
      <c r="Y547" s="514"/>
    </row>
    <row r="548">
      <c r="A548" s="514"/>
      <c r="B548" s="514"/>
      <c r="C548" s="514"/>
      <c r="D548" s="514"/>
      <c r="E548" s="514"/>
      <c r="F548" s="514"/>
      <c r="G548" s="514"/>
      <c r="H548" s="514"/>
      <c r="I548" s="514"/>
      <c r="J548" s="514"/>
      <c r="K548" s="514"/>
      <c r="L548" s="514"/>
      <c r="M548" s="514"/>
      <c r="N548" s="992"/>
      <c r="O548" s="992"/>
      <c r="P548" s="993"/>
      <c r="Q548" s="993"/>
      <c r="R548" s="993"/>
      <c r="S548" s="514"/>
      <c r="T548" s="514"/>
      <c r="U548" s="514"/>
      <c r="V548" s="514"/>
      <c r="W548" s="514"/>
      <c r="X548" s="514"/>
      <c r="Y548" s="514"/>
    </row>
    <row r="549">
      <c r="A549" s="514"/>
      <c r="B549" s="514"/>
      <c r="C549" s="514"/>
      <c r="D549" s="514"/>
      <c r="E549" s="514"/>
      <c r="F549" s="514"/>
      <c r="G549" s="514"/>
      <c r="H549" s="514"/>
      <c r="I549" s="514"/>
      <c r="J549" s="514"/>
      <c r="K549" s="514"/>
      <c r="L549" s="514"/>
      <c r="M549" s="514"/>
      <c r="N549" s="992"/>
      <c r="O549" s="992"/>
      <c r="P549" s="993"/>
      <c r="Q549" s="993"/>
      <c r="R549" s="993"/>
      <c r="S549" s="514"/>
      <c r="T549" s="514"/>
      <c r="U549" s="514"/>
      <c r="V549" s="514"/>
      <c r="W549" s="514"/>
      <c r="X549" s="514"/>
      <c r="Y549" s="514"/>
    </row>
    <row r="550">
      <c r="A550" s="514"/>
      <c r="B550" s="514"/>
      <c r="C550" s="514"/>
      <c r="D550" s="514"/>
      <c r="E550" s="514"/>
      <c r="F550" s="514"/>
      <c r="G550" s="514"/>
      <c r="H550" s="514"/>
      <c r="I550" s="514"/>
      <c r="J550" s="514"/>
      <c r="K550" s="514"/>
      <c r="L550" s="514"/>
      <c r="M550" s="514"/>
      <c r="N550" s="992"/>
      <c r="O550" s="992"/>
      <c r="P550" s="993"/>
      <c r="Q550" s="993"/>
      <c r="R550" s="993"/>
      <c r="S550" s="514"/>
      <c r="T550" s="514"/>
      <c r="U550" s="514"/>
      <c r="V550" s="514"/>
      <c r="W550" s="514"/>
      <c r="X550" s="514"/>
      <c r="Y550" s="514"/>
    </row>
    <row r="551">
      <c r="A551" s="514"/>
      <c r="B551" s="514"/>
      <c r="C551" s="514"/>
      <c r="D551" s="514"/>
      <c r="E551" s="514"/>
      <c r="F551" s="514"/>
      <c r="G551" s="514"/>
      <c r="H551" s="514"/>
      <c r="I551" s="514"/>
      <c r="J551" s="514"/>
      <c r="K551" s="514"/>
      <c r="L551" s="514"/>
      <c r="M551" s="514"/>
      <c r="N551" s="992"/>
      <c r="O551" s="992"/>
      <c r="P551" s="993"/>
      <c r="Q551" s="993"/>
      <c r="R551" s="993"/>
      <c r="S551" s="514"/>
      <c r="T551" s="514"/>
      <c r="U551" s="514"/>
      <c r="V551" s="514"/>
      <c r="W551" s="514"/>
      <c r="X551" s="514"/>
      <c r="Y551" s="514"/>
    </row>
    <row r="552">
      <c r="A552" s="514"/>
      <c r="B552" s="514"/>
      <c r="C552" s="514"/>
      <c r="D552" s="514"/>
      <c r="E552" s="514"/>
      <c r="F552" s="514"/>
      <c r="G552" s="514"/>
      <c r="H552" s="514"/>
      <c r="I552" s="514"/>
      <c r="J552" s="514"/>
      <c r="K552" s="514"/>
      <c r="L552" s="514"/>
      <c r="M552" s="514"/>
      <c r="N552" s="992"/>
      <c r="O552" s="992"/>
      <c r="P552" s="993"/>
      <c r="Q552" s="993"/>
      <c r="R552" s="993"/>
      <c r="S552" s="514"/>
      <c r="T552" s="514"/>
      <c r="U552" s="514"/>
      <c r="V552" s="514"/>
      <c r="W552" s="514"/>
      <c r="X552" s="514"/>
      <c r="Y552" s="514"/>
    </row>
    <row r="553">
      <c r="A553" s="514"/>
      <c r="B553" s="514"/>
      <c r="C553" s="514"/>
      <c r="D553" s="514"/>
      <c r="E553" s="514"/>
      <c r="F553" s="514"/>
      <c r="G553" s="514"/>
      <c r="H553" s="514"/>
      <c r="I553" s="514"/>
      <c r="J553" s="514"/>
      <c r="K553" s="514"/>
      <c r="L553" s="514"/>
      <c r="M553" s="514"/>
      <c r="N553" s="992"/>
      <c r="O553" s="992"/>
      <c r="P553" s="993"/>
      <c r="Q553" s="993"/>
      <c r="R553" s="993"/>
      <c r="S553" s="514"/>
      <c r="T553" s="514"/>
      <c r="U553" s="514"/>
      <c r="V553" s="514"/>
      <c r="W553" s="514"/>
      <c r="X553" s="514"/>
      <c r="Y553" s="514"/>
    </row>
    <row r="554">
      <c r="A554" s="514"/>
      <c r="B554" s="514"/>
      <c r="C554" s="514"/>
      <c r="D554" s="514"/>
      <c r="E554" s="514"/>
      <c r="F554" s="514"/>
      <c r="G554" s="514"/>
      <c r="H554" s="514"/>
      <c r="I554" s="514"/>
      <c r="J554" s="514"/>
      <c r="K554" s="514"/>
      <c r="L554" s="514"/>
      <c r="M554" s="514"/>
      <c r="N554" s="992"/>
      <c r="O554" s="992"/>
      <c r="P554" s="993"/>
      <c r="Q554" s="993"/>
      <c r="R554" s="993"/>
      <c r="S554" s="514"/>
      <c r="T554" s="514"/>
      <c r="U554" s="514"/>
      <c r="V554" s="514"/>
      <c r="W554" s="514"/>
      <c r="X554" s="514"/>
      <c r="Y554" s="514"/>
    </row>
    <row r="555">
      <c r="A555" s="514"/>
      <c r="B555" s="514"/>
      <c r="C555" s="514"/>
      <c r="D555" s="514"/>
      <c r="E555" s="514"/>
      <c r="F555" s="514"/>
      <c r="G555" s="514"/>
      <c r="H555" s="514"/>
      <c r="I555" s="514"/>
      <c r="J555" s="514"/>
      <c r="K555" s="514"/>
      <c r="L555" s="514"/>
      <c r="M555" s="514"/>
      <c r="N555" s="992"/>
      <c r="O555" s="992"/>
      <c r="P555" s="993"/>
      <c r="Q555" s="993"/>
      <c r="R555" s="993"/>
      <c r="S555" s="514"/>
      <c r="T555" s="514"/>
      <c r="U555" s="514"/>
      <c r="V555" s="514"/>
      <c r="W555" s="514"/>
      <c r="X555" s="514"/>
      <c r="Y555" s="514"/>
    </row>
    <row r="556">
      <c r="A556" s="514"/>
      <c r="B556" s="514"/>
      <c r="C556" s="514"/>
      <c r="D556" s="514"/>
      <c r="E556" s="514"/>
      <c r="F556" s="514"/>
      <c r="G556" s="514"/>
      <c r="H556" s="514"/>
      <c r="I556" s="514"/>
      <c r="J556" s="514"/>
      <c r="K556" s="514"/>
      <c r="L556" s="514"/>
      <c r="M556" s="514"/>
      <c r="N556" s="992"/>
      <c r="O556" s="992"/>
      <c r="P556" s="993"/>
      <c r="Q556" s="993"/>
      <c r="R556" s="993"/>
      <c r="S556" s="514"/>
      <c r="T556" s="514"/>
      <c r="U556" s="514"/>
      <c r="V556" s="514"/>
      <c r="W556" s="514"/>
      <c r="X556" s="514"/>
      <c r="Y556" s="514"/>
    </row>
    <row r="557">
      <c r="A557" s="514"/>
      <c r="B557" s="514"/>
      <c r="C557" s="514"/>
      <c r="D557" s="514"/>
      <c r="E557" s="514"/>
      <c r="F557" s="514"/>
      <c r="G557" s="514"/>
      <c r="H557" s="514"/>
      <c r="I557" s="514"/>
      <c r="J557" s="514"/>
      <c r="K557" s="514"/>
      <c r="L557" s="514"/>
      <c r="M557" s="514"/>
      <c r="N557" s="992"/>
      <c r="O557" s="992"/>
      <c r="P557" s="993"/>
      <c r="Q557" s="993"/>
      <c r="R557" s="993"/>
      <c r="S557" s="514"/>
      <c r="T557" s="514"/>
      <c r="U557" s="514"/>
      <c r="V557" s="514"/>
      <c r="W557" s="514"/>
      <c r="X557" s="514"/>
      <c r="Y557" s="514"/>
    </row>
    <row r="558">
      <c r="A558" s="514"/>
      <c r="B558" s="514"/>
      <c r="C558" s="514"/>
      <c r="D558" s="514"/>
      <c r="E558" s="514"/>
      <c r="F558" s="514"/>
      <c r="G558" s="514"/>
      <c r="H558" s="514"/>
      <c r="I558" s="514"/>
      <c r="J558" s="514"/>
      <c r="K558" s="514"/>
      <c r="L558" s="514"/>
      <c r="M558" s="514"/>
      <c r="N558" s="992"/>
      <c r="O558" s="992"/>
      <c r="P558" s="993"/>
      <c r="Q558" s="993"/>
      <c r="R558" s="993"/>
      <c r="S558" s="514"/>
      <c r="T558" s="514"/>
      <c r="U558" s="514"/>
      <c r="V558" s="514"/>
      <c r="W558" s="514"/>
      <c r="X558" s="514"/>
      <c r="Y558" s="514"/>
    </row>
    <row r="559">
      <c r="A559" s="514"/>
      <c r="B559" s="514"/>
      <c r="C559" s="514"/>
      <c r="D559" s="514"/>
      <c r="E559" s="514"/>
      <c r="F559" s="514"/>
      <c r="G559" s="514"/>
      <c r="H559" s="514"/>
      <c r="I559" s="514"/>
      <c r="J559" s="514"/>
      <c r="K559" s="514"/>
      <c r="L559" s="514"/>
      <c r="M559" s="514"/>
      <c r="N559" s="992"/>
      <c r="O559" s="992"/>
      <c r="P559" s="993"/>
      <c r="Q559" s="993"/>
      <c r="R559" s="993"/>
      <c r="S559" s="514"/>
      <c r="T559" s="514"/>
      <c r="U559" s="514"/>
      <c r="V559" s="514"/>
      <c r="W559" s="514"/>
      <c r="X559" s="514"/>
      <c r="Y559" s="514"/>
    </row>
    <row r="560">
      <c r="A560" s="514"/>
      <c r="B560" s="514"/>
      <c r="C560" s="514"/>
      <c r="D560" s="514"/>
      <c r="E560" s="514"/>
      <c r="F560" s="514"/>
      <c r="G560" s="514"/>
      <c r="H560" s="514"/>
      <c r="I560" s="514"/>
      <c r="J560" s="514"/>
      <c r="K560" s="514"/>
      <c r="L560" s="514"/>
      <c r="M560" s="514"/>
      <c r="N560" s="992"/>
      <c r="O560" s="992"/>
      <c r="P560" s="993"/>
      <c r="Q560" s="993"/>
      <c r="R560" s="993"/>
      <c r="S560" s="514"/>
      <c r="T560" s="514"/>
      <c r="U560" s="514"/>
      <c r="V560" s="514"/>
      <c r="W560" s="514"/>
      <c r="X560" s="514"/>
      <c r="Y560" s="514"/>
    </row>
    <row r="561">
      <c r="A561" s="514"/>
      <c r="B561" s="514"/>
      <c r="C561" s="514"/>
      <c r="D561" s="514"/>
      <c r="E561" s="514"/>
      <c r="F561" s="514"/>
      <c r="G561" s="514"/>
      <c r="H561" s="514"/>
      <c r="I561" s="514"/>
      <c r="J561" s="514"/>
      <c r="K561" s="514"/>
      <c r="L561" s="514"/>
      <c r="M561" s="514"/>
      <c r="N561" s="992"/>
      <c r="O561" s="992"/>
      <c r="P561" s="993"/>
      <c r="Q561" s="993"/>
      <c r="R561" s="993"/>
      <c r="S561" s="514"/>
      <c r="T561" s="514"/>
      <c r="U561" s="514"/>
      <c r="V561" s="514"/>
      <c r="W561" s="514"/>
      <c r="X561" s="514"/>
      <c r="Y561" s="514"/>
    </row>
    <row r="562">
      <c r="A562" s="514"/>
      <c r="B562" s="514"/>
      <c r="C562" s="514"/>
      <c r="D562" s="514"/>
      <c r="E562" s="514"/>
      <c r="F562" s="514"/>
      <c r="G562" s="514"/>
      <c r="H562" s="514"/>
      <c r="I562" s="514"/>
      <c r="J562" s="514"/>
      <c r="K562" s="514"/>
      <c r="L562" s="514"/>
      <c r="M562" s="514"/>
      <c r="N562" s="992"/>
      <c r="O562" s="992"/>
      <c r="P562" s="993"/>
      <c r="Q562" s="993"/>
      <c r="R562" s="993"/>
      <c r="S562" s="514"/>
      <c r="T562" s="514"/>
      <c r="U562" s="514"/>
      <c r="V562" s="514"/>
      <c r="W562" s="514"/>
      <c r="X562" s="514"/>
      <c r="Y562" s="514"/>
    </row>
    <row r="563">
      <c r="A563" s="514"/>
      <c r="B563" s="514"/>
      <c r="C563" s="514"/>
      <c r="D563" s="514"/>
      <c r="E563" s="514"/>
      <c r="F563" s="514"/>
      <c r="G563" s="514"/>
      <c r="H563" s="514"/>
      <c r="I563" s="514"/>
      <c r="J563" s="514"/>
      <c r="K563" s="514"/>
      <c r="L563" s="514"/>
      <c r="M563" s="514"/>
      <c r="N563" s="992"/>
      <c r="O563" s="992"/>
      <c r="P563" s="993"/>
      <c r="Q563" s="993"/>
      <c r="R563" s="993"/>
      <c r="S563" s="514"/>
      <c r="T563" s="514"/>
      <c r="U563" s="514"/>
      <c r="V563" s="514"/>
      <c r="W563" s="514"/>
      <c r="X563" s="514"/>
      <c r="Y563" s="514"/>
    </row>
    <row r="564">
      <c r="A564" s="514"/>
      <c r="B564" s="514"/>
      <c r="C564" s="514"/>
      <c r="D564" s="514"/>
      <c r="E564" s="514"/>
      <c r="F564" s="514"/>
      <c r="G564" s="514"/>
      <c r="H564" s="514"/>
      <c r="I564" s="514"/>
      <c r="J564" s="514"/>
      <c r="K564" s="514"/>
      <c r="L564" s="514"/>
      <c r="M564" s="514"/>
      <c r="N564" s="992"/>
      <c r="O564" s="992"/>
      <c r="P564" s="993"/>
      <c r="Q564" s="993"/>
      <c r="R564" s="993"/>
      <c r="S564" s="514"/>
      <c r="T564" s="514"/>
      <c r="U564" s="514"/>
      <c r="V564" s="514"/>
      <c r="W564" s="514"/>
      <c r="X564" s="514"/>
      <c r="Y564" s="514"/>
    </row>
    <row r="565">
      <c r="A565" s="514"/>
      <c r="B565" s="514"/>
      <c r="C565" s="514"/>
      <c r="D565" s="514"/>
      <c r="E565" s="514"/>
      <c r="F565" s="514"/>
      <c r="G565" s="514"/>
      <c r="H565" s="514"/>
      <c r="I565" s="514"/>
      <c r="J565" s="514"/>
      <c r="K565" s="514"/>
      <c r="L565" s="514"/>
      <c r="M565" s="514"/>
      <c r="N565" s="992"/>
      <c r="O565" s="992"/>
      <c r="P565" s="993"/>
      <c r="Q565" s="993"/>
      <c r="R565" s="993"/>
      <c r="S565" s="514"/>
      <c r="T565" s="514"/>
      <c r="U565" s="514"/>
      <c r="V565" s="514"/>
      <c r="W565" s="514"/>
      <c r="X565" s="514"/>
      <c r="Y565" s="514"/>
    </row>
    <row r="566">
      <c r="A566" s="514"/>
      <c r="B566" s="514"/>
      <c r="C566" s="514"/>
      <c r="D566" s="514"/>
      <c r="E566" s="514"/>
      <c r="F566" s="514"/>
      <c r="G566" s="514"/>
      <c r="H566" s="514"/>
      <c r="I566" s="514"/>
      <c r="J566" s="514"/>
      <c r="K566" s="514"/>
      <c r="L566" s="514"/>
      <c r="M566" s="514"/>
      <c r="N566" s="992"/>
      <c r="O566" s="992"/>
      <c r="P566" s="993"/>
      <c r="Q566" s="993"/>
      <c r="R566" s="993"/>
      <c r="S566" s="514"/>
      <c r="T566" s="514"/>
      <c r="U566" s="514"/>
      <c r="V566" s="514"/>
      <c r="W566" s="514"/>
      <c r="X566" s="514"/>
      <c r="Y566" s="514"/>
    </row>
    <row r="567">
      <c r="A567" s="514"/>
      <c r="B567" s="514"/>
      <c r="C567" s="514"/>
      <c r="D567" s="514"/>
      <c r="E567" s="514"/>
      <c r="F567" s="514"/>
      <c r="G567" s="514"/>
      <c r="H567" s="514"/>
      <c r="I567" s="514"/>
      <c r="J567" s="514"/>
      <c r="K567" s="514"/>
      <c r="L567" s="514"/>
      <c r="M567" s="514"/>
      <c r="N567" s="992"/>
      <c r="O567" s="992"/>
      <c r="P567" s="993"/>
      <c r="Q567" s="993"/>
      <c r="R567" s="993"/>
      <c r="S567" s="514"/>
      <c r="T567" s="514"/>
      <c r="U567" s="514"/>
      <c r="V567" s="514"/>
      <c r="W567" s="514"/>
      <c r="X567" s="514"/>
      <c r="Y567" s="514"/>
    </row>
    <row r="568">
      <c r="A568" s="514"/>
      <c r="B568" s="514"/>
      <c r="C568" s="514"/>
      <c r="D568" s="514"/>
      <c r="E568" s="514"/>
      <c r="F568" s="514"/>
      <c r="G568" s="514"/>
      <c r="H568" s="514"/>
      <c r="I568" s="514"/>
      <c r="J568" s="514"/>
      <c r="K568" s="514"/>
      <c r="L568" s="514"/>
      <c r="M568" s="514"/>
      <c r="N568" s="992"/>
      <c r="O568" s="992"/>
      <c r="P568" s="993"/>
      <c r="Q568" s="993"/>
      <c r="R568" s="993"/>
      <c r="S568" s="514"/>
      <c r="T568" s="514"/>
      <c r="U568" s="514"/>
      <c r="V568" s="514"/>
      <c r="W568" s="514"/>
      <c r="X568" s="514"/>
      <c r="Y568" s="514"/>
    </row>
    <row r="569">
      <c r="A569" s="514"/>
      <c r="B569" s="514"/>
      <c r="C569" s="514"/>
      <c r="D569" s="514"/>
      <c r="E569" s="514"/>
      <c r="F569" s="514"/>
      <c r="G569" s="514"/>
      <c r="H569" s="514"/>
      <c r="I569" s="514"/>
      <c r="J569" s="514"/>
      <c r="K569" s="514"/>
      <c r="L569" s="514"/>
      <c r="M569" s="514"/>
      <c r="N569" s="992"/>
      <c r="O569" s="992"/>
      <c r="P569" s="993"/>
      <c r="Q569" s="993"/>
      <c r="R569" s="993"/>
      <c r="S569" s="514"/>
      <c r="T569" s="514"/>
      <c r="U569" s="514"/>
      <c r="V569" s="514"/>
      <c r="W569" s="514"/>
      <c r="X569" s="514"/>
      <c r="Y569" s="514"/>
    </row>
    <row r="570">
      <c r="A570" s="514"/>
      <c r="B570" s="514"/>
      <c r="C570" s="514"/>
      <c r="D570" s="514"/>
      <c r="E570" s="514"/>
      <c r="F570" s="514"/>
      <c r="G570" s="514"/>
      <c r="H570" s="514"/>
      <c r="I570" s="514"/>
      <c r="J570" s="514"/>
      <c r="K570" s="514"/>
      <c r="L570" s="514"/>
      <c r="M570" s="514"/>
      <c r="N570" s="992"/>
      <c r="O570" s="992"/>
      <c r="P570" s="993"/>
      <c r="Q570" s="993"/>
      <c r="R570" s="993"/>
      <c r="S570" s="514"/>
      <c r="T570" s="514"/>
      <c r="U570" s="514"/>
      <c r="V570" s="514"/>
      <c r="W570" s="514"/>
      <c r="X570" s="514"/>
      <c r="Y570" s="514"/>
    </row>
    <row r="571">
      <c r="A571" s="514"/>
      <c r="B571" s="514"/>
      <c r="C571" s="514"/>
      <c r="D571" s="514"/>
      <c r="E571" s="514"/>
      <c r="F571" s="514"/>
      <c r="G571" s="514"/>
      <c r="H571" s="514"/>
      <c r="I571" s="514"/>
      <c r="J571" s="514"/>
      <c r="K571" s="514"/>
      <c r="L571" s="514"/>
      <c r="M571" s="514"/>
      <c r="N571" s="992"/>
      <c r="O571" s="992"/>
      <c r="P571" s="993"/>
      <c r="Q571" s="993"/>
      <c r="R571" s="993"/>
      <c r="S571" s="514"/>
      <c r="T571" s="514"/>
      <c r="U571" s="514"/>
      <c r="V571" s="514"/>
      <c r="W571" s="514"/>
      <c r="X571" s="514"/>
      <c r="Y571" s="514"/>
    </row>
    <row r="572">
      <c r="A572" s="514"/>
      <c r="B572" s="514"/>
      <c r="C572" s="514"/>
      <c r="D572" s="514"/>
      <c r="E572" s="514"/>
      <c r="F572" s="514"/>
      <c r="G572" s="514"/>
      <c r="H572" s="514"/>
      <c r="I572" s="514"/>
      <c r="J572" s="514"/>
      <c r="K572" s="514"/>
      <c r="L572" s="514"/>
      <c r="M572" s="514"/>
      <c r="N572" s="992"/>
      <c r="O572" s="992"/>
      <c r="P572" s="993"/>
      <c r="Q572" s="993"/>
      <c r="R572" s="993"/>
      <c r="S572" s="514"/>
      <c r="T572" s="514"/>
      <c r="U572" s="514"/>
      <c r="V572" s="514"/>
      <c r="W572" s="514"/>
      <c r="X572" s="514"/>
      <c r="Y572" s="514"/>
    </row>
    <row r="573">
      <c r="A573" s="514"/>
      <c r="B573" s="514"/>
      <c r="C573" s="514"/>
      <c r="D573" s="514"/>
      <c r="E573" s="514"/>
      <c r="F573" s="514"/>
      <c r="G573" s="514"/>
      <c r="H573" s="514"/>
      <c r="I573" s="514"/>
      <c r="J573" s="514"/>
      <c r="K573" s="514"/>
      <c r="L573" s="514"/>
      <c r="M573" s="514"/>
      <c r="N573" s="992"/>
      <c r="O573" s="992"/>
      <c r="P573" s="993"/>
      <c r="Q573" s="993"/>
      <c r="R573" s="993"/>
      <c r="S573" s="514"/>
      <c r="T573" s="514"/>
      <c r="U573" s="514"/>
      <c r="V573" s="514"/>
      <c r="W573" s="514"/>
      <c r="X573" s="514"/>
      <c r="Y573" s="514"/>
    </row>
    <row r="574">
      <c r="A574" s="514"/>
      <c r="B574" s="514"/>
      <c r="C574" s="514"/>
      <c r="D574" s="514"/>
      <c r="E574" s="514"/>
      <c r="F574" s="514"/>
      <c r="G574" s="514"/>
      <c r="H574" s="514"/>
      <c r="I574" s="514"/>
      <c r="J574" s="514"/>
      <c r="K574" s="514"/>
      <c r="L574" s="514"/>
      <c r="M574" s="514"/>
      <c r="N574" s="992"/>
      <c r="O574" s="992"/>
      <c r="P574" s="993"/>
      <c r="Q574" s="993"/>
      <c r="R574" s="993"/>
      <c r="S574" s="514"/>
      <c r="T574" s="514"/>
      <c r="U574" s="514"/>
      <c r="V574" s="514"/>
      <c r="W574" s="514"/>
      <c r="X574" s="514"/>
      <c r="Y574" s="514"/>
    </row>
    <row r="575">
      <c r="A575" s="514"/>
      <c r="B575" s="514"/>
      <c r="C575" s="514"/>
      <c r="D575" s="514"/>
      <c r="E575" s="514"/>
      <c r="F575" s="514"/>
      <c r="G575" s="514"/>
      <c r="H575" s="514"/>
      <c r="I575" s="514"/>
      <c r="J575" s="514"/>
      <c r="K575" s="514"/>
      <c r="L575" s="514"/>
      <c r="M575" s="514"/>
      <c r="N575" s="992"/>
      <c r="O575" s="992"/>
      <c r="P575" s="993"/>
      <c r="Q575" s="993"/>
      <c r="R575" s="993"/>
      <c r="S575" s="514"/>
      <c r="T575" s="514"/>
      <c r="U575" s="514"/>
      <c r="V575" s="514"/>
      <c r="W575" s="514"/>
      <c r="X575" s="514"/>
      <c r="Y575" s="514"/>
    </row>
    <row r="576">
      <c r="A576" s="514"/>
      <c r="B576" s="514"/>
      <c r="C576" s="514"/>
      <c r="D576" s="514"/>
      <c r="E576" s="514"/>
      <c r="F576" s="514"/>
      <c r="G576" s="514"/>
      <c r="H576" s="514"/>
      <c r="I576" s="514"/>
      <c r="J576" s="514"/>
      <c r="K576" s="514"/>
      <c r="L576" s="514"/>
      <c r="M576" s="514"/>
      <c r="N576" s="992"/>
      <c r="O576" s="992"/>
      <c r="P576" s="993"/>
      <c r="Q576" s="993"/>
      <c r="R576" s="993"/>
      <c r="S576" s="514"/>
      <c r="T576" s="514"/>
      <c r="U576" s="514"/>
      <c r="V576" s="514"/>
      <c r="W576" s="514"/>
      <c r="X576" s="514"/>
      <c r="Y576" s="514"/>
    </row>
    <row r="577">
      <c r="A577" s="514"/>
      <c r="B577" s="514"/>
      <c r="C577" s="514"/>
      <c r="D577" s="514"/>
      <c r="E577" s="514"/>
      <c r="F577" s="514"/>
      <c r="G577" s="514"/>
      <c r="H577" s="514"/>
      <c r="I577" s="514"/>
      <c r="J577" s="514"/>
      <c r="K577" s="514"/>
      <c r="L577" s="514"/>
      <c r="M577" s="514"/>
      <c r="N577" s="992"/>
      <c r="O577" s="992"/>
      <c r="P577" s="993"/>
      <c r="Q577" s="993"/>
      <c r="R577" s="993"/>
      <c r="S577" s="514"/>
      <c r="T577" s="514"/>
      <c r="U577" s="514"/>
      <c r="V577" s="514"/>
      <c r="W577" s="514"/>
      <c r="X577" s="514"/>
      <c r="Y577" s="514"/>
    </row>
    <row r="578">
      <c r="A578" s="514"/>
      <c r="B578" s="514"/>
      <c r="C578" s="514"/>
      <c r="D578" s="514"/>
      <c r="E578" s="514"/>
      <c r="F578" s="514"/>
      <c r="G578" s="514"/>
      <c r="H578" s="514"/>
      <c r="I578" s="514"/>
      <c r="J578" s="514"/>
      <c r="K578" s="514"/>
      <c r="L578" s="514"/>
      <c r="M578" s="514"/>
      <c r="N578" s="992"/>
      <c r="O578" s="992"/>
      <c r="P578" s="993"/>
      <c r="Q578" s="993"/>
      <c r="R578" s="993"/>
      <c r="S578" s="514"/>
      <c r="T578" s="514"/>
      <c r="U578" s="514"/>
      <c r="V578" s="514"/>
      <c r="W578" s="514"/>
      <c r="X578" s="514"/>
      <c r="Y578" s="514"/>
    </row>
    <row r="579">
      <c r="A579" s="514"/>
      <c r="B579" s="514"/>
      <c r="C579" s="514"/>
      <c r="D579" s="514"/>
      <c r="E579" s="514"/>
      <c r="F579" s="514"/>
      <c r="G579" s="514"/>
      <c r="H579" s="514"/>
      <c r="I579" s="514"/>
      <c r="J579" s="514"/>
      <c r="K579" s="514"/>
      <c r="L579" s="514"/>
      <c r="M579" s="514"/>
      <c r="N579" s="992"/>
      <c r="O579" s="992"/>
      <c r="P579" s="993"/>
      <c r="Q579" s="993"/>
      <c r="R579" s="993"/>
      <c r="S579" s="514"/>
      <c r="T579" s="514"/>
      <c r="U579" s="514"/>
      <c r="V579" s="514"/>
      <c r="W579" s="514"/>
      <c r="X579" s="514"/>
      <c r="Y579" s="514"/>
    </row>
    <row r="580">
      <c r="A580" s="514"/>
      <c r="B580" s="514"/>
      <c r="C580" s="514"/>
      <c r="D580" s="514"/>
      <c r="E580" s="514"/>
      <c r="F580" s="514"/>
      <c r="G580" s="514"/>
      <c r="H580" s="514"/>
      <c r="I580" s="514"/>
      <c r="J580" s="514"/>
      <c r="K580" s="514"/>
      <c r="L580" s="514"/>
      <c r="M580" s="514"/>
      <c r="N580" s="992"/>
      <c r="O580" s="992"/>
      <c r="P580" s="993"/>
      <c r="Q580" s="993"/>
      <c r="R580" s="993"/>
      <c r="S580" s="514"/>
      <c r="T580" s="514"/>
      <c r="U580" s="514"/>
      <c r="V580" s="514"/>
      <c r="W580" s="514"/>
      <c r="X580" s="514"/>
      <c r="Y580" s="514"/>
    </row>
    <row r="581">
      <c r="A581" s="514"/>
      <c r="B581" s="514"/>
      <c r="C581" s="514"/>
      <c r="D581" s="514"/>
      <c r="E581" s="514"/>
      <c r="F581" s="514"/>
      <c r="G581" s="514"/>
      <c r="H581" s="514"/>
      <c r="I581" s="514"/>
      <c r="J581" s="514"/>
      <c r="K581" s="514"/>
      <c r="L581" s="514"/>
      <c r="M581" s="514"/>
      <c r="N581" s="992"/>
      <c r="O581" s="992"/>
      <c r="P581" s="993"/>
      <c r="Q581" s="993"/>
      <c r="R581" s="993"/>
      <c r="S581" s="514"/>
      <c r="T581" s="514"/>
      <c r="U581" s="514"/>
      <c r="V581" s="514"/>
      <c r="W581" s="514"/>
      <c r="X581" s="514"/>
      <c r="Y581" s="514"/>
    </row>
    <row r="582">
      <c r="A582" s="514"/>
      <c r="B582" s="514"/>
      <c r="C582" s="514"/>
      <c r="D582" s="514"/>
      <c r="E582" s="514"/>
      <c r="F582" s="514"/>
      <c r="G582" s="514"/>
      <c r="H582" s="514"/>
      <c r="I582" s="514"/>
      <c r="J582" s="514"/>
      <c r="K582" s="514"/>
      <c r="L582" s="514"/>
      <c r="M582" s="514"/>
      <c r="N582" s="992"/>
      <c r="O582" s="992"/>
      <c r="P582" s="993"/>
      <c r="Q582" s="993"/>
      <c r="R582" s="993"/>
      <c r="S582" s="514"/>
      <c r="T582" s="514"/>
      <c r="U582" s="514"/>
      <c r="V582" s="514"/>
      <c r="W582" s="514"/>
      <c r="X582" s="514"/>
      <c r="Y582" s="514"/>
    </row>
    <row r="583">
      <c r="A583" s="514"/>
      <c r="B583" s="514"/>
      <c r="C583" s="514"/>
      <c r="D583" s="514"/>
      <c r="E583" s="514"/>
      <c r="F583" s="514"/>
      <c r="G583" s="514"/>
      <c r="H583" s="514"/>
      <c r="I583" s="514"/>
      <c r="J583" s="514"/>
      <c r="K583" s="514"/>
      <c r="L583" s="514"/>
      <c r="M583" s="514"/>
      <c r="N583" s="992"/>
      <c r="O583" s="992"/>
      <c r="P583" s="993"/>
      <c r="Q583" s="993"/>
      <c r="R583" s="993"/>
      <c r="S583" s="514"/>
      <c r="T583" s="514"/>
      <c r="U583" s="514"/>
      <c r="V583" s="514"/>
      <c r="W583" s="514"/>
      <c r="X583" s="514"/>
      <c r="Y583" s="514"/>
    </row>
    <row r="584">
      <c r="A584" s="514"/>
      <c r="B584" s="514"/>
      <c r="C584" s="514"/>
      <c r="D584" s="514"/>
      <c r="E584" s="514"/>
      <c r="F584" s="514"/>
      <c r="G584" s="514"/>
      <c r="H584" s="514"/>
      <c r="I584" s="514"/>
      <c r="J584" s="514"/>
      <c r="K584" s="514"/>
      <c r="L584" s="514"/>
      <c r="M584" s="514"/>
      <c r="N584" s="992"/>
      <c r="O584" s="992"/>
      <c r="P584" s="993"/>
      <c r="Q584" s="993"/>
      <c r="R584" s="993"/>
      <c r="S584" s="514"/>
      <c r="T584" s="514"/>
      <c r="U584" s="514"/>
      <c r="V584" s="514"/>
      <c r="W584" s="514"/>
      <c r="X584" s="514"/>
      <c r="Y584" s="514"/>
    </row>
    <row r="585">
      <c r="A585" s="514"/>
      <c r="B585" s="514"/>
      <c r="C585" s="514"/>
      <c r="D585" s="514"/>
      <c r="E585" s="514"/>
      <c r="F585" s="514"/>
      <c r="G585" s="514"/>
      <c r="H585" s="514"/>
      <c r="I585" s="514"/>
      <c r="J585" s="514"/>
      <c r="K585" s="514"/>
      <c r="L585" s="514"/>
      <c r="M585" s="514"/>
      <c r="N585" s="992"/>
      <c r="O585" s="992"/>
      <c r="P585" s="993"/>
      <c r="Q585" s="993"/>
      <c r="R585" s="993"/>
      <c r="S585" s="514"/>
      <c r="T585" s="514"/>
      <c r="U585" s="514"/>
      <c r="V585" s="514"/>
      <c r="W585" s="514"/>
      <c r="X585" s="514"/>
      <c r="Y585" s="514"/>
    </row>
    <row r="586">
      <c r="A586" s="514"/>
      <c r="B586" s="514"/>
      <c r="C586" s="514"/>
      <c r="D586" s="514"/>
      <c r="E586" s="514"/>
      <c r="F586" s="514"/>
      <c r="G586" s="514"/>
      <c r="H586" s="514"/>
      <c r="I586" s="514"/>
      <c r="J586" s="514"/>
      <c r="K586" s="514"/>
      <c r="L586" s="514"/>
      <c r="M586" s="514"/>
      <c r="N586" s="992"/>
      <c r="O586" s="992"/>
      <c r="P586" s="993"/>
      <c r="Q586" s="993"/>
      <c r="R586" s="993"/>
      <c r="S586" s="514"/>
      <c r="T586" s="514"/>
      <c r="U586" s="514"/>
      <c r="V586" s="514"/>
      <c r="W586" s="514"/>
      <c r="X586" s="514"/>
      <c r="Y586" s="514"/>
    </row>
    <row r="587">
      <c r="A587" s="514"/>
      <c r="B587" s="514"/>
      <c r="C587" s="514"/>
      <c r="D587" s="514"/>
      <c r="E587" s="514"/>
      <c r="F587" s="514"/>
      <c r="G587" s="514"/>
      <c r="H587" s="514"/>
      <c r="I587" s="514"/>
      <c r="J587" s="514"/>
      <c r="K587" s="514"/>
      <c r="L587" s="514"/>
      <c r="M587" s="514"/>
      <c r="N587" s="992"/>
      <c r="O587" s="992"/>
      <c r="P587" s="993"/>
      <c r="Q587" s="993"/>
      <c r="R587" s="993"/>
      <c r="S587" s="514"/>
      <c r="T587" s="514"/>
      <c r="U587" s="514"/>
      <c r="V587" s="514"/>
      <c r="W587" s="514"/>
      <c r="X587" s="514"/>
      <c r="Y587" s="514"/>
    </row>
    <row r="588">
      <c r="A588" s="514"/>
      <c r="B588" s="514"/>
      <c r="C588" s="514"/>
      <c r="D588" s="514"/>
      <c r="E588" s="514"/>
      <c r="F588" s="514"/>
      <c r="G588" s="514"/>
      <c r="H588" s="514"/>
      <c r="I588" s="514"/>
      <c r="J588" s="514"/>
      <c r="K588" s="514"/>
      <c r="L588" s="514"/>
      <c r="M588" s="514"/>
      <c r="N588" s="992"/>
      <c r="O588" s="992"/>
      <c r="P588" s="993"/>
      <c r="Q588" s="993"/>
      <c r="R588" s="993"/>
      <c r="S588" s="514"/>
      <c r="T588" s="514"/>
      <c r="U588" s="514"/>
      <c r="V588" s="514"/>
      <c r="W588" s="514"/>
      <c r="X588" s="514"/>
      <c r="Y588" s="514"/>
    </row>
    <row r="589">
      <c r="A589" s="514"/>
      <c r="B589" s="514"/>
      <c r="C589" s="514"/>
      <c r="D589" s="514"/>
      <c r="E589" s="514"/>
      <c r="F589" s="514"/>
      <c r="G589" s="514"/>
      <c r="H589" s="514"/>
      <c r="I589" s="514"/>
      <c r="J589" s="514"/>
      <c r="K589" s="514"/>
      <c r="L589" s="514"/>
      <c r="M589" s="514"/>
      <c r="N589" s="992"/>
      <c r="O589" s="992"/>
      <c r="P589" s="993"/>
      <c r="Q589" s="993"/>
      <c r="R589" s="993"/>
      <c r="S589" s="514"/>
      <c r="T589" s="514"/>
      <c r="U589" s="514"/>
      <c r="V589" s="514"/>
      <c r="W589" s="514"/>
      <c r="X589" s="514"/>
      <c r="Y589" s="514"/>
    </row>
    <row r="590">
      <c r="A590" s="514"/>
      <c r="B590" s="514"/>
      <c r="C590" s="514"/>
      <c r="D590" s="514"/>
      <c r="E590" s="514"/>
      <c r="F590" s="514"/>
      <c r="G590" s="514"/>
      <c r="H590" s="514"/>
      <c r="I590" s="514"/>
      <c r="J590" s="514"/>
      <c r="K590" s="514"/>
      <c r="L590" s="514"/>
      <c r="M590" s="514"/>
      <c r="N590" s="992"/>
      <c r="O590" s="992"/>
      <c r="P590" s="993"/>
      <c r="Q590" s="993"/>
      <c r="R590" s="993"/>
      <c r="S590" s="514"/>
      <c r="T590" s="514"/>
      <c r="U590" s="514"/>
      <c r="V590" s="514"/>
      <c r="W590" s="514"/>
      <c r="X590" s="514"/>
      <c r="Y590" s="514"/>
    </row>
    <row r="591">
      <c r="A591" s="514"/>
      <c r="B591" s="514"/>
      <c r="C591" s="514"/>
      <c r="D591" s="514"/>
      <c r="E591" s="514"/>
      <c r="F591" s="514"/>
      <c r="G591" s="514"/>
      <c r="H591" s="514"/>
      <c r="I591" s="514"/>
      <c r="J591" s="514"/>
      <c r="K591" s="514"/>
      <c r="L591" s="514"/>
      <c r="M591" s="514"/>
      <c r="N591" s="992"/>
      <c r="O591" s="992"/>
      <c r="P591" s="993"/>
      <c r="Q591" s="993"/>
      <c r="R591" s="993"/>
      <c r="S591" s="514"/>
      <c r="T591" s="514"/>
      <c r="U591" s="514"/>
      <c r="V591" s="514"/>
      <c r="W591" s="514"/>
      <c r="X591" s="514"/>
      <c r="Y591" s="514"/>
    </row>
    <row r="592">
      <c r="A592" s="514"/>
      <c r="B592" s="514"/>
      <c r="C592" s="514"/>
      <c r="D592" s="514"/>
      <c r="E592" s="514"/>
      <c r="F592" s="514"/>
      <c r="G592" s="514"/>
      <c r="H592" s="514"/>
      <c r="I592" s="514"/>
      <c r="J592" s="514"/>
      <c r="K592" s="514"/>
      <c r="L592" s="514"/>
      <c r="M592" s="514"/>
      <c r="N592" s="992"/>
      <c r="O592" s="992"/>
      <c r="P592" s="993"/>
      <c r="Q592" s="993"/>
      <c r="R592" s="993"/>
      <c r="S592" s="514"/>
      <c r="T592" s="514"/>
      <c r="U592" s="514"/>
      <c r="V592" s="514"/>
      <c r="W592" s="514"/>
      <c r="X592" s="514"/>
      <c r="Y592" s="514"/>
    </row>
    <row r="593">
      <c r="A593" s="514"/>
      <c r="B593" s="514"/>
      <c r="C593" s="514"/>
      <c r="D593" s="514"/>
      <c r="E593" s="514"/>
      <c r="F593" s="514"/>
      <c r="G593" s="514"/>
      <c r="H593" s="514"/>
      <c r="I593" s="514"/>
      <c r="J593" s="514"/>
      <c r="K593" s="514"/>
      <c r="L593" s="514"/>
      <c r="M593" s="514"/>
      <c r="N593" s="992"/>
      <c r="O593" s="992"/>
      <c r="P593" s="993"/>
      <c r="Q593" s="993"/>
      <c r="R593" s="993"/>
      <c r="S593" s="514"/>
      <c r="T593" s="514"/>
      <c r="U593" s="514"/>
      <c r="V593" s="514"/>
      <c r="W593" s="514"/>
      <c r="X593" s="514"/>
      <c r="Y593" s="514"/>
    </row>
    <row r="594">
      <c r="A594" s="514"/>
      <c r="B594" s="514"/>
      <c r="C594" s="514"/>
      <c r="D594" s="514"/>
      <c r="E594" s="514"/>
      <c r="F594" s="514"/>
      <c r="G594" s="514"/>
      <c r="H594" s="514"/>
      <c r="I594" s="514"/>
      <c r="J594" s="514"/>
      <c r="K594" s="514"/>
      <c r="L594" s="514"/>
      <c r="M594" s="514"/>
      <c r="N594" s="992"/>
      <c r="O594" s="992"/>
      <c r="P594" s="993"/>
      <c r="Q594" s="993"/>
      <c r="R594" s="993"/>
      <c r="S594" s="514"/>
      <c r="T594" s="514"/>
      <c r="U594" s="514"/>
      <c r="V594" s="514"/>
      <c r="W594" s="514"/>
      <c r="X594" s="514"/>
      <c r="Y594" s="514"/>
    </row>
    <row r="595">
      <c r="A595" s="514"/>
      <c r="B595" s="514"/>
      <c r="C595" s="514"/>
      <c r="D595" s="514"/>
      <c r="E595" s="514"/>
      <c r="F595" s="514"/>
      <c r="G595" s="514"/>
      <c r="H595" s="514"/>
      <c r="I595" s="514"/>
      <c r="J595" s="514"/>
      <c r="K595" s="514"/>
      <c r="L595" s="514"/>
      <c r="M595" s="514"/>
      <c r="N595" s="992"/>
      <c r="O595" s="992"/>
      <c r="P595" s="993"/>
      <c r="Q595" s="993"/>
      <c r="R595" s="993"/>
      <c r="S595" s="514"/>
      <c r="T595" s="514"/>
      <c r="U595" s="514"/>
      <c r="V595" s="514"/>
      <c r="W595" s="514"/>
      <c r="X595" s="514"/>
      <c r="Y595" s="514"/>
    </row>
    <row r="596">
      <c r="A596" s="514"/>
      <c r="B596" s="514"/>
      <c r="C596" s="514"/>
      <c r="D596" s="514"/>
      <c r="E596" s="514"/>
      <c r="F596" s="514"/>
      <c r="G596" s="514"/>
      <c r="H596" s="514"/>
      <c r="I596" s="514"/>
      <c r="J596" s="514"/>
      <c r="K596" s="514"/>
      <c r="L596" s="514"/>
      <c r="M596" s="514"/>
      <c r="N596" s="992"/>
      <c r="O596" s="992"/>
      <c r="P596" s="993"/>
      <c r="Q596" s="993"/>
      <c r="R596" s="993"/>
      <c r="S596" s="514"/>
      <c r="T596" s="514"/>
      <c r="U596" s="514"/>
      <c r="V596" s="514"/>
      <c r="W596" s="514"/>
      <c r="X596" s="514"/>
      <c r="Y596" s="514"/>
    </row>
    <row r="597">
      <c r="A597" s="514"/>
      <c r="B597" s="514"/>
      <c r="C597" s="514"/>
      <c r="D597" s="514"/>
      <c r="E597" s="514"/>
      <c r="F597" s="514"/>
      <c r="G597" s="514"/>
      <c r="H597" s="514"/>
      <c r="I597" s="514"/>
      <c r="J597" s="514"/>
      <c r="K597" s="514"/>
      <c r="L597" s="514"/>
      <c r="M597" s="514"/>
      <c r="N597" s="992"/>
      <c r="O597" s="992"/>
      <c r="P597" s="993"/>
      <c r="Q597" s="993"/>
      <c r="R597" s="993"/>
      <c r="S597" s="514"/>
      <c r="T597" s="514"/>
      <c r="U597" s="514"/>
      <c r="V597" s="514"/>
      <c r="W597" s="514"/>
      <c r="X597" s="514"/>
      <c r="Y597" s="514"/>
    </row>
    <row r="598">
      <c r="A598" s="514"/>
      <c r="B598" s="514"/>
      <c r="C598" s="514"/>
      <c r="D598" s="514"/>
      <c r="E598" s="514"/>
      <c r="F598" s="514"/>
      <c r="G598" s="514"/>
      <c r="H598" s="514"/>
      <c r="I598" s="514"/>
      <c r="J598" s="514"/>
      <c r="K598" s="514"/>
      <c r="L598" s="514"/>
      <c r="M598" s="514"/>
      <c r="N598" s="992"/>
      <c r="O598" s="992"/>
      <c r="P598" s="993"/>
      <c r="Q598" s="993"/>
      <c r="R598" s="993"/>
      <c r="S598" s="514"/>
      <c r="T598" s="514"/>
      <c r="U598" s="514"/>
      <c r="V598" s="514"/>
      <c r="W598" s="514"/>
      <c r="X598" s="514"/>
      <c r="Y598" s="514"/>
    </row>
    <row r="599">
      <c r="A599" s="514"/>
      <c r="B599" s="514"/>
      <c r="C599" s="514"/>
      <c r="D599" s="514"/>
      <c r="E599" s="514"/>
      <c r="F599" s="514"/>
      <c r="G599" s="514"/>
      <c r="H599" s="514"/>
      <c r="I599" s="514"/>
      <c r="J599" s="514"/>
      <c r="K599" s="514"/>
      <c r="L599" s="514"/>
      <c r="M599" s="514"/>
      <c r="N599" s="992"/>
      <c r="O599" s="992"/>
      <c r="P599" s="993"/>
      <c r="Q599" s="993"/>
      <c r="R599" s="993"/>
      <c r="S599" s="514"/>
      <c r="T599" s="514"/>
      <c r="U599" s="514"/>
      <c r="V599" s="514"/>
      <c r="W599" s="514"/>
      <c r="X599" s="514"/>
      <c r="Y599" s="514"/>
    </row>
    <row r="600">
      <c r="A600" s="514"/>
      <c r="B600" s="514"/>
      <c r="C600" s="514"/>
      <c r="D600" s="514"/>
      <c r="E600" s="514"/>
      <c r="F600" s="514"/>
      <c r="G600" s="514"/>
      <c r="H600" s="514"/>
      <c r="I600" s="514"/>
      <c r="J600" s="514"/>
      <c r="K600" s="514"/>
      <c r="L600" s="514"/>
      <c r="M600" s="514"/>
      <c r="N600" s="992"/>
      <c r="O600" s="992"/>
      <c r="P600" s="993"/>
      <c r="Q600" s="993"/>
      <c r="R600" s="993"/>
      <c r="S600" s="514"/>
      <c r="T600" s="514"/>
      <c r="U600" s="514"/>
      <c r="V600" s="514"/>
      <c r="W600" s="514"/>
      <c r="X600" s="514"/>
      <c r="Y600" s="514"/>
    </row>
    <row r="601">
      <c r="A601" s="514"/>
      <c r="B601" s="514"/>
      <c r="C601" s="514"/>
      <c r="D601" s="514"/>
      <c r="E601" s="514"/>
      <c r="F601" s="514"/>
      <c r="G601" s="514"/>
      <c r="H601" s="514"/>
      <c r="I601" s="514"/>
      <c r="J601" s="514"/>
      <c r="K601" s="514"/>
      <c r="L601" s="514"/>
      <c r="M601" s="514"/>
      <c r="N601" s="992"/>
      <c r="O601" s="992"/>
      <c r="P601" s="993"/>
      <c r="Q601" s="993"/>
      <c r="R601" s="993"/>
      <c r="S601" s="514"/>
      <c r="T601" s="514"/>
      <c r="U601" s="514"/>
      <c r="V601" s="514"/>
      <c r="W601" s="514"/>
      <c r="X601" s="514"/>
      <c r="Y601" s="514"/>
    </row>
    <row r="602">
      <c r="A602" s="514"/>
      <c r="B602" s="514"/>
      <c r="C602" s="514"/>
      <c r="D602" s="514"/>
      <c r="E602" s="514"/>
      <c r="F602" s="514"/>
      <c r="G602" s="514"/>
      <c r="H602" s="514"/>
      <c r="I602" s="514"/>
      <c r="J602" s="514"/>
      <c r="K602" s="514"/>
      <c r="L602" s="514"/>
      <c r="M602" s="514"/>
      <c r="N602" s="992"/>
      <c r="O602" s="992"/>
      <c r="P602" s="993"/>
      <c r="Q602" s="993"/>
      <c r="R602" s="993"/>
      <c r="S602" s="514"/>
      <c r="T602" s="514"/>
      <c r="U602" s="514"/>
      <c r="V602" s="514"/>
      <c r="W602" s="514"/>
      <c r="X602" s="514"/>
      <c r="Y602" s="514"/>
    </row>
    <row r="603">
      <c r="A603" s="514"/>
      <c r="B603" s="514"/>
      <c r="C603" s="514"/>
      <c r="D603" s="514"/>
      <c r="E603" s="514"/>
      <c r="F603" s="514"/>
      <c r="G603" s="514"/>
      <c r="H603" s="514"/>
      <c r="I603" s="514"/>
      <c r="J603" s="514"/>
      <c r="K603" s="514"/>
      <c r="L603" s="514"/>
      <c r="M603" s="514"/>
      <c r="N603" s="992"/>
      <c r="O603" s="992"/>
      <c r="P603" s="993"/>
      <c r="Q603" s="993"/>
      <c r="R603" s="993"/>
      <c r="S603" s="514"/>
      <c r="T603" s="514"/>
      <c r="U603" s="514"/>
      <c r="V603" s="514"/>
      <c r="W603" s="514"/>
      <c r="X603" s="514"/>
      <c r="Y603" s="514"/>
    </row>
    <row r="604">
      <c r="A604" s="514"/>
      <c r="B604" s="514"/>
      <c r="C604" s="514"/>
      <c r="D604" s="514"/>
      <c r="E604" s="514"/>
      <c r="F604" s="514"/>
      <c r="G604" s="514"/>
      <c r="H604" s="514"/>
      <c r="I604" s="514"/>
      <c r="J604" s="514"/>
      <c r="K604" s="514"/>
      <c r="L604" s="514"/>
      <c r="M604" s="514"/>
      <c r="N604" s="992"/>
      <c r="O604" s="992"/>
      <c r="P604" s="993"/>
      <c r="Q604" s="993"/>
      <c r="R604" s="993"/>
      <c r="S604" s="514"/>
      <c r="T604" s="514"/>
      <c r="U604" s="514"/>
      <c r="V604" s="514"/>
      <c r="W604" s="514"/>
      <c r="X604" s="514"/>
      <c r="Y604" s="514"/>
    </row>
    <row r="605">
      <c r="A605" s="514"/>
      <c r="B605" s="514"/>
      <c r="C605" s="514"/>
      <c r="D605" s="514"/>
      <c r="E605" s="514"/>
      <c r="F605" s="514"/>
      <c r="G605" s="514"/>
      <c r="H605" s="514"/>
      <c r="I605" s="514"/>
      <c r="J605" s="514"/>
      <c r="K605" s="514"/>
      <c r="L605" s="514"/>
      <c r="M605" s="514"/>
      <c r="N605" s="992"/>
      <c r="O605" s="992"/>
      <c r="P605" s="993"/>
      <c r="Q605" s="993"/>
      <c r="R605" s="993"/>
      <c r="S605" s="514"/>
      <c r="T605" s="514"/>
      <c r="U605" s="514"/>
      <c r="V605" s="514"/>
      <c r="W605" s="514"/>
      <c r="X605" s="514"/>
      <c r="Y605" s="514"/>
    </row>
    <row r="606">
      <c r="A606" s="514"/>
      <c r="B606" s="514"/>
      <c r="C606" s="514"/>
      <c r="D606" s="514"/>
      <c r="E606" s="514"/>
      <c r="F606" s="514"/>
      <c r="G606" s="514"/>
      <c r="H606" s="514"/>
      <c r="I606" s="514"/>
      <c r="J606" s="514"/>
      <c r="K606" s="514"/>
      <c r="L606" s="514"/>
      <c r="M606" s="514"/>
      <c r="N606" s="992"/>
      <c r="O606" s="992"/>
      <c r="P606" s="993"/>
      <c r="Q606" s="993"/>
      <c r="R606" s="993"/>
      <c r="S606" s="514"/>
      <c r="T606" s="514"/>
      <c r="U606" s="514"/>
      <c r="V606" s="514"/>
      <c r="W606" s="514"/>
      <c r="X606" s="514"/>
      <c r="Y606" s="514"/>
    </row>
    <row r="607">
      <c r="A607" s="514"/>
      <c r="B607" s="514"/>
      <c r="C607" s="514"/>
      <c r="D607" s="514"/>
      <c r="E607" s="514"/>
      <c r="F607" s="514"/>
      <c r="G607" s="514"/>
      <c r="H607" s="514"/>
      <c r="I607" s="514"/>
      <c r="J607" s="514"/>
      <c r="K607" s="514"/>
      <c r="L607" s="514"/>
      <c r="M607" s="514"/>
      <c r="N607" s="992"/>
      <c r="O607" s="992"/>
      <c r="P607" s="993"/>
      <c r="Q607" s="993"/>
      <c r="R607" s="993"/>
      <c r="S607" s="514"/>
      <c r="T607" s="514"/>
      <c r="U607" s="514"/>
      <c r="V607" s="514"/>
      <c r="W607" s="514"/>
      <c r="X607" s="514"/>
      <c r="Y607" s="514"/>
    </row>
    <row r="608">
      <c r="A608" s="514"/>
      <c r="B608" s="514"/>
      <c r="C608" s="514"/>
      <c r="D608" s="514"/>
      <c r="E608" s="514"/>
      <c r="F608" s="514"/>
      <c r="G608" s="514"/>
      <c r="H608" s="514"/>
      <c r="I608" s="514"/>
      <c r="J608" s="514"/>
      <c r="K608" s="514"/>
      <c r="L608" s="514"/>
      <c r="M608" s="514"/>
      <c r="N608" s="992"/>
      <c r="O608" s="992"/>
      <c r="P608" s="993"/>
      <c r="Q608" s="993"/>
      <c r="R608" s="993"/>
      <c r="S608" s="514"/>
      <c r="T608" s="514"/>
      <c r="U608" s="514"/>
      <c r="V608" s="514"/>
      <c r="W608" s="514"/>
      <c r="X608" s="514"/>
      <c r="Y608" s="514"/>
    </row>
    <row r="609">
      <c r="A609" s="514"/>
      <c r="B609" s="514"/>
      <c r="C609" s="514"/>
      <c r="D609" s="514"/>
      <c r="E609" s="514"/>
      <c r="F609" s="514"/>
      <c r="G609" s="514"/>
      <c r="H609" s="514"/>
      <c r="I609" s="514"/>
      <c r="J609" s="514"/>
      <c r="K609" s="514"/>
      <c r="L609" s="514"/>
      <c r="M609" s="514"/>
      <c r="N609" s="992"/>
      <c r="O609" s="992"/>
      <c r="P609" s="993"/>
      <c r="Q609" s="993"/>
      <c r="R609" s="993"/>
      <c r="S609" s="514"/>
      <c r="T609" s="514"/>
      <c r="U609" s="514"/>
      <c r="V609" s="514"/>
      <c r="W609" s="514"/>
      <c r="X609" s="514"/>
      <c r="Y609" s="514"/>
    </row>
    <row r="610">
      <c r="A610" s="514"/>
      <c r="B610" s="514"/>
      <c r="C610" s="514"/>
      <c r="D610" s="514"/>
      <c r="E610" s="514"/>
      <c r="F610" s="514"/>
      <c r="G610" s="514"/>
      <c r="H610" s="514"/>
      <c r="I610" s="514"/>
      <c r="J610" s="514"/>
      <c r="K610" s="514"/>
      <c r="L610" s="514"/>
      <c r="M610" s="514"/>
      <c r="N610" s="992"/>
      <c r="O610" s="992"/>
      <c r="P610" s="993"/>
      <c r="Q610" s="993"/>
      <c r="R610" s="993"/>
      <c r="S610" s="514"/>
      <c r="T610" s="514"/>
      <c r="U610" s="514"/>
      <c r="V610" s="514"/>
      <c r="W610" s="514"/>
      <c r="X610" s="514"/>
      <c r="Y610" s="514"/>
    </row>
    <row r="611">
      <c r="A611" s="514"/>
      <c r="B611" s="514"/>
      <c r="C611" s="514"/>
      <c r="D611" s="514"/>
      <c r="E611" s="514"/>
      <c r="F611" s="514"/>
      <c r="G611" s="514"/>
      <c r="H611" s="514"/>
      <c r="I611" s="514"/>
      <c r="J611" s="514"/>
      <c r="K611" s="514"/>
      <c r="L611" s="514"/>
      <c r="M611" s="514"/>
      <c r="N611" s="992"/>
      <c r="O611" s="992"/>
      <c r="P611" s="993"/>
      <c r="Q611" s="993"/>
      <c r="R611" s="993"/>
      <c r="S611" s="514"/>
      <c r="T611" s="514"/>
      <c r="U611" s="514"/>
      <c r="V611" s="514"/>
      <c r="W611" s="514"/>
      <c r="X611" s="514"/>
      <c r="Y611" s="514"/>
    </row>
    <row r="612">
      <c r="A612" s="514"/>
      <c r="B612" s="514"/>
      <c r="C612" s="514"/>
      <c r="D612" s="514"/>
      <c r="E612" s="514"/>
      <c r="F612" s="514"/>
      <c r="G612" s="514"/>
      <c r="H612" s="514"/>
      <c r="I612" s="514"/>
      <c r="J612" s="514"/>
      <c r="K612" s="514"/>
      <c r="L612" s="514"/>
      <c r="M612" s="514"/>
      <c r="N612" s="992"/>
      <c r="O612" s="992"/>
      <c r="P612" s="993"/>
      <c r="Q612" s="993"/>
      <c r="R612" s="993"/>
      <c r="S612" s="514"/>
      <c r="T612" s="514"/>
      <c r="U612" s="514"/>
      <c r="V612" s="514"/>
      <c r="W612" s="514"/>
      <c r="X612" s="514"/>
      <c r="Y612" s="514"/>
    </row>
    <row r="613">
      <c r="A613" s="514"/>
      <c r="B613" s="514"/>
      <c r="C613" s="514"/>
      <c r="D613" s="514"/>
      <c r="E613" s="514"/>
      <c r="F613" s="514"/>
      <c r="G613" s="514"/>
      <c r="H613" s="514"/>
      <c r="I613" s="514"/>
      <c r="J613" s="514"/>
      <c r="K613" s="514"/>
      <c r="L613" s="514"/>
      <c r="M613" s="514"/>
      <c r="N613" s="992"/>
      <c r="O613" s="992"/>
      <c r="P613" s="993"/>
      <c r="Q613" s="993"/>
      <c r="R613" s="993"/>
      <c r="S613" s="514"/>
      <c r="T613" s="514"/>
      <c r="U613" s="514"/>
      <c r="V613" s="514"/>
      <c r="W613" s="514"/>
      <c r="X613" s="514"/>
      <c r="Y613" s="514"/>
    </row>
    <row r="614">
      <c r="A614" s="514"/>
      <c r="B614" s="514"/>
      <c r="C614" s="514"/>
      <c r="D614" s="514"/>
      <c r="E614" s="514"/>
      <c r="F614" s="514"/>
      <c r="G614" s="514"/>
      <c r="H614" s="514"/>
      <c r="I614" s="514"/>
      <c r="J614" s="514"/>
      <c r="K614" s="514"/>
      <c r="L614" s="514"/>
      <c r="M614" s="514"/>
      <c r="N614" s="992"/>
      <c r="O614" s="992"/>
      <c r="P614" s="993"/>
      <c r="Q614" s="993"/>
      <c r="R614" s="993"/>
      <c r="S614" s="514"/>
      <c r="T614" s="514"/>
      <c r="U614" s="514"/>
      <c r="V614" s="514"/>
      <c r="W614" s="514"/>
      <c r="X614" s="514"/>
      <c r="Y614" s="514"/>
    </row>
    <row r="615">
      <c r="A615" s="514"/>
      <c r="B615" s="514"/>
      <c r="C615" s="514"/>
      <c r="D615" s="514"/>
      <c r="E615" s="514"/>
      <c r="F615" s="514"/>
      <c r="G615" s="514"/>
      <c r="H615" s="514"/>
      <c r="I615" s="514"/>
      <c r="J615" s="514"/>
      <c r="K615" s="514"/>
      <c r="L615" s="514"/>
      <c r="M615" s="514"/>
      <c r="N615" s="992"/>
      <c r="O615" s="992"/>
      <c r="P615" s="993"/>
      <c r="Q615" s="993"/>
      <c r="R615" s="993"/>
      <c r="S615" s="514"/>
      <c r="T615" s="514"/>
      <c r="U615" s="514"/>
      <c r="V615" s="514"/>
      <c r="W615" s="514"/>
      <c r="X615" s="514"/>
      <c r="Y615" s="514"/>
    </row>
    <row r="616">
      <c r="A616" s="514"/>
      <c r="B616" s="514"/>
      <c r="C616" s="514"/>
      <c r="D616" s="514"/>
      <c r="E616" s="514"/>
      <c r="F616" s="514"/>
      <c r="G616" s="514"/>
      <c r="H616" s="514"/>
      <c r="I616" s="514"/>
      <c r="J616" s="514"/>
      <c r="K616" s="514"/>
      <c r="L616" s="514"/>
      <c r="M616" s="514"/>
      <c r="N616" s="992"/>
      <c r="O616" s="992"/>
      <c r="P616" s="993"/>
      <c r="Q616" s="993"/>
      <c r="R616" s="993"/>
      <c r="S616" s="514"/>
      <c r="T616" s="514"/>
      <c r="U616" s="514"/>
      <c r="V616" s="514"/>
      <c r="W616" s="514"/>
      <c r="X616" s="514"/>
      <c r="Y616" s="514"/>
    </row>
    <row r="617">
      <c r="A617" s="514"/>
      <c r="B617" s="514"/>
      <c r="C617" s="514"/>
      <c r="D617" s="514"/>
      <c r="E617" s="514"/>
      <c r="F617" s="514"/>
      <c r="G617" s="514"/>
      <c r="H617" s="514"/>
      <c r="I617" s="514"/>
      <c r="J617" s="514"/>
      <c r="K617" s="514"/>
      <c r="L617" s="514"/>
      <c r="M617" s="514"/>
      <c r="N617" s="992"/>
      <c r="O617" s="992"/>
      <c r="P617" s="993"/>
      <c r="Q617" s="993"/>
      <c r="R617" s="993"/>
      <c r="S617" s="514"/>
      <c r="T617" s="514"/>
      <c r="U617" s="514"/>
      <c r="V617" s="514"/>
      <c r="W617" s="514"/>
      <c r="X617" s="514"/>
      <c r="Y617" s="514"/>
    </row>
    <row r="618">
      <c r="A618" s="514"/>
      <c r="B618" s="514"/>
      <c r="C618" s="514"/>
      <c r="D618" s="514"/>
      <c r="E618" s="514"/>
      <c r="F618" s="514"/>
      <c r="G618" s="514"/>
      <c r="H618" s="514"/>
      <c r="I618" s="514"/>
      <c r="J618" s="514"/>
      <c r="K618" s="514"/>
      <c r="L618" s="514"/>
      <c r="M618" s="514"/>
      <c r="N618" s="992"/>
      <c r="O618" s="992"/>
      <c r="P618" s="993"/>
      <c r="Q618" s="993"/>
      <c r="R618" s="993"/>
      <c r="S618" s="514"/>
      <c r="T618" s="514"/>
      <c r="U618" s="514"/>
      <c r="V618" s="514"/>
      <c r="W618" s="514"/>
      <c r="X618" s="514"/>
      <c r="Y618" s="514"/>
    </row>
    <row r="619">
      <c r="A619" s="514"/>
      <c r="B619" s="514"/>
      <c r="C619" s="514"/>
      <c r="D619" s="514"/>
      <c r="E619" s="514"/>
      <c r="F619" s="514"/>
      <c r="G619" s="514"/>
      <c r="H619" s="514"/>
      <c r="I619" s="514"/>
      <c r="J619" s="514"/>
      <c r="K619" s="514"/>
      <c r="L619" s="514"/>
      <c r="M619" s="514"/>
      <c r="N619" s="992"/>
      <c r="O619" s="992"/>
      <c r="P619" s="993"/>
      <c r="Q619" s="993"/>
      <c r="R619" s="993"/>
      <c r="S619" s="514"/>
      <c r="T619" s="514"/>
      <c r="U619" s="514"/>
      <c r="V619" s="514"/>
      <c r="W619" s="514"/>
      <c r="X619" s="514"/>
      <c r="Y619" s="514"/>
    </row>
    <row r="620">
      <c r="A620" s="514"/>
      <c r="B620" s="514"/>
      <c r="C620" s="514"/>
      <c r="D620" s="514"/>
      <c r="E620" s="514"/>
      <c r="F620" s="514"/>
      <c r="G620" s="514"/>
      <c r="H620" s="514"/>
      <c r="I620" s="514"/>
      <c r="J620" s="514"/>
      <c r="K620" s="514"/>
      <c r="L620" s="514"/>
      <c r="M620" s="514"/>
      <c r="N620" s="992"/>
      <c r="O620" s="992"/>
      <c r="P620" s="993"/>
      <c r="Q620" s="993"/>
      <c r="R620" s="993"/>
      <c r="S620" s="514"/>
      <c r="T620" s="514"/>
      <c r="U620" s="514"/>
      <c r="V620" s="514"/>
      <c r="W620" s="514"/>
      <c r="X620" s="514"/>
      <c r="Y620" s="514"/>
    </row>
    <row r="621">
      <c r="A621" s="514"/>
      <c r="B621" s="514"/>
      <c r="C621" s="514"/>
      <c r="D621" s="514"/>
      <c r="E621" s="514"/>
      <c r="F621" s="514"/>
      <c r="G621" s="514"/>
      <c r="H621" s="514"/>
      <c r="I621" s="514"/>
      <c r="J621" s="514"/>
      <c r="K621" s="514"/>
      <c r="L621" s="514"/>
      <c r="M621" s="514"/>
      <c r="N621" s="992"/>
      <c r="O621" s="992"/>
      <c r="P621" s="993"/>
      <c r="Q621" s="993"/>
      <c r="R621" s="993"/>
      <c r="S621" s="514"/>
      <c r="T621" s="514"/>
      <c r="U621" s="514"/>
      <c r="V621" s="514"/>
      <c r="W621" s="514"/>
      <c r="X621" s="514"/>
      <c r="Y621" s="514"/>
    </row>
    <row r="622">
      <c r="A622" s="514"/>
      <c r="B622" s="514"/>
      <c r="C622" s="514"/>
      <c r="D622" s="514"/>
      <c r="E622" s="514"/>
      <c r="F622" s="514"/>
      <c r="G622" s="514"/>
      <c r="H622" s="514"/>
      <c r="I622" s="514"/>
      <c r="J622" s="514"/>
      <c r="K622" s="514"/>
      <c r="L622" s="514"/>
      <c r="M622" s="514"/>
      <c r="N622" s="992"/>
      <c r="O622" s="992"/>
      <c r="P622" s="993"/>
      <c r="Q622" s="993"/>
      <c r="R622" s="993"/>
      <c r="S622" s="514"/>
      <c r="T622" s="514"/>
      <c r="U622" s="514"/>
      <c r="V622" s="514"/>
      <c r="W622" s="514"/>
      <c r="X622" s="514"/>
      <c r="Y622" s="514"/>
    </row>
    <row r="623">
      <c r="A623" s="514"/>
      <c r="B623" s="514"/>
      <c r="C623" s="514"/>
      <c r="D623" s="514"/>
      <c r="E623" s="514"/>
      <c r="F623" s="514"/>
      <c r="G623" s="514"/>
      <c r="H623" s="514"/>
      <c r="I623" s="514"/>
      <c r="J623" s="514"/>
      <c r="K623" s="514"/>
      <c r="L623" s="514"/>
      <c r="M623" s="514"/>
      <c r="N623" s="992"/>
      <c r="O623" s="992"/>
      <c r="P623" s="993"/>
      <c r="Q623" s="993"/>
      <c r="R623" s="993"/>
      <c r="S623" s="514"/>
      <c r="T623" s="514"/>
      <c r="U623" s="514"/>
      <c r="V623" s="514"/>
      <c r="W623" s="514"/>
      <c r="X623" s="514"/>
      <c r="Y623" s="514"/>
    </row>
    <row r="624">
      <c r="A624" s="514"/>
      <c r="B624" s="514"/>
      <c r="C624" s="514"/>
      <c r="D624" s="514"/>
      <c r="E624" s="514"/>
      <c r="F624" s="514"/>
      <c r="G624" s="514"/>
      <c r="H624" s="514"/>
      <c r="I624" s="514"/>
      <c r="J624" s="514"/>
      <c r="K624" s="514"/>
      <c r="L624" s="514"/>
      <c r="M624" s="514"/>
      <c r="N624" s="992"/>
      <c r="O624" s="992"/>
      <c r="P624" s="993"/>
      <c r="Q624" s="993"/>
      <c r="R624" s="993"/>
      <c r="S624" s="514"/>
      <c r="T624" s="514"/>
      <c r="U624" s="514"/>
      <c r="V624" s="514"/>
      <c r="W624" s="514"/>
      <c r="X624" s="514"/>
      <c r="Y624" s="514"/>
    </row>
    <row r="625">
      <c r="A625" s="514"/>
      <c r="B625" s="514"/>
      <c r="C625" s="514"/>
      <c r="D625" s="514"/>
      <c r="E625" s="514"/>
      <c r="F625" s="514"/>
      <c r="G625" s="514"/>
      <c r="H625" s="514"/>
      <c r="I625" s="514"/>
      <c r="J625" s="514"/>
      <c r="K625" s="514"/>
      <c r="L625" s="514"/>
      <c r="M625" s="514"/>
      <c r="N625" s="992"/>
      <c r="O625" s="992"/>
      <c r="P625" s="993"/>
      <c r="Q625" s="993"/>
      <c r="R625" s="993"/>
      <c r="S625" s="514"/>
      <c r="T625" s="514"/>
      <c r="U625" s="514"/>
      <c r="V625" s="514"/>
      <c r="W625" s="514"/>
      <c r="X625" s="514"/>
      <c r="Y625" s="514"/>
    </row>
    <row r="626">
      <c r="A626" s="514"/>
      <c r="B626" s="514"/>
      <c r="C626" s="514"/>
      <c r="D626" s="514"/>
      <c r="E626" s="514"/>
      <c r="F626" s="514"/>
      <c r="G626" s="514"/>
      <c r="H626" s="514"/>
      <c r="I626" s="514"/>
      <c r="J626" s="514"/>
      <c r="K626" s="514"/>
      <c r="L626" s="514"/>
      <c r="M626" s="514"/>
      <c r="N626" s="992"/>
      <c r="O626" s="992"/>
      <c r="P626" s="993"/>
      <c r="Q626" s="993"/>
      <c r="R626" s="993"/>
      <c r="S626" s="514"/>
      <c r="T626" s="514"/>
      <c r="U626" s="514"/>
      <c r="V626" s="514"/>
      <c r="W626" s="514"/>
      <c r="X626" s="514"/>
      <c r="Y626" s="514"/>
    </row>
    <row r="627">
      <c r="A627" s="514"/>
      <c r="B627" s="514"/>
      <c r="C627" s="514"/>
      <c r="D627" s="514"/>
      <c r="E627" s="514"/>
      <c r="F627" s="514"/>
      <c r="G627" s="514"/>
      <c r="H627" s="514"/>
      <c r="I627" s="514"/>
      <c r="J627" s="514"/>
      <c r="K627" s="514"/>
      <c r="L627" s="514"/>
      <c r="M627" s="514"/>
      <c r="N627" s="992"/>
      <c r="O627" s="992"/>
      <c r="P627" s="993"/>
      <c r="Q627" s="993"/>
      <c r="R627" s="993"/>
      <c r="S627" s="514"/>
      <c r="T627" s="514"/>
      <c r="U627" s="514"/>
      <c r="V627" s="514"/>
      <c r="W627" s="514"/>
      <c r="X627" s="514"/>
      <c r="Y627" s="514"/>
    </row>
    <row r="628">
      <c r="A628" s="514"/>
      <c r="B628" s="514"/>
      <c r="C628" s="514"/>
      <c r="D628" s="514"/>
      <c r="E628" s="514"/>
      <c r="F628" s="514"/>
      <c r="G628" s="514"/>
      <c r="H628" s="514"/>
      <c r="I628" s="514"/>
      <c r="J628" s="514"/>
      <c r="K628" s="514"/>
      <c r="L628" s="514"/>
      <c r="M628" s="514"/>
      <c r="N628" s="992"/>
      <c r="O628" s="992"/>
      <c r="P628" s="993"/>
      <c r="Q628" s="993"/>
      <c r="R628" s="993"/>
      <c r="S628" s="514"/>
      <c r="T628" s="514"/>
      <c r="U628" s="514"/>
      <c r="V628" s="514"/>
      <c r="W628" s="514"/>
      <c r="X628" s="514"/>
      <c r="Y628" s="514"/>
    </row>
    <row r="629">
      <c r="A629" s="514"/>
      <c r="B629" s="514"/>
      <c r="C629" s="514"/>
      <c r="D629" s="514"/>
      <c r="E629" s="514"/>
      <c r="F629" s="514"/>
      <c r="G629" s="514"/>
      <c r="H629" s="514"/>
      <c r="I629" s="514"/>
      <c r="J629" s="514"/>
      <c r="K629" s="514"/>
      <c r="L629" s="514"/>
      <c r="M629" s="514"/>
      <c r="N629" s="992"/>
      <c r="O629" s="992"/>
      <c r="P629" s="993"/>
      <c r="Q629" s="993"/>
      <c r="R629" s="993"/>
      <c r="S629" s="514"/>
      <c r="T629" s="514"/>
      <c r="U629" s="514"/>
      <c r="V629" s="514"/>
      <c r="W629" s="514"/>
      <c r="X629" s="514"/>
      <c r="Y629" s="514"/>
    </row>
    <row r="630">
      <c r="A630" s="514"/>
      <c r="B630" s="514"/>
      <c r="C630" s="514"/>
      <c r="D630" s="514"/>
      <c r="E630" s="514"/>
      <c r="F630" s="514"/>
      <c r="G630" s="514"/>
      <c r="H630" s="514"/>
      <c r="I630" s="514"/>
      <c r="J630" s="514"/>
      <c r="K630" s="514"/>
      <c r="L630" s="514"/>
      <c r="M630" s="514"/>
      <c r="N630" s="992"/>
      <c r="O630" s="992"/>
      <c r="P630" s="993"/>
      <c r="Q630" s="993"/>
      <c r="R630" s="993"/>
      <c r="S630" s="514"/>
      <c r="T630" s="514"/>
      <c r="U630" s="514"/>
      <c r="V630" s="514"/>
      <c r="W630" s="514"/>
      <c r="X630" s="514"/>
      <c r="Y630" s="514"/>
    </row>
    <row r="631">
      <c r="A631" s="514"/>
      <c r="B631" s="514"/>
      <c r="C631" s="514"/>
      <c r="D631" s="514"/>
      <c r="E631" s="514"/>
      <c r="F631" s="514"/>
      <c r="G631" s="514"/>
      <c r="H631" s="514"/>
      <c r="I631" s="514"/>
      <c r="J631" s="514"/>
      <c r="K631" s="514"/>
      <c r="L631" s="514"/>
      <c r="M631" s="514"/>
      <c r="N631" s="992"/>
      <c r="O631" s="992"/>
      <c r="P631" s="993"/>
      <c r="Q631" s="993"/>
      <c r="R631" s="993"/>
      <c r="S631" s="514"/>
      <c r="T631" s="514"/>
      <c r="U631" s="514"/>
      <c r="V631" s="514"/>
      <c r="W631" s="514"/>
      <c r="X631" s="514"/>
      <c r="Y631" s="514"/>
    </row>
    <row r="632">
      <c r="A632" s="514"/>
      <c r="B632" s="514"/>
      <c r="C632" s="514"/>
      <c r="D632" s="514"/>
      <c r="E632" s="514"/>
      <c r="F632" s="514"/>
      <c r="G632" s="514"/>
      <c r="H632" s="514"/>
      <c r="I632" s="514"/>
      <c r="J632" s="514"/>
      <c r="K632" s="514"/>
      <c r="L632" s="514"/>
      <c r="M632" s="514"/>
      <c r="N632" s="992"/>
      <c r="O632" s="992"/>
      <c r="P632" s="993"/>
      <c r="Q632" s="993"/>
      <c r="R632" s="993"/>
      <c r="S632" s="514"/>
      <c r="T632" s="514"/>
      <c r="U632" s="514"/>
      <c r="V632" s="514"/>
      <c r="W632" s="514"/>
      <c r="X632" s="514"/>
      <c r="Y632" s="514"/>
    </row>
    <row r="633">
      <c r="A633" s="514"/>
      <c r="B633" s="514"/>
      <c r="C633" s="514"/>
      <c r="D633" s="514"/>
      <c r="E633" s="514"/>
      <c r="F633" s="514"/>
      <c r="G633" s="514"/>
      <c r="H633" s="514"/>
      <c r="I633" s="514"/>
      <c r="J633" s="514"/>
      <c r="K633" s="514"/>
      <c r="L633" s="514"/>
      <c r="M633" s="514"/>
      <c r="N633" s="992"/>
      <c r="O633" s="992"/>
      <c r="P633" s="993"/>
      <c r="Q633" s="993"/>
      <c r="R633" s="993"/>
      <c r="S633" s="514"/>
      <c r="T633" s="514"/>
      <c r="U633" s="514"/>
      <c r="V633" s="514"/>
      <c r="W633" s="514"/>
      <c r="X633" s="514"/>
      <c r="Y633" s="514"/>
    </row>
    <row r="634">
      <c r="A634" s="514"/>
      <c r="B634" s="514"/>
      <c r="C634" s="514"/>
      <c r="D634" s="514"/>
      <c r="E634" s="514"/>
      <c r="F634" s="514"/>
      <c r="G634" s="514"/>
      <c r="H634" s="514"/>
      <c r="I634" s="514"/>
      <c r="J634" s="514"/>
      <c r="K634" s="514"/>
      <c r="L634" s="514"/>
      <c r="M634" s="514"/>
      <c r="N634" s="992"/>
      <c r="O634" s="992"/>
      <c r="P634" s="993"/>
      <c r="Q634" s="993"/>
      <c r="R634" s="993"/>
      <c r="S634" s="514"/>
      <c r="T634" s="514"/>
      <c r="U634" s="514"/>
      <c r="V634" s="514"/>
      <c r="W634" s="514"/>
      <c r="X634" s="514"/>
      <c r="Y634" s="514"/>
    </row>
    <row r="635">
      <c r="A635" s="514"/>
      <c r="B635" s="514"/>
      <c r="C635" s="514"/>
      <c r="D635" s="514"/>
      <c r="E635" s="514"/>
      <c r="F635" s="514"/>
      <c r="G635" s="514"/>
      <c r="H635" s="514"/>
      <c r="I635" s="514"/>
      <c r="J635" s="514"/>
      <c r="K635" s="514"/>
      <c r="L635" s="514"/>
      <c r="M635" s="514"/>
      <c r="N635" s="992"/>
      <c r="O635" s="992"/>
      <c r="P635" s="993"/>
      <c r="Q635" s="993"/>
      <c r="R635" s="993"/>
      <c r="S635" s="514"/>
      <c r="T635" s="514"/>
      <c r="U635" s="514"/>
      <c r="V635" s="514"/>
      <c r="W635" s="514"/>
      <c r="X635" s="514"/>
      <c r="Y635" s="514"/>
    </row>
    <row r="636">
      <c r="A636" s="514"/>
      <c r="B636" s="514"/>
      <c r="C636" s="514"/>
      <c r="D636" s="514"/>
      <c r="E636" s="514"/>
      <c r="F636" s="514"/>
      <c r="G636" s="514"/>
      <c r="H636" s="514"/>
      <c r="I636" s="514"/>
      <c r="J636" s="514"/>
      <c r="K636" s="514"/>
      <c r="L636" s="514"/>
      <c r="M636" s="514"/>
      <c r="N636" s="992"/>
      <c r="O636" s="992"/>
      <c r="P636" s="993"/>
      <c r="Q636" s="993"/>
      <c r="R636" s="993"/>
      <c r="S636" s="514"/>
      <c r="T636" s="514"/>
      <c r="U636" s="514"/>
      <c r="V636" s="514"/>
      <c r="W636" s="514"/>
      <c r="X636" s="514"/>
      <c r="Y636" s="514"/>
    </row>
    <row r="637">
      <c r="A637" s="514"/>
      <c r="B637" s="514"/>
      <c r="C637" s="514"/>
      <c r="D637" s="514"/>
      <c r="E637" s="514"/>
      <c r="F637" s="514"/>
      <c r="G637" s="514"/>
      <c r="H637" s="514"/>
      <c r="I637" s="514"/>
      <c r="J637" s="514"/>
      <c r="K637" s="514"/>
      <c r="L637" s="514"/>
      <c r="M637" s="514"/>
      <c r="N637" s="992"/>
      <c r="O637" s="992"/>
      <c r="P637" s="993"/>
      <c r="Q637" s="993"/>
      <c r="R637" s="993"/>
      <c r="S637" s="514"/>
      <c r="T637" s="514"/>
      <c r="U637" s="514"/>
      <c r="V637" s="514"/>
      <c r="W637" s="514"/>
      <c r="X637" s="514"/>
      <c r="Y637" s="514"/>
    </row>
    <row r="638">
      <c r="A638" s="514"/>
      <c r="B638" s="514"/>
      <c r="C638" s="514"/>
      <c r="D638" s="514"/>
      <c r="E638" s="514"/>
      <c r="F638" s="514"/>
      <c r="G638" s="514"/>
      <c r="H638" s="514"/>
      <c r="I638" s="514"/>
      <c r="J638" s="514"/>
      <c r="K638" s="514"/>
      <c r="L638" s="514"/>
      <c r="M638" s="514"/>
      <c r="N638" s="992"/>
      <c r="O638" s="992"/>
      <c r="P638" s="993"/>
      <c r="Q638" s="993"/>
      <c r="R638" s="993"/>
      <c r="S638" s="514"/>
      <c r="T638" s="514"/>
      <c r="U638" s="514"/>
      <c r="V638" s="514"/>
      <c r="W638" s="514"/>
      <c r="X638" s="514"/>
      <c r="Y638" s="514"/>
    </row>
    <row r="639">
      <c r="A639" s="514"/>
      <c r="B639" s="514"/>
      <c r="C639" s="514"/>
      <c r="D639" s="514"/>
      <c r="E639" s="514"/>
      <c r="F639" s="514"/>
      <c r="G639" s="514"/>
      <c r="H639" s="514"/>
      <c r="I639" s="514"/>
      <c r="J639" s="514"/>
      <c r="K639" s="514"/>
      <c r="L639" s="514"/>
      <c r="M639" s="514"/>
      <c r="N639" s="992"/>
      <c r="O639" s="992"/>
      <c r="P639" s="993"/>
      <c r="Q639" s="993"/>
      <c r="R639" s="993"/>
      <c r="S639" s="514"/>
      <c r="T639" s="514"/>
      <c r="U639" s="514"/>
      <c r="V639" s="514"/>
      <c r="W639" s="514"/>
      <c r="X639" s="514"/>
      <c r="Y639" s="514"/>
    </row>
    <row r="640">
      <c r="A640" s="514"/>
      <c r="B640" s="514"/>
      <c r="C640" s="514"/>
      <c r="D640" s="514"/>
      <c r="E640" s="514"/>
      <c r="F640" s="514"/>
      <c r="G640" s="514"/>
      <c r="H640" s="514"/>
      <c r="I640" s="514"/>
      <c r="J640" s="514"/>
      <c r="K640" s="514"/>
      <c r="L640" s="514"/>
      <c r="M640" s="514"/>
      <c r="N640" s="992"/>
      <c r="O640" s="992"/>
      <c r="P640" s="993"/>
      <c r="Q640" s="993"/>
      <c r="R640" s="993"/>
      <c r="S640" s="514"/>
      <c r="T640" s="514"/>
      <c r="U640" s="514"/>
      <c r="V640" s="514"/>
      <c r="W640" s="514"/>
      <c r="X640" s="514"/>
      <c r="Y640" s="514"/>
    </row>
    <row r="641">
      <c r="A641" s="514"/>
      <c r="B641" s="514"/>
      <c r="C641" s="514"/>
      <c r="D641" s="514"/>
      <c r="E641" s="514"/>
      <c r="F641" s="514"/>
      <c r="G641" s="514"/>
      <c r="H641" s="514"/>
      <c r="I641" s="514"/>
      <c r="J641" s="514"/>
      <c r="K641" s="514"/>
      <c r="L641" s="514"/>
      <c r="M641" s="514"/>
      <c r="N641" s="992"/>
      <c r="O641" s="992"/>
      <c r="P641" s="993"/>
      <c r="Q641" s="993"/>
      <c r="R641" s="993"/>
      <c r="S641" s="514"/>
      <c r="T641" s="514"/>
      <c r="U641" s="514"/>
      <c r="V641" s="514"/>
      <c r="W641" s="514"/>
      <c r="X641" s="514"/>
      <c r="Y641" s="514"/>
    </row>
    <row r="642">
      <c r="A642" s="514"/>
      <c r="B642" s="514"/>
      <c r="C642" s="514"/>
      <c r="D642" s="514"/>
      <c r="E642" s="514"/>
      <c r="F642" s="514"/>
      <c r="G642" s="514"/>
      <c r="H642" s="514"/>
      <c r="I642" s="514"/>
      <c r="J642" s="514"/>
      <c r="K642" s="514"/>
      <c r="L642" s="514"/>
      <c r="M642" s="514"/>
      <c r="N642" s="992"/>
      <c r="O642" s="992"/>
      <c r="P642" s="993"/>
      <c r="Q642" s="993"/>
      <c r="R642" s="993"/>
      <c r="S642" s="514"/>
      <c r="T642" s="514"/>
      <c r="U642" s="514"/>
      <c r="V642" s="514"/>
      <c r="W642" s="514"/>
      <c r="X642" s="514"/>
      <c r="Y642" s="514"/>
    </row>
    <row r="643">
      <c r="A643" s="514"/>
      <c r="B643" s="514"/>
      <c r="C643" s="514"/>
      <c r="D643" s="514"/>
      <c r="E643" s="514"/>
      <c r="F643" s="514"/>
      <c r="G643" s="514"/>
      <c r="H643" s="514"/>
      <c r="I643" s="514"/>
      <c r="J643" s="514"/>
      <c r="K643" s="514"/>
      <c r="L643" s="514"/>
      <c r="M643" s="514"/>
      <c r="N643" s="992"/>
      <c r="O643" s="992"/>
      <c r="P643" s="993"/>
      <c r="Q643" s="993"/>
      <c r="R643" s="993"/>
      <c r="S643" s="514"/>
      <c r="T643" s="514"/>
      <c r="U643" s="514"/>
      <c r="V643" s="514"/>
      <c r="W643" s="514"/>
      <c r="X643" s="514"/>
      <c r="Y643" s="514"/>
    </row>
    <row r="644">
      <c r="A644" s="514"/>
      <c r="B644" s="514"/>
      <c r="C644" s="514"/>
      <c r="D644" s="514"/>
      <c r="E644" s="514"/>
      <c r="F644" s="514"/>
      <c r="G644" s="514"/>
      <c r="H644" s="514"/>
      <c r="I644" s="514"/>
      <c r="J644" s="514"/>
      <c r="K644" s="514"/>
      <c r="L644" s="514"/>
      <c r="M644" s="514"/>
      <c r="N644" s="992"/>
      <c r="O644" s="992"/>
      <c r="P644" s="993"/>
      <c r="Q644" s="993"/>
      <c r="R644" s="993"/>
      <c r="S644" s="514"/>
      <c r="T644" s="514"/>
      <c r="U644" s="514"/>
      <c r="V644" s="514"/>
      <c r="W644" s="514"/>
      <c r="X644" s="514"/>
      <c r="Y644" s="514"/>
    </row>
    <row r="645">
      <c r="A645" s="514"/>
      <c r="B645" s="514"/>
      <c r="C645" s="514"/>
      <c r="D645" s="514"/>
      <c r="E645" s="514"/>
      <c r="F645" s="514"/>
      <c r="G645" s="514"/>
      <c r="H645" s="514"/>
      <c r="I645" s="514"/>
      <c r="J645" s="514"/>
      <c r="K645" s="514"/>
      <c r="L645" s="514"/>
      <c r="M645" s="514"/>
      <c r="N645" s="992"/>
      <c r="O645" s="992"/>
      <c r="P645" s="993"/>
      <c r="Q645" s="993"/>
      <c r="R645" s="993"/>
      <c r="S645" s="514"/>
      <c r="T645" s="514"/>
      <c r="U645" s="514"/>
      <c r="V645" s="514"/>
      <c r="W645" s="514"/>
      <c r="X645" s="514"/>
      <c r="Y645" s="514"/>
    </row>
    <row r="646">
      <c r="A646" s="514"/>
      <c r="B646" s="514"/>
      <c r="C646" s="514"/>
      <c r="D646" s="514"/>
      <c r="E646" s="514"/>
      <c r="F646" s="514"/>
      <c r="G646" s="514"/>
      <c r="H646" s="514"/>
      <c r="I646" s="514"/>
      <c r="J646" s="514"/>
      <c r="K646" s="514"/>
      <c r="L646" s="514"/>
      <c r="M646" s="514"/>
      <c r="N646" s="992"/>
      <c r="O646" s="992"/>
      <c r="P646" s="993"/>
      <c r="Q646" s="993"/>
      <c r="R646" s="993"/>
      <c r="S646" s="514"/>
      <c r="T646" s="514"/>
      <c r="U646" s="514"/>
      <c r="V646" s="514"/>
      <c r="W646" s="514"/>
      <c r="X646" s="514"/>
      <c r="Y646" s="514"/>
    </row>
    <row r="647">
      <c r="A647" s="514"/>
      <c r="B647" s="514"/>
      <c r="C647" s="514"/>
      <c r="D647" s="514"/>
      <c r="E647" s="514"/>
      <c r="F647" s="514"/>
      <c r="G647" s="514"/>
      <c r="H647" s="514"/>
      <c r="I647" s="514"/>
      <c r="J647" s="514"/>
      <c r="K647" s="514"/>
      <c r="L647" s="514"/>
      <c r="M647" s="514"/>
      <c r="N647" s="992"/>
      <c r="O647" s="992"/>
      <c r="P647" s="993"/>
      <c r="Q647" s="993"/>
      <c r="R647" s="993"/>
      <c r="S647" s="514"/>
      <c r="T647" s="514"/>
      <c r="U647" s="514"/>
      <c r="V647" s="514"/>
      <c r="W647" s="514"/>
      <c r="X647" s="514"/>
      <c r="Y647" s="514"/>
    </row>
    <row r="648">
      <c r="A648" s="514"/>
      <c r="B648" s="514"/>
      <c r="C648" s="514"/>
      <c r="D648" s="514"/>
      <c r="E648" s="514"/>
      <c r="F648" s="514"/>
      <c r="G648" s="514"/>
      <c r="H648" s="514"/>
      <c r="I648" s="514"/>
      <c r="J648" s="514"/>
      <c r="K648" s="514"/>
      <c r="L648" s="514"/>
      <c r="M648" s="514"/>
      <c r="N648" s="992"/>
      <c r="O648" s="992"/>
      <c r="P648" s="993"/>
      <c r="Q648" s="993"/>
      <c r="R648" s="993"/>
      <c r="S648" s="514"/>
      <c r="T648" s="514"/>
      <c r="U648" s="514"/>
      <c r="V648" s="514"/>
      <c r="W648" s="514"/>
      <c r="X648" s="514"/>
      <c r="Y648" s="514"/>
    </row>
    <row r="649">
      <c r="A649" s="514"/>
      <c r="B649" s="514"/>
      <c r="C649" s="514"/>
      <c r="D649" s="514"/>
      <c r="E649" s="514"/>
      <c r="F649" s="514"/>
      <c r="G649" s="514"/>
      <c r="H649" s="514"/>
      <c r="I649" s="514"/>
      <c r="J649" s="514"/>
      <c r="K649" s="514"/>
      <c r="L649" s="514"/>
      <c r="M649" s="514"/>
      <c r="N649" s="992"/>
      <c r="O649" s="992"/>
      <c r="P649" s="993"/>
      <c r="Q649" s="993"/>
      <c r="R649" s="993"/>
      <c r="S649" s="514"/>
      <c r="T649" s="514"/>
      <c r="U649" s="514"/>
      <c r="V649" s="514"/>
      <c r="W649" s="514"/>
      <c r="X649" s="514"/>
      <c r="Y649" s="514"/>
    </row>
    <row r="650">
      <c r="A650" s="514"/>
      <c r="B650" s="514"/>
      <c r="C650" s="514"/>
      <c r="D650" s="514"/>
      <c r="E650" s="514"/>
      <c r="F650" s="514"/>
      <c r="G650" s="514"/>
      <c r="H650" s="514"/>
      <c r="I650" s="514"/>
      <c r="J650" s="514"/>
      <c r="K650" s="514"/>
      <c r="L650" s="514"/>
      <c r="M650" s="514"/>
      <c r="N650" s="992"/>
      <c r="O650" s="992"/>
      <c r="P650" s="993"/>
      <c r="Q650" s="993"/>
      <c r="R650" s="993"/>
      <c r="S650" s="514"/>
      <c r="T650" s="514"/>
      <c r="U650" s="514"/>
      <c r="V650" s="514"/>
      <c r="W650" s="514"/>
      <c r="X650" s="514"/>
      <c r="Y650" s="514"/>
    </row>
    <row r="651">
      <c r="A651" s="514"/>
      <c r="B651" s="514"/>
      <c r="C651" s="514"/>
      <c r="D651" s="514"/>
      <c r="E651" s="514"/>
      <c r="F651" s="514"/>
      <c r="G651" s="514"/>
      <c r="H651" s="514"/>
      <c r="I651" s="514"/>
      <c r="J651" s="514"/>
      <c r="K651" s="514"/>
      <c r="L651" s="514"/>
      <c r="M651" s="514"/>
      <c r="N651" s="992"/>
      <c r="O651" s="992"/>
      <c r="P651" s="993"/>
      <c r="Q651" s="993"/>
      <c r="R651" s="993"/>
      <c r="S651" s="514"/>
      <c r="T651" s="514"/>
      <c r="U651" s="514"/>
      <c r="V651" s="514"/>
      <c r="W651" s="514"/>
      <c r="X651" s="514"/>
      <c r="Y651" s="514"/>
    </row>
    <row r="652">
      <c r="A652" s="514"/>
      <c r="B652" s="514"/>
      <c r="C652" s="514"/>
      <c r="D652" s="514"/>
      <c r="E652" s="514"/>
      <c r="F652" s="514"/>
      <c r="G652" s="514"/>
      <c r="H652" s="514"/>
      <c r="I652" s="514"/>
      <c r="J652" s="514"/>
      <c r="K652" s="514"/>
      <c r="L652" s="514"/>
      <c r="M652" s="514"/>
      <c r="N652" s="992"/>
      <c r="O652" s="992"/>
      <c r="P652" s="993"/>
      <c r="Q652" s="993"/>
      <c r="R652" s="993"/>
      <c r="S652" s="514"/>
      <c r="T652" s="514"/>
      <c r="U652" s="514"/>
      <c r="V652" s="514"/>
      <c r="W652" s="514"/>
      <c r="X652" s="514"/>
      <c r="Y652" s="514"/>
    </row>
    <row r="653">
      <c r="A653" s="514"/>
      <c r="B653" s="514"/>
      <c r="C653" s="514"/>
      <c r="D653" s="514"/>
      <c r="E653" s="514"/>
      <c r="F653" s="514"/>
      <c r="G653" s="514"/>
      <c r="H653" s="514"/>
      <c r="I653" s="514"/>
      <c r="J653" s="514"/>
      <c r="K653" s="514"/>
      <c r="L653" s="514"/>
      <c r="M653" s="514"/>
      <c r="N653" s="992"/>
      <c r="O653" s="992"/>
      <c r="P653" s="993"/>
      <c r="Q653" s="993"/>
      <c r="R653" s="993"/>
      <c r="S653" s="514"/>
      <c r="T653" s="514"/>
      <c r="U653" s="514"/>
      <c r="V653" s="514"/>
      <c r="W653" s="514"/>
      <c r="X653" s="514"/>
      <c r="Y653" s="514"/>
    </row>
    <row r="654">
      <c r="A654" s="514"/>
      <c r="B654" s="514"/>
      <c r="C654" s="514"/>
      <c r="D654" s="514"/>
      <c r="E654" s="514"/>
      <c r="F654" s="514"/>
      <c r="G654" s="514"/>
      <c r="H654" s="514"/>
      <c r="I654" s="514"/>
      <c r="J654" s="514"/>
      <c r="K654" s="514"/>
      <c r="L654" s="514"/>
      <c r="M654" s="514"/>
      <c r="N654" s="992"/>
      <c r="O654" s="992"/>
      <c r="P654" s="993"/>
      <c r="Q654" s="993"/>
      <c r="R654" s="993"/>
      <c r="S654" s="514"/>
      <c r="T654" s="514"/>
      <c r="U654" s="514"/>
      <c r="V654" s="514"/>
      <c r="W654" s="514"/>
      <c r="X654" s="514"/>
      <c r="Y654" s="514"/>
    </row>
    <row r="655">
      <c r="A655" s="514"/>
      <c r="B655" s="514"/>
      <c r="C655" s="514"/>
      <c r="D655" s="514"/>
      <c r="E655" s="514"/>
      <c r="F655" s="514"/>
      <c r="G655" s="514"/>
      <c r="H655" s="514"/>
      <c r="I655" s="514"/>
      <c r="J655" s="514"/>
      <c r="K655" s="514"/>
      <c r="L655" s="514"/>
      <c r="M655" s="514"/>
      <c r="N655" s="992"/>
      <c r="O655" s="992"/>
      <c r="P655" s="993"/>
      <c r="Q655" s="993"/>
      <c r="R655" s="993"/>
      <c r="S655" s="514"/>
      <c r="T655" s="514"/>
      <c r="U655" s="514"/>
      <c r="V655" s="514"/>
      <c r="W655" s="514"/>
      <c r="X655" s="514"/>
      <c r="Y655" s="514"/>
    </row>
    <row r="656">
      <c r="A656" s="514"/>
      <c r="B656" s="514"/>
      <c r="C656" s="514"/>
      <c r="D656" s="514"/>
      <c r="E656" s="514"/>
      <c r="F656" s="514"/>
      <c r="G656" s="514"/>
      <c r="H656" s="514"/>
      <c r="I656" s="514"/>
      <c r="J656" s="514"/>
      <c r="K656" s="514"/>
      <c r="L656" s="514"/>
      <c r="M656" s="514"/>
      <c r="N656" s="992"/>
      <c r="O656" s="992"/>
      <c r="P656" s="993"/>
      <c r="Q656" s="993"/>
      <c r="R656" s="993"/>
      <c r="S656" s="514"/>
      <c r="T656" s="514"/>
      <c r="U656" s="514"/>
      <c r="V656" s="514"/>
      <c r="W656" s="514"/>
      <c r="X656" s="514"/>
      <c r="Y656" s="514"/>
    </row>
    <row r="657">
      <c r="A657" s="514"/>
      <c r="B657" s="514"/>
      <c r="C657" s="514"/>
      <c r="D657" s="514"/>
      <c r="E657" s="514"/>
      <c r="F657" s="514"/>
      <c r="G657" s="514"/>
      <c r="H657" s="514"/>
      <c r="I657" s="514"/>
      <c r="J657" s="514"/>
      <c r="K657" s="514"/>
      <c r="L657" s="514"/>
      <c r="M657" s="514"/>
      <c r="N657" s="992"/>
      <c r="O657" s="992"/>
      <c r="P657" s="993"/>
      <c r="Q657" s="993"/>
      <c r="R657" s="993"/>
      <c r="S657" s="514"/>
      <c r="T657" s="514"/>
      <c r="U657" s="514"/>
      <c r="V657" s="514"/>
      <c r="W657" s="514"/>
      <c r="X657" s="514"/>
      <c r="Y657" s="514"/>
    </row>
    <row r="658">
      <c r="A658" s="514"/>
      <c r="B658" s="514"/>
      <c r="C658" s="514"/>
      <c r="D658" s="514"/>
      <c r="E658" s="514"/>
      <c r="F658" s="514"/>
      <c r="G658" s="514"/>
      <c r="H658" s="514"/>
      <c r="I658" s="514"/>
      <c r="J658" s="514"/>
      <c r="K658" s="514"/>
      <c r="L658" s="514"/>
      <c r="M658" s="514"/>
      <c r="N658" s="992"/>
      <c r="O658" s="992"/>
      <c r="P658" s="993"/>
      <c r="Q658" s="993"/>
      <c r="R658" s="993"/>
      <c r="S658" s="514"/>
      <c r="T658" s="514"/>
      <c r="U658" s="514"/>
      <c r="V658" s="514"/>
      <c r="W658" s="514"/>
      <c r="X658" s="514"/>
      <c r="Y658" s="514"/>
    </row>
    <row r="659">
      <c r="A659" s="514"/>
      <c r="B659" s="514"/>
      <c r="C659" s="514"/>
      <c r="D659" s="514"/>
      <c r="E659" s="514"/>
      <c r="F659" s="514"/>
      <c r="G659" s="514"/>
      <c r="H659" s="514"/>
      <c r="I659" s="514"/>
      <c r="J659" s="514"/>
      <c r="K659" s="514"/>
      <c r="L659" s="514"/>
      <c r="M659" s="514"/>
      <c r="N659" s="992"/>
      <c r="O659" s="992"/>
      <c r="P659" s="993"/>
      <c r="Q659" s="993"/>
      <c r="R659" s="993"/>
      <c r="S659" s="514"/>
      <c r="T659" s="514"/>
      <c r="U659" s="514"/>
      <c r="V659" s="514"/>
      <c r="W659" s="514"/>
      <c r="X659" s="514"/>
      <c r="Y659" s="514"/>
    </row>
    <row r="660">
      <c r="A660" s="514"/>
      <c r="B660" s="514"/>
      <c r="C660" s="514"/>
      <c r="D660" s="514"/>
      <c r="E660" s="514"/>
      <c r="F660" s="514"/>
      <c r="G660" s="514"/>
      <c r="H660" s="514"/>
      <c r="I660" s="514"/>
      <c r="J660" s="514"/>
      <c r="K660" s="514"/>
      <c r="L660" s="514"/>
      <c r="M660" s="514"/>
      <c r="N660" s="992"/>
      <c r="O660" s="992"/>
      <c r="P660" s="993"/>
      <c r="Q660" s="993"/>
      <c r="R660" s="993"/>
      <c r="S660" s="514"/>
      <c r="T660" s="514"/>
      <c r="U660" s="514"/>
      <c r="V660" s="514"/>
      <c r="W660" s="514"/>
      <c r="X660" s="514"/>
      <c r="Y660" s="514"/>
    </row>
    <row r="661">
      <c r="A661" s="514"/>
      <c r="B661" s="514"/>
      <c r="C661" s="514"/>
      <c r="D661" s="514"/>
      <c r="E661" s="514"/>
      <c r="F661" s="514"/>
      <c r="G661" s="514"/>
      <c r="H661" s="514"/>
      <c r="I661" s="514"/>
      <c r="J661" s="514"/>
      <c r="K661" s="514"/>
      <c r="L661" s="514"/>
      <c r="M661" s="514"/>
      <c r="N661" s="992"/>
      <c r="O661" s="992"/>
      <c r="P661" s="993"/>
      <c r="Q661" s="993"/>
      <c r="R661" s="993"/>
      <c r="S661" s="514"/>
      <c r="T661" s="514"/>
      <c r="U661" s="514"/>
      <c r="V661" s="514"/>
      <c r="W661" s="514"/>
      <c r="X661" s="514"/>
      <c r="Y661" s="514"/>
    </row>
    <row r="662">
      <c r="A662" s="514"/>
      <c r="B662" s="514"/>
      <c r="C662" s="514"/>
      <c r="D662" s="514"/>
      <c r="E662" s="514"/>
      <c r="F662" s="514"/>
      <c r="G662" s="514"/>
      <c r="H662" s="514"/>
      <c r="I662" s="514"/>
      <c r="J662" s="514"/>
      <c r="K662" s="514"/>
      <c r="L662" s="514"/>
      <c r="M662" s="514"/>
      <c r="N662" s="992"/>
      <c r="O662" s="992"/>
      <c r="P662" s="993"/>
      <c r="Q662" s="993"/>
      <c r="R662" s="993"/>
      <c r="S662" s="514"/>
      <c r="T662" s="514"/>
      <c r="U662" s="514"/>
      <c r="V662" s="514"/>
      <c r="W662" s="514"/>
      <c r="X662" s="514"/>
      <c r="Y662" s="514"/>
    </row>
    <row r="663">
      <c r="A663" s="514"/>
      <c r="B663" s="514"/>
      <c r="C663" s="514"/>
      <c r="D663" s="514"/>
      <c r="E663" s="514"/>
      <c r="F663" s="514"/>
      <c r="G663" s="514"/>
      <c r="H663" s="514"/>
      <c r="I663" s="514"/>
      <c r="J663" s="514"/>
      <c r="K663" s="514"/>
      <c r="L663" s="514"/>
      <c r="M663" s="514"/>
      <c r="N663" s="992"/>
      <c r="O663" s="992"/>
      <c r="P663" s="993"/>
      <c r="Q663" s="993"/>
      <c r="R663" s="993"/>
      <c r="S663" s="514"/>
      <c r="T663" s="514"/>
      <c r="U663" s="514"/>
      <c r="V663" s="514"/>
      <c r="W663" s="514"/>
      <c r="X663" s="514"/>
      <c r="Y663" s="514"/>
    </row>
    <row r="664">
      <c r="A664" s="514"/>
      <c r="B664" s="514"/>
      <c r="C664" s="514"/>
      <c r="D664" s="514"/>
      <c r="E664" s="514"/>
      <c r="F664" s="514"/>
      <c r="G664" s="514"/>
      <c r="H664" s="514"/>
      <c r="I664" s="514"/>
      <c r="J664" s="514"/>
      <c r="K664" s="514"/>
      <c r="L664" s="514"/>
      <c r="M664" s="514"/>
      <c r="N664" s="992"/>
      <c r="O664" s="992"/>
      <c r="P664" s="993"/>
      <c r="Q664" s="993"/>
      <c r="R664" s="993"/>
      <c r="S664" s="514"/>
      <c r="T664" s="514"/>
      <c r="U664" s="514"/>
      <c r="V664" s="514"/>
      <c r="W664" s="514"/>
      <c r="X664" s="514"/>
      <c r="Y664" s="514"/>
    </row>
    <row r="665">
      <c r="A665" s="514"/>
      <c r="B665" s="514"/>
      <c r="C665" s="514"/>
      <c r="D665" s="514"/>
      <c r="E665" s="514"/>
      <c r="F665" s="514"/>
      <c r="G665" s="514"/>
      <c r="H665" s="514"/>
      <c r="I665" s="514"/>
      <c r="J665" s="514"/>
      <c r="K665" s="514"/>
      <c r="L665" s="514"/>
      <c r="M665" s="514"/>
      <c r="N665" s="992"/>
      <c r="O665" s="992"/>
      <c r="P665" s="993"/>
      <c r="Q665" s="993"/>
      <c r="R665" s="993"/>
      <c r="S665" s="514"/>
      <c r="T665" s="514"/>
      <c r="U665" s="514"/>
      <c r="V665" s="514"/>
      <c r="W665" s="514"/>
      <c r="X665" s="514"/>
      <c r="Y665" s="514"/>
    </row>
    <row r="666">
      <c r="A666" s="514"/>
      <c r="B666" s="514"/>
      <c r="C666" s="514"/>
      <c r="D666" s="514"/>
      <c r="E666" s="514"/>
      <c r="F666" s="514"/>
      <c r="G666" s="514"/>
      <c r="H666" s="514"/>
      <c r="I666" s="514"/>
      <c r="J666" s="514"/>
      <c r="K666" s="514"/>
      <c r="L666" s="514"/>
      <c r="M666" s="514"/>
      <c r="N666" s="992"/>
      <c r="O666" s="992"/>
      <c r="P666" s="993"/>
      <c r="Q666" s="993"/>
      <c r="R666" s="993"/>
      <c r="S666" s="514"/>
      <c r="T666" s="514"/>
      <c r="U666" s="514"/>
      <c r="V666" s="514"/>
      <c r="W666" s="514"/>
      <c r="X666" s="514"/>
      <c r="Y666" s="514"/>
    </row>
    <row r="667">
      <c r="A667" s="514"/>
      <c r="B667" s="514"/>
      <c r="C667" s="514"/>
      <c r="D667" s="514"/>
      <c r="E667" s="514"/>
      <c r="F667" s="514"/>
      <c r="G667" s="514"/>
      <c r="H667" s="514"/>
      <c r="I667" s="514"/>
      <c r="J667" s="514"/>
      <c r="K667" s="514"/>
      <c r="L667" s="514"/>
      <c r="M667" s="514"/>
      <c r="N667" s="992"/>
      <c r="O667" s="992"/>
      <c r="P667" s="993"/>
      <c r="Q667" s="993"/>
      <c r="R667" s="993"/>
      <c r="S667" s="514"/>
      <c r="T667" s="514"/>
      <c r="U667" s="514"/>
      <c r="V667" s="514"/>
      <c r="W667" s="514"/>
      <c r="X667" s="514"/>
      <c r="Y667" s="514"/>
    </row>
    <row r="668">
      <c r="A668" s="514"/>
      <c r="B668" s="514"/>
      <c r="C668" s="514"/>
      <c r="D668" s="514"/>
      <c r="E668" s="514"/>
      <c r="F668" s="514"/>
      <c r="G668" s="514"/>
      <c r="H668" s="514"/>
      <c r="I668" s="514"/>
      <c r="J668" s="514"/>
      <c r="K668" s="514"/>
      <c r="L668" s="514"/>
      <c r="M668" s="514"/>
      <c r="N668" s="992"/>
      <c r="O668" s="992"/>
      <c r="P668" s="993"/>
      <c r="Q668" s="993"/>
      <c r="R668" s="993"/>
      <c r="S668" s="514"/>
      <c r="T668" s="514"/>
      <c r="U668" s="514"/>
      <c r="V668" s="514"/>
      <c r="W668" s="514"/>
      <c r="X668" s="514"/>
      <c r="Y668" s="514"/>
    </row>
    <row r="669">
      <c r="A669" s="514"/>
      <c r="B669" s="514"/>
      <c r="C669" s="514"/>
      <c r="D669" s="514"/>
      <c r="E669" s="514"/>
      <c r="F669" s="514"/>
      <c r="G669" s="514"/>
      <c r="H669" s="514"/>
      <c r="I669" s="514"/>
      <c r="J669" s="514"/>
      <c r="K669" s="514"/>
      <c r="L669" s="514"/>
      <c r="M669" s="514"/>
      <c r="N669" s="992"/>
      <c r="O669" s="992"/>
      <c r="P669" s="993"/>
      <c r="Q669" s="993"/>
      <c r="R669" s="993"/>
      <c r="S669" s="514"/>
      <c r="T669" s="514"/>
      <c r="U669" s="514"/>
      <c r="V669" s="514"/>
      <c r="W669" s="514"/>
      <c r="X669" s="514"/>
      <c r="Y669" s="514"/>
    </row>
    <row r="670">
      <c r="A670" s="514"/>
      <c r="B670" s="514"/>
      <c r="C670" s="514"/>
      <c r="D670" s="514"/>
      <c r="E670" s="514"/>
      <c r="F670" s="514"/>
      <c r="G670" s="514"/>
      <c r="H670" s="514"/>
      <c r="I670" s="514"/>
      <c r="J670" s="514"/>
      <c r="K670" s="514"/>
      <c r="L670" s="514"/>
      <c r="M670" s="514"/>
      <c r="N670" s="992"/>
      <c r="O670" s="992"/>
      <c r="P670" s="993"/>
      <c r="Q670" s="993"/>
      <c r="R670" s="993"/>
      <c r="S670" s="514"/>
      <c r="T670" s="514"/>
      <c r="U670" s="514"/>
      <c r="V670" s="514"/>
      <c r="W670" s="514"/>
      <c r="X670" s="514"/>
      <c r="Y670" s="514"/>
    </row>
    <row r="671">
      <c r="A671" s="514"/>
      <c r="B671" s="514"/>
      <c r="C671" s="514"/>
      <c r="D671" s="514"/>
      <c r="E671" s="514"/>
      <c r="F671" s="514"/>
      <c r="G671" s="514"/>
      <c r="H671" s="514"/>
      <c r="I671" s="514"/>
      <c r="J671" s="514"/>
      <c r="K671" s="514"/>
      <c r="L671" s="514"/>
      <c r="M671" s="514"/>
      <c r="N671" s="992"/>
      <c r="O671" s="992"/>
      <c r="P671" s="993"/>
      <c r="Q671" s="993"/>
      <c r="R671" s="993"/>
      <c r="S671" s="514"/>
      <c r="T671" s="514"/>
      <c r="U671" s="514"/>
      <c r="V671" s="514"/>
      <c r="W671" s="514"/>
      <c r="X671" s="514"/>
      <c r="Y671" s="514"/>
    </row>
    <row r="672">
      <c r="A672" s="514"/>
      <c r="B672" s="514"/>
      <c r="C672" s="514"/>
      <c r="D672" s="514"/>
      <c r="E672" s="514"/>
      <c r="F672" s="514"/>
      <c r="G672" s="514"/>
      <c r="H672" s="514"/>
      <c r="I672" s="514"/>
      <c r="J672" s="514"/>
      <c r="K672" s="514"/>
      <c r="L672" s="514"/>
      <c r="M672" s="514"/>
      <c r="N672" s="992"/>
      <c r="O672" s="992"/>
      <c r="P672" s="993"/>
      <c r="Q672" s="993"/>
      <c r="R672" s="993"/>
      <c r="S672" s="514"/>
      <c r="T672" s="514"/>
      <c r="U672" s="514"/>
      <c r="V672" s="514"/>
      <c r="W672" s="514"/>
      <c r="X672" s="514"/>
      <c r="Y672" s="514"/>
    </row>
    <row r="673">
      <c r="A673" s="514"/>
      <c r="B673" s="514"/>
      <c r="C673" s="514"/>
      <c r="D673" s="514"/>
      <c r="E673" s="514"/>
      <c r="F673" s="514"/>
      <c r="G673" s="514"/>
      <c r="H673" s="514"/>
      <c r="I673" s="514"/>
      <c r="J673" s="514"/>
      <c r="K673" s="514"/>
      <c r="L673" s="514"/>
      <c r="M673" s="514"/>
      <c r="N673" s="992"/>
      <c r="O673" s="992"/>
      <c r="P673" s="993"/>
      <c r="Q673" s="993"/>
      <c r="R673" s="993"/>
      <c r="S673" s="514"/>
      <c r="T673" s="514"/>
      <c r="U673" s="514"/>
      <c r="V673" s="514"/>
      <c r="W673" s="514"/>
      <c r="X673" s="514"/>
      <c r="Y673" s="514"/>
    </row>
    <row r="674">
      <c r="A674" s="514"/>
      <c r="B674" s="514"/>
      <c r="C674" s="514"/>
      <c r="D674" s="514"/>
      <c r="E674" s="514"/>
      <c r="F674" s="514"/>
      <c r="G674" s="514"/>
      <c r="H674" s="514"/>
      <c r="I674" s="514"/>
      <c r="J674" s="514"/>
      <c r="K674" s="514"/>
      <c r="L674" s="514"/>
      <c r="M674" s="514"/>
      <c r="N674" s="992"/>
      <c r="O674" s="992"/>
      <c r="P674" s="993"/>
      <c r="Q674" s="993"/>
      <c r="R674" s="993"/>
      <c r="S674" s="514"/>
      <c r="T674" s="514"/>
      <c r="U674" s="514"/>
      <c r="V674" s="514"/>
      <c r="W674" s="514"/>
      <c r="X674" s="514"/>
      <c r="Y674" s="514"/>
    </row>
    <row r="675">
      <c r="A675" s="514"/>
      <c r="B675" s="514"/>
      <c r="C675" s="514"/>
      <c r="D675" s="514"/>
      <c r="E675" s="514"/>
      <c r="F675" s="514"/>
      <c r="G675" s="514"/>
      <c r="H675" s="514"/>
      <c r="I675" s="514"/>
      <c r="J675" s="514"/>
      <c r="K675" s="514"/>
      <c r="L675" s="514"/>
      <c r="M675" s="514"/>
      <c r="N675" s="992"/>
      <c r="O675" s="992"/>
      <c r="P675" s="993"/>
      <c r="Q675" s="993"/>
      <c r="R675" s="993"/>
      <c r="S675" s="514"/>
      <c r="T675" s="514"/>
      <c r="U675" s="514"/>
      <c r="V675" s="514"/>
      <c r="W675" s="514"/>
      <c r="X675" s="514"/>
      <c r="Y675" s="514"/>
    </row>
    <row r="676">
      <c r="A676" s="514"/>
      <c r="B676" s="514"/>
      <c r="C676" s="514"/>
      <c r="D676" s="514"/>
      <c r="E676" s="514"/>
      <c r="F676" s="514"/>
      <c r="G676" s="514"/>
      <c r="H676" s="514"/>
      <c r="I676" s="514"/>
      <c r="J676" s="514"/>
      <c r="K676" s="514"/>
      <c r="L676" s="514"/>
      <c r="M676" s="514"/>
      <c r="N676" s="992"/>
      <c r="O676" s="992"/>
      <c r="P676" s="993"/>
      <c r="Q676" s="993"/>
      <c r="R676" s="993"/>
      <c r="S676" s="514"/>
      <c r="T676" s="514"/>
      <c r="U676" s="514"/>
      <c r="V676" s="514"/>
      <c r="W676" s="514"/>
      <c r="X676" s="514"/>
      <c r="Y676" s="514"/>
    </row>
    <row r="677">
      <c r="A677" s="514"/>
      <c r="B677" s="514"/>
      <c r="C677" s="514"/>
      <c r="D677" s="514"/>
      <c r="E677" s="514"/>
      <c r="F677" s="514"/>
      <c r="G677" s="514"/>
      <c r="H677" s="514"/>
      <c r="I677" s="514"/>
      <c r="J677" s="514"/>
      <c r="K677" s="514"/>
      <c r="L677" s="514"/>
      <c r="M677" s="514"/>
      <c r="N677" s="992"/>
      <c r="O677" s="992"/>
      <c r="P677" s="993"/>
      <c r="Q677" s="993"/>
      <c r="R677" s="993"/>
      <c r="S677" s="514"/>
      <c r="T677" s="514"/>
      <c r="U677" s="514"/>
      <c r="V677" s="514"/>
      <c r="W677" s="514"/>
      <c r="X677" s="514"/>
      <c r="Y677" s="514"/>
    </row>
    <row r="678">
      <c r="A678" s="514"/>
      <c r="B678" s="514"/>
      <c r="C678" s="514"/>
      <c r="D678" s="514"/>
      <c r="E678" s="514"/>
      <c r="F678" s="514"/>
      <c r="G678" s="514"/>
      <c r="H678" s="514"/>
      <c r="I678" s="514"/>
      <c r="J678" s="514"/>
      <c r="K678" s="514"/>
      <c r="L678" s="514"/>
      <c r="M678" s="514"/>
      <c r="N678" s="992"/>
      <c r="O678" s="992"/>
      <c r="P678" s="993"/>
      <c r="Q678" s="993"/>
      <c r="R678" s="993"/>
      <c r="S678" s="514"/>
      <c r="T678" s="514"/>
      <c r="U678" s="514"/>
      <c r="V678" s="514"/>
      <c r="W678" s="514"/>
      <c r="X678" s="514"/>
      <c r="Y678" s="514"/>
    </row>
    <row r="679">
      <c r="A679" s="514"/>
      <c r="B679" s="514"/>
      <c r="C679" s="514"/>
      <c r="D679" s="514"/>
      <c r="E679" s="514"/>
      <c r="F679" s="514"/>
      <c r="G679" s="514"/>
      <c r="H679" s="514"/>
      <c r="I679" s="514"/>
      <c r="J679" s="514"/>
      <c r="K679" s="514"/>
      <c r="L679" s="514"/>
      <c r="M679" s="514"/>
      <c r="N679" s="992"/>
      <c r="O679" s="992"/>
      <c r="P679" s="993"/>
      <c r="Q679" s="993"/>
      <c r="R679" s="993"/>
      <c r="S679" s="514"/>
      <c r="T679" s="514"/>
      <c r="U679" s="514"/>
      <c r="V679" s="514"/>
      <c r="W679" s="514"/>
      <c r="X679" s="514"/>
      <c r="Y679" s="514"/>
    </row>
    <row r="680">
      <c r="A680" s="514"/>
      <c r="B680" s="514"/>
      <c r="C680" s="514"/>
      <c r="D680" s="514"/>
      <c r="E680" s="514"/>
      <c r="F680" s="514"/>
      <c r="G680" s="514"/>
      <c r="H680" s="514"/>
      <c r="I680" s="514"/>
      <c r="J680" s="514"/>
      <c r="K680" s="514"/>
      <c r="L680" s="514"/>
      <c r="M680" s="514"/>
      <c r="N680" s="992"/>
      <c r="O680" s="992"/>
      <c r="P680" s="993"/>
      <c r="Q680" s="993"/>
      <c r="R680" s="993"/>
      <c r="S680" s="514"/>
      <c r="T680" s="514"/>
      <c r="U680" s="514"/>
      <c r="V680" s="514"/>
      <c r="W680" s="514"/>
      <c r="X680" s="514"/>
      <c r="Y680" s="514"/>
    </row>
    <row r="681">
      <c r="A681" s="514"/>
      <c r="B681" s="514"/>
      <c r="C681" s="514"/>
      <c r="D681" s="514"/>
      <c r="E681" s="514"/>
      <c r="F681" s="514"/>
      <c r="G681" s="514"/>
      <c r="H681" s="514"/>
      <c r="I681" s="514"/>
      <c r="J681" s="514"/>
      <c r="K681" s="514"/>
      <c r="L681" s="514"/>
      <c r="M681" s="514"/>
      <c r="N681" s="992"/>
      <c r="O681" s="992"/>
      <c r="P681" s="993"/>
      <c r="Q681" s="993"/>
      <c r="R681" s="993"/>
      <c r="S681" s="514"/>
      <c r="T681" s="514"/>
      <c r="U681" s="514"/>
      <c r="V681" s="514"/>
      <c r="W681" s="514"/>
      <c r="X681" s="514"/>
      <c r="Y681" s="514"/>
    </row>
    <row r="682">
      <c r="A682" s="514"/>
      <c r="B682" s="514"/>
      <c r="C682" s="514"/>
      <c r="D682" s="514"/>
      <c r="E682" s="514"/>
      <c r="F682" s="514"/>
      <c r="G682" s="514"/>
      <c r="H682" s="514"/>
      <c r="I682" s="514"/>
      <c r="J682" s="514"/>
      <c r="K682" s="514"/>
      <c r="L682" s="514"/>
      <c r="M682" s="514"/>
      <c r="N682" s="992"/>
      <c r="O682" s="992"/>
      <c r="P682" s="993"/>
      <c r="Q682" s="993"/>
      <c r="R682" s="993"/>
      <c r="S682" s="514"/>
      <c r="T682" s="514"/>
      <c r="U682" s="514"/>
      <c r="V682" s="514"/>
      <c r="W682" s="514"/>
      <c r="X682" s="514"/>
      <c r="Y682" s="514"/>
    </row>
    <row r="683">
      <c r="A683" s="514"/>
      <c r="B683" s="514"/>
      <c r="C683" s="514"/>
      <c r="D683" s="514"/>
      <c r="E683" s="514"/>
      <c r="F683" s="514"/>
      <c r="G683" s="514"/>
      <c r="H683" s="514"/>
      <c r="I683" s="514"/>
      <c r="J683" s="514"/>
      <c r="K683" s="514"/>
      <c r="L683" s="514"/>
      <c r="M683" s="514"/>
      <c r="N683" s="992"/>
      <c r="O683" s="992"/>
      <c r="P683" s="993"/>
      <c r="Q683" s="993"/>
      <c r="R683" s="993"/>
      <c r="S683" s="514"/>
      <c r="T683" s="514"/>
      <c r="U683" s="514"/>
      <c r="V683" s="514"/>
      <c r="W683" s="514"/>
      <c r="X683" s="514"/>
      <c r="Y683" s="514"/>
    </row>
    <row r="684">
      <c r="A684" s="514"/>
      <c r="B684" s="514"/>
      <c r="C684" s="514"/>
      <c r="D684" s="514"/>
      <c r="E684" s="514"/>
      <c r="F684" s="514"/>
      <c r="G684" s="514"/>
      <c r="H684" s="514"/>
      <c r="I684" s="514"/>
      <c r="J684" s="514"/>
      <c r="K684" s="514"/>
      <c r="L684" s="514"/>
      <c r="M684" s="514"/>
      <c r="N684" s="992"/>
      <c r="O684" s="992"/>
      <c r="P684" s="993"/>
      <c r="Q684" s="993"/>
      <c r="R684" s="993"/>
      <c r="S684" s="514"/>
      <c r="T684" s="514"/>
      <c r="U684" s="514"/>
      <c r="V684" s="514"/>
      <c r="W684" s="514"/>
      <c r="X684" s="514"/>
      <c r="Y684" s="514"/>
    </row>
    <row r="685">
      <c r="A685" s="514"/>
      <c r="B685" s="514"/>
      <c r="C685" s="514"/>
      <c r="D685" s="514"/>
      <c r="E685" s="514"/>
      <c r="F685" s="514"/>
      <c r="G685" s="514"/>
      <c r="H685" s="514"/>
      <c r="I685" s="514"/>
      <c r="J685" s="514"/>
      <c r="K685" s="514"/>
      <c r="L685" s="514"/>
      <c r="M685" s="514"/>
      <c r="N685" s="992"/>
      <c r="O685" s="992"/>
      <c r="P685" s="993"/>
      <c r="Q685" s="993"/>
      <c r="R685" s="993"/>
      <c r="S685" s="514"/>
      <c r="T685" s="514"/>
      <c r="U685" s="514"/>
      <c r="V685" s="514"/>
      <c r="W685" s="514"/>
      <c r="X685" s="514"/>
      <c r="Y685" s="514"/>
    </row>
    <row r="686">
      <c r="A686" s="514"/>
      <c r="B686" s="514"/>
      <c r="C686" s="514"/>
      <c r="D686" s="514"/>
      <c r="E686" s="514"/>
      <c r="F686" s="514"/>
      <c r="G686" s="514"/>
      <c r="H686" s="514"/>
      <c r="I686" s="514"/>
      <c r="J686" s="514"/>
      <c r="K686" s="514"/>
      <c r="L686" s="514"/>
      <c r="M686" s="514"/>
      <c r="N686" s="992"/>
      <c r="O686" s="992"/>
      <c r="P686" s="993"/>
      <c r="Q686" s="993"/>
      <c r="R686" s="993"/>
      <c r="S686" s="514"/>
      <c r="T686" s="514"/>
      <c r="U686" s="514"/>
      <c r="V686" s="514"/>
      <c r="W686" s="514"/>
      <c r="X686" s="514"/>
      <c r="Y686" s="514"/>
    </row>
    <row r="687">
      <c r="A687" s="514"/>
      <c r="B687" s="514"/>
      <c r="C687" s="514"/>
      <c r="D687" s="514"/>
      <c r="E687" s="514"/>
      <c r="F687" s="514"/>
      <c r="G687" s="514"/>
      <c r="H687" s="514"/>
      <c r="I687" s="514"/>
      <c r="J687" s="514"/>
      <c r="K687" s="514"/>
      <c r="L687" s="514"/>
      <c r="M687" s="514"/>
      <c r="N687" s="992"/>
      <c r="O687" s="992"/>
      <c r="P687" s="993"/>
      <c r="Q687" s="993"/>
      <c r="R687" s="993"/>
      <c r="S687" s="514"/>
      <c r="T687" s="514"/>
      <c r="U687" s="514"/>
      <c r="V687" s="514"/>
      <c r="W687" s="514"/>
      <c r="X687" s="514"/>
      <c r="Y687" s="514"/>
    </row>
    <row r="688">
      <c r="A688" s="514"/>
      <c r="B688" s="514"/>
      <c r="C688" s="514"/>
      <c r="D688" s="514"/>
      <c r="E688" s="514"/>
      <c r="F688" s="514"/>
      <c r="G688" s="514"/>
      <c r="H688" s="514"/>
      <c r="I688" s="514"/>
      <c r="J688" s="514"/>
      <c r="K688" s="514"/>
      <c r="L688" s="514"/>
      <c r="M688" s="514"/>
      <c r="N688" s="992"/>
      <c r="O688" s="992"/>
      <c r="P688" s="993"/>
      <c r="Q688" s="993"/>
      <c r="R688" s="993"/>
      <c r="S688" s="514"/>
      <c r="T688" s="514"/>
      <c r="U688" s="514"/>
      <c r="V688" s="514"/>
      <c r="W688" s="514"/>
      <c r="X688" s="514"/>
      <c r="Y688" s="514"/>
    </row>
    <row r="689">
      <c r="A689" s="514"/>
      <c r="B689" s="514"/>
      <c r="C689" s="514"/>
      <c r="D689" s="514"/>
      <c r="E689" s="514"/>
      <c r="F689" s="514"/>
      <c r="G689" s="514"/>
      <c r="H689" s="514"/>
      <c r="I689" s="514"/>
      <c r="J689" s="514"/>
      <c r="K689" s="514"/>
      <c r="L689" s="514"/>
      <c r="M689" s="514"/>
      <c r="N689" s="992"/>
      <c r="O689" s="992"/>
      <c r="P689" s="993"/>
      <c r="Q689" s="993"/>
      <c r="R689" s="993"/>
      <c r="S689" s="514"/>
      <c r="T689" s="514"/>
      <c r="U689" s="514"/>
      <c r="V689" s="514"/>
      <c r="W689" s="514"/>
      <c r="X689" s="514"/>
      <c r="Y689" s="514"/>
    </row>
    <row r="690">
      <c r="A690" s="514"/>
      <c r="B690" s="514"/>
      <c r="C690" s="514"/>
      <c r="D690" s="514"/>
      <c r="E690" s="514"/>
      <c r="F690" s="514"/>
      <c r="G690" s="514"/>
      <c r="H690" s="514"/>
      <c r="I690" s="514"/>
      <c r="J690" s="514"/>
      <c r="K690" s="514"/>
      <c r="L690" s="514"/>
      <c r="M690" s="514"/>
      <c r="N690" s="992"/>
      <c r="O690" s="992"/>
      <c r="P690" s="993"/>
      <c r="Q690" s="993"/>
      <c r="R690" s="993"/>
      <c r="S690" s="514"/>
      <c r="T690" s="514"/>
      <c r="U690" s="514"/>
      <c r="V690" s="514"/>
      <c r="W690" s="514"/>
      <c r="X690" s="514"/>
      <c r="Y690" s="514"/>
    </row>
    <row r="691">
      <c r="A691" s="514"/>
      <c r="B691" s="514"/>
      <c r="C691" s="514"/>
      <c r="D691" s="514"/>
      <c r="E691" s="514"/>
      <c r="F691" s="514"/>
      <c r="G691" s="514"/>
      <c r="H691" s="514"/>
      <c r="I691" s="514"/>
      <c r="J691" s="514"/>
      <c r="K691" s="514"/>
      <c r="L691" s="514"/>
      <c r="M691" s="514"/>
      <c r="N691" s="992"/>
      <c r="O691" s="992"/>
      <c r="P691" s="993"/>
      <c r="Q691" s="993"/>
      <c r="R691" s="993"/>
      <c r="S691" s="514"/>
      <c r="T691" s="514"/>
      <c r="U691" s="514"/>
      <c r="V691" s="514"/>
      <c r="W691" s="514"/>
      <c r="X691" s="514"/>
      <c r="Y691" s="514"/>
    </row>
    <row r="692">
      <c r="A692" s="514"/>
      <c r="B692" s="514"/>
      <c r="C692" s="514"/>
      <c r="D692" s="514"/>
      <c r="E692" s="514"/>
      <c r="F692" s="514"/>
      <c r="G692" s="514"/>
      <c r="H692" s="514"/>
      <c r="I692" s="514"/>
      <c r="J692" s="514"/>
      <c r="K692" s="514"/>
      <c r="L692" s="514"/>
      <c r="M692" s="514"/>
      <c r="N692" s="992"/>
      <c r="O692" s="992"/>
      <c r="P692" s="993"/>
      <c r="Q692" s="993"/>
      <c r="R692" s="993"/>
      <c r="S692" s="514"/>
      <c r="T692" s="514"/>
      <c r="U692" s="514"/>
      <c r="V692" s="514"/>
      <c r="W692" s="514"/>
      <c r="X692" s="514"/>
      <c r="Y692" s="514"/>
    </row>
    <row r="693">
      <c r="A693" s="514"/>
      <c r="B693" s="514"/>
      <c r="C693" s="514"/>
      <c r="D693" s="514"/>
      <c r="E693" s="514"/>
      <c r="F693" s="514"/>
      <c r="G693" s="514"/>
      <c r="H693" s="514"/>
      <c r="I693" s="514"/>
      <c r="J693" s="514"/>
      <c r="K693" s="514"/>
      <c r="L693" s="514"/>
      <c r="M693" s="514"/>
      <c r="N693" s="992"/>
      <c r="O693" s="992"/>
      <c r="P693" s="993"/>
      <c r="Q693" s="993"/>
      <c r="R693" s="993"/>
      <c r="S693" s="514"/>
      <c r="T693" s="514"/>
      <c r="U693" s="514"/>
      <c r="V693" s="514"/>
      <c r="W693" s="514"/>
      <c r="X693" s="514"/>
      <c r="Y693" s="514"/>
    </row>
    <row r="694">
      <c r="A694" s="514"/>
      <c r="B694" s="514"/>
      <c r="C694" s="514"/>
      <c r="D694" s="514"/>
      <c r="E694" s="514"/>
      <c r="F694" s="514"/>
      <c r="G694" s="514"/>
      <c r="H694" s="514"/>
      <c r="I694" s="514"/>
      <c r="J694" s="514"/>
      <c r="K694" s="514"/>
      <c r="L694" s="514"/>
      <c r="M694" s="514"/>
      <c r="N694" s="992"/>
      <c r="O694" s="992"/>
      <c r="P694" s="993"/>
      <c r="Q694" s="993"/>
      <c r="R694" s="993"/>
      <c r="S694" s="514"/>
      <c r="T694" s="514"/>
      <c r="U694" s="514"/>
      <c r="V694" s="514"/>
      <c r="W694" s="514"/>
      <c r="X694" s="514"/>
      <c r="Y694" s="514"/>
    </row>
    <row r="695">
      <c r="A695" s="514"/>
      <c r="B695" s="514"/>
      <c r="C695" s="514"/>
      <c r="D695" s="514"/>
      <c r="E695" s="514"/>
      <c r="F695" s="514"/>
      <c r="G695" s="514"/>
      <c r="H695" s="514"/>
      <c r="I695" s="514"/>
      <c r="J695" s="514"/>
      <c r="K695" s="514"/>
      <c r="L695" s="514"/>
      <c r="M695" s="514"/>
      <c r="N695" s="992"/>
      <c r="O695" s="992"/>
      <c r="P695" s="993"/>
      <c r="Q695" s="993"/>
      <c r="R695" s="993"/>
      <c r="S695" s="514"/>
      <c r="T695" s="514"/>
      <c r="U695" s="514"/>
      <c r="V695" s="514"/>
      <c r="W695" s="514"/>
      <c r="X695" s="514"/>
      <c r="Y695" s="514"/>
    </row>
    <row r="696">
      <c r="A696" s="514"/>
      <c r="B696" s="514"/>
      <c r="C696" s="514"/>
      <c r="D696" s="514"/>
      <c r="E696" s="514"/>
      <c r="F696" s="514"/>
      <c r="G696" s="514"/>
      <c r="H696" s="514"/>
      <c r="I696" s="514"/>
      <c r="J696" s="514"/>
      <c r="K696" s="514"/>
      <c r="L696" s="514"/>
      <c r="M696" s="514"/>
      <c r="N696" s="992"/>
      <c r="O696" s="992"/>
      <c r="P696" s="993"/>
      <c r="Q696" s="993"/>
      <c r="R696" s="993"/>
      <c r="S696" s="514"/>
      <c r="T696" s="514"/>
      <c r="U696" s="514"/>
      <c r="V696" s="514"/>
      <c r="W696" s="514"/>
      <c r="X696" s="514"/>
      <c r="Y696" s="514"/>
    </row>
    <row r="697">
      <c r="A697" s="514"/>
      <c r="B697" s="514"/>
      <c r="C697" s="514"/>
      <c r="D697" s="514"/>
      <c r="E697" s="514"/>
      <c r="F697" s="514"/>
      <c r="G697" s="514"/>
      <c r="H697" s="514"/>
      <c r="I697" s="514"/>
      <c r="J697" s="514"/>
      <c r="K697" s="514"/>
      <c r="L697" s="514"/>
      <c r="M697" s="514"/>
      <c r="N697" s="992"/>
      <c r="O697" s="992"/>
      <c r="P697" s="993"/>
      <c r="Q697" s="993"/>
      <c r="R697" s="993"/>
      <c r="S697" s="514"/>
      <c r="T697" s="514"/>
      <c r="U697" s="514"/>
      <c r="V697" s="514"/>
      <c r="W697" s="514"/>
      <c r="X697" s="514"/>
      <c r="Y697" s="514"/>
    </row>
    <row r="698">
      <c r="A698" s="514"/>
      <c r="B698" s="514"/>
      <c r="C698" s="514"/>
      <c r="D698" s="514"/>
      <c r="E698" s="514"/>
      <c r="F698" s="514"/>
      <c r="G698" s="514"/>
      <c r="H698" s="514"/>
      <c r="I698" s="514"/>
      <c r="J698" s="514"/>
      <c r="K698" s="514"/>
      <c r="L698" s="514"/>
      <c r="M698" s="514"/>
      <c r="N698" s="992"/>
      <c r="O698" s="992"/>
      <c r="P698" s="993"/>
      <c r="Q698" s="993"/>
      <c r="R698" s="993"/>
      <c r="S698" s="514"/>
      <c r="T698" s="514"/>
      <c r="U698" s="514"/>
      <c r="V698" s="514"/>
      <c r="W698" s="514"/>
      <c r="X698" s="514"/>
      <c r="Y698" s="514"/>
    </row>
    <row r="699">
      <c r="A699" s="514"/>
      <c r="B699" s="514"/>
      <c r="C699" s="514"/>
      <c r="D699" s="514"/>
      <c r="E699" s="514"/>
      <c r="F699" s="514"/>
      <c r="G699" s="514"/>
      <c r="H699" s="514"/>
      <c r="I699" s="514"/>
      <c r="J699" s="514"/>
      <c r="K699" s="514"/>
      <c r="L699" s="514"/>
      <c r="M699" s="514"/>
      <c r="N699" s="992"/>
      <c r="O699" s="992"/>
      <c r="P699" s="993"/>
      <c r="Q699" s="993"/>
      <c r="R699" s="993"/>
      <c r="S699" s="514"/>
      <c r="T699" s="514"/>
      <c r="U699" s="514"/>
      <c r="V699" s="514"/>
      <c r="W699" s="514"/>
      <c r="X699" s="514"/>
      <c r="Y699" s="514"/>
    </row>
    <row r="700">
      <c r="A700" s="514"/>
      <c r="B700" s="514"/>
      <c r="C700" s="514"/>
      <c r="D700" s="514"/>
      <c r="E700" s="514"/>
      <c r="F700" s="514"/>
      <c r="G700" s="514"/>
      <c r="H700" s="514"/>
      <c r="I700" s="514"/>
      <c r="J700" s="514"/>
      <c r="K700" s="514"/>
      <c r="L700" s="514"/>
      <c r="M700" s="514"/>
      <c r="N700" s="992"/>
      <c r="O700" s="992"/>
      <c r="P700" s="993"/>
      <c r="Q700" s="993"/>
      <c r="R700" s="993"/>
      <c r="S700" s="514"/>
      <c r="T700" s="514"/>
      <c r="U700" s="514"/>
      <c r="V700" s="514"/>
      <c r="W700" s="514"/>
      <c r="X700" s="514"/>
      <c r="Y700" s="514"/>
    </row>
    <row r="701">
      <c r="A701" s="514"/>
      <c r="B701" s="514"/>
      <c r="C701" s="514"/>
      <c r="D701" s="514"/>
      <c r="E701" s="514"/>
      <c r="F701" s="514"/>
      <c r="G701" s="514"/>
      <c r="H701" s="514"/>
      <c r="I701" s="514"/>
      <c r="J701" s="514"/>
      <c r="K701" s="514"/>
      <c r="L701" s="514"/>
      <c r="M701" s="514"/>
      <c r="N701" s="992"/>
      <c r="O701" s="992"/>
      <c r="P701" s="993"/>
      <c r="Q701" s="993"/>
      <c r="R701" s="993"/>
      <c r="S701" s="514"/>
      <c r="T701" s="514"/>
      <c r="U701" s="514"/>
      <c r="V701" s="514"/>
      <c r="W701" s="514"/>
      <c r="X701" s="514"/>
      <c r="Y701" s="514"/>
    </row>
    <row r="702">
      <c r="A702" s="514"/>
      <c r="B702" s="514"/>
      <c r="C702" s="514"/>
      <c r="D702" s="514"/>
      <c r="E702" s="514"/>
      <c r="F702" s="514"/>
      <c r="G702" s="514"/>
      <c r="H702" s="514"/>
      <c r="I702" s="514"/>
      <c r="J702" s="514"/>
      <c r="K702" s="514"/>
      <c r="L702" s="514"/>
      <c r="M702" s="514"/>
      <c r="N702" s="992"/>
      <c r="O702" s="992"/>
      <c r="P702" s="993"/>
      <c r="Q702" s="993"/>
      <c r="R702" s="993"/>
      <c r="S702" s="514"/>
      <c r="T702" s="514"/>
      <c r="U702" s="514"/>
      <c r="V702" s="514"/>
      <c r="W702" s="514"/>
      <c r="X702" s="514"/>
      <c r="Y702" s="514"/>
    </row>
    <row r="703">
      <c r="A703" s="514"/>
      <c r="B703" s="514"/>
      <c r="C703" s="514"/>
      <c r="D703" s="514"/>
      <c r="E703" s="514"/>
      <c r="F703" s="514"/>
      <c r="G703" s="514"/>
      <c r="H703" s="514"/>
      <c r="I703" s="514"/>
      <c r="J703" s="514"/>
      <c r="K703" s="514"/>
      <c r="L703" s="514"/>
      <c r="M703" s="514"/>
      <c r="N703" s="992"/>
      <c r="O703" s="992"/>
      <c r="P703" s="993"/>
      <c r="Q703" s="993"/>
      <c r="R703" s="993"/>
      <c r="S703" s="514"/>
      <c r="T703" s="514"/>
      <c r="U703" s="514"/>
      <c r="V703" s="514"/>
      <c r="W703" s="514"/>
      <c r="X703" s="514"/>
      <c r="Y703" s="514"/>
    </row>
    <row r="704">
      <c r="A704" s="514"/>
      <c r="B704" s="514"/>
      <c r="C704" s="514"/>
      <c r="D704" s="514"/>
      <c r="E704" s="514"/>
      <c r="F704" s="514"/>
      <c r="G704" s="514"/>
      <c r="H704" s="514"/>
      <c r="I704" s="514"/>
      <c r="J704" s="514"/>
      <c r="K704" s="514"/>
      <c r="L704" s="514"/>
      <c r="M704" s="514"/>
      <c r="N704" s="992"/>
      <c r="O704" s="992"/>
      <c r="P704" s="993"/>
      <c r="Q704" s="993"/>
      <c r="R704" s="993"/>
      <c r="S704" s="514"/>
      <c r="T704" s="514"/>
      <c r="U704" s="514"/>
      <c r="V704" s="514"/>
      <c r="W704" s="514"/>
      <c r="X704" s="514"/>
      <c r="Y704" s="514"/>
    </row>
    <row r="705">
      <c r="A705" s="514"/>
      <c r="B705" s="514"/>
      <c r="C705" s="514"/>
      <c r="D705" s="514"/>
      <c r="E705" s="514"/>
      <c r="F705" s="514"/>
      <c r="G705" s="514"/>
      <c r="H705" s="514"/>
      <c r="I705" s="514"/>
      <c r="J705" s="514"/>
      <c r="K705" s="514"/>
      <c r="L705" s="514"/>
      <c r="M705" s="514"/>
      <c r="N705" s="992"/>
      <c r="O705" s="992"/>
      <c r="P705" s="993"/>
      <c r="Q705" s="993"/>
      <c r="R705" s="993"/>
      <c r="S705" s="514"/>
      <c r="T705" s="514"/>
      <c r="U705" s="514"/>
      <c r="V705" s="514"/>
      <c r="W705" s="514"/>
      <c r="X705" s="514"/>
      <c r="Y705" s="514"/>
    </row>
    <row r="706">
      <c r="A706" s="514"/>
      <c r="B706" s="514"/>
      <c r="C706" s="514"/>
      <c r="D706" s="514"/>
      <c r="E706" s="514"/>
      <c r="F706" s="514"/>
      <c r="G706" s="514"/>
      <c r="H706" s="514"/>
      <c r="I706" s="514"/>
      <c r="J706" s="514"/>
      <c r="K706" s="514"/>
      <c r="L706" s="514"/>
      <c r="M706" s="514"/>
      <c r="N706" s="992"/>
      <c r="O706" s="992"/>
      <c r="P706" s="993"/>
      <c r="Q706" s="993"/>
      <c r="R706" s="993"/>
      <c r="S706" s="514"/>
      <c r="T706" s="514"/>
      <c r="U706" s="514"/>
      <c r="V706" s="514"/>
      <c r="W706" s="514"/>
      <c r="X706" s="514"/>
      <c r="Y706" s="514"/>
    </row>
    <row r="707">
      <c r="A707" s="514"/>
      <c r="B707" s="514"/>
      <c r="C707" s="514"/>
      <c r="D707" s="514"/>
      <c r="E707" s="514"/>
      <c r="F707" s="514"/>
      <c r="G707" s="514"/>
      <c r="H707" s="514"/>
      <c r="I707" s="514"/>
      <c r="J707" s="514"/>
      <c r="K707" s="514"/>
      <c r="L707" s="514"/>
      <c r="M707" s="514"/>
      <c r="N707" s="992"/>
      <c r="O707" s="992"/>
      <c r="P707" s="993"/>
      <c r="Q707" s="993"/>
      <c r="R707" s="993"/>
      <c r="S707" s="514"/>
      <c r="T707" s="514"/>
      <c r="U707" s="514"/>
      <c r="V707" s="514"/>
      <c r="W707" s="514"/>
      <c r="X707" s="514"/>
      <c r="Y707" s="514"/>
    </row>
    <row r="708">
      <c r="A708" s="514"/>
      <c r="B708" s="514"/>
      <c r="C708" s="514"/>
      <c r="D708" s="514"/>
      <c r="E708" s="514"/>
      <c r="F708" s="514"/>
      <c r="G708" s="514"/>
      <c r="H708" s="514"/>
      <c r="I708" s="514"/>
      <c r="J708" s="514"/>
      <c r="K708" s="514"/>
      <c r="L708" s="514"/>
      <c r="M708" s="514"/>
      <c r="N708" s="992"/>
      <c r="O708" s="992"/>
      <c r="P708" s="993"/>
      <c r="Q708" s="993"/>
      <c r="R708" s="993"/>
      <c r="S708" s="514"/>
      <c r="T708" s="514"/>
      <c r="U708" s="514"/>
      <c r="V708" s="514"/>
      <c r="W708" s="514"/>
      <c r="X708" s="514"/>
      <c r="Y708" s="514"/>
    </row>
    <row r="709">
      <c r="A709" s="514"/>
      <c r="B709" s="514"/>
      <c r="C709" s="514"/>
      <c r="D709" s="514"/>
      <c r="E709" s="514"/>
      <c r="F709" s="514"/>
      <c r="G709" s="514"/>
      <c r="H709" s="514"/>
      <c r="I709" s="514"/>
      <c r="J709" s="514"/>
      <c r="K709" s="514"/>
      <c r="L709" s="514"/>
      <c r="M709" s="514"/>
      <c r="N709" s="992"/>
      <c r="O709" s="992"/>
      <c r="P709" s="993"/>
      <c r="Q709" s="993"/>
      <c r="R709" s="993"/>
      <c r="S709" s="514"/>
      <c r="T709" s="514"/>
      <c r="U709" s="514"/>
      <c r="V709" s="514"/>
      <c r="W709" s="514"/>
      <c r="X709" s="514"/>
      <c r="Y709" s="514"/>
    </row>
    <row r="710">
      <c r="A710" s="514"/>
      <c r="B710" s="514"/>
      <c r="C710" s="514"/>
      <c r="D710" s="514"/>
      <c r="E710" s="514"/>
      <c r="F710" s="514"/>
      <c r="G710" s="514"/>
      <c r="H710" s="514"/>
      <c r="I710" s="514"/>
      <c r="J710" s="514"/>
      <c r="K710" s="514"/>
      <c r="L710" s="514"/>
      <c r="M710" s="514"/>
      <c r="N710" s="992"/>
      <c r="O710" s="992"/>
      <c r="P710" s="993"/>
      <c r="Q710" s="993"/>
      <c r="R710" s="993"/>
      <c r="S710" s="514"/>
      <c r="T710" s="514"/>
      <c r="U710" s="514"/>
      <c r="V710" s="514"/>
      <c r="W710" s="514"/>
      <c r="X710" s="514"/>
      <c r="Y710" s="514"/>
    </row>
    <row r="711">
      <c r="A711" s="514"/>
      <c r="B711" s="514"/>
      <c r="C711" s="514"/>
      <c r="D711" s="514"/>
      <c r="E711" s="514"/>
      <c r="F711" s="514"/>
      <c r="G711" s="514"/>
      <c r="H711" s="514"/>
      <c r="I711" s="514"/>
      <c r="J711" s="514"/>
      <c r="K711" s="514"/>
      <c r="L711" s="514"/>
      <c r="M711" s="514"/>
      <c r="N711" s="992"/>
      <c r="O711" s="992"/>
      <c r="P711" s="993"/>
      <c r="Q711" s="993"/>
      <c r="R711" s="993"/>
      <c r="S711" s="514"/>
      <c r="T711" s="514"/>
      <c r="U711" s="514"/>
      <c r="V711" s="514"/>
      <c r="W711" s="514"/>
      <c r="X711" s="514"/>
      <c r="Y711" s="514"/>
    </row>
    <row r="712">
      <c r="A712" s="514"/>
      <c r="B712" s="514"/>
      <c r="C712" s="514"/>
      <c r="D712" s="514"/>
      <c r="E712" s="514"/>
      <c r="F712" s="514"/>
      <c r="G712" s="514"/>
      <c r="H712" s="514"/>
      <c r="I712" s="514"/>
      <c r="J712" s="514"/>
      <c r="K712" s="514"/>
      <c r="L712" s="514"/>
      <c r="M712" s="514"/>
      <c r="N712" s="992"/>
      <c r="O712" s="992"/>
      <c r="P712" s="993"/>
      <c r="Q712" s="993"/>
      <c r="R712" s="993"/>
      <c r="S712" s="514"/>
      <c r="T712" s="514"/>
      <c r="U712" s="514"/>
      <c r="V712" s="514"/>
      <c r="W712" s="514"/>
      <c r="X712" s="514"/>
      <c r="Y712" s="514"/>
    </row>
    <row r="713">
      <c r="A713" s="514"/>
      <c r="B713" s="514"/>
      <c r="C713" s="514"/>
      <c r="D713" s="514"/>
      <c r="E713" s="514"/>
      <c r="F713" s="514"/>
      <c r="G713" s="514"/>
      <c r="H713" s="514"/>
      <c r="I713" s="514"/>
      <c r="J713" s="514"/>
      <c r="K713" s="514"/>
      <c r="L713" s="514"/>
      <c r="M713" s="514"/>
      <c r="N713" s="992"/>
      <c r="O713" s="992"/>
      <c r="P713" s="993"/>
      <c r="Q713" s="993"/>
      <c r="R713" s="993"/>
      <c r="S713" s="514"/>
      <c r="T713" s="514"/>
      <c r="U713" s="514"/>
      <c r="V713" s="514"/>
      <c r="W713" s="514"/>
      <c r="X713" s="514"/>
      <c r="Y713" s="514"/>
    </row>
    <row r="714">
      <c r="A714" s="514"/>
      <c r="B714" s="514"/>
      <c r="C714" s="514"/>
      <c r="D714" s="514"/>
      <c r="E714" s="514"/>
      <c r="F714" s="514"/>
      <c r="G714" s="514"/>
      <c r="H714" s="514"/>
      <c r="I714" s="514"/>
      <c r="J714" s="514"/>
      <c r="K714" s="514"/>
      <c r="L714" s="514"/>
      <c r="M714" s="514"/>
      <c r="N714" s="992"/>
      <c r="O714" s="992"/>
      <c r="P714" s="993"/>
      <c r="Q714" s="993"/>
      <c r="R714" s="993"/>
      <c r="S714" s="514"/>
      <c r="T714" s="514"/>
      <c r="U714" s="514"/>
      <c r="V714" s="514"/>
      <c r="W714" s="514"/>
      <c r="X714" s="514"/>
      <c r="Y714" s="514"/>
    </row>
    <row r="715">
      <c r="A715" s="514"/>
      <c r="B715" s="514"/>
      <c r="C715" s="514"/>
      <c r="D715" s="514"/>
      <c r="E715" s="514"/>
      <c r="F715" s="514"/>
      <c r="G715" s="514"/>
      <c r="H715" s="514"/>
      <c r="I715" s="514"/>
      <c r="J715" s="514"/>
      <c r="K715" s="514"/>
      <c r="L715" s="514"/>
      <c r="M715" s="514"/>
      <c r="N715" s="992"/>
      <c r="O715" s="992"/>
      <c r="P715" s="993"/>
      <c r="Q715" s="993"/>
      <c r="R715" s="993"/>
      <c r="S715" s="514"/>
      <c r="T715" s="514"/>
      <c r="U715" s="514"/>
      <c r="V715" s="514"/>
      <c r="W715" s="514"/>
      <c r="X715" s="514"/>
      <c r="Y715" s="514"/>
    </row>
    <row r="716">
      <c r="A716" s="514"/>
      <c r="B716" s="514"/>
      <c r="C716" s="514"/>
      <c r="D716" s="514"/>
      <c r="E716" s="514"/>
      <c r="F716" s="514"/>
      <c r="G716" s="514"/>
      <c r="H716" s="514"/>
      <c r="I716" s="514"/>
      <c r="J716" s="514"/>
      <c r="K716" s="514"/>
      <c r="L716" s="514"/>
      <c r="M716" s="514"/>
      <c r="N716" s="992"/>
      <c r="O716" s="992"/>
      <c r="P716" s="993"/>
      <c r="Q716" s="993"/>
      <c r="R716" s="993"/>
      <c r="S716" s="514"/>
      <c r="T716" s="514"/>
      <c r="U716" s="514"/>
      <c r="V716" s="514"/>
      <c r="W716" s="514"/>
      <c r="X716" s="514"/>
      <c r="Y716" s="514"/>
    </row>
    <row r="717">
      <c r="A717" s="514"/>
      <c r="B717" s="514"/>
      <c r="C717" s="514"/>
      <c r="D717" s="514"/>
      <c r="E717" s="514"/>
      <c r="F717" s="514"/>
      <c r="G717" s="514"/>
      <c r="H717" s="514"/>
      <c r="I717" s="514"/>
      <c r="J717" s="514"/>
      <c r="K717" s="514"/>
      <c r="L717" s="514"/>
      <c r="M717" s="514"/>
      <c r="N717" s="992"/>
      <c r="O717" s="992"/>
      <c r="P717" s="993"/>
      <c r="Q717" s="993"/>
      <c r="R717" s="993"/>
      <c r="S717" s="514"/>
      <c r="T717" s="514"/>
      <c r="U717" s="514"/>
      <c r="V717" s="514"/>
      <c r="W717" s="514"/>
      <c r="X717" s="514"/>
      <c r="Y717" s="514"/>
    </row>
    <row r="718">
      <c r="A718" s="514"/>
      <c r="B718" s="514"/>
      <c r="C718" s="514"/>
      <c r="D718" s="514"/>
      <c r="E718" s="514"/>
      <c r="F718" s="514"/>
      <c r="G718" s="514"/>
      <c r="H718" s="514"/>
      <c r="I718" s="514"/>
      <c r="J718" s="514"/>
      <c r="K718" s="514"/>
      <c r="L718" s="514"/>
      <c r="M718" s="514"/>
      <c r="N718" s="992"/>
      <c r="O718" s="992"/>
      <c r="P718" s="993"/>
      <c r="Q718" s="993"/>
      <c r="R718" s="993"/>
      <c r="S718" s="514"/>
      <c r="T718" s="514"/>
      <c r="U718" s="514"/>
      <c r="V718" s="514"/>
      <c r="W718" s="514"/>
      <c r="X718" s="514"/>
      <c r="Y718" s="514"/>
    </row>
    <row r="719">
      <c r="A719" s="514"/>
      <c r="B719" s="514"/>
      <c r="C719" s="514"/>
      <c r="D719" s="514"/>
      <c r="E719" s="514"/>
      <c r="F719" s="514"/>
      <c r="G719" s="514"/>
      <c r="H719" s="514"/>
      <c r="I719" s="514"/>
      <c r="J719" s="514"/>
      <c r="K719" s="514"/>
      <c r="L719" s="514"/>
      <c r="M719" s="514"/>
      <c r="N719" s="992"/>
      <c r="O719" s="992"/>
      <c r="P719" s="993"/>
      <c r="Q719" s="993"/>
      <c r="R719" s="993"/>
      <c r="S719" s="514"/>
      <c r="T719" s="514"/>
      <c r="U719" s="514"/>
      <c r="V719" s="514"/>
      <c r="W719" s="514"/>
      <c r="X719" s="514"/>
      <c r="Y719" s="514"/>
    </row>
    <row r="720">
      <c r="A720" s="514"/>
      <c r="B720" s="514"/>
      <c r="C720" s="514"/>
      <c r="D720" s="514"/>
      <c r="E720" s="514"/>
      <c r="F720" s="514"/>
      <c r="G720" s="514"/>
      <c r="H720" s="514"/>
      <c r="I720" s="514"/>
      <c r="J720" s="514"/>
      <c r="K720" s="514"/>
      <c r="L720" s="514"/>
      <c r="M720" s="514"/>
      <c r="N720" s="992"/>
      <c r="O720" s="992"/>
      <c r="P720" s="993"/>
      <c r="Q720" s="993"/>
      <c r="R720" s="993"/>
      <c r="S720" s="514"/>
      <c r="T720" s="514"/>
      <c r="U720" s="514"/>
      <c r="V720" s="514"/>
      <c r="W720" s="514"/>
      <c r="X720" s="514"/>
      <c r="Y720" s="514"/>
    </row>
    <row r="721">
      <c r="A721" s="514"/>
      <c r="B721" s="514"/>
      <c r="C721" s="514"/>
      <c r="D721" s="514"/>
      <c r="E721" s="514"/>
      <c r="F721" s="514"/>
      <c r="G721" s="514"/>
      <c r="H721" s="514"/>
      <c r="I721" s="514"/>
      <c r="J721" s="514"/>
      <c r="K721" s="514"/>
      <c r="L721" s="514"/>
      <c r="M721" s="514"/>
      <c r="N721" s="992"/>
      <c r="O721" s="992"/>
      <c r="P721" s="993"/>
      <c r="Q721" s="993"/>
      <c r="R721" s="993"/>
      <c r="S721" s="514"/>
      <c r="T721" s="514"/>
      <c r="U721" s="514"/>
      <c r="V721" s="514"/>
      <c r="W721" s="514"/>
      <c r="X721" s="514"/>
      <c r="Y721" s="514"/>
    </row>
    <row r="722">
      <c r="A722" s="514"/>
      <c r="B722" s="514"/>
      <c r="C722" s="514"/>
      <c r="D722" s="514"/>
      <c r="E722" s="514"/>
      <c r="F722" s="514"/>
      <c r="G722" s="514"/>
      <c r="H722" s="514"/>
      <c r="I722" s="514"/>
      <c r="J722" s="514"/>
      <c r="K722" s="514"/>
      <c r="L722" s="514"/>
      <c r="M722" s="514"/>
      <c r="N722" s="992"/>
      <c r="O722" s="992"/>
      <c r="P722" s="993"/>
      <c r="Q722" s="993"/>
      <c r="R722" s="993"/>
      <c r="S722" s="514"/>
      <c r="T722" s="514"/>
      <c r="U722" s="514"/>
      <c r="V722" s="514"/>
      <c r="W722" s="514"/>
      <c r="X722" s="514"/>
      <c r="Y722" s="514"/>
    </row>
    <row r="723">
      <c r="A723" s="514"/>
      <c r="B723" s="514"/>
      <c r="C723" s="514"/>
      <c r="D723" s="514"/>
      <c r="E723" s="514"/>
      <c r="F723" s="514"/>
      <c r="G723" s="514"/>
      <c r="H723" s="514"/>
      <c r="I723" s="514"/>
      <c r="J723" s="514"/>
      <c r="K723" s="514"/>
      <c r="L723" s="514"/>
      <c r="M723" s="514"/>
      <c r="N723" s="992"/>
      <c r="O723" s="992"/>
      <c r="P723" s="993"/>
      <c r="Q723" s="993"/>
      <c r="R723" s="993"/>
      <c r="S723" s="514"/>
      <c r="T723" s="514"/>
      <c r="U723" s="514"/>
      <c r="V723" s="514"/>
      <c r="W723" s="514"/>
      <c r="X723" s="514"/>
      <c r="Y723" s="514"/>
    </row>
    <row r="724">
      <c r="A724" s="514"/>
      <c r="B724" s="514"/>
      <c r="C724" s="514"/>
      <c r="D724" s="514"/>
      <c r="E724" s="514"/>
      <c r="F724" s="514"/>
      <c r="G724" s="514"/>
      <c r="H724" s="514"/>
      <c r="I724" s="514"/>
      <c r="J724" s="514"/>
      <c r="K724" s="514"/>
      <c r="L724" s="514"/>
      <c r="M724" s="514"/>
      <c r="N724" s="992"/>
      <c r="O724" s="992"/>
      <c r="P724" s="993"/>
      <c r="Q724" s="993"/>
      <c r="R724" s="993"/>
      <c r="S724" s="514"/>
      <c r="T724" s="514"/>
      <c r="U724" s="514"/>
      <c r="V724" s="514"/>
      <c r="W724" s="514"/>
      <c r="X724" s="514"/>
      <c r="Y724" s="514"/>
    </row>
    <row r="725">
      <c r="A725" s="514"/>
      <c r="B725" s="514"/>
      <c r="C725" s="514"/>
      <c r="D725" s="514"/>
      <c r="E725" s="514"/>
      <c r="F725" s="514"/>
      <c r="G725" s="514"/>
      <c r="H725" s="514"/>
      <c r="I725" s="514"/>
      <c r="J725" s="514"/>
      <c r="K725" s="514"/>
      <c r="L725" s="514"/>
      <c r="M725" s="514"/>
      <c r="N725" s="992"/>
      <c r="O725" s="992"/>
      <c r="P725" s="993"/>
      <c r="Q725" s="993"/>
      <c r="R725" s="993"/>
      <c r="S725" s="514"/>
      <c r="T725" s="514"/>
      <c r="U725" s="514"/>
      <c r="V725" s="514"/>
      <c r="W725" s="514"/>
      <c r="X725" s="514"/>
      <c r="Y725" s="514"/>
    </row>
    <row r="726">
      <c r="A726" s="514"/>
      <c r="B726" s="514"/>
      <c r="C726" s="514"/>
      <c r="D726" s="514"/>
      <c r="E726" s="514"/>
      <c r="F726" s="514"/>
      <c r="G726" s="514"/>
      <c r="H726" s="514"/>
      <c r="I726" s="514"/>
      <c r="J726" s="514"/>
      <c r="K726" s="514"/>
      <c r="L726" s="514"/>
      <c r="M726" s="514"/>
      <c r="N726" s="992"/>
      <c r="O726" s="992"/>
      <c r="P726" s="993"/>
      <c r="Q726" s="993"/>
      <c r="R726" s="993"/>
      <c r="S726" s="514"/>
      <c r="T726" s="514"/>
      <c r="U726" s="514"/>
      <c r="V726" s="514"/>
      <c r="W726" s="514"/>
      <c r="X726" s="514"/>
      <c r="Y726" s="514"/>
    </row>
    <row r="727">
      <c r="A727" s="514"/>
      <c r="B727" s="514"/>
      <c r="C727" s="514"/>
      <c r="D727" s="514"/>
      <c r="E727" s="514"/>
      <c r="F727" s="514"/>
      <c r="G727" s="514"/>
      <c r="H727" s="514"/>
      <c r="I727" s="514"/>
      <c r="J727" s="514"/>
      <c r="K727" s="514"/>
      <c r="L727" s="514"/>
      <c r="M727" s="514"/>
      <c r="N727" s="992"/>
      <c r="O727" s="992"/>
      <c r="P727" s="993"/>
      <c r="Q727" s="993"/>
      <c r="R727" s="993"/>
      <c r="S727" s="514"/>
      <c r="T727" s="514"/>
      <c r="U727" s="514"/>
      <c r="V727" s="514"/>
      <c r="W727" s="514"/>
      <c r="X727" s="514"/>
      <c r="Y727" s="514"/>
    </row>
    <row r="728">
      <c r="A728" s="514"/>
      <c r="B728" s="514"/>
      <c r="C728" s="514"/>
      <c r="D728" s="514"/>
      <c r="E728" s="514"/>
      <c r="F728" s="514"/>
      <c r="G728" s="514"/>
      <c r="H728" s="514"/>
      <c r="I728" s="514"/>
      <c r="J728" s="514"/>
      <c r="K728" s="514"/>
      <c r="L728" s="514"/>
      <c r="M728" s="514"/>
      <c r="N728" s="992"/>
      <c r="O728" s="992"/>
      <c r="P728" s="993"/>
      <c r="Q728" s="993"/>
      <c r="R728" s="993"/>
      <c r="S728" s="514"/>
      <c r="T728" s="514"/>
      <c r="U728" s="514"/>
      <c r="V728" s="514"/>
      <c r="W728" s="514"/>
      <c r="X728" s="514"/>
      <c r="Y728" s="514"/>
    </row>
    <row r="729">
      <c r="A729" s="514"/>
      <c r="B729" s="514"/>
      <c r="C729" s="514"/>
      <c r="D729" s="514"/>
      <c r="E729" s="514"/>
      <c r="F729" s="514"/>
      <c r="G729" s="514"/>
      <c r="H729" s="514"/>
      <c r="I729" s="514"/>
      <c r="J729" s="514"/>
      <c r="K729" s="514"/>
      <c r="L729" s="514"/>
      <c r="M729" s="514"/>
      <c r="N729" s="992"/>
      <c r="O729" s="992"/>
      <c r="P729" s="993"/>
      <c r="Q729" s="993"/>
      <c r="R729" s="993"/>
      <c r="S729" s="514"/>
      <c r="T729" s="514"/>
      <c r="U729" s="514"/>
      <c r="V729" s="514"/>
      <c r="W729" s="514"/>
      <c r="X729" s="514"/>
      <c r="Y729" s="514"/>
    </row>
    <row r="730">
      <c r="A730" s="514"/>
      <c r="B730" s="514"/>
      <c r="C730" s="514"/>
      <c r="D730" s="514"/>
      <c r="E730" s="514"/>
      <c r="F730" s="514"/>
      <c r="G730" s="514"/>
      <c r="H730" s="514"/>
      <c r="I730" s="514"/>
      <c r="J730" s="514"/>
      <c r="K730" s="514"/>
      <c r="L730" s="514"/>
      <c r="M730" s="514"/>
      <c r="N730" s="992"/>
      <c r="O730" s="992"/>
      <c r="P730" s="993"/>
      <c r="Q730" s="993"/>
      <c r="R730" s="993"/>
      <c r="S730" s="514"/>
      <c r="T730" s="514"/>
      <c r="U730" s="514"/>
      <c r="V730" s="514"/>
      <c r="W730" s="514"/>
      <c r="X730" s="514"/>
      <c r="Y730" s="514"/>
    </row>
    <row r="731">
      <c r="A731" s="514"/>
      <c r="B731" s="514"/>
      <c r="C731" s="514"/>
      <c r="D731" s="514"/>
      <c r="E731" s="514"/>
      <c r="F731" s="514"/>
      <c r="G731" s="514"/>
      <c r="H731" s="514"/>
      <c r="I731" s="514"/>
      <c r="J731" s="514"/>
      <c r="K731" s="514"/>
      <c r="L731" s="514"/>
      <c r="M731" s="514"/>
      <c r="N731" s="992"/>
      <c r="O731" s="992"/>
      <c r="P731" s="993"/>
      <c r="Q731" s="993"/>
      <c r="R731" s="993"/>
      <c r="S731" s="514"/>
      <c r="T731" s="514"/>
      <c r="U731" s="514"/>
      <c r="V731" s="514"/>
      <c r="W731" s="514"/>
      <c r="X731" s="514"/>
      <c r="Y731" s="514"/>
    </row>
    <row r="732">
      <c r="A732" s="514"/>
      <c r="B732" s="514"/>
      <c r="C732" s="514"/>
      <c r="D732" s="514"/>
      <c r="E732" s="514"/>
      <c r="F732" s="514"/>
      <c r="G732" s="514"/>
      <c r="H732" s="514"/>
      <c r="I732" s="514"/>
      <c r="J732" s="514"/>
      <c r="K732" s="514"/>
      <c r="L732" s="514"/>
      <c r="M732" s="514"/>
      <c r="N732" s="992"/>
      <c r="O732" s="992"/>
      <c r="P732" s="993"/>
      <c r="Q732" s="993"/>
      <c r="R732" s="993"/>
      <c r="S732" s="514"/>
      <c r="T732" s="514"/>
      <c r="U732" s="514"/>
      <c r="V732" s="514"/>
      <c r="W732" s="514"/>
      <c r="X732" s="514"/>
      <c r="Y732" s="514"/>
    </row>
    <row r="733">
      <c r="A733" s="514"/>
      <c r="B733" s="514"/>
      <c r="C733" s="514"/>
      <c r="D733" s="514"/>
      <c r="E733" s="514"/>
      <c r="F733" s="514"/>
      <c r="G733" s="514"/>
      <c r="H733" s="514"/>
      <c r="I733" s="514"/>
      <c r="J733" s="514"/>
      <c r="K733" s="514"/>
      <c r="L733" s="514"/>
      <c r="M733" s="514"/>
      <c r="N733" s="992"/>
      <c r="O733" s="992"/>
      <c r="P733" s="993"/>
      <c r="Q733" s="993"/>
      <c r="R733" s="993"/>
      <c r="S733" s="514"/>
      <c r="T733" s="514"/>
      <c r="U733" s="514"/>
      <c r="V733" s="514"/>
      <c r="W733" s="514"/>
      <c r="X733" s="514"/>
      <c r="Y733" s="514"/>
    </row>
    <row r="734">
      <c r="A734" s="514"/>
      <c r="B734" s="514"/>
      <c r="C734" s="514"/>
      <c r="D734" s="514"/>
      <c r="E734" s="514"/>
      <c r="F734" s="514"/>
      <c r="G734" s="514"/>
      <c r="H734" s="514"/>
      <c r="I734" s="514"/>
      <c r="J734" s="514"/>
      <c r="K734" s="514"/>
      <c r="L734" s="514"/>
      <c r="M734" s="514"/>
      <c r="N734" s="992"/>
      <c r="O734" s="992"/>
      <c r="P734" s="993"/>
      <c r="Q734" s="993"/>
      <c r="R734" s="993"/>
      <c r="S734" s="514"/>
      <c r="T734" s="514"/>
      <c r="U734" s="514"/>
      <c r="V734" s="514"/>
      <c r="W734" s="514"/>
      <c r="X734" s="514"/>
      <c r="Y734" s="514"/>
    </row>
    <row r="735">
      <c r="A735" s="514"/>
      <c r="B735" s="514"/>
      <c r="C735" s="514"/>
      <c r="D735" s="514"/>
      <c r="E735" s="514"/>
      <c r="F735" s="514"/>
      <c r="G735" s="514"/>
      <c r="H735" s="514"/>
      <c r="I735" s="514"/>
      <c r="J735" s="514"/>
      <c r="K735" s="514"/>
      <c r="L735" s="514"/>
      <c r="M735" s="514"/>
      <c r="N735" s="992"/>
      <c r="O735" s="992"/>
      <c r="P735" s="993"/>
      <c r="Q735" s="993"/>
      <c r="R735" s="993"/>
      <c r="S735" s="514"/>
      <c r="T735" s="514"/>
      <c r="U735" s="514"/>
      <c r="V735" s="514"/>
      <c r="W735" s="514"/>
      <c r="X735" s="514"/>
      <c r="Y735" s="514"/>
    </row>
    <row r="736">
      <c r="A736" s="514"/>
      <c r="B736" s="514"/>
      <c r="C736" s="514"/>
      <c r="D736" s="514"/>
      <c r="E736" s="514"/>
      <c r="F736" s="514"/>
      <c r="G736" s="514"/>
      <c r="H736" s="514"/>
      <c r="I736" s="514"/>
      <c r="J736" s="514"/>
      <c r="K736" s="514"/>
      <c r="L736" s="514"/>
      <c r="M736" s="514"/>
      <c r="N736" s="992"/>
      <c r="O736" s="992"/>
      <c r="P736" s="993"/>
      <c r="Q736" s="993"/>
      <c r="R736" s="993"/>
      <c r="S736" s="514"/>
      <c r="T736" s="514"/>
      <c r="U736" s="514"/>
      <c r="V736" s="514"/>
      <c r="W736" s="514"/>
      <c r="X736" s="514"/>
      <c r="Y736" s="514"/>
    </row>
    <row r="737">
      <c r="A737" s="514"/>
      <c r="B737" s="514"/>
      <c r="C737" s="514"/>
      <c r="D737" s="514"/>
      <c r="E737" s="514"/>
      <c r="F737" s="514"/>
      <c r="G737" s="514"/>
      <c r="H737" s="514"/>
      <c r="I737" s="514"/>
      <c r="J737" s="514"/>
      <c r="K737" s="514"/>
      <c r="L737" s="514"/>
      <c r="M737" s="514"/>
      <c r="N737" s="992"/>
      <c r="O737" s="992"/>
      <c r="P737" s="993"/>
      <c r="Q737" s="993"/>
      <c r="R737" s="993"/>
      <c r="S737" s="514"/>
      <c r="T737" s="514"/>
      <c r="U737" s="514"/>
      <c r="V737" s="514"/>
      <c r="W737" s="514"/>
      <c r="X737" s="514"/>
      <c r="Y737" s="514"/>
    </row>
    <row r="738">
      <c r="A738" s="514"/>
      <c r="B738" s="514"/>
      <c r="C738" s="514"/>
      <c r="D738" s="514"/>
      <c r="E738" s="514"/>
      <c r="F738" s="514"/>
      <c r="G738" s="514"/>
      <c r="H738" s="514"/>
      <c r="I738" s="514"/>
      <c r="J738" s="514"/>
      <c r="K738" s="514"/>
      <c r="L738" s="514"/>
      <c r="M738" s="514"/>
      <c r="N738" s="992"/>
      <c r="O738" s="992"/>
      <c r="P738" s="993"/>
      <c r="Q738" s="993"/>
      <c r="R738" s="993"/>
      <c r="S738" s="514"/>
      <c r="T738" s="514"/>
      <c r="U738" s="514"/>
      <c r="V738" s="514"/>
      <c r="W738" s="514"/>
      <c r="X738" s="514"/>
      <c r="Y738" s="514"/>
    </row>
    <row r="739">
      <c r="A739" s="514"/>
      <c r="B739" s="514"/>
      <c r="C739" s="514"/>
      <c r="D739" s="514"/>
      <c r="E739" s="514"/>
      <c r="F739" s="514"/>
      <c r="G739" s="514"/>
      <c r="H739" s="514"/>
      <c r="I739" s="514"/>
      <c r="J739" s="514"/>
      <c r="K739" s="514"/>
      <c r="L739" s="514"/>
      <c r="M739" s="514"/>
      <c r="N739" s="992"/>
      <c r="O739" s="992"/>
      <c r="P739" s="993"/>
      <c r="Q739" s="993"/>
      <c r="R739" s="993"/>
      <c r="S739" s="514"/>
      <c r="T739" s="514"/>
      <c r="U739" s="514"/>
      <c r="V739" s="514"/>
      <c r="W739" s="514"/>
      <c r="X739" s="514"/>
      <c r="Y739" s="514"/>
    </row>
    <row r="740">
      <c r="A740" s="514"/>
      <c r="B740" s="514"/>
      <c r="C740" s="514"/>
      <c r="D740" s="514"/>
      <c r="E740" s="514"/>
      <c r="F740" s="514"/>
      <c r="G740" s="514"/>
      <c r="H740" s="514"/>
      <c r="I740" s="514"/>
      <c r="J740" s="514"/>
      <c r="K740" s="514"/>
      <c r="L740" s="514"/>
      <c r="M740" s="514"/>
      <c r="N740" s="992"/>
      <c r="O740" s="992"/>
      <c r="P740" s="993"/>
      <c r="Q740" s="993"/>
      <c r="R740" s="993"/>
      <c r="S740" s="514"/>
      <c r="T740" s="514"/>
      <c r="U740" s="514"/>
      <c r="V740" s="514"/>
      <c r="W740" s="514"/>
      <c r="X740" s="514"/>
      <c r="Y740" s="514"/>
    </row>
    <row r="741">
      <c r="A741" s="514"/>
      <c r="B741" s="514"/>
      <c r="C741" s="514"/>
      <c r="D741" s="514"/>
      <c r="E741" s="514"/>
      <c r="F741" s="514"/>
      <c r="G741" s="514"/>
      <c r="H741" s="514"/>
      <c r="I741" s="514"/>
      <c r="J741" s="514"/>
      <c r="K741" s="514"/>
      <c r="L741" s="514"/>
      <c r="M741" s="514"/>
      <c r="N741" s="992"/>
      <c r="O741" s="992"/>
      <c r="P741" s="993"/>
      <c r="Q741" s="993"/>
      <c r="R741" s="993"/>
      <c r="S741" s="514"/>
      <c r="T741" s="514"/>
      <c r="U741" s="514"/>
      <c r="V741" s="514"/>
      <c r="W741" s="514"/>
      <c r="X741" s="514"/>
      <c r="Y741" s="514"/>
    </row>
    <row r="742">
      <c r="A742" s="514"/>
      <c r="B742" s="514"/>
      <c r="C742" s="514"/>
      <c r="D742" s="514"/>
      <c r="E742" s="514"/>
      <c r="F742" s="514"/>
      <c r="G742" s="514"/>
      <c r="H742" s="514"/>
      <c r="I742" s="514"/>
      <c r="J742" s="514"/>
      <c r="K742" s="514"/>
      <c r="L742" s="514"/>
      <c r="M742" s="514"/>
      <c r="N742" s="992"/>
      <c r="O742" s="992"/>
      <c r="P742" s="993"/>
      <c r="Q742" s="993"/>
      <c r="R742" s="993"/>
      <c r="S742" s="514"/>
      <c r="T742" s="514"/>
      <c r="U742" s="514"/>
      <c r="V742" s="514"/>
      <c r="W742" s="514"/>
      <c r="X742" s="514"/>
      <c r="Y742" s="514"/>
    </row>
    <row r="743">
      <c r="A743" s="514"/>
      <c r="B743" s="514"/>
      <c r="C743" s="514"/>
      <c r="D743" s="514"/>
      <c r="E743" s="514"/>
      <c r="F743" s="514"/>
      <c r="G743" s="514"/>
      <c r="H743" s="514"/>
      <c r="I743" s="514"/>
      <c r="J743" s="514"/>
      <c r="K743" s="514"/>
      <c r="L743" s="514"/>
      <c r="M743" s="514"/>
      <c r="N743" s="992"/>
      <c r="O743" s="992"/>
      <c r="P743" s="993"/>
      <c r="Q743" s="993"/>
      <c r="R743" s="993"/>
      <c r="S743" s="514"/>
      <c r="T743" s="514"/>
      <c r="U743" s="514"/>
      <c r="V743" s="514"/>
      <c r="W743" s="514"/>
      <c r="X743" s="514"/>
      <c r="Y743" s="514"/>
    </row>
    <row r="744">
      <c r="A744" s="514"/>
      <c r="B744" s="514"/>
      <c r="C744" s="514"/>
      <c r="D744" s="514"/>
      <c r="E744" s="514"/>
      <c r="F744" s="514"/>
      <c r="G744" s="514"/>
      <c r="H744" s="514"/>
      <c r="I744" s="514"/>
      <c r="J744" s="514"/>
      <c r="K744" s="514"/>
      <c r="L744" s="514"/>
      <c r="M744" s="514"/>
      <c r="N744" s="992"/>
      <c r="O744" s="992"/>
      <c r="P744" s="993"/>
      <c r="Q744" s="993"/>
      <c r="R744" s="993"/>
      <c r="S744" s="514"/>
      <c r="T744" s="514"/>
      <c r="U744" s="514"/>
      <c r="V744" s="514"/>
      <c r="W744" s="514"/>
      <c r="X744" s="514"/>
      <c r="Y744" s="514"/>
    </row>
    <row r="745">
      <c r="A745" s="514"/>
      <c r="B745" s="514"/>
      <c r="C745" s="514"/>
      <c r="D745" s="514"/>
      <c r="E745" s="514"/>
      <c r="F745" s="514"/>
      <c r="G745" s="514"/>
      <c r="H745" s="514"/>
      <c r="I745" s="514"/>
      <c r="J745" s="514"/>
      <c r="K745" s="514"/>
      <c r="L745" s="514"/>
      <c r="M745" s="514"/>
      <c r="N745" s="992"/>
      <c r="O745" s="992"/>
      <c r="P745" s="993"/>
      <c r="Q745" s="993"/>
      <c r="R745" s="993"/>
      <c r="S745" s="514"/>
      <c r="T745" s="514"/>
      <c r="U745" s="514"/>
      <c r="V745" s="514"/>
      <c r="W745" s="514"/>
      <c r="X745" s="514"/>
      <c r="Y745" s="514"/>
    </row>
    <row r="746">
      <c r="A746" s="514"/>
      <c r="B746" s="514"/>
      <c r="C746" s="514"/>
      <c r="D746" s="514"/>
      <c r="E746" s="514"/>
      <c r="F746" s="514"/>
      <c r="G746" s="514"/>
      <c r="H746" s="514"/>
      <c r="I746" s="514"/>
      <c r="J746" s="514"/>
      <c r="K746" s="514"/>
      <c r="L746" s="514"/>
      <c r="M746" s="514"/>
      <c r="N746" s="992"/>
      <c r="O746" s="992"/>
      <c r="P746" s="993"/>
      <c r="Q746" s="993"/>
      <c r="R746" s="993"/>
      <c r="S746" s="514"/>
      <c r="T746" s="514"/>
      <c r="U746" s="514"/>
      <c r="V746" s="514"/>
      <c r="W746" s="514"/>
      <c r="X746" s="514"/>
      <c r="Y746" s="514"/>
    </row>
    <row r="747">
      <c r="A747" s="514"/>
      <c r="B747" s="514"/>
      <c r="C747" s="514"/>
      <c r="D747" s="514"/>
      <c r="E747" s="514"/>
      <c r="F747" s="514"/>
      <c r="G747" s="514"/>
      <c r="H747" s="514"/>
      <c r="I747" s="514"/>
      <c r="J747" s="514"/>
      <c r="K747" s="514"/>
      <c r="L747" s="514"/>
      <c r="M747" s="514"/>
      <c r="N747" s="992"/>
      <c r="O747" s="992"/>
      <c r="P747" s="993"/>
      <c r="Q747" s="993"/>
      <c r="R747" s="993"/>
      <c r="S747" s="514"/>
      <c r="T747" s="514"/>
      <c r="U747" s="514"/>
      <c r="V747" s="514"/>
      <c r="W747" s="514"/>
      <c r="X747" s="514"/>
      <c r="Y747" s="514"/>
    </row>
    <row r="748">
      <c r="A748" s="514"/>
      <c r="B748" s="514"/>
      <c r="C748" s="514"/>
      <c r="D748" s="514"/>
      <c r="E748" s="514"/>
      <c r="F748" s="514"/>
      <c r="G748" s="514"/>
      <c r="H748" s="514"/>
      <c r="I748" s="514"/>
      <c r="J748" s="514"/>
      <c r="K748" s="514"/>
      <c r="L748" s="514"/>
      <c r="M748" s="514"/>
      <c r="N748" s="992"/>
      <c r="O748" s="992"/>
      <c r="P748" s="993"/>
      <c r="Q748" s="993"/>
      <c r="R748" s="993"/>
      <c r="S748" s="514"/>
      <c r="T748" s="514"/>
      <c r="U748" s="514"/>
      <c r="V748" s="514"/>
      <c r="W748" s="514"/>
      <c r="X748" s="514"/>
      <c r="Y748" s="514"/>
    </row>
    <row r="749">
      <c r="A749" s="514"/>
      <c r="B749" s="514"/>
      <c r="C749" s="514"/>
      <c r="D749" s="514"/>
      <c r="E749" s="514"/>
      <c r="F749" s="514"/>
      <c r="G749" s="514"/>
      <c r="H749" s="514"/>
      <c r="I749" s="514"/>
      <c r="J749" s="514"/>
      <c r="K749" s="514"/>
      <c r="L749" s="514"/>
      <c r="M749" s="514"/>
      <c r="N749" s="992"/>
      <c r="O749" s="992"/>
      <c r="P749" s="993"/>
      <c r="Q749" s="993"/>
      <c r="R749" s="993"/>
      <c r="S749" s="514"/>
      <c r="T749" s="514"/>
      <c r="U749" s="514"/>
      <c r="V749" s="514"/>
      <c r="W749" s="514"/>
      <c r="X749" s="514"/>
      <c r="Y749" s="514"/>
    </row>
    <row r="750">
      <c r="A750" s="514"/>
      <c r="B750" s="514"/>
      <c r="C750" s="514"/>
      <c r="D750" s="514"/>
      <c r="E750" s="514"/>
      <c r="F750" s="514"/>
      <c r="G750" s="514"/>
      <c r="H750" s="514"/>
      <c r="I750" s="514"/>
      <c r="J750" s="514"/>
      <c r="K750" s="514"/>
      <c r="L750" s="514"/>
      <c r="M750" s="514"/>
      <c r="N750" s="992"/>
      <c r="O750" s="992"/>
      <c r="P750" s="993"/>
      <c r="Q750" s="993"/>
      <c r="R750" s="993"/>
      <c r="S750" s="514"/>
      <c r="T750" s="514"/>
      <c r="U750" s="514"/>
      <c r="V750" s="514"/>
      <c r="W750" s="514"/>
      <c r="X750" s="514"/>
      <c r="Y750" s="514"/>
    </row>
    <row r="751">
      <c r="A751" s="514"/>
      <c r="B751" s="514"/>
      <c r="C751" s="514"/>
      <c r="D751" s="514"/>
      <c r="E751" s="514"/>
      <c r="F751" s="514"/>
      <c r="G751" s="514"/>
      <c r="H751" s="514"/>
      <c r="I751" s="514"/>
      <c r="J751" s="514"/>
      <c r="K751" s="514"/>
      <c r="L751" s="514"/>
      <c r="M751" s="514"/>
      <c r="N751" s="992"/>
      <c r="O751" s="992"/>
      <c r="P751" s="993"/>
      <c r="Q751" s="993"/>
      <c r="R751" s="993"/>
      <c r="S751" s="514"/>
      <c r="T751" s="514"/>
      <c r="U751" s="514"/>
      <c r="V751" s="514"/>
      <c r="W751" s="514"/>
      <c r="X751" s="514"/>
      <c r="Y751" s="514"/>
    </row>
    <row r="752">
      <c r="A752" s="514"/>
      <c r="B752" s="514"/>
      <c r="C752" s="514"/>
      <c r="D752" s="514"/>
      <c r="E752" s="514"/>
      <c r="F752" s="514"/>
      <c r="G752" s="514"/>
      <c r="H752" s="514"/>
      <c r="I752" s="514"/>
      <c r="J752" s="514"/>
      <c r="K752" s="514"/>
      <c r="L752" s="514"/>
      <c r="M752" s="514"/>
      <c r="N752" s="992"/>
      <c r="O752" s="992"/>
      <c r="P752" s="993"/>
      <c r="Q752" s="993"/>
      <c r="R752" s="993"/>
      <c r="S752" s="514"/>
      <c r="T752" s="514"/>
      <c r="U752" s="514"/>
      <c r="V752" s="514"/>
      <c r="W752" s="514"/>
      <c r="X752" s="514"/>
      <c r="Y752" s="514"/>
    </row>
    <row r="753">
      <c r="A753" s="514"/>
      <c r="B753" s="514"/>
      <c r="C753" s="514"/>
      <c r="D753" s="514"/>
      <c r="E753" s="514"/>
      <c r="F753" s="514"/>
      <c r="G753" s="514"/>
      <c r="H753" s="514"/>
      <c r="I753" s="514"/>
      <c r="J753" s="514"/>
      <c r="K753" s="514"/>
      <c r="L753" s="514"/>
      <c r="M753" s="514"/>
      <c r="N753" s="992"/>
      <c r="O753" s="992"/>
      <c r="P753" s="993"/>
      <c r="Q753" s="993"/>
      <c r="R753" s="993"/>
      <c r="S753" s="514"/>
      <c r="T753" s="514"/>
      <c r="U753" s="514"/>
      <c r="V753" s="514"/>
      <c r="W753" s="514"/>
      <c r="X753" s="514"/>
      <c r="Y753" s="514"/>
    </row>
    <row r="754">
      <c r="A754" s="514"/>
      <c r="B754" s="514"/>
      <c r="C754" s="514"/>
      <c r="D754" s="514"/>
      <c r="E754" s="514"/>
      <c r="F754" s="514"/>
      <c r="G754" s="514"/>
      <c r="H754" s="514"/>
      <c r="I754" s="514"/>
      <c r="J754" s="514"/>
      <c r="K754" s="514"/>
      <c r="L754" s="514"/>
      <c r="M754" s="514"/>
      <c r="N754" s="992"/>
      <c r="O754" s="992"/>
      <c r="P754" s="993"/>
      <c r="Q754" s="993"/>
      <c r="R754" s="993"/>
      <c r="S754" s="514"/>
      <c r="T754" s="514"/>
      <c r="U754" s="514"/>
      <c r="V754" s="514"/>
      <c r="W754" s="514"/>
      <c r="X754" s="514"/>
      <c r="Y754" s="514"/>
    </row>
    <row r="755">
      <c r="A755" s="514"/>
      <c r="B755" s="514"/>
      <c r="C755" s="514"/>
      <c r="D755" s="514"/>
      <c r="E755" s="514"/>
      <c r="F755" s="514"/>
      <c r="G755" s="514"/>
      <c r="H755" s="514"/>
      <c r="I755" s="514"/>
      <c r="J755" s="514"/>
      <c r="K755" s="514"/>
      <c r="L755" s="514"/>
      <c r="M755" s="514"/>
      <c r="N755" s="992"/>
      <c r="O755" s="992"/>
      <c r="P755" s="993"/>
      <c r="Q755" s="993"/>
      <c r="R755" s="993"/>
      <c r="S755" s="514"/>
      <c r="T755" s="514"/>
      <c r="U755" s="514"/>
      <c r="V755" s="514"/>
      <c r="W755" s="514"/>
      <c r="X755" s="514"/>
      <c r="Y755" s="514"/>
    </row>
    <row r="756">
      <c r="A756" s="514"/>
      <c r="B756" s="514"/>
      <c r="C756" s="514"/>
      <c r="D756" s="514"/>
      <c r="E756" s="514"/>
      <c r="F756" s="514"/>
      <c r="G756" s="514"/>
      <c r="H756" s="514"/>
      <c r="I756" s="514"/>
      <c r="J756" s="514"/>
      <c r="K756" s="514"/>
      <c r="L756" s="514"/>
      <c r="M756" s="514"/>
      <c r="N756" s="992"/>
      <c r="O756" s="992"/>
      <c r="P756" s="993"/>
      <c r="Q756" s="993"/>
      <c r="R756" s="993"/>
      <c r="S756" s="514"/>
      <c r="T756" s="514"/>
      <c r="U756" s="514"/>
      <c r="V756" s="514"/>
      <c r="W756" s="514"/>
      <c r="X756" s="514"/>
      <c r="Y756" s="514"/>
    </row>
    <row r="757">
      <c r="A757" s="514"/>
      <c r="B757" s="514"/>
      <c r="C757" s="514"/>
      <c r="D757" s="514"/>
      <c r="E757" s="514"/>
      <c r="F757" s="514"/>
      <c r="G757" s="514"/>
      <c r="H757" s="514"/>
      <c r="I757" s="514"/>
      <c r="J757" s="514"/>
      <c r="K757" s="514"/>
      <c r="L757" s="514"/>
      <c r="M757" s="514"/>
      <c r="N757" s="992"/>
      <c r="O757" s="992"/>
      <c r="P757" s="993"/>
      <c r="Q757" s="993"/>
      <c r="R757" s="993"/>
      <c r="S757" s="514"/>
      <c r="T757" s="514"/>
      <c r="U757" s="514"/>
      <c r="V757" s="514"/>
      <c r="W757" s="514"/>
      <c r="X757" s="514"/>
      <c r="Y757" s="514"/>
    </row>
    <row r="758">
      <c r="A758" s="514"/>
      <c r="B758" s="514"/>
      <c r="C758" s="514"/>
      <c r="D758" s="514"/>
      <c r="E758" s="514"/>
      <c r="F758" s="514"/>
      <c r="G758" s="514"/>
      <c r="H758" s="514"/>
      <c r="I758" s="514"/>
      <c r="J758" s="514"/>
      <c r="K758" s="514"/>
      <c r="L758" s="514"/>
      <c r="M758" s="514"/>
      <c r="N758" s="992"/>
      <c r="O758" s="992"/>
      <c r="P758" s="993"/>
      <c r="Q758" s="993"/>
      <c r="R758" s="993"/>
      <c r="S758" s="514"/>
      <c r="T758" s="514"/>
      <c r="U758" s="514"/>
      <c r="V758" s="514"/>
      <c r="W758" s="514"/>
      <c r="X758" s="514"/>
      <c r="Y758" s="514"/>
    </row>
    <row r="759">
      <c r="A759" s="514"/>
      <c r="B759" s="514"/>
      <c r="C759" s="514"/>
      <c r="D759" s="514"/>
      <c r="E759" s="514"/>
      <c r="F759" s="514"/>
      <c r="G759" s="514"/>
      <c r="H759" s="514"/>
      <c r="I759" s="514"/>
      <c r="J759" s="514"/>
      <c r="K759" s="514"/>
      <c r="L759" s="514"/>
      <c r="M759" s="514"/>
      <c r="N759" s="992"/>
      <c r="O759" s="992"/>
      <c r="P759" s="993"/>
      <c r="Q759" s="993"/>
      <c r="R759" s="993"/>
      <c r="S759" s="514"/>
      <c r="T759" s="514"/>
      <c r="U759" s="514"/>
      <c r="V759" s="514"/>
      <c r="W759" s="514"/>
      <c r="X759" s="514"/>
      <c r="Y759" s="514"/>
    </row>
    <row r="760">
      <c r="A760" s="514"/>
      <c r="B760" s="514"/>
      <c r="C760" s="514"/>
      <c r="D760" s="514"/>
      <c r="E760" s="514"/>
      <c r="F760" s="514"/>
      <c r="G760" s="514"/>
      <c r="H760" s="514"/>
      <c r="I760" s="514"/>
      <c r="J760" s="514"/>
      <c r="K760" s="514"/>
      <c r="L760" s="514"/>
      <c r="M760" s="514"/>
      <c r="N760" s="992"/>
      <c r="O760" s="992"/>
      <c r="P760" s="993"/>
      <c r="Q760" s="993"/>
      <c r="R760" s="993"/>
      <c r="S760" s="514"/>
      <c r="T760" s="514"/>
      <c r="U760" s="514"/>
      <c r="V760" s="514"/>
      <c r="W760" s="514"/>
      <c r="X760" s="514"/>
      <c r="Y760" s="514"/>
    </row>
    <row r="761">
      <c r="A761" s="514"/>
      <c r="B761" s="514"/>
      <c r="C761" s="514"/>
      <c r="D761" s="514"/>
      <c r="E761" s="514"/>
      <c r="F761" s="514"/>
      <c r="G761" s="514"/>
      <c r="H761" s="514"/>
      <c r="I761" s="514"/>
      <c r="J761" s="514"/>
      <c r="K761" s="514"/>
      <c r="L761" s="514"/>
      <c r="M761" s="514"/>
      <c r="N761" s="992"/>
      <c r="O761" s="992"/>
      <c r="P761" s="993"/>
      <c r="Q761" s="993"/>
      <c r="R761" s="993"/>
      <c r="S761" s="514"/>
      <c r="T761" s="514"/>
      <c r="U761" s="514"/>
      <c r="V761" s="514"/>
      <c r="W761" s="514"/>
      <c r="X761" s="514"/>
      <c r="Y761" s="514"/>
    </row>
    <row r="762">
      <c r="A762" s="514"/>
      <c r="B762" s="514"/>
      <c r="C762" s="514"/>
      <c r="D762" s="514"/>
      <c r="E762" s="514"/>
      <c r="F762" s="514"/>
      <c r="G762" s="514"/>
      <c r="H762" s="514"/>
      <c r="I762" s="514"/>
      <c r="J762" s="514"/>
      <c r="K762" s="514"/>
      <c r="L762" s="514"/>
      <c r="M762" s="514"/>
      <c r="N762" s="992"/>
      <c r="O762" s="992"/>
      <c r="P762" s="993"/>
      <c r="Q762" s="993"/>
      <c r="R762" s="993"/>
      <c r="S762" s="514"/>
      <c r="T762" s="514"/>
      <c r="U762" s="514"/>
      <c r="V762" s="514"/>
      <c r="W762" s="514"/>
      <c r="X762" s="514"/>
      <c r="Y762" s="514"/>
    </row>
    <row r="763">
      <c r="A763" s="514"/>
      <c r="B763" s="514"/>
      <c r="C763" s="514"/>
      <c r="D763" s="514"/>
      <c r="E763" s="514"/>
      <c r="F763" s="514"/>
      <c r="G763" s="514"/>
      <c r="H763" s="514"/>
      <c r="I763" s="514"/>
      <c r="J763" s="514"/>
      <c r="K763" s="514"/>
      <c r="L763" s="514"/>
      <c r="M763" s="514"/>
      <c r="N763" s="992"/>
      <c r="O763" s="992"/>
      <c r="P763" s="993"/>
      <c r="Q763" s="993"/>
      <c r="R763" s="993"/>
      <c r="S763" s="514"/>
      <c r="T763" s="514"/>
      <c r="U763" s="514"/>
      <c r="V763" s="514"/>
      <c r="W763" s="514"/>
      <c r="X763" s="514"/>
      <c r="Y763" s="514"/>
    </row>
    <row r="764">
      <c r="A764" s="514"/>
      <c r="B764" s="514"/>
      <c r="C764" s="514"/>
      <c r="D764" s="514"/>
      <c r="E764" s="514"/>
      <c r="F764" s="514"/>
      <c r="G764" s="514"/>
      <c r="H764" s="514"/>
      <c r="I764" s="514"/>
      <c r="J764" s="514"/>
      <c r="K764" s="514"/>
      <c r="L764" s="514"/>
      <c r="M764" s="514"/>
      <c r="N764" s="992"/>
      <c r="O764" s="992"/>
      <c r="P764" s="993"/>
      <c r="Q764" s="993"/>
      <c r="R764" s="993"/>
      <c r="S764" s="514"/>
      <c r="T764" s="514"/>
      <c r="U764" s="514"/>
      <c r="V764" s="514"/>
      <c r="W764" s="514"/>
      <c r="X764" s="514"/>
      <c r="Y764" s="514"/>
    </row>
    <row r="765">
      <c r="A765" s="514"/>
      <c r="B765" s="514"/>
      <c r="C765" s="514"/>
      <c r="D765" s="514"/>
      <c r="E765" s="514"/>
      <c r="F765" s="514"/>
      <c r="G765" s="514"/>
      <c r="H765" s="514"/>
      <c r="I765" s="514"/>
      <c r="J765" s="514"/>
      <c r="K765" s="514"/>
      <c r="L765" s="514"/>
      <c r="M765" s="514"/>
      <c r="N765" s="992"/>
      <c r="O765" s="992"/>
      <c r="P765" s="993"/>
      <c r="Q765" s="993"/>
      <c r="R765" s="993"/>
      <c r="S765" s="514"/>
      <c r="T765" s="514"/>
      <c r="U765" s="514"/>
      <c r="V765" s="514"/>
      <c r="W765" s="514"/>
      <c r="X765" s="514"/>
      <c r="Y765" s="514"/>
    </row>
    <row r="766">
      <c r="A766" s="514"/>
      <c r="B766" s="514"/>
      <c r="C766" s="514"/>
      <c r="D766" s="514"/>
      <c r="E766" s="514"/>
      <c r="F766" s="514"/>
      <c r="G766" s="514"/>
      <c r="H766" s="514"/>
      <c r="I766" s="514"/>
      <c r="J766" s="514"/>
      <c r="K766" s="514"/>
      <c r="L766" s="514"/>
      <c r="M766" s="514"/>
      <c r="N766" s="992"/>
      <c r="O766" s="992"/>
      <c r="P766" s="993"/>
      <c r="Q766" s="993"/>
      <c r="R766" s="993"/>
      <c r="S766" s="514"/>
      <c r="T766" s="514"/>
      <c r="U766" s="514"/>
      <c r="V766" s="514"/>
      <c r="W766" s="514"/>
      <c r="X766" s="514"/>
      <c r="Y766" s="514"/>
    </row>
    <row r="767">
      <c r="A767" s="514"/>
      <c r="B767" s="514"/>
      <c r="C767" s="514"/>
      <c r="D767" s="514"/>
      <c r="E767" s="514"/>
      <c r="F767" s="514"/>
      <c r="G767" s="514"/>
      <c r="H767" s="514"/>
      <c r="I767" s="514"/>
      <c r="J767" s="514"/>
      <c r="K767" s="514"/>
      <c r="L767" s="514"/>
      <c r="M767" s="514"/>
      <c r="N767" s="992"/>
      <c r="O767" s="992"/>
      <c r="P767" s="993"/>
      <c r="Q767" s="993"/>
      <c r="R767" s="993"/>
      <c r="S767" s="514"/>
      <c r="T767" s="514"/>
      <c r="U767" s="514"/>
      <c r="V767" s="514"/>
      <c r="W767" s="514"/>
      <c r="X767" s="514"/>
      <c r="Y767" s="514"/>
    </row>
    <row r="768">
      <c r="A768" s="514"/>
      <c r="B768" s="514"/>
      <c r="C768" s="514"/>
      <c r="D768" s="514"/>
      <c r="E768" s="514"/>
      <c r="F768" s="514"/>
      <c r="G768" s="514"/>
      <c r="H768" s="514"/>
      <c r="I768" s="514"/>
      <c r="J768" s="514"/>
      <c r="K768" s="514"/>
      <c r="L768" s="514"/>
      <c r="M768" s="514"/>
      <c r="N768" s="992"/>
      <c r="O768" s="992"/>
      <c r="P768" s="993"/>
      <c r="Q768" s="993"/>
      <c r="R768" s="993"/>
      <c r="S768" s="514"/>
      <c r="T768" s="514"/>
      <c r="U768" s="514"/>
      <c r="V768" s="514"/>
      <c r="W768" s="514"/>
      <c r="X768" s="514"/>
      <c r="Y768" s="514"/>
    </row>
    <row r="769">
      <c r="A769" s="514"/>
      <c r="B769" s="514"/>
      <c r="C769" s="514"/>
      <c r="D769" s="514"/>
      <c r="E769" s="514"/>
      <c r="F769" s="514"/>
      <c r="G769" s="514"/>
      <c r="H769" s="514"/>
      <c r="I769" s="514"/>
      <c r="J769" s="514"/>
      <c r="K769" s="514"/>
      <c r="L769" s="514"/>
      <c r="M769" s="514"/>
      <c r="N769" s="992"/>
      <c r="O769" s="992"/>
      <c r="P769" s="993"/>
      <c r="Q769" s="993"/>
      <c r="R769" s="993"/>
      <c r="S769" s="514"/>
      <c r="T769" s="514"/>
      <c r="U769" s="514"/>
      <c r="V769" s="514"/>
      <c r="W769" s="514"/>
      <c r="X769" s="514"/>
      <c r="Y769" s="514"/>
    </row>
    <row r="770">
      <c r="A770" s="514"/>
      <c r="B770" s="514"/>
      <c r="C770" s="514"/>
      <c r="D770" s="514"/>
      <c r="E770" s="514"/>
      <c r="F770" s="514"/>
      <c r="G770" s="514"/>
      <c r="H770" s="514"/>
      <c r="I770" s="514"/>
      <c r="J770" s="514"/>
      <c r="K770" s="514"/>
      <c r="L770" s="514"/>
      <c r="M770" s="514"/>
      <c r="N770" s="992"/>
      <c r="O770" s="992"/>
      <c r="P770" s="993"/>
      <c r="Q770" s="993"/>
      <c r="R770" s="993"/>
      <c r="S770" s="514"/>
      <c r="T770" s="514"/>
      <c r="U770" s="514"/>
      <c r="V770" s="514"/>
      <c r="W770" s="514"/>
      <c r="X770" s="514"/>
      <c r="Y770" s="514"/>
    </row>
    <row r="771">
      <c r="A771" s="514"/>
      <c r="B771" s="514"/>
      <c r="C771" s="514"/>
      <c r="D771" s="514"/>
      <c r="E771" s="514"/>
      <c r="F771" s="514"/>
      <c r="G771" s="514"/>
      <c r="H771" s="514"/>
      <c r="I771" s="514"/>
      <c r="J771" s="514"/>
      <c r="K771" s="514"/>
      <c r="L771" s="514"/>
      <c r="M771" s="514"/>
      <c r="N771" s="992"/>
      <c r="O771" s="992"/>
      <c r="P771" s="993"/>
      <c r="Q771" s="993"/>
      <c r="R771" s="993"/>
      <c r="S771" s="514"/>
      <c r="T771" s="514"/>
      <c r="U771" s="514"/>
      <c r="V771" s="514"/>
      <c r="W771" s="514"/>
      <c r="X771" s="514"/>
      <c r="Y771" s="514"/>
    </row>
    <row r="772">
      <c r="A772" s="514"/>
      <c r="B772" s="514"/>
      <c r="C772" s="514"/>
      <c r="D772" s="514"/>
      <c r="E772" s="514"/>
      <c r="F772" s="514"/>
      <c r="G772" s="514"/>
      <c r="H772" s="514"/>
      <c r="I772" s="514"/>
      <c r="J772" s="514"/>
      <c r="K772" s="514"/>
      <c r="L772" s="514"/>
      <c r="M772" s="514"/>
      <c r="N772" s="992"/>
      <c r="O772" s="992"/>
      <c r="P772" s="993"/>
      <c r="Q772" s="993"/>
      <c r="R772" s="993"/>
      <c r="S772" s="514"/>
      <c r="T772" s="514"/>
      <c r="U772" s="514"/>
      <c r="V772" s="514"/>
      <c r="W772" s="514"/>
      <c r="X772" s="514"/>
      <c r="Y772" s="514"/>
    </row>
    <row r="773">
      <c r="A773" s="514"/>
      <c r="B773" s="514"/>
      <c r="C773" s="514"/>
      <c r="D773" s="514"/>
      <c r="E773" s="514"/>
      <c r="F773" s="514"/>
      <c r="G773" s="514"/>
      <c r="H773" s="514"/>
      <c r="I773" s="514"/>
      <c r="J773" s="514"/>
      <c r="K773" s="514"/>
      <c r="L773" s="514"/>
      <c r="M773" s="514"/>
      <c r="N773" s="992"/>
      <c r="O773" s="992"/>
      <c r="P773" s="993"/>
      <c r="Q773" s="993"/>
      <c r="R773" s="993"/>
      <c r="S773" s="514"/>
      <c r="T773" s="514"/>
      <c r="U773" s="514"/>
      <c r="V773" s="514"/>
      <c r="W773" s="514"/>
      <c r="X773" s="514"/>
      <c r="Y773" s="514"/>
    </row>
    <row r="774">
      <c r="A774" s="514"/>
      <c r="B774" s="514"/>
      <c r="C774" s="514"/>
      <c r="D774" s="514"/>
      <c r="E774" s="514"/>
      <c r="F774" s="514"/>
      <c r="G774" s="514"/>
      <c r="H774" s="514"/>
      <c r="I774" s="514"/>
      <c r="J774" s="514"/>
      <c r="K774" s="514"/>
      <c r="L774" s="514"/>
      <c r="M774" s="514"/>
      <c r="N774" s="992"/>
      <c r="O774" s="992"/>
      <c r="P774" s="993"/>
      <c r="Q774" s="993"/>
      <c r="R774" s="993"/>
      <c r="S774" s="514"/>
      <c r="T774" s="514"/>
      <c r="U774" s="514"/>
      <c r="V774" s="514"/>
      <c r="W774" s="514"/>
      <c r="X774" s="514"/>
      <c r="Y774" s="514"/>
    </row>
    <row r="775">
      <c r="A775" s="514"/>
      <c r="B775" s="514"/>
      <c r="C775" s="514"/>
      <c r="D775" s="514"/>
      <c r="E775" s="514"/>
      <c r="F775" s="514"/>
      <c r="G775" s="514"/>
      <c r="H775" s="514"/>
      <c r="I775" s="514"/>
      <c r="J775" s="514"/>
      <c r="K775" s="514"/>
      <c r="L775" s="514"/>
      <c r="M775" s="514"/>
      <c r="N775" s="992"/>
      <c r="O775" s="992"/>
      <c r="P775" s="993"/>
      <c r="Q775" s="993"/>
      <c r="R775" s="993"/>
      <c r="S775" s="514"/>
      <c r="T775" s="514"/>
      <c r="U775" s="514"/>
      <c r="V775" s="514"/>
      <c r="W775" s="514"/>
      <c r="X775" s="514"/>
      <c r="Y775" s="514"/>
    </row>
    <row r="776">
      <c r="A776" s="514"/>
      <c r="B776" s="514"/>
      <c r="C776" s="514"/>
      <c r="D776" s="514"/>
      <c r="E776" s="514"/>
      <c r="F776" s="514"/>
      <c r="G776" s="514"/>
      <c r="H776" s="514"/>
      <c r="I776" s="514"/>
      <c r="J776" s="514"/>
      <c r="K776" s="514"/>
      <c r="L776" s="514"/>
      <c r="M776" s="514"/>
      <c r="N776" s="992"/>
      <c r="O776" s="992"/>
      <c r="P776" s="993"/>
      <c r="Q776" s="993"/>
      <c r="R776" s="993"/>
      <c r="S776" s="514"/>
      <c r="T776" s="514"/>
      <c r="U776" s="514"/>
      <c r="V776" s="514"/>
      <c r="W776" s="514"/>
      <c r="X776" s="514"/>
      <c r="Y776" s="514"/>
    </row>
    <row r="777">
      <c r="A777" s="514"/>
      <c r="B777" s="514"/>
      <c r="C777" s="514"/>
      <c r="D777" s="514"/>
      <c r="E777" s="514"/>
      <c r="F777" s="514"/>
      <c r="G777" s="514"/>
      <c r="H777" s="514"/>
      <c r="I777" s="514"/>
      <c r="J777" s="514"/>
      <c r="K777" s="514"/>
      <c r="L777" s="514"/>
      <c r="M777" s="514"/>
      <c r="N777" s="992"/>
      <c r="O777" s="992"/>
      <c r="P777" s="993"/>
      <c r="Q777" s="993"/>
      <c r="R777" s="993"/>
      <c r="S777" s="514"/>
      <c r="T777" s="514"/>
      <c r="U777" s="514"/>
      <c r="V777" s="514"/>
      <c r="W777" s="514"/>
      <c r="X777" s="514"/>
      <c r="Y777" s="514"/>
    </row>
    <row r="778">
      <c r="A778" s="514"/>
      <c r="B778" s="514"/>
      <c r="C778" s="514"/>
      <c r="D778" s="514"/>
      <c r="E778" s="514"/>
      <c r="F778" s="514"/>
      <c r="G778" s="514"/>
      <c r="H778" s="514"/>
      <c r="I778" s="514"/>
      <c r="J778" s="514"/>
      <c r="K778" s="514"/>
      <c r="L778" s="514"/>
      <c r="M778" s="514"/>
      <c r="N778" s="992"/>
      <c r="O778" s="992"/>
      <c r="P778" s="993"/>
      <c r="Q778" s="993"/>
      <c r="R778" s="993"/>
      <c r="S778" s="514"/>
      <c r="T778" s="514"/>
      <c r="U778" s="514"/>
      <c r="V778" s="514"/>
      <c r="W778" s="514"/>
      <c r="X778" s="514"/>
      <c r="Y778" s="514"/>
    </row>
    <row r="779">
      <c r="A779" s="514"/>
      <c r="B779" s="514"/>
      <c r="C779" s="514"/>
      <c r="D779" s="514"/>
      <c r="E779" s="514"/>
      <c r="F779" s="514"/>
      <c r="G779" s="514"/>
      <c r="H779" s="514"/>
      <c r="I779" s="514"/>
      <c r="J779" s="514"/>
      <c r="K779" s="514"/>
      <c r="L779" s="514"/>
      <c r="M779" s="514"/>
      <c r="N779" s="992"/>
      <c r="O779" s="992"/>
      <c r="P779" s="993"/>
      <c r="Q779" s="993"/>
      <c r="R779" s="993"/>
      <c r="S779" s="514"/>
      <c r="T779" s="514"/>
      <c r="U779" s="514"/>
      <c r="V779" s="514"/>
      <c r="W779" s="514"/>
      <c r="X779" s="514"/>
      <c r="Y779" s="514"/>
    </row>
    <row r="780">
      <c r="A780" s="514"/>
      <c r="B780" s="514"/>
      <c r="C780" s="514"/>
      <c r="D780" s="514"/>
      <c r="E780" s="514"/>
      <c r="F780" s="514"/>
      <c r="G780" s="514"/>
      <c r="H780" s="514"/>
      <c r="I780" s="514"/>
      <c r="J780" s="514"/>
      <c r="K780" s="514"/>
      <c r="L780" s="514"/>
      <c r="M780" s="514"/>
      <c r="N780" s="992"/>
      <c r="O780" s="992"/>
      <c r="P780" s="993"/>
      <c r="Q780" s="993"/>
      <c r="R780" s="993"/>
      <c r="S780" s="514"/>
      <c r="T780" s="514"/>
      <c r="U780" s="514"/>
      <c r="V780" s="514"/>
      <c r="W780" s="514"/>
      <c r="X780" s="514"/>
      <c r="Y780" s="514"/>
    </row>
    <row r="781">
      <c r="A781" s="514"/>
      <c r="B781" s="514"/>
      <c r="C781" s="514"/>
      <c r="D781" s="514"/>
      <c r="E781" s="514"/>
      <c r="F781" s="514"/>
      <c r="G781" s="514"/>
      <c r="H781" s="514"/>
      <c r="I781" s="514"/>
      <c r="J781" s="514"/>
      <c r="K781" s="514"/>
      <c r="L781" s="514"/>
      <c r="M781" s="514"/>
      <c r="N781" s="992"/>
      <c r="O781" s="992"/>
      <c r="P781" s="993"/>
      <c r="Q781" s="993"/>
      <c r="R781" s="993"/>
      <c r="S781" s="514"/>
      <c r="T781" s="514"/>
      <c r="U781" s="514"/>
      <c r="V781" s="514"/>
      <c r="W781" s="514"/>
      <c r="X781" s="514"/>
      <c r="Y781" s="514"/>
    </row>
    <row r="782">
      <c r="A782" s="514"/>
      <c r="B782" s="514"/>
      <c r="C782" s="514"/>
      <c r="D782" s="514"/>
      <c r="E782" s="514"/>
      <c r="F782" s="514"/>
      <c r="G782" s="514"/>
      <c r="H782" s="514"/>
      <c r="I782" s="514"/>
      <c r="J782" s="514"/>
      <c r="K782" s="514"/>
      <c r="L782" s="514"/>
      <c r="M782" s="514"/>
      <c r="N782" s="992"/>
      <c r="O782" s="992"/>
      <c r="P782" s="993"/>
      <c r="Q782" s="993"/>
      <c r="R782" s="993"/>
      <c r="S782" s="514"/>
      <c r="T782" s="514"/>
      <c r="U782" s="514"/>
      <c r="V782" s="514"/>
      <c r="W782" s="514"/>
      <c r="X782" s="514"/>
      <c r="Y782" s="514"/>
    </row>
    <row r="783">
      <c r="A783" s="514"/>
      <c r="B783" s="514"/>
      <c r="C783" s="514"/>
      <c r="D783" s="514"/>
      <c r="E783" s="514"/>
      <c r="F783" s="514"/>
      <c r="G783" s="514"/>
      <c r="H783" s="514"/>
      <c r="I783" s="514"/>
      <c r="J783" s="514"/>
      <c r="K783" s="514"/>
      <c r="L783" s="514"/>
      <c r="M783" s="514"/>
      <c r="N783" s="992"/>
      <c r="O783" s="992"/>
      <c r="P783" s="993"/>
      <c r="Q783" s="993"/>
      <c r="R783" s="993"/>
      <c r="S783" s="514"/>
      <c r="T783" s="514"/>
      <c r="U783" s="514"/>
      <c r="V783" s="514"/>
      <c r="W783" s="514"/>
      <c r="X783" s="514"/>
      <c r="Y783" s="514"/>
    </row>
    <row r="784">
      <c r="A784" s="514"/>
      <c r="B784" s="514"/>
      <c r="C784" s="514"/>
      <c r="D784" s="514"/>
      <c r="E784" s="514"/>
      <c r="F784" s="514"/>
      <c r="G784" s="514"/>
      <c r="H784" s="514"/>
      <c r="I784" s="514"/>
      <c r="J784" s="514"/>
      <c r="K784" s="514"/>
      <c r="L784" s="514"/>
      <c r="M784" s="514"/>
      <c r="N784" s="992"/>
      <c r="O784" s="992"/>
      <c r="P784" s="993"/>
      <c r="Q784" s="993"/>
      <c r="R784" s="993"/>
      <c r="S784" s="514"/>
      <c r="T784" s="514"/>
      <c r="U784" s="514"/>
      <c r="V784" s="514"/>
      <c r="W784" s="514"/>
      <c r="X784" s="514"/>
      <c r="Y784" s="514"/>
    </row>
    <row r="785">
      <c r="A785" s="514"/>
      <c r="B785" s="514"/>
      <c r="C785" s="514"/>
      <c r="D785" s="514"/>
      <c r="E785" s="514"/>
      <c r="F785" s="514"/>
      <c r="G785" s="514"/>
      <c r="H785" s="514"/>
      <c r="I785" s="514"/>
      <c r="J785" s="514"/>
      <c r="K785" s="514"/>
      <c r="L785" s="514"/>
      <c r="M785" s="514"/>
      <c r="N785" s="992"/>
      <c r="O785" s="992"/>
      <c r="P785" s="993"/>
      <c r="Q785" s="993"/>
      <c r="R785" s="993"/>
      <c r="S785" s="514"/>
      <c r="T785" s="514"/>
      <c r="U785" s="514"/>
      <c r="V785" s="514"/>
      <c r="W785" s="514"/>
      <c r="X785" s="514"/>
      <c r="Y785" s="514"/>
    </row>
    <row r="786">
      <c r="A786" s="514"/>
      <c r="B786" s="514"/>
      <c r="C786" s="514"/>
      <c r="D786" s="514"/>
      <c r="E786" s="514"/>
      <c r="F786" s="514"/>
      <c r="G786" s="514"/>
      <c r="H786" s="514"/>
      <c r="I786" s="514"/>
      <c r="J786" s="514"/>
      <c r="K786" s="514"/>
      <c r="L786" s="514"/>
      <c r="M786" s="514"/>
      <c r="N786" s="992"/>
      <c r="O786" s="992"/>
      <c r="P786" s="993"/>
      <c r="Q786" s="993"/>
      <c r="R786" s="993"/>
      <c r="S786" s="514"/>
      <c r="T786" s="514"/>
      <c r="U786" s="514"/>
      <c r="V786" s="514"/>
      <c r="W786" s="514"/>
      <c r="X786" s="514"/>
      <c r="Y786" s="514"/>
    </row>
    <row r="787">
      <c r="A787" s="514"/>
      <c r="B787" s="514"/>
      <c r="C787" s="514"/>
      <c r="D787" s="514"/>
      <c r="E787" s="514"/>
      <c r="F787" s="514"/>
      <c r="G787" s="514"/>
      <c r="H787" s="514"/>
      <c r="I787" s="514"/>
      <c r="J787" s="514"/>
      <c r="K787" s="514"/>
      <c r="L787" s="514"/>
      <c r="M787" s="514"/>
      <c r="N787" s="992"/>
      <c r="O787" s="992"/>
      <c r="P787" s="993"/>
      <c r="Q787" s="993"/>
      <c r="R787" s="993"/>
      <c r="S787" s="514"/>
      <c r="T787" s="514"/>
      <c r="U787" s="514"/>
      <c r="V787" s="514"/>
      <c r="W787" s="514"/>
      <c r="X787" s="514"/>
      <c r="Y787" s="514"/>
    </row>
    <row r="788">
      <c r="A788" s="514"/>
      <c r="B788" s="514"/>
      <c r="C788" s="514"/>
      <c r="D788" s="514"/>
      <c r="E788" s="514"/>
      <c r="F788" s="514"/>
      <c r="G788" s="514"/>
      <c r="H788" s="514"/>
      <c r="I788" s="514"/>
      <c r="J788" s="514"/>
      <c r="K788" s="514"/>
      <c r="L788" s="514"/>
      <c r="M788" s="514"/>
      <c r="N788" s="992"/>
      <c r="O788" s="992"/>
      <c r="P788" s="993"/>
      <c r="Q788" s="993"/>
      <c r="R788" s="993"/>
      <c r="S788" s="514"/>
      <c r="T788" s="514"/>
      <c r="U788" s="514"/>
      <c r="V788" s="514"/>
      <c r="W788" s="514"/>
      <c r="X788" s="514"/>
      <c r="Y788" s="514"/>
    </row>
    <row r="789">
      <c r="A789" s="514"/>
      <c r="B789" s="514"/>
      <c r="C789" s="514"/>
      <c r="D789" s="514"/>
      <c r="E789" s="514"/>
      <c r="F789" s="514"/>
      <c r="G789" s="514"/>
      <c r="H789" s="514"/>
      <c r="I789" s="514"/>
      <c r="J789" s="514"/>
      <c r="K789" s="514"/>
      <c r="L789" s="514"/>
      <c r="M789" s="514"/>
      <c r="N789" s="992"/>
      <c r="O789" s="992"/>
      <c r="P789" s="993"/>
      <c r="Q789" s="993"/>
      <c r="R789" s="993"/>
      <c r="S789" s="514"/>
      <c r="T789" s="514"/>
      <c r="U789" s="514"/>
      <c r="V789" s="514"/>
      <c r="W789" s="514"/>
      <c r="X789" s="514"/>
      <c r="Y789" s="514"/>
    </row>
    <row r="790">
      <c r="A790" s="514"/>
      <c r="B790" s="514"/>
      <c r="C790" s="514"/>
      <c r="D790" s="514"/>
      <c r="E790" s="514"/>
      <c r="F790" s="514"/>
      <c r="G790" s="514"/>
      <c r="H790" s="514"/>
      <c r="I790" s="514"/>
      <c r="J790" s="514"/>
      <c r="K790" s="514"/>
      <c r="L790" s="514"/>
      <c r="M790" s="514"/>
      <c r="N790" s="992"/>
      <c r="O790" s="992"/>
      <c r="P790" s="993"/>
      <c r="Q790" s="993"/>
      <c r="R790" s="993"/>
      <c r="S790" s="514"/>
      <c r="T790" s="514"/>
      <c r="U790" s="514"/>
      <c r="V790" s="514"/>
      <c r="W790" s="514"/>
      <c r="X790" s="514"/>
      <c r="Y790" s="514"/>
    </row>
    <row r="791">
      <c r="A791" s="514"/>
      <c r="B791" s="514"/>
      <c r="C791" s="514"/>
      <c r="D791" s="514"/>
      <c r="E791" s="514"/>
      <c r="F791" s="514"/>
      <c r="G791" s="514"/>
      <c r="H791" s="514"/>
      <c r="I791" s="514"/>
      <c r="J791" s="514"/>
      <c r="K791" s="514"/>
      <c r="L791" s="514"/>
      <c r="M791" s="514"/>
      <c r="N791" s="992"/>
      <c r="O791" s="992"/>
      <c r="P791" s="993"/>
      <c r="Q791" s="993"/>
      <c r="R791" s="993"/>
      <c r="S791" s="514"/>
      <c r="T791" s="514"/>
      <c r="U791" s="514"/>
      <c r="V791" s="514"/>
      <c r="W791" s="514"/>
      <c r="X791" s="514"/>
      <c r="Y791" s="514"/>
    </row>
    <row r="792">
      <c r="A792" s="514"/>
      <c r="B792" s="514"/>
      <c r="C792" s="514"/>
      <c r="D792" s="514"/>
      <c r="E792" s="514"/>
      <c r="F792" s="514"/>
      <c r="G792" s="514"/>
      <c r="H792" s="514"/>
      <c r="I792" s="514"/>
      <c r="J792" s="514"/>
      <c r="K792" s="514"/>
      <c r="L792" s="514"/>
      <c r="M792" s="514"/>
      <c r="N792" s="992"/>
      <c r="O792" s="992"/>
      <c r="P792" s="993"/>
      <c r="Q792" s="993"/>
      <c r="R792" s="993"/>
      <c r="S792" s="514"/>
      <c r="T792" s="514"/>
      <c r="U792" s="514"/>
      <c r="V792" s="514"/>
      <c r="W792" s="514"/>
      <c r="X792" s="514"/>
      <c r="Y792" s="514"/>
    </row>
    <row r="793">
      <c r="A793" s="514"/>
      <c r="B793" s="514"/>
      <c r="C793" s="514"/>
      <c r="D793" s="514"/>
      <c r="E793" s="514"/>
      <c r="F793" s="514"/>
      <c r="G793" s="514"/>
      <c r="H793" s="514"/>
      <c r="I793" s="514"/>
      <c r="J793" s="514"/>
      <c r="K793" s="514"/>
      <c r="L793" s="514"/>
      <c r="M793" s="514"/>
      <c r="N793" s="992"/>
      <c r="O793" s="992"/>
      <c r="P793" s="993"/>
      <c r="Q793" s="993"/>
      <c r="R793" s="993"/>
      <c r="S793" s="514"/>
      <c r="T793" s="514"/>
      <c r="U793" s="514"/>
      <c r="V793" s="514"/>
      <c r="W793" s="514"/>
      <c r="X793" s="514"/>
      <c r="Y793" s="514"/>
    </row>
    <row r="794">
      <c r="A794" s="514"/>
      <c r="B794" s="514"/>
      <c r="C794" s="514"/>
      <c r="D794" s="514"/>
      <c r="E794" s="514"/>
      <c r="F794" s="514"/>
      <c r="G794" s="514"/>
      <c r="H794" s="514"/>
      <c r="I794" s="514"/>
      <c r="J794" s="514"/>
      <c r="K794" s="514"/>
      <c r="L794" s="514"/>
      <c r="M794" s="514"/>
      <c r="N794" s="992"/>
      <c r="O794" s="992"/>
      <c r="P794" s="993"/>
      <c r="Q794" s="993"/>
      <c r="R794" s="993"/>
      <c r="S794" s="514"/>
      <c r="T794" s="514"/>
      <c r="U794" s="514"/>
      <c r="V794" s="514"/>
      <c r="W794" s="514"/>
      <c r="X794" s="514"/>
      <c r="Y794" s="514"/>
    </row>
    <row r="795">
      <c r="A795" s="514"/>
      <c r="B795" s="514"/>
      <c r="C795" s="514"/>
      <c r="D795" s="514"/>
      <c r="E795" s="514"/>
      <c r="F795" s="514"/>
      <c r="G795" s="514"/>
      <c r="H795" s="514"/>
      <c r="I795" s="514"/>
      <c r="J795" s="514"/>
      <c r="K795" s="514"/>
      <c r="L795" s="514"/>
      <c r="M795" s="514"/>
      <c r="N795" s="992"/>
      <c r="O795" s="992"/>
      <c r="P795" s="993"/>
      <c r="Q795" s="993"/>
      <c r="R795" s="993"/>
      <c r="S795" s="514"/>
      <c r="T795" s="514"/>
      <c r="U795" s="514"/>
      <c r="V795" s="514"/>
      <c r="W795" s="514"/>
      <c r="X795" s="514"/>
      <c r="Y795" s="514"/>
    </row>
    <row r="796">
      <c r="A796" s="514"/>
      <c r="B796" s="514"/>
      <c r="C796" s="514"/>
      <c r="D796" s="514"/>
      <c r="E796" s="514"/>
      <c r="F796" s="514"/>
      <c r="G796" s="514"/>
      <c r="H796" s="514"/>
      <c r="I796" s="514"/>
      <c r="J796" s="514"/>
      <c r="K796" s="514"/>
      <c r="L796" s="514"/>
      <c r="M796" s="514"/>
      <c r="N796" s="992"/>
      <c r="O796" s="992"/>
      <c r="P796" s="993"/>
      <c r="Q796" s="993"/>
      <c r="R796" s="993"/>
      <c r="S796" s="514"/>
      <c r="T796" s="514"/>
      <c r="U796" s="514"/>
      <c r="V796" s="514"/>
      <c r="W796" s="514"/>
      <c r="X796" s="514"/>
      <c r="Y796" s="514"/>
    </row>
    <row r="797">
      <c r="A797" s="514"/>
      <c r="B797" s="514"/>
      <c r="C797" s="514"/>
      <c r="D797" s="514"/>
      <c r="E797" s="514"/>
      <c r="F797" s="514"/>
      <c r="G797" s="514"/>
      <c r="H797" s="514"/>
      <c r="I797" s="514"/>
      <c r="J797" s="514"/>
      <c r="K797" s="514"/>
      <c r="L797" s="514"/>
      <c r="M797" s="514"/>
      <c r="N797" s="992"/>
      <c r="O797" s="992"/>
      <c r="P797" s="993"/>
      <c r="Q797" s="993"/>
      <c r="R797" s="993"/>
      <c r="S797" s="514"/>
      <c r="T797" s="514"/>
      <c r="U797" s="514"/>
      <c r="V797" s="514"/>
      <c r="W797" s="514"/>
      <c r="X797" s="514"/>
      <c r="Y797" s="514"/>
    </row>
    <row r="798">
      <c r="A798" s="514"/>
      <c r="B798" s="514"/>
      <c r="C798" s="514"/>
      <c r="D798" s="514"/>
      <c r="E798" s="514"/>
      <c r="F798" s="514"/>
      <c r="G798" s="514"/>
      <c r="H798" s="514"/>
      <c r="I798" s="514"/>
      <c r="J798" s="514"/>
      <c r="K798" s="514"/>
      <c r="L798" s="514"/>
      <c r="M798" s="514"/>
      <c r="N798" s="992"/>
      <c r="O798" s="992"/>
      <c r="P798" s="993"/>
      <c r="Q798" s="993"/>
      <c r="R798" s="993"/>
      <c r="S798" s="514"/>
      <c r="T798" s="514"/>
      <c r="U798" s="514"/>
      <c r="V798" s="514"/>
      <c r="W798" s="514"/>
      <c r="X798" s="514"/>
      <c r="Y798" s="514"/>
    </row>
    <row r="799">
      <c r="A799" s="514"/>
      <c r="B799" s="514"/>
      <c r="C799" s="514"/>
      <c r="D799" s="514"/>
      <c r="E799" s="514"/>
      <c r="F799" s="514"/>
      <c r="G799" s="514"/>
      <c r="H799" s="514"/>
      <c r="I799" s="514"/>
      <c r="J799" s="514"/>
      <c r="K799" s="514"/>
      <c r="L799" s="514"/>
      <c r="M799" s="514"/>
      <c r="N799" s="992"/>
      <c r="O799" s="992"/>
      <c r="P799" s="993"/>
      <c r="Q799" s="993"/>
      <c r="R799" s="993"/>
      <c r="S799" s="514"/>
      <c r="T799" s="514"/>
      <c r="U799" s="514"/>
      <c r="V799" s="514"/>
      <c r="W799" s="514"/>
      <c r="X799" s="514"/>
      <c r="Y799" s="514"/>
    </row>
    <row r="800">
      <c r="A800" s="514"/>
      <c r="B800" s="514"/>
      <c r="C800" s="514"/>
      <c r="D800" s="514"/>
      <c r="E800" s="514"/>
      <c r="F800" s="514"/>
      <c r="G800" s="514"/>
      <c r="H800" s="514"/>
      <c r="I800" s="514"/>
      <c r="J800" s="514"/>
      <c r="K800" s="514"/>
      <c r="L800" s="514"/>
      <c r="M800" s="514"/>
      <c r="N800" s="992"/>
      <c r="O800" s="992"/>
      <c r="P800" s="993"/>
      <c r="Q800" s="993"/>
      <c r="R800" s="993"/>
      <c r="S800" s="514"/>
      <c r="T800" s="514"/>
      <c r="U800" s="514"/>
      <c r="V800" s="514"/>
      <c r="W800" s="514"/>
      <c r="X800" s="514"/>
      <c r="Y800" s="514"/>
    </row>
    <row r="801">
      <c r="A801" s="514"/>
      <c r="B801" s="514"/>
      <c r="C801" s="514"/>
      <c r="D801" s="514"/>
      <c r="E801" s="514"/>
      <c r="F801" s="514"/>
      <c r="G801" s="514"/>
      <c r="H801" s="514"/>
      <c r="I801" s="514"/>
      <c r="J801" s="514"/>
      <c r="K801" s="514"/>
      <c r="L801" s="514"/>
      <c r="M801" s="514"/>
      <c r="N801" s="992"/>
      <c r="O801" s="992"/>
      <c r="P801" s="993"/>
      <c r="Q801" s="993"/>
      <c r="R801" s="993"/>
      <c r="S801" s="514"/>
      <c r="T801" s="514"/>
      <c r="U801" s="514"/>
      <c r="V801" s="514"/>
      <c r="W801" s="514"/>
      <c r="X801" s="514"/>
      <c r="Y801" s="514"/>
    </row>
    <row r="802">
      <c r="A802" s="514"/>
      <c r="B802" s="514"/>
      <c r="C802" s="514"/>
      <c r="D802" s="514"/>
      <c r="E802" s="514"/>
      <c r="F802" s="514"/>
      <c r="G802" s="514"/>
      <c r="H802" s="514"/>
      <c r="I802" s="514"/>
      <c r="J802" s="514"/>
      <c r="K802" s="514"/>
      <c r="L802" s="514"/>
      <c r="M802" s="514"/>
      <c r="N802" s="992"/>
      <c r="O802" s="992"/>
      <c r="P802" s="993"/>
      <c r="Q802" s="993"/>
      <c r="R802" s="993"/>
      <c r="S802" s="514"/>
      <c r="T802" s="514"/>
      <c r="U802" s="514"/>
      <c r="V802" s="514"/>
      <c r="W802" s="514"/>
      <c r="X802" s="514"/>
      <c r="Y802" s="514"/>
    </row>
    <row r="803">
      <c r="A803" s="514"/>
      <c r="B803" s="514"/>
      <c r="C803" s="514"/>
      <c r="D803" s="514"/>
      <c r="E803" s="514"/>
      <c r="F803" s="514"/>
      <c r="G803" s="514"/>
      <c r="H803" s="514"/>
      <c r="I803" s="514"/>
      <c r="J803" s="514"/>
      <c r="K803" s="514"/>
      <c r="L803" s="514"/>
      <c r="M803" s="514"/>
      <c r="N803" s="992"/>
      <c r="O803" s="992"/>
      <c r="P803" s="993"/>
      <c r="Q803" s="993"/>
      <c r="R803" s="993"/>
      <c r="S803" s="514"/>
      <c r="T803" s="514"/>
      <c r="U803" s="514"/>
      <c r="V803" s="514"/>
      <c r="W803" s="514"/>
      <c r="X803" s="514"/>
      <c r="Y803" s="514"/>
    </row>
    <row r="804">
      <c r="A804" s="514"/>
      <c r="B804" s="514"/>
      <c r="C804" s="514"/>
      <c r="D804" s="514"/>
      <c r="E804" s="514"/>
      <c r="F804" s="514"/>
      <c r="G804" s="514"/>
      <c r="H804" s="514"/>
      <c r="I804" s="514"/>
      <c r="J804" s="514"/>
      <c r="K804" s="514"/>
      <c r="L804" s="514"/>
      <c r="M804" s="514"/>
      <c r="N804" s="992"/>
      <c r="O804" s="992"/>
      <c r="P804" s="993"/>
      <c r="Q804" s="993"/>
      <c r="R804" s="993"/>
      <c r="S804" s="514"/>
      <c r="T804" s="514"/>
      <c r="U804" s="514"/>
      <c r="V804" s="514"/>
      <c r="W804" s="514"/>
      <c r="X804" s="514"/>
      <c r="Y804" s="514"/>
    </row>
    <row r="805">
      <c r="A805" s="514"/>
      <c r="B805" s="514"/>
      <c r="C805" s="514"/>
      <c r="D805" s="514"/>
      <c r="E805" s="514"/>
      <c r="F805" s="514"/>
      <c r="G805" s="514"/>
      <c r="H805" s="514"/>
      <c r="I805" s="514"/>
      <c r="J805" s="514"/>
      <c r="K805" s="514"/>
      <c r="L805" s="514"/>
      <c r="M805" s="514"/>
      <c r="N805" s="992"/>
      <c r="O805" s="992"/>
      <c r="P805" s="993"/>
      <c r="Q805" s="993"/>
      <c r="R805" s="993"/>
      <c r="S805" s="514"/>
      <c r="T805" s="514"/>
      <c r="U805" s="514"/>
      <c r="V805" s="514"/>
      <c r="W805" s="514"/>
      <c r="X805" s="514"/>
      <c r="Y805" s="514"/>
    </row>
    <row r="806">
      <c r="A806" s="514"/>
      <c r="B806" s="514"/>
      <c r="C806" s="514"/>
      <c r="D806" s="514"/>
      <c r="E806" s="514"/>
      <c r="F806" s="514"/>
      <c r="G806" s="514"/>
      <c r="H806" s="514"/>
      <c r="I806" s="514"/>
      <c r="J806" s="514"/>
      <c r="K806" s="514"/>
      <c r="L806" s="514"/>
      <c r="M806" s="514"/>
      <c r="N806" s="992"/>
      <c r="O806" s="992"/>
      <c r="P806" s="993"/>
      <c r="Q806" s="993"/>
      <c r="R806" s="993"/>
      <c r="S806" s="514"/>
      <c r="T806" s="514"/>
      <c r="U806" s="514"/>
      <c r="V806" s="514"/>
      <c r="W806" s="514"/>
      <c r="X806" s="514"/>
      <c r="Y806" s="514"/>
    </row>
    <row r="807">
      <c r="A807" s="514"/>
      <c r="B807" s="514"/>
      <c r="C807" s="514"/>
      <c r="D807" s="514"/>
      <c r="E807" s="514"/>
      <c r="F807" s="514"/>
      <c r="G807" s="514"/>
      <c r="H807" s="514"/>
      <c r="I807" s="514"/>
      <c r="J807" s="514"/>
      <c r="K807" s="514"/>
      <c r="L807" s="514"/>
      <c r="M807" s="514"/>
      <c r="N807" s="992"/>
      <c r="O807" s="992"/>
      <c r="P807" s="993"/>
      <c r="Q807" s="993"/>
      <c r="R807" s="993"/>
      <c r="S807" s="514"/>
      <c r="T807" s="514"/>
      <c r="U807" s="514"/>
      <c r="V807" s="514"/>
      <c r="W807" s="514"/>
      <c r="X807" s="514"/>
      <c r="Y807" s="514"/>
    </row>
    <row r="808">
      <c r="A808" s="514"/>
      <c r="B808" s="514"/>
      <c r="C808" s="514"/>
      <c r="D808" s="514"/>
      <c r="E808" s="514"/>
      <c r="F808" s="514"/>
      <c r="G808" s="514"/>
      <c r="H808" s="514"/>
      <c r="I808" s="514"/>
      <c r="J808" s="514"/>
      <c r="K808" s="514"/>
      <c r="L808" s="514"/>
      <c r="M808" s="514"/>
      <c r="N808" s="992"/>
      <c r="O808" s="992"/>
      <c r="P808" s="993"/>
      <c r="Q808" s="993"/>
      <c r="R808" s="993"/>
      <c r="S808" s="514"/>
      <c r="T808" s="514"/>
      <c r="U808" s="514"/>
      <c r="V808" s="514"/>
      <c r="W808" s="514"/>
      <c r="X808" s="514"/>
      <c r="Y808" s="514"/>
    </row>
    <row r="809">
      <c r="A809" s="514"/>
      <c r="B809" s="514"/>
      <c r="C809" s="514"/>
      <c r="D809" s="514"/>
      <c r="E809" s="514"/>
      <c r="F809" s="514"/>
      <c r="G809" s="514"/>
      <c r="H809" s="514"/>
      <c r="I809" s="514"/>
      <c r="J809" s="514"/>
      <c r="K809" s="514"/>
      <c r="L809" s="514"/>
      <c r="M809" s="514"/>
      <c r="N809" s="992"/>
      <c r="O809" s="992"/>
      <c r="P809" s="993"/>
      <c r="Q809" s="993"/>
      <c r="R809" s="993"/>
      <c r="S809" s="514"/>
      <c r="T809" s="514"/>
      <c r="U809" s="514"/>
      <c r="V809" s="514"/>
      <c r="W809" s="514"/>
      <c r="X809" s="514"/>
      <c r="Y809" s="514"/>
    </row>
    <row r="810">
      <c r="A810" s="514"/>
      <c r="B810" s="514"/>
      <c r="C810" s="514"/>
      <c r="D810" s="514"/>
      <c r="E810" s="514"/>
      <c r="F810" s="514"/>
      <c r="G810" s="514"/>
      <c r="H810" s="514"/>
      <c r="I810" s="514"/>
      <c r="J810" s="514"/>
      <c r="K810" s="514"/>
      <c r="L810" s="514"/>
      <c r="M810" s="514"/>
      <c r="N810" s="992"/>
      <c r="O810" s="992"/>
      <c r="P810" s="993"/>
      <c r="Q810" s="993"/>
      <c r="R810" s="993"/>
      <c r="S810" s="514"/>
      <c r="T810" s="514"/>
      <c r="U810" s="514"/>
      <c r="V810" s="514"/>
      <c r="W810" s="514"/>
      <c r="X810" s="514"/>
      <c r="Y810" s="514"/>
    </row>
    <row r="811">
      <c r="A811" s="514"/>
      <c r="B811" s="514"/>
      <c r="C811" s="514"/>
      <c r="D811" s="514"/>
      <c r="E811" s="514"/>
      <c r="F811" s="514"/>
      <c r="G811" s="514"/>
      <c r="H811" s="514"/>
      <c r="I811" s="514"/>
      <c r="J811" s="514"/>
      <c r="K811" s="514"/>
      <c r="L811" s="514"/>
      <c r="M811" s="514"/>
      <c r="N811" s="992"/>
      <c r="O811" s="992"/>
      <c r="P811" s="993"/>
      <c r="Q811" s="993"/>
      <c r="R811" s="993"/>
      <c r="S811" s="514"/>
      <c r="T811" s="514"/>
      <c r="U811" s="514"/>
      <c r="V811" s="514"/>
      <c r="W811" s="514"/>
      <c r="X811" s="514"/>
      <c r="Y811" s="514"/>
    </row>
    <row r="812">
      <c r="A812" s="514"/>
      <c r="B812" s="514"/>
      <c r="C812" s="514"/>
      <c r="D812" s="514"/>
      <c r="E812" s="514"/>
      <c r="F812" s="514"/>
      <c r="G812" s="514"/>
      <c r="H812" s="514"/>
      <c r="I812" s="514"/>
      <c r="J812" s="514"/>
      <c r="K812" s="514"/>
      <c r="L812" s="514"/>
      <c r="M812" s="514"/>
      <c r="N812" s="992"/>
      <c r="O812" s="992"/>
      <c r="P812" s="993"/>
      <c r="Q812" s="993"/>
      <c r="R812" s="993"/>
      <c r="S812" s="514"/>
      <c r="T812" s="514"/>
      <c r="U812" s="514"/>
      <c r="V812" s="514"/>
      <c r="W812" s="514"/>
      <c r="X812" s="514"/>
      <c r="Y812" s="514"/>
    </row>
    <row r="813">
      <c r="A813" s="514"/>
      <c r="B813" s="514"/>
      <c r="C813" s="514"/>
      <c r="D813" s="514"/>
      <c r="E813" s="514"/>
      <c r="F813" s="514"/>
      <c r="G813" s="514"/>
      <c r="H813" s="514"/>
      <c r="I813" s="514"/>
      <c r="J813" s="514"/>
      <c r="K813" s="514"/>
      <c r="L813" s="514"/>
      <c r="M813" s="514"/>
      <c r="N813" s="992"/>
      <c r="O813" s="992"/>
      <c r="P813" s="993"/>
      <c r="Q813" s="993"/>
      <c r="R813" s="993"/>
      <c r="S813" s="514"/>
      <c r="T813" s="514"/>
      <c r="U813" s="514"/>
      <c r="V813" s="514"/>
      <c r="W813" s="514"/>
      <c r="X813" s="514"/>
      <c r="Y813" s="514"/>
    </row>
    <row r="814">
      <c r="A814" s="514"/>
      <c r="B814" s="514"/>
      <c r="C814" s="514"/>
      <c r="D814" s="514"/>
      <c r="E814" s="514"/>
      <c r="F814" s="514"/>
      <c r="G814" s="514"/>
      <c r="H814" s="514"/>
      <c r="I814" s="514"/>
      <c r="J814" s="514"/>
      <c r="K814" s="514"/>
      <c r="L814" s="514"/>
      <c r="M814" s="514"/>
      <c r="N814" s="992"/>
      <c r="O814" s="992"/>
      <c r="P814" s="993"/>
      <c r="Q814" s="993"/>
      <c r="R814" s="993"/>
      <c r="S814" s="514"/>
      <c r="T814" s="514"/>
      <c r="U814" s="514"/>
      <c r="V814" s="514"/>
      <c r="W814" s="514"/>
      <c r="X814" s="514"/>
      <c r="Y814" s="514"/>
    </row>
    <row r="815">
      <c r="A815" s="514"/>
      <c r="B815" s="514"/>
      <c r="C815" s="514"/>
      <c r="D815" s="514"/>
      <c r="E815" s="514"/>
      <c r="F815" s="514"/>
      <c r="G815" s="514"/>
      <c r="H815" s="514"/>
      <c r="I815" s="514"/>
      <c r="J815" s="514"/>
      <c r="K815" s="514"/>
      <c r="L815" s="514"/>
      <c r="M815" s="514"/>
      <c r="N815" s="992"/>
      <c r="O815" s="992"/>
      <c r="P815" s="993"/>
      <c r="Q815" s="993"/>
      <c r="R815" s="993"/>
      <c r="S815" s="514"/>
      <c r="T815" s="514"/>
      <c r="U815" s="514"/>
      <c r="V815" s="514"/>
      <c r="W815" s="514"/>
      <c r="X815" s="514"/>
      <c r="Y815" s="514"/>
    </row>
    <row r="816">
      <c r="A816" s="514"/>
      <c r="B816" s="514"/>
      <c r="C816" s="514"/>
      <c r="D816" s="514"/>
      <c r="E816" s="514"/>
      <c r="F816" s="514"/>
      <c r="G816" s="514"/>
      <c r="H816" s="514"/>
      <c r="I816" s="514"/>
      <c r="J816" s="514"/>
      <c r="K816" s="514"/>
      <c r="L816" s="514"/>
      <c r="M816" s="514"/>
      <c r="N816" s="992"/>
      <c r="O816" s="992"/>
      <c r="P816" s="993"/>
      <c r="Q816" s="993"/>
      <c r="R816" s="993"/>
      <c r="S816" s="514"/>
      <c r="T816" s="514"/>
      <c r="U816" s="514"/>
      <c r="V816" s="514"/>
      <c r="W816" s="514"/>
      <c r="X816" s="514"/>
      <c r="Y816" s="514"/>
    </row>
    <row r="817">
      <c r="A817" s="514"/>
      <c r="B817" s="514"/>
      <c r="C817" s="514"/>
      <c r="D817" s="514"/>
      <c r="E817" s="514"/>
      <c r="F817" s="514"/>
      <c r="G817" s="514"/>
      <c r="H817" s="514"/>
      <c r="I817" s="514"/>
      <c r="J817" s="514"/>
      <c r="K817" s="514"/>
      <c r="L817" s="514"/>
      <c r="M817" s="514"/>
      <c r="N817" s="992"/>
      <c r="O817" s="992"/>
      <c r="P817" s="993"/>
      <c r="Q817" s="993"/>
      <c r="R817" s="993"/>
      <c r="S817" s="514"/>
      <c r="T817" s="514"/>
      <c r="U817" s="514"/>
      <c r="V817" s="514"/>
      <c r="W817" s="514"/>
      <c r="X817" s="514"/>
      <c r="Y817" s="514"/>
    </row>
    <row r="818">
      <c r="A818" s="514"/>
      <c r="B818" s="514"/>
      <c r="C818" s="514"/>
      <c r="D818" s="514"/>
      <c r="E818" s="514"/>
      <c r="F818" s="514"/>
      <c r="G818" s="514"/>
      <c r="H818" s="514"/>
      <c r="I818" s="514"/>
      <c r="J818" s="514"/>
      <c r="K818" s="514"/>
      <c r="L818" s="514"/>
      <c r="M818" s="514"/>
      <c r="N818" s="992"/>
      <c r="O818" s="992"/>
      <c r="P818" s="993"/>
      <c r="Q818" s="993"/>
      <c r="R818" s="993"/>
      <c r="S818" s="514"/>
      <c r="T818" s="514"/>
      <c r="U818" s="514"/>
      <c r="V818" s="514"/>
      <c r="W818" s="514"/>
      <c r="X818" s="514"/>
      <c r="Y818" s="514"/>
    </row>
    <row r="819">
      <c r="A819" s="514"/>
      <c r="B819" s="514"/>
      <c r="C819" s="514"/>
      <c r="D819" s="514"/>
      <c r="E819" s="514"/>
      <c r="F819" s="514"/>
      <c r="G819" s="514"/>
      <c r="H819" s="514"/>
      <c r="I819" s="514"/>
      <c r="J819" s="514"/>
      <c r="K819" s="514"/>
      <c r="L819" s="514"/>
      <c r="M819" s="514"/>
      <c r="N819" s="992"/>
      <c r="O819" s="992"/>
      <c r="P819" s="993"/>
      <c r="Q819" s="993"/>
      <c r="R819" s="993"/>
      <c r="S819" s="514"/>
      <c r="T819" s="514"/>
      <c r="U819" s="514"/>
      <c r="V819" s="514"/>
      <c r="W819" s="514"/>
      <c r="X819" s="514"/>
      <c r="Y819" s="514"/>
    </row>
    <row r="820">
      <c r="A820" s="514"/>
      <c r="B820" s="514"/>
      <c r="C820" s="514"/>
      <c r="D820" s="514"/>
      <c r="E820" s="514"/>
      <c r="F820" s="514"/>
      <c r="G820" s="514"/>
      <c r="H820" s="514"/>
      <c r="I820" s="514"/>
      <c r="J820" s="514"/>
      <c r="K820" s="514"/>
      <c r="L820" s="514"/>
      <c r="M820" s="514"/>
      <c r="N820" s="992"/>
      <c r="O820" s="992"/>
      <c r="P820" s="993"/>
      <c r="Q820" s="993"/>
      <c r="R820" s="993"/>
      <c r="S820" s="514"/>
      <c r="T820" s="514"/>
      <c r="U820" s="514"/>
      <c r="V820" s="514"/>
      <c r="W820" s="514"/>
      <c r="X820" s="514"/>
      <c r="Y820" s="514"/>
    </row>
    <row r="821">
      <c r="A821" s="514"/>
      <c r="B821" s="514"/>
      <c r="C821" s="514"/>
      <c r="D821" s="514"/>
      <c r="E821" s="514"/>
      <c r="F821" s="514"/>
      <c r="G821" s="514"/>
      <c r="H821" s="514"/>
      <c r="I821" s="514"/>
      <c r="J821" s="514"/>
      <c r="K821" s="514"/>
      <c r="L821" s="514"/>
      <c r="M821" s="514"/>
      <c r="N821" s="992"/>
      <c r="O821" s="992"/>
      <c r="P821" s="993"/>
      <c r="Q821" s="993"/>
      <c r="R821" s="993"/>
      <c r="S821" s="514"/>
      <c r="T821" s="514"/>
      <c r="U821" s="514"/>
      <c r="V821" s="514"/>
      <c r="W821" s="514"/>
      <c r="X821" s="514"/>
      <c r="Y821" s="514"/>
    </row>
    <row r="822">
      <c r="A822" s="514"/>
      <c r="B822" s="514"/>
      <c r="C822" s="514"/>
      <c r="D822" s="514"/>
      <c r="E822" s="514"/>
      <c r="F822" s="514"/>
      <c r="G822" s="514"/>
      <c r="H822" s="514"/>
      <c r="I822" s="514"/>
      <c r="J822" s="514"/>
      <c r="K822" s="514"/>
      <c r="L822" s="514"/>
      <c r="M822" s="514"/>
      <c r="N822" s="992"/>
      <c r="O822" s="992"/>
      <c r="P822" s="993"/>
      <c r="Q822" s="993"/>
      <c r="R822" s="993"/>
      <c r="S822" s="514"/>
      <c r="T822" s="514"/>
      <c r="U822" s="514"/>
      <c r="V822" s="514"/>
      <c r="W822" s="514"/>
      <c r="X822" s="514"/>
      <c r="Y822" s="514"/>
    </row>
    <row r="823">
      <c r="A823" s="514"/>
      <c r="B823" s="514"/>
      <c r="C823" s="514"/>
      <c r="D823" s="514"/>
      <c r="E823" s="514"/>
      <c r="F823" s="514"/>
      <c r="G823" s="514"/>
      <c r="H823" s="514"/>
      <c r="I823" s="514"/>
      <c r="J823" s="514"/>
      <c r="K823" s="514"/>
      <c r="L823" s="514"/>
      <c r="M823" s="514"/>
      <c r="N823" s="992"/>
      <c r="O823" s="992"/>
      <c r="P823" s="993"/>
      <c r="Q823" s="993"/>
      <c r="R823" s="993"/>
      <c r="S823" s="514"/>
      <c r="T823" s="514"/>
      <c r="U823" s="514"/>
      <c r="V823" s="514"/>
      <c r="W823" s="514"/>
      <c r="X823" s="514"/>
      <c r="Y823" s="514"/>
    </row>
    <row r="824">
      <c r="A824" s="514"/>
      <c r="B824" s="514"/>
      <c r="C824" s="514"/>
      <c r="D824" s="514"/>
      <c r="E824" s="514"/>
      <c r="F824" s="514"/>
      <c r="G824" s="514"/>
      <c r="H824" s="514"/>
      <c r="I824" s="514"/>
      <c r="J824" s="514"/>
      <c r="K824" s="514"/>
      <c r="L824" s="514"/>
      <c r="M824" s="514"/>
      <c r="N824" s="992"/>
      <c r="O824" s="992"/>
      <c r="P824" s="993"/>
      <c r="Q824" s="993"/>
      <c r="R824" s="993"/>
      <c r="S824" s="514"/>
      <c r="T824" s="514"/>
      <c r="U824" s="514"/>
      <c r="V824" s="514"/>
      <c r="W824" s="514"/>
      <c r="X824" s="514"/>
      <c r="Y824" s="514"/>
    </row>
    <row r="825">
      <c r="A825" s="514"/>
      <c r="B825" s="514"/>
      <c r="C825" s="514"/>
      <c r="D825" s="514"/>
      <c r="E825" s="514"/>
      <c r="F825" s="514"/>
      <c r="G825" s="514"/>
      <c r="H825" s="514"/>
      <c r="I825" s="514"/>
      <c r="J825" s="514"/>
      <c r="K825" s="514"/>
      <c r="L825" s="514"/>
      <c r="M825" s="514"/>
      <c r="N825" s="992"/>
      <c r="O825" s="992"/>
      <c r="P825" s="993"/>
      <c r="Q825" s="993"/>
      <c r="R825" s="993"/>
      <c r="S825" s="514"/>
      <c r="T825" s="514"/>
      <c r="U825" s="514"/>
      <c r="V825" s="514"/>
      <c r="W825" s="514"/>
      <c r="X825" s="514"/>
      <c r="Y825" s="514"/>
    </row>
    <row r="826">
      <c r="A826" s="514"/>
      <c r="B826" s="514"/>
      <c r="C826" s="514"/>
      <c r="D826" s="514"/>
      <c r="E826" s="514"/>
      <c r="F826" s="514"/>
      <c r="G826" s="514"/>
      <c r="H826" s="514"/>
      <c r="I826" s="514"/>
      <c r="J826" s="514"/>
      <c r="K826" s="514"/>
      <c r="L826" s="514"/>
      <c r="M826" s="514"/>
      <c r="N826" s="992"/>
      <c r="O826" s="992"/>
      <c r="P826" s="993"/>
      <c r="Q826" s="993"/>
      <c r="R826" s="993"/>
      <c r="S826" s="514"/>
      <c r="T826" s="514"/>
      <c r="U826" s="514"/>
      <c r="V826" s="514"/>
      <c r="W826" s="514"/>
      <c r="X826" s="514"/>
      <c r="Y826" s="514"/>
    </row>
    <row r="827">
      <c r="A827" s="514"/>
      <c r="B827" s="514"/>
      <c r="C827" s="514"/>
      <c r="D827" s="514"/>
      <c r="E827" s="514"/>
      <c r="F827" s="514"/>
      <c r="G827" s="514"/>
      <c r="H827" s="514"/>
      <c r="I827" s="514"/>
      <c r="J827" s="514"/>
      <c r="K827" s="514"/>
      <c r="L827" s="514"/>
      <c r="M827" s="514"/>
      <c r="N827" s="992"/>
      <c r="O827" s="992"/>
      <c r="P827" s="993"/>
      <c r="Q827" s="993"/>
      <c r="R827" s="993"/>
      <c r="S827" s="514"/>
      <c r="T827" s="514"/>
      <c r="U827" s="514"/>
      <c r="V827" s="514"/>
      <c r="W827" s="514"/>
      <c r="X827" s="514"/>
      <c r="Y827" s="514"/>
    </row>
    <row r="828">
      <c r="A828" s="514"/>
      <c r="B828" s="514"/>
      <c r="C828" s="514"/>
      <c r="D828" s="514"/>
      <c r="E828" s="514"/>
      <c r="F828" s="514"/>
      <c r="G828" s="514"/>
      <c r="H828" s="514"/>
      <c r="I828" s="514"/>
      <c r="J828" s="514"/>
      <c r="K828" s="514"/>
      <c r="L828" s="514"/>
      <c r="M828" s="514"/>
      <c r="N828" s="992"/>
      <c r="O828" s="992"/>
      <c r="P828" s="993"/>
      <c r="Q828" s="993"/>
      <c r="R828" s="993"/>
      <c r="S828" s="514"/>
      <c r="T828" s="514"/>
      <c r="U828" s="514"/>
      <c r="V828" s="514"/>
      <c r="W828" s="514"/>
      <c r="X828" s="514"/>
      <c r="Y828" s="514"/>
    </row>
    <row r="829">
      <c r="A829" s="514"/>
      <c r="B829" s="514"/>
      <c r="C829" s="514"/>
      <c r="D829" s="514"/>
      <c r="E829" s="514"/>
      <c r="F829" s="514"/>
      <c r="G829" s="514"/>
      <c r="H829" s="514"/>
      <c r="I829" s="514"/>
      <c r="J829" s="514"/>
      <c r="K829" s="514"/>
      <c r="L829" s="514"/>
      <c r="M829" s="514"/>
      <c r="N829" s="992"/>
      <c r="O829" s="992"/>
      <c r="P829" s="993"/>
      <c r="Q829" s="993"/>
      <c r="R829" s="993"/>
      <c r="S829" s="514"/>
      <c r="T829" s="514"/>
      <c r="U829" s="514"/>
      <c r="V829" s="514"/>
      <c r="W829" s="514"/>
      <c r="X829" s="514"/>
      <c r="Y829" s="514"/>
    </row>
    <row r="830">
      <c r="A830" s="514"/>
      <c r="B830" s="514"/>
      <c r="C830" s="514"/>
      <c r="D830" s="514"/>
      <c r="E830" s="514"/>
      <c r="F830" s="514"/>
      <c r="G830" s="514"/>
      <c r="H830" s="514"/>
      <c r="I830" s="514"/>
      <c r="J830" s="514"/>
      <c r="K830" s="514"/>
      <c r="L830" s="514"/>
      <c r="M830" s="514"/>
      <c r="N830" s="992"/>
      <c r="O830" s="992"/>
      <c r="P830" s="993"/>
      <c r="Q830" s="993"/>
      <c r="R830" s="993"/>
      <c r="S830" s="514"/>
      <c r="T830" s="514"/>
      <c r="U830" s="514"/>
      <c r="V830" s="514"/>
      <c r="W830" s="514"/>
      <c r="X830" s="514"/>
      <c r="Y830" s="514"/>
    </row>
    <row r="831">
      <c r="A831" s="514"/>
      <c r="B831" s="514"/>
      <c r="C831" s="514"/>
      <c r="D831" s="514"/>
      <c r="E831" s="514"/>
      <c r="F831" s="514"/>
      <c r="G831" s="514"/>
      <c r="H831" s="514"/>
      <c r="I831" s="514"/>
      <c r="J831" s="514"/>
      <c r="K831" s="514"/>
      <c r="L831" s="514"/>
      <c r="M831" s="514"/>
      <c r="N831" s="992"/>
      <c r="O831" s="992"/>
      <c r="P831" s="993"/>
      <c r="Q831" s="993"/>
      <c r="R831" s="993"/>
      <c r="S831" s="514"/>
      <c r="T831" s="514"/>
      <c r="U831" s="514"/>
      <c r="V831" s="514"/>
      <c r="W831" s="514"/>
      <c r="X831" s="514"/>
      <c r="Y831" s="514"/>
    </row>
    <row r="832">
      <c r="A832" s="514"/>
      <c r="B832" s="514"/>
      <c r="C832" s="514"/>
      <c r="D832" s="514"/>
      <c r="E832" s="514"/>
      <c r="F832" s="514"/>
      <c r="G832" s="514"/>
      <c r="H832" s="514"/>
      <c r="I832" s="514"/>
      <c r="J832" s="514"/>
      <c r="K832" s="514"/>
      <c r="L832" s="514"/>
      <c r="M832" s="514"/>
      <c r="N832" s="992"/>
      <c r="O832" s="992"/>
      <c r="P832" s="993"/>
      <c r="Q832" s="993"/>
      <c r="R832" s="993"/>
      <c r="S832" s="514"/>
      <c r="T832" s="514"/>
      <c r="U832" s="514"/>
      <c r="V832" s="514"/>
      <c r="W832" s="514"/>
      <c r="X832" s="514"/>
      <c r="Y832" s="514"/>
    </row>
    <row r="833">
      <c r="A833" s="514"/>
      <c r="B833" s="514"/>
      <c r="C833" s="514"/>
      <c r="D833" s="514"/>
      <c r="E833" s="514"/>
      <c r="F833" s="514"/>
      <c r="G833" s="514"/>
      <c r="H833" s="514"/>
      <c r="I833" s="514"/>
      <c r="J833" s="514"/>
      <c r="K833" s="514"/>
      <c r="L833" s="514"/>
      <c r="M833" s="514"/>
      <c r="N833" s="992"/>
      <c r="O833" s="992"/>
      <c r="P833" s="993"/>
      <c r="Q833" s="993"/>
      <c r="R833" s="993"/>
      <c r="S833" s="514"/>
      <c r="T833" s="514"/>
      <c r="U833" s="514"/>
      <c r="V833" s="514"/>
      <c r="W833" s="514"/>
      <c r="X833" s="514"/>
      <c r="Y833" s="514"/>
    </row>
    <row r="834">
      <c r="A834" s="514"/>
      <c r="B834" s="514"/>
      <c r="C834" s="514"/>
      <c r="D834" s="514"/>
      <c r="E834" s="514"/>
      <c r="F834" s="514"/>
      <c r="G834" s="514"/>
      <c r="H834" s="514"/>
      <c r="I834" s="514"/>
      <c r="J834" s="514"/>
      <c r="K834" s="514"/>
      <c r="L834" s="514"/>
      <c r="M834" s="514"/>
      <c r="N834" s="992"/>
      <c r="O834" s="992"/>
      <c r="P834" s="993"/>
      <c r="Q834" s="993"/>
      <c r="R834" s="993"/>
      <c r="S834" s="514"/>
      <c r="T834" s="514"/>
      <c r="U834" s="514"/>
      <c r="V834" s="514"/>
      <c r="W834" s="514"/>
      <c r="X834" s="514"/>
      <c r="Y834" s="514"/>
    </row>
    <row r="835">
      <c r="A835" s="514"/>
      <c r="B835" s="514"/>
      <c r="C835" s="514"/>
      <c r="D835" s="514"/>
      <c r="E835" s="514"/>
      <c r="F835" s="514"/>
      <c r="G835" s="514"/>
      <c r="H835" s="514"/>
      <c r="I835" s="514"/>
      <c r="J835" s="514"/>
      <c r="K835" s="514"/>
      <c r="L835" s="514"/>
      <c r="M835" s="514"/>
      <c r="N835" s="992"/>
      <c r="O835" s="992"/>
      <c r="P835" s="993"/>
      <c r="Q835" s="993"/>
      <c r="R835" s="993"/>
      <c r="S835" s="514"/>
      <c r="T835" s="514"/>
      <c r="U835" s="514"/>
      <c r="V835" s="514"/>
      <c r="W835" s="514"/>
      <c r="X835" s="514"/>
      <c r="Y835" s="514"/>
    </row>
    <row r="836">
      <c r="A836" s="514"/>
      <c r="B836" s="514"/>
      <c r="C836" s="514"/>
      <c r="D836" s="514"/>
      <c r="E836" s="514"/>
      <c r="F836" s="514"/>
      <c r="G836" s="514"/>
      <c r="H836" s="514"/>
      <c r="I836" s="514"/>
      <c r="J836" s="514"/>
      <c r="K836" s="514"/>
      <c r="L836" s="514"/>
      <c r="M836" s="514"/>
      <c r="N836" s="992"/>
      <c r="O836" s="992"/>
      <c r="P836" s="993"/>
      <c r="Q836" s="993"/>
      <c r="R836" s="993"/>
      <c r="S836" s="514"/>
      <c r="T836" s="514"/>
      <c r="U836" s="514"/>
      <c r="V836" s="514"/>
      <c r="W836" s="514"/>
      <c r="X836" s="514"/>
      <c r="Y836" s="514"/>
    </row>
    <row r="837">
      <c r="A837" s="514"/>
      <c r="B837" s="514"/>
      <c r="C837" s="514"/>
      <c r="D837" s="514"/>
      <c r="E837" s="514"/>
      <c r="F837" s="514"/>
      <c r="G837" s="514"/>
      <c r="H837" s="514"/>
      <c r="I837" s="514"/>
      <c r="J837" s="514"/>
      <c r="K837" s="514"/>
      <c r="L837" s="514"/>
      <c r="M837" s="514"/>
      <c r="N837" s="992"/>
      <c r="O837" s="992"/>
      <c r="P837" s="993"/>
      <c r="Q837" s="993"/>
      <c r="R837" s="993"/>
      <c r="S837" s="514"/>
      <c r="T837" s="514"/>
      <c r="U837" s="514"/>
      <c r="V837" s="514"/>
      <c r="W837" s="514"/>
      <c r="X837" s="514"/>
      <c r="Y837" s="514"/>
    </row>
    <row r="838">
      <c r="A838" s="514"/>
      <c r="B838" s="514"/>
      <c r="C838" s="514"/>
      <c r="D838" s="514"/>
      <c r="E838" s="514"/>
      <c r="F838" s="514"/>
      <c r="G838" s="514"/>
      <c r="H838" s="514"/>
      <c r="I838" s="514"/>
      <c r="J838" s="514"/>
      <c r="K838" s="514"/>
      <c r="L838" s="514"/>
      <c r="M838" s="514"/>
      <c r="N838" s="992"/>
      <c r="O838" s="992"/>
      <c r="P838" s="993"/>
      <c r="Q838" s="993"/>
      <c r="R838" s="993"/>
      <c r="S838" s="514"/>
      <c r="T838" s="514"/>
      <c r="U838" s="514"/>
      <c r="V838" s="514"/>
      <c r="W838" s="514"/>
      <c r="X838" s="514"/>
      <c r="Y838" s="514"/>
    </row>
    <row r="839">
      <c r="A839" s="514"/>
      <c r="B839" s="514"/>
      <c r="C839" s="514"/>
      <c r="D839" s="514"/>
      <c r="E839" s="514"/>
      <c r="F839" s="514"/>
      <c r="G839" s="514"/>
      <c r="H839" s="514"/>
      <c r="I839" s="514"/>
      <c r="J839" s="514"/>
      <c r="K839" s="514"/>
      <c r="L839" s="514"/>
      <c r="M839" s="514"/>
      <c r="N839" s="992"/>
      <c r="O839" s="992"/>
      <c r="P839" s="993"/>
      <c r="Q839" s="993"/>
      <c r="R839" s="993"/>
      <c r="S839" s="514"/>
      <c r="T839" s="514"/>
      <c r="U839" s="514"/>
      <c r="V839" s="514"/>
      <c r="W839" s="514"/>
      <c r="X839" s="514"/>
      <c r="Y839" s="514"/>
    </row>
    <row r="840">
      <c r="A840" s="514"/>
      <c r="B840" s="514"/>
      <c r="C840" s="514"/>
      <c r="D840" s="514"/>
      <c r="E840" s="514"/>
      <c r="F840" s="514"/>
      <c r="G840" s="514"/>
      <c r="H840" s="514"/>
      <c r="I840" s="514"/>
      <c r="J840" s="514"/>
      <c r="K840" s="514"/>
      <c r="L840" s="514"/>
      <c r="M840" s="514"/>
      <c r="N840" s="992"/>
      <c r="O840" s="992"/>
      <c r="P840" s="993"/>
      <c r="Q840" s="993"/>
      <c r="R840" s="993"/>
      <c r="S840" s="514"/>
      <c r="T840" s="514"/>
      <c r="U840" s="514"/>
      <c r="V840" s="514"/>
      <c r="W840" s="514"/>
      <c r="X840" s="514"/>
      <c r="Y840" s="514"/>
    </row>
    <row r="841">
      <c r="A841" s="514"/>
      <c r="B841" s="514"/>
      <c r="C841" s="514"/>
      <c r="D841" s="514"/>
      <c r="E841" s="514"/>
      <c r="F841" s="514"/>
      <c r="G841" s="514"/>
      <c r="H841" s="514"/>
      <c r="I841" s="514"/>
      <c r="J841" s="514"/>
      <c r="K841" s="514"/>
      <c r="L841" s="514"/>
      <c r="M841" s="514"/>
      <c r="N841" s="992"/>
      <c r="O841" s="992"/>
      <c r="P841" s="993"/>
      <c r="Q841" s="993"/>
      <c r="R841" s="993"/>
      <c r="S841" s="514"/>
      <c r="T841" s="514"/>
      <c r="U841" s="514"/>
      <c r="V841" s="514"/>
      <c r="W841" s="514"/>
      <c r="X841" s="514"/>
      <c r="Y841" s="514"/>
    </row>
    <row r="842">
      <c r="A842" s="514"/>
      <c r="B842" s="514"/>
      <c r="C842" s="514"/>
      <c r="D842" s="514"/>
      <c r="E842" s="514"/>
      <c r="F842" s="514"/>
      <c r="G842" s="514"/>
      <c r="H842" s="514"/>
      <c r="I842" s="514"/>
      <c r="J842" s="514"/>
      <c r="K842" s="514"/>
      <c r="L842" s="514"/>
      <c r="M842" s="514"/>
      <c r="N842" s="992"/>
      <c r="O842" s="992"/>
      <c r="P842" s="993"/>
      <c r="Q842" s="993"/>
      <c r="R842" s="993"/>
      <c r="S842" s="514"/>
      <c r="T842" s="514"/>
      <c r="U842" s="514"/>
      <c r="V842" s="514"/>
      <c r="W842" s="514"/>
      <c r="X842" s="514"/>
      <c r="Y842" s="514"/>
    </row>
    <row r="843">
      <c r="A843" s="514"/>
      <c r="B843" s="514"/>
      <c r="C843" s="514"/>
      <c r="D843" s="514"/>
      <c r="E843" s="514"/>
      <c r="F843" s="514"/>
      <c r="G843" s="514"/>
      <c r="H843" s="514"/>
      <c r="I843" s="514"/>
      <c r="J843" s="514"/>
      <c r="K843" s="514"/>
      <c r="L843" s="514"/>
      <c r="M843" s="514"/>
      <c r="N843" s="992"/>
      <c r="O843" s="992"/>
      <c r="P843" s="993"/>
      <c r="Q843" s="993"/>
      <c r="R843" s="993"/>
      <c r="S843" s="514"/>
      <c r="T843" s="514"/>
      <c r="U843" s="514"/>
      <c r="V843" s="514"/>
      <c r="W843" s="514"/>
      <c r="X843" s="514"/>
      <c r="Y843" s="514"/>
    </row>
    <row r="844">
      <c r="A844" s="514"/>
      <c r="B844" s="514"/>
      <c r="C844" s="514"/>
      <c r="D844" s="514"/>
      <c r="E844" s="514"/>
      <c r="F844" s="514"/>
      <c r="G844" s="514"/>
      <c r="H844" s="514"/>
      <c r="I844" s="514"/>
      <c r="J844" s="514"/>
      <c r="K844" s="514"/>
      <c r="L844" s="514"/>
      <c r="M844" s="514"/>
      <c r="N844" s="992"/>
      <c r="O844" s="992"/>
      <c r="P844" s="993"/>
      <c r="Q844" s="993"/>
      <c r="R844" s="993"/>
      <c r="S844" s="514"/>
      <c r="T844" s="514"/>
      <c r="U844" s="514"/>
      <c r="V844" s="514"/>
      <c r="W844" s="514"/>
      <c r="X844" s="514"/>
      <c r="Y844" s="514"/>
    </row>
    <row r="845">
      <c r="A845" s="514"/>
      <c r="B845" s="514"/>
      <c r="C845" s="514"/>
      <c r="D845" s="514"/>
      <c r="E845" s="514"/>
      <c r="F845" s="514"/>
      <c r="G845" s="514"/>
      <c r="H845" s="514"/>
      <c r="I845" s="514"/>
      <c r="J845" s="514"/>
      <c r="K845" s="514"/>
      <c r="L845" s="514"/>
      <c r="M845" s="514"/>
      <c r="N845" s="992"/>
      <c r="O845" s="992"/>
      <c r="P845" s="993"/>
      <c r="Q845" s="993"/>
      <c r="R845" s="993"/>
      <c r="S845" s="514"/>
      <c r="T845" s="514"/>
      <c r="U845" s="514"/>
      <c r="V845" s="514"/>
      <c r="W845" s="514"/>
      <c r="X845" s="514"/>
      <c r="Y845" s="514"/>
    </row>
    <row r="846">
      <c r="A846" s="514"/>
      <c r="B846" s="514"/>
      <c r="C846" s="514"/>
      <c r="D846" s="514"/>
      <c r="E846" s="514"/>
      <c r="F846" s="514"/>
      <c r="G846" s="514"/>
      <c r="H846" s="514"/>
      <c r="I846" s="514"/>
      <c r="J846" s="514"/>
      <c r="K846" s="514"/>
      <c r="L846" s="514"/>
      <c r="M846" s="514"/>
      <c r="N846" s="992"/>
      <c r="O846" s="992"/>
      <c r="P846" s="993"/>
      <c r="Q846" s="993"/>
      <c r="R846" s="993"/>
      <c r="S846" s="514"/>
      <c r="T846" s="514"/>
      <c r="U846" s="514"/>
      <c r="V846" s="514"/>
      <c r="W846" s="514"/>
      <c r="X846" s="514"/>
      <c r="Y846" s="514"/>
    </row>
    <row r="847">
      <c r="A847" s="514"/>
      <c r="B847" s="514"/>
      <c r="C847" s="514"/>
      <c r="D847" s="514"/>
      <c r="E847" s="514"/>
      <c r="F847" s="514"/>
      <c r="G847" s="514"/>
      <c r="H847" s="514"/>
      <c r="I847" s="514"/>
      <c r="J847" s="514"/>
      <c r="K847" s="514"/>
      <c r="L847" s="514"/>
      <c r="M847" s="514"/>
      <c r="N847" s="992"/>
      <c r="O847" s="992"/>
      <c r="P847" s="993"/>
      <c r="Q847" s="993"/>
      <c r="R847" s="993"/>
      <c r="S847" s="514"/>
      <c r="T847" s="514"/>
      <c r="U847" s="514"/>
      <c r="V847" s="514"/>
      <c r="W847" s="514"/>
      <c r="X847" s="514"/>
      <c r="Y847" s="514"/>
    </row>
    <row r="848">
      <c r="A848" s="514"/>
      <c r="B848" s="514"/>
      <c r="C848" s="514"/>
      <c r="D848" s="514"/>
      <c r="E848" s="514"/>
      <c r="F848" s="514"/>
      <c r="G848" s="514"/>
      <c r="H848" s="514"/>
      <c r="I848" s="514"/>
      <c r="J848" s="514"/>
      <c r="K848" s="514"/>
      <c r="L848" s="514"/>
      <c r="M848" s="514"/>
      <c r="N848" s="992"/>
      <c r="O848" s="992"/>
      <c r="P848" s="993"/>
      <c r="Q848" s="993"/>
      <c r="R848" s="993"/>
      <c r="S848" s="514"/>
      <c r="T848" s="514"/>
      <c r="U848" s="514"/>
      <c r="V848" s="514"/>
      <c r="W848" s="514"/>
      <c r="X848" s="514"/>
      <c r="Y848" s="514"/>
    </row>
    <row r="849">
      <c r="A849" s="514"/>
      <c r="B849" s="514"/>
      <c r="C849" s="514"/>
      <c r="D849" s="514"/>
      <c r="E849" s="514"/>
      <c r="F849" s="514"/>
      <c r="G849" s="514"/>
      <c r="H849" s="514"/>
      <c r="I849" s="514"/>
      <c r="J849" s="514"/>
      <c r="K849" s="514"/>
      <c r="L849" s="514"/>
      <c r="M849" s="514"/>
      <c r="N849" s="992"/>
      <c r="O849" s="992"/>
      <c r="P849" s="993"/>
      <c r="Q849" s="993"/>
      <c r="R849" s="993"/>
      <c r="S849" s="514"/>
      <c r="T849" s="514"/>
      <c r="U849" s="514"/>
      <c r="V849" s="514"/>
      <c r="W849" s="514"/>
      <c r="X849" s="514"/>
      <c r="Y849" s="514"/>
    </row>
    <row r="850">
      <c r="A850" s="514"/>
      <c r="B850" s="514"/>
      <c r="C850" s="514"/>
      <c r="D850" s="514"/>
      <c r="E850" s="514"/>
      <c r="F850" s="514"/>
      <c r="G850" s="514"/>
      <c r="H850" s="514"/>
      <c r="I850" s="514"/>
      <c r="J850" s="514"/>
      <c r="K850" s="514"/>
      <c r="L850" s="514"/>
      <c r="M850" s="514"/>
      <c r="N850" s="992"/>
      <c r="O850" s="992"/>
      <c r="P850" s="993"/>
      <c r="Q850" s="993"/>
      <c r="R850" s="993"/>
      <c r="S850" s="514"/>
      <c r="T850" s="514"/>
      <c r="U850" s="514"/>
      <c r="V850" s="514"/>
      <c r="W850" s="514"/>
      <c r="X850" s="514"/>
      <c r="Y850" s="514"/>
    </row>
    <row r="851">
      <c r="A851" s="514"/>
      <c r="B851" s="514"/>
      <c r="C851" s="514"/>
      <c r="D851" s="514"/>
      <c r="E851" s="514"/>
      <c r="F851" s="514"/>
      <c r="G851" s="514"/>
      <c r="H851" s="514"/>
      <c r="I851" s="514"/>
      <c r="J851" s="514"/>
      <c r="K851" s="514"/>
      <c r="L851" s="514"/>
      <c r="M851" s="514"/>
      <c r="N851" s="992"/>
      <c r="O851" s="992"/>
      <c r="P851" s="993"/>
      <c r="Q851" s="993"/>
      <c r="R851" s="993"/>
      <c r="S851" s="514"/>
      <c r="T851" s="514"/>
      <c r="U851" s="514"/>
      <c r="V851" s="514"/>
      <c r="W851" s="514"/>
      <c r="X851" s="514"/>
      <c r="Y851" s="514"/>
    </row>
    <row r="852">
      <c r="A852" s="514"/>
      <c r="B852" s="514"/>
      <c r="C852" s="514"/>
      <c r="D852" s="514"/>
      <c r="E852" s="514"/>
      <c r="F852" s="514"/>
      <c r="G852" s="514"/>
      <c r="H852" s="514"/>
      <c r="I852" s="514"/>
      <c r="J852" s="514"/>
      <c r="K852" s="514"/>
      <c r="L852" s="514"/>
      <c r="M852" s="514"/>
      <c r="N852" s="992"/>
      <c r="O852" s="992"/>
      <c r="P852" s="993"/>
      <c r="Q852" s="993"/>
      <c r="R852" s="993"/>
      <c r="S852" s="514"/>
      <c r="T852" s="514"/>
      <c r="U852" s="514"/>
      <c r="V852" s="514"/>
      <c r="W852" s="514"/>
      <c r="X852" s="514"/>
      <c r="Y852" s="514"/>
    </row>
    <row r="853">
      <c r="A853" s="514"/>
      <c r="B853" s="514"/>
      <c r="C853" s="514"/>
      <c r="D853" s="514"/>
      <c r="E853" s="514"/>
      <c r="F853" s="514"/>
      <c r="G853" s="514"/>
      <c r="H853" s="514"/>
      <c r="I853" s="514"/>
      <c r="J853" s="514"/>
      <c r="K853" s="514"/>
      <c r="L853" s="514"/>
      <c r="M853" s="514"/>
      <c r="N853" s="992"/>
      <c r="O853" s="992"/>
      <c r="P853" s="993"/>
      <c r="Q853" s="993"/>
      <c r="R853" s="993"/>
      <c r="S853" s="514"/>
      <c r="T853" s="514"/>
      <c r="U853" s="514"/>
      <c r="V853" s="514"/>
      <c r="W853" s="514"/>
      <c r="X853" s="514"/>
      <c r="Y853" s="514"/>
    </row>
    <row r="854">
      <c r="A854" s="514"/>
      <c r="B854" s="514"/>
      <c r="C854" s="514"/>
      <c r="D854" s="514"/>
      <c r="E854" s="514"/>
      <c r="F854" s="514"/>
      <c r="G854" s="514"/>
      <c r="H854" s="514"/>
      <c r="I854" s="514"/>
      <c r="J854" s="514"/>
      <c r="K854" s="514"/>
      <c r="L854" s="514"/>
      <c r="M854" s="514"/>
      <c r="N854" s="992"/>
      <c r="O854" s="992"/>
      <c r="P854" s="993"/>
      <c r="Q854" s="993"/>
      <c r="R854" s="993"/>
      <c r="S854" s="514"/>
      <c r="T854" s="514"/>
      <c r="U854" s="514"/>
      <c r="V854" s="514"/>
      <c r="W854" s="514"/>
      <c r="X854" s="514"/>
      <c r="Y854" s="514"/>
    </row>
    <row r="855">
      <c r="A855" s="514"/>
      <c r="B855" s="514"/>
      <c r="C855" s="514"/>
      <c r="D855" s="514"/>
      <c r="E855" s="514"/>
      <c r="F855" s="514"/>
      <c r="G855" s="514"/>
      <c r="H855" s="514"/>
      <c r="I855" s="514"/>
      <c r="J855" s="514"/>
      <c r="K855" s="514"/>
      <c r="L855" s="514"/>
      <c r="M855" s="514"/>
      <c r="N855" s="992"/>
      <c r="O855" s="992"/>
      <c r="P855" s="993"/>
      <c r="Q855" s="993"/>
      <c r="R855" s="993"/>
      <c r="S855" s="514"/>
      <c r="T855" s="514"/>
      <c r="U855" s="514"/>
      <c r="V855" s="514"/>
      <c r="W855" s="514"/>
      <c r="X855" s="514"/>
      <c r="Y855" s="514"/>
    </row>
    <row r="856">
      <c r="A856" s="514"/>
      <c r="B856" s="514"/>
      <c r="C856" s="514"/>
      <c r="D856" s="514"/>
      <c r="E856" s="514"/>
      <c r="F856" s="514"/>
      <c r="G856" s="514"/>
      <c r="H856" s="514"/>
      <c r="I856" s="514"/>
      <c r="J856" s="514"/>
      <c r="K856" s="514"/>
      <c r="L856" s="514"/>
      <c r="M856" s="514"/>
      <c r="N856" s="992"/>
      <c r="O856" s="992"/>
      <c r="P856" s="993"/>
      <c r="Q856" s="993"/>
      <c r="R856" s="993"/>
      <c r="S856" s="514"/>
      <c r="T856" s="514"/>
      <c r="U856" s="514"/>
      <c r="V856" s="514"/>
      <c r="W856" s="514"/>
      <c r="X856" s="514"/>
      <c r="Y856" s="514"/>
    </row>
    <row r="857">
      <c r="A857" s="514"/>
      <c r="B857" s="514"/>
      <c r="C857" s="514"/>
      <c r="D857" s="514"/>
      <c r="E857" s="514"/>
      <c r="F857" s="514"/>
      <c r="G857" s="514"/>
      <c r="H857" s="514"/>
      <c r="I857" s="514"/>
      <c r="J857" s="514"/>
      <c r="K857" s="514"/>
      <c r="L857" s="514"/>
      <c r="M857" s="514"/>
      <c r="N857" s="992"/>
      <c r="O857" s="992"/>
      <c r="P857" s="993"/>
      <c r="Q857" s="993"/>
      <c r="R857" s="993"/>
      <c r="S857" s="514"/>
      <c r="T857" s="514"/>
      <c r="U857" s="514"/>
      <c r="V857" s="514"/>
      <c r="W857" s="514"/>
      <c r="X857" s="514"/>
      <c r="Y857" s="514"/>
    </row>
    <row r="858">
      <c r="A858" s="514"/>
      <c r="B858" s="514"/>
      <c r="C858" s="514"/>
      <c r="D858" s="514"/>
      <c r="E858" s="514"/>
      <c r="F858" s="514"/>
      <c r="G858" s="514"/>
      <c r="H858" s="514"/>
      <c r="I858" s="514"/>
      <c r="J858" s="514"/>
      <c r="K858" s="514"/>
      <c r="L858" s="514"/>
      <c r="M858" s="514"/>
      <c r="N858" s="992"/>
      <c r="O858" s="992"/>
      <c r="P858" s="993"/>
      <c r="Q858" s="993"/>
      <c r="R858" s="993"/>
      <c r="S858" s="514"/>
      <c r="T858" s="514"/>
      <c r="U858" s="514"/>
      <c r="V858" s="514"/>
      <c r="W858" s="514"/>
      <c r="X858" s="514"/>
      <c r="Y858" s="514"/>
    </row>
    <row r="859">
      <c r="A859" s="514"/>
      <c r="B859" s="514"/>
      <c r="C859" s="514"/>
      <c r="D859" s="514"/>
      <c r="E859" s="514"/>
      <c r="F859" s="514"/>
      <c r="G859" s="514"/>
      <c r="H859" s="514"/>
      <c r="I859" s="514"/>
      <c r="J859" s="514"/>
      <c r="K859" s="514"/>
      <c r="L859" s="514"/>
      <c r="M859" s="514"/>
      <c r="N859" s="992"/>
      <c r="O859" s="992"/>
      <c r="P859" s="993"/>
      <c r="Q859" s="993"/>
      <c r="R859" s="993"/>
      <c r="S859" s="514"/>
      <c r="T859" s="514"/>
      <c r="U859" s="514"/>
      <c r="V859" s="514"/>
      <c r="W859" s="514"/>
      <c r="X859" s="514"/>
      <c r="Y859" s="514"/>
    </row>
    <row r="860">
      <c r="A860" s="514"/>
      <c r="B860" s="514"/>
      <c r="C860" s="514"/>
      <c r="D860" s="514"/>
      <c r="E860" s="514"/>
      <c r="F860" s="514"/>
      <c r="G860" s="514"/>
      <c r="H860" s="514"/>
      <c r="I860" s="514"/>
      <c r="J860" s="514"/>
      <c r="K860" s="514"/>
      <c r="L860" s="514"/>
      <c r="M860" s="514"/>
      <c r="N860" s="992"/>
      <c r="O860" s="992"/>
      <c r="P860" s="993"/>
      <c r="Q860" s="993"/>
      <c r="R860" s="993"/>
      <c r="S860" s="514"/>
      <c r="T860" s="514"/>
      <c r="U860" s="514"/>
      <c r="V860" s="514"/>
      <c r="W860" s="514"/>
      <c r="X860" s="514"/>
      <c r="Y860" s="514"/>
    </row>
    <row r="861">
      <c r="A861" s="514"/>
      <c r="B861" s="514"/>
      <c r="C861" s="514"/>
      <c r="D861" s="514"/>
      <c r="E861" s="514"/>
      <c r="F861" s="514"/>
      <c r="G861" s="514"/>
      <c r="H861" s="514"/>
      <c r="I861" s="514"/>
      <c r="J861" s="514"/>
      <c r="K861" s="514"/>
      <c r="L861" s="514"/>
      <c r="M861" s="514"/>
      <c r="N861" s="992"/>
      <c r="O861" s="992"/>
      <c r="P861" s="993"/>
      <c r="Q861" s="993"/>
      <c r="R861" s="993"/>
      <c r="S861" s="514"/>
      <c r="T861" s="514"/>
      <c r="U861" s="514"/>
      <c r="V861" s="514"/>
      <c r="W861" s="514"/>
      <c r="X861" s="514"/>
      <c r="Y861" s="514"/>
    </row>
    <row r="862">
      <c r="A862" s="514"/>
      <c r="B862" s="514"/>
      <c r="C862" s="514"/>
      <c r="D862" s="514"/>
      <c r="E862" s="514"/>
      <c r="F862" s="514"/>
      <c r="G862" s="514"/>
      <c r="H862" s="514"/>
      <c r="I862" s="514"/>
      <c r="J862" s="514"/>
      <c r="K862" s="514"/>
      <c r="L862" s="514"/>
      <c r="M862" s="514"/>
      <c r="N862" s="992"/>
      <c r="O862" s="992"/>
      <c r="P862" s="993"/>
      <c r="Q862" s="993"/>
      <c r="R862" s="993"/>
      <c r="S862" s="514"/>
      <c r="T862" s="514"/>
      <c r="U862" s="514"/>
      <c r="V862" s="514"/>
      <c r="W862" s="514"/>
      <c r="X862" s="514"/>
      <c r="Y862" s="514"/>
    </row>
    <row r="863">
      <c r="A863" s="514"/>
      <c r="B863" s="514"/>
      <c r="C863" s="514"/>
      <c r="D863" s="514"/>
      <c r="E863" s="514"/>
      <c r="F863" s="514"/>
      <c r="G863" s="514"/>
      <c r="H863" s="514"/>
      <c r="I863" s="514"/>
      <c r="J863" s="514"/>
      <c r="K863" s="514"/>
      <c r="L863" s="514"/>
      <c r="M863" s="514"/>
      <c r="N863" s="992"/>
      <c r="O863" s="992"/>
      <c r="P863" s="993"/>
      <c r="Q863" s="993"/>
      <c r="R863" s="993"/>
      <c r="S863" s="514"/>
      <c r="T863" s="514"/>
      <c r="U863" s="514"/>
      <c r="V863" s="514"/>
      <c r="W863" s="514"/>
      <c r="X863" s="514"/>
      <c r="Y863" s="514"/>
    </row>
    <row r="864">
      <c r="A864" s="514"/>
      <c r="B864" s="514"/>
      <c r="C864" s="514"/>
      <c r="D864" s="514"/>
      <c r="E864" s="514"/>
      <c r="F864" s="514"/>
      <c r="G864" s="514"/>
      <c r="H864" s="514"/>
      <c r="I864" s="514"/>
      <c r="J864" s="514"/>
      <c r="K864" s="514"/>
      <c r="L864" s="514"/>
      <c r="M864" s="514"/>
      <c r="N864" s="992"/>
      <c r="O864" s="992"/>
      <c r="P864" s="993"/>
      <c r="Q864" s="993"/>
      <c r="R864" s="993"/>
      <c r="S864" s="514"/>
      <c r="T864" s="514"/>
      <c r="U864" s="514"/>
      <c r="V864" s="514"/>
      <c r="W864" s="514"/>
      <c r="X864" s="514"/>
      <c r="Y864" s="514"/>
    </row>
    <row r="865">
      <c r="A865" s="514"/>
      <c r="B865" s="514"/>
      <c r="C865" s="514"/>
      <c r="D865" s="514"/>
      <c r="E865" s="514"/>
      <c r="F865" s="514"/>
      <c r="G865" s="514"/>
      <c r="H865" s="514"/>
      <c r="I865" s="514"/>
      <c r="J865" s="514"/>
      <c r="K865" s="514"/>
      <c r="L865" s="514"/>
      <c r="M865" s="514"/>
      <c r="N865" s="992"/>
      <c r="O865" s="992"/>
      <c r="P865" s="993"/>
      <c r="Q865" s="993"/>
      <c r="R865" s="993"/>
      <c r="S865" s="514"/>
      <c r="T865" s="514"/>
      <c r="U865" s="514"/>
      <c r="V865" s="514"/>
      <c r="W865" s="514"/>
      <c r="X865" s="514"/>
      <c r="Y865" s="514"/>
    </row>
    <row r="866">
      <c r="A866" s="514"/>
      <c r="B866" s="514"/>
      <c r="C866" s="514"/>
      <c r="D866" s="514"/>
      <c r="E866" s="514"/>
      <c r="F866" s="514"/>
      <c r="G866" s="514"/>
      <c r="H866" s="514"/>
      <c r="I866" s="514"/>
      <c r="J866" s="514"/>
      <c r="K866" s="514"/>
      <c r="L866" s="514"/>
      <c r="M866" s="514"/>
      <c r="N866" s="992"/>
      <c r="O866" s="992"/>
      <c r="P866" s="993"/>
      <c r="Q866" s="993"/>
      <c r="R866" s="993"/>
      <c r="S866" s="514"/>
      <c r="T866" s="514"/>
      <c r="U866" s="514"/>
      <c r="V866" s="514"/>
      <c r="W866" s="514"/>
      <c r="X866" s="514"/>
      <c r="Y866" s="514"/>
    </row>
    <row r="867">
      <c r="A867" s="514"/>
      <c r="B867" s="514"/>
      <c r="C867" s="514"/>
      <c r="D867" s="514"/>
      <c r="E867" s="514"/>
      <c r="F867" s="514"/>
      <c r="G867" s="514"/>
      <c r="H867" s="514"/>
      <c r="I867" s="514"/>
      <c r="J867" s="514"/>
      <c r="K867" s="514"/>
      <c r="L867" s="514"/>
      <c r="M867" s="514"/>
      <c r="N867" s="992"/>
      <c r="O867" s="992"/>
      <c r="P867" s="993"/>
      <c r="Q867" s="993"/>
      <c r="R867" s="993"/>
      <c r="S867" s="514"/>
      <c r="T867" s="514"/>
      <c r="U867" s="514"/>
      <c r="V867" s="514"/>
      <c r="W867" s="514"/>
      <c r="X867" s="514"/>
      <c r="Y867" s="514"/>
    </row>
    <row r="868">
      <c r="A868" s="514"/>
      <c r="B868" s="514"/>
      <c r="C868" s="514"/>
      <c r="D868" s="514"/>
      <c r="E868" s="514"/>
      <c r="F868" s="514"/>
      <c r="G868" s="514"/>
      <c r="H868" s="514"/>
      <c r="I868" s="514"/>
      <c r="J868" s="514"/>
      <c r="K868" s="514"/>
      <c r="L868" s="514"/>
      <c r="M868" s="514"/>
      <c r="N868" s="992"/>
      <c r="O868" s="992"/>
      <c r="P868" s="993"/>
      <c r="Q868" s="993"/>
      <c r="R868" s="993"/>
      <c r="S868" s="514"/>
      <c r="T868" s="514"/>
      <c r="U868" s="514"/>
      <c r="V868" s="514"/>
      <c r="W868" s="514"/>
      <c r="X868" s="514"/>
      <c r="Y868" s="514"/>
    </row>
    <row r="869">
      <c r="A869" s="514"/>
      <c r="B869" s="514"/>
      <c r="C869" s="514"/>
      <c r="D869" s="514"/>
      <c r="E869" s="514"/>
      <c r="F869" s="514"/>
      <c r="G869" s="514"/>
      <c r="H869" s="514"/>
      <c r="I869" s="514"/>
      <c r="J869" s="514"/>
      <c r="K869" s="514"/>
      <c r="L869" s="514"/>
      <c r="M869" s="514"/>
      <c r="N869" s="992"/>
      <c r="O869" s="992"/>
      <c r="P869" s="993"/>
      <c r="Q869" s="993"/>
      <c r="R869" s="993"/>
      <c r="S869" s="514"/>
      <c r="T869" s="514"/>
      <c r="U869" s="514"/>
      <c r="V869" s="514"/>
      <c r="W869" s="514"/>
      <c r="X869" s="514"/>
      <c r="Y869" s="514"/>
    </row>
    <row r="870">
      <c r="A870" s="514"/>
      <c r="B870" s="514"/>
      <c r="C870" s="514"/>
      <c r="D870" s="514"/>
      <c r="E870" s="514"/>
      <c r="F870" s="514"/>
      <c r="G870" s="514"/>
      <c r="H870" s="514"/>
      <c r="I870" s="514"/>
      <c r="J870" s="514"/>
      <c r="K870" s="514"/>
      <c r="L870" s="514"/>
      <c r="M870" s="514"/>
      <c r="N870" s="992"/>
      <c r="O870" s="992"/>
      <c r="P870" s="993"/>
      <c r="Q870" s="993"/>
      <c r="R870" s="993"/>
      <c r="S870" s="514"/>
      <c r="T870" s="514"/>
      <c r="U870" s="514"/>
      <c r="V870" s="514"/>
      <c r="W870" s="514"/>
      <c r="X870" s="514"/>
      <c r="Y870" s="514"/>
    </row>
    <row r="871">
      <c r="A871" s="514"/>
      <c r="B871" s="514"/>
      <c r="C871" s="514"/>
      <c r="D871" s="514"/>
      <c r="E871" s="514"/>
      <c r="F871" s="514"/>
      <c r="G871" s="514"/>
      <c r="H871" s="514"/>
      <c r="I871" s="514"/>
      <c r="J871" s="514"/>
      <c r="K871" s="514"/>
      <c r="L871" s="514"/>
      <c r="M871" s="514"/>
      <c r="N871" s="992"/>
      <c r="O871" s="992"/>
      <c r="P871" s="993"/>
      <c r="Q871" s="993"/>
      <c r="R871" s="993"/>
      <c r="S871" s="514"/>
      <c r="T871" s="514"/>
      <c r="U871" s="514"/>
      <c r="V871" s="514"/>
      <c r="W871" s="514"/>
      <c r="X871" s="514"/>
      <c r="Y871" s="514"/>
    </row>
    <row r="872">
      <c r="A872" s="514"/>
      <c r="B872" s="514"/>
      <c r="C872" s="514"/>
      <c r="D872" s="514"/>
      <c r="E872" s="514"/>
      <c r="F872" s="514"/>
      <c r="G872" s="514"/>
      <c r="H872" s="514"/>
      <c r="I872" s="514"/>
      <c r="J872" s="514"/>
      <c r="K872" s="514"/>
      <c r="L872" s="514"/>
      <c r="M872" s="514"/>
      <c r="N872" s="992"/>
      <c r="O872" s="992"/>
      <c r="P872" s="993"/>
      <c r="Q872" s="993"/>
      <c r="R872" s="993"/>
      <c r="S872" s="514"/>
      <c r="T872" s="514"/>
      <c r="U872" s="514"/>
      <c r="V872" s="514"/>
      <c r="W872" s="514"/>
      <c r="X872" s="514"/>
      <c r="Y872" s="514"/>
    </row>
    <row r="873">
      <c r="A873" s="514"/>
      <c r="B873" s="514"/>
      <c r="C873" s="514"/>
      <c r="D873" s="514"/>
      <c r="E873" s="514"/>
      <c r="F873" s="514"/>
      <c r="G873" s="514"/>
      <c r="H873" s="514"/>
      <c r="I873" s="514"/>
      <c r="J873" s="514"/>
      <c r="K873" s="514"/>
      <c r="L873" s="514"/>
      <c r="M873" s="514"/>
      <c r="N873" s="992"/>
      <c r="O873" s="992"/>
      <c r="P873" s="993"/>
      <c r="Q873" s="993"/>
      <c r="R873" s="993"/>
      <c r="S873" s="514"/>
      <c r="T873" s="514"/>
      <c r="U873" s="514"/>
      <c r="V873" s="514"/>
      <c r="W873" s="514"/>
      <c r="X873" s="514"/>
      <c r="Y873" s="514"/>
    </row>
    <row r="874">
      <c r="A874" s="514"/>
      <c r="B874" s="514"/>
      <c r="C874" s="514"/>
      <c r="D874" s="514"/>
      <c r="E874" s="514"/>
      <c r="F874" s="514"/>
      <c r="G874" s="514"/>
      <c r="H874" s="514"/>
      <c r="I874" s="514"/>
      <c r="J874" s="514"/>
      <c r="K874" s="514"/>
      <c r="L874" s="514"/>
      <c r="M874" s="514"/>
      <c r="N874" s="992"/>
      <c r="O874" s="992"/>
      <c r="P874" s="993"/>
      <c r="Q874" s="993"/>
      <c r="R874" s="993"/>
      <c r="S874" s="514"/>
      <c r="T874" s="514"/>
      <c r="U874" s="514"/>
      <c r="V874" s="514"/>
      <c r="W874" s="514"/>
      <c r="X874" s="514"/>
      <c r="Y874" s="514"/>
    </row>
    <row r="875">
      <c r="A875" s="514"/>
      <c r="B875" s="514"/>
      <c r="C875" s="514"/>
      <c r="D875" s="514"/>
      <c r="E875" s="514"/>
      <c r="F875" s="514"/>
      <c r="G875" s="514"/>
      <c r="H875" s="514"/>
      <c r="I875" s="514"/>
      <c r="J875" s="514"/>
      <c r="K875" s="514"/>
      <c r="L875" s="514"/>
      <c r="M875" s="514"/>
      <c r="N875" s="992"/>
      <c r="O875" s="992"/>
      <c r="P875" s="993"/>
      <c r="Q875" s="993"/>
      <c r="R875" s="993"/>
      <c r="S875" s="514"/>
      <c r="T875" s="514"/>
      <c r="U875" s="514"/>
      <c r="V875" s="514"/>
      <c r="W875" s="514"/>
      <c r="X875" s="514"/>
      <c r="Y875" s="514"/>
    </row>
    <row r="876">
      <c r="A876" s="514"/>
      <c r="B876" s="514"/>
      <c r="C876" s="514"/>
      <c r="D876" s="514"/>
      <c r="E876" s="514"/>
      <c r="F876" s="514"/>
      <c r="G876" s="514"/>
      <c r="H876" s="514"/>
      <c r="I876" s="514"/>
      <c r="J876" s="514"/>
      <c r="K876" s="514"/>
      <c r="L876" s="514"/>
      <c r="M876" s="514"/>
      <c r="N876" s="992"/>
      <c r="O876" s="992"/>
      <c r="P876" s="993"/>
      <c r="Q876" s="993"/>
      <c r="R876" s="993"/>
      <c r="S876" s="514"/>
      <c r="T876" s="514"/>
      <c r="U876" s="514"/>
      <c r="V876" s="514"/>
      <c r="W876" s="514"/>
      <c r="X876" s="514"/>
      <c r="Y876" s="514"/>
    </row>
    <row r="877">
      <c r="A877" s="514"/>
      <c r="B877" s="514"/>
      <c r="C877" s="514"/>
      <c r="D877" s="514"/>
      <c r="E877" s="514"/>
      <c r="F877" s="514"/>
      <c r="G877" s="514"/>
      <c r="H877" s="514"/>
      <c r="I877" s="514"/>
      <c r="J877" s="514"/>
      <c r="K877" s="514"/>
      <c r="L877" s="514"/>
      <c r="M877" s="514"/>
      <c r="N877" s="992"/>
      <c r="O877" s="992"/>
      <c r="P877" s="993"/>
      <c r="Q877" s="993"/>
      <c r="R877" s="993"/>
      <c r="S877" s="514"/>
      <c r="T877" s="514"/>
      <c r="U877" s="514"/>
      <c r="V877" s="514"/>
      <c r="W877" s="514"/>
      <c r="X877" s="514"/>
      <c r="Y877" s="514"/>
    </row>
    <row r="878">
      <c r="A878" s="514"/>
      <c r="B878" s="514"/>
      <c r="C878" s="514"/>
      <c r="D878" s="514"/>
      <c r="E878" s="514"/>
      <c r="F878" s="514"/>
      <c r="G878" s="514"/>
      <c r="H878" s="514"/>
      <c r="I878" s="514"/>
      <c r="J878" s="514"/>
      <c r="K878" s="514"/>
      <c r="L878" s="514"/>
      <c r="M878" s="514"/>
      <c r="N878" s="992"/>
      <c r="O878" s="992"/>
      <c r="P878" s="993"/>
      <c r="Q878" s="993"/>
      <c r="R878" s="993"/>
      <c r="S878" s="514"/>
      <c r="T878" s="514"/>
      <c r="U878" s="514"/>
      <c r="V878" s="514"/>
      <c r="W878" s="514"/>
      <c r="X878" s="514"/>
      <c r="Y878" s="514"/>
    </row>
    <row r="879">
      <c r="A879" s="514"/>
      <c r="B879" s="514"/>
      <c r="C879" s="514"/>
      <c r="D879" s="514"/>
      <c r="E879" s="514"/>
      <c r="F879" s="514"/>
      <c r="G879" s="514"/>
      <c r="H879" s="514"/>
      <c r="I879" s="514"/>
      <c r="J879" s="514"/>
      <c r="K879" s="514"/>
      <c r="L879" s="514"/>
      <c r="M879" s="514"/>
      <c r="N879" s="992"/>
      <c r="O879" s="992"/>
      <c r="P879" s="993"/>
      <c r="Q879" s="993"/>
      <c r="R879" s="993"/>
      <c r="S879" s="514"/>
      <c r="T879" s="514"/>
      <c r="U879" s="514"/>
      <c r="V879" s="514"/>
      <c r="W879" s="514"/>
      <c r="X879" s="514"/>
      <c r="Y879" s="514"/>
    </row>
    <row r="880">
      <c r="A880" s="514"/>
      <c r="B880" s="514"/>
      <c r="C880" s="514"/>
      <c r="D880" s="514"/>
      <c r="E880" s="514"/>
      <c r="F880" s="514"/>
      <c r="G880" s="514"/>
      <c r="H880" s="514"/>
      <c r="I880" s="514"/>
      <c r="J880" s="514"/>
      <c r="K880" s="514"/>
      <c r="L880" s="514"/>
      <c r="M880" s="514"/>
      <c r="N880" s="992"/>
      <c r="O880" s="992"/>
      <c r="P880" s="993"/>
      <c r="Q880" s="993"/>
      <c r="R880" s="993"/>
      <c r="S880" s="514"/>
      <c r="T880" s="514"/>
      <c r="U880" s="514"/>
      <c r="V880" s="514"/>
      <c r="W880" s="514"/>
      <c r="X880" s="514"/>
      <c r="Y880" s="514"/>
    </row>
    <row r="881">
      <c r="A881" s="514"/>
      <c r="B881" s="514"/>
      <c r="C881" s="514"/>
      <c r="D881" s="514"/>
      <c r="E881" s="514"/>
      <c r="F881" s="514"/>
      <c r="G881" s="514"/>
      <c r="H881" s="514"/>
      <c r="I881" s="514"/>
      <c r="J881" s="514"/>
      <c r="K881" s="514"/>
      <c r="L881" s="514"/>
      <c r="M881" s="514"/>
      <c r="N881" s="992"/>
      <c r="O881" s="992"/>
      <c r="P881" s="993"/>
      <c r="Q881" s="993"/>
      <c r="R881" s="993"/>
      <c r="S881" s="514"/>
      <c r="T881" s="514"/>
      <c r="U881" s="514"/>
      <c r="V881" s="514"/>
      <c r="W881" s="514"/>
      <c r="X881" s="514"/>
      <c r="Y881" s="514"/>
    </row>
    <row r="882">
      <c r="A882" s="514"/>
      <c r="B882" s="514"/>
      <c r="C882" s="514"/>
      <c r="D882" s="514"/>
      <c r="E882" s="514"/>
      <c r="F882" s="514"/>
      <c r="G882" s="514"/>
      <c r="H882" s="514"/>
      <c r="I882" s="514"/>
      <c r="J882" s="514"/>
      <c r="K882" s="514"/>
      <c r="L882" s="514"/>
      <c r="M882" s="514"/>
      <c r="N882" s="992"/>
      <c r="O882" s="992"/>
      <c r="P882" s="993"/>
      <c r="Q882" s="993"/>
      <c r="R882" s="993"/>
      <c r="S882" s="514"/>
      <c r="T882" s="514"/>
      <c r="U882" s="514"/>
      <c r="V882" s="514"/>
      <c r="W882" s="514"/>
      <c r="X882" s="514"/>
      <c r="Y882" s="514"/>
    </row>
    <row r="883">
      <c r="A883" s="514"/>
      <c r="B883" s="514"/>
      <c r="C883" s="514"/>
      <c r="D883" s="514"/>
      <c r="E883" s="514"/>
      <c r="F883" s="514"/>
      <c r="G883" s="514"/>
      <c r="H883" s="514"/>
      <c r="I883" s="514"/>
      <c r="J883" s="514"/>
      <c r="K883" s="514"/>
      <c r="L883" s="514"/>
      <c r="M883" s="514"/>
      <c r="N883" s="992"/>
      <c r="O883" s="992"/>
      <c r="P883" s="993"/>
      <c r="Q883" s="993"/>
      <c r="R883" s="993"/>
      <c r="S883" s="514"/>
      <c r="T883" s="514"/>
      <c r="U883" s="514"/>
      <c r="V883" s="514"/>
      <c r="W883" s="514"/>
      <c r="X883" s="514"/>
      <c r="Y883" s="514"/>
    </row>
    <row r="884">
      <c r="A884" s="514"/>
      <c r="B884" s="514"/>
      <c r="C884" s="514"/>
      <c r="D884" s="514"/>
      <c r="E884" s="514"/>
      <c r="F884" s="514"/>
      <c r="G884" s="514"/>
      <c r="H884" s="514"/>
      <c r="I884" s="514"/>
      <c r="J884" s="514"/>
      <c r="K884" s="514"/>
      <c r="L884" s="514"/>
      <c r="M884" s="514"/>
      <c r="N884" s="992"/>
      <c r="O884" s="992"/>
      <c r="P884" s="993"/>
      <c r="Q884" s="993"/>
      <c r="R884" s="993"/>
      <c r="S884" s="514"/>
      <c r="T884" s="514"/>
      <c r="U884" s="514"/>
      <c r="V884" s="514"/>
      <c r="W884" s="514"/>
      <c r="X884" s="514"/>
      <c r="Y884" s="514"/>
    </row>
    <row r="885">
      <c r="A885" s="514"/>
      <c r="B885" s="514"/>
      <c r="C885" s="514"/>
      <c r="D885" s="514"/>
      <c r="E885" s="514"/>
      <c r="F885" s="514"/>
      <c r="G885" s="514"/>
      <c r="H885" s="514"/>
      <c r="I885" s="514"/>
      <c r="J885" s="514"/>
      <c r="K885" s="514"/>
      <c r="L885" s="514"/>
      <c r="M885" s="514"/>
      <c r="N885" s="992"/>
      <c r="O885" s="992"/>
      <c r="P885" s="993"/>
      <c r="Q885" s="993"/>
      <c r="R885" s="993"/>
      <c r="S885" s="514"/>
      <c r="T885" s="514"/>
      <c r="U885" s="514"/>
      <c r="V885" s="514"/>
      <c r="W885" s="514"/>
      <c r="X885" s="514"/>
      <c r="Y885" s="514"/>
    </row>
    <row r="886">
      <c r="A886" s="514"/>
      <c r="B886" s="514"/>
      <c r="C886" s="514"/>
      <c r="D886" s="514"/>
      <c r="E886" s="514"/>
      <c r="F886" s="514"/>
      <c r="G886" s="514"/>
      <c r="H886" s="514"/>
      <c r="I886" s="514"/>
      <c r="J886" s="514"/>
      <c r="K886" s="514"/>
      <c r="L886" s="514"/>
      <c r="M886" s="514"/>
      <c r="N886" s="992"/>
      <c r="O886" s="992"/>
      <c r="P886" s="993"/>
      <c r="Q886" s="993"/>
      <c r="R886" s="993"/>
      <c r="S886" s="514"/>
      <c r="T886" s="514"/>
      <c r="U886" s="514"/>
      <c r="V886" s="514"/>
      <c r="W886" s="514"/>
      <c r="X886" s="514"/>
      <c r="Y886" s="514"/>
    </row>
    <row r="887">
      <c r="A887" s="514"/>
      <c r="B887" s="514"/>
      <c r="C887" s="514"/>
      <c r="D887" s="514"/>
      <c r="E887" s="514"/>
      <c r="F887" s="514"/>
      <c r="G887" s="514"/>
      <c r="H887" s="514"/>
      <c r="I887" s="514"/>
      <c r="J887" s="514"/>
      <c r="K887" s="514"/>
      <c r="L887" s="514"/>
      <c r="M887" s="514"/>
      <c r="N887" s="992"/>
      <c r="O887" s="992"/>
      <c r="P887" s="993"/>
      <c r="Q887" s="993"/>
      <c r="R887" s="993"/>
      <c r="S887" s="514"/>
      <c r="T887" s="514"/>
      <c r="U887" s="514"/>
      <c r="V887" s="514"/>
      <c r="W887" s="514"/>
      <c r="X887" s="514"/>
      <c r="Y887" s="514"/>
    </row>
    <row r="888">
      <c r="A888" s="514"/>
      <c r="B888" s="514"/>
      <c r="C888" s="514"/>
      <c r="D888" s="514"/>
      <c r="E888" s="514"/>
      <c r="F888" s="514"/>
      <c r="G888" s="514"/>
      <c r="H888" s="514"/>
      <c r="I888" s="514"/>
      <c r="J888" s="514"/>
      <c r="K888" s="514"/>
      <c r="L888" s="514"/>
      <c r="M888" s="514"/>
      <c r="N888" s="992"/>
      <c r="O888" s="992"/>
      <c r="P888" s="993"/>
      <c r="Q888" s="993"/>
      <c r="R888" s="993"/>
      <c r="S888" s="514"/>
      <c r="T888" s="514"/>
      <c r="U888" s="514"/>
      <c r="V888" s="514"/>
      <c r="W888" s="514"/>
      <c r="X888" s="514"/>
      <c r="Y888" s="514"/>
    </row>
    <row r="889">
      <c r="A889" s="514"/>
      <c r="B889" s="514"/>
      <c r="C889" s="514"/>
      <c r="D889" s="514"/>
      <c r="E889" s="514"/>
      <c r="F889" s="514"/>
      <c r="G889" s="514"/>
      <c r="H889" s="514"/>
      <c r="I889" s="514"/>
      <c r="J889" s="514"/>
      <c r="K889" s="514"/>
      <c r="L889" s="514"/>
      <c r="M889" s="514"/>
      <c r="N889" s="992"/>
      <c r="O889" s="992"/>
      <c r="P889" s="993"/>
      <c r="Q889" s="993"/>
      <c r="R889" s="993"/>
      <c r="S889" s="514"/>
      <c r="T889" s="514"/>
      <c r="U889" s="514"/>
      <c r="V889" s="514"/>
      <c r="W889" s="514"/>
      <c r="X889" s="514"/>
      <c r="Y889" s="514"/>
    </row>
    <row r="890">
      <c r="A890" s="514"/>
      <c r="B890" s="514"/>
      <c r="C890" s="514"/>
      <c r="D890" s="514"/>
      <c r="E890" s="514"/>
      <c r="F890" s="514"/>
      <c r="G890" s="514"/>
      <c r="H890" s="514"/>
      <c r="I890" s="514"/>
      <c r="J890" s="514"/>
      <c r="K890" s="514"/>
      <c r="L890" s="514"/>
      <c r="M890" s="514"/>
      <c r="N890" s="992"/>
      <c r="O890" s="992"/>
      <c r="P890" s="993"/>
      <c r="Q890" s="993"/>
      <c r="R890" s="993"/>
      <c r="S890" s="514"/>
      <c r="T890" s="514"/>
      <c r="U890" s="514"/>
      <c r="V890" s="514"/>
      <c r="W890" s="514"/>
      <c r="X890" s="514"/>
      <c r="Y890" s="514"/>
    </row>
    <row r="891">
      <c r="A891" s="514"/>
      <c r="B891" s="514"/>
      <c r="C891" s="514"/>
      <c r="D891" s="514"/>
      <c r="E891" s="514"/>
      <c r="F891" s="514"/>
      <c r="G891" s="514"/>
      <c r="H891" s="514"/>
      <c r="I891" s="514"/>
      <c r="J891" s="514"/>
      <c r="K891" s="514"/>
      <c r="L891" s="514"/>
      <c r="M891" s="514"/>
      <c r="N891" s="992"/>
      <c r="O891" s="992"/>
      <c r="P891" s="993"/>
      <c r="Q891" s="993"/>
      <c r="R891" s="993"/>
      <c r="S891" s="514"/>
      <c r="T891" s="514"/>
      <c r="U891" s="514"/>
      <c r="V891" s="514"/>
      <c r="W891" s="514"/>
      <c r="X891" s="514"/>
      <c r="Y891" s="514"/>
    </row>
    <row r="892">
      <c r="A892" s="514"/>
      <c r="B892" s="514"/>
      <c r="C892" s="514"/>
      <c r="D892" s="514"/>
      <c r="E892" s="514"/>
      <c r="F892" s="514"/>
      <c r="G892" s="514"/>
      <c r="H892" s="514"/>
      <c r="I892" s="514"/>
      <c r="J892" s="514"/>
      <c r="K892" s="514"/>
      <c r="L892" s="514"/>
      <c r="M892" s="514"/>
      <c r="N892" s="992"/>
      <c r="O892" s="992"/>
      <c r="P892" s="993"/>
      <c r="Q892" s="993"/>
      <c r="R892" s="993"/>
      <c r="S892" s="514"/>
      <c r="T892" s="514"/>
      <c r="U892" s="514"/>
      <c r="V892" s="514"/>
      <c r="W892" s="514"/>
      <c r="X892" s="514"/>
      <c r="Y892" s="514"/>
    </row>
    <row r="893">
      <c r="A893" s="514"/>
      <c r="B893" s="514"/>
      <c r="C893" s="514"/>
      <c r="D893" s="514"/>
      <c r="E893" s="514"/>
      <c r="F893" s="514"/>
      <c r="G893" s="514"/>
      <c r="H893" s="514"/>
      <c r="I893" s="514"/>
      <c r="J893" s="514"/>
      <c r="K893" s="514"/>
      <c r="L893" s="514"/>
      <c r="M893" s="514"/>
      <c r="N893" s="992"/>
      <c r="O893" s="992"/>
      <c r="P893" s="993"/>
      <c r="Q893" s="993"/>
      <c r="R893" s="993"/>
      <c r="S893" s="514"/>
      <c r="T893" s="514"/>
      <c r="U893" s="514"/>
      <c r="V893" s="514"/>
      <c r="W893" s="514"/>
      <c r="X893" s="514"/>
      <c r="Y893" s="514"/>
    </row>
    <row r="894">
      <c r="A894" s="514"/>
      <c r="B894" s="514"/>
      <c r="C894" s="514"/>
      <c r="D894" s="514"/>
      <c r="E894" s="514"/>
      <c r="F894" s="514"/>
      <c r="G894" s="514"/>
      <c r="H894" s="514"/>
      <c r="I894" s="514"/>
      <c r="J894" s="514"/>
      <c r="K894" s="514"/>
      <c r="L894" s="514"/>
      <c r="M894" s="514"/>
      <c r="N894" s="992"/>
      <c r="O894" s="992"/>
      <c r="P894" s="993"/>
      <c r="Q894" s="993"/>
      <c r="R894" s="993"/>
      <c r="S894" s="514"/>
      <c r="T894" s="514"/>
      <c r="U894" s="514"/>
      <c r="V894" s="514"/>
      <c r="W894" s="514"/>
      <c r="X894" s="514"/>
      <c r="Y894" s="514"/>
    </row>
    <row r="895">
      <c r="A895" s="514"/>
      <c r="B895" s="514"/>
      <c r="C895" s="514"/>
      <c r="D895" s="514"/>
      <c r="E895" s="514"/>
      <c r="F895" s="514"/>
      <c r="G895" s="514"/>
      <c r="H895" s="514"/>
      <c r="I895" s="514"/>
      <c r="J895" s="514"/>
      <c r="K895" s="514"/>
      <c r="L895" s="514"/>
      <c r="M895" s="514"/>
      <c r="N895" s="992"/>
      <c r="O895" s="992"/>
      <c r="P895" s="993"/>
      <c r="Q895" s="993"/>
      <c r="R895" s="993"/>
      <c r="S895" s="514"/>
      <c r="T895" s="514"/>
      <c r="U895" s="514"/>
      <c r="V895" s="514"/>
      <c r="W895" s="514"/>
      <c r="X895" s="514"/>
      <c r="Y895" s="514"/>
    </row>
    <row r="896">
      <c r="A896" s="514"/>
      <c r="B896" s="514"/>
      <c r="C896" s="514"/>
      <c r="D896" s="514"/>
      <c r="E896" s="514"/>
      <c r="F896" s="514"/>
      <c r="G896" s="514"/>
      <c r="H896" s="514"/>
      <c r="I896" s="514"/>
      <c r="J896" s="514"/>
      <c r="K896" s="514"/>
      <c r="L896" s="514"/>
      <c r="M896" s="514"/>
      <c r="N896" s="992"/>
      <c r="O896" s="992"/>
      <c r="P896" s="993"/>
      <c r="Q896" s="993"/>
      <c r="R896" s="993"/>
      <c r="S896" s="514"/>
      <c r="T896" s="514"/>
      <c r="U896" s="514"/>
      <c r="V896" s="514"/>
      <c r="W896" s="514"/>
      <c r="X896" s="514"/>
      <c r="Y896" s="514"/>
    </row>
    <row r="897">
      <c r="A897" s="514"/>
      <c r="B897" s="514"/>
      <c r="C897" s="514"/>
      <c r="D897" s="514"/>
      <c r="E897" s="514"/>
      <c r="F897" s="514"/>
      <c r="G897" s="514"/>
      <c r="H897" s="514"/>
      <c r="I897" s="514"/>
      <c r="J897" s="514"/>
      <c r="K897" s="514"/>
      <c r="L897" s="514"/>
      <c r="M897" s="514"/>
      <c r="N897" s="992"/>
      <c r="O897" s="992"/>
      <c r="P897" s="993"/>
      <c r="Q897" s="993"/>
      <c r="R897" s="993"/>
      <c r="S897" s="514"/>
      <c r="T897" s="514"/>
      <c r="U897" s="514"/>
      <c r="V897" s="514"/>
      <c r="W897" s="514"/>
      <c r="X897" s="514"/>
      <c r="Y897" s="514"/>
    </row>
    <row r="898">
      <c r="A898" s="514"/>
      <c r="B898" s="514"/>
      <c r="C898" s="514"/>
      <c r="D898" s="514"/>
      <c r="E898" s="514"/>
      <c r="F898" s="514"/>
      <c r="G898" s="514"/>
      <c r="H898" s="514"/>
      <c r="I898" s="514"/>
      <c r="J898" s="514"/>
      <c r="K898" s="514"/>
      <c r="L898" s="514"/>
      <c r="M898" s="514"/>
      <c r="N898" s="992"/>
      <c r="O898" s="992"/>
      <c r="P898" s="993"/>
      <c r="Q898" s="993"/>
      <c r="R898" s="993"/>
      <c r="S898" s="514"/>
      <c r="T898" s="514"/>
      <c r="U898" s="514"/>
      <c r="V898" s="514"/>
      <c r="W898" s="514"/>
      <c r="X898" s="514"/>
      <c r="Y898" s="514"/>
    </row>
    <row r="899">
      <c r="A899" s="514"/>
      <c r="B899" s="514"/>
      <c r="C899" s="514"/>
      <c r="D899" s="514"/>
      <c r="E899" s="514"/>
      <c r="F899" s="514"/>
      <c r="G899" s="514"/>
      <c r="H899" s="514"/>
      <c r="I899" s="514"/>
      <c r="J899" s="514"/>
      <c r="K899" s="514"/>
      <c r="L899" s="514"/>
      <c r="M899" s="514"/>
      <c r="N899" s="992"/>
      <c r="O899" s="992"/>
      <c r="P899" s="993"/>
      <c r="Q899" s="993"/>
      <c r="R899" s="993"/>
      <c r="S899" s="514"/>
      <c r="T899" s="514"/>
      <c r="U899" s="514"/>
      <c r="V899" s="514"/>
      <c r="W899" s="514"/>
      <c r="X899" s="514"/>
      <c r="Y899" s="514"/>
    </row>
    <row r="900">
      <c r="A900" s="514"/>
      <c r="B900" s="514"/>
      <c r="C900" s="514"/>
      <c r="D900" s="514"/>
      <c r="E900" s="514"/>
      <c r="F900" s="514"/>
      <c r="G900" s="514"/>
      <c r="H900" s="514"/>
      <c r="I900" s="514"/>
      <c r="J900" s="514"/>
      <c r="K900" s="514"/>
      <c r="L900" s="514"/>
      <c r="M900" s="514"/>
      <c r="N900" s="992"/>
      <c r="O900" s="992"/>
      <c r="P900" s="993"/>
      <c r="Q900" s="993"/>
      <c r="R900" s="993"/>
      <c r="S900" s="514"/>
      <c r="T900" s="514"/>
      <c r="U900" s="514"/>
      <c r="V900" s="514"/>
      <c r="W900" s="514"/>
      <c r="X900" s="514"/>
      <c r="Y900" s="514"/>
    </row>
    <row r="901">
      <c r="A901" s="514"/>
      <c r="B901" s="514"/>
      <c r="C901" s="514"/>
      <c r="D901" s="514"/>
      <c r="E901" s="514"/>
      <c r="F901" s="514"/>
      <c r="G901" s="514"/>
      <c r="H901" s="514"/>
      <c r="I901" s="514"/>
      <c r="J901" s="514"/>
      <c r="K901" s="514"/>
      <c r="L901" s="514"/>
      <c r="M901" s="514"/>
      <c r="N901" s="992"/>
      <c r="O901" s="992"/>
      <c r="P901" s="993"/>
      <c r="Q901" s="993"/>
      <c r="R901" s="993"/>
      <c r="S901" s="514"/>
      <c r="T901" s="514"/>
      <c r="U901" s="514"/>
      <c r="V901" s="514"/>
      <c r="W901" s="514"/>
      <c r="X901" s="514"/>
      <c r="Y901" s="514"/>
    </row>
    <row r="902">
      <c r="A902" s="514"/>
      <c r="B902" s="514"/>
      <c r="C902" s="514"/>
      <c r="D902" s="514"/>
      <c r="E902" s="514"/>
      <c r="F902" s="514"/>
      <c r="G902" s="514"/>
      <c r="H902" s="514"/>
      <c r="I902" s="514"/>
      <c r="J902" s="514"/>
      <c r="K902" s="514"/>
      <c r="L902" s="514"/>
      <c r="M902" s="514"/>
      <c r="N902" s="992"/>
      <c r="O902" s="992"/>
      <c r="P902" s="993"/>
      <c r="Q902" s="993"/>
      <c r="R902" s="993"/>
      <c r="S902" s="514"/>
      <c r="T902" s="514"/>
      <c r="U902" s="514"/>
      <c r="V902" s="514"/>
      <c r="W902" s="514"/>
      <c r="X902" s="514"/>
      <c r="Y902" s="514"/>
    </row>
    <row r="903">
      <c r="A903" s="514"/>
      <c r="B903" s="514"/>
      <c r="C903" s="514"/>
      <c r="D903" s="514"/>
      <c r="E903" s="514"/>
      <c r="F903" s="514"/>
      <c r="G903" s="514"/>
      <c r="H903" s="514"/>
      <c r="I903" s="514"/>
      <c r="J903" s="514"/>
      <c r="K903" s="514"/>
      <c r="L903" s="514"/>
      <c r="M903" s="514"/>
      <c r="N903" s="992"/>
      <c r="O903" s="992"/>
      <c r="P903" s="993"/>
      <c r="Q903" s="993"/>
      <c r="R903" s="993"/>
      <c r="S903" s="514"/>
      <c r="T903" s="514"/>
      <c r="U903" s="514"/>
      <c r="V903" s="514"/>
      <c r="W903" s="514"/>
      <c r="X903" s="514"/>
      <c r="Y903" s="514"/>
    </row>
    <row r="904">
      <c r="A904" s="514"/>
      <c r="B904" s="514"/>
      <c r="C904" s="514"/>
      <c r="D904" s="514"/>
      <c r="E904" s="514"/>
      <c r="F904" s="514"/>
      <c r="G904" s="514"/>
      <c r="H904" s="514"/>
      <c r="I904" s="514"/>
      <c r="J904" s="514"/>
      <c r="K904" s="514"/>
      <c r="L904" s="514"/>
      <c r="M904" s="514"/>
      <c r="N904" s="992"/>
      <c r="O904" s="992"/>
      <c r="P904" s="993"/>
      <c r="Q904" s="993"/>
      <c r="R904" s="993"/>
      <c r="S904" s="514"/>
      <c r="T904" s="514"/>
      <c r="U904" s="514"/>
      <c r="V904" s="514"/>
      <c r="W904" s="514"/>
      <c r="X904" s="514"/>
      <c r="Y904" s="514"/>
    </row>
    <row r="905">
      <c r="A905" s="514"/>
      <c r="B905" s="514"/>
      <c r="C905" s="514"/>
      <c r="D905" s="514"/>
      <c r="E905" s="514"/>
      <c r="F905" s="514"/>
      <c r="G905" s="514"/>
      <c r="H905" s="514"/>
      <c r="I905" s="514"/>
      <c r="J905" s="514"/>
      <c r="K905" s="514"/>
      <c r="L905" s="514"/>
      <c r="M905" s="514"/>
      <c r="N905" s="992"/>
      <c r="O905" s="992"/>
      <c r="P905" s="993"/>
      <c r="Q905" s="993"/>
      <c r="R905" s="993"/>
      <c r="S905" s="514"/>
      <c r="T905" s="514"/>
      <c r="U905" s="514"/>
      <c r="V905" s="514"/>
      <c r="W905" s="514"/>
      <c r="X905" s="514"/>
      <c r="Y905" s="514"/>
    </row>
    <row r="906">
      <c r="A906" s="514"/>
      <c r="B906" s="514"/>
      <c r="C906" s="514"/>
      <c r="D906" s="514"/>
      <c r="E906" s="514"/>
      <c r="F906" s="514"/>
      <c r="G906" s="514"/>
      <c r="H906" s="514"/>
      <c r="I906" s="514"/>
      <c r="J906" s="514"/>
      <c r="K906" s="514"/>
      <c r="L906" s="514"/>
      <c r="M906" s="514"/>
      <c r="N906" s="992"/>
      <c r="O906" s="992"/>
      <c r="P906" s="993"/>
      <c r="Q906" s="993"/>
      <c r="R906" s="993"/>
      <c r="S906" s="514"/>
      <c r="T906" s="514"/>
      <c r="U906" s="514"/>
      <c r="V906" s="514"/>
      <c r="W906" s="514"/>
      <c r="X906" s="514"/>
      <c r="Y906" s="514"/>
    </row>
    <row r="907">
      <c r="A907" s="514"/>
      <c r="B907" s="514"/>
      <c r="C907" s="514"/>
      <c r="D907" s="514"/>
      <c r="E907" s="514"/>
      <c r="F907" s="514"/>
      <c r="G907" s="514"/>
      <c r="H907" s="514"/>
      <c r="I907" s="514"/>
      <c r="J907" s="514"/>
      <c r="K907" s="514"/>
      <c r="L907" s="514"/>
      <c r="M907" s="514"/>
      <c r="N907" s="992"/>
      <c r="O907" s="992"/>
      <c r="P907" s="993"/>
      <c r="Q907" s="993"/>
      <c r="R907" s="993"/>
      <c r="S907" s="514"/>
      <c r="T907" s="514"/>
      <c r="U907" s="514"/>
      <c r="V907" s="514"/>
      <c r="W907" s="514"/>
      <c r="X907" s="514"/>
      <c r="Y907" s="514"/>
    </row>
    <row r="908">
      <c r="A908" s="514"/>
      <c r="B908" s="514"/>
      <c r="C908" s="514"/>
      <c r="D908" s="514"/>
      <c r="E908" s="514"/>
      <c r="F908" s="514"/>
      <c r="G908" s="514"/>
      <c r="H908" s="514"/>
      <c r="I908" s="514"/>
      <c r="J908" s="514"/>
      <c r="K908" s="514"/>
      <c r="L908" s="514"/>
      <c r="M908" s="514"/>
      <c r="N908" s="992"/>
      <c r="O908" s="992"/>
      <c r="P908" s="993"/>
      <c r="Q908" s="993"/>
      <c r="R908" s="993"/>
      <c r="S908" s="514"/>
      <c r="T908" s="514"/>
      <c r="U908" s="514"/>
      <c r="V908" s="514"/>
      <c r="W908" s="514"/>
      <c r="X908" s="514"/>
      <c r="Y908" s="514"/>
    </row>
    <row r="909">
      <c r="A909" s="514"/>
      <c r="B909" s="514"/>
      <c r="C909" s="514"/>
      <c r="D909" s="514"/>
      <c r="E909" s="514"/>
      <c r="F909" s="514"/>
      <c r="G909" s="514"/>
      <c r="H909" s="514"/>
      <c r="I909" s="514"/>
      <c r="J909" s="514"/>
      <c r="K909" s="514"/>
      <c r="L909" s="514"/>
      <c r="M909" s="514"/>
      <c r="N909" s="992"/>
      <c r="O909" s="992"/>
      <c r="P909" s="993"/>
      <c r="Q909" s="993"/>
      <c r="R909" s="993"/>
      <c r="S909" s="514"/>
      <c r="T909" s="514"/>
      <c r="U909" s="514"/>
      <c r="V909" s="514"/>
      <c r="W909" s="514"/>
      <c r="X909" s="514"/>
      <c r="Y909" s="514"/>
    </row>
    <row r="910">
      <c r="A910" s="514"/>
      <c r="B910" s="514"/>
      <c r="C910" s="514"/>
      <c r="D910" s="514"/>
      <c r="E910" s="514"/>
      <c r="F910" s="514"/>
      <c r="G910" s="514"/>
      <c r="H910" s="514"/>
      <c r="I910" s="514"/>
      <c r="J910" s="514"/>
      <c r="K910" s="514"/>
      <c r="L910" s="514"/>
      <c r="M910" s="514"/>
      <c r="N910" s="992"/>
      <c r="O910" s="992"/>
      <c r="P910" s="993"/>
      <c r="Q910" s="993"/>
      <c r="R910" s="993"/>
      <c r="S910" s="514"/>
      <c r="T910" s="514"/>
      <c r="U910" s="514"/>
      <c r="V910" s="514"/>
      <c r="W910" s="514"/>
      <c r="X910" s="514"/>
      <c r="Y910" s="514"/>
    </row>
    <row r="911">
      <c r="A911" s="514"/>
      <c r="B911" s="514"/>
      <c r="C911" s="514"/>
      <c r="D911" s="514"/>
      <c r="E911" s="514"/>
      <c r="F911" s="514"/>
      <c r="G911" s="514"/>
      <c r="H911" s="514"/>
      <c r="I911" s="514"/>
      <c r="J911" s="514"/>
      <c r="K911" s="514"/>
      <c r="L911" s="514"/>
      <c r="M911" s="514"/>
      <c r="N911" s="992"/>
      <c r="O911" s="992"/>
      <c r="P911" s="993"/>
      <c r="Q911" s="993"/>
      <c r="R911" s="993"/>
      <c r="S911" s="514"/>
      <c r="T911" s="514"/>
      <c r="U911" s="514"/>
      <c r="V911" s="514"/>
      <c r="W911" s="514"/>
      <c r="X911" s="514"/>
      <c r="Y911" s="514"/>
    </row>
    <row r="912">
      <c r="A912" s="514"/>
      <c r="B912" s="514"/>
      <c r="C912" s="514"/>
      <c r="D912" s="514"/>
      <c r="E912" s="514"/>
      <c r="F912" s="514"/>
      <c r="G912" s="514"/>
      <c r="H912" s="514"/>
      <c r="I912" s="514"/>
      <c r="J912" s="514"/>
      <c r="K912" s="514"/>
      <c r="L912" s="514"/>
      <c r="M912" s="514"/>
      <c r="N912" s="992"/>
      <c r="O912" s="992"/>
      <c r="P912" s="993"/>
      <c r="Q912" s="993"/>
      <c r="R912" s="993"/>
      <c r="S912" s="514"/>
      <c r="T912" s="514"/>
      <c r="U912" s="514"/>
      <c r="V912" s="514"/>
      <c r="W912" s="514"/>
      <c r="X912" s="514"/>
      <c r="Y912" s="514"/>
    </row>
    <row r="913">
      <c r="A913" s="514"/>
      <c r="B913" s="514"/>
      <c r="C913" s="514"/>
      <c r="D913" s="514"/>
      <c r="E913" s="514"/>
      <c r="F913" s="514"/>
      <c r="G913" s="514"/>
      <c r="H913" s="514"/>
      <c r="I913" s="514"/>
      <c r="J913" s="514"/>
      <c r="K913" s="514"/>
      <c r="L913" s="514"/>
      <c r="M913" s="514"/>
      <c r="N913" s="992"/>
      <c r="O913" s="992"/>
      <c r="P913" s="993"/>
      <c r="Q913" s="993"/>
      <c r="R913" s="993"/>
      <c r="S913" s="514"/>
      <c r="T913" s="514"/>
      <c r="U913" s="514"/>
      <c r="V913" s="514"/>
      <c r="W913" s="514"/>
      <c r="X913" s="514"/>
      <c r="Y913" s="514"/>
    </row>
    <row r="914">
      <c r="A914" s="514"/>
      <c r="B914" s="514"/>
      <c r="C914" s="514"/>
      <c r="D914" s="514"/>
      <c r="E914" s="514"/>
      <c r="F914" s="514"/>
      <c r="G914" s="514"/>
      <c r="H914" s="514"/>
      <c r="I914" s="514"/>
      <c r="J914" s="514"/>
      <c r="K914" s="514"/>
      <c r="L914" s="514"/>
      <c r="M914" s="514"/>
      <c r="N914" s="992"/>
      <c r="O914" s="992"/>
      <c r="P914" s="993"/>
      <c r="Q914" s="993"/>
      <c r="R914" s="993"/>
      <c r="S914" s="514"/>
      <c r="T914" s="514"/>
      <c r="U914" s="514"/>
      <c r="V914" s="514"/>
      <c r="W914" s="514"/>
      <c r="X914" s="514"/>
      <c r="Y914" s="514"/>
    </row>
    <row r="915">
      <c r="A915" s="514"/>
      <c r="B915" s="514"/>
      <c r="C915" s="514"/>
      <c r="D915" s="514"/>
      <c r="E915" s="514"/>
      <c r="F915" s="514"/>
      <c r="G915" s="514"/>
      <c r="H915" s="514"/>
      <c r="I915" s="514"/>
      <c r="J915" s="514"/>
      <c r="K915" s="514"/>
      <c r="L915" s="514"/>
      <c r="M915" s="514"/>
      <c r="N915" s="992"/>
      <c r="O915" s="992"/>
      <c r="P915" s="993"/>
      <c r="Q915" s="993"/>
      <c r="R915" s="993"/>
      <c r="S915" s="514"/>
      <c r="T915" s="514"/>
      <c r="U915" s="514"/>
      <c r="V915" s="514"/>
      <c r="W915" s="514"/>
      <c r="X915" s="514"/>
      <c r="Y915" s="514"/>
    </row>
    <row r="916">
      <c r="A916" s="514"/>
      <c r="B916" s="514"/>
      <c r="C916" s="514"/>
      <c r="D916" s="514"/>
      <c r="E916" s="514"/>
      <c r="F916" s="514"/>
      <c r="G916" s="514"/>
      <c r="H916" s="514"/>
      <c r="I916" s="514"/>
      <c r="J916" s="514"/>
      <c r="K916" s="514"/>
      <c r="L916" s="514"/>
      <c r="M916" s="514"/>
      <c r="N916" s="992"/>
      <c r="O916" s="992"/>
      <c r="P916" s="993"/>
      <c r="Q916" s="993"/>
      <c r="R916" s="993"/>
      <c r="S916" s="514"/>
      <c r="T916" s="514"/>
      <c r="U916" s="514"/>
      <c r="V916" s="514"/>
      <c r="W916" s="514"/>
      <c r="X916" s="514"/>
      <c r="Y916" s="514"/>
    </row>
    <row r="917">
      <c r="A917" s="514"/>
      <c r="B917" s="514"/>
      <c r="C917" s="514"/>
      <c r="D917" s="514"/>
      <c r="E917" s="514"/>
      <c r="F917" s="514"/>
      <c r="G917" s="514"/>
      <c r="H917" s="514"/>
      <c r="I917" s="514"/>
      <c r="J917" s="514"/>
      <c r="K917" s="514"/>
      <c r="L917" s="514"/>
      <c r="M917" s="514"/>
      <c r="N917" s="992"/>
      <c r="O917" s="992"/>
      <c r="P917" s="993"/>
      <c r="Q917" s="993"/>
      <c r="R917" s="993"/>
      <c r="S917" s="514"/>
      <c r="T917" s="514"/>
      <c r="U917" s="514"/>
      <c r="V917" s="514"/>
      <c r="W917" s="514"/>
      <c r="X917" s="514"/>
      <c r="Y917" s="514"/>
    </row>
    <row r="918">
      <c r="A918" s="514"/>
      <c r="B918" s="514"/>
      <c r="C918" s="514"/>
      <c r="D918" s="514"/>
      <c r="E918" s="514"/>
      <c r="F918" s="514"/>
      <c r="G918" s="514"/>
      <c r="H918" s="514"/>
      <c r="I918" s="514"/>
      <c r="J918" s="514"/>
      <c r="K918" s="514"/>
      <c r="L918" s="514"/>
      <c r="M918" s="514"/>
      <c r="N918" s="992"/>
      <c r="O918" s="992"/>
      <c r="P918" s="993"/>
      <c r="Q918" s="993"/>
      <c r="R918" s="993"/>
      <c r="S918" s="514"/>
      <c r="T918" s="514"/>
      <c r="U918" s="514"/>
      <c r="V918" s="514"/>
      <c r="W918" s="514"/>
      <c r="X918" s="514"/>
      <c r="Y918" s="514"/>
    </row>
    <row r="919">
      <c r="A919" s="514"/>
      <c r="B919" s="514"/>
      <c r="C919" s="514"/>
      <c r="D919" s="514"/>
      <c r="E919" s="514"/>
      <c r="F919" s="514"/>
      <c r="G919" s="514"/>
      <c r="H919" s="514"/>
      <c r="I919" s="514"/>
      <c r="J919" s="514"/>
      <c r="K919" s="514"/>
      <c r="L919" s="514"/>
      <c r="M919" s="514"/>
      <c r="N919" s="992"/>
      <c r="O919" s="992"/>
      <c r="P919" s="993"/>
      <c r="Q919" s="993"/>
      <c r="R919" s="993"/>
      <c r="S919" s="514"/>
      <c r="T919" s="514"/>
      <c r="U919" s="514"/>
      <c r="V919" s="514"/>
      <c r="W919" s="514"/>
      <c r="X919" s="514"/>
      <c r="Y919" s="514"/>
    </row>
    <row r="920">
      <c r="A920" s="514"/>
      <c r="B920" s="514"/>
      <c r="C920" s="514"/>
      <c r="D920" s="514"/>
      <c r="E920" s="514"/>
      <c r="F920" s="514"/>
      <c r="G920" s="514"/>
      <c r="H920" s="514"/>
      <c r="I920" s="514"/>
      <c r="J920" s="514"/>
      <c r="K920" s="514"/>
      <c r="L920" s="514"/>
      <c r="M920" s="514"/>
      <c r="N920" s="992"/>
      <c r="O920" s="992"/>
      <c r="P920" s="993"/>
      <c r="Q920" s="993"/>
      <c r="R920" s="993"/>
      <c r="S920" s="514"/>
      <c r="T920" s="514"/>
      <c r="U920" s="514"/>
      <c r="V920" s="514"/>
      <c r="W920" s="514"/>
      <c r="X920" s="514"/>
      <c r="Y920" s="514"/>
    </row>
    <row r="921">
      <c r="A921" s="514"/>
      <c r="B921" s="514"/>
      <c r="C921" s="514"/>
      <c r="D921" s="514"/>
      <c r="E921" s="514"/>
      <c r="F921" s="514"/>
      <c r="G921" s="514"/>
      <c r="H921" s="514"/>
      <c r="I921" s="514"/>
      <c r="J921" s="514"/>
      <c r="K921" s="514"/>
      <c r="L921" s="514"/>
      <c r="M921" s="514"/>
      <c r="N921" s="992"/>
      <c r="O921" s="992"/>
      <c r="P921" s="993"/>
      <c r="Q921" s="993"/>
      <c r="R921" s="993"/>
      <c r="S921" s="514"/>
      <c r="T921" s="514"/>
      <c r="U921" s="514"/>
      <c r="V921" s="514"/>
      <c r="W921" s="514"/>
      <c r="X921" s="514"/>
      <c r="Y921" s="514"/>
    </row>
    <row r="922">
      <c r="A922" s="514"/>
      <c r="B922" s="514"/>
      <c r="C922" s="514"/>
      <c r="D922" s="514"/>
      <c r="E922" s="514"/>
      <c r="F922" s="514"/>
      <c r="G922" s="514"/>
      <c r="H922" s="514"/>
      <c r="I922" s="514"/>
      <c r="J922" s="514"/>
      <c r="K922" s="514"/>
      <c r="L922" s="514"/>
      <c r="M922" s="514"/>
      <c r="N922" s="992"/>
      <c r="O922" s="992"/>
      <c r="P922" s="993"/>
      <c r="Q922" s="993"/>
      <c r="R922" s="993"/>
      <c r="S922" s="514"/>
      <c r="T922" s="514"/>
      <c r="U922" s="514"/>
      <c r="V922" s="514"/>
      <c r="W922" s="514"/>
      <c r="X922" s="514"/>
      <c r="Y922" s="514"/>
    </row>
    <row r="923">
      <c r="A923" s="514"/>
      <c r="B923" s="514"/>
      <c r="C923" s="514"/>
      <c r="D923" s="514"/>
      <c r="E923" s="514"/>
      <c r="F923" s="514"/>
      <c r="G923" s="514"/>
      <c r="H923" s="514"/>
      <c r="I923" s="514"/>
      <c r="J923" s="514"/>
      <c r="K923" s="514"/>
      <c r="L923" s="514"/>
      <c r="M923" s="514"/>
      <c r="N923" s="992"/>
      <c r="O923" s="992"/>
      <c r="P923" s="993"/>
      <c r="Q923" s="993"/>
      <c r="R923" s="993"/>
      <c r="S923" s="514"/>
      <c r="T923" s="514"/>
      <c r="U923" s="514"/>
      <c r="V923" s="514"/>
      <c r="W923" s="514"/>
      <c r="X923" s="514"/>
      <c r="Y923" s="514"/>
    </row>
    <row r="924">
      <c r="A924" s="514"/>
      <c r="B924" s="514"/>
      <c r="C924" s="514"/>
      <c r="D924" s="514"/>
      <c r="E924" s="514"/>
      <c r="F924" s="514"/>
      <c r="G924" s="514"/>
      <c r="H924" s="514"/>
      <c r="I924" s="514"/>
      <c r="J924" s="514"/>
      <c r="K924" s="514"/>
      <c r="L924" s="514"/>
      <c r="M924" s="514"/>
      <c r="N924" s="992"/>
      <c r="O924" s="992"/>
      <c r="P924" s="993"/>
      <c r="Q924" s="993"/>
      <c r="R924" s="993"/>
      <c r="S924" s="514"/>
      <c r="T924" s="514"/>
      <c r="U924" s="514"/>
      <c r="V924" s="514"/>
      <c r="W924" s="514"/>
      <c r="X924" s="514"/>
      <c r="Y924" s="514"/>
    </row>
    <row r="925">
      <c r="A925" s="514"/>
      <c r="B925" s="514"/>
      <c r="C925" s="514"/>
      <c r="D925" s="514"/>
      <c r="E925" s="514"/>
      <c r="F925" s="514"/>
      <c r="G925" s="514"/>
      <c r="H925" s="514"/>
      <c r="I925" s="514"/>
      <c r="J925" s="514"/>
      <c r="K925" s="514"/>
      <c r="L925" s="514"/>
      <c r="M925" s="514"/>
      <c r="N925" s="992"/>
      <c r="O925" s="992"/>
      <c r="P925" s="993"/>
      <c r="Q925" s="993"/>
      <c r="R925" s="993"/>
      <c r="S925" s="514"/>
      <c r="T925" s="514"/>
      <c r="U925" s="514"/>
      <c r="V925" s="514"/>
      <c r="W925" s="514"/>
      <c r="X925" s="514"/>
      <c r="Y925" s="514"/>
    </row>
    <row r="926">
      <c r="A926" s="514"/>
      <c r="B926" s="514"/>
      <c r="C926" s="514"/>
      <c r="D926" s="514"/>
      <c r="E926" s="514"/>
      <c r="F926" s="514"/>
      <c r="G926" s="514"/>
      <c r="H926" s="514"/>
      <c r="I926" s="514"/>
      <c r="J926" s="514"/>
      <c r="K926" s="514"/>
      <c r="L926" s="514"/>
      <c r="M926" s="514"/>
      <c r="N926" s="992"/>
      <c r="O926" s="992"/>
      <c r="P926" s="993"/>
      <c r="Q926" s="993"/>
      <c r="R926" s="993"/>
      <c r="S926" s="514"/>
      <c r="T926" s="514"/>
      <c r="U926" s="514"/>
      <c r="V926" s="514"/>
      <c r="W926" s="514"/>
      <c r="X926" s="514"/>
      <c r="Y926" s="514"/>
    </row>
    <row r="927">
      <c r="A927" s="514"/>
      <c r="B927" s="514"/>
      <c r="C927" s="514"/>
      <c r="D927" s="514"/>
      <c r="E927" s="514"/>
      <c r="F927" s="514"/>
      <c r="G927" s="514"/>
      <c r="H927" s="514"/>
      <c r="I927" s="514"/>
      <c r="J927" s="514"/>
      <c r="K927" s="514"/>
      <c r="L927" s="514"/>
      <c r="M927" s="514"/>
      <c r="N927" s="992"/>
      <c r="O927" s="992"/>
      <c r="P927" s="993"/>
      <c r="Q927" s="993"/>
      <c r="R927" s="993"/>
      <c r="S927" s="514"/>
      <c r="T927" s="514"/>
      <c r="U927" s="514"/>
      <c r="V927" s="514"/>
      <c r="W927" s="514"/>
      <c r="X927" s="514"/>
      <c r="Y927" s="514"/>
    </row>
    <row r="928">
      <c r="A928" s="514"/>
      <c r="B928" s="514"/>
      <c r="C928" s="514"/>
      <c r="D928" s="514"/>
      <c r="E928" s="514"/>
      <c r="F928" s="514"/>
      <c r="G928" s="514"/>
      <c r="H928" s="514"/>
      <c r="I928" s="514"/>
      <c r="J928" s="514"/>
      <c r="K928" s="514"/>
      <c r="L928" s="514"/>
      <c r="M928" s="514"/>
      <c r="N928" s="992"/>
      <c r="O928" s="992"/>
      <c r="P928" s="993"/>
      <c r="Q928" s="993"/>
      <c r="R928" s="993"/>
      <c r="S928" s="514"/>
      <c r="T928" s="514"/>
      <c r="U928" s="514"/>
      <c r="V928" s="514"/>
      <c r="W928" s="514"/>
      <c r="X928" s="514"/>
      <c r="Y928" s="514"/>
    </row>
    <row r="929">
      <c r="A929" s="514"/>
      <c r="B929" s="514"/>
      <c r="C929" s="514"/>
      <c r="D929" s="514"/>
      <c r="E929" s="514"/>
      <c r="F929" s="514"/>
      <c r="G929" s="514"/>
      <c r="H929" s="514"/>
      <c r="I929" s="514"/>
      <c r="J929" s="514"/>
      <c r="K929" s="514"/>
      <c r="L929" s="514"/>
      <c r="M929" s="514"/>
      <c r="N929" s="992"/>
      <c r="O929" s="992"/>
      <c r="P929" s="993"/>
      <c r="Q929" s="993"/>
      <c r="R929" s="993"/>
      <c r="S929" s="514"/>
      <c r="T929" s="514"/>
      <c r="U929" s="514"/>
      <c r="V929" s="514"/>
      <c r="W929" s="514"/>
      <c r="X929" s="514"/>
      <c r="Y929" s="514"/>
    </row>
    <row r="930">
      <c r="A930" s="514"/>
      <c r="B930" s="514"/>
      <c r="C930" s="514"/>
      <c r="D930" s="514"/>
      <c r="E930" s="514"/>
      <c r="F930" s="514"/>
      <c r="G930" s="514"/>
      <c r="H930" s="514"/>
      <c r="I930" s="514"/>
      <c r="J930" s="514"/>
      <c r="K930" s="514"/>
      <c r="L930" s="514"/>
      <c r="M930" s="514"/>
      <c r="N930" s="992"/>
      <c r="O930" s="992"/>
      <c r="P930" s="993"/>
      <c r="Q930" s="993"/>
      <c r="R930" s="993"/>
      <c r="S930" s="514"/>
      <c r="T930" s="514"/>
      <c r="U930" s="514"/>
      <c r="V930" s="514"/>
      <c r="W930" s="514"/>
      <c r="X930" s="514"/>
      <c r="Y930" s="514"/>
    </row>
    <row r="931">
      <c r="A931" s="514"/>
      <c r="B931" s="514"/>
      <c r="C931" s="514"/>
      <c r="D931" s="514"/>
      <c r="E931" s="514"/>
      <c r="F931" s="514"/>
      <c r="G931" s="514"/>
      <c r="H931" s="514"/>
      <c r="I931" s="514"/>
      <c r="J931" s="514"/>
      <c r="K931" s="514"/>
      <c r="L931" s="514"/>
      <c r="M931" s="514"/>
      <c r="N931" s="992"/>
      <c r="O931" s="992"/>
      <c r="P931" s="993"/>
      <c r="Q931" s="993"/>
      <c r="R931" s="993"/>
      <c r="S931" s="514"/>
      <c r="T931" s="514"/>
      <c r="U931" s="514"/>
      <c r="V931" s="514"/>
      <c r="W931" s="514"/>
      <c r="X931" s="514"/>
      <c r="Y931" s="514"/>
    </row>
    <row r="932">
      <c r="A932" s="514"/>
      <c r="B932" s="514"/>
      <c r="C932" s="514"/>
      <c r="D932" s="514"/>
      <c r="E932" s="514"/>
      <c r="F932" s="514"/>
      <c r="G932" s="514"/>
      <c r="H932" s="514"/>
      <c r="I932" s="514"/>
      <c r="J932" s="514"/>
      <c r="K932" s="514"/>
      <c r="L932" s="514"/>
      <c r="M932" s="514"/>
      <c r="N932" s="992"/>
      <c r="O932" s="992"/>
      <c r="P932" s="993"/>
      <c r="Q932" s="993"/>
      <c r="R932" s="993"/>
      <c r="S932" s="514"/>
      <c r="T932" s="514"/>
      <c r="U932" s="514"/>
      <c r="V932" s="514"/>
      <c r="W932" s="514"/>
      <c r="X932" s="514"/>
      <c r="Y932" s="514"/>
    </row>
    <row r="933">
      <c r="A933" s="514"/>
      <c r="B933" s="514"/>
      <c r="C933" s="514"/>
      <c r="D933" s="514"/>
      <c r="E933" s="514"/>
      <c r="F933" s="514"/>
      <c r="G933" s="514"/>
      <c r="H933" s="514"/>
      <c r="I933" s="514"/>
      <c r="J933" s="514"/>
      <c r="K933" s="514"/>
      <c r="L933" s="514"/>
      <c r="M933" s="514"/>
      <c r="N933" s="992"/>
      <c r="O933" s="992"/>
      <c r="P933" s="993"/>
      <c r="Q933" s="993"/>
      <c r="R933" s="993"/>
      <c r="S933" s="514"/>
      <c r="T933" s="514"/>
      <c r="U933" s="514"/>
      <c r="V933" s="514"/>
      <c r="W933" s="514"/>
      <c r="X933" s="514"/>
      <c r="Y933" s="514"/>
    </row>
    <row r="934">
      <c r="A934" s="514"/>
      <c r="B934" s="514"/>
      <c r="C934" s="514"/>
      <c r="D934" s="514"/>
      <c r="E934" s="514"/>
      <c r="F934" s="514"/>
      <c r="G934" s="514"/>
      <c r="H934" s="514"/>
      <c r="I934" s="514"/>
      <c r="J934" s="514"/>
      <c r="K934" s="514"/>
      <c r="L934" s="514"/>
      <c r="M934" s="514"/>
      <c r="N934" s="992"/>
      <c r="O934" s="992"/>
      <c r="P934" s="993"/>
      <c r="Q934" s="993"/>
      <c r="R934" s="993"/>
      <c r="S934" s="514"/>
      <c r="T934" s="514"/>
      <c r="U934" s="514"/>
      <c r="V934" s="514"/>
      <c r="W934" s="514"/>
      <c r="X934" s="514"/>
      <c r="Y934" s="514"/>
    </row>
    <row r="935">
      <c r="A935" s="514"/>
      <c r="B935" s="514"/>
      <c r="C935" s="514"/>
      <c r="D935" s="514"/>
      <c r="E935" s="514"/>
      <c r="F935" s="514"/>
      <c r="G935" s="514"/>
      <c r="H935" s="514"/>
      <c r="I935" s="514"/>
      <c r="J935" s="514"/>
      <c r="K935" s="514"/>
      <c r="L935" s="514"/>
      <c r="M935" s="514"/>
      <c r="N935" s="992"/>
      <c r="O935" s="992"/>
      <c r="P935" s="993"/>
      <c r="Q935" s="993"/>
      <c r="R935" s="993"/>
      <c r="S935" s="514"/>
      <c r="T935" s="514"/>
      <c r="U935" s="514"/>
      <c r="V935" s="514"/>
      <c r="W935" s="514"/>
      <c r="X935" s="514"/>
      <c r="Y935" s="514"/>
    </row>
    <row r="936">
      <c r="A936" s="514"/>
      <c r="B936" s="514"/>
      <c r="C936" s="514"/>
      <c r="D936" s="514"/>
      <c r="E936" s="514"/>
      <c r="F936" s="514"/>
      <c r="G936" s="514"/>
      <c r="H936" s="514"/>
      <c r="I936" s="514"/>
      <c r="J936" s="514"/>
      <c r="K936" s="514"/>
      <c r="L936" s="514"/>
      <c r="M936" s="514"/>
      <c r="N936" s="992"/>
      <c r="O936" s="992"/>
      <c r="P936" s="993"/>
      <c r="Q936" s="993"/>
      <c r="R936" s="993"/>
      <c r="S936" s="514"/>
      <c r="T936" s="514"/>
      <c r="U936" s="514"/>
      <c r="V936" s="514"/>
      <c r="W936" s="514"/>
      <c r="X936" s="514"/>
      <c r="Y936" s="514"/>
    </row>
    <row r="937">
      <c r="A937" s="514"/>
      <c r="B937" s="514"/>
      <c r="C937" s="514"/>
      <c r="D937" s="514"/>
      <c r="E937" s="514"/>
      <c r="F937" s="514"/>
      <c r="G937" s="514"/>
      <c r="H937" s="514"/>
      <c r="I937" s="514"/>
      <c r="J937" s="514"/>
      <c r="K937" s="514"/>
      <c r="L937" s="514"/>
      <c r="M937" s="514"/>
      <c r="N937" s="992"/>
      <c r="O937" s="992"/>
      <c r="P937" s="993"/>
      <c r="Q937" s="993"/>
      <c r="R937" s="993"/>
      <c r="S937" s="514"/>
      <c r="T937" s="514"/>
      <c r="U937" s="514"/>
      <c r="V937" s="514"/>
      <c r="W937" s="514"/>
      <c r="X937" s="514"/>
      <c r="Y937" s="514"/>
    </row>
    <row r="938">
      <c r="A938" s="514"/>
      <c r="B938" s="514"/>
      <c r="C938" s="514"/>
      <c r="D938" s="514"/>
      <c r="E938" s="514"/>
      <c r="F938" s="514"/>
      <c r="G938" s="514"/>
      <c r="H938" s="514"/>
      <c r="I938" s="514"/>
      <c r="J938" s="514"/>
      <c r="K938" s="514"/>
      <c r="L938" s="514"/>
      <c r="M938" s="514"/>
      <c r="N938" s="992"/>
      <c r="O938" s="992"/>
      <c r="P938" s="993"/>
      <c r="Q938" s="993"/>
      <c r="R938" s="993"/>
      <c r="S938" s="514"/>
      <c r="T938" s="514"/>
      <c r="U938" s="514"/>
      <c r="V938" s="514"/>
      <c r="W938" s="514"/>
      <c r="X938" s="514"/>
      <c r="Y938" s="514"/>
    </row>
    <row r="939">
      <c r="A939" s="514"/>
      <c r="B939" s="514"/>
      <c r="C939" s="514"/>
      <c r="D939" s="514"/>
      <c r="E939" s="514"/>
      <c r="F939" s="514"/>
      <c r="G939" s="514"/>
      <c r="H939" s="514"/>
      <c r="I939" s="514"/>
      <c r="J939" s="514"/>
      <c r="K939" s="514"/>
      <c r="L939" s="514"/>
      <c r="M939" s="514"/>
      <c r="N939" s="992"/>
      <c r="O939" s="992"/>
      <c r="P939" s="993"/>
      <c r="Q939" s="993"/>
      <c r="R939" s="993"/>
      <c r="S939" s="514"/>
      <c r="T939" s="514"/>
      <c r="U939" s="514"/>
      <c r="V939" s="514"/>
      <c r="W939" s="514"/>
      <c r="X939" s="514"/>
      <c r="Y939" s="514"/>
    </row>
    <row r="940">
      <c r="A940" s="514"/>
      <c r="B940" s="514"/>
      <c r="C940" s="514"/>
      <c r="D940" s="514"/>
      <c r="E940" s="514"/>
      <c r="F940" s="514"/>
      <c r="G940" s="514"/>
      <c r="H940" s="514"/>
      <c r="I940" s="514"/>
      <c r="J940" s="514"/>
      <c r="K940" s="514"/>
      <c r="L940" s="514"/>
      <c r="M940" s="514"/>
      <c r="N940" s="992"/>
      <c r="O940" s="992"/>
      <c r="P940" s="993"/>
      <c r="Q940" s="993"/>
      <c r="R940" s="993"/>
      <c r="S940" s="514"/>
      <c r="T940" s="514"/>
      <c r="U940" s="514"/>
      <c r="V940" s="514"/>
      <c r="W940" s="514"/>
      <c r="X940" s="514"/>
      <c r="Y940" s="514"/>
    </row>
    <row r="941">
      <c r="A941" s="514"/>
      <c r="B941" s="514"/>
      <c r="C941" s="514"/>
      <c r="D941" s="514"/>
      <c r="E941" s="514"/>
      <c r="F941" s="514"/>
      <c r="G941" s="514"/>
      <c r="H941" s="514"/>
      <c r="I941" s="514"/>
      <c r="J941" s="514"/>
      <c r="K941" s="514"/>
      <c r="L941" s="514"/>
      <c r="M941" s="514"/>
      <c r="N941" s="992"/>
      <c r="O941" s="992"/>
      <c r="P941" s="993"/>
      <c r="Q941" s="993"/>
      <c r="R941" s="993"/>
      <c r="S941" s="514"/>
      <c r="T941" s="514"/>
      <c r="U941" s="514"/>
      <c r="V941" s="514"/>
      <c r="W941" s="514"/>
      <c r="X941" s="514"/>
      <c r="Y941" s="514"/>
    </row>
    <row r="942">
      <c r="A942" s="514"/>
      <c r="B942" s="514"/>
      <c r="C942" s="514"/>
      <c r="D942" s="514"/>
      <c r="E942" s="514"/>
      <c r="F942" s="514"/>
      <c r="G942" s="514"/>
      <c r="H942" s="514"/>
      <c r="I942" s="514"/>
      <c r="J942" s="514"/>
      <c r="K942" s="514"/>
      <c r="L942" s="514"/>
      <c r="M942" s="514"/>
      <c r="N942" s="992"/>
      <c r="O942" s="992"/>
      <c r="P942" s="993"/>
      <c r="Q942" s="993"/>
      <c r="R942" s="993"/>
      <c r="S942" s="514"/>
      <c r="T942" s="514"/>
      <c r="U942" s="514"/>
      <c r="V942" s="514"/>
      <c r="W942" s="514"/>
      <c r="X942" s="514"/>
      <c r="Y942" s="514"/>
    </row>
    <row r="943">
      <c r="A943" s="514"/>
      <c r="B943" s="514"/>
      <c r="C943" s="514"/>
      <c r="D943" s="514"/>
      <c r="E943" s="514"/>
      <c r="F943" s="514"/>
      <c r="G943" s="514"/>
      <c r="H943" s="514"/>
      <c r="I943" s="514"/>
      <c r="J943" s="514"/>
      <c r="K943" s="514"/>
      <c r="L943" s="514"/>
      <c r="M943" s="514"/>
      <c r="N943" s="992"/>
      <c r="O943" s="992"/>
      <c r="P943" s="993"/>
      <c r="Q943" s="993"/>
      <c r="R943" s="993"/>
      <c r="S943" s="514"/>
      <c r="T943" s="514"/>
      <c r="U943" s="514"/>
      <c r="V943" s="514"/>
      <c r="W943" s="514"/>
      <c r="X943" s="514"/>
      <c r="Y943" s="514"/>
    </row>
    <row r="944">
      <c r="A944" s="514"/>
      <c r="B944" s="514"/>
      <c r="C944" s="514"/>
      <c r="D944" s="514"/>
      <c r="E944" s="514"/>
      <c r="F944" s="514"/>
      <c r="G944" s="514"/>
      <c r="H944" s="514"/>
      <c r="I944" s="514"/>
      <c r="J944" s="514"/>
      <c r="K944" s="514"/>
      <c r="L944" s="514"/>
      <c r="M944" s="514"/>
      <c r="N944" s="992"/>
      <c r="O944" s="992"/>
      <c r="P944" s="993"/>
      <c r="Q944" s="993"/>
      <c r="R944" s="993"/>
      <c r="S944" s="514"/>
      <c r="T944" s="514"/>
      <c r="U944" s="514"/>
      <c r="V944" s="514"/>
      <c r="W944" s="514"/>
      <c r="X944" s="514"/>
      <c r="Y944" s="514"/>
    </row>
    <row r="945">
      <c r="A945" s="514"/>
      <c r="B945" s="514"/>
      <c r="C945" s="514"/>
      <c r="D945" s="514"/>
      <c r="E945" s="514"/>
      <c r="F945" s="514"/>
      <c r="G945" s="514"/>
      <c r="H945" s="514"/>
      <c r="I945" s="514"/>
      <c r="J945" s="514"/>
      <c r="K945" s="514"/>
      <c r="L945" s="514"/>
      <c r="M945" s="514"/>
      <c r="N945" s="992"/>
      <c r="O945" s="992"/>
      <c r="P945" s="993"/>
      <c r="Q945" s="993"/>
      <c r="R945" s="993"/>
      <c r="S945" s="514"/>
      <c r="T945" s="514"/>
      <c r="U945" s="514"/>
      <c r="V945" s="514"/>
      <c r="W945" s="514"/>
      <c r="X945" s="514"/>
      <c r="Y945" s="514"/>
    </row>
    <row r="946">
      <c r="A946" s="514"/>
      <c r="B946" s="514"/>
      <c r="C946" s="514"/>
      <c r="D946" s="514"/>
      <c r="E946" s="514"/>
      <c r="F946" s="514"/>
      <c r="G946" s="514"/>
      <c r="H946" s="514"/>
      <c r="I946" s="514"/>
      <c r="J946" s="514"/>
      <c r="K946" s="514"/>
      <c r="L946" s="514"/>
      <c r="M946" s="514"/>
      <c r="N946" s="992"/>
      <c r="O946" s="992"/>
      <c r="P946" s="993"/>
      <c r="Q946" s="993"/>
      <c r="R946" s="993"/>
      <c r="S946" s="514"/>
      <c r="T946" s="514"/>
      <c r="U946" s="514"/>
      <c r="V946" s="514"/>
      <c r="W946" s="514"/>
      <c r="X946" s="514"/>
      <c r="Y946" s="514"/>
    </row>
    <row r="947">
      <c r="A947" s="514"/>
      <c r="B947" s="514"/>
      <c r="C947" s="514"/>
      <c r="D947" s="514"/>
      <c r="E947" s="514"/>
      <c r="F947" s="514"/>
      <c r="G947" s="514"/>
      <c r="H947" s="514"/>
      <c r="I947" s="514"/>
      <c r="J947" s="514"/>
      <c r="K947" s="514"/>
      <c r="L947" s="514"/>
      <c r="M947" s="514"/>
      <c r="N947" s="992"/>
      <c r="O947" s="992"/>
      <c r="P947" s="993"/>
      <c r="Q947" s="993"/>
      <c r="R947" s="993"/>
      <c r="S947" s="514"/>
      <c r="T947" s="514"/>
      <c r="U947" s="514"/>
      <c r="V947" s="514"/>
      <c r="W947" s="514"/>
      <c r="X947" s="514"/>
      <c r="Y947" s="514"/>
    </row>
    <row r="948">
      <c r="A948" s="514"/>
      <c r="B948" s="514"/>
      <c r="C948" s="514"/>
      <c r="D948" s="514"/>
      <c r="E948" s="514"/>
      <c r="F948" s="514"/>
      <c r="G948" s="514"/>
      <c r="H948" s="514"/>
      <c r="I948" s="514"/>
      <c r="J948" s="514"/>
      <c r="K948" s="514"/>
      <c r="L948" s="514"/>
      <c r="M948" s="514"/>
      <c r="N948" s="992"/>
      <c r="O948" s="992"/>
      <c r="P948" s="993"/>
      <c r="Q948" s="993"/>
      <c r="R948" s="993"/>
      <c r="S948" s="514"/>
      <c r="T948" s="514"/>
      <c r="U948" s="514"/>
      <c r="V948" s="514"/>
      <c r="W948" s="514"/>
      <c r="X948" s="514"/>
      <c r="Y948" s="514"/>
    </row>
    <row r="949">
      <c r="A949" s="514"/>
      <c r="B949" s="514"/>
      <c r="C949" s="514"/>
      <c r="D949" s="514"/>
      <c r="E949" s="514"/>
      <c r="F949" s="514"/>
      <c r="G949" s="514"/>
      <c r="H949" s="514"/>
      <c r="I949" s="514"/>
      <c r="J949" s="514"/>
      <c r="K949" s="514"/>
      <c r="L949" s="514"/>
      <c r="M949" s="514"/>
      <c r="N949" s="992"/>
      <c r="O949" s="992"/>
      <c r="P949" s="993"/>
      <c r="Q949" s="993"/>
      <c r="R949" s="993"/>
      <c r="S949" s="514"/>
      <c r="T949" s="514"/>
      <c r="U949" s="514"/>
      <c r="V949" s="514"/>
      <c r="W949" s="514"/>
      <c r="X949" s="514"/>
      <c r="Y949" s="514"/>
    </row>
    <row r="950">
      <c r="A950" s="514"/>
      <c r="B950" s="514"/>
      <c r="C950" s="514"/>
      <c r="D950" s="514"/>
      <c r="E950" s="514"/>
      <c r="F950" s="514"/>
      <c r="G950" s="514"/>
      <c r="H950" s="514"/>
      <c r="I950" s="514"/>
      <c r="J950" s="514"/>
      <c r="K950" s="514"/>
      <c r="L950" s="514"/>
      <c r="M950" s="514"/>
      <c r="N950" s="992"/>
      <c r="O950" s="992"/>
      <c r="P950" s="993"/>
      <c r="Q950" s="993"/>
      <c r="R950" s="993"/>
      <c r="S950" s="514"/>
      <c r="T950" s="514"/>
      <c r="U950" s="514"/>
      <c r="V950" s="514"/>
      <c r="W950" s="514"/>
      <c r="X950" s="514"/>
      <c r="Y950" s="514"/>
    </row>
    <row r="951">
      <c r="A951" s="514"/>
      <c r="B951" s="514"/>
      <c r="C951" s="514"/>
      <c r="D951" s="514"/>
      <c r="E951" s="514"/>
      <c r="F951" s="514"/>
      <c r="G951" s="514"/>
      <c r="H951" s="514"/>
      <c r="I951" s="514"/>
      <c r="J951" s="514"/>
      <c r="K951" s="514"/>
      <c r="L951" s="514"/>
      <c r="M951" s="514"/>
      <c r="N951" s="992"/>
      <c r="O951" s="992"/>
      <c r="P951" s="993"/>
      <c r="Q951" s="993"/>
      <c r="R951" s="993"/>
      <c r="S951" s="514"/>
      <c r="T951" s="514"/>
      <c r="U951" s="514"/>
      <c r="V951" s="514"/>
      <c r="W951" s="514"/>
      <c r="X951" s="514"/>
      <c r="Y951" s="514"/>
    </row>
    <row r="952">
      <c r="A952" s="514"/>
      <c r="B952" s="514"/>
      <c r="C952" s="514"/>
      <c r="D952" s="514"/>
      <c r="E952" s="514"/>
      <c r="F952" s="514"/>
      <c r="G952" s="514"/>
      <c r="H952" s="514"/>
      <c r="I952" s="514"/>
      <c r="J952" s="514"/>
      <c r="K952" s="514"/>
      <c r="L952" s="514"/>
      <c r="M952" s="514"/>
      <c r="N952" s="992"/>
      <c r="O952" s="992"/>
      <c r="P952" s="993"/>
      <c r="Q952" s="993"/>
      <c r="R952" s="993"/>
      <c r="S952" s="514"/>
      <c r="T952" s="514"/>
      <c r="U952" s="514"/>
      <c r="V952" s="514"/>
      <c r="W952" s="514"/>
      <c r="X952" s="514"/>
      <c r="Y952" s="514"/>
    </row>
    <row r="953">
      <c r="A953" s="514"/>
      <c r="B953" s="514"/>
      <c r="C953" s="514"/>
      <c r="D953" s="514"/>
      <c r="E953" s="514"/>
      <c r="F953" s="514"/>
      <c r="G953" s="514"/>
      <c r="H953" s="514"/>
      <c r="I953" s="514"/>
      <c r="J953" s="514"/>
      <c r="K953" s="514"/>
      <c r="L953" s="514"/>
      <c r="M953" s="514"/>
      <c r="N953" s="992"/>
      <c r="O953" s="992"/>
      <c r="P953" s="993"/>
      <c r="Q953" s="993"/>
      <c r="R953" s="993"/>
      <c r="S953" s="514"/>
      <c r="T953" s="514"/>
      <c r="U953" s="514"/>
      <c r="V953" s="514"/>
      <c r="W953" s="514"/>
      <c r="X953" s="514"/>
      <c r="Y953" s="514"/>
    </row>
    <row r="954">
      <c r="A954" s="514"/>
      <c r="B954" s="514"/>
      <c r="C954" s="514"/>
      <c r="D954" s="514"/>
      <c r="E954" s="514"/>
      <c r="F954" s="514"/>
      <c r="G954" s="514"/>
      <c r="H954" s="514"/>
      <c r="I954" s="514"/>
      <c r="J954" s="514"/>
      <c r="K954" s="514"/>
      <c r="L954" s="514"/>
      <c r="M954" s="514"/>
      <c r="N954" s="992"/>
      <c r="O954" s="992"/>
      <c r="P954" s="993"/>
      <c r="Q954" s="993"/>
      <c r="R954" s="993"/>
      <c r="S954" s="514"/>
      <c r="T954" s="514"/>
      <c r="U954" s="514"/>
      <c r="V954" s="514"/>
      <c r="W954" s="514"/>
      <c r="X954" s="514"/>
      <c r="Y954" s="514"/>
    </row>
    <row r="955">
      <c r="A955" s="514"/>
      <c r="B955" s="514"/>
      <c r="C955" s="514"/>
      <c r="D955" s="514"/>
      <c r="E955" s="514"/>
      <c r="F955" s="514"/>
      <c r="G955" s="514"/>
      <c r="H955" s="514"/>
      <c r="I955" s="514"/>
      <c r="J955" s="514"/>
      <c r="K955" s="514"/>
      <c r="L955" s="514"/>
      <c r="M955" s="514"/>
      <c r="N955" s="992"/>
      <c r="O955" s="992"/>
      <c r="P955" s="993"/>
      <c r="Q955" s="993"/>
      <c r="R955" s="993"/>
      <c r="S955" s="514"/>
      <c r="T955" s="514"/>
      <c r="U955" s="514"/>
      <c r="V955" s="514"/>
      <c r="W955" s="514"/>
      <c r="X955" s="514"/>
      <c r="Y955" s="514"/>
    </row>
    <row r="956">
      <c r="A956" s="514"/>
      <c r="B956" s="514"/>
      <c r="C956" s="514"/>
      <c r="D956" s="514"/>
      <c r="E956" s="514"/>
      <c r="F956" s="514"/>
      <c r="G956" s="514"/>
      <c r="H956" s="514"/>
      <c r="I956" s="514"/>
      <c r="J956" s="514"/>
      <c r="K956" s="514"/>
      <c r="L956" s="514"/>
      <c r="M956" s="514"/>
      <c r="N956" s="992"/>
      <c r="O956" s="992"/>
      <c r="P956" s="993"/>
      <c r="Q956" s="993"/>
      <c r="R956" s="993"/>
      <c r="S956" s="514"/>
      <c r="T956" s="514"/>
      <c r="U956" s="514"/>
      <c r="V956" s="514"/>
      <c r="W956" s="514"/>
      <c r="X956" s="514"/>
      <c r="Y956" s="514"/>
    </row>
    <row r="957">
      <c r="A957" s="514"/>
      <c r="B957" s="514"/>
      <c r="C957" s="514"/>
      <c r="D957" s="514"/>
      <c r="E957" s="514"/>
      <c r="F957" s="514"/>
      <c r="G957" s="514"/>
      <c r="H957" s="514"/>
      <c r="I957" s="514"/>
      <c r="J957" s="514"/>
      <c r="K957" s="514"/>
      <c r="L957" s="514"/>
      <c r="M957" s="514"/>
      <c r="N957" s="992"/>
      <c r="O957" s="992"/>
      <c r="P957" s="993"/>
      <c r="Q957" s="993"/>
      <c r="R957" s="993"/>
      <c r="S957" s="514"/>
      <c r="T957" s="514"/>
      <c r="U957" s="514"/>
      <c r="V957" s="514"/>
      <c r="W957" s="514"/>
      <c r="X957" s="514"/>
      <c r="Y957" s="514"/>
    </row>
    <row r="958">
      <c r="A958" s="514"/>
      <c r="B958" s="514"/>
      <c r="C958" s="514"/>
      <c r="D958" s="514"/>
      <c r="E958" s="514"/>
      <c r="F958" s="514"/>
      <c r="G958" s="514"/>
      <c r="H958" s="514"/>
      <c r="I958" s="514"/>
      <c r="J958" s="514"/>
      <c r="K958" s="514"/>
      <c r="L958" s="514"/>
      <c r="M958" s="514"/>
      <c r="N958" s="992"/>
      <c r="O958" s="992"/>
      <c r="P958" s="993"/>
      <c r="Q958" s="993"/>
      <c r="R958" s="993"/>
      <c r="S958" s="514"/>
      <c r="T958" s="514"/>
      <c r="U958" s="514"/>
      <c r="V958" s="514"/>
      <c r="W958" s="514"/>
      <c r="X958" s="514"/>
      <c r="Y958" s="514"/>
    </row>
    <row r="959">
      <c r="A959" s="514"/>
      <c r="B959" s="514"/>
      <c r="C959" s="514"/>
      <c r="D959" s="514"/>
      <c r="E959" s="514"/>
      <c r="F959" s="514"/>
      <c r="G959" s="514"/>
      <c r="H959" s="514"/>
      <c r="I959" s="514"/>
      <c r="J959" s="514"/>
      <c r="K959" s="514"/>
      <c r="L959" s="514"/>
      <c r="M959" s="514"/>
      <c r="N959" s="992"/>
      <c r="O959" s="992"/>
      <c r="P959" s="993"/>
      <c r="Q959" s="993"/>
      <c r="R959" s="993"/>
      <c r="S959" s="514"/>
      <c r="T959" s="514"/>
      <c r="U959" s="514"/>
      <c r="V959" s="514"/>
      <c r="W959" s="514"/>
      <c r="X959" s="514"/>
      <c r="Y959" s="514"/>
    </row>
    <row r="960">
      <c r="A960" s="514"/>
      <c r="B960" s="514"/>
      <c r="C960" s="514"/>
      <c r="D960" s="514"/>
      <c r="E960" s="514"/>
      <c r="F960" s="514"/>
      <c r="G960" s="514"/>
      <c r="H960" s="514"/>
      <c r="I960" s="514"/>
      <c r="J960" s="514"/>
      <c r="K960" s="514"/>
      <c r="L960" s="514"/>
      <c r="M960" s="514"/>
      <c r="N960" s="992"/>
      <c r="O960" s="992"/>
      <c r="P960" s="993"/>
      <c r="Q960" s="993"/>
      <c r="R960" s="993"/>
      <c r="S960" s="514"/>
      <c r="T960" s="514"/>
      <c r="U960" s="514"/>
      <c r="V960" s="514"/>
      <c r="W960" s="514"/>
      <c r="X960" s="514"/>
      <c r="Y960" s="514"/>
    </row>
    <row r="961">
      <c r="A961" s="514"/>
      <c r="B961" s="514"/>
      <c r="C961" s="514"/>
      <c r="D961" s="514"/>
      <c r="E961" s="514"/>
      <c r="F961" s="514"/>
      <c r="G961" s="514"/>
      <c r="H961" s="514"/>
      <c r="I961" s="514"/>
      <c r="J961" s="514"/>
      <c r="K961" s="514"/>
      <c r="L961" s="514"/>
      <c r="M961" s="514"/>
      <c r="N961" s="992"/>
      <c r="O961" s="992"/>
      <c r="P961" s="993"/>
      <c r="Q961" s="993"/>
      <c r="R961" s="993"/>
      <c r="S961" s="514"/>
      <c r="T961" s="514"/>
      <c r="U961" s="514"/>
      <c r="V961" s="514"/>
      <c r="W961" s="514"/>
      <c r="X961" s="514"/>
      <c r="Y961" s="514"/>
    </row>
    <row r="962">
      <c r="A962" s="514"/>
      <c r="B962" s="514"/>
      <c r="C962" s="514"/>
      <c r="D962" s="514"/>
      <c r="E962" s="514"/>
      <c r="F962" s="514"/>
      <c r="G962" s="514"/>
      <c r="H962" s="514"/>
      <c r="I962" s="514"/>
      <c r="J962" s="514"/>
      <c r="K962" s="514"/>
      <c r="L962" s="514"/>
      <c r="M962" s="514"/>
      <c r="N962" s="992"/>
      <c r="O962" s="992"/>
      <c r="P962" s="993"/>
      <c r="Q962" s="993"/>
      <c r="R962" s="993"/>
      <c r="S962" s="514"/>
      <c r="T962" s="514"/>
      <c r="U962" s="514"/>
      <c r="V962" s="514"/>
      <c r="W962" s="514"/>
      <c r="X962" s="514"/>
      <c r="Y962" s="514"/>
    </row>
    <row r="963">
      <c r="A963" s="514"/>
      <c r="B963" s="514"/>
      <c r="C963" s="514"/>
      <c r="D963" s="514"/>
      <c r="E963" s="514"/>
      <c r="F963" s="514"/>
      <c r="G963" s="514"/>
      <c r="H963" s="514"/>
      <c r="I963" s="514"/>
      <c r="J963" s="514"/>
      <c r="K963" s="514"/>
      <c r="L963" s="514"/>
      <c r="M963" s="514"/>
      <c r="N963" s="992"/>
      <c r="O963" s="992"/>
      <c r="P963" s="993"/>
      <c r="Q963" s="993"/>
      <c r="R963" s="993"/>
      <c r="S963" s="514"/>
      <c r="T963" s="514"/>
      <c r="U963" s="514"/>
      <c r="V963" s="514"/>
      <c r="W963" s="514"/>
      <c r="X963" s="514"/>
      <c r="Y963" s="514"/>
    </row>
    <row r="964">
      <c r="A964" s="514"/>
      <c r="B964" s="514"/>
      <c r="C964" s="514"/>
      <c r="D964" s="514"/>
      <c r="E964" s="514"/>
      <c r="F964" s="514"/>
      <c r="G964" s="514"/>
      <c r="H964" s="514"/>
      <c r="I964" s="514"/>
      <c r="J964" s="514"/>
      <c r="K964" s="514"/>
      <c r="L964" s="514"/>
      <c r="M964" s="514"/>
      <c r="N964" s="992"/>
      <c r="O964" s="992"/>
      <c r="P964" s="993"/>
      <c r="Q964" s="993"/>
      <c r="R964" s="993"/>
      <c r="S964" s="514"/>
      <c r="T964" s="514"/>
      <c r="U964" s="514"/>
      <c r="V964" s="514"/>
      <c r="W964" s="514"/>
      <c r="X964" s="514"/>
      <c r="Y964" s="514"/>
    </row>
    <row r="965">
      <c r="A965" s="514"/>
      <c r="B965" s="514"/>
      <c r="C965" s="514"/>
      <c r="D965" s="514"/>
      <c r="E965" s="514"/>
      <c r="F965" s="514"/>
      <c r="G965" s="514"/>
      <c r="H965" s="514"/>
      <c r="I965" s="514"/>
      <c r="J965" s="514"/>
      <c r="K965" s="514"/>
      <c r="L965" s="514"/>
      <c r="M965" s="514"/>
      <c r="N965" s="992"/>
      <c r="O965" s="992"/>
      <c r="P965" s="993"/>
      <c r="Q965" s="993"/>
      <c r="R965" s="993"/>
      <c r="S965" s="514"/>
      <c r="T965" s="514"/>
      <c r="U965" s="514"/>
      <c r="V965" s="514"/>
      <c r="W965" s="514"/>
      <c r="X965" s="514"/>
      <c r="Y965" s="514"/>
    </row>
    <row r="966">
      <c r="A966" s="514"/>
      <c r="B966" s="514"/>
      <c r="C966" s="514"/>
      <c r="D966" s="514"/>
      <c r="E966" s="514"/>
      <c r="F966" s="514"/>
      <c r="G966" s="514"/>
      <c r="H966" s="514"/>
      <c r="I966" s="514"/>
      <c r="J966" s="514"/>
      <c r="K966" s="514"/>
      <c r="L966" s="514"/>
      <c r="M966" s="514"/>
      <c r="N966" s="992"/>
      <c r="O966" s="992"/>
      <c r="P966" s="993"/>
      <c r="Q966" s="993"/>
      <c r="R966" s="993"/>
      <c r="S966" s="514"/>
      <c r="T966" s="514"/>
      <c r="U966" s="514"/>
      <c r="V966" s="514"/>
      <c r="W966" s="514"/>
      <c r="X966" s="514"/>
      <c r="Y966" s="514"/>
    </row>
    <row r="967">
      <c r="A967" s="514"/>
      <c r="B967" s="514"/>
      <c r="C967" s="514"/>
      <c r="D967" s="514"/>
      <c r="E967" s="514"/>
      <c r="F967" s="514"/>
      <c r="G967" s="514"/>
      <c r="H967" s="514"/>
      <c r="I967" s="514"/>
      <c r="J967" s="514"/>
      <c r="K967" s="514"/>
      <c r="L967" s="514"/>
      <c r="M967" s="514"/>
      <c r="N967" s="992"/>
      <c r="O967" s="992"/>
      <c r="P967" s="993"/>
      <c r="Q967" s="993"/>
      <c r="R967" s="993"/>
      <c r="S967" s="514"/>
      <c r="T967" s="514"/>
      <c r="U967" s="514"/>
      <c r="V967" s="514"/>
      <c r="W967" s="514"/>
      <c r="X967" s="514"/>
      <c r="Y967" s="514"/>
    </row>
    <row r="968">
      <c r="A968" s="514"/>
      <c r="B968" s="514"/>
      <c r="C968" s="514"/>
      <c r="D968" s="514"/>
      <c r="E968" s="514"/>
      <c r="F968" s="514"/>
      <c r="G968" s="514"/>
      <c r="H968" s="514"/>
      <c r="I968" s="514"/>
      <c r="J968" s="514"/>
      <c r="K968" s="514"/>
      <c r="L968" s="514"/>
      <c r="M968" s="514"/>
      <c r="N968" s="992"/>
      <c r="O968" s="992"/>
      <c r="P968" s="993"/>
      <c r="Q968" s="993"/>
      <c r="R968" s="993"/>
      <c r="S968" s="514"/>
      <c r="T968" s="514"/>
      <c r="U968" s="514"/>
      <c r="V968" s="514"/>
      <c r="W968" s="514"/>
      <c r="X968" s="514"/>
      <c r="Y968" s="514"/>
    </row>
    <row r="969">
      <c r="A969" s="514"/>
      <c r="B969" s="514"/>
      <c r="C969" s="514"/>
      <c r="D969" s="514"/>
      <c r="E969" s="514"/>
      <c r="F969" s="514"/>
      <c r="G969" s="514"/>
      <c r="H969" s="514"/>
      <c r="I969" s="514"/>
      <c r="J969" s="514"/>
      <c r="K969" s="514"/>
      <c r="L969" s="514"/>
      <c r="M969" s="514"/>
      <c r="N969" s="992"/>
      <c r="O969" s="992"/>
      <c r="P969" s="993"/>
      <c r="Q969" s="993"/>
      <c r="R969" s="993"/>
      <c r="S969" s="514"/>
      <c r="T969" s="514"/>
      <c r="U969" s="514"/>
      <c r="V969" s="514"/>
      <c r="W969" s="514"/>
      <c r="X969" s="514"/>
      <c r="Y969" s="514"/>
    </row>
    <row r="970">
      <c r="A970" s="514"/>
      <c r="B970" s="514"/>
      <c r="C970" s="514"/>
      <c r="D970" s="514"/>
      <c r="E970" s="514"/>
      <c r="F970" s="514"/>
      <c r="G970" s="514"/>
      <c r="H970" s="514"/>
      <c r="I970" s="514"/>
      <c r="J970" s="514"/>
      <c r="K970" s="514"/>
      <c r="L970" s="514"/>
      <c r="M970" s="514"/>
      <c r="N970" s="992"/>
      <c r="O970" s="992"/>
      <c r="P970" s="993"/>
      <c r="Q970" s="993"/>
      <c r="R970" s="993"/>
      <c r="S970" s="514"/>
      <c r="T970" s="514"/>
      <c r="U970" s="514"/>
      <c r="V970" s="514"/>
      <c r="W970" s="514"/>
      <c r="X970" s="514"/>
      <c r="Y970" s="514"/>
    </row>
    <row r="971">
      <c r="A971" s="514"/>
      <c r="B971" s="514"/>
      <c r="C971" s="514"/>
      <c r="D971" s="514"/>
      <c r="E971" s="514"/>
      <c r="F971" s="514"/>
      <c r="G971" s="514"/>
      <c r="H971" s="514"/>
      <c r="I971" s="514"/>
      <c r="J971" s="514"/>
      <c r="K971" s="514"/>
      <c r="L971" s="514"/>
      <c r="M971" s="514"/>
      <c r="N971" s="992"/>
      <c r="O971" s="992"/>
      <c r="P971" s="993"/>
      <c r="Q971" s="993"/>
      <c r="R971" s="993"/>
      <c r="S971" s="514"/>
      <c r="T971" s="514"/>
      <c r="U971" s="514"/>
      <c r="V971" s="514"/>
      <c r="W971" s="514"/>
      <c r="X971" s="514"/>
      <c r="Y971" s="514"/>
    </row>
    <row r="972">
      <c r="A972" s="514"/>
      <c r="B972" s="514"/>
      <c r="C972" s="514"/>
      <c r="D972" s="514"/>
      <c r="E972" s="514"/>
      <c r="F972" s="514"/>
      <c r="G972" s="514"/>
      <c r="H972" s="514"/>
      <c r="I972" s="514"/>
      <c r="J972" s="514"/>
      <c r="K972" s="514"/>
      <c r="L972" s="514"/>
      <c r="M972" s="514"/>
      <c r="N972" s="992"/>
      <c r="O972" s="992"/>
      <c r="P972" s="993"/>
      <c r="Q972" s="993"/>
      <c r="R972" s="993"/>
      <c r="S972" s="514"/>
      <c r="T972" s="514"/>
      <c r="U972" s="514"/>
      <c r="V972" s="514"/>
      <c r="W972" s="514"/>
      <c r="X972" s="514"/>
      <c r="Y972" s="514"/>
    </row>
    <row r="973">
      <c r="A973" s="514"/>
      <c r="B973" s="514"/>
      <c r="C973" s="514"/>
      <c r="D973" s="514"/>
      <c r="E973" s="514"/>
      <c r="F973" s="514"/>
      <c r="G973" s="514"/>
      <c r="H973" s="514"/>
      <c r="I973" s="514"/>
      <c r="J973" s="514"/>
      <c r="K973" s="514"/>
      <c r="L973" s="514"/>
      <c r="M973" s="514"/>
      <c r="N973" s="992"/>
      <c r="O973" s="992"/>
      <c r="P973" s="993"/>
      <c r="Q973" s="993"/>
      <c r="R973" s="993"/>
      <c r="S973" s="514"/>
      <c r="T973" s="514"/>
      <c r="U973" s="514"/>
      <c r="V973" s="514"/>
      <c r="W973" s="514"/>
      <c r="X973" s="514"/>
      <c r="Y973" s="514"/>
    </row>
    <row r="974">
      <c r="A974" s="514"/>
      <c r="B974" s="514"/>
      <c r="C974" s="514"/>
      <c r="D974" s="514"/>
      <c r="E974" s="514"/>
      <c r="F974" s="514"/>
      <c r="G974" s="514"/>
      <c r="H974" s="514"/>
      <c r="I974" s="514"/>
      <c r="J974" s="514"/>
      <c r="K974" s="514"/>
      <c r="L974" s="514"/>
      <c r="M974" s="514"/>
      <c r="N974" s="992"/>
      <c r="O974" s="992"/>
      <c r="P974" s="993"/>
      <c r="Q974" s="993"/>
      <c r="R974" s="993"/>
      <c r="S974" s="514"/>
      <c r="T974" s="514"/>
      <c r="U974" s="514"/>
      <c r="V974" s="514"/>
      <c r="W974" s="514"/>
      <c r="X974" s="514"/>
      <c r="Y974" s="514"/>
    </row>
    <row r="975">
      <c r="A975" s="514"/>
      <c r="B975" s="514"/>
      <c r="C975" s="514"/>
      <c r="D975" s="514"/>
      <c r="E975" s="514"/>
      <c r="F975" s="514"/>
      <c r="G975" s="514"/>
      <c r="H975" s="514"/>
      <c r="I975" s="514"/>
      <c r="J975" s="514"/>
      <c r="K975" s="514"/>
      <c r="L975" s="514"/>
      <c r="M975" s="514"/>
      <c r="N975" s="992"/>
      <c r="O975" s="992"/>
      <c r="P975" s="993"/>
      <c r="Q975" s="993"/>
      <c r="R975" s="993"/>
      <c r="S975" s="514"/>
      <c r="T975" s="514"/>
      <c r="U975" s="514"/>
      <c r="V975" s="514"/>
      <c r="W975" s="514"/>
      <c r="X975" s="514"/>
      <c r="Y975" s="514"/>
    </row>
    <row r="976">
      <c r="A976" s="514"/>
      <c r="B976" s="514"/>
      <c r="C976" s="514"/>
      <c r="D976" s="514"/>
      <c r="E976" s="514"/>
      <c r="F976" s="514"/>
      <c r="G976" s="514"/>
      <c r="H976" s="514"/>
      <c r="I976" s="514"/>
      <c r="J976" s="514"/>
      <c r="K976" s="514"/>
      <c r="L976" s="514"/>
      <c r="M976" s="514"/>
      <c r="N976" s="992"/>
      <c r="O976" s="992"/>
      <c r="P976" s="993"/>
      <c r="Q976" s="993"/>
      <c r="R976" s="993"/>
      <c r="S976" s="514"/>
      <c r="T976" s="514"/>
      <c r="U976" s="514"/>
      <c r="V976" s="514"/>
      <c r="W976" s="514"/>
      <c r="X976" s="514"/>
      <c r="Y976" s="514"/>
    </row>
    <row r="977">
      <c r="A977" s="514"/>
      <c r="B977" s="514"/>
      <c r="C977" s="514"/>
      <c r="D977" s="514"/>
      <c r="E977" s="514"/>
      <c r="F977" s="514"/>
      <c r="G977" s="514"/>
      <c r="H977" s="514"/>
      <c r="I977" s="514"/>
      <c r="J977" s="514"/>
      <c r="K977" s="514"/>
      <c r="L977" s="514"/>
      <c r="M977" s="514"/>
      <c r="N977" s="992"/>
      <c r="O977" s="992"/>
      <c r="P977" s="993"/>
      <c r="Q977" s="993"/>
      <c r="R977" s="993"/>
      <c r="S977" s="514"/>
      <c r="T977" s="514"/>
      <c r="U977" s="514"/>
      <c r="V977" s="514"/>
      <c r="W977" s="514"/>
      <c r="X977" s="514"/>
      <c r="Y977" s="514"/>
    </row>
    <row r="978">
      <c r="A978" s="514"/>
      <c r="B978" s="514"/>
      <c r="C978" s="514"/>
      <c r="D978" s="514"/>
      <c r="E978" s="514"/>
      <c r="F978" s="514"/>
      <c r="G978" s="514"/>
      <c r="H978" s="514"/>
      <c r="I978" s="514"/>
      <c r="J978" s="514"/>
      <c r="K978" s="514"/>
      <c r="L978" s="514"/>
      <c r="M978" s="514"/>
      <c r="N978" s="992"/>
      <c r="O978" s="992"/>
      <c r="P978" s="993"/>
      <c r="Q978" s="993"/>
      <c r="R978" s="993"/>
      <c r="S978" s="514"/>
      <c r="T978" s="514"/>
      <c r="U978" s="514"/>
      <c r="V978" s="514"/>
      <c r="W978" s="514"/>
      <c r="X978" s="514"/>
      <c r="Y978" s="514"/>
    </row>
    <row r="979">
      <c r="A979" s="514"/>
      <c r="B979" s="514"/>
      <c r="C979" s="514"/>
      <c r="D979" s="514"/>
      <c r="E979" s="514"/>
      <c r="F979" s="514"/>
      <c r="G979" s="514"/>
      <c r="H979" s="514"/>
      <c r="I979" s="514"/>
      <c r="J979" s="514"/>
      <c r="K979" s="514"/>
      <c r="L979" s="514"/>
      <c r="M979" s="514"/>
      <c r="N979" s="992"/>
      <c r="O979" s="992"/>
      <c r="P979" s="993"/>
      <c r="Q979" s="993"/>
      <c r="R979" s="993"/>
      <c r="S979" s="514"/>
      <c r="T979" s="514"/>
      <c r="U979" s="514"/>
      <c r="V979" s="514"/>
      <c r="W979" s="514"/>
      <c r="X979" s="514"/>
      <c r="Y979" s="514"/>
    </row>
    <row r="980">
      <c r="A980" s="514"/>
      <c r="B980" s="514"/>
      <c r="C980" s="514"/>
      <c r="D980" s="514"/>
      <c r="E980" s="514"/>
      <c r="F980" s="514"/>
      <c r="G980" s="514"/>
      <c r="H980" s="514"/>
      <c r="I980" s="514"/>
      <c r="J980" s="514"/>
      <c r="K980" s="514"/>
      <c r="L980" s="514"/>
      <c r="M980" s="514"/>
      <c r="N980" s="992"/>
      <c r="O980" s="992"/>
      <c r="P980" s="993"/>
      <c r="Q980" s="993"/>
      <c r="R980" s="993"/>
      <c r="S980" s="514"/>
      <c r="T980" s="514"/>
      <c r="U980" s="514"/>
      <c r="V980" s="514"/>
      <c r="W980" s="514"/>
      <c r="X980" s="514"/>
      <c r="Y980" s="514"/>
    </row>
    <row r="981">
      <c r="A981" s="514"/>
      <c r="B981" s="514"/>
      <c r="C981" s="514"/>
      <c r="D981" s="514"/>
      <c r="E981" s="514"/>
      <c r="F981" s="514"/>
      <c r="G981" s="514"/>
      <c r="H981" s="514"/>
      <c r="I981" s="514"/>
      <c r="J981" s="514"/>
      <c r="K981" s="514"/>
      <c r="L981" s="514"/>
      <c r="M981" s="514"/>
      <c r="N981" s="992"/>
      <c r="O981" s="992"/>
      <c r="P981" s="993"/>
      <c r="Q981" s="993"/>
      <c r="R981" s="993"/>
      <c r="S981" s="514"/>
      <c r="T981" s="514"/>
      <c r="U981" s="514"/>
      <c r="V981" s="514"/>
      <c r="W981" s="514"/>
      <c r="X981" s="514"/>
      <c r="Y981" s="514"/>
    </row>
    <row r="982">
      <c r="A982" s="514"/>
      <c r="B982" s="514"/>
      <c r="C982" s="514"/>
      <c r="D982" s="514"/>
      <c r="E982" s="514"/>
      <c r="F982" s="514"/>
      <c r="G982" s="514"/>
      <c r="H982" s="514"/>
      <c r="I982" s="514"/>
      <c r="J982" s="514"/>
      <c r="K982" s="514"/>
      <c r="L982" s="514"/>
      <c r="M982" s="514"/>
      <c r="N982" s="992"/>
      <c r="O982" s="992"/>
      <c r="P982" s="993"/>
      <c r="Q982" s="993"/>
      <c r="R982" s="993"/>
      <c r="S982" s="514"/>
      <c r="T982" s="514"/>
      <c r="U982" s="514"/>
      <c r="V982" s="514"/>
      <c r="W982" s="514"/>
      <c r="X982" s="514"/>
      <c r="Y982" s="514"/>
    </row>
    <row r="983">
      <c r="A983" s="514"/>
      <c r="B983" s="514"/>
      <c r="C983" s="514"/>
      <c r="D983" s="514"/>
      <c r="E983" s="514"/>
      <c r="F983" s="514"/>
      <c r="G983" s="514"/>
      <c r="H983" s="514"/>
      <c r="I983" s="514"/>
      <c r="J983" s="514"/>
      <c r="K983" s="514"/>
      <c r="L983" s="514"/>
      <c r="M983" s="514"/>
      <c r="N983" s="992"/>
      <c r="O983" s="992"/>
      <c r="P983" s="993"/>
      <c r="Q983" s="993"/>
      <c r="R983" s="993"/>
      <c r="S983" s="514"/>
      <c r="T983" s="514"/>
      <c r="U983" s="514"/>
      <c r="V983" s="514"/>
      <c r="W983" s="514"/>
      <c r="X983" s="514"/>
      <c r="Y983" s="514"/>
    </row>
    <row r="984">
      <c r="A984" s="514"/>
      <c r="B984" s="514"/>
      <c r="C984" s="514"/>
      <c r="D984" s="514"/>
      <c r="E984" s="514"/>
      <c r="F984" s="514"/>
      <c r="G984" s="514"/>
      <c r="H984" s="514"/>
      <c r="I984" s="514"/>
      <c r="J984" s="514"/>
      <c r="K984" s="514"/>
      <c r="L984" s="514"/>
      <c r="M984" s="514"/>
      <c r="N984" s="992"/>
      <c r="O984" s="992"/>
      <c r="P984" s="993"/>
      <c r="Q984" s="993"/>
      <c r="R984" s="993"/>
      <c r="S984" s="514"/>
      <c r="T984" s="514"/>
      <c r="U984" s="514"/>
      <c r="V984" s="514"/>
      <c r="W984" s="514"/>
      <c r="X984" s="514"/>
      <c r="Y984" s="514"/>
    </row>
    <row r="985">
      <c r="A985" s="514"/>
      <c r="B985" s="514"/>
      <c r="C985" s="514"/>
      <c r="D985" s="514"/>
      <c r="E985" s="514"/>
      <c r="F985" s="514"/>
      <c r="G985" s="514"/>
      <c r="H985" s="514"/>
      <c r="I985" s="514"/>
      <c r="J985" s="514"/>
      <c r="K985" s="514"/>
      <c r="L985" s="514"/>
      <c r="M985" s="514"/>
      <c r="N985" s="992"/>
      <c r="O985" s="992"/>
      <c r="P985" s="993"/>
      <c r="Q985" s="993"/>
      <c r="R985" s="993"/>
      <c r="S985" s="514"/>
      <c r="T985" s="514"/>
      <c r="U985" s="514"/>
      <c r="V985" s="514"/>
      <c r="W985" s="514"/>
      <c r="X985" s="514"/>
      <c r="Y985" s="514"/>
    </row>
    <row r="986">
      <c r="A986" s="514"/>
      <c r="B986" s="514"/>
      <c r="C986" s="514"/>
      <c r="D986" s="514"/>
      <c r="E986" s="514"/>
      <c r="F986" s="514"/>
      <c r="G986" s="514"/>
      <c r="H986" s="514"/>
      <c r="I986" s="514"/>
      <c r="J986" s="514"/>
      <c r="K986" s="514"/>
      <c r="L986" s="514"/>
      <c r="M986" s="514"/>
      <c r="N986" s="992"/>
      <c r="O986" s="992"/>
      <c r="P986" s="993"/>
      <c r="Q986" s="993"/>
      <c r="R986" s="993"/>
      <c r="S986" s="514"/>
      <c r="T986" s="514"/>
      <c r="U986" s="514"/>
      <c r="V986" s="514"/>
      <c r="W986" s="514"/>
      <c r="X986" s="514"/>
      <c r="Y986" s="514"/>
    </row>
    <row r="987">
      <c r="A987" s="514"/>
      <c r="B987" s="514"/>
      <c r="C987" s="514"/>
      <c r="D987" s="514"/>
      <c r="E987" s="514"/>
      <c r="F987" s="514"/>
      <c r="G987" s="514"/>
      <c r="H987" s="514"/>
      <c r="I987" s="514"/>
      <c r="J987" s="514"/>
      <c r="K987" s="514"/>
      <c r="L987" s="514"/>
      <c r="M987" s="514"/>
      <c r="N987" s="992"/>
      <c r="O987" s="992"/>
      <c r="P987" s="993"/>
      <c r="Q987" s="993"/>
      <c r="R987" s="993"/>
      <c r="S987" s="514"/>
      <c r="T987" s="514"/>
      <c r="U987" s="514"/>
      <c r="V987" s="514"/>
      <c r="W987" s="514"/>
      <c r="X987" s="514"/>
      <c r="Y987" s="514"/>
    </row>
    <row r="988">
      <c r="A988" s="514"/>
      <c r="B988" s="514"/>
      <c r="C988" s="514"/>
      <c r="D988" s="514"/>
      <c r="E988" s="514"/>
      <c r="F988" s="514"/>
      <c r="G988" s="514"/>
      <c r="H988" s="514"/>
      <c r="I988" s="514"/>
      <c r="J988" s="514"/>
      <c r="K988" s="514"/>
      <c r="L988" s="514"/>
      <c r="M988" s="514"/>
      <c r="N988" s="992"/>
      <c r="O988" s="992"/>
      <c r="P988" s="993"/>
      <c r="Q988" s="993"/>
      <c r="R988" s="993"/>
      <c r="S988" s="514"/>
      <c r="T988" s="514"/>
      <c r="U988" s="514"/>
      <c r="V988" s="514"/>
      <c r="W988" s="514"/>
      <c r="X988" s="514"/>
      <c r="Y988" s="514"/>
    </row>
    <row r="989">
      <c r="A989" s="514"/>
      <c r="B989" s="514"/>
      <c r="C989" s="514"/>
      <c r="D989" s="514"/>
      <c r="E989" s="514"/>
      <c r="F989" s="514"/>
      <c r="G989" s="514"/>
      <c r="H989" s="514"/>
      <c r="I989" s="514"/>
      <c r="J989" s="514"/>
      <c r="K989" s="514"/>
      <c r="L989" s="514"/>
      <c r="M989" s="514"/>
      <c r="N989" s="992"/>
      <c r="O989" s="992"/>
      <c r="P989" s="993"/>
      <c r="Q989" s="993"/>
      <c r="R989" s="993"/>
      <c r="S989" s="514"/>
      <c r="T989" s="514"/>
      <c r="U989" s="514"/>
      <c r="V989" s="514"/>
      <c r="W989" s="514"/>
      <c r="X989" s="514"/>
      <c r="Y989" s="514"/>
    </row>
    <row r="990">
      <c r="A990" s="514"/>
      <c r="B990" s="514"/>
      <c r="C990" s="514"/>
      <c r="D990" s="514"/>
      <c r="E990" s="514"/>
      <c r="F990" s="514"/>
      <c r="G990" s="514"/>
      <c r="H990" s="514"/>
      <c r="I990" s="514"/>
      <c r="J990" s="514"/>
      <c r="K990" s="514"/>
      <c r="L990" s="514"/>
      <c r="M990" s="514"/>
      <c r="N990" s="992"/>
      <c r="O990" s="992"/>
      <c r="P990" s="993"/>
      <c r="Q990" s="993"/>
      <c r="R990" s="993"/>
      <c r="S990" s="514"/>
      <c r="T990" s="514"/>
      <c r="U990" s="514"/>
      <c r="V990" s="514"/>
      <c r="W990" s="514"/>
      <c r="X990" s="514"/>
      <c r="Y990" s="514"/>
    </row>
    <row r="991">
      <c r="A991" s="514"/>
      <c r="B991" s="514"/>
      <c r="C991" s="514"/>
      <c r="D991" s="514"/>
      <c r="E991" s="514"/>
      <c r="F991" s="514"/>
      <c r="G991" s="514"/>
      <c r="H991" s="514"/>
      <c r="I991" s="514"/>
      <c r="J991" s="514"/>
      <c r="K991" s="514"/>
      <c r="L991" s="514"/>
      <c r="M991" s="514"/>
      <c r="N991" s="992"/>
      <c r="O991" s="992"/>
      <c r="P991" s="993"/>
      <c r="Q991" s="993"/>
      <c r="R991" s="993"/>
      <c r="S991" s="514"/>
      <c r="T991" s="514"/>
      <c r="U991" s="514"/>
      <c r="V991" s="514"/>
      <c r="W991" s="514"/>
      <c r="X991" s="514"/>
      <c r="Y991" s="514"/>
    </row>
    <row r="992">
      <c r="A992" s="514"/>
      <c r="B992" s="514"/>
      <c r="C992" s="514"/>
      <c r="D992" s="514"/>
      <c r="E992" s="514"/>
      <c r="F992" s="514"/>
      <c r="G992" s="514"/>
      <c r="H992" s="514"/>
      <c r="I992" s="514"/>
      <c r="J992" s="514"/>
      <c r="K992" s="514"/>
      <c r="L992" s="514"/>
      <c r="M992" s="514"/>
      <c r="N992" s="992"/>
      <c r="O992" s="992"/>
      <c r="P992" s="993"/>
      <c r="Q992" s="993"/>
      <c r="R992" s="993"/>
      <c r="S992" s="514"/>
      <c r="T992" s="514"/>
      <c r="U992" s="514"/>
      <c r="V992" s="514"/>
      <c r="W992" s="514"/>
      <c r="X992" s="514"/>
      <c r="Y992" s="514"/>
    </row>
    <row r="993">
      <c r="A993" s="514"/>
      <c r="B993" s="514"/>
      <c r="C993" s="514"/>
      <c r="D993" s="514"/>
      <c r="E993" s="514"/>
      <c r="F993" s="514"/>
      <c r="G993" s="514"/>
      <c r="H993" s="514"/>
      <c r="I993" s="514"/>
      <c r="J993" s="514"/>
      <c r="K993" s="514"/>
      <c r="L993" s="514"/>
      <c r="M993" s="514"/>
      <c r="N993" s="992"/>
      <c r="O993" s="992"/>
      <c r="P993" s="993"/>
      <c r="Q993" s="993"/>
      <c r="R993" s="993"/>
      <c r="S993" s="514"/>
      <c r="T993" s="514"/>
      <c r="U993" s="514"/>
      <c r="V993" s="514"/>
      <c r="W993" s="514"/>
      <c r="X993" s="514"/>
      <c r="Y993" s="514"/>
    </row>
    <row r="994">
      <c r="A994" s="514"/>
      <c r="B994" s="514"/>
      <c r="C994" s="514"/>
      <c r="D994" s="514"/>
      <c r="E994" s="514"/>
      <c r="F994" s="514"/>
      <c r="G994" s="514"/>
      <c r="H994" s="514"/>
      <c r="I994" s="514"/>
      <c r="J994" s="514"/>
      <c r="K994" s="514"/>
      <c r="L994" s="514"/>
      <c r="M994" s="514"/>
      <c r="N994" s="992"/>
      <c r="O994" s="992"/>
      <c r="P994" s="993"/>
      <c r="Q994" s="993"/>
      <c r="R994" s="993"/>
      <c r="S994" s="514"/>
      <c r="T994" s="514"/>
      <c r="U994" s="514"/>
      <c r="V994" s="514"/>
      <c r="W994" s="514"/>
      <c r="X994" s="514"/>
      <c r="Y994" s="514"/>
    </row>
    <row r="995">
      <c r="A995" s="514"/>
      <c r="B995" s="514"/>
      <c r="C995" s="514"/>
      <c r="D995" s="514"/>
      <c r="E995" s="514"/>
      <c r="F995" s="514"/>
      <c r="G995" s="514"/>
      <c r="H995" s="514"/>
      <c r="I995" s="514"/>
      <c r="J995" s="514"/>
      <c r="K995" s="514"/>
      <c r="L995" s="514"/>
      <c r="M995" s="514"/>
      <c r="N995" s="992"/>
      <c r="O995" s="992"/>
      <c r="P995" s="993"/>
      <c r="Q995" s="993"/>
      <c r="R995" s="993"/>
      <c r="S995" s="514"/>
      <c r="T995" s="514"/>
      <c r="U995" s="514"/>
      <c r="V995" s="514"/>
      <c r="W995" s="514"/>
      <c r="X995" s="514"/>
      <c r="Y995" s="514"/>
    </row>
    <row r="996">
      <c r="A996" s="514"/>
      <c r="B996" s="514"/>
      <c r="C996" s="514"/>
      <c r="D996" s="514"/>
      <c r="E996" s="514"/>
      <c r="F996" s="514"/>
      <c r="G996" s="514"/>
      <c r="H996" s="514"/>
      <c r="I996" s="514"/>
      <c r="J996" s="514"/>
      <c r="K996" s="514"/>
      <c r="L996" s="514"/>
      <c r="M996" s="514"/>
      <c r="N996" s="992"/>
      <c r="O996" s="992"/>
      <c r="P996" s="993"/>
      <c r="Q996" s="993"/>
      <c r="R996" s="993"/>
      <c r="S996" s="514"/>
      <c r="T996" s="514"/>
      <c r="U996" s="514"/>
      <c r="V996" s="514"/>
      <c r="W996" s="514"/>
      <c r="X996" s="514"/>
      <c r="Y996" s="514"/>
    </row>
    <row r="997">
      <c r="A997" s="514"/>
      <c r="B997" s="514"/>
      <c r="C997" s="514"/>
      <c r="D997" s="514"/>
      <c r="E997" s="514"/>
      <c r="F997" s="514"/>
      <c r="G997" s="514"/>
      <c r="H997" s="514"/>
      <c r="I997" s="514"/>
      <c r="J997" s="514"/>
      <c r="K997" s="514"/>
      <c r="L997" s="514"/>
      <c r="M997" s="514"/>
      <c r="N997" s="992"/>
      <c r="O997" s="992"/>
      <c r="P997" s="993"/>
      <c r="Q997" s="993"/>
      <c r="R997" s="993"/>
      <c r="S997" s="514"/>
      <c r="T997" s="514"/>
      <c r="U997" s="514"/>
      <c r="V997" s="514"/>
      <c r="W997" s="514"/>
      <c r="X997" s="514"/>
      <c r="Y997" s="514"/>
    </row>
    <row r="998">
      <c r="A998" s="514"/>
      <c r="B998" s="514"/>
      <c r="C998" s="514"/>
      <c r="D998" s="514"/>
      <c r="E998" s="514"/>
      <c r="F998" s="514"/>
      <c r="G998" s="514"/>
      <c r="H998" s="514"/>
      <c r="I998" s="514"/>
      <c r="J998" s="514"/>
      <c r="K998" s="514"/>
      <c r="L998" s="514"/>
      <c r="M998" s="514"/>
      <c r="N998" s="992"/>
      <c r="O998" s="992"/>
      <c r="P998" s="993"/>
      <c r="Q998" s="993"/>
      <c r="R998" s="993"/>
      <c r="S998" s="514"/>
      <c r="T998" s="514"/>
      <c r="U998" s="514"/>
      <c r="V998" s="514"/>
      <c r="W998" s="514"/>
      <c r="X998" s="514"/>
      <c r="Y998" s="514"/>
    </row>
    <row r="999">
      <c r="A999" s="514"/>
      <c r="B999" s="514"/>
      <c r="C999" s="514"/>
      <c r="D999" s="514"/>
      <c r="E999" s="514"/>
      <c r="F999" s="514"/>
      <c r="G999" s="514"/>
      <c r="H999" s="514"/>
      <c r="I999" s="514"/>
      <c r="J999" s="514"/>
      <c r="K999" s="514"/>
      <c r="L999" s="514"/>
      <c r="M999" s="514"/>
      <c r="N999" s="992"/>
      <c r="O999" s="992"/>
      <c r="P999" s="993"/>
      <c r="Q999" s="993"/>
      <c r="R999" s="993"/>
      <c r="S999" s="514"/>
      <c r="T999" s="514"/>
      <c r="U999" s="514"/>
      <c r="V999" s="514"/>
      <c r="W999" s="514"/>
      <c r="X999" s="514"/>
      <c r="Y999" s="514"/>
    </row>
    <row r="1000">
      <c r="A1000" s="514"/>
      <c r="B1000" s="514"/>
      <c r="C1000" s="514"/>
      <c r="D1000" s="514"/>
      <c r="E1000" s="514"/>
      <c r="F1000" s="514"/>
      <c r="G1000" s="514"/>
      <c r="H1000" s="514"/>
      <c r="I1000" s="514"/>
      <c r="J1000" s="514"/>
      <c r="K1000" s="514"/>
      <c r="L1000" s="514"/>
      <c r="M1000" s="514"/>
      <c r="N1000" s="992"/>
      <c r="O1000" s="992"/>
      <c r="P1000" s="993"/>
      <c r="Q1000" s="993"/>
      <c r="R1000" s="993"/>
      <c r="S1000" s="514"/>
      <c r="T1000" s="514"/>
      <c r="U1000" s="514"/>
      <c r="V1000" s="514"/>
      <c r="W1000" s="514"/>
      <c r="X1000" s="514"/>
      <c r="Y1000" s="514"/>
    </row>
  </sheetData>
  <autoFilter ref="$A$2:$Y$202"/>
  <conditionalFormatting sqref="H2:H1000">
    <cfRule type="containsText" dxfId="10" priority="1" operator="containsText" text="close">
      <formula>NOT(ISERROR(SEARCH(("close"),(H2))))</formula>
    </cfRule>
  </conditionalFormatting>
  <conditionalFormatting sqref="H2:H1000">
    <cfRule type="containsText" dxfId="11" priority="2" operator="containsText" text="open">
      <formula>NOT(ISERROR(SEARCH(("open"),(H2))))</formula>
    </cfRule>
  </conditionalFormatting>
  <conditionalFormatting sqref="D3:D1000">
    <cfRule type="expression" dxfId="1" priority="3">
      <formula>$M3="BLK"</formula>
    </cfRule>
  </conditionalFormatting>
  <conditionalFormatting sqref="D3:D1000">
    <cfRule type="expression" dxfId="7" priority="4">
      <formula>$M3="PPL"</formula>
    </cfRule>
  </conditionalFormatting>
  <conditionalFormatting sqref="D3:D1000">
    <cfRule type="expression" dxfId="19" priority="5">
      <formula>$M3="YEL"</formula>
    </cfRule>
  </conditionalFormatting>
  <conditionalFormatting sqref="D3:D1000">
    <cfRule type="expression" dxfId="21" priority="6">
      <formula>$M3="BUE"</formula>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sheetPr>
  <sheetViews>
    <sheetView showGridLines="0" workbookViewId="0">
      <pane xSplit="10.0" ySplit="5.0" topLeftCell="K6" activePane="bottomRight" state="frozen"/>
      <selection activeCell="K1" sqref="K1" pane="topRight"/>
      <selection activeCell="A6" sqref="A6" pane="bottomLeft"/>
      <selection activeCell="K6" sqref="K6" pane="bottomRight"/>
    </sheetView>
  </sheetViews>
  <sheetFormatPr customHeight="1" defaultColWidth="12.63" defaultRowHeight="15.75"/>
  <cols>
    <col customWidth="1" min="1" max="1" width="4.25"/>
    <col customWidth="1" min="2" max="2" width="5.0"/>
    <col customWidth="1" min="3" max="3" width="10.38"/>
    <col customWidth="1" min="4" max="4" width="12.0"/>
    <col customWidth="1" min="5" max="8" width="16.25"/>
    <col customWidth="1" min="9" max="9" width="10.0"/>
    <col customWidth="1" min="10" max="10" width="12.13"/>
    <col customWidth="1" min="11" max="11" width="14.25"/>
    <col customWidth="1" min="12" max="12" width="10.38"/>
    <col customWidth="1" min="13" max="13" width="10.25"/>
    <col customWidth="1" min="14" max="14" width="11.75"/>
    <col customWidth="1" min="15" max="15" width="15.25"/>
    <col customWidth="1" min="16" max="16" width="19.13"/>
    <col customWidth="1" min="17" max="17" width="42.25"/>
    <col customWidth="1" min="18" max="19" width="7.88"/>
    <col customWidth="1" min="20" max="20" width="13.38"/>
    <col customWidth="1" min="21" max="22" width="7.88"/>
    <col customWidth="1" min="23" max="23" width="13.38"/>
    <col customWidth="1" hidden="1" min="24" max="24" width="12.63"/>
    <col customWidth="1" min="25" max="25" width="12.63"/>
  </cols>
  <sheetData>
    <row r="1" ht="12.75" customHeight="1">
      <c r="A1" s="1082"/>
      <c r="B1" s="1083"/>
      <c r="C1" s="1084"/>
      <c r="D1" s="1085"/>
      <c r="E1" s="1086"/>
      <c r="F1" s="1087"/>
      <c r="G1" s="1088"/>
      <c r="H1" s="1089"/>
      <c r="I1" s="1090"/>
      <c r="J1" s="1091"/>
      <c r="K1" s="1092"/>
      <c r="L1" s="1093"/>
      <c r="M1" s="1093"/>
      <c r="N1" s="1093"/>
      <c r="O1" s="1093"/>
      <c r="P1" s="1093"/>
      <c r="Q1" s="1094"/>
      <c r="R1" s="1095"/>
      <c r="S1" s="1095"/>
      <c r="T1" s="1096"/>
      <c r="U1" s="1095"/>
      <c r="V1" s="1095"/>
      <c r="W1" s="1093"/>
      <c r="X1" s="1088"/>
      <c r="Y1" s="1097"/>
      <c r="Z1" s="1097"/>
      <c r="AA1" s="1097"/>
      <c r="AB1" s="1097"/>
      <c r="AC1" s="1097"/>
      <c r="AD1" s="1097"/>
      <c r="AE1" s="1097"/>
      <c r="AF1" s="1097"/>
      <c r="AG1" s="1097"/>
      <c r="AH1" s="1097"/>
      <c r="AI1" s="1097"/>
      <c r="AJ1" s="1097"/>
      <c r="AK1" s="1097"/>
      <c r="AL1" s="1097"/>
      <c r="AM1" s="1097"/>
      <c r="AN1" s="1097"/>
    </row>
    <row r="2">
      <c r="A2" s="1098"/>
      <c r="B2" s="174" t="s">
        <v>2207</v>
      </c>
      <c r="C2" s="1084"/>
      <c r="D2" s="1085"/>
      <c r="E2" s="1086"/>
      <c r="F2" s="1087"/>
      <c r="G2" s="1088"/>
      <c r="H2" s="1089"/>
      <c r="I2" s="1090"/>
      <c r="J2" s="1091"/>
      <c r="K2" s="1092"/>
      <c r="L2" s="1093"/>
      <c r="M2" s="1093"/>
      <c r="N2" s="1093"/>
      <c r="O2" s="1093"/>
      <c r="P2" s="1093"/>
      <c r="Q2" s="1099"/>
      <c r="R2" s="1095"/>
      <c r="S2" s="1095"/>
      <c r="T2" s="1096"/>
      <c r="U2" s="1095"/>
      <c r="V2" s="1095"/>
      <c r="W2" s="1093"/>
      <c r="X2" s="1088"/>
      <c r="Y2" s="1100"/>
      <c r="Z2" s="1100"/>
      <c r="AA2" s="1100"/>
      <c r="AB2" s="1100"/>
      <c r="AC2" s="1100"/>
      <c r="AD2" s="1100"/>
      <c r="AE2" s="1100"/>
      <c r="AF2" s="1100"/>
      <c r="AG2" s="1100"/>
      <c r="AH2" s="1100"/>
      <c r="AI2" s="1097"/>
      <c r="AJ2" s="1097"/>
      <c r="AK2" s="1097"/>
      <c r="AL2" s="1097"/>
      <c r="AM2" s="1097"/>
      <c r="AN2" s="1097"/>
    </row>
    <row r="3" ht="18.0" customHeight="1">
      <c r="A3" s="1101"/>
      <c r="B3" s="1102"/>
      <c r="C3" s="1101"/>
      <c r="D3" s="1103" t="s">
        <v>2208</v>
      </c>
      <c r="E3" s="1104"/>
      <c r="F3" s="1103" t="s">
        <v>310</v>
      </c>
      <c r="G3" s="1103" t="s">
        <v>2181</v>
      </c>
      <c r="H3" s="1103" t="s">
        <v>2209</v>
      </c>
      <c r="I3" s="1105"/>
      <c r="J3" s="1106" t="s">
        <v>2210</v>
      </c>
      <c r="K3" s="1107">
        <f>SUBTOTAL(109,K6:K675)</f>
        <v>7042800</v>
      </c>
      <c r="L3" s="1102"/>
      <c r="M3" s="1105"/>
      <c r="N3" s="1108" t="s">
        <v>2211</v>
      </c>
      <c r="O3" s="1108" t="s">
        <v>2212</v>
      </c>
      <c r="P3" s="1108" t="s">
        <v>2213</v>
      </c>
      <c r="Q3" s="1103" t="s">
        <v>2214</v>
      </c>
      <c r="R3" s="1101"/>
      <c r="S3" s="1101"/>
      <c r="T3" s="1109"/>
      <c r="U3" s="1101"/>
      <c r="V3" s="1101"/>
      <c r="W3" s="1110"/>
      <c r="X3" s="1103">
        <v>15.0</v>
      </c>
      <c r="Y3" s="1102"/>
      <c r="Z3" s="1102"/>
      <c r="AA3" s="1102"/>
      <c r="AB3" s="1102"/>
      <c r="AC3" s="1102"/>
      <c r="AD3" s="1102"/>
      <c r="AE3" s="1102"/>
      <c r="AF3" s="1102"/>
      <c r="AG3" s="1102"/>
      <c r="AH3" s="1102"/>
      <c r="AI3" s="1102"/>
      <c r="AJ3" s="1102"/>
      <c r="AK3" s="1102"/>
      <c r="AL3" s="1102"/>
      <c r="AM3" s="1102"/>
      <c r="AN3" s="1102"/>
    </row>
    <row r="4" ht="14.25" customHeight="1">
      <c r="A4" s="1111"/>
      <c r="B4" s="1112"/>
      <c r="C4" s="1113" t="s">
        <v>2019</v>
      </c>
      <c r="D4" s="1114" t="s">
        <v>2018</v>
      </c>
      <c r="E4" s="249" t="s">
        <v>2019</v>
      </c>
      <c r="F4" s="1114" t="s">
        <v>2018</v>
      </c>
      <c r="G4" s="1114" t="s">
        <v>2018</v>
      </c>
      <c r="H4" s="1114" t="s">
        <v>2018</v>
      </c>
      <c r="I4" s="249" t="s">
        <v>2019</v>
      </c>
      <c r="J4" s="1115" t="s">
        <v>2215</v>
      </c>
      <c r="K4" s="1116" t="s">
        <v>2018</v>
      </c>
      <c r="L4" s="1116" t="s">
        <v>2018</v>
      </c>
      <c r="M4" s="1116" t="s">
        <v>2018</v>
      </c>
      <c r="N4" s="1116" t="s">
        <v>2018</v>
      </c>
      <c r="O4" s="1116" t="s">
        <v>2018</v>
      </c>
      <c r="P4" s="1116" t="s">
        <v>2018</v>
      </c>
      <c r="Q4" s="1116" t="s">
        <v>2018</v>
      </c>
      <c r="R4" s="249" t="s">
        <v>2019</v>
      </c>
      <c r="S4" s="249" t="s">
        <v>2019</v>
      </c>
      <c r="T4" s="249" t="s">
        <v>2019</v>
      </c>
      <c r="U4" s="1117" t="s">
        <v>2216</v>
      </c>
      <c r="V4" s="1117" t="s">
        <v>2216</v>
      </c>
      <c r="W4" s="1118" t="s">
        <v>2216</v>
      </c>
      <c r="X4" s="1114" t="s">
        <v>2018</v>
      </c>
      <c r="Y4" s="1119"/>
      <c r="Z4" s="1119"/>
      <c r="AA4" s="1119"/>
      <c r="AB4" s="1119"/>
      <c r="AC4" s="1119"/>
      <c r="AD4" s="1119"/>
      <c r="AE4" s="1119"/>
      <c r="AF4" s="1119"/>
      <c r="AG4" s="1119"/>
      <c r="AH4" s="1119"/>
      <c r="AI4" s="1119"/>
      <c r="AJ4" s="1119"/>
      <c r="AK4" s="1119"/>
      <c r="AL4" s="1119"/>
      <c r="AM4" s="1119"/>
      <c r="AN4" s="1119"/>
    </row>
    <row r="5" ht="33.0" customHeight="1">
      <c r="A5" s="1120"/>
      <c r="B5" s="1121" t="s">
        <v>340</v>
      </c>
      <c r="C5" s="1122" t="s">
        <v>2217</v>
      </c>
      <c r="D5" s="1123" t="s">
        <v>1425</v>
      </c>
      <c r="E5" s="1121" t="s">
        <v>343</v>
      </c>
      <c r="F5" s="1124" t="s">
        <v>2132</v>
      </c>
      <c r="G5" s="1125" t="s">
        <v>344</v>
      </c>
      <c r="H5" s="1125" t="s">
        <v>378</v>
      </c>
      <c r="I5" s="1126" t="s">
        <v>2218</v>
      </c>
      <c r="J5" s="1127" t="s">
        <v>2219</v>
      </c>
      <c r="K5" s="1128" t="s">
        <v>2220</v>
      </c>
      <c r="L5" s="1129" t="s">
        <v>2221</v>
      </c>
      <c r="M5" s="1129" t="s">
        <v>276</v>
      </c>
      <c r="N5" s="1129" t="s">
        <v>2222</v>
      </c>
      <c r="O5" s="1129" t="s">
        <v>2223</v>
      </c>
      <c r="P5" s="1129" t="s">
        <v>2224</v>
      </c>
      <c r="Q5" s="1130" t="s">
        <v>2225</v>
      </c>
      <c r="R5" s="1131" t="s">
        <v>2226</v>
      </c>
      <c r="S5" s="1131" t="s">
        <v>2227</v>
      </c>
      <c r="T5" s="1132" t="s">
        <v>2228</v>
      </c>
      <c r="U5" s="1131" t="s">
        <v>2229</v>
      </c>
      <c r="V5" s="1131" t="s">
        <v>2230</v>
      </c>
      <c r="W5" s="1133" t="s">
        <v>2231</v>
      </c>
      <c r="X5" s="1134" t="s">
        <v>2009</v>
      </c>
      <c r="Y5" s="1135"/>
      <c r="Z5" s="1136"/>
      <c r="AA5" s="1136"/>
      <c r="AB5" s="1136"/>
      <c r="AC5" s="1136"/>
      <c r="AD5" s="1136"/>
      <c r="AE5" s="1136"/>
      <c r="AF5" s="1136"/>
      <c r="AG5" s="1136"/>
      <c r="AH5" s="1136"/>
      <c r="AI5" s="1093"/>
      <c r="AJ5" s="1093"/>
      <c r="AK5" s="1093"/>
      <c r="AL5" s="1093"/>
      <c r="AM5" s="1093"/>
      <c r="AN5" s="1137"/>
    </row>
    <row r="6">
      <c r="A6" s="1138"/>
      <c r="B6" s="292">
        <v>1.0</v>
      </c>
      <c r="C6" s="787">
        <v>45793.0</v>
      </c>
      <c r="D6" s="1139" t="str">
        <f t="array" ref="D6">if(isblank(E6),"",xlookup(E6,'FL5_POR_包裝對照表 (Mapping Table)'!E:E,'FL5_POR_包裝對照表 (Mapping Table)'!BJ:BJ,"",0,1))</f>
        <v>智能手機</v>
      </c>
      <c r="E6" s="1140" t="s">
        <v>798</v>
      </c>
      <c r="F6" s="1141" t="str">
        <f t="array" ref="F6">if(isblank(E6),"",xlookup(E6,'FL5_POR_包裝對照表 (Mapping Table)'!E:E,'FL5_POR_包裝對照表 (Mapping Table)'!E:E,"",0,1))</f>
        <v>CLNRGA09744</v>
      </c>
      <c r="G6" s="313" t="str">
        <f t="array" ref="G6">if(isblank(E6),"",xlookup(E6,'FL5_POR_包裝對照表 (Mapping Table)'!E:E,'FL5_POR_包裝對照表 (Mapping Table)'!F:F,"",0,1))</f>
        <v>GSTORE, US</v>
      </c>
      <c r="H6" s="312" t="str">
        <f t="array" ref="H6">if(isblank(E6),"",xlookup(E6,'FL5_POR_包裝對照表 (Mapping Table)'!E:E,'FL5_POR_包裝對照表 (Mapping Table)'!AN:AN,"",0,1))</f>
        <v>G950-15935-00</v>
      </c>
      <c r="I6" s="1142">
        <v>1000.0</v>
      </c>
      <c r="J6" s="1143">
        <f t="array" ref="J6">IF(ISBLANK(F6),"",XLOOKUP(F6,'FL5_POR_核價 (經管 &amp; BPM)'!E:E,'FL5_POR_核價 (經管 &amp; BPM)'!O:O,"",0,1))</f>
        <v>445.63</v>
      </c>
      <c r="K6" s="1144">
        <f t="shared" ref="K6:K108" si="1">IF(isblank(J6),"",I6*J6)</f>
        <v>445630</v>
      </c>
      <c r="L6" s="292" t="str">
        <f>IF(ISBLANK(E6),"",'FL5_POR_包裝對照表 (Mapping Table)'!$E$4)</f>
        <v>GFL (FL5)</v>
      </c>
      <c r="M6" s="292" t="str">
        <f>IF(ISBLANK(E6),"",'FL5_POR_包裝對照表 (Mapping Table)'!$F$4&amp;"-PRQ")</f>
        <v>MP-PRQ</v>
      </c>
      <c r="N6" s="292" t="str">
        <f t="shared" ref="N6:N108" si="2">if(isblank(E6),"",$N$3)</f>
        <v>富泰宏</v>
      </c>
      <c r="O6" s="677" t="str">
        <f t="shared" ref="O6:O108" si="3">if(isblank(E6),"",$O$3)</f>
        <v>工廠出貨用</v>
      </c>
      <c r="P6" s="677" t="str">
        <f t="shared" ref="P6:P108" si="4">if(isblank(E6),"",$P$3)</f>
        <v>陳冠伶/502619</v>
      </c>
      <c r="Q6" s="1145" t="str">
        <f t="array" ref="Q6">if(isblank(E6),"",xlookup(E6,'FL5_POR_包裝對照表 (Mapping Table)'!E:E,'FL5_POR_包裝對照表 (Mapping Table)'!AB:AB,"",0,1))</f>
        <v>SKU, CLR1, GOOD, MMWAVE, GSTORE, FL5, FRU</v>
      </c>
      <c r="R6" s="787">
        <v>45793.0</v>
      </c>
      <c r="S6" s="787">
        <v>45796.0</v>
      </c>
      <c r="T6" s="1146">
        <v>4.0624449E7</v>
      </c>
      <c r="U6" s="787">
        <v>45797.0</v>
      </c>
      <c r="V6" s="787">
        <v>45800.0</v>
      </c>
      <c r="W6" s="1147">
        <v>4.370068123E9</v>
      </c>
      <c r="X6" s="908" t="str">
        <f t="array" ref="X6">if(isblank(E6),"",xlookup(E6,'FL5_POR_包裝對照表 (Mapping Table)'!E:E,'FL5_POR_包裝對照表 (Mapping Table)'!K:K,"",0,1))</f>
        <v>BLK</v>
      </c>
      <c r="Y6" s="1"/>
      <c r="Z6" s="1"/>
      <c r="AA6" s="1"/>
      <c r="AB6" s="1"/>
      <c r="AC6" s="1"/>
      <c r="AD6" s="1"/>
      <c r="AE6" s="1"/>
      <c r="AF6" s="1"/>
      <c r="AG6" s="1"/>
      <c r="AH6" s="1"/>
      <c r="AI6" s="1"/>
      <c r="AJ6" s="1"/>
      <c r="AK6" s="1"/>
      <c r="AL6" s="1"/>
      <c r="AM6" s="1"/>
      <c r="AN6" s="1"/>
    </row>
    <row r="7">
      <c r="A7" s="1138"/>
      <c r="B7" s="292">
        <v>2.0</v>
      </c>
      <c r="C7" s="787">
        <v>45793.0</v>
      </c>
      <c r="D7" s="1139" t="str">
        <f t="array" ref="D7">if(isblank(E7),"",xlookup(E7,'FL5_POR_包裝對照表 (Mapping Table)'!E:E,'FL5_POR_包裝對照表 (Mapping Table)'!BJ:BJ,"",0,1))</f>
        <v>智能手機</v>
      </c>
      <c r="E7" s="1140" t="s">
        <v>803</v>
      </c>
      <c r="F7" s="1141" t="str">
        <f t="array" ref="F7">if(isblank(E7),"",xlookup(E7,'FL5_POR_包裝對照表 (Mapping Table)'!E:E,'FL5_POR_包裝對照表 (Mapping Table)'!E:E,"",0,1))</f>
        <v>CLNRGA10214</v>
      </c>
      <c r="G7" s="313" t="str">
        <f t="array" ref="G7">if(isblank(E7),"",xlookup(E7,'FL5_POR_包裝對照表 (Mapping Table)'!E:E,'FL5_POR_包裝對照表 (Mapping Table)'!F:F,"",0,1))</f>
        <v>GSTORE, US</v>
      </c>
      <c r="H7" s="312" t="str">
        <f t="array" ref="H7">if(isblank(E7),"",xlookup(E7,'FL5_POR_包裝對照表 (Mapping Table)'!E:E,'FL5_POR_包裝對照表 (Mapping Table)'!AN:AN,"",0,1))</f>
        <v>G950-15935-01</v>
      </c>
      <c r="I7" s="1142">
        <v>1000.0</v>
      </c>
      <c r="J7" s="1143">
        <f t="array" ref="J7">IF(ISBLANK(F7),"",XLOOKUP(F7,'FL5_POR_核價 (經管 &amp; BPM)'!E:E,'FL5_POR_核價 (經管 &amp; BPM)'!O:O,"",0,1))</f>
        <v>445.93</v>
      </c>
      <c r="K7" s="1144">
        <f t="shared" si="1"/>
        <v>445930</v>
      </c>
      <c r="L7" s="292" t="str">
        <f>IF(ISBLANK(E7),"",'FL5_POR_包裝對照表 (Mapping Table)'!$E$4)</f>
        <v>GFL (FL5)</v>
      </c>
      <c r="M7" s="292" t="str">
        <f>IF(ISBLANK(E7),"",'FL5_POR_包裝對照表 (Mapping Table)'!$F$4&amp;"-PRQ")</f>
        <v>MP-PRQ</v>
      </c>
      <c r="N7" s="292" t="str">
        <f t="shared" si="2"/>
        <v>富泰宏</v>
      </c>
      <c r="O7" s="677" t="str">
        <f t="shared" si="3"/>
        <v>工廠出貨用</v>
      </c>
      <c r="P7" s="677" t="str">
        <f t="shared" si="4"/>
        <v>陳冠伶/502619</v>
      </c>
      <c r="Q7" s="1145" t="str">
        <f t="array" ref="Q7">if(isblank(E7),"",xlookup(E7,'FL5_POR_包裝對照表 (Mapping Table)'!E:E,'FL5_POR_包裝對照表 (Mapping Table)'!AB:AB,"",0,1))</f>
        <v>SKU, CLR2, GOOD, MMWAVE, GSTORE, FL5, FRU</v>
      </c>
      <c r="R7" s="787">
        <v>45793.0</v>
      </c>
      <c r="S7" s="787">
        <v>45796.0</v>
      </c>
      <c r="T7" s="1146">
        <v>4.0624449E7</v>
      </c>
      <c r="U7" s="787">
        <v>45797.0</v>
      </c>
      <c r="V7" s="787">
        <v>45800.0</v>
      </c>
      <c r="W7" s="1147">
        <v>4.370068123E9</v>
      </c>
      <c r="X7" s="908" t="str">
        <f t="array" ref="X7">if(isblank(E7),"",xlookup(E7,'FL5_POR_包裝對照表 (Mapping Table)'!E:E,'FL5_POR_包裝對照表 (Mapping Table)'!K:K,"",0,1))</f>
        <v>PPL</v>
      </c>
      <c r="Y7" s="1"/>
      <c r="Z7" s="1"/>
      <c r="AA7" s="1"/>
      <c r="AB7" s="1"/>
      <c r="AC7" s="1"/>
      <c r="AD7" s="1"/>
      <c r="AE7" s="1"/>
      <c r="AF7" s="1"/>
      <c r="AG7" s="1"/>
      <c r="AH7" s="1"/>
      <c r="AI7" s="1"/>
      <c r="AJ7" s="1"/>
      <c r="AK7" s="1"/>
      <c r="AL7" s="1"/>
      <c r="AM7" s="1"/>
      <c r="AN7" s="1"/>
    </row>
    <row r="8">
      <c r="A8" s="1138"/>
      <c r="B8" s="292">
        <v>3.0</v>
      </c>
      <c r="C8" s="787">
        <v>45793.0</v>
      </c>
      <c r="D8" s="1139" t="str">
        <f t="array" ref="D8">if(isblank(E8),"",xlookup(E8,'FL5_POR_包裝對照表 (Mapping Table)'!E:E,'FL5_POR_包裝對照表 (Mapping Table)'!BJ:BJ,"",0,1))</f>
        <v>智能手機</v>
      </c>
      <c r="E8" s="1140" t="s">
        <v>807</v>
      </c>
      <c r="F8" s="1141" t="str">
        <f t="array" ref="F8">if(isblank(E8),"",xlookup(E8,'FL5_POR_包裝對照表 (Mapping Table)'!E:E,'FL5_POR_包裝對照表 (Mapping Table)'!E:E,"",0,1))</f>
        <v>CLNRGA10215</v>
      </c>
      <c r="G8" s="313" t="str">
        <f t="array" ref="G8">if(isblank(E8),"",xlookup(E8,'FL5_POR_包裝對照表 (Mapping Table)'!E:E,'FL5_POR_包裝對照表 (Mapping Table)'!F:F,"",0,1))</f>
        <v>GSTORE, US</v>
      </c>
      <c r="H8" s="312" t="str">
        <f t="array" ref="H8">if(isblank(E8),"",xlookup(E8,'FL5_POR_包裝對照表 (Mapping Table)'!E:E,'FL5_POR_包裝對照表 (Mapping Table)'!AN:AN,"",0,1))</f>
        <v>G950-15935-02</v>
      </c>
      <c r="I8" s="1142">
        <v>1000.0</v>
      </c>
      <c r="J8" s="1143">
        <f t="array" ref="J8">IF(ISBLANK(F8),"",XLOOKUP(F8,'FL5_POR_核價 (經管 &amp; BPM)'!E:E,'FL5_POR_核價 (經管 &amp; BPM)'!O:O,"",0,1))</f>
        <v>446.03</v>
      </c>
      <c r="K8" s="1144">
        <f t="shared" si="1"/>
        <v>446030</v>
      </c>
      <c r="L8" s="292" t="str">
        <f>IF(ISBLANK(E8),"",'FL5_POR_包裝對照表 (Mapping Table)'!$E$4)</f>
        <v>GFL (FL5)</v>
      </c>
      <c r="M8" s="292" t="str">
        <f>IF(ISBLANK(E8),"",'FL5_POR_包裝對照表 (Mapping Table)'!$F$4&amp;"-PRQ")</f>
        <v>MP-PRQ</v>
      </c>
      <c r="N8" s="292" t="str">
        <f t="shared" si="2"/>
        <v>富泰宏</v>
      </c>
      <c r="O8" s="677" t="str">
        <f t="shared" si="3"/>
        <v>工廠出貨用</v>
      </c>
      <c r="P8" s="677" t="str">
        <f t="shared" si="4"/>
        <v>陳冠伶/502619</v>
      </c>
      <c r="Q8" s="1145" t="str">
        <f t="array" ref="Q8">if(isblank(E8),"",xlookup(E8,'FL5_POR_包裝對照表 (Mapping Table)'!E:E,'FL5_POR_包裝對照表 (Mapping Table)'!AB:AB,"",0,1))</f>
        <v>SKU, CLR3, GOOD, MMWAVE, GSTORE, FL5, FRU</v>
      </c>
      <c r="R8" s="787">
        <v>45793.0</v>
      </c>
      <c r="S8" s="787">
        <v>45796.0</v>
      </c>
      <c r="T8" s="1146">
        <v>4.0624449E7</v>
      </c>
      <c r="U8" s="787">
        <v>45797.0</v>
      </c>
      <c r="V8" s="787">
        <v>45800.0</v>
      </c>
      <c r="W8" s="1147">
        <v>4.370068123E9</v>
      </c>
      <c r="X8" s="908" t="str">
        <f t="array" ref="X8">if(isblank(E8),"",xlookup(E8,'FL5_POR_包裝對照表 (Mapping Table)'!E:E,'FL5_POR_包裝對照表 (Mapping Table)'!K:K,"",0,1))</f>
        <v>YEL</v>
      </c>
      <c r="Y8" s="1"/>
      <c r="Z8" s="1"/>
      <c r="AA8" s="1"/>
      <c r="AB8" s="1"/>
      <c r="AC8" s="1"/>
      <c r="AD8" s="1"/>
      <c r="AE8" s="1"/>
      <c r="AF8" s="1"/>
      <c r="AG8" s="1"/>
      <c r="AH8" s="1"/>
      <c r="AI8" s="1"/>
      <c r="AJ8" s="1"/>
      <c r="AK8" s="1"/>
      <c r="AL8" s="1"/>
      <c r="AM8" s="1"/>
      <c r="AN8" s="1"/>
    </row>
    <row r="9">
      <c r="A9" s="1138"/>
      <c r="B9" s="292">
        <v>4.0</v>
      </c>
      <c r="C9" s="787">
        <v>45793.0</v>
      </c>
      <c r="D9" s="1139" t="str">
        <f t="array" ref="D9">if(isblank(E9),"",xlookup(E9,'FL5_POR_包裝對照表 (Mapping Table)'!E:E,'FL5_POR_包裝對照表 (Mapping Table)'!BJ:BJ,"",0,1))</f>
        <v>智能手機</v>
      </c>
      <c r="E9" s="1140" t="s">
        <v>812</v>
      </c>
      <c r="F9" s="1141" t="str">
        <f t="array" ref="F9">if(isblank(E9),"",xlookup(E9,'FL5_POR_包裝對照表 (Mapping Table)'!E:E,'FL5_POR_包裝對照表 (Mapping Table)'!E:E,"",0,1))</f>
        <v>CLNRGA10216</v>
      </c>
      <c r="G9" s="313" t="str">
        <f t="array" ref="G9">if(isblank(E9),"",xlookup(E9,'FL5_POR_包裝對照表 (Mapping Table)'!E:E,'FL5_POR_包裝對照表 (Mapping Table)'!F:F,"",0,1))</f>
        <v>GSTORE, US</v>
      </c>
      <c r="H9" s="312" t="str">
        <f t="array" ref="H9">if(isblank(E9),"",xlookup(E9,'FL5_POR_包裝對照表 (Mapping Table)'!E:E,'FL5_POR_包裝對照表 (Mapping Table)'!AN:AN,"",0,1))</f>
        <v>G950-15935-03</v>
      </c>
      <c r="I9" s="1142">
        <v>1000.0</v>
      </c>
      <c r="J9" s="1143">
        <f t="array" ref="J9">IF(ISBLANK(F9),"",XLOOKUP(F9,'FL5_POR_核價 (經管 &amp; BPM)'!E:E,'FL5_POR_核價 (經管 &amp; BPM)'!O:O,"",0,1))</f>
        <v>446.03</v>
      </c>
      <c r="K9" s="1144">
        <f t="shared" si="1"/>
        <v>446030</v>
      </c>
      <c r="L9" s="292" t="str">
        <f>IF(ISBLANK(E9),"",'FL5_POR_包裝對照表 (Mapping Table)'!$E$4)</f>
        <v>GFL (FL5)</v>
      </c>
      <c r="M9" s="292" t="str">
        <f>IF(ISBLANK(E9),"",'FL5_POR_包裝對照表 (Mapping Table)'!$F$4&amp;"-PRQ")</f>
        <v>MP-PRQ</v>
      </c>
      <c r="N9" s="292" t="str">
        <f t="shared" si="2"/>
        <v>富泰宏</v>
      </c>
      <c r="O9" s="677" t="str">
        <f t="shared" si="3"/>
        <v>工廠出貨用</v>
      </c>
      <c r="P9" s="677" t="str">
        <f t="shared" si="4"/>
        <v>陳冠伶/502619</v>
      </c>
      <c r="Q9" s="1145" t="str">
        <f t="array" ref="Q9">if(isblank(E9),"",xlookup(E9,'FL5_POR_包裝對照表 (Mapping Table)'!E:E,'FL5_POR_包裝對照表 (Mapping Table)'!AB:AB,"",0,1))</f>
        <v>SKU, CLR4, GOOD, MMWAVE, GSTORE, FL5, FRU</v>
      </c>
      <c r="R9" s="787">
        <v>45793.0</v>
      </c>
      <c r="S9" s="787">
        <v>45796.0</v>
      </c>
      <c r="T9" s="1146">
        <v>4.0624449E7</v>
      </c>
      <c r="U9" s="787">
        <v>45797.0</v>
      </c>
      <c r="V9" s="787">
        <v>45800.0</v>
      </c>
      <c r="W9" s="1147">
        <v>4.370068123E9</v>
      </c>
      <c r="X9" s="908" t="str">
        <f t="array" ref="X9">if(isblank(E9),"",xlookup(E9,'FL5_POR_包裝對照表 (Mapping Table)'!E:E,'FL5_POR_包裝對照表 (Mapping Table)'!K:K,"",0,1))</f>
        <v>BUE</v>
      </c>
      <c r="Y9" s="1"/>
      <c r="Z9" s="1"/>
      <c r="AA9" s="1"/>
      <c r="AB9" s="1"/>
      <c r="AC9" s="1"/>
      <c r="AD9" s="1"/>
      <c r="AE9" s="1"/>
      <c r="AF9" s="1"/>
      <c r="AG9" s="1"/>
      <c r="AH9" s="1"/>
      <c r="AI9" s="1"/>
      <c r="AJ9" s="1"/>
      <c r="AK9" s="1"/>
      <c r="AL9" s="1"/>
      <c r="AM9" s="1"/>
      <c r="AN9" s="1"/>
    </row>
    <row r="10">
      <c r="A10" s="1138"/>
      <c r="B10" s="292">
        <v>5.0</v>
      </c>
      <c r="C10" s="787">
        <v>45793.0</v>
      </c>
      <c r="D10" s="1139" t="str">
        <f t="array" ref="D10">if(isblank(E10),"",xlookup(E10,'FL5_POR_包裝對照表 (Mapping Table)'!E:E,'FL5_POR_包裝對照表 (Mapping Table)'!BJ:BJ,"",0,1))</f>
        <v>智能手機</v>
      </c>
      <c r="E10" s="1140" t="s">
        <v>867</v>
      </c>
      <c r="F10" s="1141" t="str">
        <f t="array" ref="F10">if(isblank(E10),"",xlookup(E10,'FL5_POR_包裝對照表 (Mapping Table)'!E:E,'FL5_POR_包裝對照表 (Mapping Table)'!E:E,"",0,1))</f>
        <v>CLNRGA09882</v>
      </c>
      <c r="G10" s="313" t="str">
        <f t="array" ref="G10">if(isblank(E10),"",xlookup(E10,'FL5_POR_包裝對照表 (Mapping Table)'!E:E,'FL5_POR_包裝對照表 (Mapping Table)'!F:F,"",0,1))</f>
        <v>TMO, US</v>
      </c>
      <c r="H10" s="312" t="str">
        <f t="array" ref="H10">if(isblank(E10),"",xlookup(E10,'FL5_POR_包裝對照表 (Mapping Table)'!E:E,'FL5_POR_包裝對照表 (Mapping Table)'!AN:AN,"",0,1))</f>
        <v>G950-15935-04</v>
      </c>
      <c r="I10" s="1142">
        <v>1000.0</v>
      </c>
      <c r="J10" s="1143">
        <f t="array" ref="J10">IF(ISBLANK(F10),"",XLOOKUP(F10,'FL5_POR_核價 (經管 &amp; BPM)'!E:E,'FL5_POR_核價 (經管 &amp; BPM)'!O:O,"",0,1))</f>
        <v>451.63</v>
      </c>
      <c r="K10" s="1144">
        <f t="shared" si="1"/>
        <v>451630</v>
      </c>
      <c r="L10" s="292" t="str">
        <f>IF(ISBLANK(E10),"",'FL5_POR_包裝對照表 (Mapping Table)'!$E$4)</f>
        <v>GFL (FL5)</v>
      </c>
      <c r="M10" s="292" t="str">
        <f>IF(ISBLANK(E10),"",'FL5_POR_包裝對照表 (Mapping Table)'!$F$4&amp;"-PRQ")</f>
        <v>MP-PRQ</v>
      </c>
      <c r="N10" s="292" t="str">
        <f t="shared" si="2"/>
        <v>富泰宏</v>
      </c>
      <c r="O10" s="677" t="str">
        <f t="shared" si="3"/>
        <v>工廠出貨用</v>
      </c>
      <c r="P10" s="677" t="str">
        <f t="shared" si="4"/>
        <v>陳冠伶/502619</v>
      </c>
      <c r="Q10" s="1145" t="str">
        <f t="array" ref="Q10">if(isblank(E10),"",xlookup(E10,'FL5_POR_包裝對照表 (Mapping Table)'!E:E,'FL5_POR_包裝對照表 (Mapping Table)'!AB:AB,"",0,1))</f>
        <v>SKU, CLR1, BETTER, MMWAVE, TMO, FL5, FRU</v>
      </c>
      <c r="R10" s="787">
        <v>45793.0</v>
      </c>
      <c r="S10" s="787">
        <v>45796.0</v>
      </c>
      <c r="T10" s="1146">
        <v>4.0624449E7</v>
      </c>
      <c r="U10" s="787">
        <v>45797.0</v>
      </c>
      <c r="V10" s="787">
        <v>45800.0</v>
      </c>
      <c r="W10" s="1147">
        <v>4.370068123E9</v>
      </c>
      <c r="X10" s="908" t="str">
        <f t="array" ref="X10">if(isblank(E10),"",xlookup(E10,'FL5_POR_包裝對照表 (Mapping Table)'!E:E,'FL5_POR_包裝對照表 (Mapping Table)'!K:K,"",0,1))</f>
        <v>BLK</v>
      </c>
      <c r="Y10" s="1"/>
      <c r="Z10" s="1"/>
      <c r="AA10" s="1"/>
      <c r="AB10" s="1"/>
      <c r="AC10" s="1"/>
      <c r="AD10" s="1"/>
      <c r="AE10" s="1"/>
      <c r="AF10" s="1"/>
      <c r="AG10" s="1"/>
      <c r="AH10" s="1"/>
      <c r="AI10" s="1"/>
      <c r="AJ10" s="1"/>
      <c r="AK10" s="1"/>
      <c r="AL10" s="1"/>
      <c r="AM10" s="1"/>
      <c r="AN10" s="1"/>
    </row>
    <row r="11">
      <c r="A11" s="1138"/>
      <c r="B11" s="292">
        <v>6.0</v>
      </c>
      <c r="C11" s="787">
        <v>45793.0</v>
      </c>
      <c r="D11" s="1139" t="str">
        <f t="array" ref="D11">if(isblank(E11),"",xlookup(E11,'FL5_POR_包裝對照表 (Mapping Table)'!E:E,'FL5_POR_包裝對照表 (Mapping Table)'!BJ:BJ,"",0,1))</f>
        <v>智能手機</v>
      </c>
      <c r="E11" s="1140" t="s">
        <v>877</v>
      </c>
      <c r="F11" s="1141" t="str">
        <f t="array" ref="F11">if(isblank(E11),"",xlookup(E11,'FL5_POR_包裝對照表 (Mapping Table)'!E:E,'FL5_POR_包裝對照表 (Mapping Table)'!E:E,"",0,1))</f>
        <v>CLNRGA10217</v>
      </c>
      <c r="G11" s="313" t="str">
        <f t="array" ref="G11">if(isblank(E11),"",xlookup(E11,'FL5_POR_包裝對照表 (Mapping Table)'!E:E,'FL5_POR_包裝對照表 (Mapping Table)'!F:F,"",0,1))</f>
        <v>GSTORE, US</v>
      </c>
      <c r="H11" s="312" t="str">
        <f t="array" ref="H11">if(isblank(E11),"",xlookup(E11,'FL5_POR_包裝對照表 (Mapping Table)'!E:E,'FL5_POR_包裝對照表 (Mapping Table)'!AN:AN,"",0,1))</f>
        <v>G950-15935-05</v>
      </c>
      <c r="I11" s="1142">
        <v>1000.0</v>
      </c>
      <c r="J11" s="1143">
        <f t="array" ref="J11">IF(ISBLANK(F11),"",XLOOKUP(F11,'FL5_POR_核價 (經管 &amp; BPM)'!E:E,'FL5_POR_核價 (經管 &amp; BPM)'!O:O,"",0,1))</f>
        <v>451.93</v>
      </c>
      <c r="K11" s="1144">
        <f t="shared" si="1"/>
        <v>451930</v>
      </c>
      <c r="L11" s="292" t="str">
        <f>IF(ISBLANK(E11),"",'FL5_POR_包裝對照表 (Mapping Table)'!$E$4)</f>
        <v>GFL (FL5)</v>
      </c>
      <c r="M11" s="292" t="str">
        <f>IF(ISBLANK(E11),"",'FL5_POR_包裝對照表 (Mapping Table)'!$F$4&amp;"-PRQ")</f>
        <v>MP-PRQ</v>
      </c>
      <c r="N11" s="292" t="str">
        <f t="shared" si="2"/>
        <v>富泰宏</v>
      </c>
      <c r="O11" s="677" t="str">
        <f t="shared" si="3"/>
        <v>工廠出貨用</v>
      </c>
      <c r="P11" s="677" t="str">
        <f t="shared" si="4"/>
        <v>陳冠伶/502619</v>
      </c>
      <c r="Q11" s="1145" t="str">
        <f t="array" ref="Q11">if(isblank(E11),"",xlookup(E11,'FL5_POR_包裝對照表 (Mapping Table)'!E:E,'FL5_POR_包裝對照表 (Mapping Table)'!AB:AB,"",0,1))</f>
        <v>SKU, CLR2, BETTER, MMWAVE, GSTORE, FL5, FRU</v>
      </c>
      <c r="R11" s="787">
        <v>45793.0</v>
      </c>
      <c r="S11" s="787">
        <v>45796.0</v>
      </c>
      <c r="T11" s="1146">
        <v>4.0624449E7</v>
      </c>
      <c r="U11" s="787">
        <v>45797.0</v>
      </c>
      <c r="V11" s="787">
        <v>45800.0</v>
      </c>
      <c r="W11" s="1147">
        <v>4.370068123E9</v>
      </c>
      <c r="X11" s="908" t="str">
        <f t="array" ref="X11">if(isblank(E11),"",xlookup(E11,'FL5_POR_包裝對照表 (Mapping Table)'!E:E,'FL5_POR_包裝對照表 (Mapping Table)'!K:K,"",0,1))</f>
        <v>PPL</v>
      </c>
      <c r="Y11" s="1"/>
      <c r="Z11" s="1"/>
      <c r="AA11" s="1"/>
      <c r="AB11" s="1"/>
      <c r="AC11" s="1"/>
      <c r="AD11" s="1"/>
      <c r="AE11" s="1"/>
      <c r="AF11" s="1"/>
      <c r="AG11" s="1"/>
      <c r="AH11" s="1"/>
      <c r="AI11" s="1"/>
      <c r="AJ11" s="1"/>
      <c r="AK11" s="1"/>
      <c r="AL11" s="1"/>
      <c r="AM11" s="1"/>
      <c r="AN11" s="1"/>
    </row>
    <row r="12">
      <c r="A12" s="1138"/>
      <c r="B12" s="292">
        <v>7.0</v>
      </c>
      <c r="C12" s="787">
        <v>45793.0</v>
      </c>
      <c r="D12" s="1139" t="str">
        <f t="array" ref="D12">if(isblank(E12),"",xlookup(E12,'FL5_POR_包裝對照表 (Mapping Table)'!E:E,'FL5_POR_包裝對照表 (Mapping Table)'!BJ:BJ,"",0,1))</f>
        <v>智能手機</v>
      </c>
      <c r="E12" s="1140" t="s">
        <v>882</v>
      </c>
      <c r="F12" s="1141" t="str">
        <f t="array" ref="F12">if(isblank(E12),"",xlookup(E12,'FL5_POR_包裝對照表 (Mapping Table)'!E:E,'FL5_POR_包裝對照表 (Mapping Table)'!E:E,"",0,1))</f>
        <v>CLNRGA10218</v>
      </c>
      <c r="G12" s="313" t="str">
        <f t="array" ref="G12">if(isblank(E12),"",xlookup(E12,'FL5_POR_包裝對照表 (Mapping Table)'!E:E,'FL5_POR_包裝對照表 (Mapping Table)'!F:F,"",0,1))</f>
        <v>GSTORE, US</v>
      </c>
      <c r="H12" s="312" t="str">
        <f t="array" ref="H12">if(isblank(E12),"",xlookup(E12,'FL5_POR_包裝對照表 (Mapping Table)'!E:E,'FL5_POR_包裝對照表 (Mapping Table)'!AN:AN,"",0,1))</f>
        <v>G950-15935-06</v>
      </c>
      <c r="I12" s="1142">
        <v>1000.0</v>
      </c>
      <c r="J12" s="1143">
        <f t="array" ref="J12">IF(ISBLANK(F12),"",XLOOKUP(F12,'FL5_POR_核價 (經管 &amp; BPM)'!E:E,'FL5_POR_核價 (經管 &amp; BPM)'!O:O,"",0,1))</f>
        <v>452.03</v>
      </c>
      <c r="K12" s="1144">
        <f t="shared" si="1"/>
        <v>452030</v>
      </c>
      <c r="L12" s="292" t="str">
        <f>IF(ISBLANK(E12),"",'FL5_POR_包裝對照表 (Mapping Table)'!$E$4)</f>
        <v>GFL (FL5)</v>
      </c>
      <c r="M12" s="292" t="str">
        <f>IF(ISBLANK(E12),"",'FL5_POR_包裝對照表 (Mapping Table)'!$F$4&amp;"-PRQ")</f>
        <v>MP-PRQ</v>
      </c>
      <c r="N12" s="292" t="str">
        <f t="shared" si="2"/>
        <v>富泰宏</v>
      </c>
      <c r="O12" s="677" t="str">
        <f t="shared" si="3"/>
        <v>工廠出貨用</v>
      </c>
      <c r="P12" s="677" t="str">
        <f t="shared" si="4"/>
        <v>陳冠伶/502619</v>
      </c>
      <c r="Q12" s="1145" t="str">
        <f t="array" ref="Q12">if(isblank(E12),"",xlookup(E12,'FL5_POR_包裝對照表 (Mapping Table)'!E:E,'FL5_POR_包裝對照表 (Mapping Table)'!AB:AB,"",0,1))</f>
        <v>SKU, CLR3, BETTER, MMWAVE, GSTORE, FL5, FRU</v>
      </c>
      <c r="R12" s="787">
        <v>45793.0</v>
      </c>
      <c r="S12" s="787">
        <v>45796.0</v>
      </c>
      <c r="T12" s="1146">
        <v>4.0624449E7</v>
      </c>
      <c r="U12" s="787">
        <v>45797.0</v>
      </c>
      <c r="V12" s="787">
        <v>45800.0</v>
      </c>
      <c r="W12" s="1147">
        <v>4.370068123E9</v>
      </c>
      <c r="X12" s="908" t="str">
        <f t="array" ref="X12">if(isblank(E12),"",xlookup(E12,'FL5_POR_包裝對照表 (Mapping Table)'!E:E,'FL5_POR_包裝對照表 (Mapping Table)'!K:K,"",0,1))</f>
        <v>YEL</v>
      </c>
      <c r="Y12" s="1"/>
      <c r="Z12" s="1"/>
      <c r="AA12" s="1"/>
      <c r="AB12" s="1"/>
      <c r="AC12" s="1"/>
      <c r="AD12" s="1"/>
      <c r="AE12" s="1"/>
      <c r="AF12" s="1"/>
      <c r="AG12" s="1"/>
      <c r="AH12" s="1"/>
      <c r="AI12" s="1"/>
      <c r="AJ12" s="1"/>
      <c r="AK12" s="1"/>
      <c r="AL12" s="1"/>
      <c r="AM12" s="1"/>
      <c r="AN12" s="1"/>
    </row>
    <row r="13">
      <c r="A13" s="1138"/>
      <c r="B13" s="292">
        <v>8.0</v>
      </c>
      <c r="C13" s="787">
        <v>45793.0</v>
      </c>
      <c r="D13" s="1139" t="str">
        <f t="array" ref="D13">if(isblank(E13),"",xlookup(E13,'FL5_POR_包裝對照表 (Mapping Table)'!E:E,'FL5_POR_包裝對照表 (Mapping Table)'!BJ:BJ,"",0,1))</f>
        <v>智能手機</v>
      </c>
      <c r="E13" s="1140" t="s">
        <v>887</v>
      </c>
      <c r="F13" s="1141" t="str">
        <f t="array" ref="F13">if(isblank(E13),"",xlookup(E13,'FL5_POR_包裝對照表 (Mapping Table)'!E:E,'FL5_POR_包裝對照表 (Mapping Table)'!E:E,"",0,1))</f>
        <v>CLNRGA10219</v>
      </c>
      <c r="G13" s="313" t="str">
        <f t="array" ref="G13">if(isblank(E13),"",xlookup(E13,'FL5_POR_包裝對照表 (Mapping Table)'!E:E,'FL5_POR_包裝對照表 (Mapping Table)'!F:F,"",0,1))</f>
        <v>GSTORE, US</v>
      </c>
      <c r="H13" s="312" t="str">
        <f t="array" ref="H13">if(isblank(E13),"",xlookup(E13,'FL5_POR_包裝對照表 (Mapping Table)'!E:E,'FL5_POR_包裝對照表 (Mapping Table)'!AN:AN,"",0,1))</f>
        <v>G950-15935-07</v>
      </c>
      <c r="I13" s="1142">
        <v>1000.0</v>
      </c>
      <c r="J13" s="1143">
        <f t="array" ref="J13">IF(ISBLANK(F13),"",XLOOKUP(F13,'FL5_POR_核價 (經管 &amp; BPM)'!E:E,'FL5_POR_核價 (經管 &amp; BPM)'!O:O,"",0,1))</f>
        <v>452.03</v>
      </c>
      <c r="K13" s="1144">
        <f t="shared" si="1"/>
        <v>452030</v>
      </c>
      <c r="L13" s="292" t="str">
        <f>IF(ISBLANK(E13),"",'FL5_POR_包裝對照表 (Mapping Table)'!$E$4)</f>
        <v>GFL (FL5)</v>
      </c>
      <c r="M13" s="292" t="str">
        <f>IF(ISBLANK(E13),"",'FL5_POR_包裝對照表 (Mapping Table)'!$F$4&amp;"-PRQ")</f>
        <v>MP-PRQ</v>
      </c>
      <c r="N13" s="292" t="str">
        <f t="shared" si="2"/>
        <v>富泰宏</v>
      </c>
      <c r="O13" s="677" t="str">
        <f t="shared" si="3"/>
        <v>工廠出貨用</v>
      </c>
      <c r="P13" s="677" t="str">
        <f t="shared" si="4"/>
        <v>陳冠伶/502619</v>
      </c>
      <c r="Q13" s="1145" t="str">
        <f t="array" ref="Q13">if(isblank(E13),"",xlookup(E13,'FL5_POR_包裝對照表 (Mapping Table)'!E:E,'FL5_POR_包裝對照表 (Mapping Table)'!AB:AB,"",0,1))</f>
        <v>SKU, CLR4, BETTER, MMWAVE, GSTORE, FL5, FRU</v>
      </c>
      <c r="R13" s="787">
        <v>45793.0</v>
      </c>
      <c r="S13" s="787">
        <v>45796.0</v>
      </c>
      <c r="T13" s="1146">
        <v>4.0624449E7</v>
      </c>
      <c r="U13" s="787">
        <v>45797.0</v>
      </c>
      <c r="V13" s="787">
        <v>45800.0</v>
      </c>
      <c r="W13" s="1147">
        <v>4.370068123E9</v>
      </c>
      <c r="X13" s="908" t="str">
        <f t="array" ref="X13">if(isblank(E13),"",xlookup(E13,'FL5_POR_包裝對照表 (Mapping Table)'!E:E,'FL5_POR_包裝對照表 (Mapping Table)'!K:K,"",0,1))</f>
        <v>BUE</v>
      </c>
      <c r="Y13" s="1"/>
      <c r="Z13" s="1"/>
      <c r="AA13" s="1"/>
      <c r="AB13" s="1"/>
      <c r="AC13" s="1"/>
      <c r="AD13" s="1"/>
      <c r="AE13" s="1"/>
      <c r="AF13" s="1"/>
      <c r="AG13" s="1"/>
      <c r="AH13" s="1"/>
      <c r="AI13" s="1"/>
      <c r="AJ13" s="1"/>
      <c r="AK13" s="1"/>
      <c r="AL13" s="1"/>
      <c r="AM13" s="1"/>
      <c r="AN13" s="1"/>
    </row>
    <row r="14">
      <c r="A14" s="1138"/>
      <c r="B14" s="292">
        <v>9.0</v>
      </c>
      <c r="C14" s="787">
        <v>45793.0</v>
      </c>
      <c r="D14" s="1139" t="str">
        <f t="array" ref="D14">if(isblank(E14),"",xlookup(E14,'FL5_POR_包裝對照表 (Mapping Table)'!E:E,'FL5_POR_包裝對照表 (Mapping Table)'!BJ:BJ,"",0,1))</f>
        <v>智能手機</v>
      </c>
      <c r="E14" s="1148" t="s">
        <v>816</v>
      </c>
      <c r="F14" s="1141" t="str">
        <f t="array" ref="F14">if(isblank(E14),"",xlookup(E14,'FL5_POR_包裝對照表 (Mapping Table)'!E:E,'FL5_POR_包裝對照表 (Mapping Table)'!E:E,"",0,1))</f>
        <v>CLNRGA10540</v>
      </c>
      <c r="G14" s="313" t="str">
        <f t="array" ref="G14">if(isblank(E14),"",xlookup(E14,'FL5_POR_包裝對照表 (Mapping Table)'!E:E,'FL5_POR_包裝對照表 (Mapping Table)'!F:F,"",0,1))</f>
        <v>CA/AU</v>
      </c>
      <c r="H14" s="312" t="str">
        <f t="array" ref="H14">if(isblank(E14),"",xlookup(E14,'FL5_POR_包裝對照表 (Mapping Table)'!E:E,'FL5_POR_包裝對照表 (Mapping Table)'!AN:AN,"",0,1))</f>
        <v>G950-15935-10</v>
      </c>
      <c r="I14" s="1142">
        <v>1000.0</v>
      </c>
      <c r="J14" s="1143">
        <f t="array" ref="J14">IF(ISBLANK(F14),"",XLOOKUP(F14,'FL5_POR_核價 (經管 &amp; BPM)'!E:E,'FL5_POR_核價 (經管 &amp; BPM)'!O:O,"",0,1))</f>
        <v>428.17</v>
      </c>
      <c r="K14" s="1144">
        <f t="shared" si="1"/>
        <v>428170</v>
      </c>
      <c r="L14" s="292" t="str">
        <f>IF(ISBLANK(E14),"",'FL5_POR_包裝對照表 (Mapping Table)'!$E$4)</f>
        <v>GFL (FL5)</v>
      </c>
      <c r="M14" s="292" t="str">
        <f>IF(ISBLANK(E14),"",'FL5_POR_包裝對照表 (Mapping Table)'!$F$4&amp;"-PRQ")</f>
        <v>MP-PRQ</v>
      </c>
      <c r="N14" s="292" t="str">
        <f t="shared" si="2"/>
        <v>富泰宏</v>
      </c>
      <c r="O14" s="677" t="str">
        <f t="shared" si="3"/>
        <v>工廠出貨用</v>
      </c>
      <c r="P14" s="677" t="str">
        <f t="shared" si="4"/>
        <v>陳冠伶/502619</v>
      </c>
      <c r="Q14" s="1145" t="str">
        <f t="array" ref="Q14">if(isblank(E14),"",xlookup(E14,'FL5_POR_包裝對照表 (Mapping Table)'!E:E,'FL5_POR_包裝對照表 (Mapping Table)'!AB:AB,"",0,1))</f>
        <v>SKU, CLR1, GOOD, SUB6, CA/AU, FL5, FRU</v>
      </c>
      <c r="R14" s="787">
        <v>45793.0</v>
      </c>
      <c r="S14" s="787">
        <v>45796.0</v>
      </c>
      <c r="T14" s="1146">
        <v>4.0624449E7</v>
      </c>
      <c r="U14" s="787">
        <v>45797.0</v>
      </c>
      <c r="V14" s="787">
        <v>45800.0</v>
      </c>
      <c r="W14" s="1147">
        <v>4.370068123E9</v>
      </c>
      <c r="X14" s="908" t="str">
        <f t="array" ref="X14">if(isblank(E14),"",xlookup(E14,'FL5_POR_包裝對照表 (Mapping Table)'!E:E,'FL5_POR_包裝對照表 (Mapping Table)'!K:K,"",0,1))</f>
        <v>BLK</v>
      </c>
      <c r="Y14" s="1"/>
      <c r="Z14" s="1"/>
      <c r="AA14" s="1"/>
      <c r="AB14" s="1"/>
      <c r="AC14" s="1"/>
      <c r="AD14" s="1"/>
      <c r="AE14" s="1"/>
      <c r="AF14" s="1"/>
      <c r="AG14" s="1"/>
      <c r="AH14" s="1"/>
      <c r="AI14" s="1"/>
      <c r="AJ14" s="1"/>
      <c r="AK14" s="1"/>
      <c r="AL14" s="1"/>
      <c r="AM14" s="1"/>
      <c r="AN14" s="1"/>
    </row>
    <row r="15">
      <c r="A15" s="1138"/>
      <c r="B15" s="292">
        <v>10.0</v>
      </c>
      <c r="C15" s="787">
        <v>45793.0</v>
      </c>
      <c r="D15" s="1139" t="str">
        <f t="array" ref="D15">if(isblank(E15),"",xlookup(E15,'FL5_POR_包裝對照表 (Mapping Table)'!E:E,'FL5_POR_包裝對照表 (Mapping Table)'!BJ:BJ,"",0,1))</f>
        <v>智能手機</v>
      </c>
      <c r="E15" s="1148" t="s">
        <v>824</v>
      </c>
      <c r="F15" s="1141" t="str">
        <f t="array" ref="F15">if(isblank(E15),"",xlookup(E15,'FL5_POR_包裝對照表 (Mapping Table)'!E:E,'FL5_POR_包裝對照表 (Mapping Table)'!E:E,"",0,1))</f>
        <v>CLNRGA10541</v>
      </c>
      <c r="G15" s="313" t="str">
        <f t="array" ref="G15">if(isblank(E15),"",xlookup(E15,'FL5_POR_包裝對照表 (Mapping Table)'!E:E,'FL5_POR_包裝對照表 (Mapping Table)'!F:F,"",0,1))</f>
        <v>CA/AU</v>
      </c>
      <c r="H15" s="312" t="str">
        <f t="array" ref="H15">if(isblank(E15),"",xlookup(E15,'FL5_POR_包裝對照表 (Mapping Table)'!E:E,'FL5_POR_包裝對照表 (Mapping Table)'!AN:AN,"",0,1))</f>
        <v>G950-15935-11</v>
      </c>
      <c r="I15" s="1142">
        <v>1000.0</v>
      </c>
      <c r="J15" s="1143">
        <f t="array" ref="J15">IF(ISBLANK(F15),"",XLOOKUP(F15,'FL5_POR_核價 (經管 &amp; BPM)'!E:E,'FL5_POR_核價 (經管 &amp; BPM)'!O:O,"",0,1))</f>
        <v>428.47</v>
      </c>
      <c r="K15" s="1144">
        <f t="shared" si="1"/>
        <v>428470</v>
      </c>
      <c r="L15" s="292" t="str">
        <f>IF(ISBLANK(E15),"",'FL5_POR_包裝對照表 (Mapping Table)'!$E$4)</f>
        <v>GFL (FL5)</v>
      </c>
      <c r="M15" s="292" t="str">
        <f>IF(ISBLANK(E15),"",'FL5_POR_包裝對照表 (Mapping Table)'!$F$4&amp;"-PRQ")</f>
        <v>MP-PRQ</v>
      </c>
      <c r="N15" s="292" t="str">
        <f t="shared" si="2"/>
        <v>富泰宏</v>
      </c>
      <c r="O15" s="677" t="str">
        <f t="shared" si="3"/>
        <v>工廠出貨用</v>
      </c>
      <c r="P15" s="677" t="str">
        <f t="shared" si="4"/>
        <v>陳冠伶/502619</v>
      </c>
      <c r="Q15" s="1145" t="str">
        <f t="array" ref="Q15">if(isblank(E15),"",xlookup(E15,'FL5_POR_包裝對照表 (Mapping Table)'!E:E,'FL5_POR_包裝對照表 (Mapping Table)'!AB:AB,"",0,1))</f>
        <v>SKU, CLR2, GOOD, SUB6, CA/AU, FL5, FRU</v>
      </c>
      <c r="R15" s="787">
        <v>45793.0</v>
      </c>
      <c r="S15" s="787">
        <v>45796.0</v>
      </c>
      <c r="T15" s="1146">
        <v>4.0624449E7</v>
      </c>
      <c r="U15" s="787">
        <v>45797.0</v>
      </c>
      <c r="V15" s="787">
        <v>45800.0</v>
      </c>
      <c r="W15" s="1147">
        <v>4.370068123E9</v>
      </c>
      <c r="X15" s="908" t="str">
        <f t="array" ref="X15">if(isblank(E15),"",xlookup(E15,'FL5_POR_包裝對照表 (Mapping Table)'!E:E,'FL5_POR_包裝對照表 (Mapping Table)'!K:K,"",0,1))</f>
        <v>PPL</v>
      </c>
      <c r="Y15" s="1"/>
      <c r="Z15" s="1"/>
      <c r="AA15" s="1"/>
      <c r="AB15" s="1"/>
      <c r="AC15" s="1"/>
      <c r="AD15" s="1"/>
      <c r="AE15" s="1"/>
      <c r="AF15" s="1"/>
      <c r="AG15" s="1"/>
      <c r="AH15" s="1"/>
      <c r="AI15" s="1"/>
      <c r="AJ15" s="1"/>
      <c r="AK15" s="1"/>
      <c r="AL15" s="1"/>
      <c r="AM15" s="1"/>
      <c r="AN15" s="1"/>
    </row>
    <row r="16">
      <c r="A16" s="1138"/>
      <c r="B16" s="292">
        <v>11.0</v>
      </c>
      <c r="C16" s="787">
        <v>45793.0</v>
      </c>
      <c r="D16" s="1139" t="str">
        <f t="array" ref="D16">if(isblank(E16),"",xlookup(E16,'FL5_POR_包裝對照表 (Mapping Table)'!E:E,'FL5_POR_包裝對照表 (Mapping Table)'!BJ:BJ,"",0,1))</f>
        <v>智能手機</v>
      </c>
      <c r="E16" s="1148" t="s">
        <v>828</v>
      </c>
      <c r="F16" s="1141" t="str">
        <f t="array" ref="F16">if(isblank(E16),"",xlookup(E16,'FL5_POR_包裝對照表 (Mapping Table)'!E:E,'FL5_POR_包裝對照表 (Mapping Table)'!E:E,"",0,1))</f>
        <v>CLNRGA10542</v>
      </c>
      <c r="G16" s="313" t="str">
        <f t="array" ref="G16">if(isblank(E16),"",xlookup(E16,'FL5_POR_包裝對照表 (Mapping Table)'!E:E,'FL5_POR_包裝對照表 (Mapping Table)'!F:F,"",0,1))</f>
        <v>CA/AU</v>
      </c>
      <c r="H16" s="312" t="str">
        <f t="array" ref="H16">if(isblank(E16),"",xlookup(E16,'FL5_POR_包裝對照表 (Mapping Table)'!E:E,'FL5_POR_包裝對照表 (Mapping Table)'!AN:AN,"",0,1))</f>
        <v>G950-15935-12</v>
      </c>
      <c r="I16" s="1142">
        <v>1000.0</v>
      </c>
      <c r="J16" s="1143">
        <f t="array" ref="J16">IF(ISBLANK(F16),"",XLOOKUP(F16,'FL5_POR_核價 (經管 &amp; BPM)'!E:E,'FL5_POR_核價 (經管 &amp; BPM)'!O:O,"",0,1))</f>
        <v>428.57</v>
      </c>
      <c r="K16" s="1144">
        <f t="shared" si="1"/>
        <v>428570</v>
      </c>
      <c r="L16" s="292" t="str">
        <f>IF(ISBLANK(E16),"",'FL5_POR_包裝對照表 (Mapping Table)'!$E$4)</f>
        <v>GFL (FL5)</v>
      </c>
      <c r="M16" s="292" t="str">
        <f>IF(ISBLANK(E16),"",'FL5_POR_包裝對照表 (Mapping Table)'!$F$4&amp;"-PRQ")</f>
        <v>MP-PRQ</v>
      </c>
      <c r="N16" s="292" t="str">
        <f t="shared" si="2"/>
        <v>富泰宏</v>
      </c>
      <c r="O16" s="677" t="str">
        <f t="shared" si="3"/>
        <v>工廠出貨用</v>
      </c>
      <c r="P16" s="677" t="str">
        <f t="shared" si="4"/>
        <v>陳冠伶/502619</v>
      </c>
      <c r="Q16" s="1145" t="str">
        <f t="array" ref="Q16">if(isblank(E16),"",xlookup(E16,'FL5_POR_包裝對照表 (Mapping Table)'!E:E,'FL5_POR_包裝對照表 (Mapping Table)'!AB:AB,"",0,1))</f>
        <v>SKU, CLR3, GOOD, SUB6, CA/AU, FL5, FRU</v>
      </c>
      <c r="R16" s="787">
        <v>45793.0</v>
      </c>
      <c r="S16" s="787">
        <v>45796.0</v>
      </c>
      <c r="T16" s="1146">
        <v>4.0624449E7</v>
      </c>
      <c r="U16" s="787">
        <v>45797.0</v>
      </c>
      <c r="V16" s="787">
        <v>45800.0</v>
      </c>
      <c r="W16" s="1147">
        <v>4.370068123E9</v>
      </c>
      <c r="X16" s="908" t="str">
        <f t="array" ref="X16">if(isblank(E16),"",xlookup(E16,'FL5_POR_包裝對照表 (Mapping Table)'!E:E,'FL5_POR_包裝對照表 (Mapping Table)'!K:K,"",0,1))</f>
        <v>YEL</v>
      </c>
      <c r="Y16" s="1"/>
      <c r="Z16" s="1"/>
      <c r="AA16" s="1"/>
      <c r="AB16" s="1"/>
      <c r="AC16" s="1"/>
      <c r="AD16" s="1"/>
      <c r="AE16" s="1"/>
      <c r="AF16" s="1"/>
      <c r="AG16" s="1"/>
      <c r="AH16" s="1"/>
      <c r="AI16" s="1"/>
      <c r="AJ16" s="1"/>
      <c r="AK16" s="1"/>
      <c r="AL16" s="1"/>
      <c r="AM16" s="1"/>
      <c r="AN16" s="1"/>
    </row>
    <row r="17">
      <c r="A17" s="1138"/>
      <c r="B17" s="292">
        <v>12.0</v>
      </c>
      <c r="C17" s="787">
        <v>45793.0</v>
      </c>
      <c r="D17" s="1139" t="str">
        <f t="array" ref="D17">if(isblank(E17),"",xlookup(E17,'FL5_POR_包裝對照表 (Mapping Table)'!E:E,'FL5_POR_包裝對照表 (Mapping Table)'!BJ:BJ,"",0,1))</f>
        <v>智能手機</v>
      </c>
      <c r="E17" s="1148" t="s">
        <v>832</v>
      </c>
      <c r="F17" s="1141" t="str">
        <f t="array" ref="F17">if(isblank(E17),"",xlookup(E17,'FL5_POR_包裝對照表 (Mapping Table)'!E:E,'FL5_POR_包裝對照表 (Mapping Table)'!E:E,"",0,1))</f>
        <v>CLNRGA10543</v>
      </c>
      <c r="G17" s="313" t="str">
        <f t="array" ref="G17">if(isblank(E17),"",xlookup(E17,'FL5_POR_包裝對照表 (Mapping Table)'!E:E,'FL5_POR_包裝對照表 (Mapping Table)'!F:F,"",0,1))</f>
        <v>CA/AU</v>
      </c>
      <c r="H17" s="312" t="str">
        <f t="array" ref="H17">if(isblank(E17),"",xlookup(E17,'FL5_POR_包裝對照表 (Mapping Table)'!E:E,'FL5_POR_包裝對照表 (Mapping Table)'!AN:AN,"",0,1))</f>
        <v>G950-15935-13</v>
      </c>
      <c r="I17" s="1142">
        <v>1000.0</v>
      </c>
      <c r="J17" s="1143">
        <f t="array" ref="J17">IF(ISBLANK(F17),"",XLOOKUP(F17,'FL5_POR_核價 (經管 &amp; BPM)'!E:E,'FL5_POR_核價 (經管 &amp; BPM)'!O:O,"",0,1))</f>
        <v>428.57</v>
      </c>
      <c r="K17" s="1144">
        <f t="shared" si="1"/>
        <v>428570</v>
      </c>
      <c r="L17" s="292" t="str">
        <f>IF(ISBLANK(E17),"",'FL5_POR_包裝對照表 (Mapping Table)'!$E$4)</f>
        <v>GFL (FL5)</v>
      </c>
      <c r="M17" s="292" t="str">
        <f>IF(ISBLANK(E17),"",'FL5_POR_包裝對照表 (Mapping Table)'!$F$4&amp;"-PRQ")</f>
        <v>MP-PRQ</v>
      </c>
      <c r="N17" s="292" t="str">
        <f t="shared" si="2"/>
        <v>富泰宏</v>
      </c>
      <c r="O17" s="677" t="str">
        <f t="shared" si="3"/>
        <v>工廠出貨用</v>
      </c>
      <c r="P17" s="677" t="str">
        <f t="shared" si="4"/>
        <v>陳冠伶/502619</v>
      </c>
      <c r="Q17" s="1145" t="str">
        <f t="array" ref="Q17">if(isblank(E17),"",xlookup(E17,'FL5_POR_包裝對照表 (Mapping Table)'!E:E,'FL5_POR_包裝對照表 (Mapping Table)'!AB:AB,"",0,1))</f>
        <v>SKU, CLR4, GOOD, SUB6, CA/AU, FL5, FRU</v>
      </c>
      <c r="R17" s="787">
        <v>45793.0</v>
      </c>
      <c r="S17" s="787">
        <v>45796.0</v>
      </c>
      <c r="T17" s="1146">
        <v>4.0624449E7</v>
      </c>
      <c r="U17" s="787">
        <v>45797.0</v>
      </c>
      <c r="V17" s="787">
        <v>45800.0</v>
      </c>
      <c r="W17" s="1147">
        <v>4.370068123E9</v>
      </c>
      <c r="X17" s="908" t="str">
        <f t="array" ref="X17">if(isblank(E17),"",xlookup(E17,'FL5_POR_包裝對照表 (Mapping Table)'!E:E,'FL5_POR_包裝對照表 (Mapping Table)'!K:K,"",0,1))</f>
        <v>BUE</v>
      </c>
      <c r="Y17" s="1"/>
      <c r="Z17" s="1"/>
      <c r="AA17" s="1"/>
      <c r="AB17" s="1"/>
      <c r="AC17" s="1"/>
      <c r="AD17" s="1"/>
      <c r="AE17" s="1"/>
      <c r="AF17" s="1"/>
      <c r="AG17" s="1"/>
      <c r="AH17" s="1"/>
      <c r="AI17" s="1"/>
      <c r="AJ17" s="1"/>
      <c r="AK17" s="1"/>
      <c r="AL17" s="1"/>
      <c r="AM17" s="1"/>
      <c r="AN17" s="1"/>
    </row>
    <row r="18">
      <c r="A18" s="1138"/>
      <c r="B18" s="292">
        <v>13.0</v>
      </c>
      <c r="C18" s="787">
        <v>45793.0</v>
      </c>
      <c r="D18" s="1139" t="str">
        <f t="array" ref="D18">if(isblank(E18),"",xlookup(E18,'FL5_POR_包裝對照表 (Mapping Table)'!E:E,'FL5_POR_包裝對照表 (Mapping Table)'!BJ:BJ,"",0,1))</f>
        <v>智能手機</v>
      </c>
      <c r="E18" s="1148" t="s">
        <v>891</v>
      </c>
      <c r="F18" s="1141" t="str">
        <f t="array" ref="F18">if(isblank(E18),"",xlookup(E18,'FL5_POR_包裝對照表 (Mapping Table)'!E:E,'FL5_POR_包裝對照表 (Mapping Table)'!E:E,"",0,1))</f>
        <v>CLNRGA10544</v>
      </c>
      <c r="G18" s="313" t="str">
        <f t="array" ref="G18">if(isblank(E18),"",xlookup(E18,'FL5_POR_包裝對照表 (Mapping Table)'!E:E,'FL5_POR_包裝對照表 (Mapping Table)'!F:F,"",0,1))</f>
        <v>CA/AU</v>
      </c>
      <c r="H18" s="312" t="str">
        <f t="array" ref="H18">if(isblank(E18),"",xlookup(E18,'FL5_POR_包裝對照表 (Mapping Table)'!E:E,'FL5_POR_包裝對照表 (Mapping Table)'!AN:AN,"",0,1))</f>
        <v>G950-15935-14</v>
      </c>
      <c r="I18" s="1142">
        <v>1000.0</v>
      </c>
      <c r="J18" s="1143">
        <f t="array" ref="J18">IF(ISBLANK(F18),"",XLOOKUP(F18,'FL5_POR_核價 (經管 &amp; BPM)'!E:E,'FL5_POR_核價 (經管 &amp; BPM)'!O:O,"",0,1))</f>
        <v>434.17</v>
      </c>
      <c r="K18" s="1144">
        <f t="shared" si="1"/>
        <v>434170</v>
      </c>
      <c r="L18" s="292" t="str">
        <f>IF(ISBLANK(E18),"",'FL5_POR_包裝對照表 (Mapping Table)'!$E$4)</f>
        <v>GFL (FL5)</v>
      </c>
      <c r="M18" s="292" t="str">
        <f>IF(ISBLANK(E18),"",'FL5_POR_包裝對照表 (Mapping Table)'!$F$4&amp;"-PRQ")</f>
        <v>MP-PRQ</v>
      </c>
      <c r="N18" s="292" t="str">
        <f t="shared" si="2"/>
        <v>富泰宏</v>
      </c>
      <c r="O18" s="677" t="str">
        <f t="shared" si="3"/>
        <v>工廠出貨用</v>
      </c>
      <c r="P18" s="677" t="str">
        <f t="shared" si="4"/>
        <v>陳冠伶/502619</v>
      </c>
      <c r="Q18" s="1145" t="str">
        <f t="array" ref="Q18">if(isblank(E18),"",xlookup(E18,'FL5_POR_包裝對照表 (Mapping Table)'!E:E,'FL5_POR_包裝對照表 (Mapping Table)'!AB:AB,"",0,1))</f>
        <v>SKU, CLR1, BETTER, SUB6, CA/AU, FL5, FRU</v>
      </c>
      <c r="R18" s="787">
        <v>45793.0</v>
      </c>
      <c r="S18" s="787">
        <v>45796.0</v>
      </c>
      <c r="T18" s="1146">
        <v>4.0624449E7</v>
      </c>
      <c r="U18" s="787">
        <v>45797.0</v>
      </c>
      <c r="V18" s="787">
        <v>45800.0</v>
      </c>
      <c r="W18" s="1147">
        <v>4.370068123E9</v>
      </c>
      <c r="X18" s="908" t="str">
        <f t="array" ref="X18">if(isblank(E18),"",xlookup(E18,'FL5_POR_包裝對照表 (Mapping Table)'!E:E,'FL5_POR_包裝對照表 (Mapping Table)'!K:K,"",0,1))</f>
        <v>BLK</v>
      </c>
      <c r="Y18" s="1"/>
      <c r="Z18" s="1"/>
      <c r="AA18" s="1"/>
      <c r="AB18" s="1"/>
      <c r="AC18" s="1"/>
      <c r="AD18" s="1"/>
      <c r="AE18" s="1"/>
      <c r="AF18" s="1"/>
      <c r="AG18" s="1"/>
      <c r="AH18" s="1"/>
      <c r="AI18" s="1"/>
      <c r="AJ18" s="1"/>
      <c r="AK18" s="1"/>
      <c r="AL18" s="1"/>
      <c r="AM18" s="1"/>
      <c r="AN18" s="1"/>
    </row>
    <row r="19">
      <c r="A19" s="1138"/>
      <c r="B19" s="292">
        <v>14.0</v>
      </c>
      <c r="C19" s="787">
        <v>45793.0</v>
      </c>
      <c r="D19" s="1139" t="str">
        <f t="array" ref="D19">if(isblank(E19),"",xlookup(E19,'FL5_POR_包裝對照表 (Mapping Table)'!E:E,'FL5_POR_包裝對照表 (Mapping Table)'!BJ:BJ,"",0,1))</f>
        <v>智能手機</v>
      </c>
      <c r="E19" s="1148" t="s">
        <v>896</v>
      </c>
      <c r="F19" s="1141" t="str">
        <f t="array" ref="F19">if(isblank(E19),"",xlookup(E19,'FL5_POR_包裝對照表 (Mapping Table)'!E:E,'FL5_POR_包裝對照表 (Mapping Table)'!E:E,"",0,1))</f>
        <v>CLNRGA10545</v>
      </c>
      <c r="G19" s="313" t="str">
        <f t="array" ref="G19">if(isblank(E19),"",xlookup(E19,'FL5_POR_包裝對照表 (Mapping Table)'!E:E,'FL5_POR_包裝對照表 (Mapping Table)'!F:F,"",0,1))</f>
        <v>CA/AU</v>
      </c>
      <c r="H19" s="312" t="str">
        <f t="array" ref="H19">if(isblank(E19),"",xlookup(E19,'FL5_POR_包裝對照表 (Mapping Table)'!E:E,'FL5_POR_包裝對照表 (Mapping Table)'!AN:AN,"",0,1))</f>
        <v>G950-15935-15</v>
      </c>
      <c r="I19" s="1142">
        <v>1000.0</v>
      </c>
      <c r="J19" s="1143">
        <f t="array" ref="J19">IF(ISBLANK(F19),"",XLOOKUP(F19,'FL5_POR_核價 (經管 &amp; BPM)'!E:E,'FL5_POR_核價 (經管 &amp; BPM)'!O:O,"",0,1))</f>
        <v>434.47</v>
      </c>
      <c r="K19" s="1144">
        <f t="shared" si="1"/>
        <v>434470</v>
      </c>
      <c r="L19" s="292" t="str">
        <f>IF(ISBLANK(E19),"",'FL5_POR_包裝對照表 (Mapping Table)'!$E$4)</f>
        <v>GFL (FL5)</v>
      </c>
      <c r="M19" s="292" t="str">
        <f>IF(ISBLANK(E19),"",'FL5_POR_包裝對照表 (Mapping Table)'!$F$4&amp;"-PRQ")</f>
        <v>MP-PRQ</v>
      </c>
      <c r="N19" s="292" t="str">
        <f t="shared" si="2"/>
        <v>富泰宏</v>
      </c>
      <c r="O19" s="677" t="str">
        <f t="shared" si="3"/>
        <v>工廠出貨用</v>
      </c>
      <c r="P19" s="677" t="str">
        <f t="shared" si="4"/>
        <v>陳冠伶/502619</v>
      </c>
      <c r="Q19" s="1145" t="str">
        <f t="array" ref="Q19">if(isblank(E19),"",xlookup(E19,'FL5_POR_包裝對照表 (Mapping Table)'!E:E,'FL5_POR_包裝對照表 (Mapping Table)'!AB:AB,"",0,1))</f>
        <v>SKU, CLR2, BETTER, SUB6, CA/AU, FL5, FRU</v>
      </c>
      <c r="R19" s="787">
        <v>45793.0</v>
      </c>
      <c r="S19" s="787">
        <v>45796.0</v>
      </c>
      <c r="T19" s="1146">
        <v>4.0624449E7</v>
      </c>
      <c r="U19" s="787">
        <v>45797.0</v>
      </c>
      <c r="V19" s="787">
        <v>45800.0</v>
      </c>
      <c r="W19" s="1147">
        <v>4.370068123E9</v>
      </c>
      <c r="X19" s="908" t="str">
        <f t="array" ref="X19">if(isblank(E19),"",xlookup(E19,'FL5_POR_包裝對照表 (Mapping Table)'!E:E,'FL5_POR_包裝對照表 (Mapping Table)'!K:K,"",0,1))</f>
        <v>PPL</v>
      </c>
      <c r="Y19" s="1"/>
      <c r="Z19" s="1"/>
      <c r="AA19" s="1"/>
      <c r="AB19" s="1"/>
      <c r="AC19" s="1"/>
      <c r="AD19" s="1"/>
      <c r="AE19" s="1"/>
      <c r="AF19" s="1"/>
      <c r="AG19" s="1"/>
      <c r="AH19" s="1"/>
      <c r="AI19" s="1"/>
      <c r="AJ19" s="1"/>
      <c r="AK19" s="1"/>
      <c r="AL19" s="1"/>
      <c r="AM19" s="1"/>
      <c r="AN19" s="1"/>
    </row>
    <row r="20">
      <c r="A20" s="1138"/>
      <c r="B20" s="292">
        <v>15.0</v>
      </c>
      <c r="C20" s="787">
        <v>45793.0</v>
      </c>
      <c r="D20" s="1139" t="str">
        <f t="array" ref="D20">if(isblank(E20),"",xlookup(E20,'FL5_POR_包裝對照表 (Mapping Table)'!E:E,'FL5_POR_包裝對照表 (Mapping Table)'!BJ:BJ,"",0,1))</f>
        <v>智能手機</v>
      </c>
      <c r="E20" s="1148" t="s">
        <v>901</v>
      </c>
      <c r="F20" s="1141" t="str">
        <f t="array" ref="F20">if(isblank(E20),"",xlookup(E20,'FL5_POR_包裝對照表 (Mapping Table)'!E:E,'FL5_POR_包裝對照表 (Mapping Table)'!E:E,"",0,1))</f>
        <v>CLNRGA10546</v>
      </c>
      <c r="G20" s="313" t="str">
        <f t="array" ref="G20">if(isblank(E20),"",xlookup(E20,'FL5_POR_包裝對照表 (Mapping Table)'!E:E,'FL5_POR_包裝對照表 (Mapping Table)'!F:F,"",0,1))</f>
        <v>CA/AU</v>
      </c>
      <c r="H20" s="312" t="str">
        <f t="array" ref="H20">if(isblank(E20),"",xlookup(E20,'FL5_POR_包裝對照表 (Mapping Table)'!E:E,'FL5_POR_包裝對照表 (Mapping Table)'!AN:AN,"",0,1))</f>
        <v>G950-15935-16</v>
      </c>
      <c r="I20" s="1142">
        <v>1000.0</v>
      </c>
      <c r="J20" s="1143">
        <f t="array" ref="J20">IF(ISBLANK(F20),"",XLOOKUP(F20,'FL5_POR_核價 (經管 &amp; BPM)'!E:E,'FL5_POR_核價 (經管 &amp; BPM)'!O:O,"",0,1))</f>
        <v>434.57</v>
      </c>
      <c r="K20" s="1144">
        <f t="shared" si="1"/>
        <v>434570</v>
      </c>
      <c r="L20" s="292" t="str">
        <f>IF(ISBLANK(E20),"",'FL5_POR_包裝對照表 (Mapping Table)'!$E$4)</f>
        <v>GFL (FL5)</v>
      </c>
      <c r="M20" s="292" t="str">
        <f>IF(ISBLANK(E20),"",'FL5_POR_包裝對照表 (Mapping Table)'!$F$4&amp;"-PRQ")</f>
        <v>MP-PRQ</v>
      </c>
      <c r="N20" s="292" t="str">
        <f t="shared" si="2"/>
        <v>富泰宏</v>
      </c>
      <c r="O20" s="677" t="str">
        <f t="shared" si="3"/>
        <v>工廠出貨用</v>
      </c>
      <c r="P20" s="677" t="str">
        <f t="shared" si="4"/>
        <v>陳冠伶/502619</v>
      </c>
      <c r="Q20" s="1145" t="str">
        <f t="array" ref="Q20">if(isblank(E20),"",xlookup(E20,'FL5_POR_包裝對照表 (Mapping Table)'!E:E,'FL5_POR_包裝對照表 (Mapping Table)'!AB:AB,"",0,1))</f>
        <v>SKU, CLR3, BETTER, SUB6, CA/AU, FL5, FRU</v>
      </c>
      <c r="R20" s="787">
        <v>45793.0</v>
      </c>
      <c r="S20" s="787">
        <v>45796.0</v>
      </c>
      <c r="T20" s="1146">
        <v>4.0624449E7</v>
      </c>
      <c r="U20" s="787">
        <v>45797.0</v>
      </c>
      <c r="V20" s="787">
        <v>45800.0</v>
      </c>
      <c r="W20" s="1147">
        <v>4.370068123E9</v>
      </c>
      <c r="X20" s="908" t="str">
        <f t="array" ref="X20">if(isblank(E20),"",xlookup(E20,'FL5_POR_包裝對照表 (Mapping Table)'!E:E,'FL5_POR_包裝對照表 (Mapping Table)'!K:K,"",0,1))</f>
        <v>YEL</v>
      </c>
      <c r="Y20" s="1"/>
      <c r="Z20" s="1"/>
      <c r="AA20" s="1"/>
      <c r="AB20" s="1"/>
      <c r="AC20" s="1"/>
      <c r="AD20" s="1"/>
      <c r="AE20" s="1"/>
      <c r="AF20" s="1"/>
      <c r="AG20" s="1"/>
      <c r="AH20" s="1"/>
      <c r="AI20" s="1"/>
      <c r="AJ20" s="1"/>
      <c r="AK20" s="1"/>
      <c r="AL20" s="1"/>
      <c r="AM20" s="1"/>
      <c r="AN20" s="1"/>
    </row>
    <row r="21">
      <c r="A21" s="1138"/>
      <c r="B21" s="292">
        <v>16.0</v>
      </c>
      <c r="C21" s="787">
        <v>45793.0</v>
      </c>
      <c r="D21" s="1139" t="str">
        <f t="array" ref="D21">if(isblank(E21),"",xlookup(E21,'FL5_POR_包裝對照表 (Mapping Table)'!E:E,'FL5_POR_包裝對照表 (Mapping Table)'!BJ:BJ,"",0,1))</f>
        <v>智能手機</v>
      </c>
      <c r="E21" s="1148" t="s">
        <v>906</v>
      </c>
      <c r="F21" s="1141" t="str">
        <f t="array" ref="F21">if(isblank(E21),"",xlookup(E21,'FL5_POR_包裝對照表 (Mapping Table)'!E:E,'FL5_POR_包裝對照表 (Mapping Table)'!E:E,"",0,1))</f>
        <v>CLNRGA10547</v>
      </c>
      <c r="G21" s="313" t="str">
        <f t="array" ref="G21">if(isblank(E21),"",xlookup(E21,'FL5_POR_包裝對照表 (Mapping Table)'!E:E,'FL5_POR_包裝對照表 (Mapping Table)'!F:F,"",0,1))</f>
        <v>CA/AU</v>
      </c>
      <c r="H21" s="312" t="str">
        <f t="array" ref="H21">if(isblank(E21),"",xlookup(E21,'FL5_POR_包裝對照表 (Mapping Table)'!E:E,'FL5_POR_包裝對照表 (Mapping Table)'!AN:AN,"",0,1))</f>
        <v>G950-15935-17</v>
      </c>
      <c r="I21" s="1142">
        <v>1000.0</v>
      </c>
      <c r="J21" s="1143">
        <f t="array" ref="J21">IF(ISBLANK(F21),"",XLOOKUP(F21,'FL5_POR_核價 (經管 &amp; BPM)'!E:E,'FL5_POR_核價 (經管 &amp; BPM)'!O:O,"",0,1))</f>
        <v>434.57</v>
      </c>
      <c r="K21" s="1144">
        <f t="shared" si="1"/>
        <v>434570</v>
      </c>
      <c r="L21" s="292" t="str">
        <f>IF(ISBLANK(E21),"",'FL5_POR_包裝對照表 (Mapping Table)'!$E$4)</f>
        <v>GFL (FL5)</v>
      </c>
      <c r="M21" s="292" t="str">
        <f>IF(ISBLANK(E21),"",'FL5_POR_包裝對照表 (Mapping Table)'!$F$4&amp;"-PRQ")</f>
        <v>MP-PRQ</v>
      </c>
      <c r="N21" s="292" t="str">
        <f t="shared" si="2"/>
        <v>富泰宏</v>
      </c>
      <c r="O21" s="677" t="str">
        <f t="shared" si="3"/>
        <v>工廠出貨用</v>
      </c>
      <c r="P21" s="677" t="str">
        <f t="shared" si="4"/>
        <v>陳冠伶/502619</v>
      </c>
      <c r="Q21" s="1145" t="str">
        <f t="array" ref="Q21">if(isblank(E21),"",xlookup(E21,'FL5_POR_包裝對照表 (Mapping Table)'!E:E,'FL5_POR_包裝對照表 (Mapping Table)'!AB:AB,"",0,1))</f>
        <v>SKU, CLR4, BETTER, SUB6, CA/AU, FL5, FRU</v>
      </c>
      <c r="R21" s="787">
        <v>45793.0</v>
      </c>
      <c r="S21" s="787">
        <v>45796.0</v>
      </c>
      <c r="T21" s="1146">
        <v>4.0624449E7</v>
      </c>
      <c r="U21" s="787">
        <v>45797.0</v>
      </c>
      <c r="V21" s="787">
        <v>45800.0</v>
      </c>
      <c r="W21" s="1147">
        <v>4.370068123E9</v>
      </c>
      <c r="X21" s="908" t="str">
        <f t="array" ref="X21">if(isblank(E21),"",xlookup(E21,'FL5_POR_包裝對照表 (Mapping Table)'!E:E,'FL5_POR_包裝對照表 (Mapping Table)'!K:K,"",0,1))</f>
        <v>BUE</v>
      </c>
      <c r="Y21" s="1"/>
      <c r="Z21" s="1"/>
      <c r="AA21" s="1"/>
      <c r="AB21" s="1"/>
      <c r="AC21" s="1"/>
      <c r="AD21" s="1"/>
      <c r="AE21" s="1"/>
      <c r="AF21" s="1"/>
      <c r="AG21" s="1"/>
      <c r="AH21" s="1"/>
      <c r="AI21" s="1"/>
      <c r="AJ21" s="1"/>
      <c r="AK21" s="1"/>
      <c r="AL21" s="1"/>
      <c r="AM21" s="1"/>
      <c r="AN21" s="1"/>
    </row>
    <row r="22">
      <c r="A22" s="1138"/>
      <c r="B22" s="292"/>
      <c r="C22" s="787"/>
      <c r="D22" s="301" t="str">
        <f t="array" ref="D22">if(isblank(E22),"",xlookup(E22,'FL5_POR_包裝對照表 (Mapping Table)'!E:E,'FL5_POR_包裝對照表 (Mapping Table)'!BJ:BJ,"",0,1))</f>
        <v/>
      </c>
      <c r="E22" s="1148"/>
      <c r="F22" s="1141" t="str">
        <f t="array" ref="F22">if(isblank(E22),"",xlookup(E22,'FL5_POR_包裝對照表 (Mapping Table)'!E:E,'FL5_POR_包裝對照表 (Mapping Table)'!E:E,"",0,1))</f>
        <v/>
      </c>
      <c r="G22" s="313" t="str">
        <f t="array" ref="G22">if(isblank(E22),"",xlookup(E22,'FL5_POR_包裝對照表 (Mapping Table)'!E:E,'FL5_POR_包裝對照表 (Mapping Table)'!F:F,"",0,1))</f>
        <v/>
      </c>
      <c r="H22" s="312" t="str">
        <f t="array" ref="H22">if(isblank(E22),"",xlookup(E22,'FL5_POR_包裝對照表 (Mapping Table)'!E:E,'FL5_POR_包裝對照表 (Mapping Table)'!AN:AN,"",0,1))</f>
        <v/>
      </c>
      <c r="I22" s="1142"/>
      <c r="J22" s="1143" t="str">
        <f t="array" ref="J22">IF(ISBLANK(F22),"",XLOOKUP(F22,'FL5_POR_核價 (經管 &amp; BPM)'!E:E,'FL5_POR_核價 (經管 &amp; BPM)'!O:O,"",0,1))</f>
        <v/>
      </c>
      <c r="K22" s="1144">
        <f t="shared" si="1"/>
        <v>0</v>
      </c>
      <c r="L22" s="292" t="str">
        <f>IF(ISBLANK(E22),"",'FL5_POR_包裝對照表 (Mapping Table)'!$E$4)</f>
        <v/>
      </c>
      <c r="M22" s="292" t="str">
        <f>IF(ISBLANK(E22),"",'FL5_POR_包裝對照表 (Mapping Table)'!$F$4&amp;"-PRQ")</f>
        <v/>
      </c>
      <c r="N22" s="292" t="str">
        <f t="shared" si="2"/>
        <v/>
      </c>
      <c r="O22" s="677" t="str">
        <f t="shared" si="3"/>
        <v/>
      </c>
      <c r="P22" s="677" t="str">
        <f t="shared" si="4"/>
        <v/>
      </c>
      <c r="Q22" s="1145" t="str">
        <f t="array" ref="Q22">if(isblank(E22),"",xlookup(E22,'FL5_POR_包裝對照表 (Mapping Table)'!E:E,'FL5_POR_包裝對照表 (Mapping Table)'!AB:AB,"",0,1))</f>
        <v/>
      </c>
      <c r="R22" s="787"/>
      <c r="S22" s="787"/>
      <c r="T22" s="1149"/>
      <c r="U22" s="787"/>
      <c r="V22" s="787"/>
      <c r="W22" s="1150"/>
      <c r="X22" s="908" t="str">
        <f t="array" ref="X22">if(isblank(E22),"",xlookup(E22,'FL5_POR_包裝對照表 (Mapping Table)'!E:E,'FL5_POR_包裝對照表 (Mapping Table)'!K:K,"",0,1))</f>
        <v/>
      </c>
      <c r="Y22" s="1"/>
      <c r="Z22" s="1"/>
      <c r="AA22" s="1"/>
      <c r="AB22" s="1"/>
      <c r="AC22" s="1"/>
      <c r="AD22" s="1"/>
      <c r="AE22" s="1"/>
      <c r="AF22" s="1"/>
      <c r="AG22" s="1"/>
      <c r="AH22" s="1"/>
      <c r="AI22" s="1"/>
      <c r="AJ22" s="1"/>
      <c r="AK22" s="1"/>
      <c r="AL22" s="1"/>
      <c r="AM22" s="1"/>
      <c r="AN22" s="1"/>
    </row>
    <row r="23">
      <c r="A23" s="1138"/>
      <c r="B23" s="292"/>
      <c r="C23" s="787"/>
      <c r="D23" s="301" t="str">
        <f t="array" ref="D23">if(isblank(E23),"",xlookup(E23,'FL5_POR_包裝對照表 (Mapping Table)'!E:E,'FL5_POR_包裝對照表 (Mapping Table)'!BJ:BJ,"",0,1))</f>
        <v/>
      </c>
      <c r="E23" s="1148"/>
      <c r="F23" s="1141" t="str">
        <f t="array" ref="F23">if(isblank(E23),"",xlookup(E23,'FL5_POR_包裝對照表 (Mapping Table)'!E:E,'FL5_POR_包裝對照表 (Mapping Table)'!E:E,"",0,1))</f>
        <v/>
      </c>
      <c r="G23" s="313" t="str">
        <f t="array" ref="G23">if(isblank(E23),"",xlookup(E23,'FL5_POR_包裝對照表 (Mapping Table)'!E:E,'FL5_POR_包裝對照表 (Mapping Table)'!F:F,"",0,1))</f>
        <v/>
      </c>
      <c r="H23" s="312"/>
      <c r="I23" s="1142"/>
      <c r="J23" s="1143" t="str">
        <f t="array" ref="J23">IF(ISBLANK(F23),"",XLOOKUP(F23,'FL5_POR_核價 (經管 &amp; BPM)'!E:E,'FL5_POR_核價 (經管 &amp; BPM)'!O:O,"",0,1))</f>
        <v/>
      </c>
      <c r="K23" s="1144">
        <f t="shared" si="1"/>
        <v>0</v>
      </c>
      <c r="L23" s="292" t="str">
        <f>IF(ISBLANK(E23),"",'FL5_POR_包裝對照表 (Mapping Table)'!$E$4)</f>
        <v/>
      </c>
      <c r="M23" s="292" t="str">
        <f>IF(ISBLANK(E23),"",'FL5_POR_包裝對照表 (Mapping Table)'!$F$4&amp;"-PRQ")</f>
        <v/>
      </c>
      <c r="N23" s="292" t="str">
        <f t="shared" si="2"/>
        <v/>
      </c>
      <c r="O23" s="677" t="str">
        <f t="shared" si="3"/>
        <v/>
      </c>
      <c r="P23" s="677" t="str">
        <f t="shared" si="4"/>
        <v/>
      </c>
      <c r="Q23" s="1145" t="str">
        <f t="array" ref="Q23">if(isblank(E23),"",xlookup(E23,'FL5_POR_包裝對照表 (Mapping Table)'!E:E,'FL5_POR_包裝對照表 (Mapping Table)'!AB:AB,"",0,1))</f>
        <v/>
      </c>
      <c r="R23" s="787"/>
      <c r="S23" s="787"/>
      <c r="T23" s="1149"/>
      <c r="U23" s="787"/>
      <c r="V23" s="787"/>
      <c r="W23" s="1150"/>
      <c r="X23" s="908" t="str">
        <f t="array" ref="X23">if(isblank(E23),"",xlookup(E23,'FL5_POR_包裝對照表 (Mapping Table)'!E:E,'FL5_POR_包裝對照表 (Mapping Table)'!K:K,"",0,1))</f>
        <v/>
      </c>
      <c r="Y23" s="1"/>
      <c r="Z23" s="1"/>
      <c r="AA23" s="1"/>
      <c r="AB23" s="1"/>
      <c r="AC23" s="1"/>
      <c r="AD23" s="1"/>
      <c r="AE23" s="1"/>
      <c r="AF23" s="1"/>
      <c r="AG23" s="1"/>
      <c r="AH23" s="1"/>
      <c r="AI23" s="1"/>
      <c r="AJ23" s="1"/>
      <c r="AK23" s="1"/>
      <c r="AL23" s="1"/>
      <c r="AM23" s="1"/>
      <c r="AN23" s="1"/>
    </row>
    <row r="24">
      <c r="A24" s="1138"/>
      <c r="B24" s="292"/>
      <c r="C24" s="787"/>
      <c r="D24" s="301" t="str">
        <f t="array" ref="D24">if(isblank(E24),"",xlookup(E24,'FL5_POR_包裝對照表 (Mapping Table)'!E:E,'FL5_POR_包裝對照表 (Mapping Table)'!BJ:BJ,"",0,1))</f>
        <v/>
      </c>
      <c r="E24" s="1151"/>
      <c r="F24" s="1141" t="str">
        <f t="array" ref="F24">if(isblank(E24),"",xlookup(E24,'FL5_POR_包裝對照表 (Mapping Table)'!E:E,'FL5_POR_包裝對照表 (Mapping Table)'!E:E,"",0,1))</f>
        <v/>
      </c>
      <c r="G24" s="313" t="str">
        <f t="array" ref="G24">if(isblank(E24),"",xlookup(E24,'FL5_POR_包裝對照表 (Mapping Table)'!E:E,'FL5_POR_包裝對照表 (Mapping Table)'!F:F,"",0,1))</f>
        <v/>
      </c>
      <c r="H24" s="312"/>
      <c r="I24" s="1142"/>
      <c r="J24" s="1143" t="str">
        <f t="array" ref="J24">IF(ISBLANK(F24),"",XLOOKUP(F24,'FL5_POR_核價 (經管 &amp; BPM)'!E:E,'FL5_POR_核價 (經管 &amp; BPM)'!O:O,"",0,1))</f>
        <v/>
      </c>
      <c r="K24" s="1144">
        <f t="shared" si="1"/>
        <v>0</v>
      </c>
      <c r="L24" s="292" t="str">
        <f>IF(ISBLANK(E24),"",'FL5_POR_包裝對照表 (Mapping Table)'!$E$4)</f>
        <v/>
      </c>
      <c r="M24" s="292" t="str">
        <f>IF(ISBLANK(E24),"",'FL5_POR_包裝對照表 (Mapping Table)'!$F$4&amp;"-PRQ")</f>
        <v/>
      </c>
      <c r="N24" s="292" t="str">
        <f t="shared" si="2"/>
        <v/>
      </c>
      <c r="O24" s="677" t="str">
        <f t="shared" si="3"/>
        <v/>
      </c>
      <c r="P24" s="677" t="str">
        <f t="shared" si="4"/>
        <v/>
      </c>
      <c r="Q24" s="1145" t="str">
        <f t="array" ref="Q24">if(isblank(E24),"",xlookup(E24,'FL5_POR_包裝對照表 (Mapping Table)'!E:E,'FL5_POR_包裝對照表 (Mapping Table)'!AB:AB,"",0,1))</f>
        <v/>
      </c>
      <c r="R24" s="787"/>
      <c r="S24" s="787"/>
      <c r="T24" s="1149"/>
      <c r="U24" s="787"/>
      <c r="V24" s="787"/>
      <c r="W24" s="1150"/>
      <c r="X24" s="908" t="str">
        <f t="array" ref="X24">if(isblank(E24),"",xlookup(E24,'FL5_POR_包裝對照表 (Mapping Table)'!E:E,'FL5_POR_包裝對照表 (Mapping Table)'!K:K,"",0,1))</f>
        <v/>
      </c>
      <c r="Y24" s="1"/>
      <c r="Z24" s="1"/>
      <c r="AA24" s="1"/>
      <c r="AB24" s="1"/>
      <c r="AC24" s="1"/>
      <c r="AD24" s="1"/>
      <c r="AE24" s="1"/>
      <c r="AF24" s="1"/>
      <c r="AG24" s="1"/>
      <c r="AH24" s="1"/>
      <c r="AI24" s="1"/>
      <c r="AJ24" s="1"/>
      <c r="AK24" s="1"/>
      <c r="AL24" s="1"/>
      <c r="AM24" s="1"/>
      <c r="AN24" s="1"/>
    </row>
    <row r="25">
      <c r="A25" s="1138"/>
      <c r="B25" s="292"/>
      <c r="C25" s="787"/>
      <c r="D25" s="301" t="str">
        <f t="array" ref="D25">if(isblank(E25),"",xlookup(E25,'FL5_POR_包裝對照表 (Mapping Table)'!E:E,'FL5_POR_包裝對照表 (Mapping Table)'!BJ:BJ,"",0,1))</f>
        <v/>
      </c>
      <c r="E25" s="1152"/>
      <c r="F25" s="1141" t="str">
        <f t="array" ref="F25">if(isblank(E25),"",xlookup(E25,'FL5_POR_包裝對照表 (Mapping Table)'!E:E,'FL5_POR_包裝對照表 (Mapping Table)'!E:E,"",0,1))</f>
        <v/>
      </c>
      <c r="G25" s="313" t="str">
        <f t="array" ref="G25">if(isblank(E25),"",xlookup(E25,'FL5_POR_包裝對照表 (Mapping Table)'!E:E,'FL5_POR_包裝對照表 (Mapping Table)'!F:F,"",0,1))</f>
        <v/>
      </c>
      <c r="H25" s="312"/>
      <c r="I25" s="1142"/>
      <c r="J25" s="1143" t="str">
        <f t="array" ref="J25">IF(ISBLANK(F25),"",XLOOKUP(F25,'FL5_POR_核價 (經管 &amp; BPM)'!E:E,'FL5_POR_核價 (經管 &amp; BPM)'!O:O,"",0,1))</f>
        <v/>
      </c>
      <c r="K25" s="1144">
        <f t="shared" si="1"/>
        <v>0</v>
      </c>
      <c r="L25" s="292" t="str">
        <f>IF(ISBLANK(E25),"",'FL5_POR_包裝對照表 (Mapping Table)'!$E$4)</f>
        <v/>
      </c>
      <c r="M25" s="292" t="str">
        <f>IF(ISBLANK(E25),"",'FL5_POR_包裝對照表 (Mapping Table)'!$F$4&amp;"-PRQ")</f>
        <v/>
      </c>
      <c r="N25" s="292" t="str">
        <f t="shared" si="2"/>
        <v/>
      </c>
      <c r="O25" s="677" t="str">
        <f t="shared" si="3"/>
        <v/>
      </c>
      <c r="P25" s="677" t="str">
        <f t="shared" si="4"/>
        <v/>
      </c>
      <c r="Q25" s="1145" t="str">
        <f t="array" ref="Q25">if(isblank(E25),"",xlookup(E25,'FL5_POR_包裝對照表 (Mapping Table)'!E:E,'FL5_POR_包裝對照表 (Mapping Table)'!AB:AB,"",0,1))</f>
        <v/>
      </c>
      <c r="R25" s="787"/>
      <c r="S25" s="787"/>
      <c r="T25" s="1149"/>
      <c r="U25" s="787"/>
      <c r="V25" s="787"/>
      <c r="W25" s="1150"/>
      <c r="X25" s="908" t="str">
        <f t="array" ref="X25">if(isblank(E25),"",xlookup(E25,'FL5_POR_包裝對照表 (Mapping Table)'!E:E,'FL5_POR_包裝對照表 (Mapping Table)'!K:K,"",0,1))</f>
        <v/>
      </c>
      <c r="Y25" s="1"/>
      <c r="Z25" s="1"/>
      <c r="AA25" s="1"/>
      <c r="AB25" s="1"/>
      <c r="AC25" s="1"/>
      <c r="AD25" s="1"/>
      <c r="AE25" s="1"/>
      <c r="AF25" s="1"/>
      <c r="AG25" s="1"/>
      <c r="AH25" s="1"/>
      <c r="AI25" s="1"/>
      <c r="AJ25" s="1"/>
      <c r="AK25" s="1"/>
      <c r="AL25" s="1"/>
      <c r="AM25" s="1"/>
      <c r="AN25" s="1"/>
    </row>
    <row r="26">
      <c r="A26" s="1138"/>
      <c r="B26" s="292"/>
      <c r="C26" s="787"/>
      <c r="D26" s="301" t="str">
        <f t="array" ref="D26">if(isblank(E26),"",xlookup(E26,'FL5_POR_包裝對照表 (Mapping Table)'!E:E,'FL5_POR_包裝對照表 (Mapping Table)'!BJ:BJ,"",0,1))</f>
        <v/>
      </c>
      <c r="E26" s="1140"/>
      <c r="F26" s="1141" t="str">
        <f t="array" ref="F26">if(isblank(E26),"",xlookup(E26,'FL5_POR_包裝對照表 (Mapping Table)'!E:E,'FL5_POR_包裝對照表 (Mapping Table)'!E:E,"",0,1))</f>
        <v/>
      </c>
      <c r="G26" s="313" t="str">
        <f t="array" ref="G26">if(isblank(E26),"",xlookup(E26,'FL5_POR_包裝對照表 (Mapping Table)'!E:E,'FL5_POR_包裝對照表 (Mapping Table)'!F:F,"",0,1))</f>
        <v/>
      </c>
      <c r="H26" s="312"/>
      <c r="I26" s="1142"/>
      <c r="J26" s="1143" t="str">
        <f t="array" ref="J26">IF(ISBLANK(F26),"",XLOOKUP(F26,'FL5_POR_核價 (經管 &amp; BPM)'!E:E,'FL5_POR_核價 (經管 &amp; BPM)'!O:O,"",0,1))</f>
        <v/>
      </c>
      <c r="K26" s="1144">
        <f t="shared" si="1"/>
        <v>0</v>
      </c>
      <c r="L26" s="292" t="str">
        <f>IF(ISBLANK(E26),"",'FL5_POR_包裝對照表 (Mapping Table)'!$E$4)</f>
        <v/>
      </c>
      <c r="M26" s="292" t="str">
        <f>IF(ISBLANK(E26),"",'FL5_POR_包裝對照表 (Mapping Table)'!$F$4&amp;"-PRQ")</f>
        <v/>
      </c>
      <c r="N26" s="292" t="str">
        <f t="shared" si="2"/>
        <v/>
      </c>
      <c r="O26" s="677" t="str">
        <f t="shared" si="3"/>
        <v/>
      </c>
      <c r="P26" s="677" t="str">
        <f t="shared" si="4"/>
        <v/>
      </c>
      <c r="Q26" s="1145" t="str">
        <f t="array" ref="Q26">if(isblank(E26),"",xlookup(E26,'FL5_POR_包裝對照表 (Mapping Table)'!E:E,'FL5_POR_包裝對照表 (Mapping Table)'!AB:AB,"",0,1))</f>
        <v/>
      </c>
      <c r="R26" s="787"/>
      <c r="S26" s="787"/>
      <c r="T26" s="1149"/>
      <c r="U26" s="787"/>
      <c r="V26" s="787"/>
      <c r="W26" s="1150"/>
      <c r="X26" s="908" t="str">
        <f t="array" ref="X26">if(isblank(E26),"",xlookup(E26,'FL5_POR_包裝對照表 (Mapping Table)'!E:E,'FL5_POR_包裝對照表 (Mapping Table)'!K:K,"",0,1))</f>
        <v/>
      </c>
      <c r="Y26" s="1"/>
      <c r="Z26" s="1"/>
      <c r="AA26" s="1"/>
      <c r="AB26" s="1"/>
      <c r="AC26" s="1"/>
      <c r="AD26" s="1"/>
      <c r="AE26" s="1"/>
      <c r="AF26" s="1"/>
      <c r="AG26" s="1"/>
      <c r="AH26" s="1"/>
      <c r="AI26" s="1"/>
      <c r="AJ26" s="1"/>
      <c r="AK26" s="1"/>
      <c r="AL26" s="1"/>
      <c r="AM26" s="1"/>
      <c r="AN26" s="1"/>
    </row>
    <row r="27">
      <c r="A27" s="1138"/>
      <c r="B27" s="292"/>
      <c r="C27" s="787"/>
      <c r="D27" s="301" t="str">
        <f t="array" ref="D27">if(isblank(E27),"",xlookup(E27,'FL5_POR_包裝對照表 (Mapping Table)'!E:E,'FL5_POR_包裝對照表 (Mapping Table)'!BJ:BJ,"",0,1))</f>
        <v/>
      </c>
      <c r="E27" s="1140"/>
      <c r="F27" s="1141" t="str">
        <f t="array" ref="F27">if(isblank(E27),"",xlookup(E27,'FL5_POR_包裝對照表 (Mapping Table)'!E:E,'FL5_POR_包裝對照表 (Mapping Table)'!E:E,"",0,1))</f>
        <v/>
      </c>
      <c r="G27" s="313" t="str">
        <f t="array" ref="G27">if(isblank(E27),"",xlookup(E27,'FL5_POR_包裝對照表 (Mapping Table)'!E:E,'FL5_POR_包裝對照表 (Mapping Table)'!F:F,"",0,1))</f>
        <v/>
      </c>
      <c r="H27" s="312"/>
      <c r="I27" s="1142"/>
      <c r="J27" s="1143" t="str">
        <f t="array" ref="J27">IF(ISBLANK(F27),"",XLOOKUP(F27,'FL5_POR_核價 (經管 &amp; BPM)'!E:E,'FL5_POR_核價 (經管 &amp; BPM)'!O:O,"",0,1))</f>
        <v/>
      </c>
      <c r="K27" s="1144">
        <f t="shared" si="1"/>
        <v>0</v>
      </c>
      <c r="L27" s="292" t="str">
        <f>IF(ISBLANK(E27),"",'FL5_POR_包裝對照表 (Mapping Table)'!$E$4)</f>
        <v/>
      </c>
      <c r="M27" s="292" t="str">
        <f>IF(ISBLANK(E27),"",'FL5_POR_包裝對照表 (Mapping Table)'!$F$4&amp;"-PRQ")</f>
        <v/>
      </c>
      <c r="N27" s="292" t="str">
        <f t="shared" si="2"/>
        <v/>
      </c>
      <c r="O27" s="677" t="str">
        <f t="shared" si="3"/>
        <v/>
      </c>
      <c r="P27" s="677" t="str">
        <f t="shared" si="4"/>
        <v/>
      </c>
      <c r="Q27" s="1145" t="str">
        <f t="array" ref="Q27">if(isblank(E27),"",xlookup(E27,'FL5_POR_包裝對照表 (Mapping Table)'!E:E,'FL5_POR_包裝對照表 (Mapping Table)'!AB:AB,"",0,1))</f>
        <v/>
      </c>
      <c r="R27" s="888"/>
      <c r="S27" s="888"/>
      <c r="T27" s="1153"/>
      <c r="U27" s="888"/>
      <c r="V27" s="888"/>
      <c r="W27" s="1150"/>
      <c r="X27" s="908" t="str">
        <f t="array" ref="X27">if(isblank(E27),"",xlookup(E27,'FL5_POR_包裝對照表 (Mapping Table)'!E:E,'FL5_POR_包裝對照表 (Mapping Table)'!K:K,"",0,1))</f>
        <v/>
      </c>
      <c r="Y27" s="1"/>
      <c r="Z27" s="1"/>
      <c r="AA27" s="1"/>
      <c r="AB27" s="1"/>
      <c r="AC27" s="1"/>
      <c r="AD27" s="1"/>
      <c r="AE27" s="1"/>
      <c r="AF27" s="1"/>
      <c r="AG27" s="1"/>
      <c r="AH27" s="1"/>
      <c r="AI27" s="1"/>
      <c r="AJ27" s="1"/>
      <c r="AK27" s="1"/>
      <c r="AL27" s="1"/>
      <c r="AM27" s="1"/>
      <c r="AN27" s="1"/>
    </row>
    <row r="28">
      <c r="A28" s="1138"/>
      <c r="B28" s="292"/>
      <c r="C28" s="787"/>
      <c r="D28" s="301" t="str">
        <f t="array" ref="D28">if(isblank(E28),"",xlookup(E28,'FL5_POR_包裝對照表 (Mapping Table)'!E:E,'FL5_POR_包裝對照表 (Mapping Table)'!BJ:BJ,"",0,1))</f>
        <v/>
      </c>
      <c r="E28" s="1140"/>
      <c r="F28" s="1141" t="str">
        <f t="array" ref="F28">if(isblank(E28),"",xlookup(E28,'FL5_POR_包裝對照表 (Mapping Table)'!E:E,'FL5_POR_包裝對照表 (Mapping Table)'!E:E,"",0,1))</f>
        <v/>
      </c>
      <c r="G28" s="313" t="str">
        <f t="array" ref="G28">if(isblank(E28),"",xlookup(E28,'FL5_POR_包裝對照表 (Mapping Table)'!E:E,'FL5_POR_包裝對照表 (Mapping Table)'!F:F,"",0,1))</f>
        <v/>
      </c>
      <c r="H28" s="312"/>
      <c r="I28" s="1142"/>
      <c r="J28" s="1143" t="str">
        <f t="array" ref="J28">IF(ISBLANK(F28),"",XLOOKUP(F28,'FL5_POR_核價 (經管 &amp; BPM)'!E:E,'FL5_POR_核價 (經管 &amp; BPM)'!O:O,"",0,1))</f>
        <v/>
      </c>
      <c r="K28" s="1144">
        <f t="shared" si="1"/>
        <v>0</v>
      </c>
      <c r="L28" s="292" t="str">
        <f>IF(ISBLANK(E28),"",'FL5_POR_包裝對照表 (Mapping Table)'!$E$4)</f>
        <v/>
      </c>
      <c r="M28" s="292" t="str">
        <f>IF(ISBLANK(E28),"",'FL5_POR_包裝對照表 (Mapping Table)'!$F$4&amp;"-PRQ")</f>
        <v/>
      </c>
      <c r="N28" s="292" t="str">
        <f t="shared" si="2"/>
        <v/>
      </c>
      <c r="O28" s="677" t="str">
        <f t="shared" si="3"/>
        <v/>
      </c>
      <c r="P28" s="677" t="str">
        <f t="shared" si="4"/>
        <v/>
      </c>
      <c r="Q28" s="1145" t="str">
        <f t="array" ref="Q28">if(isblank(E28),"",xlookup(E28,'FL5_POR_包裝對照表 (Mapping Table)'!E:E,'FL5_POR_包裝對照表 (Mapping Table)'!AB:AB,"",0,1))</f>
        <v/>
      </c>
      <c r="R28" s="888"/>
      <c r="S28" s="888"/>
      <c r="T28" s="1153"/>
      <c r="U28" s="888"/>
      <c r="V28" s="888"/>
      <c r="W28" s="1150"/>
      <c r="X28" s="908" t="str">
        <f t="array" ref="X28">if(isblank(E28),"",xlookup(E28,'FL5_POR_包裝對照表 (Mapping Table)'!E:E,'FL5_POR_包裝對照表 (Mapping Table)'!K:K,"",0,1))</f>
        <v/>
      </c>
      <c r="Y28" s="1"/>
      <c r="Z28" s="1"/>
      <c r="AA28" s="1"/>
      <c r="AB28" s="1"/>
      <c r="AC28" s="1"/>
      <c r="AD28" s="1"/>
      <c r="AE28" s="1"/>
      <c r="AF28" s="1"/>
      <c r="AG28" s="1"/>
      <c r="AH28" s="1"/>
      <c r="AI28" s="1"/>
      <c r="AJ28" s="1"/>
      <c r="AK28" s="1"/>
      <c r="AL28" s="1"/>
      <c r="AM28" s="1"/>
      <c r="AN28" s="1"/>
    </row>
    <row r="29">
      <c r="A29" s="1138"/>
      <c r="B29" s="292"/>
      <c r="C29" s="787"/>
      <c r="D29" s="301" t="str">
        <f t="array" ref="D29">if(isblank(E29),"",xlookup(E29,'FL5_POR_包裝對照表 (Mapping Table)'!E:E,'FL5_POR_包裝對照表 (Mapping Table)'!BJ:BJ,"",0,1))</f>
        <v/>
      </c>
      <c r="E29" s="1140"/>
      <c r="F29" s="1141" t="str">
        <f t="array" ref="F29">if(isblank(E29),"",xlookup(E29,'FL5_POR_包裝對照表 (Mapping Table)'!E:E,'FL5_POR_包裝對照表 (Mapping Table)'!E:E,"",0,1))</f>
        <v/>
      </c>
      <c r="G29" s="313" t="str">
        <f t="array" ref="G29">if(isblank(E29),"",xlookup(E29,'FL5_POR_包裝對照表 (Mapping Table)'!E:E,'FL5_POR_包裝對照表 (Mapping Table)'!F:F,"",0,1))</f>
        <v/>
      </c>
      <c r="H29" s="312"/>
      <c r="I29" s="1142"/>
      <c r="J29" s="1143" t="str">
        <f t="array" ref="J29">IF(ISBLANK(F29),"",XLOOKUP(F29,'FL5_POR_核價 (經管 &amp; BPM)'!E:E,'FL5_POR_核價 (經管 &amp; BPM)'!O:O,"",0,1))</f>
        <v/>
      </c>
      <c r="K29" s="1144">
        <f t="shared" si="1"/>
        <v>0</v>
      </c>
      <c r="L29" s="292" t="str">
        <f>IF(ISBLANK(E29),"",'FL5_POR_包裝對照表 (Mapping Table)'!$E$4)</f>
        <v/>
      </c>
      <c r="M29" s="292" t="str">
        <f>IF(ISBLANK(E29),"",'FL5_POR_包裝對照表 (Mapping Table)'!$F$4&amp;"-PRQ")</f>
        <v/>
      </c>
      <c r="N29" s="292" t="str">
        <f t="shared" si="2"/>
        <v/>
      </c>
      <c r="O29" s="677" t="str">
        <f t="shared" si="3"/>
        <v/>
      </c>
      <c r="P29" s="677" t="str">
        <f t="shared" si="4"/>
        <v/>
      </c>
      <c r="Q29" s="1145" t="str">
        <f t="array" ref="Q29">if(isblank(E29),"",xlookup(E29,'FL5_POR_包裝對照表 (Mapping Table)'!E:E,'FL5_POR_包裝對照表 (Mapping Table)'!AB:AB,"",0,1))</f>
        <v/>
      </c>
      <c r="R29" s="888"/>
      <c r="S29" s="888"/>
      <c r="T29" s="1153"/>
      <c r="U29" s="888"/>
      <c r="V29" s="888"/>
      <c r="W29" s="1150"/>
      <c r="X29" s="908" t="str">
        <f t="array" ref="X29">if(isblank(E29),"",xlookup(E29,'FL5_POR_包裝對照表 (Mapping Table)'!E:E,'FL5_POR_包裝對照表 (Mapping Table)'!K:K,"",0,1))</f>
        <v/>
      </c>
      <c r="Y29" s="1"/>
      <c r="Z29" s="1"/>
      <c r="AA29" s="1"/>
      <c r="AB29" s="1"/>
      <c r="AC29" s="1"/>
      <c r="AD29" s="1"/>
      <c r="AE29" s="1"/>
      <c r="AF29" s="1"/>
      <c r="AG29" s="1"/>
      <c r="AH29" s="1"/>
      <c r="AI29" s="1"/>
      <c r="AJ29" s="1"/>
      <c r="AK29" s="1"/>
      <c r="AL29" s="1"/>
      <c r="AM29" s="1"/>
      <c r="AN29" s="1"/>
    </row>
    <row r="30">
      <c r="A30" s="1138"/>
      <c r="B30" s="310"/>
      <c r="C30" s="888"/>
      <c r="D30" s="301" t="str">
        <f t="array" ref="D30">if(isblank(E30),"",xlookup(E30,'FL5_POR_包裝對照表 (Mapping Table)'!E:E,'FL5_POR_包裝對照表 (Mapping Table)'!BJ:BJ,"",0,1))</f>
        <v/>
      </c>
      <c r="E30" s="1140"/>
      <c r="F30" s="1141" t="str">
        <f t="array" ref="F30">if(isblank(E30),"",xlookup(E30,'FL5_POR_包裝對照表 (Mapping Table)'!E:E,'FL5_POR_包裝對照表 (Mapping Table)'!E:E,"",0,1))</f>
        <v/>
      </c>
      <c r="G30" s="313" t="str">
        <f t="array" ref="G30">if(isblank(E30),"",xlookup(E30,'FL5_POR_包裝對照表 (Mapping Table)'!E:E,'FL5_POR_包裝對照表 (Mapping Table)'!F:F,"",0,1))</f>
        <v/>
      </c>
      <c r="H30" s="312" t="str">
        <f t="array" ref="H30">if(isblank(E30),"",xlookup(E30,'FL5_POR_包裝對照表 (Mapping Table)'!E:E,'FL5_POR_包裝對照表 (Mapping Table)'!AN:AN,"",0,1))</f>
        <v/>
      </c>
      <c r="I30" s="1142"/>
      <c r="J30" s="1143" t="str">
        <f t="array" ref="J30">IF(ISBLANK(F30),"",XLOOKUP(F30,'FL5_POR_核價 (經管 &amp; BPM)'!E:E,'FL5_POR_核價 (經管 &amp; BPM)'!O:O,"",0,1))</f>
        <v/>
      </c>
      <c r="K30" s="1144">
        <f t="shared" si="1"/>
        <v>0</v>
      </c>
      <c r="L30" s="292" t="str">
        <f>IF(ISBLANK(E30),"",'FL5_POR_包裝對照表 (Mapping Table)'!$E$4)</f>
        <v/>
      </c>
      <c r="M30" s="292" t="str">
        <f>IF(ISBLANK(E30),"",'FL5_POR_包裝對照表 (Mapping Table)'!$F$4&amp;"-PRQ")</f>
        <v/>
      </c>
      <c r="N30" s="292" t="str">
        <f t="shared" si="2"/>
        <v/>
      </c>
      <c r="O30" s="677" t="str">
        <f t="shared" si="3"/>
        <v/>
      </c>
      <c r="P30" s="677" t="str">
        <f t="shared" si="4"/>
        <v/>
      </c>
      <c r="Q30" s="1145" t="str">
        <f t="array" ref="Q30">if(isblank(E30),"",xlookup(E30,'FL5_POR_包裝對照表 (Mapping Table)'!E:E,'FL5_POR_包裝對照表 (Mapping Table)'!AB:AB,"",0,1))</f>
        <v/>
      </c>
      <c r="R30" s="888"/>
      <c r="S30" s="888"/>
      <c r="T30" s="1154"/>
      <c r="U30" s="888"/>
      <c r="V30" s="888"/>
      <c r="W30" s="310"/>
      <c r="X30" s="908" t="str">
        <f t="array" ref="X30">if(isblank(E30),"",xlookup(E30,'FL5_POR_包裝對照表 (Mapping Table)'!E:E,'FL5_POR_包裝對照表 (Mapping Table)'!K:K,"",0,1))</f>
        <v/>
      </c>
      <c r="Y30" s="1"/>
      <c r="Z30" s="1"/>
      <c r="AA30" s="1"/>
      <c r="AB30" s="1"/>
      <c r="AC30" s="1"/>
      <c r="AD30" s="1"/>
      <c r="AE30" s="1"/>
      <c r="AF30" s="1"/>
      <c r="AG30" s="1"/>
      <c r="AH30" s="1"/>
      <c r="AI30" s="1"/>
      <c r="AJ30" s="1"/>
      <c r="AK30" s="1"/>
      <c r="AL30" s="1"/>
      <c r="AM30" s="1"/>
      <c r="AN30" s="1"/>
    </row>
    <row r="31">
      <c r="A31" s="1138"/>
      <c r="B31" s="310"/>
      <c r="C31" s="888"/>
      <c r="D31" s="301" t="str">
        <f t="array" ref="D31">if(isblank(E31),"",xlookup(E31,'FL5_POR_包裝對照表 (Mapping Table)'!E:E,'FL5_POR_包裝對照表 (Mapping Table)'!BJ:BJ,"",0,1))</f>
        <v/>
      </c>
      <c r="E31" s="1140"/>
      <c r="F31" s="1141" t="str">
        <f t="array" ref="F31">if(isblank(E31),"",xlookup(E31,'FL5_POR_包裝對照表 (Mapping Table)'!E:E,'FL5_POR_包裝對照表 (Mapping Table)'!E:E,"",0,1))</f>
        <v/>
      </c>
      <c r="G31" s="313" t="str">
        <f t="array" ref="G31">if(isblank(E31),"",xlookup(E31,'FL5_POR_包裝對照表 (Mapping Table)'!E:E,'FL5_POR_包裝對照表 (Mapping Table)'!F:F,"",0,1))</f>
        <v/>
      </c>
      <c r="H31" s="312" t="str">
        <f t="array" ref="H31">if(isblank(E31),"",xlookup(E31,'FL5_POR_包裝對照表 (Mapping Table)'!E:E,'FL5_POR_包裝對照表 (Mapping Table)'!AN:AN,"",0,1))</f>
        <v/>
      </c>
      <c r="I31" s="1142"/>
      <c r="J31" s="1143" t="str">
        <f t="array" ref="J31">IF(ISBLANK(F31),"",XLOOKUP(F31,'FL5_POR_核價 (經管 &amp; BPM)'!E:E,'FL5_POR_核價 (經管 &amp; BPM)'!O:O,"",0,1))</f>
        <v/>
      </c>
      <c r="K31" s="1144">
        <f t="shared" si="1"/>
        <v>0</v>
      </c>
      <c r="L31" s="292" t="str">
        <f>IF(ISBLANK(E31),"",'FL5_POR_包裝對照表 (Mapping Table)'!$E$4)</f>
        <v/>
      </c>
      <c r="M31" s="292" t="str">
        <f>IF(ISBLANK(E31),"",'FL5_POR_包裝對照表 (Mapping Table)'!$F$4&amp;"-PRQ")</f>
        <v/>
      </c>
      <c r="N31" s="292" t="str">
        <f t="shared" si="2"/>
        <v/>
      </c>
      <c r="O31" s="677" t="str">
        <f t="shared" si="3"/>
        <v/>
      </c>
      <c r="P31" s="677" t="str">
        <f t="shared" si="4"/>
        <v/>
      </c>
      <c r="Q31" s="1145" t="str">
        <f t="array" ref="Q31">if(isblank(E31),"",xlookup(E31,'FL5_POR_包裝對照表 (Mapping Table)'!E:E,'FL5_POR_包裝對照表 (Mapping Table)'!AB:AB,"",0,1))</f>
        <v/>
      </c>
      <c r="R31" s="888"/>
      <c r="S31" s="888"/>
      <c r="T31" s="1154"/>
      <c r="U31" s="888"/>
      <c r="V31" s="888"/>
      <c r="W31" s="310"/>
      <c r="X31" s="908" t="str">
        <f t="array" ref="X31">if(isblank(E31),"",xlookup(E31,'FL5_POR_包裝對照表 (Mapping Table)'!E:E,'FL5_POR_包裝對照表 (Mapping Table)'!K:K,"",0,1))</f>
        <v/>
      </c>
      <c r="Y31" s="1"/>
      <c r="Z31" s="1"/>
      <c r="AA31" s="1"/>
      <c r="AB31" s="1"/>
      <c r="AC31" s="1"/>
      <c r="AD31" s="1"/>
      <c r="AE31" s="1"/>
      <c r="AF31" s="1"/>
      <c r="AG31" s="1"/>
      <c r="AH31" s="1"/>
      <c r="AI31" s="1"/>
      <c r="AJ31" s="1"/>
      <c r="AK31" s="1"/>
      <c r="AL31" s="1"/>
      <c r="AM31" s="1"/>
      <c r="AN31" s="1"/>
    </row>
    <row r="32">
      <c r="A32" s="1138"/>
      <c r="B32" s="310"/>
      <c r="C32" s="888"/>
      <c r="D32" s="301" t="str">
        <f t="array" ref="D32">if(isblank(E32),"",xlookup(E32,'FL5_POR_包裝對照表 (Mapping Table)'!E:E,'FL5_POR_包裝對照表 (Mapping Table)'!BJ:BJ,"",0,1))</f>
        <v/>
      </c>
      <c r="E32" s="1140"/>
      <c r="F32" s="1141" t="str">
        <f t="array" ref="F32">if(isblank(E32),"",xlookup(E32,'FL5_POR_包裝對照表 (Mapping Table)'!E:E,'FL5_POR_包裝對照表 (Mapping Table)'!E:E,"",0,1))</f>
        <v/>
      </c>
      <c r="G32" s="313" t="str">
        <f t="array" ref="G32">if(isblank(E32),"",xlookup(E32,'FL5_POR_包裝對照表 (Mapping Table)'!E:E,'FL5_POR_包裝對照表 (Mapping Table)'!F:F,"",0,1))</f>
        <v/>
      </c>
      <c r="H32" s="312" t="str">
        <f t="array" ref="H32">if(isblank(E32),"",xlookup(E32,'FL5_POR_包裝對照表 (Mapping Table)'!E:E,'FL5_POR_包裝對照表 (Mapping Table)'!AN:AN,"",0,1))</f>
        <v/>
      </c>
      <c r="I32" s="1142"/>
      <c r="J32" s="1143" t="str">
        <f t="array" ref="J32">IF(ISBLANK(F32),"",XLOOKUP(F32,'FL5_POR_核價 (經管 &amp; BPM)'!E:E,'FL5_POR_核價 (經管 &amp; BPM)'!O:O,"",0,1))</f>
        <v/>
      </c>
      <c r="K32" s="1144">
        <f t="shared" si="1"/>
        <v>0</v>
      </c>
      <c r="L32" s="292" t="str">
        <f>IF(ISBLANK(E32),"",'FL5_POR_包裝對照表 (Mapping Table)'!$E$4)</f>
        <v/>
      </c>
      <c r="M32" s="292" t="str">
        <f>IF(ISBLANK(E32),"",'FL5_POR_包裝對照表 (Mapping Table)'!$F$4&amp;"-PRQ")</f>
        <v/>
      </c>
      <c r="N32" s="292" t="str">
        <f t="shared" si="2"/>
        <v/>
      </c>
      <c r="O32" s="677" t="str">
        <f t="shared" si="3"/>
        <v/>
      </c>
      <c r="P32" s="677" t="str">
        <f t="shared" si="4"/>
        <v/>
      </c>
      <c r="Q32" s="1145" t="str">
        <f t="array" ref="Q32">if(isblank(E32),"",xlookup(E32,'FL5_POR_包裝對照表 (Mapping Table)'!E:E,'FL5_POR_包裝對照表 (Mapping Table)'!AB:AB,"",0,1))</f>
        <v/>
      </c>
      <c r="R32" s="888"/>
      <c r="S32" s="888"/>
      <c r="T32" s="1154"/>
      <c r="U32" s="888"/>
      <c r="V32" s="888"/>
      <c r="W32" s="310"/>
      <c r="X32" s="908" t="str">
        <f t="array" ref="X32">if(isblank(E32),"",xlookup(E32,'FL5_POR_包裝對照表 (Mapping Table)'!E:E,'FL5_POR_包裝對照表 (Mapping Table)'!K:K,"",0,1))</f>
        <v/>
      </c>
      <c r="Y32" s="1"/>
      <c r="Z32" s="1"/>
      <c r="AA32" s="1"/>
      <c r="AB32" s="1"/>
      <c r="AC32" s="1"/>
      <c r="AD32" s="1"/>
      <c r="AE32" s="1"/>
      <c r="AF32" s="1"/>
      <c r="AG32" s="1"/>
      <c r="AH32" s="1"/>
      <c r="AI32" s="1"/>
      <c r="AJ32" s="1"/>
      <c r="AK32" s="1"/>
      <c r="AL32" s="1"/>
      <c r="AM32" s="1"/>
      <c r="AN32" s="1"/>
    </row>
    <row r="33">
      <c r="A33" s="1138"/>
      <c r="B33" s="310"/>
      <c r="C33" s="888"/>
      <c r="D33" s="301" t="str">
        <f t="array" ref="D33">if(isblank(E33),"",xlookup(E33,'FL5_POR_包裝對照表 (Mapping Table)'!E:E,'FL5_POR_包裝對照表 (Mapping Table)'!BJ:BJ,"",0,1))</f>
        <v/>
      </c>
      <c r="E33" s="1140"/>
      <c r="F33" s="1141" t="str">
        <f t="array" ref="F33">if(isblank(E33),"",xlookup(E33,'FL5_POR_包裝對照表 (Mapping Table)'!E:E,'FL5_POR_包裝對照表 (Mapping Table)'!E:E,"",0,1))</f>
        <v/>
      </c>
      <c r="G33" s="313" t="str">
        <f t="array" ref="G33">if(isblank(E33),"",xlookup(E33,'FL5_POR_包裝對照表 (Mapping Table)'!E:E,'FL5_POR_包裝對照表 (Mapping Table)'!F:F,"",0,1))</f>
        <v/>
      </c>
      <c r="H33" s="312" t="str">
        <f t="array" ref="H33">if(isblank(E33),"",xlookup(E33,'FL5_POR_包裝對照表 (Mapping Table)'!E:E,'FL5_POR_包裝對照表 (Mapping Table)'!AN:AN,"",0,1))</f>
        <v/>
      </c>
      <c r="I33" s="1155"/>
      <c r="J33" s="1143" t="str">
        <f t="array" ref="J33">IF(ISBLANK(F33),"",XLOOKUP(F33,'FL5_POR_核價 (經管 &amp; BPM)'!E:E,'FL5_POR_核價 (經管 &amp; BPM)'!O:O,"",0,1))</f>
        <v/>
      </c>
      <c r="K33" s="1144">
        <f t="shared" si="1"/>
        <v>0</v>
      </c>
      <c r="L33" s="292" t="str">
        <f>IF(ISBLANK(E33),"",'FL5_POR_包裝對照表 (Mapping Table)'!$E$4)</f>
        <v/>
      </c>
      <c r="M33" s="292" t="str">
        <f>IF(ISBLANK(E33),"",'FL5_POR_包裝對照表 (Mapping Table)'!$F$4&amp;"-PRQ")</f>
        <v/>
      </c>
      <c r="N33" s="292" t="str">
        <f t="shared" si="2"/>
        <v/>
      </c>
      <c r="O33" s="677" t="str">
        <f t="shared" si="3"/>
        <v/>
      </c>
      <c r="P33" s="677" t="str">
        <f t="shared" si="4"/>
        <v/>
      </c>
      <c r="Q33" s="1145" t="str">
        <f t="array" ref="Q33">if(isblank(E33),"",xlookup(E33,'FL5_POR_包裝對照表 (Mapping Table)'!E:E,'FL5_POR_包裝對照表 (Mapping Table)'!AB:AB,"",0,1))</f>
        <v/>
      </c>
      <c r="R33" s="888"/>
      <c r="S33" s="888"/>
      <c r="T33" s="1154"/>
      <c r="U33" s="888"/>
      <c r="V33" s="888"/>
      <c r="W33" s="310"/>
      <c r="X33" s="908" t="str">
        <f t="array" ref="X33">if(isblank(E33),"",xlookup(E33,'FL5_POR_包裝對照表 (Mapping Table)'!E:E,'FL5_POR_包裝對照表 (Mapping Table)'!K:K,"",0,1))</f>
        <v/>
      </c>
      <c r="Y33" s="1"/>
      <c r="Z33" s="1"/>
      <c r="AA33" s="1"/>
      <c r="AB33" s="1"/>
      <c r="AC33" s="1"/>
      <c r="AD33" s="1"/>
      <c r="AE33" s="1"/>
      <c r="AF33" s="1"/>
      <c r="AG33" s="1"/>
      <c r="AH33" s="1"/>
      <c r="AI33" s="1"/>
      <c r="AJ33" s="1"/>
      <c r="AK33" s="1"/>
      <c r="AL33" s="1"/>
      <c r="AM33" s="1"/>
      <c r="AN33" s="1"/>
    </row>
    <row r="34">
      <c r="A34" s="1138"/>
      <c r="B34" s="310"/>
      <c r="C34" s="888"/>
      <c r="D34" s="301" t="str">
        <f t="array" ref="D34">if(isblank(E34),"",xlookup(E34,'FL5_POR_包裝對照表 (Mapping Table)'!E:E,'FL5_POR_包裝對照表 (Mapping Table)'!BJ:BJ,"",0,1))</f>
        <v/>
      </c>
      <c r="E34" s="1140"/>
      <c r="F34" s="1141" t="str">
        <f t="array" ref="F34">if(isblank(E34),"",xlookup(E34,'FL5_POR_包裝對照表 (Mapping Table)'!E:E,'FL5_POR_包裝對照表 (Mapping Table)'!E:E,"",0,1))</f>
        <v/>
      </c>
      <c r="G34" s="313" t="str">
        <f t="array" ref="G34">if(isblank(E34),"",xlookup(E34,'FL5_POR_包裝對照表 (Mapping Table)'!E:E,'FL5_POR_包裝對照表 (Mapping Table)'!F:F,"",0,1))</f>
        <v/>
      </c>
      <c r="H34" s="312" t="str">
        <f t="array" ref="H34">if(isblank(E34),"",xlookup(E34,'FL5_POR_包裝對照表 (Mapping Table)'!E:E,'FL5_POR_包裝對照表 (Mapping Table)'!AN:AN,"",0,1))</f>
        <v/>
      </c>
      <c r="I34" s="1155" t="str">
        <f t="shared" ref="I34:I108" si="5">If(isblank(E34),"",roundup(xlookup(E34,TK4_PVT_BM!D:D,TK4_PVT_BM!J:J,"",0,1)*1.2,0))</f>
        <v/>
      </c>
      <c r="J34" s="1143" t="str">
        <f t="array" ref="J34">IF(ISBLANK(F34),"",XLOOKUP(F34,'FL5_POR_核價 (經管 &amp; BPM)'!E:E,'FL5_POR_核價 (經管 &amp; BPM)'!O:O,"",0,1))</f>
        <v/>
      </c>
      <c r="K34" s="1144">
        <f t="shared" si="1"/>
        <v>0</v>
      </c>
      <c r="L34" s="292" t="str">
        <f>IF(ISBLANK(E34),"",'FL5_POR_包裝對照表 (Mapping Table)'!$E$4)</f>
        <v/>
      </c>
      <c r="M34" s="292" t="str">
        <f>IF(ISBLANK(E34),"",'FL5_POR_包裝對照表 (Mapping Table)'!$F$4&amp;"-PRQ")</f>
        <v/>
      </c>
      <c r="N34" s="292" t="str">
        <f t="shared" si="2"/>
        <v/>
      </c>
      <c r="O34" s="677" t="str">
        <f t="shared" si="3"/>
        <v/>
      </c>
      <c r="P34" s="677" t="str">
        <f t="shared" si="4"/>
        <v/>
      </c>
      <c r="Q34" s="1145" t="str">
        <f t="array" ref="Q34">if(isblank(E34),"",xlookup(E34,'FL5_POR_包裝對照表 (Mapping Table)'!E:E,'FL5_POR_包裝對照表 (Mapping Table)'!AB:AB,"",0,1))</f>
        <v/>
      </c>
      <c r="R34" s="888"/>
      <c r="S34" s="888"/>
      <c r="T34" s="1154"/>
      <c r="U34" s="888"/>
      <c r="V34" s="888"/>
      <c r="W34" s="310"/>
      <c r="X34" s="908" t="str">
        <f t="array" ref="X34">if(isblank(E34),"",xlookup(E34,'FL5_POR_包裝對照表 (Mapping Table)'!E:E,'FL5_POR_包裝對照表 (Mapping Table)'!K:K,"",0,1))</f>
        <v/>
      </c>
      <c r="Y34" s="1"/>
      <c r="Z34" s="1"/>
      <c r="AA34" s="1"/>
      <c r="AB34" s="1"/>
      <c r="AC34" s="1"/>
      <c r="AD34" s="1"/>
      <c r="AE34" s="1"/>
      <c r="AF34" s="1"/>
      <c r="AG34" s="1"/>
      <c r="AH34" s="1"/>
      <c r="AI34" s="1"/>
      <c r="AJ34" s="1"/>
      <c r="AK34" s="1"/>
      <c r="AL34" s="1"/>
      <c r="AM34" s="1"/>
      <c r="AN34" s="1"/>
    </row>
    <row r="35">
      <c r="A35" s="1138"/>
      <c r="B35" s="310"/>
      <c r="C35" s="888"/>
      <c r="D35" s="301" t="str">
        <f t="array" ref="D35">if(isblank(E35),"",xlookup(E35,'FL5_POR_包裝對照表 (Mapping Table)'!E:E,'FL5_POR_包裝對照表 (Mapping Table)'!BJ:BJ,"",0,1))</f>
        <v/>
      </c>
      <c r="E35" s="1140"/>
      <c r="F35" s="1141" t="str">
        <f t="array" ref="F35">if(isblank(E35),"",xlookup(E35,'FL5_POR_包裝對照表 (Mapping Table)'!E:E,'FL5_POR_包裝對照表 (Mapping Table)'!E:E,"",0,1))</f>
        <v/>
      </c>
      <c r="G35" s="313" t="str">
        <f t="array" ref="G35">if(isblank(E35),"",xlookup(E35,'FL5_POR_包裝對照表 (Mapping Table)'!E:E,'FL5_POR_包裝對照表 (Mapping Table)'!F:F,"",0,1))</f>
        <v/>
      </c>
      <c r="H35" s="312" t="str">
        <f t="array" ref="H35">if(isblank(E35),"",xlookup(E35,'FL5_POR_包裝對照表 (Mapping Table)'!E:E,'FL5_POR_包裝對照表 (Mapping Table)'!AN:AN,"",0,1))</f>
        <v/>
      </c>
      <c r="I35" s="1155" t="str">
        <f t="shared" si="5"/>
        <v/>
      </c>
      <c r="J35" s="1143" t="str">
        <f t="array" ref="J35">IF(ISBLANK(F35),"",XLOOKUP(F35,'FL5_POR_核價 (經管 &amp; BPM)'!E:E,'FL5_POR_核價 (經管 &amp; BPM)'!O:O,"",0,1))</f>
        <v/>
      </c>
      <c r="K35" s="1144">
        <f t="shared" si="1"/>
        <v>0</v>
      </c>
      <c r="L35" s="292" t="str">
        <f>IF(ISBLANK(E35),"",'FL5_POR_包裝對照表 (Mapping Table)'!$E$4)</f>
        <v/>
      </c>
      <c r="M35" s="292" t="str">
        <f>IF(ISBLANK(E35),"",'FL5_POR_包裝對照表 (Mapping Table)'!$F$4&amp;"-PRQ")</f>
        <v/>
      </c>
      <c r="N35" s="292" t="str">
        <f t="shared" si="2"/>
        <v/>
      </c>
      <c r="O35" s="677" t="str">
        <f t="shared" si="3"/>
        <v/>
      </c>
      <c r="P35" s="677" t="str">
        <f t="shared" si="4"/>
        <v/>
      </c>
      <c r="Q35" s="1145" t="str">
        <f t="array" ref="Q35">if(isblank(E35),"",xlookup(E35,'FL5_POR_包裝對照表 (Mapping Table)'!E:E,'FL5_POR_包裝對照表 (Mapping Table)'!AB:AB,"",0,1))</f>
        <v/>
      </c>
      <c r="R35" s="888"/>
      <c r="S35" s="888"/>
      <c r="T35" s="1154"/>
      <c r="U35" s="888"/>
      <c r="V35" s="888"/>
      <c r="W35" s="310"/>
      <c r="X35" s="908" t="str">
        <f t="array" ref="X35">if(isblank(E35),"",xlookup(E35,'FL5_POR_包裝對照表 (Mapping Table)'!E:E,'FL5_POR_包裝對照表 (Mapping Table)'!K:K,"",0,1))</f>
        <v/>
      </c>
      <c r="Y35" s="1"/>
      <c r="Z35" s="1"/>
      <c r="AA35" s="1"/>
      <c r="AB35" s="1"/>
      <c r="AC35" s="1"/>
      <c r="AD35" s="1"/>
      <c r="AE35" s="1"/>
      <c r="AF35" s="1"/>
      <c r="AG35" s="1"/>
      <c r="AH35" s="1"/>
      <c r="AI35" s="1"/>
      <c r="AJ35" s="1"/>
      <c r="AK35" s="1"/>
      <c r="AL35" s="1"/>
      <c r="AM35" s="1"/>
      <c r="AN35" s="1"/>
    </row>
    <row r="36">
      <c r="A36" s="1138"/>
      <c r="B36" s="310"/>
      <c r="C36" s="888"/>
      <c r="D36" s="301" t="str">
        <f t="array" ref="D36">if(isblank(E36),"",xlookup(E36,'FL5_POR_包裝對照表 (Mapping Table)'!E:E,'FL5_POR_包裝對照表 (Mapping Table)'!BJ:BJ,"",0,1))</f>
        <v/>
      </c>
      <c r="E36" s="1140"/>
      <c r="F36" s="1141" t="str">
        <f t="array" ref="F36">if(isblank(E36),"",xlookup(E36,'FL5_POR_包裝對照表 (Mapping Table)'!E:E,'FL5_POR_包裝對照表 (Mapping Table)'!E:E,"",0,1))</f>
        <v/>
      </c>
      <c r="G36" s="313" t="str">
        <f t="array" ref="G36">if(isblank(E36),"",xlookup(E36,'FL5_POR_包裝對照表 (Mapping Table)'!E:E,'FL5_POR_包裝對照表 (Mapping Table)'!F:F,"",0,1))</f>
        <v/>
      </c>
      <c r="H36" s="312" t="str">
        <f t="array" ref="H36">if(isblank(E36),"",xlookup(E36,'FL5_POR_包裝對照表 (Mapping Table)'!E:E,'FL5_POR_包裝對照表 (Mapping Table)'!AN:AN,"",0,1))</f>
        <v/>
      </c>
      <c r="I36" s="1155" t="str">
        <f t="shared" si="5"/>
        <v/>
      </c>
      <c r="J36" s="1143" t="str">
        <f t="array" ref="J36">IF(ISBLANK(F36),"",XLOOKUP(F36,'FL5_POR_核價 (經管 &amp; BPM)'!E:E,'FL5_POR_核價 (經管 &amp; BPM)'!O:O,"",0,1))</f>
        <v/>
      </c>
      <c r="K36" s="1144">
        <f t="shared" si="1"/>
        <v>0</v>
      </c>
      <c r="L36" s="292" t="str">
        <f>IF(ISBLANK(E36),"",'FL5_POR_包裝對照表 (Mapping Table)'!$E$4)</f>
        <v/>
      </c>
      <c r="M36" s="292" t="str">
        <f>IF(ISBLANK(E36),"",'FL5_POR_包裝對照表 (Mapping Table)'!$F$4&amp;"-PRQ")</f>
        <v/>
      </c>
      <c r="N36" s="292" t="str">
        <f t="shared" si="2"/>
        <v/>
      </c>
      <c r="O36" s="677" t="str">
        <f t="shared" si="3"/>
        <v/>
      </c>
      <c r="P36" s="677" t="str">
        <f t="shared" si="4"/>
        <v/>
      </c>
      <c r="Q36" s="1145" t="str">
        <f t="array" ref="Q36">if(isblank(E36),"",xlookup(E36,'FL5_POR_包裝對照表 (Mapping Table)'!E:E,'FL5_POR_包裝對照表 (Mapping Table)'!AB:AB,"",0,1))</f>
        <v/>
      </c>
      <c r="R36" s="888"/>
      <c r="S36" s="888"/>
      <c r="T36" s="1154"/>
      <c r="U36" s="888"/>
      <c r="V36" s="888"/>
      <c r="W36" s="310"/>
      <c r="X36" s="908" t="str">
        <f t="array" ref="X36">if(isblank(E36),"",xlookup(E36,'FL5_POR_包裝對照表 (Mapping Table)'!E:E,'FL5_POR_包裝對照表 (Mapping Table)'!K:K,"",0,1))</f>
        <v/>
      </c>
      <c r="Y36" s="1"/>
      <c r="Z36" s="1"/>
      <c r="AA36" s="1"/>
      <c r="AB36" s="1"/>
      <c r="AC36" s="1"/>
      <c r="AD36" s="1"/>
      <c r="AE36" s="1"/>
      <c r="AF36" s="1"/>
      <c r="AG36" s="1"/>
      <c r="AH36" s="1"/>
      <c r="AI36" s="1"/>
      <c r="AJ36" s="1"/>
      <c r="AK36" s="1"/>
      <c r="AL36" s="1"/>
      <c r="AM36" s="1"/>
      <c r="AN36" s="1"/>
    </row>
    <row r="37">
      <c r="A37" s="1138"/>
      <c r="B37" s="310"/>
      <c r="C37" s="888"/>
      <c r="D37" s="301" t="str">
        <f t="array" ref="D37">if(isblank(E37),"",xlookup(E37,'FL5_POR_包裝對照表 (Mapping Table)'!E:E,'FL5_POR_包裝對照表 (Mapping Table)'!BJ:BJ,"",0,1))</f>
        <v/>
      </c>
      <c r="E37" s="1140"/>
      <c r="F37" s="1141" t="str">
        <f t="array" ref="F37">if(isblank(E37),"",xlookup(E37,'FL5_POR_包裝對照表 (Mapping Table)'!E:E,'FL5_POR_包裝對照表 (Mapping Table)'!E:E,"",0,1))</f>
        <v/>
      </c>
      <c r="G37" s="313" t="str">
        <f t="array" ref="G37">if(isblank(E37),"",xlookup(E37,'FL5_POR_包裝對照表 (Mapping Table)'!E:E,'FL5_POR_包裝對照表 (Mapping Table)'!F:F,"",0,1))</f>
        <v/>
      </c>
      <c r="H37" s="312" t="str">
        <f t="array" ref="H37">if(isblank(E37),"",xlookup(E37,'FL5_POR_包裝對照表 (Mapping Table)'!E:E,'FL5_POR_包裝對照表 (Mapping Table)'!AN:AN,"",0,1))</f>
        <v/>
      </c>
      <c r="I37" s="1155" t="str">
        <f t="shared" si="5"/>
        <v/>
      </c>
      <c r="J37" s="1143" t="str">
        <f t="array" ref="J37">IF(ISBLANK(F37),"",XLOOKUP(F37,'FL5_POR_核價 (經管 &amp; BPM)'!E:E,'FL5_POR_核價 (經管 &amp; BPM)'!O:O,"",0,1))</f>
        <v/>
      </c>
      <c r="K37" s="1144">
        <f t="shared" si="1"/>
        <v>0</v>
      </c>
      <c r="L37" s="292" t="str">
        <f>IF(ISBLANK(E37),"",'FL5_POR_包裝對照表 (Mapping Table)'!$E$4)</f>
        <v/>
      </c>
      <c r="M37" s="292" t="str">
        <f>IF(ISBLANK(E37),"",'FL5_POR_包裝對照表 (Mapping Table)'!$F$4&amp;"-PRQ")</f>
        <v/>
      </c>
      <c r="N37" s="292" t="str">
        <f t="shared" si="2"/>
        <v/>
      </c>
      <c r="O37" s="677" t="str">
        <f t="shared" si="3"/>
        <v/>
      </c>
      <c r="P37" s="677" t="str">
        <f t="shared" si="4"/>
        <v/>
      </c>
      <c r="Q37" s="1145" t="str">
        <f t="array" ref="Q37">if(isblank(E37),"",xlookup(E37,'FL5_POR_包裝對照表 (Mapping Table)'!E:E,'FL5_POR_包裝對照表 (Mapping Table)'!AB:AB,"",0,1))</f>
        <v/>
      </c>
      <c r="R37" s="888"/>
      <c r="S37" s="888"/>
      <c r="T37" s="1154"/>
      <c r="U37" s="888"/>
      <c r="V37" s="888"/>
      <c r="W37" s="310"/>
      <c r="X37" s="908" t="str">
        <f t="array" ref="X37">if(isblank(E37),"",xlookup(E37,'FL5_POR_包裝對照表 (Mapping Table)'!E:E,'FL5_POR_包裝對照表 (Mapping Table)'!K:K,"",0,1))</f>
        <v/>
      </c>
      <c r="Y37" s="1"/>
      <c r="Z37" s="1"/>
      <c r="AA37" s="1"/>
      <c r="AB37" s="1"/>
      <c r="AC37" s="1"/>
      <c r="AD37" s="1"/>
      <c r="AE37" s="1"/>
      <c r="AF37" s="1"/>
      <c r="AG37" s="1"/>
      <c r="AH37" s="1"/>
      <c r="AI37" s="1"/>
      <c r="AJ37" s="1"/>
      <c r="AK37" s="1"/>
      <c r="AL37" s="1"/>
      <c r="AM37" s="1"/>
      <c r="AN37" s="1"/>
    </row>
    <row r="38">
      <c r="A38" s="1138"/>
      <c r="B38" s="310"/>
      <c r="C38" s="888"/>
      <c r="D38" s="301" t="str">
        <f t="array" ref="D38">if(isblank(E38),"",xlookup(E38,'FL5_POR_包裝對照表 (Mapping Table)'!E:E,'FL5_POR_包裝對照表 (Mapping Table)'!BJ:BJ,"",0,1))</f>
        <v/>
      </c>
      <c r="E38" s="1140"/>
      <c r="F38" s="1141" t="str">
        <f t="array" ref="F38">if(isblank(E38),"",xlookup(E38,'FL5_POR_包裝對照表 (Mapping Table)'!E:E,'FL5_POR_包裝對照表 (Mapping Table)'!E:E,"",0,1))</f>
        <v/>
      </c>
      <c r="G38" s="313" t="str">
        <f t="array" ref="G38">if(isblank(E38),"",xlookup(E38,'FL5_POR_包裝對照表 (Mapping Table)'!E:E,'FL5_POR_包裝對照表 (Mapping Table)'!F:F,"",0,1))</f>
        <v/>
      </c>
      <c r="H38" s="312" t="str">
        <f t="array" ref="H38">if(isblank(E38),"",xlookup(E38,'FL5_POR_包裝對照表 (Mapping Table)'!E:E,'FL5_POR_包裝對照表 (Mapping Table)'!AN:AN,"",0,1))</f>
        <v/>
      </c>
      <c r="I38" s="1155" t="str">
        <f t="shared" si="5"/>
        <v/>
      </c>
      <c r="J38" s="1143" t="str">
        <f t="array" ref="J38">IF(ISBLANK(F38),"",XLOOKUP(F38,'FL5_POR_核價 (經管 &amp; BPM)'!E:E,'FL5_POR_核價 (經管 &amp; BPM)'!O:O,"",0,1))</f>
        <v/>
      </c>
      <c r="K38" s="1144">
        <f t="shared" si="1"/>
        <v>0</v>
      </c>
      <c r="L38" s="292" t="str">
        <f>IF(ISBLANK(E38),"",'FL5_POR_包裝對照表 (Mapping Table)'!$E$4)</f>
        <v/>
      </c>
      <c r="M38" s="292" t="str">
        <f>IF(ISBLANK(E38),"",'FL5_POR_包裝對照表 (Mapping Table)'!$F$4&amp;"-PRQ")</f>
        <v/>
      </c>
      <c r="N38" s="292" t="str">
        <f t="shared" si="2"/>
        <v/>
      </c>
      <c r="O38" s="677" t="str">
        <f t="shared" si="3"/>
        <v/>
      </c>
      <c r="P38" s="677" t="str">
        <f t="shared" si="4"/>
        <v/>
      </c>
      <c r="Q38" s="1145" t="str">
        <f t="array" ref="Q38">if(isblank(E38),"",xlookup(E38,'FL5_POR_包裝對照表 (Mapping Table)'!E:E,'FL5_POR_包裝對照表 (Mapping Table)'!AB:AB,"",0,1))</f>
        <v/>
      </c>
      <c r="R38" s="888"/>
      <c r="S38" s="888"/>
      <c r="T38" s="1154"/>
      <c r="U38" s="888"/>
      <c r="V38" s="888"/>
      <c r="W38" s="310"/>
      <c r="X38" s="908" t="str">
        <f t="array" ref="X38">if(isblank(E38),"",xlookup(E38,'FL5_POR_包裝對照表 (Mapping Table)'!E:E,'FL5_POR_包裝對照表 (Mapping Table)'!K:K,"",0,1))</f>
        <v/>
      </c>
      <c r="Y38" s="1"/>
      <c r="Z38" s="1"/>
      <c r="AA38" s="1"/>
      <c r="AB38" s="1"/>
      <c r="AC38" s="1"/>
      <c r="AD38" s="1"/>
      <c r="AE38" s="1"/>
      <c r="AF38" s="1"/>
      <c r="AG38" s="1"/>
      <c r="AH38" s="1"/>
      <c r="AI38" s="1"/>
      <c r="AJ38" s="1"/>
      <c r="AK38" s="1"/>
      <c r="AL38" s="1"/>
      <c r="AM38" s="1"/>
      <c r="AN38" s="1"/>
    </row>
    <row r="39">
      <c r="A39" s="1138"/>
      <c r="B39" s="310"/>
      <c r="C39" s="888"/>
      <c r="D39" s="301" t="str">
        <f t="array" ref="D39">if(isblank(E39),"",xlookup(E39,'FL5_POR_包裝對照表 (Mapping Table)'!E:E,'FL5_POR_包裝對照表 (Mapping Table)'!BJ:BJ,"",0,1))</f>
        <v/>
      </c>
      <c r="E39" s="1140"/>
      <c r="F39" s="1141" t="str">
        <f t="array" ref="F39">if(isblank(E39),"",xlookup(E39,'FL5_POR_包裝對照表 (Mapping Table)'!E:E,'FL5_POR_包裝對照表 (Mapping Table)'!E:E,"",0,1))</f>
        <v/>
      </c>
      <c r="G39" s="313" t="str">
        <f t="array" ref="G39">if(isblank(E39),"",xlookup(E39,'FL5_POR_包裝對照表 (Mapping Table)'!E:E,'FL5_POR_包裝對照表 (Mapping Table)'!F:F,"",0,1))</f>
        <v/>
      </c>
      <c r="H39" s="312" t="str">
        <f t="array" ref="H39">if(isblank(E39),"",xlookup(E39,'FL5_POR_包裝對照表 (Mapping Table)'!E:E,'FL5_POR_包裝對照表 (Mapping Table)'!AN:AN,"",0,1))</f>
        <v/>
      </c>
      <c r="I39" s="1155" t="str">
        <f t="shared" si="5"/>
        <v/>
      </c>
      <c r="J39" s="1143" t="str">
        <f t="array" ref="J39">IF(ISBLANK(F39),"",XLOOKUP(F39,'FL5_POR_核價 (經管 &amp; BPM)'!E:E,'FL5_POR_核價 (經管 &amp; BPM)'!O:O,"",0,1))</f>
        <v/>
      </c>
      <c r="K39" s="1144">
        <f t="shared" si="1"/>
        <v>0</v>
      </c>
      <c r="L39" s="292" t="str">
        <f>IF(ISBLANK(E39),"",'FL5_POR_包裝對照表 (Mapping Table)'!$E$4)</f>
        <v/>
      </c>
      <c r="M39" s="292" t="str">
        <f>IF(ISBLANK(E39),"",'FL5_POR_包裝對照表 (Mapping Table)'!$F$4&amp;"-PRQ")</f>
        <v/>
      </c>
      <c r="N39" s="292" t="str">
        <f t="shared" si="2"/>
        <v/>
      </c>
      <c r="O39" s="677" t="str">
        <f t="shared" si="3"/>
        <v/>
      </c>
      <c r="P39" s="677" t="str">
        <f t="shared" si="4"/>
        <v/>
      </c>
      <c r="Q39" s="1145" t="str">
        <f t="array" ref="Q39">if(isblank(E39),"",xlookup(E39,'FL5_POR_包裝對照表 (Mapping Table)'!E:E,'FL5_POR_包裝對照表 (Mapping Table)'!AB:AB,"",0,1))</f>
        <v/>
      </c>
      <c r="R39" s="888"/>
      <c r="S39" s="888"/>
      <c r="T39" s="1154"/>
      <c r="U39" s="888"/>
      <c r="V39" s="888"/>
      <c r="W39" s="310"/>
      <c r="X39" s="908" t="str">
        <f t="array" ref="X39">if(isblank(E39),"",xlookup(E39,'FL5_POR_包裝對照表 (Mapping Table)'!E:E,'FL5_POR_包裝對照表 (Mapping Table)'!K:K,"",0,1))</f>
        <v/>
      </c>
      <c r="Y39" s="1"/>
      <c r="Z39" s="1"/>
      <c r="AA39" s="1"/>
      <c r="AB39" s="1"/>
      <c r="AC39" s="1"/>
      <c r="AD39" s="1"/>
      <c r="AE39" s="1"/>
      <c r="AF39" s="1"/>
      <c r="AG39" s="1"/>
      <c r="AH39" s="1"/>
      <c r="AI39" s="1"/>
      <c r="AJ39" s="1"/>
      <c r="AK39" s="1"/>
      <c r="AL39" s="1"/>
      <c r="AM39" s="1"/>
      <c r="AN39" s="1"/>
    </row>
    <row r="40">
      <c r="A40" s="1138"/>
      <c r="B40" s="310"/>
      <c r="C40" s="888"/>
      <c r="D40" s="301" t="str">
        <f t="array" ref="D40">if(isblank(E40),"",xlookup(E40,'FL5_POR_包裝對照表 (Mapping Table)'!E:E,'FL5_POR_包裝對照表 (Mapping Table)'!BJ:BJ,"",0,1))</f>
        <v/>
      </c>
      <c r="E40" s="1140"/>
      <c r="F40" s="1141" t="str">
        <f t="array" ref="F40">if(isblank(E40),"",xlookup(E40,'FL5_POR_包裝對照表 (Mapping Table)'!E:E,'FL5_POR_包裝對照表 (Mapping Table)'!E:E,"",0,1))</f>
        <v/>
      </c>
      <c r="G40" s="313" t="str">
        <f t="array" ref="G40">if(isblank(E40),"",xlookup(E40,'FL5_POR_包裝對照表 (Mapping Table)'!E:E,'FL5_POR_包裝對照表 (Mapping Table)'!F:F,"",0,1))</f>
        <v/>
      </c>
      <c r="H40" s="312" t="str">
        <f t="array" ref="H40">if(isblank(E40),"",xlookup(E40,'FL5_POR_包裝對照表 (Mapping Table)'!E:E,'FL5_POR_包裝對照表 (Mapping Table)'!AN:AN,"",0,1))</f>
        <v/>
      </c>
      <c r="I40" s="1155" t="str">
        <f t="shared" si="5"/>
        <v/>
      </c>
      <c r="J40" s="1143" t="str">
        <f t="array" ref="J40">IF(ISBLANK(F40),"",XLOOKUP(F40,'FL5_POR_核價 (經管 &amp; BPM)'!E:E,'FL5_POR_核價 (經管 &amp; BPM)'!O:O,"",0,1))</f>
        <v/>
      </c>
      <c r="K40" s="1144">
        <f t="shared" si="1"/>
        <v>0</v>
      </c>
      <c r="L40" s="292" t="str">
        <f>IF(ISBLANK(E40),"",'FL5_POR_包裝對照表 (Mapping Table)'!$E$4)</f>
        <v/>
      </c>
      <c r="M40" s="292" t="str">
        <f>IF(ISBLANK(E40),"",'FL5_POR_包裝對照表 (Mapping Table)'!$F$4&amp;"-PRQ")</f>
        <v/>
      </c>
      <c r="N40" s="292" t="str">
        <f t="shared" si="2"/>
        <v/>
      </c>
      <c r="O40" s="677" t="str">
        <f t="shared" si="3"/>
        <v/>
      </c>
      <c r="P40" s="677" t="str">
        <f t="shared" si="4"/>
        <v/>
      </c>
      <c r="Q40" s="1145" t="str">
        <f t="array" ref="Q40">if(isblank(E40),"",xlookup(E40,'FL5_POR_包裝對照表 (Mapping Table)'!E:E,'FL5_POR_包裝對照表 (Mapping Table)'!AB:AB,"",0,1))</f>
        <v/>
      </c>
      <c r="R40" s="888"/>
      <c r="S40" s="888"/>
      <c r="T40" s="1154"/>
      <c r="U40" s="888"/>
      <c r="V40" s="888"/>
      <c r="W40" s="310"/>
      <c r="X40" s="908" t="str">
        <f t="array" ref="X40">if(isblank(E40),"",xlookup(E40,'FL5_POR_包裝對照表 (Mapping Table)'!E:E,'FL5_POR_包裝對照表 (Mapping Table)'!K:K,"",0,1))</f>
        <v/>
      </c>
      <c r="Y40" s="1"/>
      <c r="Z40" s="1"/>
      <c r="AA40" s="1"/>
      <c r="AB40" s="1"/>
      <c r="AC40" s="1"/>
      <c r="AD40" s="1"/>
      <c r="AE40" s="1"/>
      <c r="AF40" s="1"/>
      <c r="AG40" s="1"/>
      <c r="AH40" s="1"/>
      <c r="AI40" s="1"/>
      <c r="AJ40" s="1"/>
      <c r="AK40" s="1"/>
      <c r="AL40" s="1"/>
      <c r="AM40" s="1"/>
      <c r="AN40" s="1"/>
    </row>
    <row r="41">
      <c r="A41" s="1138"/>
      <c r="B41" s="310"/>
      <c r="C41" s="888"/>
      <c r="D41" s="301" t="str">
        <f t="array" ref="D41">if(isblank(E41),"",xlookup(E41,'FL5_POR_包裝對照表 (Mapping Table)'!E:E,'FL5_POR_包裝對照表 (Mapping Table)'!BJ:BJ,"",0,1))</f>
        <v/>
      </c>
      <c r="E41" s="1140"/>
      <c r="F41" s="1141" t="str">
        <f t="array" ref="F41">if(isblank(E41),"",xlookup(E41,'FL5_POR_包裝對照表 (Mapping Table)'!E:E,'FL5_POR_包裝對照表 (Mapping Table)'!E:E,"",0,1))</f>
        <v/>
      </c>
      <c r="G41" s="313" t="str">
        <f t="array" ref="G41">if(isblank(E41),"",xlookup(E41,'FL5_POR_包裝對照表 (Mapping Table)'!E:E,'FL5_POR_包裝對照表 (Mapping Table)'!F:F,"",0,1))</f>
        <v/>
      </c>
      <c r="H41" s="312" t="str">
        <f t="array" ref="H41">if(isblank(E41),"",xlookup(E41,'FL5_POR_包裝對照表 (Mapping Table)'!E:E,'FL5_POR_包裝對照表 (Mapping Table)'!AN:AN,"",0,1))</f>
        <v/>
      </c>
      <c r="I41" s="1155" t="str">
        <f t="shared" si="5"/>
        <v/>
      </c>
      <c r="J41" s="1143" t="str">
        <f t="array" ref="J41">IF(ISBLANK(F41),"",XLOOKUP(F41,'FL5_POR_核價 (經管 &amp; BPM)'!E:E,'FL5_POR_核價 (經管 &amp; BPM)'!O:O,"",0,1))</f>
        <v/>
      </c>
      <c r="K41" s="1144">
        <f t="shared" si="1"/>
        <v>0</v>
      </c>
      <c r="L41" s="292" t="str">
        <f>IF(ISBLANK(E41),"",'FL5_POR_包裝對照表 (Mapping Table)'!$E$4)</f>
        <v/>
      </c>
      <c r="M41" s="292" t="str">
        <f>IF(ISBLANK(E41),"",'FL5_POR_包裝對照表 (Mapping Table)'!$F$4&amp;"-PRQ")</f>
        <v/>
      </c>
      <c r="N41" s="292" t="str">
        <f t="shared" si="2"/>
        <v/>
      </c>
      <c r="O41" s="677" t="str">
        <f t="shared" si="3"/>
        <v/>
      </c>
      <c r="P41" s="677" t="str">
        <f t="shared" si="4"/>
        <v/>
      </c>
      <c r="Q41" s="1145" t="str">
        <f t="array" ref="Q41">if(isblank(E41),"",xlookup(E41,'FL5_POR_包裝對照表 (Mapping Table)'!E:E,'FL5_POR_包裝對照表 (Mapping Table)'!AB:AB,"",0,1))</f>
        <v/>
      </c>
      <c r="R41" s="888"/>
      <c r="S41" s="888"/>
      <c r="T41" s="1154"/>
      <c r="U41" s="888"/>
      <c r="V41" s="888"/>
      <c r="W41" s="310"/>
      <c r="X41" s="908" t="str">
        <f t="array" ref="X41">if(isblank(E41),"",xlookup(E41,'FL5_POR_包裝對照表 (Mapping Table)'!E:E,'FL5_POR_包裝對照表 (Mapping Table)'!K:K,"",0,1))</f>
        <v/>
      </c>
      <c r="Y41" s="1"/>
      <c r="Z41" s="1"/>
      <c r="AA41" s="1"/>
      <c r="AB41" s="1"/>
      <c r="AC41" s="1"/>
      <c r="AD41" s="1"/>
      <c r="AE41" s="1"/>
      <c r="AF41" s="1"/>
      <c r="AG41" s="1"/>
      <c r="AH41" s="1"/>
      <c r="AI41" s="1"/>
      <c r="AJ41" s="1"/>
      <c r="AK41" s="1"/>
      <c r="AL41" s="1"/>
      <c r="AM41" s="1"/>
      <c r="AN41" s="1"/>
    </row>
    <row r="42">
      <c r="A42" s="1138"/>
      <c r="B42" s="310"/>
      <c r="C42" s="888"/>
      <c r="D42" s="301" t="str">
        <f t="array" ref="D42">if(isblank(E42),"",xlookup(E42,'FL5_POR_包裝對照表 (Mapping Table)'!E:E,'FL5_POR_包裝對照表 (Mapping Table)'!BJ:BJ,"",0,1))</f>
        <v/>
      </c>
      <c r="E42" s="1140"/>
      <c r="F42" s="1141" t="str">
        <f t="array" ref="F42">if(isblank(E42),"",xlookup(E42,'FL5_POR_包裝對照表 (Mapping Table)'!E:E,'FL5_POR_包裝對照表 (Mapping Table)'!E:E,"",0,1))</f>
        <v/>
      </c>
      <c r="G42" s="313" t="str">
        <f t="array" ref="G42">if(isblank(E42),"",xlookup(E42,'FL5_POR_包裝對照表 (Mapping Table)'!E:E,'FL5_POR_包裝對照表 (Mapping Table)'!F:F,"",0,1))</f>
        <v/>
      </c>
      <c r="H42" s="312" t="str">
        <f t="array" ref="H42">if(isblank(E42),"",xlookup(E42,'FL5_POR_包裝對照表 (Mapping Table)'!E:E,'FL5_POR_包裝對照表 (Mapping Table)'!AN:AN,"",0,1))</f>
        <v/>
      </c>
      <c r="I42" s="1155" t="str">
        <f t="shared" si="5"/>
        <v/>
      </c>
      <c r="J42" s="1143" t="str">
        <f t="array" ref="J42">IF(ISBLANK(F42),"",XLOOKUP(F42,'FL5_POR_核價 (經管 &amp; BPM)'!E:E,'FL5_POR_核價 (經管 &amp; BPM)'!O:O,"",0,1))</f>
        <v/>
      </c>
      <c r="K42" s="1144">
        <f t="shared" si="1"/>
        <v>0</v>
      </c>
      <c r="L42" s="292" t="str">
        <f>IF(ISBLANK(E42),"",'FL5_POR_包裝對照表 (Mapping Table)'!$E$4)</f>
        <v/>
      </c>
      <c r="M42" s="292" t="str">
        <f>IF(ISBLANK(E42),"",'FL5_POR_包裝對照表 (Mapping Table)'!$F$4&amp;"-PRQ")</f>
        <v/>
      </c>
      <c r="N42" s="292" t="str">
        <f t="shared" si="2"/>
        <v/>
      </c>
      <c r="O42" s="677" t="str">
        <f t="shared" si="3"/>
        <v/>
      </c>
      <c r="P42" s="677" t="str">
        <f t="shared" si="4"/>
        <v/>
      </c>
      <c r="Q42" s="1145" t="str">
        <f t="array" ref="Q42">if(isblank(E42),"",xlookup(E42,'FL5_POR_包裝對照表 (Mapping Table)'!E:E,'FL5_POR_包裝對照表 (Mapping Table)'!AB:AB,"",0,1))</f>
        <v/>
      </c>
      <c r="R42" s="888"/>
      <c r="S42" s="888"/>
      <c r="T42" s="1154"/>
      <c r="U42" s="888"/>
      <c r="V42" s="888"/>
      <c r="W42" s="310"/>
      <c r="X42" s="908" t="str">
        <f t="array" ref="X42">if(isblank(E42),"",xlookup(E42,'FL5_POR_包裝對照表 (Mapping Table)'!E:E,'FL5_POR_包裝對照表 (Mapping Table)'!K:K,"",0,1))</f>
        <v/>
      </c>
      <c r="Y42" s="1"/>
      <c r="Z42" s="1"/>
      <c r="AA42" s="1"/>
      <c r="AB42" s="1"/>
      <c r="AC42" s="1"/>
      <c r="AD42" s="1"/>
      <c r="AE42" s="1"/>
      <c r="AF42" s="1"/>
      <c r="AG42" s="1"/>
      <c r="AH42" s="1"/>
      <c r="AI42" s="1"/>
      <c r="AJ42" s="1"/>
      <c r="AK42" s="1"/>
      <c r="AL42" s="1"/>
      <c r="AM42" s="1"/>
      <c r="AN42" s="1"/>
    </row>
    <row r="43">
      <c r="A43" s="1138"/>
      <c r="B43" s="310"/>
      <c r="C43" s="888"/>
      <c r="D43" s="301" t="str">
        <f t="array" ref="D43">if(isblank(E43),"",xlookup(E43,'FL5_POR_包裝對照表 (Mapping Table)'!E:E,'FL5_POR_包裝對照表 (Mapping Table)'!BJ:BJ,"",0,1))</f>
        <v/>
      </c>
      <c r="E43" s="1140"/>
      <c r="F43" s="1141" t="str">
        <f t="array" ref="F43">if(isblank(E43),"",xlookup(E43,'FL5_POR_包裝對照表 (Mapping Table)'!E:E,'FL5_POR_包裝對照表 (Mapping Table)'!E:E,"",0,1))</f>
        <v/>
      </c>
      <c r="G43" s="313" t="str">
        <f t="array" ref="G43">if(isblank(E43),"",xlookup(E43,'FL5_POR_包裝對照表 (Mapping Table)'!E:E,'FL5_POR_包裝對照表 (Mapping Table)'!F:F,"",0,1))</f>
        <v/>
      </c>
      <c r="H43" s="312" t="str">
        <f t="array" ref="H43">if(isblank(E43),"",xlookup(E43,'FL5_POR_包裝對照表 (Mapping Table)'!E:E,'FL5_POR_包裝對照表 (Mapping Table)'!AN:AN,"",0,1))</f>
        <v/>
      </c>
      <c r="I43" s="1155" t="str">
        <f t="shared" si="5"/>
        <v/>
      </c>
      <c r="J43" s="1143" t="str">
        <f t="array" ref="J43">IF(ISBLANK(F43),"",XLOOKUP(F43,'FL5_POR_核價 (經管 &amp; BPM)'!E:E,'FL5_POR_核價 (經管 &amp; BPM)'!O:O,"",0,1))</f>
        <v/>
      </c>
      <c r="K43" s="1144">
        <f t="shared" si="1"/>
        <v>0</v>
      </c>
      <c r="L43" s="292" t="str">
        <f>IF(ISBLANK(E43),"",'FL5_POR_包裝對照表 (Mapping Table)'!$E$4)</f>
        <v/>
      </c>
      <c r="M43" s="292" t="str">
        <f>IF(ISBLANK(E43),"",'FL5_POR_包裝對照表 (Mapping Table)'!$F$4&amp;"-PRQ")</f>
        <v/>
      </c>
      <c r="N43" s="292" t="str">
        <f t="shared" si="2"/>
        <v/>
      </c>
      <c r="O43" s="677" t="str">
        <f t="shared" si="3"/>
        <v/>
      </c>
      <c r="P43" s="677" t="str">
        <f t="shared" si="4"/>
        <v/>
      </c>
      <c r="Q43" s="1145" t="str">
        <f t="array" ref="Q43">if(isblank(E43),"",xlookup(E43,'FL5_POR_包裝對照表 (Mapping Table)'!E:E,'FL5_POR_包裝對照表 (Mapping Table)'!AB:AB,"",0,1))</f>
        <v/>
      </c>
      <c r="R43" s="888"/>
      <c r="S43" s="888"/>
      <c r="T43" s="1154"/>
      <c r="U43" s="888"/>
      <c r="V43" s="888"/>
      <c r="W43" s="310"/>
      <c r="X43" s="908" t="str">
        <f t="array" ref="X43">if(isblank(E43),"",xlookup(E43,'FL5_POR_包裝對照表 (Mapping Table)'!E:E,'FL5_POR_包裝對照表 (Mapping Table)'!K:K,"",0,1))</f>
        <v/>
      </c>
      <c r="Y43" s="1"/>
      <c r="Z43" s="1"/>
      <c r="AA43" s="1"/>
      <c r="AB43" s="1"/>
      <c r="AC43" s="1"/>
      <c r="AD43" s="1"/>
      <c r="AE43" s="1"/>
      <c r="AF43" s="1"/>
      <c r="AG43" s="1"/>
      <c r="AH43" s="1"/>
      <c r="AI43" s="1"/>
      <c r="AJ43" s="1"/>
      <c r="AK43" s="1"/>
      <c r="AL43" s="1"/>
      <c r="AM43" s="1"/>
      <c r="AN43" s="1"/>
    </row>
    <row r="44">
      <c r="A44" s="1138"/>
      <c r="B44" s="310"/>
      <c r="C44" s="888"/>
      <c r="D44" s="301" t="str">
        <f t="array" ref="D44">if(isblank(E44),"",xlookup(E44,'FL5_POR_包裝對照表 (Mapping Table)'!E:E,'FL5_POR_包裝對照表 (Mapping Table)'!BJ:BJ,"",0,1))</f>
        <v/>
      </c>
      <c r="E44" s="1140"/>
      <c r="F44" s="1141" t="str">
        <f t="array" ref="F44">if(isblank(E44),"",xlookup(E44,'FL5_POR_包裝對照表 (Mapping Table)'!E:E,'FL5_POR_包裝對照表 (Mapping Table)'!E:E,"",0,1))</f>
        <v/>
      </c>
      <c r="G44" s="313" t="str">
        <f t="array" ref="G44">if(isblank(E44),"",xlookup(E44,'FL5_POR_包裝對照表 (Mapping Table)'!E:E,'FL5_POR_包裝對照表 (Mapping Table)'!F:F,"",0,1))</f>
        <v/>
      </c>
      <c r="H44" s="312" t="str">
        <f t="array" ref="H44">if(isblank(E44),"",xlookup(E44,'FL5_POR_包裝對照表 (Mapping Table)'!E:E,'FL5_POR_包裝對照表 (Mapping Table)'!AN:AN,"",0,1))</f>
        <v/>
      </c>
      <c r="I44" s="1155" t="str">
        <f t="shared" si="5"/>
        <v/>
      </c>
      <c r="J44" s="1143" t="str">
        <f t="array" ref="J44">IF(ISBLANK(F44),"",XLOOKUP(F44,'FL5_POR_核價 (經管 &amp; BPM)'!E:E,'FL5_POR_核價 (經管 &amp; BPM)'!O:O,"",0,1))</f>
        <v/>
      </c>
      <c r="K44" s="1144">
        <f t="shared" si="1"/>
        <v>0</v>
      </c>
      <c r="L44" s="292" t="str">
        <f>IF(ISBLANK(E44),"",'FL5_POR_包裝對照表 (Mapping Table)'!$E$4)</f>
        <v/>
      </c>
      <c r="M44" s="292" t="str">
        <f>IF(ISBLANK(E44),"",'FL5_POR_包裝對照表 (Mapping Table)'!$F$4&amp;"-PRQ")</f>
        <v/>
      </c>
      <c r="N44" s="292" t="str">
        <f t="shared" si="2"/>
        <v/>
      </c>
      <c r="O44" s="677" t="str">
        <f t="shared" si="3"/>
        <v/>
      </c>
      <c r="P44" s="677" t="str">
        <f t="shared" si="4"/>
        <v/>
      </c>
      <c r="Q44" s="1145" t="str">
        <f t="array" ref="Q44">if(isblank(E44),"",xlookup(E44,'FL5_POR_包裝對照表 (Mapping Table)'!E:E,'FL5_POR_包裝對照表 (Mapping Table)'!AB:AB,"",0,1))</f>
        <v/>
      </c>
      <c r="R44" s="888"/>
      <c r="S44" s="888"/>
      <c r="T44" s="1154"/>
      <c r="U44" s="888"/>
      <c r="V44" s="888"/>
      <c r="W44" s="310"/>
      <c r="X44" s="908" t="str">
        <f t="array" ref="X44">if(isblank(E44),"",xlookup(E44,'FL5_POR_包裝對照表 (Mapping Table)'!E:E,'FL5_POR_包裝對照表 (Mapping Table)'!K:K,"",0,1))</f>
        <v/>
      </c>
      <c r="Y44" s="1"/>
      <c r="Z44" s="1"/>
      <c r="AA44" s="1"/>
      <c r="AB44" s="1"/>
      <c r="AC44" s="1"/>
      <c r="AD44" s="1"/>
      <c r="AE44" s="1"/>
      <c r="AF44" s="1"/>
      <c r="AG44" s="1"/>
      <c r="AH44" s="1"/>
      <c r="AI44" s="1"/>
      <c r="AJ44" s="1"/>
      <c r="AK44" s="1"/>
      <c r="AL44" s="1"/>
      <c r="AM44" s="1"/>
      <c r="AN44" s="1"/>
    </row>
    <row r="45">
      <c r="A45" s="1138"/>
      <c r="B45" s="310"/>
      <c r="C45" s="888"/>
      <c r="D45" s="301" t="str">
        <f t="array" ref="D45">if(isblank(E45),"",xlookup(E45,'FL5_POR_包裝對照表 (Mapping Table)'!E:E,'FL5_POR_包裝對照表 (Mapping Table)'!BJ:BJ,"",0,1))</f>
        <v/>
      </c>
      <c r="E45" s="1140"/>
      <c r="F45" s="1141" t="str">
        <f t="array" ref="F45">if(isblank(E45),"",xlookup(E45,'FL5_POR_包裝對照表 (Mapping Table)'!E:E,'FL5_POR_包裝對照表 (Mapping Table)'!E:E,"",0,1))</f>
        <v/>
      </c>
      <c r="G45" s="313" t="str">
        <f t="array" ref="G45">if(isblank(E45),"",xlookup(E45,'FL5_POR_包裝對照表 (Mapping Table)'!E:E,'FL5_POR_包裝對照表 (Mapping Table)'!F:F,"",0,1))</f>
        <v/>
      </c>
      <c r="H45" s="312" t="str">
        <f t="array" ref="H45">if(isblank(E45),"",xlookup(E45,'FL5_POR_包裝對照表 (Mapping Table)'!E:E,'FL5_POR_包裝對照表 (Mapping Table)'!AN:AN,"",0,1))</f>
        <v/>
      </c>
      <c r="I45" s="1155" t="str">
        <f t="shared" si="5"/>
        <v/>
      </c>
      <c r="J45" s="1143" t="str">
        <f t="array" ref="J45">IF(ISBLANK(F45),"",XLOOKUP(F45,'FL5_POR_核價 (經管 &amp; BPM)'!E:E,'FL5_POR_核價 (經管 &amp; BPM)'!O:O,"",0,1))</f>
        <v/>
      </c>
      <c r="K45" s="1144">
        <f t="shared" si="1"/>
        <v>0</v>
      </c>
      <c r="L45" s="292" t="str">
        <f>IF(ISBLANK(E45),"",'FL5_POR_包裝對照表 (Mapping Table)'!$E$4)</f>
        <v/>
      </c>
      <c r="M45" s="292" t="str">
        <f>IF(ISBLANK(E45),"",'FL5_POR_包裝對照表 (Mapping Table)'!$F$4&amp;"-PRQ")</f>
        <v/>
      </c>
      <c r="N45" s="292" t="str">
        <f t="shared" si="2"/>
        <v/>
      </c>
      <c r="O45" s="677" t="str">
        <f t="shared" si="3"/>
        <v/>
      </c>
      <c r="P45" s="677" t="str">
        <f t="shared" si="4"/>
        <v/>
      </c>
      <c r="Q45" s="1145" t="str">
        <f t="array" ref="Q45">if(isblank(E45),"",xlookup(E45,'FL5_POR_包裝對照表 (Mapping Table)'!E:E,'FL5_POR_包裝對照表 (Mapping Table)'!AB:AB,"",0,1))</f>
        <v/>
      </c>
      <c r="R45" s="888"/>
      <c r="S45" s="888"/>
      <c r="T45" s="1154"/>
      <c r="U45" s="888"/>
      <c r="V45" s="888"/>
      <c r="W45" s="310"/>
      <c r="X45" s="908" t="str">
        <f t="array" ref="X45">if(isblank(E45),"",xlookup(E45,'FL5_POR_包裝對照表 (Mapping Table)'!E:E,'FL5_POR_包裝對照表 (Mapping Table)'!K:K,"",0,1))</f>
        <v/>
      </c>
      <c r="Y45" s="1"/>
      <c r="Z45" s="1"/>
      <c r="AA45" s="1"/>
      <c r="AB45" s="1"/>
      <c r="AC45" s="1"/>
      <c r="AD45" s="1"/>
      <c r="AE45" s="1"/>
      <c r="AF45" s="1"/>
      <c r="AG45" s="1"/>
      <c r="AH45" s="1"/>
      <c r="AI45" s="1"/>
      <c r="AJ45" s="1"/>
      <c r="AK45" s="1"/>
      <c r="AL45" s="1"/>
      <c r="AM45" s="1"/>
      <c r="AN45" s="1"/>
    </row>
    <row r="46">
      <c r="A46" s="1138"/>
      <c r="B46" s="310"/>
      <c r="C46" s="888"/>
      <c r="D46" s="301" t="str">
        <f t="array" ref="D46">if(isblank(E46),"",xlookup(E46,'FL5_POR_包裝對照表 (Mapping Table)'!E:E,'FL5_POR_包裝對照表 (Mapping Table)'!BJ:BJ,"",0,1))</f>
        <v/>
      </c>
      <c r="E46" s="1140"/>
      <c r="F46" s="1141" t="str">
        <f t="array" ref="F46">if(isblank(E46),"",xlookup(E46,'FL5_POR_包裝對照表 (Mapping Table)'!E:E,'FL5_POR_包裝對照表 (Mapping Table)'!E:E,"",0,1))</f>
        <v/>
      </c>
      <c r="G46" s="313" t="str">
        <f t="array" ref="G46">if(isblank(E46),"",xlookup(E46,'FL5_POR_包裝對照表 (Mapping Table)'!E:E,'FL5_POR_包裝對照表 (Mapping Table)'!F:F,"",0,1))</f>
        <v/>
      </c>
      <c r="H46" s="312" t="str">
        <f t="array" ref="H46">if(isblank(E46),"",xlookup(E46,'FL5_POR_包裝對照表 (Mapping Table)'!E:E,'FL5_POR_包裝對照表 (Mapping Table)'!AN:AN,"",0,1))</f>
        <v/>
      </c>
      <c r="I46" s="1155" t="str">
        <f t="shared" si="5"/>
        <v/>
      </c>
      <c r="J46" s="1143" t="str">
        <f t="array" ref="J46">IF(ISBLANK(F46),"",XLOOKUP(F46,'FL5_POR_核價 (經管 &amp; BPM)'!E:E,'FL5_POR_核價 (經管 &amp; BPM)'!O:O,"",0,1))</f>
        <v/>
      </c>
      <c r="K46" s="1144">
        <f t="shared" si="1"/>
        <v>0</v>
      </c>
      <c r="L46" s="292" t="str">
        <f>IF(ISBLANK(E46),"",'FL5_POR_包裝對照表 (Mapping Table)'!$E$4)</f>
        <v/>
      </c>
      <c r="M46" s="292" t="str">
        <f>IF(ISBLANK(E46),"",'FL5_POR_包裝對照表 (Mapping Table)'!$F$4&amp;"-PRQ")</f>
        <v/>
      </c>
      <c r="N46" s="292" t="str">
        <f t="shared" si="2"/>
        <v/>
      </c>
      <c r="O46" s="677" t="str">
        <f t="shared" si="3"/>
        <v/>
      </c>
      <c r="P46" s="677" t="str">
        <f t="shared" si="4"/>
        <v/>
      </c>
      <c r="Q46" s="1145" t="str">
        <f t="array" ref="Q46">if(isblank(E46),"",xlookup(E46,'FL5_POR_包裝對照表 (Mapping Table)'!E:E,'FL5_POR_包裝對照表 (Mapping Table)'!AB:AB,"",0,1))</f>
        <v/>
      </c>
      <c r="R46" s="888"/>
      <c r="S46" s="888"/>
      <c r="T46" s="1154"/>
      <c r="U46" s="888"/>
      <c r="V46" s="888"/>
      <c r="W46" s="310"/>
      <c r="X46" s="908" t="str">
        <f t="array" ref="X46">if(isblank(E46),"",xlookup(E46,'FL5_POR_包裝對照表 (Mapping Table)'!E:E,'FL5_POR_包裝對照表 (Mapping Table)'!K:K,"",0,1))</f>
        <v/>
      </c>
      <c r="Y46" s="1"/>
      <c r="Z46" s="1"/>
      <c r="AA46" s="1"/>
      <c r="AB46" s="1"/>
      <c r="AC46" s="1"/>
      <c r="AD46" s="1"/>
      <c r="AE46" s="1"/>
      <c r="AF46" s="1"/>
      <c r="AG46" s="1"/>
      <c r="AH46" s="1"/>
      <c r="AI46" s="1"/>
      <c r="AJ46" s="1"/>
      <c r="AK46" s="1"/>
      <c r="AL46" s="1"/>
      <c r="AM46" s="1"/>
      <c r="AN46" s="1"/>
    </row>
    <row r="47">
      <c r="A47" s="1138"/>
      <c r="B47" s="310"/>
      <c r="C47" s="888"/>
      <c r="D47" s="301" t="str">
        <f t="array" ref="D47">if(isblank(E47),"",xlookup(E47,'FL5_POR_包裝對照表 (Mapping Table)'!E:E,'FL5_POR_包裝對照表 (Mapping Table)'!BJ:BJ,"",0,1))</f>
        <v/>
      </c>
      <c r="E47" s="1140"/>
      <c r="F47" s="1141" t="str">
        <f t="array" ref="F47">if(isblank(E47),"",xlookup(E47,'FL5_POR_包裝對照表 (Mapping Table)'!E:E,'FL5_POR_包裝對照表 (Mapping Table)'!E:E,"",0,1))</f>
        <v/>
      </c>
      <c r="G47" s="313" t="str">
        <f t="array" ref="G47">if(isblank(E47),"",xlookup(E47,'FL5_POR_包裝對照表 (Mapping Table)'!E:E,'FL5_POR_包裝對照表 (Mapping Table)'!F:F,"",0,1))</f>
        <v/>
      </c>
      <c r="H47" s="312" t="str">
        <f t="array" ref="H47">if(isblank(E47),"",xlookup(E47,'FL5_POR_包裝對照表 (Mapping Table)'!E:E,'FL5_POR_包裝對照表 (Mapping Table)'!AN:AN,"",0,1))</f>
        <v/>
      </c>
      <c r="I47" s="1155" t="str">
        <f t="shared" si="5"/>
        <v/>
      </c>
      <c r="J47" s="1143" t="str">
        <f t="array" ref="J47">IF(ISBLANK(F47),"",XLOOKUP(F47,'FL5_POR_核價 (經管 &amp; BPM)'!E:E,'FL5_POR_核價 (經管 &amp; BPM)'!O:O,"",0,1))</f>
        <v/>
      </c>
      <c r="K47" s="1144">
        <f t="shared" si="1"/>
        <v>0</v>
      </c>
      <c r="L47" s="292" t="str">
        <f>IF(ISBLANK(E47),"",'FL5_POR_包裝對照表 (Mapping Table)'!$E$4)</f>
        <v/>
      </c>
      <c r="M47" s="292" t="str">
        <f>IF(ISBLANK(E47),"",'FL5_POR_包裝對照表 (Mapping Table)'!$F$4&amp;"-PRQ")</f>
        <v/>
      </c>
      <c r="N47" s="292" t="str">
        <f t="shared" si="2"/>
        <v/>
      </c>
      <c r="O47" s="677" t="str">
        <f t="shared" si="3"/>
        <v/>
      </c>
      <c r="P47" s="677" t="str">
        <f t="shared" si="4"/>
        <v/>
      </c>
      <c r="Q47" s="1145" t="str">
        <f t="array" ref="Q47">if(isblank(E47),"",xlookup(E47,'FL5_POR_包裝對照表 (Mapping Table)'!E:E,'FL5_POR_包裝對照表 (Mapping Table)'!AB:AB,"",0,1))</f>
        <v/>
      </c>
      <c r="R47" s="888"/>
      <c r="S47" s="888"/>
      <c r="T47" s="1154"/>
      <c r="U47" s="888"/>
      <c r="V47" s="888"/>
      <c r="W47" s="310"/>
      <c r="X47" s="908" t="str">
        <f t="array" ref="X47">if(isblank(E47),"",xlookup(E47,'FL5_POR_包裝對照表 (Mapping Table)'!E:E,'FL5_POR_包裝對照表 (Mapping Table)'!K:K,"",0,1))</f>
        <v/>
      </c>
      <c r="Y47" s="1"/>
      <c r="Z47" s="1"/>
      <c r="AA47" s="1"/>
      <c r="AB47" s="1"/>
      <c r="AC47" s="1"/>
      <c r="AD47" s="1"/>
      <c r="AE47" s="1"/>
      <c r="AF47" s="1"/>
      <c r="AG47" s="1"/>
      <c r="AH47" s="1"/>
      <c r="AI47" s="1"/>
      <c r="AJ47" s="1"/>
      <c r="AK47" s="1"/>
      <c r="AL47" s="1"/>
      <c r="AM47" s="1"/>
      <c r="AN47" s="1"/>
    </row>
    <row r="48">
      <c r="A48" s="1138"/>
      <c r="B48" s="310"/>
      <c r="C48" s="888"/>
      <c r="D48" s="301" t="str">
        <f t="array" ref="D48">if(isblank(E48),"",xlookup(E48,'FL5_POR_包裝對照表 (Mapping Table)'!E:E,'FL5_POR_包裝對照表 (Mapping Table)'!BJ:BJ,"",0,1))</f>
        <v/>
      </c>
      <c r="E48" s="1140"/>
      <c r="F48" s="1141" t="str">
        <f t="array" ref="F48">if(isblank(E48),"",xlookup(E48,'FL5_POR_包裝對照表 (Mapping Table)'!E:E,'FL5_POR_包裝對照表 (Mapping Table)'!E:E,"",0,1))</f>
        <v/>
      </c>
      <c r="G48" s="313" t="str">
        <f t="array" ref="G48">if(isblank(E48),"",xlookup(E48,'FL5_POR_包裝對照表 (Mapping Table)'!E:E,'FL5_POR_包裝對照表 (Mapping Table)'!F:F,"",0,1))</f>
        <v/>
      </c>
      <c r="H48" s="312" t="str">
        <f t="array" ref="H48">if(isblank(E48),"",xlookup(E48,'FL5_POR_包裝對照表 (Mapping Table)'!E:E,'FL5_POR_包裝對照表 (Mapping Table)'!AN:AN,"",0,1))</f>
        <v/>
      </c>
      <c r="I48" s="1155" t="str">
        <f t="shared" si="5"/>
        <v/>
      </c>
      <c r="J48" s="1143" t="str">
        <f t="array" ref="J48">IF(ISBLANK(F48),"",XLOOKUP(F48,'FL5_POR_核價 (經管 &amp; BPM)'!E:E,'FL5_POR_核價 (經管 &amp; BPM)'!O:O,"",0,1))</f>
        <v/>
      </c>
      <c r="K48" s="1144">
        <f t="shared" si="1"/>
        <v>0</v>
      </c>
      <c r="L48" s="292" t="str">
        <f>IF(ISBLANK(E48),"",'FL5_POR_包裝對照表 (Mapping Table)'!$E$4)</f>
        <v/>
      </c>
      <c r="M48" s="292" t="str">
        <f>IF(ISBLANK(E48),"",'FL5_POR_包裝對照表 (Mapping Table)'!$F$4&amp;"-PRQ")</f>
        <v/>
      </c>
      <c r="N48" s="292" t="str">
        <f t="shared" si="2"/>
        <v/>
      </c>
      <c r="O48" s="677" t="str">
        <f t="shared" si="3"/>
        <v/>
      </c>
      <c r="P48" s="677" t="str">
        <f t="shared" si="4"/>
        <v/>
      </c>
      <c r="Q48" s="1145" t="str">
        <f t="array" ref="Q48">if(isblank(E48),"",xlookup(E48,'FL5_POR_包裝對照表 (Mapping Table)'!E:E,'FL5_POR_包裝對照表 (Mapping Table)'!AB:AB,"",0,1))</f>
        <v/>
      </c>
      <c r="R48" s="888"/>
      <c r="S48" s="888"/>
      <c r="T48" s="1154"/>
      <c r="U48" s="888"/>
      <c r="V48" s="888"/>
      <c r="W48" s="310"/>
      <c r="X48" s="908" t="str">
        <f t="array" ref="X48">if(isblank(E48),"",xlookup(E48,'FL5_POR_包裝對照表 (Mapping Table)'!E:E,'FL5_POR_包裝對照表 (Mapping Table)'!K:K,"",0,1))</f>
        <v/>
      </c>
      <c r="Y48" s="1"/>
      <c r="Z48" s="1"/>
      <c r="AA48" s="1"/>
      <c r="AB48" s="1"/>
      <c r="AC48" s="1"/>
      <c r="AD48" s="1"/>
      <c r="AE48" s="1"/>
      <c r="AF48" s="1"/>
      <c r="AG48" s="1"/>
      <c r="AH48" s="1"/>
      <c r="AI48" s="1"/>
      <c r="AJ48" s="1"/>
      <c r="AK48" s="1"/>
      <c r="AL48" s="1"/>
      <c r="AM48" s="1"/>
      <c r="AN48" s="1"/>
    </row>
    <row r="49">
      <c r="A49" s="1138"/>
      <c r="B49" s="310"/>
      <c r="C49" s="888"/>
      <c r="D49" s="301" t="str">
        <f t="array" ref="D49">if(isblank(E49),"",xlookup(E49,'FL5_POR_包裝對照表 (Mapping Table)'!E:E,'FL5_POR_包裝對照表 (Mapping Table)'!BJ:BJ,"",0,1))</f>
        <v/>
      </c>
      <c r="E49" s="1140"/>
      <c r="F49" s="1141" t="str">
        <f t="array" ref="F49">if(isblank(E49),"",xlookup(E49,'FL5_POR_包裝對照表 (Mapping Table)'!E:E,'FL5_POR_包裝對照表 (Mapping Table)'!E:E,"",0,1))</f>
        <v/>
      </c>
      <c r="G49" s="313" t="str">
        <f t="array" ref="G49">if(isblank(E49),"",xlookup(E49,'FL5_POR_包裝對照表 (Mapping Table)'!E:E,'FL5_POR_包裝對照表 (Mapping Table)'!F:F,"",0,1))</f>
        <v/>
      </c>
      <c r="H49" s="312" t="str">
        <f t="array" ref="H49">if(isblank(E49),"",xlookup(E49,'FL5_POR_包裝對照表 (Mapping Table)'!E:E,'FL5_POR_包裝對照表 (Mapping Table)'!AN:AN,"",0,1))</f>
        <v/>
      </c>
      <c r="I49" s="1155" t="str">
        <f t="shared" si="5"/>
        <v/>
      </c>
      <c r="J49" s="1143" t="str">
        <f t="array" ref="J49">IF(ISBLANK(F49),"",XLOOKUP(F49,'FL5_POR_核價 (經管 &amp; BPM)'!E:E,'FL5_POR_核價 (經管 &amp; BPM)'!O:O,"",0,1))</f>
        <v/>
      </c>
      <c r="K49" s="1144">
        <f t="shared" si="1"/>
        <v>0</v>
      </c>
      <c r="L49" s="292" t="str">
        <f>IF(ISBLANK(E49),"",'FL5_POR_包裝對照表 (Mapping Table)'!$E$4)</f>
        <v/>
      </c>
      <c r="M49" s="292" t="str">
        <f>IF(ISBLANK(E49),"",'FL5_POR_包裝對照表 (Mapping Table)'!$F$4&amp;"-PRQ")</f>
        <v/>
      </c>
      <c r="N49" s="292" t="str">
        <f t="shared" si="2"/>
        <v/>
      </c>
      <c r="O49" s="677" t="str">
        <f t="shared" si="3"/>
        <v/>
      </c>
      <c r="P49" s="677" t="str">
        <f t="shared" si="4"/>
        <v/>
      </c>
      <c r="Q49" s="1145" t="str">
        <f t="array" ref="Q49">if(isblank(E49),"",xlookup(E49,'FL5_POR_包裝對照表 (Mapping Table)'!E:E,'FL5_POR_包裝對照表 (Mapping Table)'!AB:AB,"",0,1))</f>
        <v/>
      </c>
      <c r="R49" s="888"/>
      <c r="S49" s="888"/>
      <c r="T49" s="1154"/>
      <c r="U49" s="888"/>
      <c r="V49" s="888"/>
      <c r="W49" s="310"/>
      <c r="X49" s="908" t="str">
        <f t="array" ref="X49">if(isblank(E49),"",xlookup(E49,'FL5_POR_包裝對照表 (Mapping Table)'!E:E,'FL5_POR_包裝對照表 (Mapping Table)'!K:K,"",0,1))</f>
        <v/>
      </c>
      <c r="Y49" s="1"/>
      <c r="Z49" s="1"/>
      <c r="AA49" s="1"/>
      <c r="AB49" s="1"/>
      <c r="AC49" s="1"/>
      <c r="AD49" s="1"/>
      <c r="AE49" s="1"/>
      <c r="AF49" s="1"/>
      <c r="AG49" s="1"/>
      <c r="AH49" s="1"/>
      <c r="AI49" s="1"/>
      <c r="AJ49" s="1"/>
      <c r="AK49" s="1"/>
      <c r="AL49" s="1"/>
      <c r="AM49" s="1"/>
      <c r="AN49" s="1"/>
    </row>
    <row r="50">
      <c r="A50" s="1138"/>
      <c r="B50" s="310"/>
      <c r="C50" s="888"/>
      <c r="D50" s="301" t="str">
        <f t="array" ref="D50">if(isblank(E50),"",xlookup(E50,'FL5_POR_包裝對照表 (Mapping Table)'!E:E,'FL5_POR_包裝對照表 (Mapping Table)'!BJ:BJ,"",0,1))</f>
        <v/>
      </c>
      <c r="E50" s="1140"/>
      <c r="F50" s="1141" t="str">
        <f t="array" ref="F50">if(isblank(E50),"",xlookup(E50,'FL5_POR_包裝對照表 (Mapping Table)'!E:E,'FL5_POR_包裝對照表 (Mapping Table)'!E:E,"",0,1))</f>
        <v/>
      </c>
      <c r="G50" s="313" t="str">
        <f t="array" ref="G50">if(isblank(E50),"",xlookup(E50,'FL5_POR_包裝對照表 (Mapping Table)'!E:E,'FL5_POR_包裝對照表 (Mapping Table)'!F:F,"",0,1))</f>
        <v/>
      </c>
      <c r="H50" s="312" t="str">
        <f t="array" ref="H50">if(isblank(E50),"",xlookup(E50,'FL5_POR_包裝對照表 (Mapping Table)'!E:E,'FL5_POR_包裝對照表 (Mapping Table)'!AN:AN,"",0,1))</f>
        <v/>
      </c>
      <c r="I50" s="1155" t="str">
        <f t="shared" si="5"/>
        <v/>
      </c>
      <c r="J50" s="1143" t="str">
        <f t="array" ref="J50">IF(ISBLANK(F50),"",XLOOKUP(F50,'FL5_POR_核價 (經管 &amp; BPM)'!E:E,'FL5_POR_核價 (經管 &amp; BPM)'!O:O,"",0,1))</f>
        <v/>
      </c>
      <c r="K50" s="1144">
        <f t="shared" si="1"/>
        <v>0</v>
      </c>
      <c r="L50" s="292" t="str">
        <f>IF(ISBLANK(E50),"",'FL5_POR_包裝對照表 (Mapping Table)'!$E$4)</f>
        <v/>
      </c>
      <c r="M50" s="292" t="str">
        <f>IF(ISBLANK(E50),"",'FL5_POR_包裝對照表 (Mapping Table)'!$F$4&amp;"-PRQ")</f>
        <v/>
      </c>
      <c r="N50" s="292" t="str">
        <f t="shared" si="2"/>
        <v/>
      </c>
      <c r="O50" s="677" t="str">
        <f t="shared" si="3"/>
        <v/>
      </c>
      <c r="P50" s="677" t="str">
        <f t="shared" si="4"/>
        <v/>
      </c>
      <c r="Q50" s="1145" t="str">
        <f t="array" ref="Q50">if(isblank(E50),"",xlookup(E50,'FL5_POR_包裝對照表 (Mapping Table)'!E:E,'FL5_POR_包裝對照表 (Mapping Table)'!AB:AB,"",0,1))</f>
        <v/>
      </c>
      <c r="R50" s="888"/>
      <c r="S50" s="888"/>
      <c r="T50" s="1154"/>
      <c r="U50" s="888"/>
      <c r="V50" s="888"/>
      <c r="W50" s="310"/>
      <c r="X50" s="908" t="str">
        <f t="array" ref="X50">if(isblank(E50),"",xlookup(E50,'FL5_POR_包裝對照表 (Mapping Table)'!E:E,'FL5_POR_包裝對照表 (Mapping Table)'!K:K,"",0,1))</f>
        <v/>
      </c>
      <c r="Y50" s="1"/>
      <c r="Z50" s="1"/>
      <c r="AA50" s="1"/>
      <c r="AB50" s="1"/>
      <c r="AC50" s="1"/>
      <c r="AD50" s="1"/>
      <c r="AE50" s="1"/>
      <c r="AF50" s="1"/>
      <c r="AG50" s="1"/>
      <c r="AH50" s="1"/>
      <c r="AI50" s="1"/>
      <c r="AJ50" s="1"/>
      <c r="AK50" s="1"/>
      <c r="AL50" s="1"/>
      <c r="AM50" s="1"/>
      <c r="AN50" s="1"/>
    </row>
    <row r="51">
      <c r="A51" s="1138"/>
      <c r="B51" s="310"/>
      <c r="C51" s="888"/>
      <c r="D51" s="301" t="str">
        <f t="array" ref="D51">if(isblank(E51),"",xlookup(E51,'FL5_POR_包裝對照表 (Mapping Table)'!E:E,'FL5_POR_包裝對照表 (Mapping Table)'!BJ:BJ,"",0,1))</f>
        <v/>
      </c>
      <c r="E51" s="1140"/>
      <c r="F51" s="1141" t="str">
        <f t="array" ref="F51">if(isblank(E51),"",xlookup(E51,'FL5_POR_包裝對照表 (Mapping Table)'!E:E,'FL5_POR_包裝對照表 (Mapping Table)'!E:E,"",0,1))</f>
        <v/>
      </c>
      <c r="G51" s="313" t="str">
        <f t="array" ref="G51">if(isblank(E51),"",xlookup(E51,'FL5_POR_包裝對照表 (Mapping Table)'!E:E,'FL5_POR_包裝對照表 (Mapping Table)'!F:F,"",0,1))</f>
        <v/>
      </c>
      <c r="H51" s="312" t="str">
        <f t="array" ref="H51">if(isblank(E51),"",xlookup(E51,'FL5_POR_包裝對照表 (Mapping Table)'!E:E,'FL5_POR_包裝對照表 (Mapping Table)'!AN:AN,"",0,1))</f>
        <v/>
      </c>
      <c r="I51" s="1155" t="str">
        <f t="shared" si="5"/>
        <v/>
      </c>
      <c r="J51" s="1143" t="str">
        <f t="array" ref="J51">IF(ISBLANK(F51),"",XLOOKUP(F51,'FL5_POR_核價 (經管 &amp; BPM)'!E:E,'FL5_POR_核價 (經管 &amp; BPM)'!O:O,"",0,1))</f>
        <v/>
      </c>
      <c r="K51" s="1144">
        <f t="shared" si="1"/>
        <v>0</v>
      </c>
      <c r="L51" s="292" t="str">
        <f>IF(ISBLANK(E51),"",'FL5_POR_包裝對照表 (Mapping Table)'!$E$4)</f>
        <v/>
      </c>
      <c r="M51" s="292" t="str">
        <f>IF(ISBLANK(E51),"",'FL5_POR_包裝對照表 (Mapping Table)'!$F$4&amp;"-PRQ")</f>
        <v/>
      </c>
      <c r="N51" s="292" t="str">
        <f t="shared" si="2"/>
        <v/>
      </c>
      <c r="O51" s="677" t="str">
        <f t="shared" si="3"/>
        <v/>
      </c>
      <c r="P51" s="677" t="str">
        <f t="shared" si="4"/>
        <v/>
      </c>
      <c r="Q51" s="1145" t="str">
        <f t="array" ref="Q51">if(isblank(E51),"",xlookup(E51,'FL5_POR_包裝對照表 (Mapping Table)'!E:E,'FL5_POR_包裝對照表 (Mapping Table)'!AB:AB,"",0,1))</f>
        <v/>
      </c>
      <c r="R51" s="888"/>
      <c r="S51" s="888"/>
      <c r="T51" s="1154"/>
      <c r="U51" s="888"/>
      <c r="V51" s="888"/>
      <c r="W51" s="310"/>
      <c r="X51" s="908" t="str">
        <f t="array" ref="X51">if(isblank(E51),"",xlookup(E51,'FL5_POR_包裝對照表 (Mapping Table)'!E:E,'FL5_POR_包裝對照表 (Mapping Table)'!K:K,"",0,1))</f>
        <v/>
      </c>
      <c r="Y51" s="1"/>
      <c r="Z51" s="1"/>
      <c r="AA51" s="1"/>
      <c r="AB51" s="1"/>
      <c r="AC51" s="1"/>
      <c r="AD51" s="1"/>
      <c r="AE51" s="1"/>
      <c r="AF51" s="1"/>
      <c r="AG51" s="1"/>
      <c r="AH51" s="1"/>
      <c r="AI51" s="1"/>
      <c r="AJ51" s="1"/>
      <c r="AK51" s="1"/>
      <c r="AL51" s="1"/>
      <c r="AM51" s="1"/>
      <c r="AN51" s="1"/>
    </row>
    <row r="52">
      <c r="A52" s="1138"/>
      <c r="B52" s="310"/>
      <c r="C52" s="888"/>
      <c r="D52" s="301" t="str">
        <f t="array" ref="D52">if(isblank(E52),"",xlookup(E52,'FL5_POR_包裝對照表 (Mapping Table)'!E:E,'FL5_POR_包裝對照表 (Mapping Table)'!BJ:BJ,"",0,1))</f>
        <v/>
      </c>
      <c r="E52" s="1140"/>
      <c r="F52" s="1141" t="str">
        <f t="array" ref="F52">if(isblank(E52),"",xlookup(E52,'FL5_POR_包裝對照表 (Mapping Table)'!E:E,'FL5_POR_包裝對照表 (Mapping Table)'!E:E,"",0,1))</f>
        <v/>
      </c>
      <c r="G52" s="313" t="str">
        <f t="array" ref="G52">if(isblank(E52),"",xlookup(E52,'FL5_POR_包裝對照表 (Mapping Table)'!E:E,'FL5_POR_包裝對照表 (Mapping Table)'!F:F,"",0,1))</f>
        <v/>
      </c>
      <c r="H52" s="312" t="str">
        <f t="array" ref="H52">if(isblank(E52),"",xlookup(E52,'FL5_POR_包裝對照表 (Mapping Table)'!E:E,'FL5_POR_包裝對照表 (Mapping Table)'!AN:AN,"",0,1))</f>
        <v/>
      </c>
      <c r="I52" s="1155" t="str">
        <f t="shared" si="5"/>
        <v/>
      </c>
      <c r="J52" s="1143" t="str">
        <f t="array" ref="J52">IF(ISBLANK(F52),"",XLOOKUP(F52,'FL5_POR_核價 (經管 &amp; BPM)'!E:E,'FL5_POR_核價 (經管 &amp; BPM)'!O:O,"",0,1))</f>
        <v/>
      </c>
      <c r="K52" s="1144">
        <f t="shared" si="1"/>
        <v>0</v>
      </c>
      <c r="L52" s="292" t="str">
        <f>IF(ISBLANK(E52),"",'FL5_POR_包裝對照表 (Mapping Table)'!$E$4)</f>
        <v/>
      </c>
      <c r="M52" s="292" t="str">
        <f>IF(ISBLANK(E52),"",'FL5_POR_包裝對照表 (Mapping Table)'!$F$4&amp;"-PRQ")</f>
        <v/>
      </c>
      <c r="N52" s="292" t="str">
        <f t="shared" si="2"/>
        <v/>
      </c>
      <c r="O52" s="677" t="str">
        <f t="shared" si="3"/>
        <v/>
      </c>
      <c r="P52" s="677" t="str">
        <f t="shared" si="4"/>
        <v/>
      </c>
      <c r="Q52" s="1145" t="str">
        <f t="array" ref="Q52">if(isblank(E52),"",xlookup(E52,'FL5_POR_包裝對照表 (Mapping Table)'!E:E,'FL5_POR_包裝對照表 (Mapping Table)'!AB:AB,"",0,1))</f>
        <v/>
      </c>
      <c r="R52" s="888"/>
      <c r="S52" s="888"/>
      <c r="T52" s="1154"/>
      <c r="U52" s="888"/>
      <c r="V52" s="888"/>
      <c r="W52" s="310"/>
      <c r="X52" s="908" t="str">
        <f t="array" ref="X52">if(isblank(E52),"",xlookup(E52,'FL5_POR_包裝對照表 (Mapping Table)'!E:E,'FL5_POR_包裝對照表 (Mapping Table)'!K:K,"",0,1))</f>
        <v/>
      </c>
      <c r="Y52" s="1"/>
      <c r="Z52" s="1"/>
      <c r="AA52" s="1"/>
      <c r="AB52" s="1"/>
      <c r="AC52" s="1"/>
      <c r="AD52" s="1"/>
      <c r="AE52" s="1"/>
      <c r="AF52" s="1"/>
      <c r="AG52" s="1"/>
      <c r="AH52" s="1"/>
      <c r="AI52" s="1"/>
      <c r="AJ52" s="1"/>
      <c r="AK52" s="1"/>
      <c r="AL52" s="1"/>
      <c r="AM52" s="1"/>
      <c r="AN52" s="1"/>
    </row>
    <row r="53">
      <c r="A53" s="1138"/>
      <c r="B53" s="310"/>
      <c r="C53" s="888"/>
      <c r="D53" s="301" t="str">
        <f t="array" ref="D53">if(isblank(E53),"",xlookup(E53,'FL5_POR_包裝對照表 (Mapping Table)'!E:E,'FL5_POR_包裝對照表 (Mapping Table)'!BJ:BJ,"",0,1))</f>
        <v/>
      </c>
      <c r="E53" s="1140"/>
      <c r="F53" s="1141" t="str">
        <f t="array" ref="F53">if(isblank(E53),"",xlookup(E53,'FL5_POR_包裝對照表 (Mapping Table)'!E:E,'FL5_POR_包裝對照表 (Mapping Table)'!E:E,"",0,1))</f>
        <v/>
      </c>
      <c r="G53" s="313" t="str">
        <f t="array" ref="G53">if(isblank(E53),"",xlookup(E53,'FL5_POR_包裝對照表 (Mapping Table)'!E:E,'FL5_POR_包裝對照表 (Mapping Table)'!F:F,"",0,1))</f>
        <v/>
      </c>
      <c r="H53" s="312" t="str">
        <f t="array" ref="H53">if(isblank(E53),"",xlookup(E53,'FL5_POR_包裝對照表 (Mapping Table)'!E:E,'FL5_POR_包裝對照表 (Mapping Table)'!AN:AN,"",0,1))</f>
        <v/>
      </c>
      <c r="I53" s="1155" t="str">
        <f t="shared" si="5"/>
        <v/>
      </c>
      <c r="J53" s="1143" t="str">
        <f t="array" ref="J53">IF(ISBLANK(F53),"",XLOOKUP(F53,'FL5_POR_核價 (經管 &amp; BPM)'!E:E,'FL5_POR_核價 (經管 &amp; BPM)'!O:O,"",0,1))</f>
        <v/>
      </c>
      <c r="K53" s="1144">
        <f t="shared" si="1"/>
        <v>0</v>
      </c>
      <c r="L53" s="292" t="str">
        <f>IF(ISBLANK(E53),"",'FL5_POR_包裝對照表 (Mapping Table)'!$E$4)</f>
        <v/>
      </c>
      <c r="M53" s="292" t="str">
        <f>IF(ISBLANK(E53),"",'FL5_POR_包裝對照表 (Mapping Table)'!$F$4&amp;"-PRQ")</f>
        <v/>
      </c>
      <c r="N53" s="292" t="str">
        <f t="shared" si="2"/>
        <v/>
      </c>
      <c r="O53" s="677" t="str">
        <f t="shared" si="3"/>
        <v/>
      </c>
      <c r="P53" s="677" t="str">
        <f t="shared" si="4"/>
        <v/>
      </c>
      <c r="Q53" s="1145" t="str">
        <f t="array" ref="Q53">if(isblank(E53),"",xlookup(E53,'FL5_POR_包裝對照表 (Mapping Table)'!E:E,'FL5_POR_包裝對照表 (Mapping Table)'!AB:AB,"",0,1))</f>
        <v/>
      </c>
      <c r="R53" s="888"/>
      <c r="S53" s="888"/>
      <c r="T53" s="1154"/>
      <c r="U53" s="888"/>
      <c r="V53" s="888"/>
      <c r="W53" s="310"/>
      <c r="X53" s="908" t="str">
        <f t="array" ref="X53">if(isblank(E53),"",xlookup(E53,'FL5_POR_包裝對照表 (Mapping Table)'!E:E,'FL5_POR_包裝對照表 (Mapping Table)'!K:K,"",0,1))</f>
        <v/>
      </c>
      <c r="Y53" s="1"/>
      <c r="Z53" s="1"/>
      <c r="AA53" s="1"/>
      <c r="AB53" s="1"/>
      <c r="AC53" s="1"/>
      <c r="AD53" s="1"/>
      <c r="AE53" s="1"/>
      <c r="AF53" s="1"/>
      <c r="AG53" s="1"/>
      <c r="AH53" s="1"/>
      <c r="AI53" s="1"/>
      <c r="AJ53" s="1"/>
      <c r="AK53" s="1"/>
      <c r="AL53" s="1"/>
      <c r="AM53" s="1"/>
      <c r="AN53" s="1"/>
    </row>
    <row r="54">
      <c r="A54" s="1138"/>
      <c r="B54" s="310"/>
      <c r="C54" s="888"/>
      <c r="D54" s="301" t="str">
        <f t="array" ref="D54">if(isblank(E54),"",xlookup(E54,'FL5_POR_包裝對照表 (Mapping Table)'!E:E,'FL5_POR_包裝對照表 (Mapping Table)'!BJ:BJ,"",0,1))</f>
        <v/>
      </c>
      <c r="E54" s="1140"/>
      <c r="F54" s="1141" t="str">
        <f t="array" ref="F54">if(isblank(E54),"",xlookup(E54,'FL5_POR_包裝對照表 (Mapping Table)'!E:E,'FL5_POR_包裝對照表 (Mapping Table)'!E:E,"",0,1))</f>
        <v/>
      </c>
      <c r="G54" s="313" t="str">
        <f t="array" ref="G54">if(isblank(E54),"",xlookup(E54,'FL5_POR_包裝對照表 (Mapping Table)'!E:E,'FL5_POR_包裝對照表 (Mapping Table)'!F:F,"",0,1))</f>
        <v/>
      </c>
      <c r="H54" s="312" t="str">
        <f t="array" ref="H54">if(isblank(E54),"",xlookup(E54,'FL5_POR_包裝對照表 (Mapping Table)'!E:E,'FL5_POR_包裝對照表 (Mapping Table)'!AN:AN,"",0,1))</f>
        <v/>
      </c>
      <c r="I54" s="1155" t="str">
        <f t="shared" si="5"/>
        <v/>
      </c>
      <c r="J54" s="1143" t="str">
        <f t="array" ref="J54">IF(ISBLANK(F54),"",XLOOKUP(F54,'FL5_POR_核價 (經管 &amp; BPM)'!E:E,'FL5_POR_核價 (經管 &amp; BPM)'!O:O,"",0,1))</f>
        <v/>
      </c>
      <c r="K54" s="1144">
        <f t="shared" si="1"/>
        <v>0</v>
      </c>
      <c r="L54" s="292" t="str">
        <f>IF(ISBLANK(E54),"",'FL5_POR_包裝對照表 (Mapping Table)'!$E$4)</f>
        <v/>
      </c>
      <c r="M54" s="292" t="str">
        <f>IF(ISBLANK(E54),"",'FL5_POR_包裝對照表 (Mapping Table)'!$F$4&amp;"-PRQ")</f>
        <v/>
      </c>
      <c r="N54" s="292" t="str">
        <f t="shared" si="2"/>
        <v/>
      </c>
      <c r="O54" s="677" t="str">
        <f t="shared" si="3"/>
        <v/>
      </c>
      <c r="P54" s="677" t="str">
        <f t="shared" si="4"/>
        <v/>
      </c>
      <c r="Q54" s="1145" t="str">
        <f t="array" ref="Q54">if(isblank(E54),"",xlookup(E54,'FL5_POR_包裝對照表 (Mapping Table)'!E:E,'FL5_POR_包裝對照表 (Mapping Table)'!AB:AB,"",0,1))</f>
        <v/>
      </c>
      <c r="R54" s="888"/>
      <c r="S54" s="888"/>
      <c r="T54" s="1154"/>
      <c r="U54" s="888"/>
      <c r="V54" s="888"/>
      <c r="W54" s="310"/>
      <c r="X54" s="908" t="str">
        <f t="array" ref="X54">if(isblank(E54),"",xlookup(E54,'FL5_POR_包裝對照表 (Mapping Table)'!E:E,'FL5_POR_包裝對照表 (Mapping Table)'!K:K,"",0,1))</f>
        <v/>
      </c>
      <c r="Y54" s="1"/>
      <c r="Z54" s="1"/>
      <c r="AA54" s="1"/>
      <c r="AB54" s="1"/>
      <c r="AC54" s="1"/>
      <c r="AD54" s="1"/>
      <c r="AE54" s="1"/>
      <c r="AF54" s="1"/>
      <c r="AG54" s="1"/>
      <c r="AH54" s="1"/>
      <c r="AI54" s="1"/>
      <c r="AJ54" s="1"/>
      <c r="AK54" s="1"/>
      <c r="AL54" s="1"/>
      <c r="AM54" s="1"/>
      <c r="AN54" s="1"/>
    </row>
    <row r="55">
      <c r="A55" s="1138"/>
      <c r="B55" s="310"/>
      <c r="C55" s="888"/>
      <c r="D55" s="301" t="str">
        <f t="array" ref="D55">if(isblank(E55),"",xlookup(E55,'FL5_POR_包裝對照表 (Mapping Table)'!E:E,'FL5_POR_包裝對照表 (Mapping Table)'!BJ:BJ,"",0,1))</f>
        <v/>
      </c>
      <c r="E55" s="1140"/>
      <c r="F55" s="1141" t="str">
        <f t="array" ref="F55">if(isblank(E55),"",xlookup(E55,'FL5_POR_包裝對照表 (Mapping Table)'!E:E,'FL5_POR_包裝對照表 (Mapping Table)'!E:E,"",0,1))</f>
        <v/>
      </c>
      <c r="G55" s="313" t="str">
        <f t="array" ref="G55">if(isblank(E55),"",xlookup(E55,'FL5_POR_包裝對照表 (Mapping Table)'!E:E,'FL5_POR_包裝對照表 (Mapping Table)'!F:F,"",0,1))</f>
        <v/>
      </c>
      <c r="H55" s="312" t="str">
        <f t="array" ref="H55">if(isblank(E55),"",xlookup(E55,'FL5_POR_包裝對照表 (Mapping Table)'!E:E,'FL5_POR_包裝對照表 (Mapping Table)'!AN:AN,"",0,1))</f>
        <v/>
      </c>
      <c r="I55" s="1155" t="str">
        <f t="shared" si="5"/>
        <v/>
      </c>
      <c r="J55" s="1143" t="str">
        <f t="array" ref="J55">IF(ISBLANK(F55),"",XLOOKUP(F55,'FL5_POR_核價 (經管 &amp; BPM)'!E:E,'FL5_POR_核價 (經管 &amp; BPM)'!O:O,"",0,1))</f>
        <v/>
      </c>
      <c r="K55" s="1144">
        <f t="shared" si="1"/>
        <v>0</v>
      </c>
      <c r="L55" s="292" t="str">
        <f>IF(ISBLANK(E55),"",'FL5_POR_包裝對照表 (Mapping Table)'!$E$4)</f>
        <v/>
      </c>
      <c r="M55" s="292" t="str">
        <f>IF(ISBLANK(E55),"",'FL5_POR_包裝對照表 (Mapping Table)'!$F$4&amp;"-PRQ")</f>
        <v/>
      </c>
      <c r="N55" s="292" t="str">
        <f t="shared" si="2"/>
        <v/>
      </c>
      <c r="O55" s="677" t="str">
        <f t="shared" si="3"/>
        <v/>
      </c>
      <c r="P55" s="677" t="str">
        <f t="shared" si="4"/>
        <v/>
      </c>
      <c r="Q55" s="1145" t="str">
        <f t="array" ref="Q55">if(isblank(E55),"",xlookup(E55,'FL5_POR_包裝對照表 (Mapping Table)'!E:E,'FL5_POR_包裝對照表 (Mapping Table)'!AB:AB,"",0,1))</f>
        <v/>
      </c>
      <c r="R55" s="888"/>
      <c r="S55" s="888"/>
      <c r="T55" s="1154"/>
      <c r="U55" s="888"/>
      <c r="V55" s="888"/>
      <c r="W55" s="310"/>
      <c r="X55" s="908" t="str">
        <f t="array" ref="X55">if(isblank(E55),"",xlookup(E55,'FL5_POR_包裝對照表 (Mapping Table)'!E:E,'FL5_POR_包裝對照表 (Mapping Table)'!K:K,"",0,1))</f>
        <v/>
      </c>
      <c r="Y55" s="1"/>
      <c r="Z55" s="1"/>
      <c r="AA55" s="1"/>
      <c r="AB55" s="1"/>
      <c r="AC55" s="1"/>
      <c r="AD55" s="1"/>
      <c r="AE55" s="1"/>
      <c r="AF55" s="1"/>
      <c r="AG55" s="1"/>
      <c r="AH55" s="1"/>
      <c r="AI55" s="1"/>
      <c r="AJ55" s="1"/>
      <c r="AK55" s="1"/>
      <c r="AL55" s="1"/>
      <c r="AM55" s="1"/>
      <c r="AN55" s="1"/>
    </row>
    <row r="56">
      <c r="A56" s="1138"/>
      <c r="B56" s="310"/>
      <c r="C56" s="888"/>
      <c r="D56" s="301" t="str">
        <f t="array" ref="D56">if(isblank(E56),"",xlookup(E56,'FL5_POR_包裝對照表 (Mapping Table)'!E:E,'FL5_POR_包裝對照表 (Mapping Table)'!BJ:BJ,"",0,1))</f>
        <v/>
      </c>
      <c r="E56" s="1140"/>
      <c r="F56" s="1141" t="str">
        <f t="array" ref="F56">if(isblank(E56),"",xlookup(E56,'FL5_POR_包裝對照表 (Mapping Table)'!E:E,'FL5_POR_包裝對照表 (Mapping Table)'!E:E,"",0,1))</f>
        <v/>
      </c>
      <c r="G56" s="313" t="str">
        <f t="array" ref="G56">if(isblank(E56),"",xlookup(E56,'FL5_POR_包裝對照表 (Mapping Table)'!E:E,'FL5_POR_包裝對照表 (Mapping Table)'!F:F,"",0,1))</f>
        <v/>
      </c>
      <c r="H56" s="312" t="str">
        <f t="array" ref="H56">if(isblank(E56),"",xlookup(E56,'FL5_POR_包裝對照表 (Mapping Table)'!E:E,'FL5_POR_包裝對照表 (Mapping Table)'!AN:AN,"",0,1))</f>
        <v/>
      </c>
      <c r="I56" s="1155" t="str">
        <f t="shared" si="5"/>
        <v/>
      </c>
      <c r="J56" s="1143" t="str">
        <f t="array" ref="J56">IF(ISBLANK(F56),"",XLOOKUP(F56,'FL5_POR_核價 (經管 &amp; BPM)'!E:E,'FL5_POR_核價 (經管 &amp; BPM)'!O:O,"",0,1))</f>
        <v/>
      </c>
      <c r="K56" s="1144">
        <f t="shared" si="1"/>
        <v>0</v>
      </c>
      <c r="L56" s="292" t="str">
        <f>IF(ISBLANK(E56),"",'FL5_POR_包裝對照表 (Mapping Table)'!$E$4)</f>
        <v/>
      </c>
      <c r="M56" s="292" t="str">
        <f>IF(ISBLANK(E56),"",'FL5_POR_包裝對照表 (Mapping Table)'!$F$4&amp;"-PRQ")</f>
        <v/>
      </c>
      <c r="N56" s="292" t="str">
        <f t="shared" si="2"/>
        <v/>
      </c>
      <c r="O56" s="677" t="str">
        <f t="shared" si="3"/>
        <v/>
      </c>
      <c r="P56" s="677" t="str">
        <f t="shared" si="4"/>
        <v/>
      </c>
      <c r="Q56" s="1145" t="str">
        <f t="array" ref="Q56">if(isblank(E56),"",xlookup(E56,'FL5_POR_包裝對照表 (Mapping Table)'!E:E,'FL5_POR_包裝對照表 (Mapping Table)'!AB:AB,"",0,1))</f>
        <v/>
      </c>
      <c r="R56" s="888"/>
      <c r="S56" s="888"/>
      <c r="T56" s="1154"/>
      <c r="U56" s="888"/>
      <c r="V56" s="888"/>
      <c r="W56" s="310"/>
      <c r="X56" s="908" t="str">
        <f t="array" ref="X56">if(isblank(E56),"",xlookup(E56,'FL5_POR_包裝對照表 (Mapping Table)'!E:E,'FL5_POR_包裝對照表 (Mapping Table)'!K:K,"",0,1))</f>
        <v/>
      </c>
      <c r="Y56" s="1"/>
      <c r="Z56" s="1"/>
      <c r="AA56" s="1"/>
      <c r="AB56" s="1"/>
      <c r="AC56" s="1"/>
      <c r="AD56" s="1"/>
      <c r="AE56" s="1"/>
      <c r="AF56" s="1"/>
      <c r="AG56" s="1"/>
      <c r="AH56" s="1"/>
      <c r="AI56" s="1"/>
      <c r="AJ56" s="1"/>
      <c r="AK56" s="1"/>
      <c r="AL56" s="1"/>
      <c r="AM56" s="1"/>
      <c r="AN56" s="1"/>
    </row>
    <row r="57">
      <c r="A57" s="1138"/>
      <c r="B57" s="310"/>
      <c r="C57" s="888"/>
      <c r="D57" s="301" t="str">
        <f t="array" ref="D57">if(isblank(E57),"",xlookup(E57,'FL5_POR_包裝對照表 (Mapping Table)'!E:E,'FL5_POR_包裝對照表 (Mapping Table)'!BJ:BJ,"",0,1))</f>
        <v/>
      </c>
      <c r="E57" s="1140"/>
      <c r="F57" s="1141" t="str">
        <f t="array" ref="F57">if(isblank(E57),"",xlookup(E57,'FL5_POR_包裝對照表 (Mapping Table)'!E:E,'FL5_POR_包裝對照表 (Mapping Table)'!E:E,"",0,1))</f>
        <v/>
      </c>
      <c r="G57" s="313" t="str">
        <f t="array" ref="G57">if(isblank(E57),"",xlookup(E57,'FL5_POR_包裝對照表 (Mapping Table)'!E:E,'FL5_POR_包裝對照表 (Mapping Table)'!F:F,"",0,1))</f>
        <v/>
      </c>
      <c r="H57" s="312" t="str">
        <f t="array" ref="H57">if(isblank(E57),"",xlookup(E57,'FL5_POR_包裝對照表 (Mapping Table)'!E:E,'FL5_POR_包裝對照表 (Mapping Table)'!AN:AN,"",0,1))</f>
        <v/>
      </c>
      <c r="I57" s="1155" t="str">
        <f t="shared" si="5"/>
        <v/>
      </c>
      <c r="J57" s="1143" t="str">
        <f t="array" ref="J57">IF(ISBLANK(F57),"",XLOOKUP(F57,'FL5_POR_核價 (經管 &amp; BPM)'!E:E,'FL5_POR_核價 (經管 &amp; BPM)'!O:O,"",0,1))</f>
        <v/>
      </c>
      <c r="K57" s="1144">
        <f t="shared" si="1"/>
        <v>0</v>
      </c>
      <c r="L57" s="292" t="str">
        <f>IF(ISBLANK(E57),"",'FL5_POR_包裝對照表 (Mapping Table)'!$E$4)</f>
        <v/>
      </c>
      <c r="M57" s="292" t="str">
        <f>IF(ISBLANK(E57),"",'FL5_POR_包裝對照表 (Mapping Table)'!$F$4&amp;"-PRQ")</f>
        <v/>
      </c>
      <c r="N57" s="292" t="str">
        <f t="shared" si="2"/>
        <v/>
      </c>
      <c r="O57" s="677" t="str">
        <f t="shared" si="3"/>
        <v/>
      </c>
      <c r="P57" s="677" t="str">
        <f t="shared" si="4"/>
        <v/>
      </c>
      <c r="Q57" s="1145" t="str">
        <f t="array" ref="Q57">if(isblank(E57),"",xlookup(E57,'FL5_POR_包裝對照表 (Mapping Table)'!E:E,'FL5_POR_包裝對照表 (Mapping Table)'!AB:AB,"",0,1))</f>
        <v/>
      </c>
      <c r="R57" s="888"/>
      <c r="S57" s="888"/>
      <c r="T57" s="1154"/>
      <c r="U57" s="888"/>
      <c r="V57" s="888"/>
      <c r="W57" s="310"/>
      <c r="X57" s="908" t="str">
        <f t="array" ref="X57">if(isblank(E57),"",xlookup(E57,'FL5_POR_包裝對照表 (Mapping Table)'!E:E,'FL5_POR_包裝對照表 (Mapping Table)'!K:K,"",0,1))</f>
        <v/>
      </c>
      <c r="Y57" s="1"/>
      <c r="Z57" s="1"/>
      <c r="AA57" s="1"/>
      <c r="AB57" s="1"/>
      <c r="AC57" s="1"/>
      <c r="AD57" s="1"/>
      <c r="AE57" s="1"/>
      <c r="AF57" s="1"/>
      <c r="AG57" s="1"/>
      <c r="AH57" s="1"/>
      <c r="AI57" s="1"/>
      <c r="AJ57" s="1"/>
      <c r="AK57" s="1"/>
      <c r="AL57" s="1"/>
      <c r="AM57" s="1"/>
      <c r="AN57" s="1"/>
    </row>
    <row r="58">
      <c r="A58" s="1138"/>
      <c r="B58" s="310"/>
      <c r="C58" s="888"/>
      <c r="D58" s="301" t="str">
        <f t="array" ref="D58">if(isblank(E58),"",xlookup(E58,'FL5_POR_包裝對照表 (Mapping Table)'!E:E,'FL5_POR_包裝對照表 (Mapping Table)'!BJ:BJ,"",0,1))</f>
        <v/>
      </c>
      <c r="E58" s="1140"/>
      <c r="F58" s="1141" t="str">
        <f t="array" ref="F58">if(isblank(E58),"",xlookup(E58,'FL5_POR_包裝對照表 (Mapping Table)'!E:E,'FL5_POR_包裝對照表 (Mapping Table)'!E:E,"",0,1))</f>
        <v/>
      </c>
      <c r="G58" s="313" t="str">
        <f t="array" ref="G58">if(isblank(E58),"",xlookup(E58,'FL5_POR_包裝對照表 (Mapping Table)'!E:E,'FL5_POR_包裝對照表 (Mapping Table)'!F:F,"",0,1))</f>
        <v/>
      </c>
      <c r="H58" s="312" t="str">
        <f t="array" ref="H58">if(isblank(E58),"",xlookup(E58,'FL5_POR_包裝對照表 (Mapping Table)'!E:E,'FL5_POR_包裝對照表 (Mapping Table)'!AN:AN,"",0,1))</f>
        <v/>
      </c>
      <c r="I58" s="1155" t="str">
        <f t="shared" si="5"/>
        <v/>
      </c>
      <c r="J58" s="1143" t="str">
        <f t="array" ref="J58">IF(ISBLANK(F58),"",XLOOKUP(F58,'FL5_POR_核價 (經管 &amp; BPM)'!E:E,'FL5_POR_核價 (經管 &amp; BPM)'!O:O,"",0,1))</f>
        <v/>
      </c>
      <c r="K58" s="1144">
        <f t="shared" si="1"/>
        <v>0</v>
      </c>
      <c r="L58" s="292" t="str">
        <f>IF(ISBLANK(E58),"",'FL5_POR_包裝對照表 (Mapping Table)'!$E$4)</f>
        <v/>
      </c>
      <c r="M58" s="292" t="str">
        <f>IF(ISBLANK(E58),"",'FL5_POR_包裝對照表 (Mapping Table)'!$F$4&amp;"-PRQ")</f>
        <v/>
      </c>
      <c r="N58" s="292" t="str">
        <f t="shared" si="2"/>
        <v/>
      </c>
      <c r="O58" s="677" t="str">
        <f t="shared" si="3"/>
        <v/>
      </c>
      <c r="P58" s="677" t="str">
        <f t="shared" si="4"/>
        <v/>
      </c>
      <c r="Q58" s="1145" t="str">
        <f t="array" ref="Q58">if(isblank(E58),"",xlookup(E58,'FL5_POR_包裝對照表 (Mapping Table)'!E:E,'FL5_POR_包裝對照表 (Mapping Table)'!AB:AB,"",0,1))</f>
        <v/>
      </c>
      <c r="R58" s="888"/>
      <c r="S58" s="888"/>
      <c r="T58" s="1154"/>
      <c r="U58" s="888"/>
      <c r="V58" s="888"/>
      <c r="W58" s="310"/>
      <c r="X58" s="908" t="str">
        <f t="array" ref="X58">if(isblank(E58),"",xlookup(E58,'FL5_POR_包裝對照表 (Mapping Table)'!E:E,'FL5_POR_包裝對照表 (Mapping Table)'!K:K,"",0,1))</f>
        <v/>
      </c>
      <c r="Y58" s="1"/>
      <c r="Z58" s="1"/>
      <c r="AA58" s="1"/>
      <c r="AB58" s="1"/>
      <c r="AC58" s="1"/>
      <c r="AD58" s="1"/>
      <c r="AE58" s="1"/>
      <c r="AF58" s="1"/>
      <c r="AG58" s="1"/>
      <c r="AH58" s="1"/>
      <c r="AI58" s="1"/>
      <c r="AJ58" s="1"/>
      <c r="AK58" s="1"/>
      <c r="AL58" s="1"/>
      <c r="AM58" s="1"/>
      <c r="AN58" s="1"/>
    </row>
    <row r="59">
      <c r="A59" s="1138"/>
      <c r="B59" s="310"/>
      <c r="C59" s="888"/>
      <c r="D59" s="301" t="str">
        <f t="array" ref="D59">if(isblank(E59),"",xlookup(E59,'FL5_POR_包裝對照表 (Mapping Table)'!E:E,'FL5_POR_包裝對照表 (Mapping Table)'!BJ:BJ,"",0,1))</f>
        <v/>
      </c>
      <c r="E59" s="1140"/>
      <c r="F59" s="1141" t="str">
        <f t="array" ref="F59">if(isblank(E59),"",xlookup(E59,'FL5_POR_包裝對照表 (Mapping Table)'!E:E,'FL5_POR_包裝對照表 (Mapping Table)'!E:E,"",0,1))</f>
        <v/>
      </c>
      <c r="G59" s="313" t="str">
        <f t="array" ref="G59">if(isblank(E59),"",xlookup(E59,'FL5_POR_包裝對照表 (Mapping Table)'!E:E,'FL5_POR_包裝對照表 (Mapping Table)'!F:F,"",0,1))</f>
        <v/>
      </c>
      <c r="H59" s="312" t="str">
        <f t="array" ref="H59">if(isblank(E59),"",xlookup(E59,'FL5_POR_包裝對照表 (Mapping Table)'!E:E,'FL5_POR_包裝對照表 (Mapping Table)'!AN:AN,"",0,1))</f>
        <v/>
      </c>
      <c r="I59" s="1155" t="str">
        <f t="shared" si="5"/>
        <v/>
      </c>
      <c r="J59" s="1143" t="str">
        <f t="array" ref="J59">IF(ISBLANK(F59),"",XLOOKUP(F59,'FL5_POR_核價 (經管 &amp; BPM)'!E:E,'FL5_POR_核價 (經管 &amp; BPM)'!O:O,"",0,1))</f>
        <v/>
      </c>
      <c r="K59" s="1144">
        <f t="shared" si="1"/>
        <v>0</v>
      </c>
      <c r="L59" s="292" t="str">
        <f>IF(ISBLANK(E59),"",'FL5_POR_包裝對照表 (Mapping Table)'!$E$4)</f>
        <v/>
      </c>
      <c r="M59" s="292" t="str">
        <f>IF(ISBLANK(E59),"",'FL5_POR_包裝對照表 (Mapping Table)'!$F$4&amp;"-PRQ")</f>
        <v/>
      </c>
      <c r="N59" s="292" t="str">
        <f t="shared" si="2"/>
        <v/>
      </c>
      <c r="O59" s="677" t="str">
        <f t="shared" si="3"/>
        <v/>
      </c>
      <c r="P59" s="677" t="str">
        <f t="shared" si="4"/>
        <v/>
      </c>
      <c r="Q59" s="1145" t="str">
        <f t="array" ref="Q59">if(isblank(E59),"",xlookup(E59,'FL5_POR_包裝對照表 (Mapping Table)'!E:E,'FL5_POR_包裝對照表 (Mapping Table)'!AB:AB,"",0,1))</f>
        <v/>
      </c>
      <c r="R59" s="888"/>
      <c r="S59" s="888"/>
      <c r="T59" s="1154"/>
      <c r="U59" s="888"/>
      <c r="V59" s="888"/>
      <c r="W59" s="310"/>
      <c r="X59" s="908" t="str">
        <f t="array" ref="X59">if(isblank(E59),"",xlookup(E59,'FL5_POR_包裝對照表 (Mapping Table)'!E:E,'FL5_POR_包裝對照表 (Mapping Table)'!K:K,"",0,1))</f>
        <v/>
      </c>
      <c r="Y59" s="1"/>
      <c r="Z59" s="1"/>
      <c r="AA59" s="1"/>
      <c r="AB59" s="1"/>
      <c r="AC59" s="1"/>
      <c r="AD59" s="1"/>
      <c r="AE59" s="1"/>
      <c r="AF59" s="1"/>
      <c r="AG59" s="1"/>
      <c r="AH59" s="1"/>
      <c r="AI59" s="1"/>
      <c r="AJ59" s="1"/>
      <c r="AK59" s="1"/>
      <c r="AL59" s="1"/>
      <c r="AM59" s="1"/>
      <c r="AN59" s="1"/>
    </row>
    <row r="60">
      <c r="A60" s="1138"/>
      <c r="B60" s="310"/>
      <c r="C60" s="888"/>
      <c r="D60" s="301" t="str">
        <f t="array" ref="D60">if(isblank(E60),"",xlookup(E60,'FL5_POR_包裝對照表 (Mapping Table)'!E:E,'FL5_POR_包裝對照表 (Mapping Table)'!BJ:BJ,"",0,1))</f>
        <v/>
      </c>
      <c r="E60" s="1140"/>
      <c r="F60" s="1141" t="str">
        <f t="array" ref="F60">if(isblank(E60),"",xlookup(E60,'FL5_POR_包裝對照表 (Mapping Table)'!E:E,'FL5_POR_包裝對照表 (Mapping Table)'!E:E,"",0,1))</f>
        <v/>
      </c>
      <c r="G60" s="313" t="str">
        <f t="array" ref="G60">if(isblank(E60),"",xlookup(E60,'FL5_POR_包裝對照表 (Mapping Table)'!E:E,'FL5_POR_包裝對照表 (Mapping Table)'!F:F,"",0,1))</f>
        <v/>
      </c>
      <c r="H60" s="312" t="str">
        <f t="array" ref="H60">if(isblank(E60),"",xlookup(E60,'FL5_POR_包裝對照表 (Mapping Table)'!E:E,'FL5_POR_包裝對照表 (Mapping Table)'!AN:AN,"",0,1))</f>
        <v/>
      </c>
      <c r="I60" s="1155" t="str">
        <f t="shared" si="5"/>
        <v/>
      </c>
      <c r="J60" s="1143" t="str">
        <f t="array" ref="J60">IF(ISBLANK(F60),"",XLOOKUP(F60,'FL5_POR_核價 (經管 &amp; BPM)'!E:E,'FL5_POR_核價 (經管 &amp; BPM)'!O:O,"",0,1))</f>
        <v/>
      </c>
      <c r="K60" s="1144">
        <f t="shared" si="1"/>
        <v>0</v>
      </c>
      <c r="L60" s="292" t="str">
        <f>IF(ISBLANK(E60),"",'FL5_POR_包裝對照表 (Mapping Table)'!$E$4)</f>
        <v/>
      </c>
      <c r="M60" s="292" t="str">
        <f>IF(ISBLANK(E60),"",'FL5_POR_包裝對照表 (Mapping Table)'!$F$4&amp;"-PRQ")</f>
        <v/>
      </c>
      <c r="N60" s="292" t="str">
        <f t="shared" si="2"/>
        <v/>
      </c>
      <c r="O60" s="677" t="str">
        <f t="shared" si="3"/>
        <v/>
      </c>
      <c r="P60" s="677" t="str">
        <f t="shared" si="4"/>
        <v/>
      </c>
      <c r="Q60" s="1145" t="str">
        <f t="array" ref="Q60">if(isblank(E60),"",xlookup(E60,'FL5_POR_包裝對照表 (Mapping Table)'!E:E,'FL5_POR_包裝對照表 (Mapping Table)'!AB:AB,"",0,1))</f>
        <v/>
      </c>
      <c r="R60" s="888"/>
      <c r="S60" s="888"/>
      <c r="T60" s="1154"/>
      <c r="U60" s="888"/>
      <c r="V60" s="888"/>
      <c r="W60" s="310"/>
      <c r="X60" s="908" t="str">
        <f t="array" ref="X60">if(isblank(E60),"",xlookup(E60,'FL5_POR_包裝對照表 (Mapping Table)'!E:E,'FL5_POR_包裝對照表 (Mapping Table)'!K:K,"",0,1))</f>
        <v/>
      </c>
      <c r="Y60" s="1"/>
      <c r="Z60" s="1"/>
      <c r="AA60" s="1"/>
      <c r="AB60" s="1"/>
      <c r="AC60" s="1"/>
      <c r="AD60" s="1"/>
      <c r="AE60" s="1"/>
      <c r="AF60" s="1"/>
      <c r="AG60" s="1"/>
      <c r="AH60" s="1"/>
      <c r="AI60" s="1"/>
      <c r="AJ60" s="1"/>
      <c r="AK60" s="1"/>
      <c r="AL60" s="1"/>
      <c r="AM60" s="1"/>
      <c r="AN60" s="1"/>
    </row>
    <row r="61">
      <c r="A61" s="1138"/>
      <c r="B61" s="310"/>
      <c r="C61" s="888"/>
      <c r="D61" s="301" t="str">
        <f t="array" ref="D61">if(isblank(E61),"",xlookup(E61,'FL5_POR_包裝對照表 (Mapping Table)'!E:E,'FL5_POR_包裝對照表 (Mapping Table)'!BJ:BJ,"",0,1))</f>
        <v/>
      </c>
      <c r="E61" s="1140"/>
      <c r="F61" s="1141" t="str">
        <f t="array" ref="F61">if(isblank(E61),"",xlookup(E61,'FL5_POR_包裝對照表 (Mapping Table)'!E:E,'FL5_POR_包裝對照表 (Mapping Table)'!E:E,"",0,1))</f>
        <v/>
      </c>
      <c r="G61" s="313" t="str">
        <f t="array" ref="G61">if(isblank(E61),"",xlookup(E61,'FL5_POR_包裝對照表 (Mapping Table)'!E:E,'FL5_POR_包裝對照表 (Mapping Table)'!F:F,"",0,1))</f>
        <v/>
      </c>
      <c r="H61" s="312" t="str">
        <f t="array" ref="H61">if(isblank(E61),"",xlookup(E61,'FL5_POR_包裝對照表 (Mapping Table)'!E:E,'FL5_POR_包裝對照表 (Mapping Table)'!AN:AN,"",0,1))</f>
        <v/>
      </c>
      <c r="I61" s="1155" t="str">
        <f t="shared" si="5"/>
        <v/>
      </c>
      <c r="J61" s="1143" t="str">
        <f t="array" ref="J61">IF(ISBLANK(F61),"",XLOOKUP(F61,'FL5_POR_核價 (經管 &amp; BPM)'!E:E,'FL5_POR_核價 (經管 &amp; BPM)'!O:O,"",0,1))</f>
        <v/>
      </c>
      <c r="K61" s="1144">
        <f t="shared" si="1"/>
        <v>0</v>
      </c>
      <c r="L61" s="292" t="str">
        <f>IF(ISBLANK(E61),"",'FL5_POR_包裝對照表 (Mapping Table)'!$E$4)</f>
        <v/>
      </c>
      <c r="M61" s="292" t="str">
        <f>IF(ISBLANK(E61),"",'FL5_POR_包裝對照表 (Mapping Table)'!$F$4&amp;"-PRQ")</f>
        <v/>
      </c>
      <c r="N61" s="292" t="str">
        <f t="shared" si="2"/>
        <v/>
      </c>
      <c r="O61" s="677" t="str">
        <f t="shared" si="3"/>
        <v/>
      </c>
      <c r="P61" s="677" t="str">
        <f t="shared" si="4"/>
        <v/>
      </c>
      <c r="Q61" s="1145" t="str">
        <f t="array" ref="Q61">if(isblank(E61),"",xlookup(E61,'FL5_POR_包裝對照表 (Mapping Table)'!E:E,'FL5_POR_包裝對照表 (Mapping Table)'!AB:AB,"",0,1))</f>
        <v/>
      </c>
      <c r="R61" s="888"/>
      <c r="S61" s="888"/>
      <c r="T61" s="1154"/>
      <c r="U61" s="888"/>
      <c r="V61" s="888"/>
      <c r="W61" s="310"/>
      <c r="X61" s="908" t="str">
        <f t="array" ref="X61">if(isblank(E61),"",xlookup(E61,'FL5_POR_包裝對照表 (Mapping Table)'!E:E,'FL5_POR_包裝對照表 (Mapping Table)'!K:K,"",0,1))</f>
        <v/>
      </c>
      <c r="Y61" s="1"/>
      <c r="Z61" s="1"/>
      <c r="AA61" s="1"/>
      <c r="AB61" s="1"/>
      <c r="AC61" s="1"/>
      <c r="AD61" s="1"/>
      <c r="AE61" s="1"/>
      <c r="AF61" s="1"/>
      <c r="AG61" s="1"/>
      <c r="AH61" s="1"/>
      <c r="AI61" s="1"/>
      <c r="AJ61" s="1"/>
      <c r="AK61" s="1"/>
      <c r="AL61" s="1"/>
      <c r="AM61" s="1"/>
      <c r="AN61" s="1"/>
    </row>
    <row r="62">
      <c r="A62" s="1138"/>
      <c r="B62" s="310"/>
      <c r="C62" s="888"/>
      <c r="D62" s="301" t="str">
        <f t="array" ref="D62">if(isblank(E62),"",xlookup(E62,'FL5_POR_包裝對照表 (Mapping Table)'!E:E,'FL5_POR_包裝對照表 (Mapping Table)'!BJ:BJ,"",0,1))</f>
        <v/>
      </c>
      <c r="E62" s="1140"/>
      <c r="F62" s="1141" t="str">
        <f t="array" ref="F62">if(isblank(E62),"",xlookup(E62,'FL5_POR_包裝對照表 (Mapping Table)'!E:E,'FL5_POR_包裝對照表 (Mapping Table)'!E:E,"",0,1))</f>
        <v/>
      </c>
      <c r="G62" s="313" t="str">
        <f t="array" ref="G62">if(isblank(E62),"",xlookup(E62,'FL5_POR_包裝對照表 (Mapping Table)'!E:E,'FL5_POR_包裝對照表 (Mapping Table)'!F:F,"",0,1))</f>
        <v/>
      </c>
      <c r="H62" s="312" t="str">
        <f t="array" ref="H62">if(isblank(E62),"",xlookup(E62,'FL5_POR_包裝對照表 (Mapping Table)'!E:E,'FL5_POR_包裝對照表 (Mapping Table)'!AN:AN,"",0,1))</f>
        <v/>
      </c>
      <c r="I62" s="1155" t="str">
        <f t="shared" si="5"/>
        <v/>
      </c>
      <c r="J62" s="1143" t="str">
        <f t="array" ref="J62">IF(ISBLANK(F62),"",XLOOKUP(F62,'FL5_POR_核價 (經管 &amp; BPM)'!E:E,'FL5_POR_核價 (經管 &amp; BPM)'!O:O,"",0,1))</f>
        <v/>
      </c>
      <c r="K62" s="1144">
        <f t="shared" si="1"/>
        <v>0</v>
      </c>
      <c r="L62" s="292" t="str">
        <f>IF(ISBLANK(E62),"",'FL5_POR_包裝對照表 (Mapping Table)'!$E$4)</f>
        <v/>
      </c>
      <c r="M62" s="292" t="str">
        <f>IF(ISBLANK(E62),"",'FL5_POR_包裝對照表 (Mapping Table)'!$F$4&amp;"-PRQ")</f>
        <v/>
      </c>
      <c r="N62" s="292" t="str">
        <f t="shared" si="2"/>
        <v/>
      </c>
      <c r="O62" s="677" t="str">
        <f t="shared" si="3"/>
        <v/>
      </c>
      <c r="P62" s="677" t="str">
        <f t="shared" si="4"/>
        <v/>
      </c>
      <c r="Q62" s="1145" t="str">
        <f t="array" ref="Q62">if(isblank(E62),"",xlookup(E62,'FL5_POR_包裝對照表 (Mapping Table)'!E:E,'FL5_POR_包裝對照表 (Mapping Table)'!AB:AB,"",0,1))</f>
        <v/>
      </c>
      <c r="R62" s="888"/>
      <c r="S62" s="888"/>
      <c r="T62" s="1154"/>
      <c r="U62" s="888"/>
      <c r="V62" s="888"/>
      <c r="W62" s="310"/>
      <c r="X62" s="908" t="str">
        <f t="array" ref="X62">if(isblank(E62),"",xlookup(E62,'FL5_POR_包裝對照表 (Mapping Table)'!E:E,'FL5_POR_包裝對照表 (Mapping Table)'!K:K,"",0,1))</f>
        <v/>
      </c>
      <c r="Y62" s="1"/>
      <c r="Z62" s="1"/>
      <c r="AA62" s="1"/>
      <c r="AB62" s="1"/>
      <c r="AC62" s="1"/>
      <c r="AD62" s="1"/>
      <c r="AE62" s="1"/>
      <c r="AF62" s="1"/>
      <c r="AG62" s="1"/>
      <c r="AH62" s="1"/>
      <c r="AI62" s="1"/>
      <c r="AJ62" s="1"/>
      <c r="AK62" s="1"/>
      <c r="AL62" s="1"/>
      <c r="AM62" s="1"/>
      <c r="AN62" s="1"/>
    </row>
    <row r="63">
      <c r="A63" s="1138"/>
      <c r="B63" s="310"/>
      <c r="C63" s="888"/>
      <c r="D63" s="301" t="str">
        <f t="array" ref="D63">if(isblank(E63),"",xlookup(E63,'FL5_POR_包裝對照表 (Mapping Table)'!E:E,'FL5_POR_包裝對照表 (Mapping Table)'!BJ:BJ,"",0,1))</f>
        <v/>
      </c>
      <c r="E63" s="1140"/>
      <c r="F63" s="1141" t="str">
        <f t="array" ref="F63">if(isblank(E63),"",xlookup(E63,'FL5_POR_包裝對照表 (Mapping Table)'!E:E,'FL5_POR_包裝對照表 (Mapping Table)'!E:E,"",0,1))</f>
        <v/>
      </c>
      <c r="G63" s="313" t="str">
        <f t="array" ref="G63">if(isblank(E63),"",xlookup(E63,'FL5_POR_包裝對照表 (Mapping Table)'!E:E,'FL5_POR_包裝對照表 (Mapping Table)'!F:F,"",0,1))</f>
        <v/>
      </c>
      <c r="H63" s="312" t="str">
        <f t="array" ref="H63">if(isblank(E63),"",xlookup(E63,'FL5_POR_包裝對照表 (Mapping Table)'!E:E,'FL5_POR_包裝對照表 (Mapping Table)'!AN:AN,"",0,1))</f>
        <v/>
      </c>
      <c r="I63" s="1155" t="str">
        <f t="shared" si="5"/>
        <v/>
      </c>
      <c r="J63" s="1143" t="str">
        <f t="array" ref="J63">IF(ISBLANK(F63),"",XLOOKUP(F63,'FL5_POR_核價 (經管 &amp; BPM)'!E:E,'FL5_POR_核價 (經管 &amp; BPM)'!O:O,"",0,1))</f>
        <v/>
      </c>
      <c r="K63" s="1144">
        <f t="shared" si="1"/>
        <v>0</v>
      </c>
      <c r="L63" s="292" t="str">
        <f>IF(ISBLANK(E63),"",'FL5_POR_包裝對照表 (Mapping Table)'!$E$4)</f>
        <v/>
      </c>
      <c r="M63" s="292" t="str">
        <f>IF(ISBLANK(E63),"",'FL5_POR_包裝對照表 (Mapping Table)'!$F$4&amp;"-PRQ")</f>
        <v/>
      </c>
      <c r="N63" s="292" t="str">
        <f t="shared" si="2"/>
        <v/>
      </c>
      <c r="O63" s="677" t="str">
        <f t="shared" si="3"/>
        <v/>
      </c>
      <c r="P63" s="677" t="str">
        <f t="shared" si="4"/>
        <v/>
      </c>
      <c r="Q63" s="1145" t="str">
        <f t="array" ref="Q63">if(isblank(E63),"",xlookup(E63,'FL5_POR_包裝對照表 (Mapping Table)'!E:E,'FL5_POR_包裝對照表 (Mapping Table)'!AB:AB,"",0,1))</f>
        <v/>
      </c>
      <c r="R63" s="888"/>
      <c r="S63" s="888"/>
      <c r="T63" s="1154"/>
      <c r="U63" s="888"/>
      <c r="V63" s="888"/>
      <c r="W63" s="310"/>
      <c r="X63" s="908" t="str">
        <f t="array" ref="X63">if(isblank(E63),"",xlookup(E63,'FL5_POR_包裝對照表 (Mapping Table)'!E:E,'FL5_POR_包裝對照表 (Mapping Table)'!K:K,"",0,1))</f>
        <v/>
      </c>
      <c r="Y63" s="1"/>
      <c r="Z63" s="1"/>
      <c r="AA63" s="1"/>
      <c r="AB63" s="1"/>
      <c r="AC63" s="1"/>
      <c r="AD63" s="1"/>
      <c r="AE63" s="1"/>
      <c r="AF63" s="1"/>
      <c r="AG63" s="1"/>
      <c r="AH63" s="1"/>
      <c r="AI63" s="1"/>
      <c r="AJ63" s="1"/>
      <c r="AK63" s="1"/>
      <c r="AL63" s="1"/>
      <c r="AM63" s="1"/>
      <c r="AN63" s="1"/>
    </row>
    <row r="64">
      <c r="A64" s="1138"/>
      <c r="B64" s="310"/>
      <c r="C64" s="888"/>
      <c r="D64" s="301" t="str">
        <f t="array" ref="D64">if(isblank(E64),"",xlookup(E64,'FL5_POR_包裝對照表 (Mapping Table)'!E:E,'FL5_POR_包裝對照表 (Mapping Table)'!BJ:BJ,"",0,1))</f>
        <v/>
      </c>
      <c r="E64" s="1140"/>
      <c r="F64" s="1141" t="str">
        <f t="array" ref="F64">if(isblank(E64),"",xlookup(E64,'FL5_POR_包裝對照表 (Mapping Table)'!E:E,'FL5_POR_包裝對照表 (Mapping Table)'!E:E,"",0,1))</f>
        <v/>
      </c>
      <c r="G64" s="313" t="str">
        <f t="array" ref="G64">if(isblank(E64),"",xlookup(E64,'FL5_POR_包裝對照表 (Mapping Table)'!E:E,'FL5_POR_包裝對照表 (Mapping Table)'!F:F,"",0,1))</f>
        <v/>
      </c>
      <c r="H64" s="312" t="str">
        <f t="array" ref="H64">if(isblank(E64),"",xlookup(E64,'FL5_POR_包裝對照表 (Mapping Table)'!E:E,'FL5_POR_包裝對照表 (Mapping Table)'!AN:AN,"",0,1))</f>
        <v/>
      </c>
      <c r="I64" s="1155" t="str">
        <f t="shared" si="5"/>
        <v/>
      </c>
      <c r="J64" s="1143" t="str">
        <f t="array" ref="J64">IF(ISBLANK(F64),"",XLOOKUP(F64,'FL5_POR_核價 (經管 &amp; BPM)'!E:E,'FL5_POR_核價 (經管 &amp; BPM)'!O:O,"",0,1))</f>
        <v/>
      </c>
      <c r="K64" s="1144">
        <f t="shared" si="1"/>
        <v>0</v>
      </c>
      <c r="L64" s="292" t="str">
        <f>IF(ISBLANK(E64),"",'FL5_POR_包裝對照表 (Mapping Table)'!$E$4)</f>
        <v/>
      </c>
      <c r="M64" s="292" t="str">
        <f>IF(ISBLANK(E64),"",'FL5_POR_包裝對照表 (Mapping Table)'!$F$4&amp;"-PRQ")</f>
        <v/>
      </c>
      <c r="N64" s="292" t="str">
        <f t="shared" si="2"/>
        <v/>
      </c>
      <c r="O64" s="677" t="str">
        <f t="shared" si="3"/>
        <v/>
      </c>
      <c r="P64" s="677" t="str">
        <f t="shared" si="4"/>
        <v/>
      </c>
      <c r="Q64" s="1145" t="str">
        <f t="array" ref="Q64">if(isblank(E64),"",xlookup(E64,'FL5_POR_包裝對照表 (Mapping Table)'!E:E,'FL5_POR_包裝對照表 (Mapping Table)'!AB:AB,"",0,1))</f>
        <v/>
      </c>
      <c r="R64" s="888"/>
      <c r="S64" s="888"/>
      <c r="T64" s="1154"/>
      <c r="U64" s="888"/>
      <c r="V64" s="888"/>
      <c r="W64" s="310"/>
      <c r="X64" s="908" t="str">
        <f t="array" ref="X64">if(isblank(E64),"",xlookup(E64,'FL5_POR_包裝對照表 (Mapping Table)'!E:E,'FL5_POR_包裝對照表 (Mapping Table)'!K:K,"",0,1))</f>
        <v/>
      </c>
      <c r="Y64" s="1"/>
      <c r="Z64" s="1"/>
      <c r="AA64" s="1"/>
      <c r="AB64" s="1"/>
      <c r="AC64" s="1"/>
      <c r="AD64" s="1"/>
      <c r="AE64" s="1"/>
      <c r="AF64" s="1"/>
      <c r="AG64" s="1"/>
      <c r="AH64" s="1"/>
      <c r="AI64" s="1"/>
      <c r="AJ64" s="1"/>
      <c r="AK64" s="1"/>
      <c r="AL64" s="1"/>
      <c r="AM64" s="1"/>
      <c r="AN64" s="1"/>
    </row>
    <row r="65">
      <c r="A65" s="1138"/>
      <c r="B65" s="310"/>
      <c r="C65" s="888"/>
      <c r="D65" s="301" t="str">
        <f t="array" ref="D65">if(isblank(E65),"",xlookup(E65,'FL5_POR_包裝對照表 (Mapping Table)'!E:E,'FL5_POR_包裝對照表 (Mapping Table)'!BJ:BJ,"",0,1))</f>
        <v/>
      </c>
      <c r="E65" s="1140"/>
      <c r="F65" s="1141" t="str">
        <f t="array" ref="F65">if(isblank(E65),"",xlookup(E65,'FL5_POR_包裝對照表 (Mapping Table)'!E:E,'FL5_POR_包裝對照表 (Mapping Table)'!E:E,"",0,1))</f>
        <v/>
      </c>
      <c r="G65" s="313" t="str">
        <f t="array" ref="G65">if(isblank(E65),"",xlookup(E65,'FL5_POR_包裝對照表 (Mapping Table)'!E:E,'FL5_POR_包裝對照表 (Mapping Table)'!F:F,"",0,1))</f>
        <v/>
      </c>
      <c r="H65" s="312" t="str">
        <f t="array" ref="H65">if(isblank(E65),"",xlookup(E65,'FL5_POR_包裝對照表 (Mapping Table)'!E:E,'FL5_POR_包裝對照表 (Mapping Table)'!AN:AN,"",0,1))</f>
        <v/>
      </c>
      <c r="I65" s="1155" t="str">
        <f t="shared" si="5"/>
        <v/>
      </c>
      <c r="J65" s="1143" t="str">
        <f t="array" ref="J65">IF(ISBLANK(F65),"",XLOOKUP(F65,'FL5_POR_核價 (經管 &amp; BPM)'!E:E,'FL5_POR_核價 (經管 &amp; BPM)'!O:O,"",0,1))</f>
        <v/>
      </c>
      <c r="K65" s="1144">
        <f t="shared" si="1"/>
        <v>0</v>
      </c>
      <c r="L65" s="292" t="str">
        <f>IF(ISBLANK(E65),"",'FL5_POR_包裝對照表 (Mapping Table)'!$E$4)</f>
        <v/>
      </c>
      <c r="M65" s="292" t="str">
        <f>IF(ISBLANK(E65),"",'FL5_POR_包裝對照表 (Mapping Table)'!$F$4&amp;"-PRQ")</f>
        <v/>
      </c>
      <c r="N65" s="292" t="str">
        <f t="shared" si="2"/>
        <v/>
      </c>
      <c r="O65" s="677" t="str">
        <f t="shared" si="3"/>
        <v/>
      </c>
      <c r="P65" s="677" t="str">
        <f t="shared" si="4"/>
        <v/>
      </c>
      <c r="Q65" s="1145" t="str">
        <f t="array" ref="Q65">if(isblank(E65),"",xlookup(E65,'FL5_POR_包裝對照表 (Mapping Table)'!E:E,'FL5_POR_包裝對照表 (Mapping Table)'!AB:AB,"",0,1))</f>
        <v/>
      </c>
      <c r="R65" s="888"/>
      <c r="S65" s="888"/>
      <c r="T65" s="1154"/>
      <c r="U65" s="888"/>
      <c r="V65" s="888"/>
      <c r="W65" s="310"/>
      <c r="X65" s="908" t="str">
        <f t="array" ref="X65">if(isblank(E65),"",xlookup(E65,'FL5_POR_包裝對照表 (Mapping Table)'!E:E,'FL5_POR_包裝對照表 (Mapping Table)'!K:K,"",0,1))</f>
        <v/>
      </c>
      <c r="Y65" s="1"/>
      <c r="Z65" s="1"/>
      <c r="AA65" s="1"/>
      <c r="AB65" s="1"/>
      <c r="AC65" s="1"/>
      <c r="AD65" s="1"/>
      <c r="AE65" s="1"/>
      <c r="AF65" s="1"/>
      <c r="AG65" s="1"/>
      <c r="AH65" s="1"/>
      <c r="AI65" s="1"/>
      <c r="AJ65" s="1"/>
      <c r="AK65" s="1"/>
      <c r="AL65" s="1"/>
      <c r="AM65" s="1"/>
      <c r="AN65" s="1"/>
    </row>
    <row r="66">
      <c r="A66" s="1138"/>
      <c r="B66" s="310"/>
      <c r="C66" s="888"/>
      <c r="D66" s="301" t="str">
        <f t="array" ref="D66">if(isblank(E66),"",xlookup(E66,'FL5_POR_包裝對照表 (Mapping Table)'!E:E,'FL5_POR_包裝對照表 (Mapping Table)'!BJ:BJ,"",0,1))</f>
        <v/>
      </c>
      <c r="E66" s="1140"/>
      <c r="F66" s="1141" t="str">
        <f t="array" ref="F66">if(isblank(E66),"",xlookup(E66,'FL5_POR_包裝對照表 (Mapping Table)'!E:E,'FL5_POR_包裝對照表 (Mapping Table)'!E:E,"",0,1))</f>
        <v/>
      </c>
      <c r="G66" s="313" t="str">
        <f t="array" ref="G66">if(isblank(E66),"",xlookup(E66,'FL5_POR_包裝對照表 (Mapping Table)'!E:E,'FL5_POR_包裝對照表 (Mapping Table)'!F:F,"",0,1))</f>
        <v/>
      </c>
      <c r="H66" s="312" t="str">
        <f t="array" ref="H66">if(isblank(E66),"",xlookup(E66,'FL5_POR_包裝對照表 (Mapping Table)'!E:E,'FL5_POR_包裝對照表 (Mapping Table)'!AN:AN,"",0,1))</f>
        <v/>
      </c>
      <c r="I66" s="1155" t="str">
        <f t="shared" si="5"/>
        <v/>
      </c>
      <c r="J66" s="1143" t="str">
        <f t="array" ref="J66">IF(ISBLANK(F66),"",XLOOKUP(F66,'FL5_POR_核價 (經管 &amp; BPM)'!E:E,'FL5_POR_核價 (經管 &amp; BPM)'!O:O,"",0,1))</f>
        <v/>
      </c>
      <c r="K66" s="1144">
        <f t="shared" si="1"/>
        <v>0</v>
      </c>
      <c r="L66" s="292" t="str">
        <f>IF(ISBLANK(E66),"",'FL5_POR_包裝對照表 (Mapping Table)'!$E$4)</f>
        <v/>
      </c>
      <c r="M66" s="292" t="str">
        <f>IF(ISBLANK(E66),"",'FL5_POR_包裝對照表 (Mapping Table)'!$F$4&amp;"-PRQ")</f>
        <v/>
      </c>
      <c r="N66" s="292" t="str">
        <f t="shared" si="2"/>
        <v/>
      </c>
      <c r="O66" s="677" t="str">
        <f t="shared" si="3"/>
        <v/>
      </c>
      <c r="P66" s="677" t="str">
        <f t="shared" si="4"/>
        <v/>
      </c>
      <c r="Q66" s="1145" t="str">
        <f t="array" ref="Q66">if(isblank(E66),"",xlookup(E66,'FL5_POR_包裝對照表 (Mapping Table)'!E:E,'FL5_POR_包裝對照表 (Mapping Table)'!AB:AB,"",0,1))</f>
        <v/>
      </c>
      <c r="R66" s="888"/>
      <c r="S66" s="888"/>
      <c r="T66" s="1154"/>
      <c r="U66" s="888"/>
      <c r="V66" s="888"/>
      <c r="W66" s="310"/>
      <c r="X66" s="908" t="str">
        <f t="array" ref="X66">if(isblank(E66),"",xlookup(E66,'FL5_POR_包裝對照表 (Mapping Table)'!E:E,'FL5_POR_包裝對照表 (Mapping Table)'!K:K,"",0,1))</f>
        <v/>
      </c>
      <c r="Y66" s="1"/>
      <c r="Z66" s="1"/>
      <c r="AA66" s="1"/>
      <c r="AB66" s="1"/>
      <c r="AC66" s="1"/>
      <c r="AD66" s="1"/>
      <c r="AE66" s="1"/>
      <c r="AF66" s="1"/>
      <c r="AG66" s="1"/>
      <c r="AH66" s="1"/>
      <c r="AI66" s="1"/>
      <c r="AJ66" s="1"/>
      <c r="AK66" s="1"/>
      <c r="AL66" s="1"/>
      <c r="AM66" s="1"/>
      <c r="AN66" s="1"/>
    </row>
    <row r="67">
      <c r="A67" s="1138"/>
      <c r="B67" s="310"/>
      <c r="C67" s="888"/>
      <c r="D67" s="301" t="str">
        <f t="array" ref="D67">if(isblank(E67),"",xlookup(E67,'FL5_POR_包裝對照表 (Mapping Table)'!E:E,'FL5_POR_包裝對照表 (Mapping Table)'!BJ:BJ,"",0,1))</f>
        <v/>
      </c>
      <c r="E67" s="1140"/>
      <c r="F67" s="1141" t="str">
        <f t="array" ref="F67">if(isblank(E67),"",xlookup(E67,'FL5_POR_包裝對照表 (Mapping Table)'!E:E,'FL5_POR_包裝對照表 (Mapping Table)'!E:E,"",0,1))</f>
        <v/>
      </c>
      <c r="G67" s="313" t="str">
        <f t="array" ref="G67">if(isblank(E67),"",xlookup(E67,'FL5_POR_包裝對照表 (Mapping Table)'!E:E,'FL5_POR_包裝對照表 (Mapping Table)'!F:F,"",0,1))</f>
        <v/>
      </c>
      <c r="H67" s="312" t="str">
        <f t="array" ref="H67">if(isblank(E67),"",xlookup(E67,'FL5_POR_包裝對照表 (Mapping Table)'!E:E,'FL5_POR_包裝對照表 (Mapping Table)'!AN:AN,"",0,1))</f>
        <v/>
      </c>
      <c r="I67" s="1155" t="str">
        <f t="shared" si="5"/>
        <v/>
      </c>
      <c r="J67" s="1143" t="str">
        <f t="array" ref="J67">IF(ISBLANK(F67),"",XLOOKUP(F67,'FL5_POR_核價 (經管 &amp; BPM)'!E:E,'FL5_POR_核價 (經管 &amp; BPM)'!O:O,"",0,1))</f>
        <v/>
      </c>
      <c r="K67" s="1144">
        <f t="shared" si="1"/>
        <v>0</v>
      </c>
      <c r="L67" s="292" t="str">
        <f>IF(ISBLANK(E67),"",'FL5_POR_包裝對照表 (Mapping Table)'!$E$4)</f>
        <v/>
      </c>
      <c r="M67" s="292" t="str">
        <f>IF(ISBLANK(E67),"",'FL5_POR_包裝對照表 (Mapping Table)'!$F$4&amp;"-PRQ")</f>
        <v/>
      </c>
      <c r="N67" s="292" t="str">
        <f t="shared" si="2"/>
        <v/>
      </c>
      <c r="O67" s="677" t="str">
        <f t="shared" si="3"/>
        <v/>
      </c>
      <c r="P67" s="677" t="str">
        <f t="shared" si="4"/>
        <v/>
      </c>
      <c r="Q67" s="1145" t="str">
        <f t="array" ref="Q67">if(isblank(E67),"",xlookup(E67,'FL5_POR_包裝對照表 (Mapping Table)'!E:E,'FL5_POR_包裝對照表 (Mapping Table)'!AB:AB,"",0,1))</f>
        <v/>
      </c>
      <c r="R67" s="888"/>
      <c r="S67" s="888"/>
      <c r="T67" s="1154"/>
      <c r="U67" s="888"/>
      <c r="V67" s="888"/>
      <c r="W67" s="310"/>
      <c r="X67" s="908" t="str">
        <f t="array" ref="X67">if(isblank(E67),"",xlookup(E67,'FL5_POR_包裝對照表 (Mapping Table)'!E:E,'FL5_POR_包裝對照表 (Mapping Table)'!K:K,"",0,1))</f>
        <v/>
      </c>
      <c r="Y67" s="1"/>
      <c r="Z67" s="1"/>
      <c r="AA67" s="1"/>
      <c r="AB67" s="1"/>
      <c r="AC67" s="1"/>
      <c r="AD67" s="1"/>
      <c r="AE67" s="1"/>
      <c r="AF67" s="1"/>
      <c r="AG67" s="1"/>
      <c r="AH67" s="1"/>
      <c r="AI67" s="1"/>
      <c r="AJ67" s="1"/>
      <c r="AK67" s="1"/>
      <c r="AL67" s="1"/>
      <c r="AM67" s="1"/>
      <c r="AN67" s="1"/>
    </row>
    <row r="68">
      <c r="A68" s="1138"/>
      <c r="B68" s="310"/>
      <c r="C68" s="888"/>
      <c r="D68" s="301" t="str">
        <f t="array" ref="D68">if(isblank(E68),"",xlookup(E68,'FL5_POR_包裝對照表 (Mapping Table)'!E:E,'FL5_POR_包裝對照表 (Mapping Table)'!BJ:BJ,"",0,1))</f>
        <v/>
      </c>
      <c r="E68" s="1140"/>
      <c r="F68" s="1141" t="str">
        <f t="array" ref="F68">if(isblank(E68),"",xlookup(E68,'FL5_POR_包裝對照表 (Mapping Table)'!E:E,'FL5_POR_包裝對照表 (Mapping Table)'!E:E,"",0,1))</f>
        <v/>
      </c>
      <c r="G68" s="313" t="str">
        <f t="array" ref="G68">if(isblank(E68),"",xlookup(E68,'FL5_POR_包裝對照表 (Mapping Table)'!E:E,'FL5_POR_包裝對照表 (Mapping Table)'!F:F,"",0,1))</f>
        <v/>
      </c>
      <c r="H68" s="312" t="str">
        <f t="array" ref="H68">if(isblank(E68),"",xlookup(E68,'FL5_POR_包裝對照表 (Mapping Table)'!E:E,'FL5_POR_包裝對照表 (Mapping Table)'!AN:AN,"",0,1))</f>
        <v/>
      </c>
      <c r="I68" s="1155" t="str">
        <f t="shared" si="5"/>
        <v/>
      </c>
      <c r="J68" s="1143" t="str">
        <f t="array" ref="J68">IF(ISBLANK(F68),"",XLOOKUP(F68,'FL5_POR_核價 (經管 &amp; BPM)'!E:E,'FL5_POR_核價 (經管 &amp; BPM)'!O:O,"",0,1))</f>
        <v/>
      </c>
      <c r="K68" s="1144">
        <f t="shared" si="1"/>
        <v>0</v>
      </c>
      <c r="L68" s="292" t="str">
        <f>IF(ISBLANK(E68),"",'FL5_POR_包裝對照表 (Mapping Table)'!$E$4)</f>
        <v/>
      </c>
      <c r="M68" s="292" t="str">
        <f>IF(ISBLANK(E68),"",'FL5_POR_包裝對照表 (Mapping Table)'!$F$4&amp;"-PRQ")</f>
        <v/>
      </c>
      <c r="N68" s="292" t="str">
        <f t="shared" si="2"/>
        <v/>
      </c>
      <c r="O68" s="677" t="str">
        <f t="shared" si="3"/>
        <v/>
      </c>
      <c r="P68" s="677" t="str">
        <f t="shared" si="4"/>
        <v/>
      </c>
      <c r="Q68" s="1145" t="str">
        <f t="array" ref="Q68">if(isblank(E68),"",xlookup(E68,'FL5_POR_包裝對照表 (Mapping Table)'!E:E,'FL5_POR_包裝對照表 (Mapping Table)'!AB:AB,"",0,1))</f>
        <v/>
      </c>
      <c r="R68" s="888"/>
      <c r="S68" s="888"/>
      <c r="T68" s="1154"/>
      <c r="U68" s="888"/>
      <c r="V68" s="888"/>
      <c r="W68" s="310"/>
      <c r="X68" s="908" t="str">
        <f t="array" ref="X68">if(isblank(E68),"",xlookup(E68,'FL5_POR_包裝對照表 (Mapping Table)'!E:E,'FL5_POR_包裝對照表 (Mapping Table)'!K:K,"",0,1))</f>
        <v/>
      </c>
      <c r="Y68" s="1"/>
      <c r="Z68" s="1"/>
      <c r="AA68" s="1"/>
      <c r="AB68" s="1"/>
      <c r="AC68" s="1"/>
      <c r="AD68" s="1"/>
      <c r="AE68" s="1"/>
      <c r="AF68" s="1"/>
      <c r="AG68" s="1"/>
      <c r="AH68" s="1"/>
      <c r="AI68" s="1"/>
      <c r="AJ68" s="1"/>
      <c r="AK68" s="1"/>
      <c r="AL68" s="1"/>
      <c r="AM68" s="1"/>
      <c r="AN68" s="1"/>
    </row>
    <row r="69">
      <c r="A69" s="1138"/>
      <c r="B69" s="310"/>
      <c r="C69" s="888"/>
      <c r="D69" s="301" t="str">
        <f t="array" ref="D69">if(isblank(E69),"",xlookup(E69,'FL5_POR_包裝對照表 (Mapping Table)'!E:E,'FL5_POR_包裝對照表 (Mapping Table)'!BJ:BJ,"",0,1))</f>
        <v/>
      </c>
      <c r="E69" s="1140"/>
      <c r="F69" s="1141" t="str">
        <f t="array" ref="F69">if(isblank(E69),"",xlookup(E69,'FL5_POR_包裝對照表 (Mapping Table)'!E:E,'FL5_POR_包裝對照表 (Mapping Table)'!E:E,"",0,1))</f>
        <v/>
      </c>
      <c r="G69" s="313" t="str">
        <f t="array" ref="G69">if(isblank(E69),"",xlookup(E69,'FL5_POR_包裝對照表 (Mapping Table)'!E:E,'FL5_POR_包裝對照表 (Mapping Table)'!F:F,"",0,1))</f>
        <v/>
      </c>
      <c r="H69" s="312" t="str">
        <f t="array" ref="H69">if(isblank(E69),"",xlookup(E69,'FL5_POR_包裝對照表 (Mapping Table)'!E:E,'FL5_POR_包裝對照表 (Mapping Table)'!AN:AN,"",0,1))</f>
        <v/>
      </c>
      <c r="I69" s="1155" t="str">
        <f t="shared" si="5"/>
        <v/>
      </c>
      <c r="J69" s="1143" t="str">
        <f t="array" ref="J69">IF(ISBLANK(F69),"",XLOOKUP(F69,'FL5_POR_核價 (經管 &amp; BPM)'!E:E,'FL5_POR_核價 (經管 &amp; BPM)'!O:O,"",0,1))</f>
        <v/>
      </c>
      <c r="K69" s="1144">
        <f t="shared" si="1"/>
        <v>0</v>
      </c>
      <c r="L69" s="292" t="str">
        <f>IF(ISBLANK(E69),"",'FL5_POR_包裝對照表 (Mapping Table)'!$E$4)</f>
        <v/>
      </c>
      <c r="M69" s="292" t="str">
        <f>IF(ISBLANK(E69),"",'FL5_POR_包裝對照表 (Mapping Table)'!$F$4&amp;"-PRQ")</f>
        <v/>
      </c>
      <c r="N69" s="292" t="str">
        <f t="shared" si="2"/>
        <v/>
      </c>
      <c r="O69" s="677" t="str">
        <f t="shared" si="3"/>
        <v/>
      </c>
      <c r="P69" s="677" t="str">
        <f t="shared" si="4"/>
        <v/>
      </c>
      <c r="Q69" s="1145" t="str">
        <f t="array" ref="Q69">if(isblank(E69),"",xlookup(E69,'FL5_POR_包裝對照表 (Mapping Table)'!E:E,'FL5_POR_包裝對照表 (Mapping Table)'!AB:AB,"",0,1))</f>
        <v/>
      </c>
      <c r="R69" s="888"/>
      <c r="S69" s="888"/>
      <c r="T69" s="1154"/>
      <c r="U69" s="888"/>
      <c r="V69" s="888"/>
      <c r="W69" s="310"/>
      <c r="X69" s="908" t="str">
        <f t="array" ref="X69">if(isblank(E69),"",xlookup(E69,'FL5_POR_包裝對照表 (Mapping Table)'!E:E,'FL5_POR_包裝對照表 (Mapping Table)'!K:K,"",0,1))</f>
        <v/>
      </c>
      <c r="Y69" s="1"/>
      <c r="Z69" s="1"/>
      <c r="AA69" s="1"/>
      <c r="AB69" s="1"/>
      <c r="AC69" s="1"/>
      <c r="AD69" s="1"/>
      <c r="AE69" s="1"/>
      <c r="AF69" s="1"/>
      <c r="AG69" s="1"/>
      <c r="AH69" s="1"/>
      <c r="AI69" s="1"/>
      <c r="AJ69" s="1"/>
      <c r="AK69" s="1"/>
      <c r="AL69" s="1"/>
      <c r="AM69" s="1"/>
      <c r="AN69" s="1"/>
    </row>
    <row r="70">
      <c r="A70" s="1138"/>
      <c r="B70" s="310"/>
      <c r="C70" s="888"/>
      <c r="D70" s="301" t="str">
        <f t="array" ref="D70">if(isblank(E70),"",xlookup(E70,'FL5_POR_包裝對照表 (Mapping Table)'!E:E,'FL5_POR_包裝對照表 (Mapping Table)'!BJ:BJ,"",0,1))</f>
        <v/>
      </c>
      <c r="E70" s="1140"/>
      <c r="F70" s="1141" t="str">
        <f t="array" ref="F70">if(isblank(E70),"",xlookup(E70,'FL5_POR_包裝對照表 (Mapping Table)'!E:E,'FL5_POR_包裝對照表 (Mapping Table)'!E:E,"",0,1))</f>
        <v/>
      </c>
      <c r="G70" s="313" t="str">
        <f t="array" ref="G70">if(isblank(E70),"",xlookup(E70,'FL5_POR_包裝對照表 (Mapping Table)'!E:E,'FL5_POR_包裝對照表 (Mapping Table)'!F:F,"",0,1))</f>
        <v/>
      </c>
      <c r="H70" s="312" t="str">
        <f t="array" ref="H70">if(isblank(E70),"",xlookup(E70,'FL5_POR_包裝對照表 (Mapping Table)'!E:E,'FL5_POR_包裝對照表 (Mapping Table)'!AN:AN,"",0,1))</f>
        <v/>
      </c>
      <c r="I70" s="1155" t="str">
        <f t="shared" si="5"/>
        <v/>
      </c>
      <c r="J70" s="1143" t="str">
        <f t="array" ref="J70">IF(ISBLANK(F70),"",XLOOKUP(F70,'FL5_POR_核價 (經管 &amp; BPM)'!E:E,'FL5_POR_核價 (經管 &amp; BPM)'!O:O,"",0,1))</f>
        <v/>
      </c>
      <c r="K70" s="1144">
        <f t="shared" si="1"/>
        <v>0</v>
      </c>
      <c r="L70" s="292" t="str">
        <f>IF(ISBLANK(E70),"",'FL5_POR_包裝對照表 (Mapping Table)'!$E$4)</f>
        <v/>
      </c>
      <c r="M70" s="292" t="str">
        <f>IF(ISBLANK(E70),"",'FL5_POR_包裝對照表 (Mapping Table)'!$F$4&amp;"-PRQ")</f>
        <v/>
      </c>
      <c r="N70" s="292" t="str">
        <f t="shared" si="2"/>
        <v/>
      </c>
      <c r="O70" s="677" t="str">
        <f t="shared" si="3"/>
        <v/>
      </c>
      <c r="P70" s="677" t="str">
        <f t="shared" si="4"/>
        <v/>
      </c>
      <c r="Q70" s="1145" t="str">
        <f t="array" ref="Q70">if(isblank(E70),"",xlookup(E70,'FL5_POR_包裝對照表 (Mapping Table)'!E:E,'FL5_POR_包裝對照表 (Mapping Table)'!AB:AB,"",0,1))</f>
        <v/>
      </c>
      <c r="R70" s="888"/>
      <c r="S70" s="888"/>
      <c r="T70" s="1154"/>
      <c r="U70" s="888"/>
      <c r="V70" s="888"/>
      <c r="W70" s="310"/>
      <c r="X70" s="908" t="str">
        <f t="array" ref="X70">if(isblank(E70),"",xlookup(E70,'FL5_POR_包裝對照表 (Mapping Table)'!E:E,'FL5_POR_包裝對照表 (Mapping Table)'!K:K,"",0,1))</f>
        <v/>
      </c>
      <c r="Y70" s="1"/>
      <c r="Z70" s="1"/>
      <c r="AA70" s="1"/>
      <c r="AB70" s="1"/>
      <c r="AC70" s="1"/>
      <c r="AD70" s="1"/>
      <c r="AE70" s="1"/>
      <c r="AF70" s="1"/>
      <c r="AG70" s="1"/>
      <c r="AH70" s="1"/>
      <c r="AI70" s="1"/>
      <c r="AJ70" s="1"/>
      <c r="AK70" s="1"/>
      <c r="AL70" s="1"/>
      <c r="AM70" s="1"/>
      <c r="AN70" s="1"/>
    </row>
    <row r="71">
      <c r="A71" s="1138"/>
      <c r="B71" s="310"/>
      <c r="C71" s="888"/>
      <c r="D71" s="301" t="str">
        <f t="array" ref="D71">if(isblank(E71),"",xlookup(E71,'FL5_POR_包裝對照表 (Mapping Table)'!E:E,'FL5_POR_包裝對照表 (Mapping Table)'!BJ:BJ,"",0,1))</f>
        <v/>
      </c>
      <c r="E71" s="1140"/>
      <c r="F71" s="1141" t="str">
        <f t="array" ref="F71">if(isblank(E71),"",xlookup(E71,'FL5_POR_包裝對照表 (Mapping Table)'!E:E,'FL5_POR_包裝對照表 (Mapping Table)'!E:E,"",0,1))</f>
        <v/>
      </c>
      <c r="G71" s="313" t="str">
        <f t="array" ref="G71">if(isblank(E71),"",xlookup(E71,'FL5_POR_包裝對照表 (Mapping Table)'!E:E,'FL5_POR_包裝對照表 (Mapping Table)'!F:F,"",0,1))</f>
        <v/>
      </c>
      <c r="H71" s="312" t="str">
        <f t="array" ref="H71">if(isblank(E71),"",xlookup(E71,'FL5_POR_包裝對照表 (Mapping Table)'!E:E,'FL5_POR_包裝對照表 (Mapping Table)'!AN:AN,"",0,1))</f>
        <v/>
      </c>
      <c r="I71" s="1155" t="str">
        <f t="shared" si="5"/>
        <v/>
      </c>
      <c r="J71" s="1143" t="str">
        <f t="array" ref="J71">IF(ISBLANK(F71),"",XLOOKUP(F71,'FL5_POR_核價 (經管 &amp; BPM)'!E:E,'FL5_POR_核價 (經管 &amp; BPM)'!O:O,"",0,1))</f>
        <v/>
      </c>
      <c r="K71" s="1144">
        <f t="shared" si="1"/>
        <v>0</v>
      </c>
      <c r="L71" s="292" t="str">
        <f>IF(ISBLANK(E71),"",'FL5_POR_包裝對照表 (Mapping Table)'!$E$4)</f>
        <v/>
      </c>
      <c r="M71" s="292" t="str">
        <f>IF(ISBLANK(E71),"",'FL5_POR_包裝對照表 (Mapping Table)'!$F$4&amp;"-PRQ")</f>
        <v/>
      </c>
      <c r="N71" s="292" t="str">
        <f t="shared" si="2"/>
        <v/>
      </c>
      <c r="O71" s="677" t="str">
        <f t="shared" si="3"/>
        <v/>
      </c>
      <c r="P71" s="677" t="str">
        <f t="shared" si="4"/>
        <v/>
      </c>
      <c r="Q71" s="1145" t="str">
        <f t="array" ref="Q71">if(isblank(E71),"",xlookup(E71,'FL5_POR_包裝對照表 (Mapping Table)'!E:E,'FL5_POR_包裝對照表 (Mapping Table)'!AB:AB,"",0,1))</f>
        <v/>
      </c>
      <c r="R71" s="888"/>
      <c r="S71" s="888"/>
      <c r="T71" s="1154"/>
      <c r="U71" s="888"/>
      <c r="V71" s="888"/>
      <c r="W71" s="310"/>
      <c r="X71" s="908" t="str">
        <f t="array" ref="X71">if(isblank(E71),"",xlookup(E71,'FL5_POR_包裝對照表 (Mapping Table)'!E:E,'FL5_POR_包裝對照表 (Mapping Table)'!K:K,"",0,1))</f>
        <v/>
      </c>
      <c r="Y71" s="1"/>
      <c r="Z71" s="1"/>
      <c r="AA71" s="1"/>
      <c r="AB71" s="1"/>
      <c r="AC71" s="1"/>
      <c r="AD71" s="1"/>
      <c r="AE71" s="1"/>
      <c r="AF71" s="1"/>
      <c r="AG71" s="1"/>
      <c r="AH71" s="1"/>
      <c r="AI71" s="1"/>
      <c r="AJ71" s="1"/>
      <c r="AK71" s="1"/>
      <c r="AL71" s="1"/>
      <c r="AM71" s="1"/>
      <c r="AN71" s="1"/>
    </row>
    <row r="72">
      <c r="A72" s="1138"/>
      <c r="B72" s="310"/>
      <c r="C72" s="888"/>
      <c r="D72" s="301" t="str">
        <f t="array" ref="D72">if(isblank(E72),"",xlookup(E72,'FL5_POR_包裝對照表 (Mapping Table)'!E:E,'FL5_POR_包裝對照表 (Mapping Table)'!BJ:BJ,"",0,1))</f>
        <v/>
      </c>
      <c r="E72" s="1140"/>
      <c r="F72" s="1141" t="str">
        <f t="array" ref="F72">if(isblank(E72),"",xlookup(E72,'FL5_POR_包裝對照表 (Mapping Table)'!E:E,'FL5_POR_包裝對照表 (Mapping Table)'!E:E,"",0,1))</f>
        <v/>
      </c>
      <c r="G72" s="313" t="str">
        <f t="array" ref="G72">if(isblank(E72),"",xlookup(E72,'FL5_POR_包裝對照表 (Mapping Table)'!E:E,'FL5_POR_包裝對照表 (Mapping Table)'!F:F,"",0,1))</f>
        <v/>
      </c>
      <c r="H72" s="312" t="str">
        <f t="array" ref="H72">if(isblank(E72),"",xlookup(E72,'FL5_POR_包裝對照表 (Mapping Table)'!E:E,'FL5_POR_包裝對照表 (Mapping Table)'!AN:AN,"",0,1))</f>
        <v/>
      </c>
      <c r="I72" s="1155" t="str">
        <f t="shared" si="5"/>
        <v/>
      </c>
      <c r="J72" s="1143" t="str">
        <f t="array" ref="J72">IF(ISBLANK(F72),"",XLOOKUP(F72,'FL5_POR_核價 (經管 &amp; BPM)'!E:E,'FL5_POR_核價 (經管 &amp; BPM)'!O:O,"",0,1))</f>
        <v/>
      </c>
      <c r="K72" s="1144">
        <f t="shared" si="1"/>
        <v>0</v>
      </c>
      <c r="L72" s="292" t="str">
        <f>IF(ISBLANK(E72),"",'FL5_POR_包裝對照表 (Mapping Table)'!$E$4)</f>
        <v/>
      </c>
      <c r="M72" s="292" t="str">
        <f>IF(ISBLANK(E72),"",'FL5_POR_包裝對照表 (Mapping Table)'!$F$4&amp;"-PRQ")</f>
        <v/>
      </c>
      <c r="N72" s="292" t="str">
        <f t="shared" si="2"/>
        <v/>
      </c>
      <c r="O72" s="677" t="str">
        <f t="shared" si="3"/>
        <v/>
      </c>
      <c r="P72" s="677" t="str">
        <f t="shared" si="4"/>
        <v/>
      </c>
      <c r="Q72" s="1145" t="str">
        <f t="array" ref="Q72">if(isblank(E72),"",xlookup(E72,'FL5_POR_包裝對照表 (Mapping Table)'!E:E,'FL5_POR_包裝對照表 (Mapping Table)'!AB:AB,"",0,1))</f>
        <v/>
      </c>
      <c r="R72" s="888"/>
      <c r="S72" s="888"/>
      <c r="T72" s="1154"/>
      <c r="U72" s="888"/>
      <c r="V72" s="888"/>
      <c r="W72" s="310"/>
      <c r="X72" s="908" t="str">
        <f t="array" ref="X72">if(isblank(E72),"",xlookup(E72,'FL5_POR_包裝對照表 (Mapping Table)'!E:E,'FL5_POR_包裝對照表 (Mapping Table)'!K:K,"",0,1))</f>
        <v/>
      </c>
      <c r="Y72" s="1"/>
      <c r="Z72" s="1"/>
      <c r="AA72" s="1"/>
      <c r="AB72" s="1"/>
      <c r="AC72" s="1"/>
      <c r="AD72" s="1"/>
      <c r="AE72" s="1"/>
      <c r="AF72" s="1"/>
      <c r="AG72" s="1"/>
      <c r="AH72" s="1"/>
      <c r="AI72" s="1"/>
      <c r="AJ72" s="1"/>
      <c r="AK72" s="1"/>
      <c r="AL72" s="1"/>
      <c r="AM72" s="1"/>
      <c r="AN72" s="1"/>
    </row>
    <row r="73">
      <c r="A73" s="1138"/>
      <c r="B73" s="310"/>
      <c r="C73" s="888"/>
      <c r="D73" s="301" t="str">
        <f t="array" ref="D73">if(isblank(E73),"",xlookup(E73,'FL5_POR_包裝對照表 (Mapping Table)'!E:E,'FL5_POR_包裝對照表 (Mapping Table)'!BJ:BJ,"",0,1))</f>
        <v/>
      </c>
      <c r="E73" s="1140"/>
      <c r="F73" s="1141" t="str">
        <f t="array" ref="F73">if(isblank(E73),"",xlookup(E73,'FL5_POR_包裝對照表 (Mapping Table)'!E:E,'FL5_POR_包裝對照表 (Mapping Table)'!E:E,"",0,1))</f>
        <v/>
      </c>
      <c r="G73" s="313" t="str">
        <f t="array" ref="G73">if(isblank(E73),"",xlookup(E73,'FL5_POR_包裝對照表 (Mapping Table)'!E:E,'FL5_POR_包裝對照表 (Mapping Table)'!F:F,"",0,1))</f>
        <v/>
      </c>
      <c r="H73" s="312" t="str">
        <f t="array" ref="H73">if(isblank(E73),"",xlookup(E73,'FL5_POR_包裝對照表 (Mapping Table)'!E:E,'FL5_POR_包裝對照表 (Mapping Table)'!AN:AN,"",0,1))</f>
        <v/>
      </c>
      <c r="I73" s="1155" t="str">
        <f t="shared" si="5"/>
        <v/>
      </c>
      <c r="J73" s="1143" t="str">
        <f t="array" ref="J73">IF(ISBLANK(F73),"",XLOOKUP(F73,'FL5_POR_核價 (經管 &amp; BPM)'!E:E,'FL5_POR_核價 (經管 &amp; BPM)'!O:O,"",0,1))</f>
        <v/>
      </c>
      <c r="K73" s="1144">
        <f t="shared" si="1"/>
        <v>0</v>
      </c>
      <c r="L73" s="292" t="str">
        <f>IF(ISBLANK(E73),"",'FL5_POR_包裝對照表 (Mapping Table)'!$E$4)</f>
        <v/>
      </c>
      <c r="M73" s="292" t="str">
        <f>IF(ISBLANK(E73),"",'FL5_POR_包裝對照表 (Mapping Table)'!$F$4&amp;"-PRQ")</f>
        <v/>
      </c>
      <c r="N73" s="292" t="str">
        <f t="shared" si="2"/>
        <v/>
      </c>
      <c r="O73" s="677" t="str">
        <f t="shared" si="3"/>
        <v/>
      </c>
      <c r="P73" s="677" t="str">
        <f t="shared" si="4"/>
        <v/>
      </c>
      <c r="Q73" s="1145" t="str">
        <f t="array" ref="Q73">if(isblank(E73),"",xlookup(E73,'FL5_POR_包裝對照表 (Mapping Table)'!E:E,'FL5_POR_包裝對照表 (Mapping Table)'!AB:AB,"",0,1))</f>
        <v/>
      </c>
      <c r="R73" s="888"/>
      <c r="S73" s="888"/>
      <c r="T73" s="1154"/>
      <c r="U73" s="888"/>
      <c r="V73" s="888"/>
      <c r="W73" s="310"/>
      <c r="X73" s="908" t="str">
        <f t="array" ref="X73">if(isblank(E73),"",xlookup(E73,'FL5_POR_包裝對照表 (Mapping Table)'!E:E,'FL5_POR_包裝對照表 (Mapping Table)'!K:K,"",0,1))</f>
        <v/>
      </c>
      <c r="Y73" s="1"/>
      <c r="Z73" s="1"/>
      <c r="AA73" s="1"/>
      <c r="AB73" s="1"/>
      <c r="AC73" s="1"/>
      <c r="AD73" s="1"/>
      <c r="AE73" s="1"/>
      <c r="AF73" s="1"/>
      <c r="AG73" s="1"/>
      <c r="AH73" s="1"/>
      <c r="AI73" s="1"/>
      <c r="AJ73" s="1"/>
      <c r="AK73" s="1"/>
      <c r="AL73" s="1"/>
      <c r="AM73" s="1"/>
      <c r="AN73" s="1"/>
    </row>
    <row r="74">
      <c r="A74" s="1138"/>
      <c r="B74" s="310"/>
      <c r="C74" s="888"/>
      <c r="D74" s="301" t="str">
        <f t="array" ref="D74">if(isblank(E74),"",xlookup(E74,'FL5_POR_包裝對照表 (Mapping Table)'!E:E,'FL5_POR_包裝對照表 (Mapping Table)'!BJ:BJ,"",0,1))</f>
        <v/>
      </c>
      <c r="E74" s="1140"/>
      <c r="F74" s="1141" t="str">
        <f t="array" ref="F74">if(isblank(E74),"",xlookup(E74,'FL5_POR_包裝對照表 (Mapping Table)'!E:E,'FL5_POR_包裝對照表 (Mapping Table)'!E:E,"",0,1))</f>
        <v/>
      </c>
      <c r="G74" s="313" t="str">
        <f t="array" ref="G74">if(isblank(E74),"",xlookup(E74,'FL5_POR_包裝對照表 (Mapping Table)'!E:E,'FL5_POR_包裝對照表 (Mapping Table)'!F:F,"",0,1))</f>
        <v/>
      </c>
      <c r="H74" s="312" t="str">
        <f t="array" ref="H74">if(isblank(E74),"",xlookup(E74,'FL5_POR_包裝對照表 (Mapping Table)'!E:E,'FL5_POR_包裝對照表 (Mapping Table)'!AN:AN,"",0,1))</f>
        <v/>
      </c>
      <c r="I74" s="1155" t="str">
        <f t="shared" si="5"/>
        <v/>
      </c>
      <c r="J74" s="1143" t="str">
        <f t="array" ref="J74">IF(ISBLANK(F74),"",XLOOKUP(F74,'FL5_POR_核價 (經管 &amp; BPM)'!E:E,'FL5_POR_核價 (經管 &amp; BPM)'!O:O,"",0,1))</f>
        <v/>
      </c>
      <c r="K74" s="1144">
        <f t="shared" si="1"/>
        <v>0</v>
      </c>
      <c r="L74" s="292" t="str">
        <f>IF(ISBLANK(E74),"",'FL5_POR_包裝對照表 (Mapping Table)'!$E$4)</f>
        <v/>
      </c>
      <c r="M74" s="292" t="str">
        <f>IF(ISBLANK(E74),"",'FL5_POR_包裝對照表 (Mapping Table)'!$F$4&amp;"-PRQ")</f>
        <v/>
      </c>
      <c r="N74" s="292" t="str">
        <f t="shared" si="2"/>
        <v/>
      </c>
      <c r="O74" s="677" t="str">
        <f t="shared" si="3"/>
        <v/>
      </c>
      <c r="P74" s="677" t="str">
        <f t="shared" si="4"/>
        <v/>
      </c>
      <c r="Q74" s="1145" t="str">
        <f t="array" ref="Q74">if(isblank(E74),"",xlookup(E74,'FL5_POR_包裝對照表 (Mapping Table)'!E:E,'FL5_POR_包裝對照表 (Mapping Table)'!AB:AB,"",0,1))</f>
        <v/>
      </c>
      <c r="R74" s="888"/>
      <c r="S74" s="888"/>
      <c r="T74" s="1154"/>
      <c r="U74" s="888"/>
      <c r="V74" s="888"/>
      <c r="W74" s="310"/>
      <c r="X74" s="908" t="str">
        <f t="array" ref="X74">if(isblank(E74),"",xlookup(E74,'FL5_POR_包裝對照表 (Mapping Table)'!E:E,'FL5_POR_包裝對照表 (Mapping Table)'!K:K,"",0,1))</f>
        <v/>
      </c>
      <c r="Y74" s="1"/>
      <c r="Z74" s="1"/>
      <c r="AA74" s="1"/>
      <c r="AB74" s="1"/>
      <c r="AC74" s="1"/>
      <c r="AD74" s="1"/>
      <c r="AE74" s="1"/>
      <c r="AF74" s="1"/>
      <c r="AG74" s="1"/>
      <c r="AH74" s="1"/>
      <c r="AI74" s="1"/>
      <c r="AJ74" s="1"/>
      <c r="AK74" s="1"/>
      <c r="AL74" s="1"/>
      <c r="AM74" s="1"/>
      <c r="AN74" s="1"/>
    </row>
    <row r="75">
      <c r="A75" s="1138"/>
      <c r="B75" s="310"/>
      <c r="C75" s="888"/>
      <c r="D75" s="301" t="str">
        <f t="array" ref="D75">if(isblank(E75),"",xlookup(E75,'FL5_POR_包裝對照表 (Mapping Table)'!E:E,'FL5_POR_包裝對照表 (Mapping Table)'!BJ:BJ,"",0,1))</f>
        <v/>
      </c>
      <c r="E75" s="1140"/>
      <c r="F75" s="1141" t="str">
        <f t="array" ref="F75">if(isblank(E75),"",xlookup(E75,'FL5_POR_包裝對照表 (Mapping Table)'!E:E,'FL5_POR_包裝對照表 (Mapping Table)'!E:E,"",0,1))</f>
        <v/>
      </c>
      <c r="G75" s="313" t="str">
        <f t="array" ref="G75">if(isblank(E75),"",xlookup(E75,'FL5_POR_包裝對照表 (Mapping Table)'!E:E,'FL5_POR_包裝對照表 (Mapping Table)'!F:F,"",0,1))</f>
        <v/>
      </c>
      <c r="H75" s="312" t="str">
        <f t="array" ref="H75">if(isblank(E75),"",xlookup(E75,'FL5_POR_包裝對照表 (Mapping Table)'!E:E,'FL5_POR_包裝對照表 (Mapping Table)'!AN:AN,"",0,1))</f>
        <v/>
      </c>
      <c r="I75" s="1155" t="str">
        <f t="shared" si="5"/>
        <v/>
      </c>
      <c r="J75" s="1143" t="str">
        <f t="array" ref="J75">IF(ISBLANK(F75),"",XLOOKUP(F75,'FL5_POR_核價 (經管 &amp; BPM)'!E:E,'FL5_POR_核價 (經管 &amp; BPM)'!O:O,"",0,1))</f>
        <v/>
      </c>
      <c r="K75" s="1144">
        <f t="shared" si="1"/>
        <v>0</v>
      </c>
      <c r="L75" s="292" t="str">
        <f>IF(ISBLANK(E75),"",'FL5_POR_包裝對照表 (Mapping Table)'!$E$4)</f>
        <v/>
      </c>
      <c r="M75" s="292" t="str">
        <f>IF(ISBLANK(E75),"",'FL5_POR_包裝對照表 (Mapping Table)'!$F$4&amp;"-PRQ")</f>
        <v/>
      </c>
      <c r="N75" s="292" t="str">
        <f t="shared" si="2"/>
        <v/>
      </c>
      <c r="O75" s="677" t="str">
        <f t="shared" si="3"/>
        <v/>
      </c>
      <c r="P75" s="677" t="str">
        <f t="shared" si="4"/>
        <v/>
      </c>
      <c r="Q75" s="1145" t="str">
        <f t="array" ref="Q75">if(isblank(E75),"",xlookup(E75,'FL5_POR_包裝對照表 (Mapping Table)'!E:E,'FL5_POR_包裝對照表 (Mapping Table)'!AB:AB,"",0,1))</f>
        <v/>
      </c>
      <c r="R75" s="888"/>
      <c r="S75" s="888"/>
      <c r="T75" s="1154"/>
      <c r="U75" s="888"/>
      <c r="V75" s="888"/>
      <c r="W75" s="310"/>
      <c r="X75" s="908" t="str">
        <f t="array" ref="X75">if(isblank(E75),"",xlookup(E75,'FL5_POR_包裝對照表 (Mapping Table)'!E:E,'FL5_POR_包裝對照表 (Mapping Table)'!K:K,"",0,1))</f>
        <v/>
      </c>
      <c r="Y75" s="1"/>
      <c r="Z75" s="1"/>
      <c r="AA75" s="1"/>
      <c r="AB75" s="1"/>
      <c r="AC75" s="1"/>
      <c r="AD75" s="1"/>
      <c r="AE75" s="1"/>
      <c r="AF75" s="1"/>
      <c r="AG75" s="1"/>
      <c r="AH75" s="1"/>
      <c r="AI75" s="1"/>
      <c r="AJ75" s="1"/>
      <c r="AK75" s="1"/>
      <c r="AL75" s="1"/>
      <c r="AM75" s="1"/>
      <c r="AN75" s="1"/>
    </row>
    <row r="76">
      <c r="A76" s="1138"/>
      <c r="B76" s="310"/>
      <c r="C76" s="888"/>
      <c r="D76" s="301" t="str">
        <f t="array" ref="D76">if(isblank(E76),"",xlookup(E76,'FL5_POR_包裝對照表 (Mapping Table)'!E:E,'FL5_POR_包裝對照表 (Mapping Table)'!BJ:BJ,"",0,1))</f>
        <v/>
      </c>
      <c r="E76" s="1140"/>
      <c r="F76" s="1141" t="str">
        <f t="array" ref="F76">if(isblank(E76),"",xlookup(E76,'FL5_POR_包裝對照表 (Mapping Table)'!E:E,'FL5_POR_包裝對照表 (Mapping Table)'!E:E,"",0,1))</f>
        <v/>
      </c>
      <c r="G76" s="313" t="str">
        <f t="array" ref="G76">if(isblank(E76),"",xlookup(E76,'FL5_POR_包裝對照表 (Mapping Table)'!E:E,'FL5_POR_包裝對照表 (Mapping Table)'!F:F,"",0,1))</f>
        <v/>
      </c>
      <c r="H76" s="312" t="str">
        <f t="array" ref="H76">if(isblank(E76),"",xlookup(E76,'FL5_POR_包裝對照表 (Mapping Table)'!E:E,'FL5_POR_包裝對照表 (Mapping Table)'!AN:AN,"",0,1))</f>
        <v/>
      </c>
      <c r="I76" s="1155" t="str">
        <f t="shared" si="5"/>
        <v/>
      </c>
      <c r="J76" s="1143" t="str">
        <f t="array" ref="J76">IF(ISBLANK(F76),"",XLOOKUP(F76,'FL5_POR_核價 (經管 &amp; BPM)'!E:E,'FL5_POR_核價 (經管 &amp; BPM)'!O:O,"",0,1))</f>
        <v/>
      </c>
      <c r="K76" s="1144">
        <f t="shared" si="1"/>
        <v>0</v>
      </c>
      <c r="L76" s="292" t="str">
        <f>IF(ISBLANK(E76),"",'FL5_POR_包裝對照表 (Mapping Table)'!$E$4)</f>
        <v/>
      </c>
      <c r="M76" s="292" t="str">
        <f>IF(ISBLANK(E76),"",'FL5_POR_包裝對照表 (Mapping Table)'!$F$4&amp;"-PRQ")</f>
        <v/>
      </c>
      <c r="N76" s="292" t="str">
        <f t="shared" si="2"/>
        <v/>
      </c>
      <c r="O76" s="677" t="str">
        <f t="shared" si="3"/>
        <v/>
      </c>
      <c r="P76" s="677" t="str">
        <f t="shared" si="4"/>
        <v/>
      </c>
      <c r="Q76" s="1145" t="str">
        <f t="array" ref="Q76">if(isblank(E76),"",xlookup(E76,'FL5_POR_包裝對照表 (Mapping Table)'!E:E,'FL5_POR_包裝對照表 (Mapping Table)'!AB:AB,"",0,1))</f>
        <v/>
      </c>
      <c r="R76" s="888"/>
      <c r="S76" s="888"/>
      <c r="T76" s="1154"/>
      <c r="U76" s="888"/>
      <c r="V76" s="888"/>
      <c r="W76" s="310"/>
      <c r="X76" s="908" t="str">
        <f t="array" ref="X76">if(isblank(E76),"",xlookup(E76,'FL5_POR_包裝對照表 (Mapping Table)'!E:E,'FL5_POR_包裝對照表 (Mapping Table)'!K:K,"",0,1))</f>
        <v/>
      </c>
      <c r="Y76" s="1"/>
      <c r="Z76" s="1"/>
      <c r="AA76" s="1"/>
      <c r="AB76" s="1"/>
      <c r="AC76" s="1"/>
      <c r="AD76" s="1"/>
      <c r="AE76" s="1"/>
      <c r="AF76" s="1"/>
      <c r="AG76" s="1"/>
      <c r="AH76" s="1"/>
      <c r="AI76" s="1"/>
      <c r="AJ76" s="1"/>
      <c r="AK76" s="1"/>
      <c r="AL76" s="1"/>
      <c r="AM76" s="1"/>
      <c r="AN76" s="1"/>
    </row>
    <row r="77">
      <c r="A77" s="1138"/>
      <c r="B77" s="310"/>
      <c r="C77" s="888"/>
      <c r="D77" s="301" t="str">
        <f t="array" ref="D77">if(isblank(E77),"",xlookup(E77,'FL5_POR_包裝對照表 (Mapping Table)'!E:E,'FL5_POR_包裝對照表 (Mapping Table)'!BJ:BJ,"",0,1))</f>
        <v/>
      </c>
      <c r="E77" s="1140"/>
      <c r="F77" s="1141" t="str">
        <f t="array" ref="F77">if(isblank(E77),"",xlookup(E77,'FL5_POR_包裝對照表 (Mapping Table)'!E:E,'FL5_POR_包裝對照表 (Mapping Table)'!E:E,"",0,1))</f>
        <v/>
      </c>
      <c r="G77" s="313" t="str">
        <f t="array" ref="G77">if(isblank(E77),"",xlookup(E77,'FL5_POR_包裝對照表 (Mapping Table)'!E:E,'FL5_POR_包裝對照表 (Mapping Table)'!F:F,"",0,1))</f>
        <v/>
      </c>
      <c r="H77" s="312" t="str">
        <f t="array" ref="H77">if(isblank(E77),"",xlookup(E77,'FL5_POR_包裝對照表 (Mapping Table)'!E:E,'FL5_POR_包裝對照表 (Mapping Table)'!AN:AN,"",0,1))</f>
        <v/>
      </c>
      <c r="I77" s="1155" t="str">
        <f t="shared" si="5"/>
        <v/>
      </c>
      <c r="J77" s="1143" t="str">
        <f t="array" ref="J77">IF(ISBLANK(F77),"",XLOOKUP(F77,'FL5_POR_核價 (經管 &amp; BPM)'!E:E,'FL5_POR_核價 (經管 &amp; BPM)'!O:O,"",0,1))</f>
        <v/>
      </c>
      <c r="K77" s="1144">
        <f t="shared" si="1"/>
        <v>0</v>
      </c>
      <c r="L77" s="292" t="str">
        <f>IF(ISBLANK(E77),"",'FL5_POR_包裝對照表 (Mapping Table)'!$E$4)</f>
        <v/>
      </c>
      <c r="M77" s="292" t="str">
        <f>IF(ISBLANK(E77),"",'FL5_POR_包裝對照表 (Mapping Table)'!$F$4&amp;"-PRQ")</f>
        <v/>
      </c>
      <c r="N77" s="292" t="str">
        <f t="shared" si="2"/>
        <v/>
      </c>
      <c r="O77" s="677" t="str">
        <f t="shared" si="3"/>
        <v/>
      </c>
      <c r="P77" s="677" t="str">
        <f t="shared" si="4"/>
        <v/>
      </c>
      <c r="Q77" s="1145" t="str">
        <f t="array" ref="Q77">if(isblank(E77),"",xlookup(E77,'FL5_POR_包裝對照表 (Mapping Table)'!E:E,'FL5_POR_包裝對照表 (Mapping Table)'!AB:AB,"",0,1))</f>
        <v/>
      </c>
      <c r="R77" s="888"/>
      <c r="S77" s="888"/>
      <c r="T77" s="1154"/>
      <c r="U77" s="888"/>
      <c r="V77" s="888"/>
      <c r="W77" s="310"/>
      <c r="X77" s="908" t="str">
        <f t="array" ref="X77">if(isblank(E77),"",xlookup(E77,'FL5_POR_包裝對照表 (Mapping Table)'!E:E,'FL5_POR_包裝對照表 (Mapping Table)'!K:K,"",0,1))</f>
        <v/>
      </c>
      <c r="Y77" s="1"/>
      <c r="Z77" s="1"/>
      <c r="AA77" s="1"/>
      <c r="AB77" s="1"/>
      <c r="AC77" s="1"/>
      <c r="AD77" s="1"/>
      <c r="AE77" s="1"/>
      <c r="AF77" s="1"/>
      <c r="AG77" s="1"/>
      <c r="AH77" s="1"/>
      <c r="AI77" s="1"/>
      <c r="AJ77" s="1"/>
      <c r="AK77" s="1"/>
      <c r="AL77" s="1"/>
      <c r="AM77" s="1"/>
      <c r="AN77" s="1"/>
    </row>
    <row r="78">
      <c r="A78" s="1138"/>
      <c r="B78" s="310"/>
      <c r="C78" s="888"/>
      <c r="D78" s="301" t="str">
        <f t="array" ref="D78">if(isblank(E78),"",xlookup(E78,'FL5_POR_包裝對照表 (Mapping Table)'!E:E,'FL5_POR_包裝對照表 (Mapping Table)'!BJ:BJ,"",0,1))</f>
        <v/>
      </c>
      <c r="E78" s="1140"/>
      <c r="F78" s="1141" t="str">
        <f t="array" ref="F78">if(isblank(E78),"",xlookup(E78,'FL5_POR_包裝對照表 (Mapping Table)'!E:E,'FL5_POR_包裝對照表 (Mapping Table)'!E:E,"",0,1))</f>
        <v/>
      </c>
      <c r="G78" s="313" t="str">
        <f t="array" ref="G78">if(isblank(E78),"",xlookup(E78,'FL5_POR_包裝對照表 (Mapping Table)'!E:E,'FL5_POR_包裝對照表 (Mapping Table)'!F:F,"",0,1))</f>
        <v/>
      </c>
      <c r="H78" s="312" t="str">
        <f t="array" ref="H78">if(isblank(E78),"",xlookup(E78,'FL5_POR_包裝對照表 (Mapping Table)'!E:E,'FL5_POR_包裝對照表 (Mapping Table)'!AN:AN,"",0,1))</f>
        <v/>
      </c>
      <c r="I78" s="1155" t="str">
        <f t="shared" si="5"/>
        <v/>
      </c>
      <c r="J78" s="1143" t="str">
        <f t="array" ref="J78">IF(ISBLANK(F78),"",XLOOKUP(F78,'FL5_POR_核價 (經管 &amp; BPM)'!E:E,'FL5_POR_核價 (經管 &amp; BPM)'!O:O,"",0,1))</f>
        <v/>
      </c>
      <c r="K78" s="1144">
        <f t="shared" si="1"/>
        <v>0</v>
      </c>
      <c r="L78" s="292" t="str">
        <f>IF(ISBLANK(E78),"",'FL5_POR_包裝對照表 (Mapping Table)'!$E$4)</f>
        <v/>
      </c>
      <c r="M78" s="292" t="str">
        <f>IF(ISBLANK(E78),"",'FL5_POR_包裝對照表 (Mapping Table)'!$F$4&amp;"-PRQ")</f>
        <v/>
      </c>
      <c r="N78" s="292" t="str">
        <f t="shared" si="2"/>
        <v/>
      </c>
      <c r="O78" s="677" t="str">
        <f t="shared" si="3"/>
        <v/>
      </c>
      <c r="P78" s="677" t="str">
        <f t="shared" si="4"/>
        <v/>
      </c>
      <c r="Q78" s="1145" t="str">
        <f t="array" ref="Q78">if(isblank(E78),"",xlookup(E78,'FL5_POR_包裝對照表 (Mapping Table)'!E:E,'FL5_POR_包裝對照表 (Mapping Table)'!AB:AB,"",0,1))</f>
        <v/>
      </c>
      <c r="R78" s="888"/>
      <c r="S78" s="888"/>
      <c r="T78" s="1154"/>
      <c r="U78" s="888"/>
      <c r="V78" s="888"/>
      <c r="W78" s="310"/>
      <c r="X78" s="908" t="str">
        <f t="array" ref="X78">if(isblank(E78),"",xlookup(E78,'FL5_POR_包裝對照表 (Mapping Table)'!E:E,'FL5_POR_包裝對照表 (Mapping Table)'!K:K,"",0,1))</f>
        <v/>
      </c>
      <c r="Y78" s="1"/>
      <c r="Z78" s="1"/>
      <c r="AA78" s="1"/>
      <c r="AB78" s="1"/>
      <c r="AC78" s="1"/>
      <c r="AD78" s="1"/>
      <c r="AE78" s="1"/>
      <c r="AF78" s="1"/>
      <c r="AG78" s="1"/>
      <c r="AH78" s="1"/>
      <c r="AI78" s="1"/>
      <c r="AJ78" s="1"/>
      <c r="AK78" s="1"/>
      <c r="AL78" s="1"/>
      <c r="AM78" s="1"/>
      <c r="AN78" s="1"/>
    </row>
    <row r="79">
      <c r="A79" s="1138"/>
      <c r="B79" s="310"/>
      <c r="C79" s="888"/>
      <c r="D79" s="301" t="str">
        <f t="array" ref="D79">if(isblank(E79),"",xlookup(E79,'FL5_POR_包裝對照表 (Mapping Table)'!E:E,'FL5_POR_包裝對照表 (Mapping Table)'!BJ:BJ,"",0,1))</f>
        <v/>
      </c>
      <c r="E79" s="1140"/>
      <c r="F79" s="1141" t="str">
        <f t="array" ref="F79">if(isblank(E79),"",xlookup(E79,'FL5_POR_包裝對照表 (Mapping Table)'!E:E,'FL5_POR_包裝對照表 (Mapping Table)'!E:E,"",0,1))</f>
        <v/>
      </c>
      <c r="G79" s="313" t="str">
        <f t="array" ref="G79">if(isblank(E79),"",xlookup(E79,'FL5_POR_包裝對照表 (Mapping Table)'!E:E,'FL5_POR_包裝對照表 (Mapping Table)'!F:F,"",0,1))</f>
        <v/>
      </c>
      <c r="H79" s="312" t="str">
        <f t="array" ref="H79">if(isblank(E79),"",xlookup(E79,'FL5_POR_包裝對照表 (Mapping Table)'!E:E,'FL5_POR_包裝對照表 (Mapping Table)'!AN:AN,"",0,1))</f>
        <v/>
      </c>
      <c r="I79" s="1155" t="str">
        <f t="shared" si="5"/>
        <v/>
      </c>
      <c r="J79" s="1143" t="str">
        <f t="array" ref="J79">IF(ISBLANK(F79),"",XLOOKUP(F79,'FL5_POR_核價 (經管 &amp; BPM)'!E:E,'FL5_POR_核價 (經管 &amp; BPM)'!O:O,"",0,1))</f>
        <v/>
      </c>
      <c r="K79" s="1144">
        <f t="shared" si="1"/>
        <v>0</v>
      </c>
      <c r="L79" s="292" t="str">
        <f>IF(ISBLANK(E79),"",'FL5_POR_包裝對照表 (Mapping Table)'!$E$4)</f>
        <v/>
      </c>
      <c r="M79" s="292" t="str">
        <f>IF(ISBLANK(E79),"",'FL5_POR_包裝對照表 (Mapping Table)'!$F$4&amp;"-PRQ")</f>
        <v/>
      </c>
      <c r="N79" s="292" t="str">
        <f t="shared" si="2"/>
        <v/>
      </c>
      <c r="O79" s="677" t="str">
        <f t="shared" si="3"/>
        <v/>
      </c>
      <c r="P79" s="677" t="str">
        <f t="shared" si="4"/>
        <v/>
      </c>
      <c r="Q79" s="1145" t="str">
        <f t="array" ref="Q79">if(isblank(E79),"",xlookup(E79,'FL5_POR_包裝對照表 (Mapping Table)'!E:E,'FL5_POR_包裝對照表 (Mapping Table)'!AB:AB,"",0,1))</f>
        <v/>
      </c>
      <c r="R79" s="888"/>
      <c r="S79" s="888"/>
      <c r="T79" s="1154"/>
      <c r="U79" s="888"/>
      <c r="V79" s="888"/>
      <c r="W79" s="310"/>
      <c r="X79" s="908" t="str">
        <f t="array" ref="X79">if(isblank(E79),"",xlookup(E79,'FL5_POR_包裝對照表 (Mapping Table)'!E:E,'FL5_POR_包裝對照表 (Mapping Table)'!K:K,"",0,1))</f>
        <v/>
      </c>
      <c r="Y79" s="1"/>
      <c r="Z79" s="1"/>
      <c r="AA79" s="1"/>
      <c r="AB79" s="1"/>
      <c r="AC79" s="1"/>
      <c r="AD79" s="1"/>
      <c r="AE79" s="1"/>
      <c r="AF79" s="1"/>
      <c r="AG79" s="1"/>
      <c r="AH79" s="1"/>
      <c r="AI79" s="1"/>
      <c r="AJ79" s="1"/>
      <c r="AK79" s="1"/>
      <c r="AL79" s="1"/>
      <c r="AM79" s="1"/>
      <c r="AN79" s="1"/>
    </row>
    <row r="80">
      <c r="A80" s="1138"/>
      <c r="B80" s="310"/>
      <c r="C80" s="888"/>
      <c r="D80" s="301" t="str">
        <f t="array" ref="D80">if(isblank(E80),"",xlookup(E80,'FL5_POR_包裝對照表 (Mapping Table)'!E:E,'FL5_POR_包裝對照表 (Mapping Table)'!BJ:BJ,"",0,1))</f>
        <v/>
      </c>
      <c r="E80" s="1140"/>
      <c r="F80" s="1141" t="str">
        <f t="array" ref="F80">if(isblank(E80),"",xlookup(E80,'FL5_POR_包裝對照表 (Mapping Table)'!E:E,'FL5_POR_包裝對照表 (Mapping Table)'!E:E,"",0,1))</f>
        <v/>
      </c>
      <c r="G80" s="313" t="str">
        <f t="array" ref="G80">if(isblank(E80),"",xlookup(E80,'FL5_POR_包裝對照表 (Mapping Table)'!E:E,'FL5_POR_包裝對照表 (Mapping Table)'!F:F,"",0,1))</f>
        <v/>
      </c>
      <c r="H80" s="312" t="str">
        <f t="array" ref="H80">if(isblank(E80),"",xlookup(E80,'FL5_POR_包裝對照表 (Mapping Table)'!E:E,'FL5_POR_包裝對照表 (Mapping Table)'!AN:AN,"",0,1))</f>
        <v/>
      </c>
      <c r="I80" s="1155" t="str">
        <f t="shared" si="5"/>
        <v/>
      </c>
      <c r="J80" s="1143" t="str">
        <f t="array" ref="J80">IF(ISBLANK(F80),"",XLOOKUP(F80,'FL5_POR_核價 (經管 &amp; BPM)'!E:E,'FL5_POR_核價 (經管 &amp; BPM)'!O:O,"",0,1))</f>
        <v/>
      </c>
      <c r="K80" s="1144">
        <f t="shared" si="1"/>
        <v>0</v>
      </c>
      <c r="L80" s="292" t="str">
        <f>IF(ISBLANK(E80),"",'FL5_POR_包裝對照表 (Mapping Table)'!$E$4)</f>
        <v/>
      </c>
      <c r="M80" s="292" t="str">
        <f>IF(ISBLANK(E80),"",'FL5_POR_包裝對照表 (Mapping Table)'!$F$4&amp;"-PRQ")</f>
        <v/>
      </c>
      <c r="N80" s="292" t="str">
        <f t="shared" si="2"/>
        <v/>
      </c>
      <c r="O80" s="677" t="str">
        <f t="shared" si="3"/>
        <v/>
      </c>
      <c r="P80" s="677" t="str">
        <f t="shared" si="4"/>
        <v/>
      </c>
      <c r="Q80" s="1145" t="str">
        <f t="array" ref="Q80">if(isblank(E80),"",xlookup(E80,'FL5_POR_包裝對照表 (Mapping Table)'!E:E,'FL5_POR_包裝對照表 (Mapping Table)'!AB:AB,"",0,1))</f>
        <v/>
      </c>
      <c r="R80" s="888"/>
      <c r="S80" s="888"/>
      <c r="T80" s="1154"/>
      <c r="U80" s="888"/>
      <c r="V80" s="888"/>
      <c r="W80" s="310"/>
      <c r="X80" s="908" t="str">
        <f t="array" ref="X80">if(isblank(E80),"",xlookup(E80,'FL5_POR_包裝對照表 (Mapping Table)'!E:E,'FL5_POR_包裝對照表 (Mapping Table)'!K:K,"",0,1))</f>
        <v/>
      </c>
      <c r="Y80" s="1"/>
      <c r="Z80" s="1"/>
      <c r="AA80" s="1"/>
      <c r="AB80" s="1"/>
      <c r="AC80" s="1"/>
      <c r="AD80" s="1"/>
      <c r="AE80" s="1"/>
      <c r="AF80" s="1"/>
      <c r="AG80" s="1"/>
      <c r="AH80" s="1"/>
      <c r="AI80" s="1"/>
      <c r="AJ80" s="1"/>
      <c r="AK80" s="1"/>
      <c r="AL80" s="1"/>
      <c r="AM80" s="1"/>
      <c r="AN80" s="1"/>
    </row>
    <row r="81">
      <c r="A81" s="1138"/>
      <c r="B81" s="310"/>
      <c r="C81" s="888"/>
      <c r="D81" s="301" t="str">
        <f t="array" ref="D81">if(isblank(E81),"",xlookup(E81,'FL5_POR_包裝對照表 (Mapping Table)'!E:E,'FL5_POR_包裝對照表 (Mapping Table)'!BJ:BJ,"",0,1))</f>
        <v/>
      </c>
      <c r="E81" s="1140"/>
      <c r="F81" s="1141" t="str">
        <f t="array" ref="F81">if(isblank(E81),"",xlookup(E81,'FL5_POR_包裝對照表 (Mapping Table)'!E:E,'FL5_POR_包裝對照表 (Mapping Table)'!E:E,"",0,1))</f>
        <v/>
      </c>
      <c r="G81" s="313" t="str">
        <f t="array" ref="G81">if(isblank(E81),"",xlookup(E81,'FL5_POR_包裝對照表 (Mapping Table)'!E:E,'FL5_POR_包裝對照表 (Mapping Table)'!F:F,"",0,1))</f>
        <v/>
      </c>
      <c r="H81" s="312" t="str">
        <f t="array" ref="H81">if(isblank(E81),"",xlookup(E81,'FL5_POR_包裝對照表 (Mapping Table)'!E:E,'FL5_POR_包裝對照表 (Mapping Table)'!AN:AN,"",0,1))</f>
        <v/>
      </c>
      <c r="I81" s="1155" t="str">
        <f t="shared" si="5"/>
        <v/>
      </c>
      <c r="J81" s="1143" t="str">
        <f t="array" ref="J81">IF(ISBLANK(F81),"",XLOOKUP(F81,'FL5_POR_核價 (經管 &amp; BPM)'!E:E,'FL5_POR_核價 (經管 &amp; BPM)'!O:O,"",0,1))</f>
        <v/>
      </c>
      <c r="K81" s="1144">
        <f t="shared" si="1"/>
        <v>0</v>
      </c>
      <c r="L81" s="292" t="str">
        <f>IF(ISBLANK(E81),"",'FL5_POR_包裝對照表 (Mapping Table)'!$E$4)</f>
        <v/>
      </c>
      <c r="M81" s="292" t="str">
        <f>IF(ISBLANK(E81),"",'FL5_POR_包裝對照表 (Mapping Table)'!$F$4&amp;"-PRQ")</f>
        <v/>
      </c>
      <c r="N81" s="292" t="str">
        <f t="shared" si="2"/>
        <v/>
      </c>
      <c r="O81" s="677" t="str">
        <f t="shared" si="3"/>
        <v/>
      </c>
      <c r="P81" s="677" t="str">
        <f t="shared" si="4"/>
        <v/>
      </c>
      <c r="Q81" s="1145" t="str">
        <f t="array" ref="Q81">if(isblank(E81),"",xlookup(E81,'FL5_POR_包裝對照表 (Mapping Table)'!E:E,'FL5_POR_包裝對照表 (Mapping Table)'!AB:AB,"",0,1))</f>
        <v/>
      </c>
      <c r="R81" s="888"/>
      <c r="S81" s="888"/>
      <c r="T81" s="1154"/>
      <c r="U81" s="888"/>
      <c r="V81" s="888"/>
      <c r="W81" s="310"/>
      <c r="X81" s="908" t="str">
        <f t="array" ref="X81">if(isblank(E81),"",xlookup(E81,'FL5_POR_包裝對照表 (Mapping Table)'!E:E,'FL5_POR_包裝對照表 (Mapping Table)'!K:K,"",0,1))</f>
        <v/>
      </c>
      <c r="Y81" s="1"/>
      <c r="Z81" s="1"/>
      <c r="AA81" s="1"/>
      <c r="AB81" s="1"/>
      <c r="AC81" s="1"/>
      <c r="AD81" s="1"/>
      <c r="AE81" s="1"/>
      <c r="AF81" s="1"/>
      <c r="AG81" s="1"/>
      <c r="AH81" s="1"/>
      <c r="AI81" s="1"/>
      <c r="AJ81" s="1"/>
      <c r="AK81" s="1"/>
      <c r="AL81" s="1"/>
      <c r="AM81" s="1"/>
      <c r="AN81" s="1"/>
    </row>
    <row r="82">
      <c r="A82" s="1138"/>
      <c r="B82" s="310"/>
      <c r="C82" s="888"/>
      <c r="D82" s="301" t="str">
        <f t="array" ref="D82">if(isblank(E82),"",xlookup(E82,'FL5_POR_包裝對照表 (Mapping Table)'!E:E,'FL5_POR_包裝對照表 (Mapping Table)'!BJ:BJ,"",0,1))</f>
        <v/>
      </c>
      <c r="E82" s="1140"/>
      <c r="F82" s="1141" t="str">
        <f t="array" ref="F82">if(isblank(E82),"",xlookup(E82,'FL5_POR_包裝對照表 (Mapping Table)'!E:E,'FL5_POR_包裝對照表 (Mapping Table)'!E:E,"",0,1))</f>
        <v/>
      </c>
      <c r="G82" s="313" t="str">
        <f t="array" ref="G82">if(isblank(E82),"",xlookup(E82,'FL5_POR_包裝對照表 (Mapping Table)'!E:E,'FL5_POR_包裝對照表 (Mapping Table)'!F:F,"",0,1))</f>
        <v/>
      </c>
      <c r="H82" s="312" t="str">
        <f t="array" ref="H82">if(isblank(E82),"",xlookup(E82,'FL5_POR_包裝對照表 (Mapping Table)'!E:E,'FL5_POR_包裝對照表 (Mapping Table)'!AN:AN,"",0,1))</f>
        <v/>
      </c>
      <c r="I82" s="1155" t="str">
        <f t="shared" si="5"/>
        <v/>
      </c>
      <c r="J82" s="1143" t="str">
        <f t="array" ref="J82">IF(ISBLANK(F82),"",XLOOKUP(F82,'FL5_POR_核價 (經管 &amp; BPM)'!E:E,'FL5_POR_核價 (經管 &amp; BPM)'!O:O,"",0,1))</f>
        <v/>
      </c>
      <c r="K82" s="1144">
        <f t="shared" si="1"/>
        <v>0</v>
      </c>
      <c r="L82" s="292" t="str">
        <f>IF(ISBLANK(E82),"",'FL5_POR_包裝對照表 (Mapping Table)'!$E$4)</f>
        <v/>
      </c>
      <c r="M82" s="292" t="str">
        <f>IF(ISBLANK(E82),"",'FL5_POR_包裝對照表 (Mapping Table)'!$F$4&amp;"-PRQ")</f>
        <v/>
      </c>
      <c r="N82" s="292" t="str">
        <f t="shared" si="2"/>
        <v/>
      </c>
      <c r="O82" s="677" t="str">
        <f t="shared" si="3"/>
        <v/>
      </c>
      <c r="P82" s="677" t="str">
        <f t="shared" si="4"/>
        <v/>
      </c>
      <c r="Q82" s="1145" t="str">
        <f t="array" ref="Q82">if(isblank(E82),"",xlookup(E82,'FL5_POR_包裝對照表 (Mapping Table)'!E:E,'FL5_POR_包裝對照表 (Mapping Table)'!AB:AB,"",0,1))</f>
        <v/>
      </c>
      <c r="R82" s="888"/>
      <c r="S82" s="888"/>
      <c r="T82" s="1154"/>
      <c r="U82" s="888"/>
      <c r="V82" s="888"/>
      <c r="W82" s="310"/>
      <c r="X82" s="908" t="str">
        <f t="array" ref="X82">if(isblank(E82),"",xlookup(E82,'FL5_POR_包裝對照表 (Mapping Table)'!E:E,'FL5_POR_包裝對照表 (Mapping Table)'!K:K,"",0,1))</f>
        <v/>
      </c>
      <c r="Y82" s="1"/>
      <c r="Z82" s="1"/>
      <c r="AA82" s="1"/>
      <c r="AB82" s="1"/>
      <c r="AC82" s="1"/>
      <c r="AD82" s="1"/>
      <c r="AE82" s="1"/>
      <c r="AF82" s="1"/>
      <c r="AG82" s="1"/>
      <c r="AH82" s="1"/>
      <c r="AI82" s="1"/>
      <c r="AJ82" s="1"/>
      <c r="AK82" s="1"/>
      <c r="AL82" s="1"/>
      <c r="AM82" s="1"/>
      <c r="AN82" s="1"/>
    </row>
    <row r="83">
      <c r="A83" s="1138"/>
      <c r="B83" s="310"/>
      <c r="C83" s="888"/>
      <c r="D83" s="301" t="str">
        <f t="array" ref="D83">if(isblank(E83),"",xlookup(E83,'FL5_POR_包裝對照表 (Mapping Table)'!E:E,'FL5_POR_包裝對照表 (Mapping Table)'!BJ:BJ,"",0,1))</f>
        <v/>
      </c>
      <c r="E83" s="1140"/>
      <c r="F83" s="1141" t="str">
        <f t="array" ref="F83">if(isblank(E83),"",xlookup(E83,'FL5_POR_包裝對照表 (Mapping Table)'!E:E,'FL5_POR_包裝對照表 (Mapping Table)'!E:E,"",0,1))</f>
        <v/>
      </c>
      <c r="G83" s="313" t="str">
        <f t="array" ref="G83">if(isblank(E83),"",xlookup(E83,'FL5_POR_包裝對照表 (Mapping Table)'!E:E,'FL5_POR_包裝對照表 (Mapping Table)'!F:F,"",0,1))</f>
        <v/>
      </c>
      <c r="H83" s="312" t="str">
        <f t="array" ref="H83">if(isblank(E83),"",xlookup(E83,'FL5_POR_包裝對照表 (Mapping Table)'!E:E,'FL5_POR_包裝對照表 (Mapping Table)'!AN:AN,"",0,1))</f>
        <v/>
      </c>
      <c r="I83" s="1155" t="str">
        <f t="shared" si="5"/>
        <v/>
      </c>
      <c r="J83" s="1143" t="str">
        <f t="array" ref="J83">IF(ISBLANK(F83),"",XLOOKUP(F83,'FL5_POR_核價 (經管 &amp; BPM)'!E:E,'FL5_POR_核價 (經管 &amp; BPM)'!O:O,"",0,1))</f>
        <v/>
      </c>
      <c r="K83" s="1144">
        <f t="shared" si="1"/>
        <v>0</v>
      </c>
      <c r="L83" s="292" t="str">
        <f>IF(ISBLANK(E83),"",'FL5_POR_包裝對照表 (Mapping Table)'!$E$4)</f>
        <v/>
      </c>
      <c r="M83" s="292" t="str">
        <f>IF(ISBLANK(E83),"",'FL5_POR_包裝對照表 (Mapping Table)'!$F$4&amp;"-PRQ")</f>
        <v/>
      </c>
      <c r="N83" s="292" t="str">
        <f t="shared" si="2"/>
        <v/>
      </c>
      <c r="O83" s="677" t="str">
        <f t="shared" si="3"/>
        <v/>
      </c>
      <c r="P83" s="677" t="str">
        <f t="shared" si="4"/>
        <v/>
      </c>
      <c r="Q83" s="1145" t="str">
        <f t="array" ref="Q83">if(isblank(E83),"",xlookup(E83,'FL5_POR_包裝對照表 (Mapping Table)'!E:E,'FL5_POR_包裝對照表 (Mapping Table)'!AB:AB,"",0,1))</f>
        <v/>
      </c>
      <c r="R83" s="888"/>
      <c r="S83" s="888"/>
      <c r="T83" s="1154"/>
      <c r="U83" s="888"/>
      <c r="V83" s="888"/>
      <c r="W83" s="310"/>
      <c r="X83" s="908" t="str">
        <f t="array" ref="X83">if(isblank(E83),"",xlookup(E83,'FL5_POR_包裝對照表 (Mapping Table)'!E:E,'FL5_POR_包裝對照表 (Mapping Table)'!K:K,"",0,1))</f>
        <v/>
      </c>
      <c r="Y83" s="1"/>
      <c r="Z83" s="1"/>
      <c r="AA83" s="1"/>
      <c r="AB83" s="1"/>
      <c r="AC83" s="1"/>
      <c r="AD83" s="1"/>
      <c r="AE83" s="1"/>
      <c r="AF83" s="1"/>
      <c r="AG83" s="1"/>
      <c r="AH83" s="1"/>
      <c r="AI83" s="1"/>
      <c r="AJ83" s="1"/>
      <c r="AK83" s="1"/>
      <c r="AL83" s="1"/>
      <c r="AM83" s="1"/>
      <c r="AN83" s="1"/>
    </row>
    <row r="84">
      <c r="A84" s="1138"/>
      <c r="B84" s="310"/>
      <c r="C84" s="888"/>
      <c r="D84" s="301" t="str">
        <f t="array" ref="D84">if(isblank(E84),"",xlookup(E84,'FL5_POR_包裝對照表 (Mapping Table)'!E:E,'FL5_POR_包裝對照表 (Mapping Table)'!BJ:BJ,"",0,1))</f>
        <v/>
      </c>
      <c r="E84" s="1140"/>
      <c r="F84" s="1141" t="str">
        <f t="array" ref="F84">if(isblank(E84),"",xlookup(E84,'FL5_POR_包裝對照表 (Mapping Table)'!E:E,'FL5_POR_包裝對照表 (Mapping Table)'!E:E,"",0,1))</f>
        <v/>
      </c>
      <c r="G84" s="313" t="str">
        <f t="array" ref="G84">if(isblank(E84),"",xlookup(E84,'FL5_POR_包裝對照表 (Mapping Table)'!E:E,'FL5_POR_包裝對照表 (Mapping Table)'!F:F,"",0,1))</f>
        <v/>
      </c>
      <c r="H84" s="312" t="str">
        <f t="array" ref="H84">if(isblank(E84),"",xlookup(E84,'FL5_POR_包裝對照表 (Mapping Table)'!E:E,'FL5_POR_包裝對照表 (Mapping Table)'!AN:AN,"",0,1))</f>
        <v/>
      </c>
      <c r="I84" s="1155" t="str">
        <f t="shared" si="5"/>
        <v/>
      </c>
      <c r="J84" s="1143" t="str">
        <f t="array" ref="J84">IF(ISBLANK(F84),"",XLOOKUP(F84,'FL5_POR_核價 (經管 &amp; BPM)'!E:E,'FL5_POR_核價 (經管 &amp; BPM)'!O:O,"",0,1))</f>
        <v/>
      </c>
      <c r="K84" s="1144">
        <f t="shared" si="1"/>
        <v>0</v>
      </c>
      <c r="L84" s="292" t="str">
        <f>IF(ISBLANK(E84),"",'FL5_POR_包裝對照表 (Mapping Table)'!$E$4)</f>
        <v/>
      </c>
      <c r="M84" s="292" t="str">
        <f>IF(ISBLANK(E84),"",'FL5_POR_包裝對照表 (Mapping Table)'!$F$4&amp;"-PRQ")</f>
        <v/>
      </c>
      <c r="N84" s="292" t="str">
        <f t="shared" si="2"/>
        <v/>
      </c>
      <c r="O84" s="677" t="str">
        <f t="shared" si="3"/>
        <v/>
      </c>
      <c r="P84" s="677" t="str">
        <f t="shared" si="4"/>
        <v/>
      </c>
      <c r="Q84" s="1145" t="str">
        <f t="array" ref="Q84">if(isblank(E84),"",xlookup(E84,'FL5_POR_包裝對照表 (Mapping Table)'!E:E,'FL5_POR_包裝對照表 (Mapping Table)'!AB:AB,"",0,1))</f>
        <v/>
      </c>
      <c r="R84" s="888"/>
      <c r="S84" s="888"/>
      <c r="T84" s="1154"/>
      <c r="U84" s="888"/>
      <c r="V84" s="888"/>
      <c r="W84" s="310"/>
      <c r="X84" s="908" t="str">
        <f t="array" ref="X84">if(isblank(E84),"",xlookup(E84,'FL5_POR_包裝對照表 (Mapping Table)'!E:E,'FL5_POR_包裝對照表 (Mapping Table)'!K:K,"",0,1))</f>
        <v/>
      </c>
      <c r="Y84" s="1"/>
      <c r="Z84" s="1"/>
      <c r="AA84" s="1"/>
      <c r="AB84" s="1"/>
      <c r="AC84" s="1"/>
      <c r="AD84" s="1"/>
      <c r="AE84" s="1"/>
      <c r="AF84" s="1"/>
      <c r="AG84" s="1"/>
      <c r="AH84" s="1"/>
      <c r="AI84" s="1"/>
      <c r="AJ84" s="1"/>
      <c r="AK84" s="1"/>
      <c r="AL84" s="1"/>
      <c r="AM84" s="1"/>
      <c r="AN84" s="1"/>
    </row>
    <row r="85">
      <c r="A85" s="1138"/>
      <c r="B85" s="310"/>
      <c r="C85" s="888"/>
      <c r="D85" s="301" t="str">
        <f t="array" ref="D85">if(isblank(E85),"",xlookup(E85,'FL5_POR_包裝對照表 (Mapping Table)'!E:E,'FL5_POR_包裝對照表 (Mapping Table)'!BJ:BJ,"",0,1))</f>
        <v/>
      </c>
      <c r="E85" s="1140"/>
      <c r="F85" s="1141" t="str">
        <f t="array" ref="F85">if(isblank(E85),"",xlookup(E85,'FL5_POR_包裝對照表 (Mapping Table)'!E:E,'FL5_POR_包裝對照表 (Mapping Table)'!E:E,"",0,1))</f>
        <v/>
      </c>
      <c r="G85" s="313" t="str">
        <f t="array" ref="G85">if(isblank(E85),"",xlookup(E85,'FL5_POR_包裝對照表 (Mapping Table)'!E:E,'FL5_POR_包裝對照表 (Mapping Table)'!F:F,"",0,1))</f>
        <v/>
      </c>
      <c r="H85" s="312" t="str">
        <f t="array" ref="H85">if(isblank(E85),"",xlookup(E85,'FL5_POR_包裝對照表 (Mapping Table)'!E:E,'FL5_POR_包裝對照表 (Mapping Table)'!AN:AN,"",0,1))</f>
        <v/>
      </c>
      <c r="I85" s="1155" t="str">
        <f t="shared" si="5"/>
        <v/>
      </c>
      <c r="J85" s="1143" t="str">
        <f t="array" ref="J85">IF(ISBLANK(F85),"",XLOOKUP(F85,'FL5_POR_核價 (經管 &amp; BPM)'!E:E,'FL5_POR_核價 (經管 &amp; BPM)'!O:O,"",0,1))</f>
        <v/>
      </c>
      <c r="K85" s="1144">
        <f t="shared" si="1"/>
        <v>0</v>
      </c>
      <c r="L85" s="292" t="str">
        <f>IF(ISBLANK(E85),"",'FL5_POR_包裝對照表 (Mapping Table)'!$E$4)</f>
        <v/>
      </c>
      <c r="M85" s="292" t="str">
        <f>IF(ISBLANK(E85),"",'FL5_POR_包裝對照表 (Mapping Table)'!$F$4&amp;"-PRQ")</f>
        <v/>
      </c>
      <c r="N85" s="292" t="str">
        <f t="shared" si="2"/>
        <v/>
      </c>
      <c r="O85" s="677" t="str">
        <f t="shared" si="3"/>
        <v/>
      </c>
      <c r="P85" s="677" t="str">
        <f t="shared" si="4"/>
        <v/>
      </c>
      <c r="Q85" s="1145" t="str">
        <f t="array" ref="Q85">if(isblank(E85),"",xlookup(E85,'FL5_POR_包裝對照表 (Mapping Table)'!E:E,'FL5_POR_包裝對照表 (Mapping Table)'!AB:AB,"",0,1))</f>
        <v/>
      </c>
      <c r="R85" s="888"/>
      <c r="S85" s="888"/>
      <c r="T85" s="1154"/>
      <c r="U85" s="888"/>
      <c r="V85" s="888"/>
      <c r="W85" s="310"/>
      <c r="X85" s="908" t="str">
        <f t="array" ref="X85">if(isblank(E85),"",xlookup(E85,'FL5_POR_包裝對照表 (Mapping Table)'!E:E,'FL5_POR_包裝對照表 (Mapping Table)'!K:K,"",0,1))</f>
        <v/>
      </c>
      <c r="Y85" s="1"/>
      <c r="Z85" s="1"/>
      <c r="AA85" s="1"/>
      <c r="AB85" s="1"/>
      <c r="AC85" s="1"/>
      <c r="AD85" s="1"/>
      <c r="AE85" s="1"/>
      <c r="AF85" s="1"/>
      <c r="AG85" s="1"/>
      <c r="AH85" s="1"/>
      <c r="AI85" s="1"/>
      <c r="AJ85" s="1"/>
      <c r="AK85" s="1"/>
      <c r="AL85" s="1"/>
      <c r="AM85" s="1"/>
      <c r="AN85" s="1"/>
    </row>
    <row r="86">
      <c r="A86" s="1138"/>
      <c r="B86" s="310"/>
      <c r="C86" s="888"/>
      <c r="D86" s="301" t="str">
        <f t="array" ref="D86">if(isblank(E86),"",xlookup(E86,'FL5_POR_包裝對照表 (Mapping Table)'!E:E,'FL5_POR_包裝對照表 (Mapping Table)'!BJ:BJ,"",0,1))</f>
        <v/>
      </c>
      <c r="E86" s="1140"/>
      <c r="F86" s="1141" t="str">
        <f t="array" ref="F86">if(isblank(E86),"",xlookup(E86,'FL5_POR_包裝對照表 (Mapping Table)'!E:E,'FL5_POR_包裝對照表 (Mapping Table)'!E:E,"",0,1))</f>
        <v/>
      </c>
      <c r="G86" s="313" t="str">
        <f t="array" ref="G86">if(isblank(E86),"",xlookup(E86,'FL5_POR_包裝對照表 (Mapping Table)'!E:E,'FL5_POR_包裝對照表 (Mapping Table)'!F:F,"",0,1))</f>
        <v/>
      </c>
      <c r="H86" s="312" t="str">
        <f t="array" ref="H86">if(isblank(E86),"",xlookup(E86,'FL5_POR_包裝對照表 (Mapping Table)'!E:E,'FL5_POR_包裝對照表 (Mapping Table)'!AN:AN,"",0,1))</f>
        <v/>
      </c>
      <c r="I86" s="1155" t="str">
        <f t="shared" si="5"/>
        <v/>
      </c>
      <c r="J86" s="1143" t="str">
        <f t="array" ref="J86">IF(ISBLANK(F86),"",XLOOKUP(F86,'FL5_POR_核價 (經管 &amp; BPM)'!E:E,'FL5_POR_核價 (經管 &amp; BPM)'!O:O,"",0,1))</f>
        <v/>
      </c>
      <c r="K86" s="1144">
        <f t="shared" si="1"/>
        <v>0</v>
      </c>
      <c r="L86" s="292" t="str">
        <f>IF(ISBLANK(E86),"",'FL5_POR_包裝對照表 (Mapping Table)'!$E$4)</f>
        <v/>
      </c>
      <c r="M86" s="292" t="str">
        <f>IF(ISBLANK(E86),"",'FL5_POR_包裝對照表 (Mapping Table)'!$F$4&amp;"-PRQ")</f>
        <v/>
      </c>
      <c r="N86" s="292" t="str">
        <f t="shared" si="2"/>
        <v/>
      </c>
      <c r="O86" s="677" t="str">
        <f t="shared" si="3"/>
        <v/>
      </c>
      <c r="P86" s="677" t="str">
        <f t="shared" si="4"/>
        <v/>
      </c>
      <c r="Q86" s="1145" t="str">
        <f t="array" ref="Q86">if(isblank(E86),"",xlookup(E86,'FL5_POR_包裝對照表 (Mapping Table)'!E:E,'FL5_POR_包裝對照表 (Mapping Table)'!AB:AB,"",0,1))</f>
        <v/>
      </c>
      <c r="R86" s="888"/>
      <c r="S86" s="888"/>
      <c r="T86" s="1154"/>
      <c r="U86" s="888"/>
      <c r="V86" s="888"/>
      <c r="W86" s="310"/>
      <c r="X86" s="908" t="str">
        <f t="array" ref="X86">if(isblank(E86),"",xlookup(E86,'FL5_POR_包裝對照表 (Mapping Table)'!E:E,'FL5_POR_包裝對照表 (Mapping Table)'!K:K,"",0,1))</f>
        <v/>
      </c>
      <c r="Y86" s="1"/>
      <c r="Z86" s="1"/>
      <c r="AA86" s="1"/>
      <c r="AB86" s="1"/>
      <c r="AC86" s="1"/>
      <c r="AD86" s="1"/>
      <c r="AE86" s="1"/>
      <c r="AF86" s="1"/>
      <c r="AG86" s="1"/>
      <c r="AH86" s="1"/>
      <c r="AI86" s="1"/>
      <c r="AJ86" s="1"/>
      <c r="AK86" s="1"/>
      <c r="AL86" s="1"/>
      <c r="AM86" s="1"/>
      <c r="AN86" s="1"/>
    </row>
    <row r="87">
      <c r="A87" s="1138"/>
      <c r="B87" s="310"/>
      <c r="C87" s="888"/>
      <c r="D87" s="301" t="str">
        <f t="array" ref="D87">if(isblank(E87),"",xlookup(E87,'FL5_POR_包裝對照表 (Mapping Table)'!E:E,'FL5_POR_包裝對照表 (Mapping Table)'!BJ:BJ,"",0,1))</f>
        <v/>
      </c>
      <c r="E87" s="1140"/>
      <c r="F87" s="1141" t="str">
        <f t="array" ref="F87">if(isblank(E87),"",xlookup(E87,'FL5_POR_包裝對照表 (Mapping Table)'!E:E,'FL5_POR_包裝對照表 (Mapping Table)'!E:E,"",0,1))</f>
        <v/>
      </c>
      <c r="G87" s="313" t="str">
        <f t="array" ref="G87">if(isblank(E87),"",xlookup(E87,'FL5_POR_包裝對照表 (Mapping Table)'!E:E,'FL5_POR_包裝對照表 (Mapping Table)'!F:F,"",0,1))</f>
        <v/>
      </c>
      <c r="H87" s="312" t="str">
        <f t="array" ref="H87">if(isblank(E87),"",xlookup(E87,'FL5_POR_包裝對照表 (Mapping Table)'!E:E,'FL5_POR_包裝對照表 (Mapping Table)'!AN:AN,"",0,1))</f>
        <v/>
      </c>
      <c r="I87" s="1155" t="str">
        <f t="shared" si="5"/>
        <v/>
      </c>
      <c r="J87" s="1143" t="str">
        <f t="array" ref="J87">IF(ISBLANK(F87),"",XLOOKUP(F87,'FL5_POR_核價 (經管 &amp; BPM)'!E:E,'FL5_POR_核價 (經管 &amp; BPM)'!O:O,"",0,1))</f>
        <v/>
      </c>
      <c r="K87" s="1144">
        <f t="shared" si="1"/>
        <v>0</v>
      </c>
      <c r="L87" s="292" t="str">
        <f>IF(ISBLANK(E87),"",'FL5_POR_包裝對照表 (Mapping Table)'!$E$4)</f>
        <v/>
      </c>
      <c r="M87" s="292" t="str">
        <f>IF(ISBLANK(E87),"",'FL5_POR_包裝對照表 (Mapping Table)'!$F$4&amp;"-PRQ")</f>
        <v/>
      </c>
      <c r="N87" s="292" t="str">
        <f t="shared" si="2"/>
        <v/>
      </c>
      <c r="O87" s="677" t="str">
        <f t="shared" si="3"/>
        <v/>
      </c>
      <c r="P87" s="677" t="str">
        <f t="shared" si="4"/>
        <v/>
      </c>
      <c r="Q87" s="1145" t="str">
        <f t="array" ref="Q87">if(isblank(E87),"",xlookup(E87,'FL5_POR_包裝對照表 (Mapping Table)'!E:E,'FL5_POR_包裝對照表 (Mapping Table)'!AB:AB,"",0,1))</f>
        <v/>
      </c>
      <c r="R87" s="888"/>
      <c r="S87" s="888"/>
      <c r="T87" s="1154"/>
      <c r="U87" s="888"/>
      <c r="V87" s="888"/>
      <c r="W87" s="310"/>
      <c r="X87" s="908" t="str">
        <f t="array" ref="X87">if(isblank(E87),"",xlookup(E87,'FL5_POR_包裝對照表 (Mapping Table)'!E:E,'FL5_POR_包裝對照表 (Mapping Table)'!K:K,"",0,1))</f>
        <v/>
      </c>
      <c r="Y87" s="1"/>
      <c r="Z87" s="1"/>
      <c r="AA87" s="1"/>
      <c r="AB87" s="1"/>
      <c r="AC87" s="1"/>
      <c r="AD87" s="1"/>
      <c r="AE87" s="1"/>
      <c r="AF87" s="1"/>
      <c r="AG87" s="1"/>
      <c r="AH87" s="1"/>
      <c r="AI87" s="1"/>
      <c r="AJ87" s="1"/>
      <c r="AK87" s="1"/>
      <c r="AL87" s="1"/>
      <c r="AM87" s="1"/>
      <c r="AN87" s="1"/>
    </row>
    <row r="88">
      <c r="A88" s="1138"/>
      <c r="B88" s="310"/>
      <c r="C88" s="888"/>
      <c r="D88" s="301" t="str">
        <f t="array" ref="D88">if(isblank(E88),"",xlookup(E88,'FL5_POR_包裝對照表 (Mapping Table)'!E:E,'FL5_POR_包裝對照表 (Mapping Table)'!BJ:BJ,"",0,1))</f>
        <v/>
      </c>
      <c r="E88" s="1140"/>
      <c r="F88" s="1141" t="str">
        <f t="array" ref="F88">if(isblank(E88),"",xlookup(E88,'FL5_POR_包裝對照表 (Mapping Table)'!E:E,'FL5_POR_包裝對照表 (Mapping Table)'!E:E,"",0,1))</f>
        <v/>
      </c>
      <c r="G88" s="313" t="str">
        <f t="array" ref="G88">if(isblank(E88),"",xlookup(E88,'FL5_POR_包裝對照表 (Mapping Table)'!E:E,'FL5_POR_包裝對照表 (Mapping Table)'!F:F,"",0,1))</f>
        <v/>
      </c>
      <c r="H88" s="312" t="str">
        <f t="array" ref="H88">if(isblank(E88),"",xlookup(E88,'FL5_POR_包裝對照表 (Mapping Table)'!E:E,'FL5_POR_包裝對照表 (Mapping Table)'!AN:AN,"",0,1))</f>
        <v/>
      </c>
      <c r="I88" s="1155" t="str">
        <f t="shared" si="5"/>
        <v/>
      </c>
      <c r="J88" s="1143" t="str">
        <f t="array" ref="J88">IF(ISBLANK(F88),"",XLOOKUP(F88,'FL5_POR_核價 (經管 &amp; BPM)'!E:E,'FL5_POR_核價 (經管 &amp; BPM)'!O:O,"",0,1))</f>
        <v/>
      </c>
      <c r="K88" s="1144">
        <f t="shared" si="1"/>
        <v>0</v>
      </c>
      <c r="L88" s="292" t="str">
        <f>IF(ISBLANK(E88),"",'FL5_POR_包裝對照表 (Mapping Table)'!$E$4)</f>
        <v/>
      </c>
      <c r="M88" s="292" t="str">
        <f>IF(ISBLANK(E88),"",'FL5_POR_包裝對照表 (Mapping Table)'!$F$4&amp;"-PRQ")</f>
        <v/>
      </c>
      <c r="N88" s="292" t="str">
        <f t="shared" si="2"/>
        <v/>
      </c>
      <c r="O88" s="677" t="str">
        <f t="shared" si="3"/>
        <v/>
      </c>
      <c r="P88" s="677" t="str">
        <f t="shared" si="4"/>
        <v/>
      </c>
      <c r="Q88" s="1145" t="str">
        <f t="array" ref="Q88">if(isblank(E88),"",xlookup(E88,'FL5_POR_包裝對照表 (Mapping Table)'!E:E,'FL5_POR_包裝對照表 (Mapping Table)'!AB:AB,"",0,1))</f>
        <v/>
      </c>
      <c r="R88" s="888"/>
      <c r="S88" s="888"/>
      <c r="T88" s="1154"/>
      <c r="U88" s="888"/>
      <c r="V88" s="888"/>
      <c r="W88" s="310"/>
      <c r="X88" s="908" t="str">
        <f t="array" ref="X88">if(isblank(E88),"",xlookup(E88,'FL5_POR_包裝對照表 (Mapping Table)'!E:E,'FL5_POR_包裝對照表 (Mapping Table)'!K:K,"",0,1))</f>
        <v/>
      </c>
      <c r="Y88" s="1"/>
      <c r="Z88" s="1"/>
      <c r="AA88" s="1"/>
      <c r="AB88" s="1"/>
      <c r="AC88" s="1"/>
      <c r="AD88" s="1"/>
      <c r="AE88" s="1"/>
      <c r="AF88" s="1"/>
      <c r="AG88" s="1"/>
      <c r="AH88" s="1"/>
      <c r="AI88" s="1"/>
      <c r="AJ88" s="1"/>
      <c r="AK88" s="1"/>
      <c r="AL88" s="1"/>
      <c r="AM88" s="1"/>
      <c r="AN88" s="1"/>
    </row>
    <row r="89">
      <c r="A89" s="1138"/>
      <c r="B89" s="310"/>
      <c r="C89" s="888"/>
      <c r="D89" s="301" t="str">
        <f t="array" ref="D89">if(isblank(E89),"",xlookup(E89,'FL5_POR_包裝對照表 (Mapping Table)'!E:E,'FL5_POR_包裝對照表 (Mapping Table)'!BJ:BJ,"",0,1))</f>
        <v/>
      </c>
      <c r="E89" s="1140"/>
      <c r="F89" s="1141" t="str">
        <f t="array" ref="F89">if(isblank(E89),"",xlookup(E89,'FL5_POR_包裝對照表 (Mapping Table)'!E:E,'FL5_POR_包裝對照表 (Mapping Table)'!E:E,"",0,1))</f>
        <v/>
      </c>
      <c r="G89" s="313" t="str">
        <f t="array" ref="G89">if(isblank(E89),"",xlookup(E89,'FL5_POR_包裝對照表 (Mapping Table)'!E:E,'FL5_POR_包裝對照表 (Mapping Table)'!F:F,"",0,1))</f>
        <v/>
      </c>
      <c r="H89" s="312" t="str">
        <f t="array" ref="H89">if(isblank(E89),"",xlookup(E89,'FL5_POR_包裝對照表 (Mapping Table)'!E:E,'FL5_POR_包裝對照表 (Mapping Table)'!AN:AN,"",0,1))</f>
        <v/>
      </c>
      <c r="I89" s="1155" t="str">
        <f t="shared" si="5"/>
        <v/>
      </c>
      <c r="J89" s="1143" t="str">
        <f t="array" ref="J89">IF(ISBLANK(F89),"",XLOOKUP(F89,'FL5_POR_核價 (經管 &amp; BPM)'!E:E,'FL5_POR_核價 (經管 &amp; BPM)'!O:O,"",0,1))</f>
        <v/>
      </c>
      <c r="K89" s="1144">
        <f t="shared" si="1"/>
        <v>0</v>
      </c>
      <c r="L89" s="292" t="str">
        <f>IF(ISBLANK(E89),"",'FL5_POR_包裝對照表 (Mapping Table)'!$E$4)</f>
        <v/>
      </c>
      <c r="M89" s="292" t="str">
        <f>IF(ISBLANK(E89),"",'FL5_POR_包裝對照表 (Mapping Table)'!$F$4&amp;"-PRQ")</f>
        <v/>
      </c>
      <c r="N89" s="292" t="str">
        <f t="shared" si="2"/>
        <v/>
      </c>
      <c r="O89" s="677" t="str">
        <f t="shared" si="3"/>
        <v/>
      </c>
      <c r="P89" s="677" t="str">
        <f t="shared" si="4"/>
        <v/>
      </c>
      <c r="Q89" s="1145" t="str">
        <f t="array" ref="Q89">if(isblank(E89),"",xlookup(E89,'FL5_POR_包裝對照表 (Mapping Table)'!E:E,'FL5_POR_包裝對照表 (Mapping Table)'!AB:AB,"",0,1))</f>
        <v/>
      </c>
      <c r="R89" s="888"/>
      <c r="S89" s="888"/>
      <c r="T89" s="1154"/>
      <c r="U89" s="888"/>
      <c r="V89" s="888"/>
      <c r="W89" s="310"/>
      <c r="X89" s="908" t="str">
        <f t="array" ref="X89">if(isblank(E89),"",xlookup(E89,'FL5_POR_包裝對照表 (Mapping Table)'!E:E,'FL5_POR_包裝對照表 (Mapping Table)'!K:K,"",0,1))</f>
        <v/>
      </c>
      <c r="Y89" s="1"/>
      <c r="Z89" s="1"/>
      <c r="AA89" s="1"/>
      <c r="AB89" s="1"/>
      <c r="AC89" s="1"/>
      <c r="AD89" s="1"/>
      <c r="AE89" s="1"/>
      <c r="AF89" s="1"/>
      <c r="AG89" s="1"/>
      <c r="AH89" s="1"/>
      <c r="AI89" s="1"/>
      <c r="AJ89" s="1"/>
      <c r="AK89" s="1"/>
      <c r="AL89" s="1"/>
      <c r="AM89" s="1"/>
      <c r="AN89" s="1"/>
    </row>
    <row r="90">
      <c r="A90" s="1138"/>
      <c r="B90" s="310"/>
      <c r="C90" s="888"/>
      <c r="D90" s="301" t="str">
        <f t="array" ref="D90">if(isblank(E90),"",xlookup(E90,'FL5_POR_包裝對照表 (Mapping Table)'!E:E,'FL5_POR_包裝對照表 (Mapping Table)'!BJ:BJ,"",0,1))</f>
        <v/>
      </c>
      <c r="E90" s="1140"/>
      <c r="F90" s="1141" t="str">
        <f t="array" ref="F90">if(isblank(E90),"",xlookup(E90,'FL5_POR_包裝對照表 (Mapping Table)'!E:E,'FL5_POR_包裝對照表 (Mapping Table)'!E:E,"",0,1))</f>
        <v/>
      </c>
      <c r="G90" s="313" t="str">
        <f t="array" ref="G90">if(isblank(E90),"",xlookup(E90,'FL5_POR_包裝對照表 (Mapping Table)'!E:E,'FL5_POR_包裝對照表 (Mapping Table)'!F:F,"",0,1))</f>
        <v/>
      </c>
      <c r="H90" s="312" t="str">
        <f t="array" ref="H90">if(isblank(E90),"",xlookup(E90,'FL5_POR_包裝對照表 (Mapping Table)'!E:E,'FL5_POR_包裝對照表 (Mapping Table)'!AN:AN,"",0,1))</f>
        <v/>
      </c>
      <c r="I90" s="1155" t="str">
        <f t="shared" si="5"/>
        <v/>
      </c>
      <c r="J90" s="1143" t="str">
        <f t="shared" ref="J90:J108" si="6">if(isblank(E90),"",xlookup(E90,'TK4_POR_核價 (經管 &amp; BPM)'!E:E,'TK4_POR_核價 (經管 &amp; BPM)'!O:O,"",0,1))</f>
        <v/>
      </c>
      <c r="K90" s="1144">
        <f t="shared" si="1"/>
        <v>0</v>
      </c>
      <c r="L90" s="292" t="str">
        <f>IF(ISBLANK(E90),"",'FL5_POR_包裝對照表 (Mapping Table)'!$E$4)</f>
        <v/>
      </c>
      <c r="M90" s="292" t="str">
        <f>IF(ISBLANK(E90),"",'FL5_POR_包裝對照表 (Mapping Table)'!$F$4&amp;"-PRQ")</f>
        <v/>
      </c>
      <c r="N90" s="292" t="str">
        <f t="shared" si="2"/>
        <v/>
      </c>
      <c r="O90" s="677" t="str">
        <f t="shared" si="3"/>
        <v/>
      </c>
      <c r="P90" s="677" t="str">
        <f t="shared" si="4"/>
        <v/>
      </c>
      <c r="Q90" s="1145" t="str">
        <f t="array" ref="Q90">if(isblank(E90),"",xlookup(E90,'FL5_POR_包裝對照表 (Mapping Table)'!E:E,'FL5_POR_包裝對照表 (Mapping Table)'!AB:AB,"",0,1))</f>
        <v/>
      </c>
      <c r="R90" s="888"/>
      <c r="S90" s="888"/>
      <c r="T90" s="1154"/>
      <c r="U90" s="888"/>
      <c r="V90" s="888"/>
      <c r="W90" s="310"/>
      <c r="X90" s="908" t="str">
        <f t="array" ref="X90">if(isblank(E90),"",xlookup(E90,'FL5_POR_包裝對照表 (Mapping Table)'!E:E,'FL5_POR_包裝對照表 (Mapping Table)'!K:K,"",0,1))</f>
        <v/>
      </c>
      <c r="Y90" s="1"/>
      <c r="Z90" s="1"/>
      <c r="AA90" s="1"/>
      <c r="AB90" s="1"/>
      <c r="AC90" s="1"/>
      <c r="AD90" s="1"/>
      <c r="AE90" s="1"/>
      <c r="AF90" s="1"/>
      <c r="AG90" s="1"/>
      <c r="AH90" s="1"/>
      <c r="AI90" s="1"/>
      <c r="AJ90" s="1"/>
      <c r="AK90" s="1"/>
      <c r="AL90" s="1"/>
      <c r="AM90" s="1"/>
      <c r="AN90" s="1"/>
    </row>
    <row r="91">
      <c r="A91" s="1138"/>
      <c r="B91" s="310"/>
      <c r="C91" s="888"/>
      <c r="D91" s="301" t="str">
        <f t="array" ref="D91">if(isblank(E91),"",xlookup(E91,'FL5_POR_包裝對照表 (Mapping Table)'!E:E,'FL5_POR_包裝對照表 (Mapping Table)'!BJ:BJ,"",0,1))</f>
        <v/>
      </c>
      <c r="E91" s="1140"/>
      <c r="F91" s="1141" t="str">
        <f t="array" ref="F91">if(isblank(E91),"",xlookup(E91,'FL5_POR_包裝對照表 (Mapping Table)'!E:E,'FL5_POR_包裝對照表 (Mapping Table)'!E:E,"",0,1))</f>
        <v/>
      </c>
      <c r="G91" s="313" t="str">
        <f t="array" ref="G91">if(isblank(E91),"",xlookup(E91,'FL5_POR_包裝對照表 (Mapping Table)'!E:E,'FL5_POR_包裝對照表 (Mapping Table)'!F:F,"",0,1))</f>
        <v/>
      </c>
      <c r="H91" s="312" t="str">
        <f t="array" ref="H91">if(isblank(E91),"",xlookup(E91,'FL5_POR_包裝對照表 (Mapping Table)'!E:E,'FL5_POR_包裝對照表 (Mapping Table)'!AN:AN,"",0,1))</f>
        <v/>
      </c>
      <c r="I91" s="1155" t="str">
        <f t="shared" si="5"/>
        <v/>
      </c>
      <c r="J91" s="1143" t="str">
        <f t="shared" si="6"/>
        <v/>
      </c>
      <c r="K91" s="1144">
        <f t="shared" si="1"/>
        <v>0</v>
      </c>
      <c r="L91" s="292" t="str">
        <f>IF(ISBLANK(E91),"",'FL5_POR_包裝對照表 (Mapping Table)'!$E$4)</f>
        <v/>
      </c>
      <c r="M91" s="292" t="str">
        <f>IF(ISBLANK(E91),"",'FL5_POR_包裝對照表 (Mapping Table)'!$F$4&amp;"-PRQ")</f>
        <v/>
      </c>
      <c r="N91" s="292" t="str">
        <f t="shared" si="2"/>
        <v/>
      </c>
      <c r="O91" s="677" t="str">
        <f t="shared" si="3"/>
        <v/>
      </c>
      <c r="P91" s="677" t="str">
        <f t="shared" si="4"/>
        <v/>
      </c>
      <c r="Q91" s="1145" t="str">
        <f t="array" ref="Q91">if(isblank(E91),"",xlookup(E91,'FL5_POR_包裝對照表 (Mapping Table)'!E:E,'FL5_POR_包裝對照表 (Mapping Table)'!AB:AB,"",0,1))</f>
        <v/>
      </c>
      <c r="R91" s="888"/>
      <c r="S91" s="888"/>
      <c r="T91" s="1154"/>
      <c r="U91" s="888"/>
      <c r="V91" s="888"/>
      <c r="W91" s="310"/>
      <c r="X91" s="908" t="str">
        <f t="array" ref="X91">if(isblank(E91),"",xlookup(E91,'FL5_POR_包裝對照表 (Mapping Table)'!E:E,'FL5_POR_包裝對照表 (Mapping Table)'!K:K,"",0,1))</f>
        <v/>
      </c>
      <c r="Y91" s="1"/>
      <c r="Z91" s="1"/>
      <c r="AA91" s="1"/>
      <c r="AB91" s="1"/>
      <c r="AC91" s="1"/>
      <c r="AD91" s="1"/>
      <c r="AE91" s="1"/>
      <c r="AF91" s="1"/>
      <c r="AG91" s="1"/>
      <c r="AH91" s="1"/>
      <c r="AI91" s="1"/>
      <c r="AJ91" s="1"/>
      <c r="AK91" s="1"/>
      <c r="AL91" s="1"/>
      <c r="AM91" s="1"/>
      <c r="AN91" s="1"/>
    </row>
    <row r="92">
      <c r="A92" s="1138"/>
      <c r="B92" s="310"/>
      <c r="C92" s="888"/>
      <c r="D92" s="301" t="str">
        <f t="array" ref="D92">if(isblank(E92),"",xlookup(E92,'FL5_POR_包裝對照表 (Mapping Table)'!E:E,'FL5_POR_包裝對照表 (Mapping Table)'!BJ:BJ,"",0,1))</f>
        <v/>
      </c>
      <c r="E92" s="1140"/>
      <c r="F92" s="1141" t="str">
        <f t="array" ref="F92">if(isblank(E92),"",xlookup(E92,'FL5_POR_包裝對照表 (Mapping Table)'!E:E,'FL5_POR_包裝對照表 (Mapping Table)'!E:E,"",0,1))</f>
        <v/>
      </c>
      <c r="G92" s="313" t="str">
        <f t="array" ref="G92">if(isblank(E92),"",xlookup(E92,'FL5_POR_包裝對照表 (Mapping Table)'!E:E,'FL5_POR_包裝對照表 (Mapping Table)'!F:F,"",0,1))</f>
        <v/>
      </c>
      <c r="H92" s="312" t="str">
        <f t="array" ref="H92">if(isblank(E92),"",xlookup(E92,'FL5_POR_包裝對照表 (Mapping Table)'!E:E,'FL5_POR_包裝對照表 (Mapping Table)'!AN:AN,"",0,1))</f>
        <v/>
      </c>
      <c r="I92" s="1155" t="str">
        <f t="shared" si="5"/>
        <v/>
      </c>
      <c r="J92" s="1143" t="str">
        <f t="shared" si="6"/>
        <v/>
      </c>
      <c r="K92" s="1144">
        <f t="shared" si="1"/>
        <v>0</v>
      </c>
      <c r="L92" s="292" t="str">
        <f>IF(ISBLANK(E92),"",'FL5_POR_包裝對照表 (Mapping Table)'!$E$4)</f>
        <v/>
      </c>
      <c r="M92" s="292" t="str">
        <f>IF(ISBLANK(E92),"",'FL5_POR_包裝對照表 (Mapping Table)'!$F$4&amp;"-PRQ")</f>
        <v/>
      </c>
      <c r="N92" s="292" t="str">
        <f t="shared" si="2"/>
        <v/>
      </c>
      <c r="O92" s="677" t="str">
        <f t="shared" si="3"/>
        <v/>
      </c>
      <c r="P92" s="677" t="str">
        <f t="shared" si="4"/>
        <v/>
      </c>
      <c r="Q92" s="1145" t="str">
        <f t="array" ref="Q92">if(isblank(E92),"",xlookup(E92,'FL5_POR_包裝對照表 (Mapping Table)'!E:E,'FL5_POR_包裝對照表 (Mapping Table)'!AB:AB,"",0,1))</f>
        <v/>
      </c>
      <c r="R92" s="888"/>
      <c r="S92" s="888"/>
      <c r="T92" s="1154"/>
      <c r="U92" s="888"/>
      <c r="V92" s="888"/>
      <c r="W92" s="310"/>
      <c r="X92" s="908" t="str">
        <f t="array" ref="X92">if(isblank(E92),"",xlookup(E92,'FL5_POR_包裝對照表 (Mapping Table)'!E:E,'FL5_POR_包裝對照表 (Mapping Table)'!K:K,"",0,1))</f>
        <v/>
      </c>
      <c r="Y92" s="1"/>
      <c r="Z92" s="1"/>
      <c r="AA92" s="1"/>
      <c r="AB92" s="1"/>
      <c r="AC92" s="1"/>
      <c r="AD92" s="1"/>
      <c r="AE92" s="1"/>
      <c r="AF92" s="1"/>
      <c r="AG92" s="1"/>
      <c r="AH92" s="1"/>
      <c r="AI92" s="1"/>
      <c r="AJ92" s="1"/>
      <c r="AK92" s="1"/>
      <c r="AL92" s="1"/>
      <c r="AM92" s="1"/>
      <c r="AN92" s="1"/>
    </row>
    <row r="93">
      <c r="A93" s="1138"/>
      <c r="B93" s="310"/>
      <c r="C93" s="888"/>
      <c r="D93" s="301" t="str">
        <f t="array" ref="D93">if(isblank(E93),"",xlookup(E93,'FL5_POR_包裝對照表 (Mapping Table)'!E:E,'FL5_POR_包裝對照表 (Mapping Table)'!BJ:BJ,"",0,1))</f>
        <v/>
      </c>
      <c r="E93" s="1140"/>
      <c r="F93" s="1141" t="str">
        <f t="array" ref="F93">if(isblank(E93),"",xlookup(E93,'FL5_POR_包裝對照表 (Mapping Table)'!E:E,'FL5_POR_包裝對照表 (Mapping Table)'!E:E,"",0,1))</f>
        <v/>
      </c>
      <c r="G93" s="313" t="str">
        <f t="array" ref="G93">if(isblank(E93),"",xlookup(E93,'FL5_POR_包裝對照表 (Mapping Table)'!E:E,'FL5_POR_包裝對照表 (Mapping Table)'!F:F,"",0,1))</f>
        <v/>
      </c>
      <c r="H93" s="312" t="str">
        <f t="array" ref="H93">if(isblank(E93),"",xlookup(E93,'FL5_POR_包裝對照表 (Mapping Table)'!E:E,'FL5_POR_包裝對照表 (Mapping Table)'!AN:AN,"",0,1))</f>
        <v/>
      </c>
      <c r="I93" s="1155" t="str">
        <f t="shared" si="5"/>
        <v/>
      </c>
      <c r="J93" s="1143" t="str">
        <f t="shared" si="6"/>
        <v/>
      </c>
      <c r="K93" s="1144">
        <f t="shared" si="1"/>
        <v>0</v>
      </c>
      <c r="L93" s="292" t="str">
        <f>IF(ISBLANK(E93),"",'FL5_POR_包裝對照表 (Mapping Table)'!$E$4)</f>
        <v/>
      </c>
      <c r="M93" s="292" t="str">
        <f>IF(ISBLANK(E93),"",'FL5_POR_包裝對照表 (Mapping Table)'!$F$4&amp;"-PRQ")</f>
        <v/>
      </c>
      <c r="N93" s="292" t="str">
        <f t="shared" si="2"/>
        <v/>
      </c>
      <c r="O93" s="677" t="str">
        <f t="shared" si="3"/>
        <v/>
      </c>
      <c r="P93" s="677" t="str">
        <f t="shared" si="4"/>
        <v/>
      </c>
      <c r="Q93" s="1145" t="str">
        <f t="array" ref="Q93">if(isblank(E93),"",xlookup(E93,'FL5_POR_包裝對照表 (Mapping Table)'!E:E,'FL5_POR_包裝對照表 (Mapping Table)'!AB:AB,"",0,1))</f>
        <v/>
      </c>
      <c r="R93" s="888"/>
      <c r="S93" s="888"/>
      <c r="T93" s="1154"/>
      <c r="U93" s="888"/>
      <c r="V93" s="888"/>
      <c r="W93" s="310"/>
      <c r="X93" s="908" t="str">
        <f t="array" ref="X93">if(isblank(E93),"",xlookup(E93,'FL5_POR_包裝對照表 (Mapping Table)'!E:E,'FL5_POR_包裝對照表 (Mapping Table)'!K:K,"",0,1))</f>
        <v/>
      </c>
      <c r="Y93" s="1"/>
      <c r="Z93" s="1"/>
      <c r="AA93" s="1"/>
      <c r="AB93" s="1"/>
      <c r="AC93" s="1"/>
      <c r="AD93" s="1"/>
      <c r="AE93" s="1"/>
      <c r="AF93" s="1"/>
      <c r="AG93" s="1"/>
      <c r="AH93" s="1"/>
      <c r="AI93" s="1"/>
      <c r="AJ93" s="1"/>
      <c r="AK93" s="1"/>
      <c r="AL93" s="1"/>
      <c r="AM93" s="1"/>
      <c r="AN93" s="1"/>
    </row>
    <row r="94">
      <c r="A94" s="1138"/>
      <c r="B94" s="310"/>
      <c r="C94" s="888"/>
      <c r="D94" s="301" t="str">
        <f t="array" ref="D94">if(isblank(E94),"",xlookup(E94,'FL5_POR_包裝對照表 (Mapping Table)'!E:E,'FL5_POR_包裝對照表 (Mapping Table)'!BJ:BJ,"",0,1))</f>
        <v/>
      </c>
      <c r="E94" s="1140"/>
      <c r="F94" s="1141" t="str">
        <f t="array" ref="F94">if(isblank(E94),"",xlookup(E94,'FL5_POR_包裝對照表 (Mapping Table)'!E:E,'FL5_POR_包裝對照表 (Mapping Table)'!E:E,"",0,1))</f>
        <v/>
      </c>
      <c r="G94" s="313" t="str">
        <f t="array" ref="G94">if(isblank(E94),"",xlookup(E94,'FL5_POR_包裝對照表 (Mapping Table)'!E:E,'FL5_POR_包裝對照表 (Mapping Table)'!F:F,"",0,1))</f>
        <v/>
      </c>
      <c r="H94" s="312" t="str">
        <f t="array" ref="H94">if(isblank(E94),"",xlookup(E94,'FL5_POR_包裝對照表 (Mapping Table)'!E:E,'FL5_POR_包裝對照表 (Mapping Table)'!AN:AN,"",0,1))</f>
        <v/>
      </c>
      <c r="I94" s="1155" t="str">
        <f t="shared" si="5"/>
        <v/>
      </c>
      <c r="J94" s="1143" t="str">
        <f t="shared" si="6"/>
        <v/>
      </c>
      <c r="K94" s="1144">
        <f t="shared" si="1"/>
        <v>0</v>
      </c>
      <c r="L94" s="292" t="str">
        <f>IF(ISBLANK(E94),"",'FL5_POR_包裝對照表 (Mapping Table)'!$E$4)</f>
        <v/>
      </c>
      <c r="M94" s="292" t="str">
        <f>IF(ISBLANK(E94),"",'FL5_POR_包裝對照表 (Mapping Table)'!$F$4&amp;"-PRQ")</f>
        <v/>
      </c>
      <c r="N94" s="292" t="str">
        <f t="shared" si="2"/>
        <v/>
      </c>
      <c r="O94" s="677" t="str">
        <f t="shared" si="3"/>
        <v/>
      </c>
      <c r="P94" s="677" t="str">
        <f t="shared" si="4"/>
        <v/>
      </c>
      <c r="Q94" s="1145" t="str">
        <f t="array" ref="Q94">if(isblank(E94),"",xlookup(E94,'FL5_POR_包裝對照表 (Mapping Table)'!E:E,'FL5_POR_包裝對照表 (Mapping Table)'!AB:AB,"",0,1))</f>
        <v/>
      </c>
      <c r="R94" s="888"/>
      <c r="S94" s="888"/>
      <c r="T94" s="1154"/>
      <c r="U94" s="888"/>
      <c r="V94" s="888"/>
      <c r="W94" s="310"/>
      <c r="X94" s="908" t="str">
        <f t="array" ref="X94">if(isblank(E94),"",xlookup(E94,'FL5_POR_包裝對照表 (Mapping Table)'!E:E,'FL5_POR_包裝對照表 (Mapping Table)'!K:K,"",0,1))</f>
        <v/>
      </c>
      <c r="Y94" s="1"/>
      <c r="Z94" s="1"/>
      <c r="AA94" s="1"/>
      <c r="AB94" s="1"/>
      <c r="AC94" s="1"/>
      <c r="AD94" s="1"/>
      <c r="AE94" s="1"/>
      <c r="AF94" s="1"/>
      <c r="AG94" s="1"/>
      <c r="AH94" s="1"/>
      <c r="AI94" s="1"/>
      <c r="AJ94" s="1"/>
      <c r="AK94" s="1"/>
      <c r="AL94" s="1"/>
      <c r="AM94" s="1"/>
      <c r="AN94" s="1"/>
    </row>
    <row r="95">
      <c r="A95" s="1138"/>
      <c r="B95" s="310"/>
      <c r="C95" s="888"/>
      <c r="D95" s="301" t="str">
        <f t="array" ref="D95">if(isblank(E95),"",xlookup(E95,'FL5_POR_包裝對照表 (Mapping Table)'!E:E,'FL5_POR_包裝對照表 (Mapping Table)'!BJ:BJ,"",0,1))</f>
        <v/>
      </c>
      <c r="E95" s="1140"/>
      <c r="F95" s="1141" t="str">
        <f t="array" ref="F95">if(isblank(E95),"",xlookup(E95,'FL5_POR_包裝對照表 (Mapping Table)'!E:E,'FL5_POR_包裝對照表 (Mapping Table)'!E:E,"",0,1))</f>
        <v/>
      </c>
      <c r="G95" s="313" t="str">
        <f t="array" ref="G95">if(isblank(E95),"",xlookup(E95,'FL5_POR_包裝對照表 (Mapping Table)'!E:E,'FL5_POR_包裝對照表 (Mapping Table)'!F:F,"",0,1))</f>
        <v/>
      </c>
      <c r="H95" s="312" t="str">
        <f t="array" ref="H95">if(isblank(E95),"",xlookup(E95,'FL5_POR_包裝對照表 (Mapping Table)'!E:E,'FL5_POR_包裝對照表 (Mapping Table)'!AN:AN,"",0,1))</f>
        <v/>
      </c>
      <c r="I95" s="1155" t="str">
        <f t="shared" si="5"/>
        <v/>
      </c>
      <c r="J95" s="1143" t="str">
        <f t="shared" si="6"/>
        <v/>
      </c>
      <c r="K95" s="1144">
        <f t="shared" si="1"/>
        <v>0</v>
      </c>
      <c r="L95" s="292" t="str">
        <f>IF(ISBLANK(E95),"",'FL5_POR_包裝對照表 (Mapping Table)'!$E$4)</f>
        <v/>
      </c>
      <c r="M95" s="292" t="str">
        <f>IF(ISBLANK(E95),"",'FL5_POR_包裝對照表 (Mapping Table)'!$F$4&amp;"-PRQ")</f>
        <v/>
      </c>
      <c r="N95" s="292" t="str">
        <f t="shared" si="2"/>
        <v/>
      </c>
      <c r="O95" s="677" t="str">
        <f t="shared" si="3"/>
        <v/>
      </c>
      <c r="P95" s="677" t="str">
        <f t="shared" si="4"/>
        <v/>
      </c>
      <c r="Q95" s="1145" t="str">
        <f t="array" ref="Q95">if(isblank(E95),"",xlookup(E95,'FL5_POR_包裝對照表 (Mapping Table)'!E:E,'FL5_POR_包裝對照表 (Mapping Table)'!AB:AB,"",0,1))</f>
        <v/>
      </c>
      <c r="R95" s="888"/>
      <c r="S95" s="888"/>
      <c r="T95" s="1154"/>
      <c r="U95" s="888"/>
      <c r="V95" s="888"/>
      <c r="W95" s="310"/>
      <c r="X95" s="908" t="str">
        <f t="array" ref="X95">if(isblank(E95),"",xlookup(E95,'FL5_POR_包裝對照表 (Mapping Table)'!E:E,'FL5_POR_包裝對照表 (Mapping Table)'!K:K,"",0,1))</f>
        <v/>
      </c>
      <c r="Y95" s="1"/>
      <c r="Z95" s="1"/>
      <c r="AA95" s="1"/>
      <c r="AB95" s="1"/>
      <c r="AC95" s="1"/>
      <c r="AD95" s="1"/>
      <c r="AE95" s="1"/>
      <c r="AF95" s="1"/>
      <c r="AG95" s="1"/>
      <c r="AH95" s="1"/>
      <c r="AI95" s="1"/>
      <c r="AJ95" s="1"/>
      <c r="AK95" s="1"/>
      <c r="AL95" s="1"/>
      <c r="AM95" s="1"/>
      <c r="AN95" s="1"/>
    </row>
    <row r="96">
      <c r="A96" s="1138"/>
      <c r="B96" s="310"/>
      <c r="C96" s="888"/>
      <c r="D96" s="301" t="str">
        <f t="array" ref="D96">if(isblank(E96),"",xlookup(E96,'FL5_POR_包裝對照表 (Mapping Table)'!E:E,'FL5_POR_包裝對照表 (Mapping Table)'!BJ:BJ,"",0,1))</f>
        <v/>
      </c>
      <c r="E96" s="1140"/>
      <c r="F96" s="1141" t="str">
        <f t="array" ref="F96">if(isblank(E96),"",xlookup(E96,'FL5_POR_包裝對照表 (Mapping Table)'!E:E,'FL5_POR_包裝對照表 (Mapping Table)'!E:E,"",0,1))</f>
        <v/>
      </c>
      <c r="G96" s="313" t="str">
        <f t="array" ref="G96">if(isblank(E96),"",xlookup(E96,'FL5_POR_包裝對照表 (Mapping Table)'!E:E,'FL5_POR_包裝對照表 (Mapping Table)'!F:F,"",0,1))</f>
        <v/>
      </c>
      <c r="H96" s="312" t="str">
        <f t="array" ref="H96">if(isblank(E96),"",xlookup(E96,'FL5_POR_包裝對照表 (Mapping Table)'!E:E,'FL5_POR_包裝對照表 (Mapping Table)'!AN:AN,"",0,1))</f>
        <v/>
      </c>
      <c r="I96" s="1155" t="str">
        <f t="shared" si="5"/>
        <v/>
      </c>
      <c r="J96" s="1143" t="str">
        <f t="shared" si="6"/>
        <v/>
      </c>
      <c r="K96" s="1144">
        <f t="shared" si="1"/>
        <v>0</v>
      </c>
      <c r="L96" s="292" t="str">
        <f>IF(ISBLANK(E96),"",'FL5_POR_包裝對照表 (Mapping Table)'!$E$4)</f>
        <v/>
      </c>
      <c r="M96" s="292" t="str">
        <f>IF(ISBLANK(E96),"",'FL5_POR_包裝對照表 (Mapping Table)'!$F$4&amp;"-PRQ")</f>
        <v/>
      </c>
      <c r="N96" s="292" t="str">
        <f t="shared" si="2"/>
        <v/>
      </c>
      <c r="O96" s="677" t="str">
        <f t="shared" si="3"/>
        <v/>
      </c>
      <c r="P96" s="677" t="str">
        <f t="shared" si="4"/>
        <v/>
      </c>
      <c r="Q96" s="1145" t="str">
        <f t="array" ref="Q96">if(isblank(E96),"",xlookup(E96,'FL5_POR_包裝對照表 (Mapping Table)'!E:E,'FL5_POR_包裝對照表 (Mapping Table)'!AB:AB,"",0,1))</f>
        <v/>
      </c>
      <c r="R96" s="888"/>
      <c r="S96" s="888"/>
      <c r="T96" s="1154"/>
      <c r="U96" s="888"/>
      <c r="V96" s="888"/>
      <c r="W96" s="310"/>
      <c r="X96" s="908" t="str">
        <f t="array" ref="X96">if(isblank(E96),"",xlookup(E96,'FL5_POR_包裝對照表 (Mapping Table)'!E:E,'FL5_POR_包裝對照表 (Mapping Table)'!K:K,"",0,1))</f>
        <v/>
      </c>
      <c r="Y96" s="1"/>
      <c r="Z96" s="1"/>
      <c r="AA96" s="1"/>
      <c r="AB96" s="1"/>
      <c r="AC96" s="1"/>
      <c r="AD96" s="1"/>
      <c r="AE96" s="1"/>
      <c r="AF96" s="1"/>
      <c r="AG96" s="1"/>
      <c r="AH96" s="1"/>
      <c r="AI96" s="1"/>
      <c r="AJ96" s="1"/>
      <c r="AK96" s="1"/>
      <c r="AL96" s="1"/>
      <c r="AM96" s="1"/>
      <c r="AN96" s="1"/>
    </row>
    <row r="97">
      <c r="A97" s="1138"/>
      <c r="B97" s="310"/>
      <c r="C97" s="888"/>
      <c r="D97" s="301" t="str">
        <f t="array" ref="D97">if(isblank(E97),"",xlookup(E97,'FL5_POR_包裝對照表 (Mapping Table)'!E:E,'FL5_POR_包裝對照表 (Mapping Table)'!BJ:BJ,"",0,1))</f>
        <v/>
      </c>
      <c r="E97" s="1140"/>
      <c r="F97" s="1141" t="str">
        <f t="array" ref="F97">if(isblank(E97),"",xlookup(E97,'FL5_POR_包裝對照表 (Mapping Table)'!E:E,'FL5_POR_包裝對照表 (Mapping Table)'!E:E,"",0,1))</f>
        <v/>
      </c>
      <c r="G97" s="313" t="str">
        <f t="array" ref="G97">if(isblank(E97),"",xlookup(E97,'FL5_POR_包裝對照表 (Mapping Table)'!E:E,'FL5_POR_包裝對照表 (Mapping Table)'!F:F,"",0,1))</f>
        <v/>
      </c>
      <c r="H97" s="312" t="str">
        <f t="array" ref="H97">if(isblank(E97),"",xlookup(E97,'FL5_POR_包裝對照表 (Mapping Table)'!E:E,'FL5_POR_包裝對照表 (Mapping Table)'!AN:AN,"",0,1))</f>
        <v/>
      </c>
      <c r="I97" s="1155" t="str">
        <f t="shared" si="5"/>
        <v/>
      </c>
      <c r="J97" s="1143" t="str">
        <f t="shared" si="6"/>
        <v/>
      </c>
      <c r="K97" s="1144">
        <f t="shared" si="1"/>
        <v>0</v>
      </c>
      <c r="L97" s="292" t="str">
        <f>IF(ISBLANK(E97),"",'FL5_POR_包裝對照表 (Mapping Table)'!$E$4)</f>
        <v/>
      </c>
      <c r="M97" s="292" t="str">
        <f>IF(ISBLANK(E97),"",'FL5_POR_包裝對照表 (Mapping Table)'!$F$4&amp;"-PRQ")</f>
        <v/>
      </c>
      <c r="N97" s="292" t="str">
        <f t="shared" si="2"/>
        <v/>
      </c>
      <c r="O97" s="677" t="str">
        <f t="shared" si="3"/>
        <v/>
      </c>
      <c r="P97" s="677" t="str">
        <f t="shared" si="4"/>
        <v/>
      </c>
      <c r="Q97" s="1145" t="str">
        <f t="array" ref="Q97">if(isblank(E97),"",xlookup(E97,'FL5_POR_包裝對照表 (Mapping Table)'!E:E,'FL5_POR_包裝對照表 (Mapping Table)'!AB:AB,"",0,1))</f>
        <v/>
      </c>
      <c r="R97" s="888"/>
      <c r="S97" s="888"/>
      <c r="T97" s="1154"/>
      <c r="U97" s="888"/>
      <c r="V97" s="888"/>
      <c r="W97" s="310"/>
      <c r="X97" s="908" t="str">
        <f t="array" ref="X97">if(isblank(E97),"",xlookup(E97,'FL5_POR_包裝對照表 (Mapping Table)'!E:E,'FL5_POR_包裝對照表 (Mapping Table)'!K:K,"",0,1))</f>
        <v/>
      </c>
      <c r="Y97" s="1"/>
      <c r="Z97" s="1"/>
      <c r="AA97" s="1"/>
      <c r="AB97" s="1"/>
      <c r="AC97" s="1"/>
      <c r="AD97" s="1"/>
      <c r="AE97" s="1"/>
      <c r="AF97" s="1"/>
      <c r="AG97" s="1"/>
      <c r="AH97" s="1"/>
      <c r="AI97" s="1"/>
      <c r="AJ97" s="1"/>
      <c r="AK97" s="1"/>
      <c r="AL97" s="1"/>
      <c r="AM97" s="1"/>
      <c r="AN97" s="1"/>
    </row>
    <row r="98">
      <c r="A98" s="1138"/>
      <c r="B98" s="310"/>
      <c r="C98" s="888"/>
      <c r="D98" s="301" t="str">
        <f t="array" ref="D98">if(isblank(E98),"",xlookup(E98,'FL5_POR_包裝對照表 (Mapping Table)'!E:E,'FL5_POR_包裝對照表 (Mapping Table)'!BJ:BJ,"",0,1))</f>
        <v/>
      </c>
      <c r="E98" s="1140"/>
      <c r="F98" s="1141" t="str">
        <f t="array" ref="F98">if(isblank(E98),"",xlookup(E98,'FL5_POR_包裝對照表 (Mapping Table)'!E:E,'FL5_POR_包裝對照表 (Mapping Table)'!E:E,"",0,1))</f>
        <v/>
      </c>
      <c r="G98" s="313" t="str">
        <f t="array" ref="G98">if(isblank(E98),"",xlookup(E98,'FL5_POR_包裝對照表 (Mapping Table)'!E:E,'FL5_POR_包裝對照表 (Mapping Table)'!F:F,"",0,1))</f>
        <v/>
      </c>
      <c r="H98" s="312" t="str">
        <f t="array" ref="H98">if(isblank(E98),"",xlookup(E98,'FL5_POR_包裝對照表 (Mapping Table)'!E:E,'FL5_POR_包裝對照表 (Mapping Table)'!AN:AN,"",0,1))</f>
        <v/>
      </c>
      <c r="I98" s="1155" t="str">
        <f t="shared" si="5"/>
        <v/>
      </c>
      <c r="J98" s="1143" t="str">
        <f t="shared" si="6"/>
        <v/>
      </c>
      <c r="K98" s="1144">
        <f t="shared" si="1"/>
        <v>0</v>
      </c>
      <c r="L98" s="292" t="str">
        <f>IF(ISBLANK(E98),"",'FL5_POR_包裝對照表 (Mapping Table)'!$E$4)</f>
        <v/>
      </c>
      <c r="M98" s="292" t="str">
        <f>IF(ISBLANK(E98),"",'FL5_POR_包裝對照表 (Mapping Table)'!$F$4&amp;"-PRQ")</f>
        <v/>
      </c>
      <c r="N98" s="292" t="str">
        <f t="shared" si="2"/>
        <v/>
      </c>
      <c r="O98" s="677" t="str">
        <f t="shared" si="3"/>
        <v/>
      </c>
      <c r="P98" s="677" t="str">
        <f t="shared" si="4"/>
        <v/>
      </c>
      <c r="Q98" s="1145" t="str">
        <f t="array" ref="Q98">if(isblank(E98),"",xlookup(E98,'FL5_POR_包裝對照表 (Mapping Table)'!E:E,'FL5_POR_包裝對照表 (Mapping Table)'!AB:AB,"",0,1))</f>
        <v/>
      </c>
      <c r="R98" s="888"/>
      <c r="S98" s="888"/>
      <c r="T98" s="1154"/>
      <c r="U98" s="888"/>
      <c r="V98" s="888"/>
      <c r="W98" s="310"/>
      <c r="X98" s="908" t="str">
        <f t="array" ref="X98">if(isblank(E98),"",xlookup(E98,'FL5_POR_包裝對照表 (Mapping Table)'!E:E,'FL5_POR_包裝對照表 (Mapping Table)'!K:K,"",0,1))</f>
        <v/>
      </c>
      <c r="Y98" s="1"/>
      <c r="Z98" s="1"/>
      <c r="AA98" s="1"/>
      <c r="AB98" s="1"/>
      <c r="AC98" s="1"/>
      <c r="AD98" s="1"/>
      <c r="AE98" s="1"/>
      <c r="AF98" s="1"/>
      <c r="AG98" s="1"/>
      <c r="AH98" s="1"/>
      <c r="AI98" s="1"/>
      <c r="AJ98" s="1"/>
      <c r="AK98" s="1"/>
      <c r="AL98" s="1"/>
      <c r="AM98" s="1"/>
      <c r="AN98" s="1"/>
    </row>
    <row r="99">
      <c r="A99" s="1138"/>
      <c r="B99" s="310"/>
      <c r="C99" s="888"/>
      <c r="D99" s="301" t="str">
        <f t="array" ref="D99">if(isblank(E99),"",xlookup(E99,'FL5_POR_包裝對照表 (Mapping Table)'!E:E,'FL5_POR_包裝對照表 (Mapping Table)'!BJ:BJ,"",0,1))</f>
        <v/>
      </c>
      <c r="E99" s="1140"/>
      <c r="F99" s="1141" t="str">
        <f t="array" ref="F99">if(isblank(E99),"",xlookup(E99,'FL5_POR_包裝對照表 (Mapping Table)'!E:E,'FL5_POR_包裝對照表 (Mapping Table)'!E:E,"",0,1))</f>
        <v/>
      </c>
      <c r="G99" s="313" t="str">
        <f t="array" ref="G99">if(isblank(E99),"",xlookup(E99,'FL5_POR_包裝對照表 (Mapping Table)'!E:E,'FL5_POR_包裝對照表 (Mapping Table)'!F:F,"",0,1))</f>
        <v/>
      </c>
      <c r="H99" s="312" t="str">
        <f t="array" ref="H99">if(isblank(E99),"",xlookup(E99,'FL5_POR_包裝對照表 (Mapping Table)'!E:E,'FL5_POR_包裝對照表 (Mapping Table)'!AN:AN,"",0,1))</f>
        <v/>
      </c>
      <c r="I99" s="1155" t="str">
        <f t="shared" si="5"/>
        <v/>
      </c>
      <c r="J99" s="1143" t="str">
        <f t="shared" si="6"/>
        <v/>
      </c>
      <c r="K99" s="1144">
        <f t="shared" si="1"/>
        <v>0</v>
      </c>
      <c r="L99" s="292" t="str">
        <f>IF(ISBLANK(E99),"",'FL5_POR_包裝對照表 (Mapping Table)'!$E$4)</f>
        <v/>
      </c>
      <c r="M99" s="292" t="str">
        <f>IF(ISBLANK(E99),"",'FL5_POR_包裝對照表 (Mapping Table)'!$F$4&amp;"-PRQ")</f>
        <v/>
      </c>
      <c r="N99" s="292" t="str">
        <f t="shared" si="2"/>
        <v/>
      </c>
      <c r="O99" s="677" t="str">
        <f t="shared" si="3"/>
        <v/>
      </c>
      <c r="P99" s="677" t="str">
        <f t="shared" si="4"/>
        <v/>
      </c>
      <c r="Q99" s="1145" t="str">
        <f t="array" ref="Q99">if(isblank(E99),"",xlookup(E99,'FL5_POR_包裝對照表 (Mapping Table)'!E:E,'FL5_POR_包裝對照表 (Mapping Table)'!AB:AB,"",0,1))</f>
        <v/>
      </c>
      <c r="R99" s="888"/>
      <c r="S99" s="888"/>
      <c r="T99" s="1154"/>
      <c r="U99" s="888"/>
      <c r="V99" s="888"/>
      <c r="W99" s="310"/>
      <c r="X99" s="908" t="str">
        <f t="array" ref="X99">if(isblank(E99),"",xlookup(E99,'FL5_POR_包裝對照表 (Mapping Table)'!E:E,'FL5_POR_包裝對照表 (Mapping Table)'!K:K,"",0,1))</f>
        <v/>
      </c>
      <c r="Y99" s="1"/>
      <c r="Z99" s="1"/>
      <c r="AA99" s="1"/>
      <c r="AB99" s="1"/>
      <c r="AC99" s="1"/>
      <c r="AD99" s="1"/>
      <c r="AE99" s="1"/>
      <c r="AF99" s="1"/>
      <c r="AG99" s="1"/>
      <c r="AH99" s="1"/>
      <c r="AI99" s="1"/>
      <c r="AJ99" s="1"/>
      <c r="AK99" s="1"/>
      <c r="AL99" s="1"/>
      <c r="AM99" s="1"/>
      <c r="AN99" s="1"/>
    </row>
    <row r="100">
      <c r="A100" s="1138"/>
      <c r="B100" s="310"/>
      <c r="C100" s="888"/>
      <c r="D100" s="301" t="str">
        <f t="array" ref="D100">if(isblank(E100),"",xlookup(E100,'FL5_POR_包裝對照表 (Mapping Table)'!E:E,'FL5_POR_包裝對照表 (Mapping Table)'!BJ:BJ,"",0,1))</f>
        <v/>
      </c>
      <c r="E100" s="1140"/>
      <c r="F100" s="1141" t="str">
        <f t="array" ref="F100">if(isblank(E100),"",xlookup(E100,'FL5_POR_包裝對照表 (Mapping Table)'!E:E,'FL5_POR_包裝對照表 (Mapping Table)'!E:E,"",0,1))</f>
        <v/>
      </c>
      <c r="G100" s="313" t="str">
        <f t="array" ref="G100">if(isblank(E100),"",xlookup(E100,'FL5_POR_包裝對照表 (Mapping Table)'!E:E,'FL5_POR_包裝對照表 (Mapping Table)'!F:F,"",0,1))</f>
        <v/>
      </c>
      <c r="H100" s="312" t="str">
        <f t="array" ref="H100">if(isblank(E100),"",xlookup(E100,'FL5_POR_包裝對照表 (Mapping Table)'!E:E,'FL5_POR_包裝對照表 (Mapping Table)'!AN:AN,"",0,1))</f>
        <v/>
      </c>
      <c r="I100" s="1155" t="str">
        <f t="shared" si="5"/>
        <v/>
      </c>
      <c r="J100" s="1143" t="str">
        <f t="shared" si="6"/>
        <v/>
      </c>
      <c r="K100" s="1144">
        <f t="shared" si="1"/>
        <v>0</v>
      </c>
      <c r="L100" s="292" t="str">
        <f>IF(ISBLANK(E100),"",'FL5_POR_包裝對照表 (Mapping Table)'!$E$4)</f>
        <v/>
      </c>
      <c r="M100" s="292" t="str">
        <f>IF(ISBLANK(E100),"",'FL5_POR_包裝對照表 (Mapping Table)'!$F$4&amp;"-PRQ")</f>
        <v/>
      </c>
      <c r="N100" s="292" t="str">
        <f t="shared" si="2"/>
        <v/>
      </c>
      <c r="O100" s="677" t="str">
        <f t="shared" si="3"/>
        <v/>
      </c>
      <c r="P100" s="677" t="str">
        <f t="shared" si="4"/>
        <v/>
      </c>
      <c r="Q100" s="1145" t="str">
        <f t="array" ref="Q100">if(isblank(E100),"",xlookup(E100,'FL5_POR_包裝對照表 (Mapping Table)'!E:E,'FL5_POR_包裝對照表 (Mapping Table)'!AB:AB,"",0,1))</f>
        <v/>
      </c>
      <c r="R100" s="888"/>
      <c r="S100" s="888"/>
      <c r="T100" s="1154"/>
      <c r="U100" s="888"/>
      <c r="V100" s="888"/>
      <c r="W100" s="310"/>
      <c r="X100" s="908" t="str">
        <f t="array" ref="X100">if(isblank(E100),"",xlookup(E100,'FL5_POR_包裝對照表 (Mapping Table)'!E:E,'FL5_POR_包裝對照表 (Mapping Table)'!K:K,"",0,1))</f>
        <v/>
      </c>
      <c r="Y100" s="1"/>
      <c r="Z100" s="1"/>
      <c r="AA100" s="1"/>
      <c r="AB100" s="1"/>
      <c r="AC100" s="1"/>
      <c r="AD100" s="1"/>
      <c r="AE100" s="1"/>
      <c r="AF100" s="1"/>
      <c r="AG100" s="1"/>
      <c r="AH100" s="1"/>
      <c r="AI100" s="1"/>
      <c r="AJ100" s="1"/>
      <c r="AK100" s="1"/>
      <c r="AL100" s="1"/>
      <c r="AM100" s="1"/>
      <c r="AN100" s="1"/>
    </row>
    <row r="101">
      <c r="A101" s="1138"/>
      <c r="B101" s="310"/>
      <c r="C101" s="888"/>
      <c r="D101" s="301" t="str">
        <f t="array" ref="D101">if(isblank(E101),"",xlookup(E101,'FL5_POR_包裝對照表 (Mapping Table)'!E:E,'FL5_POR_包裝對照表 (Mapping Table)'!BJ:BJ,"",0,1))</f>
        <v/>
      </c>
      <c r="E101" s="1140"/>
      <c r="F101" s="1141" t="str">
        <f t="array" ref="F101">if(isblank(E101),"",xlookup(E101,'FL5_POR_包裝對照表 (Mapping Table)'!E:E,'FL5_POR_包裝對照表 (Mapping Table)'!E:E,"",0,1))</f>
        <v/>
      </c>
      <c r="G101" s="313" t="str">
        <f t="array" ref="G101">if(isblank(E101),"",xlookup(E101,'FL5_POR_包裝對照表 (Mapping Table)'!E:E,'FL5_POR_包裝對照表 (Mapping Table)'!F:F,"",0,1))</f>
        <v/>
      </c>
      <c r="H101" s="312" t="str">
        <f t="array" ref="H101">if(isblank(E101),"",xlookup(E101,'FL5_POR_包裝對照表 (Mapping Table)'!E:E,'FL5_POR_包裝對照表 (Mapping Table)'!AN:AN,"",0,1))</f>
        <v/>
      </c>
      <c r="I101" s="1155" t="str">
        <f t="shared" si="5"/>
        <v/>
      </c>
      <c r="J101" s="1143" t="str">
        <f t="shared" si="6"/>
        <v/>
      </c>
      <c r="K101" s="1144">
        <f t="shared" si="1"/>
        <v>0</v>
      </c>
      <c r="L101" s="292" t="str">
        <f>IF(ISBLANK(E101),"",'FL5_POR_包裝對照表 (Mapping Table)'!$E$4)</f>
        <v/>
      </c>
      <c r="M101" s="292" t="str">
        <f>IF(ISBLANK(E101),"",'FL5_POR_包裝對照表 (Mapping Table)'!$F$4&amp;"-PRQ")</f>
        <v/>
      </c>
      <c r="N101" s="292" t="str">
        <f t="shared" si="2"/>
        <v/>
      </c>
      <c r="O101" s="677" t="str">
        <f t="shared" si="3"/>
        <v/>
      </c>
      <c r="P101" s="677" t="str">
        <f t="shared" si="4"/>
        <v/>
      </c>
      <c r="Q101" s="1145" t="str">
        <f t="array" ref="Q101">if(isblank(E101),"",xlookup(E101,'FL5_POR_包裝對照表 (Mapping Table)'!E:E,'FL5_POR_包裝對照表 (Mapping Table)'!AB:AB,"",0,1))</f>
        <v/>
      </c>
      <c r="R101" s="888"/>
      <c r="S101" s="888"/>
      <c r="T101" s="1154"/>
      <c r="U101" s="888"/>
      <c r="V101" s="888"/>
      <c r="W101" s="310"/>
      <c r="X101" s="908" t="str">
        <f t="array" ref="X101">if(isblank(E101),"",xlookup(E101,'FL5_POR_包裝對照表 (Mapping Table)'!E:E,'FL5_POR_包裝對照表 (Mapping Table)'!K:K,"",0,1))</f>
        <v/>
      </c>
      <c r="Y101" s="1"/>
      <c r="Z101" s="1"/>
      <c r="AA101" s="1"/>
      <c r="AB101" s="1"/>
      <c r="AC101" s="1"/>
      <c r="AD101" s="1"/>
      <c r="AE101" s="1"/>
      <c r="AF101" s="1"/>
      <c r="AG101" s="1"/>
      <c r="AH101" s="1"/>
      <c r="AI101" s="1"/>
      <c r="AJ101" s="1"/>
      <c r="AK101" s="1"/>
      <c r="AL101" s="1"/>
      <c r="AM101" s="1"/>
      <c r="AN101" s="1"/>
    </row>
    <row r="102">
      <c r="A102" s="1138"/>
      <c r="B102" s="310"/>
      <c r="C102" s="888"/>
      <c r="D102" s="301" t="str">
        <f t="array" ref="D102">if(isblank(E102),"",xlookup(E102,'FL5_POR_包裝對照表 (Mapping Table)'!E:E,'FL5_POR_包裝對照表 (Mapping Table)'!BJ:BJ,"",0,1))</f>
        <v/>
      </c>
      <c r="E102" s="1140"/>
      <c r="F102" s="1141" t="str">
        <f t="array" ref="F102">if(isblank(E102),"",xlookup(E102,'FL5_POR_包裝對照表 (Mapping Table)'!E:E,'FL5_POR_包裝對照表 (Mapping Table)'!E:E,"",0,1))</f>
        <v/>
      </c>
      <c r="G102" s="313" t="str">
        <f t="array" ref="G102">if(isblank(E102),"",xlookup(E102,'FL5_POR_包裝對照表 (Mapping Table)'!E:E,'FL5_POR_包裝對照表 (Mapping Table)'!F:F,"",0,1))</f>
        <v/>
      </c>
      <c r="H102" s="312" t="str">
        <f t="array" ref="H102">if(isblank(E102),"",xlookup(E102,'FL5_POR_包裝對照表 (Mapping Table)'!E:E,'FL5_POR_包裝對照表 (Mapping Table)'!AN:AN,"",0,1))</f>
        <v/>
      </c>
      <c r="I102" s="1155" t="str">
        <f t="shared" si="5"/>
        <v/>
      </c>
      <c r="J102" s="1143" t="str">
        <f t="shared" si="6"/>
        <v/>
      </c>
      <c r="K102" s="1144">
        <f t="shared" si="1"/>
        <v>0</v>
      </c>
      <c r="L102" s="292" t="str">
        <f>IF(ISBLANK(E102),"",'FL5_POR_包裝對照表 (Mapping Table)'!$E$4)</f>
        <v/>
      </c>
      <c r="M102" s="292" t="str">
        <f>IF(ISBLANK(E102),"",'FL5_POR_包裝對照表 (Mapping Table)'!$F$4&amp;"-PRQ")</f>
        <v/>
      </c>
      <c r="N102" s="292" t="str">
        <f t="shared" si="2"/>
        <v/>
      </c>
      <c r="O102" s="677" t="str">
        <f t="shared" si="3"/>
        <v/>
      </c>
      <c r="P102" s="677" t="str">
        <f t="shared" si="4"/>
        <v/>
      </c>
      <c r="Q102" s="1145" t="str">
        <f t="array" ref="Q102">if(isblank(E102),"",xlookup(E102,'FL5_POR_包裝對照表 (Mapping Table)'!E:E,'FL5_POR_包裝對照表 (Mapping Table)'!AB:AB,"",0,1))</f>
        <v/>
      </c>
      <c r="R102" s="888"/>
      <c r="S102" s="888"/>
      <c r="T102" s="1154"/>
      <c r="U102" s="888"/>
      <c r="V102" s="888"/>
      <c r="W102" s="310"/>
      <c r="X102" s="908" t="str">
        <f t="array" ref="X102">if(isblank(E102),"",xlookup(E102,'FL5_POR_包裝對照表 (Mapping Table)'!E:E,'FL5_POR_包裝對照表 (Mapping Table)'!K:K,"",0,1))</f>
        <v/>
      </c>
      <c r="Y102" s="1"/>
      <c r="Z102" s="1"/>
      <c r="AA102" s="1"/>
      <c r="AB102" s="1"/>
      <c r="AC102" s="1"/>
      <c r="AD102" s="1"/>
      <c r="AE102" s="1"/>
      <c r="AF102" s="1"/>
      <c r="AG102" s="1"/>
      <c r="AH102" s="1"/>
      <c r="AI102" s="1"/>
      <c r="AJ102" s="1"/>
      <c r="AK102" s="1"/>
      <c r="AL102" s="1"/>
      <c r="AM102" s="1"/>
      <c r="AN102" s="1"/>
    </row>
    <row r="103">
      <c r="A103" s="1138"/>
      <c r="B103" s="310"/>
      <c r="C103" s="888"/>
      <c r="D103" s="301" t="str">
        <f t="array" ref="D103">if(isblank(E103),"",xlookup(E103,'FL5_POR_包裝對照表 (Mapping Table)'!E:E,'FL5_POR_包裝對照表 (Mapping Table)'!BJ:BJ,"",0,1))</f>
        <v/>
      </c>
      <c r="E103" s="1140"/>
      <c r="F103" s="1141" t="str">
        <f t="array" ref="F103">if(isblank(E103),"",xlookup(E103,'FL5_POR_包裝對照表 (Mapping Table)'!E:E,'FL5_POR_包裝對照表 (Mapping Table)'!E:E,"",0,1))</f>
        <v/>
      </c>
      <c r="G103" s="313" t="str">
        <f t="array" ref="G103">if(isblank(E103),"",xlookup(E103,'FL5_POR_包裝對照表 (Mapping Table)'!E:E,'FL5_POR_包裝對照表 (Mapping Table)'!F:F,"",0,1))</f>
        <v/>
      </c>
      <c r="H103" s="312" t="str">
        <f t="array" ref="H103">if(isblank(E103),"",xlookup(E103,'FL5_POR_包裝對照表 (Mapping Table)'!E:E,'FL5_POR_包裝對照表 (Mapping Table)'!AN:AN,"",0,1))</f>
        <v/>
      </c>
      <c r="I103" s="1155" t="str">
        <f t="shared" si="5"/>
        <v/>
      </c>
      <c r="J103" s="1143" t="str">
        <f t="shared" si="6"/>
        <v/>
      </c>
      <c r="K103" s="1144">
        <f t="shared" si="1"/>
        <v>0</v>
      </c>
      <c r="L103" s="292" t="str">
        <f>IF(ISBLANK(E103),"",'FL5_POR_包裝對照表 (Mapping Table)'!$E$4)</f>
        <v/>
      </c>
      <c r="M103" s="292" t="str">
        <f>IF(ISBLANK(E103),"",'FL5_POR_包裝對照表 (Mapping Table)'!$F$4&amp;"-PRQ")</f>
        <v/>
      </c>
      <c r="N103" s="292" t="str">
        <f t="shared" si="2"/>
        <v/>
      </c>
      <c r="O103" s="677" t="str">
        <f t="shared" si="3"/>
        <v/>
      </c>
      <c r="P103" s="677" t="str">
        <f t="shared" si="4"/>
        <v/>
      </c>
      <c r="Q103" s="1145" t="str">
        <f t="array" ref="Q103">if(isblank(E103),"",xlookup(E103,'FL5_POR_包裝對照表 (Mapping Table)'!E:E,'FL5_POR_包裝對照表 (Mapping Table)'!AB:AB,"",0,1))</f>
        <v/>
      </c>
      <c r="R103" s="888"/>
      <c r="S103" s="888"/>
      <c r="T103" s="1154"/>
      <c r="U103" s="888"/>
      <c r="V103" s="888"/>
      <c r="W103" s="310"/>
      <c r="X103" s="908" t="str">
        <f t="array" ref="X103">if(isblank(E103),"",xlookup(E103,'FL5_POR_包裝對照表 (Mapping Table)'!E:E,'FL5_POR_包裝對照表 (Mapping Table)'!K:K,"",0,1))</f>
        <v/>
      </c>
      <c r="Y103" s="1"/>
      <c r="Z103" s="1"/>
      <c r="AA103" s="1"/>
      <c r="AB103" s="1"/>
      <c r="AC103" s="1"/>
      <c r="AD103" s="1"/>
      <c r="AE103" s="1"/>
      <c r="AF103" s="1"/>
      <c r="AG103" s="1"/>
      <c r="AH103" s="1"/>
      <c r="AI103" s="1"/>
      <c r="AJ103" s="1"/>
      <c r="AK103" s="1"/>
      <c r="AL103" s="1"/>
      <c r="AM103" s="1"/>
      <c r="AN103" s="1"/>
    </row>
    <row r="104">
      <c r="A104" s="1138"/>
      <c r="B104" s="310"/>
      <c r="C104" s="888"/>
      <c r="D104" s="301" t="str">
        <f t="array" ref="D104">if(isblank(E104),"",xlookup(E104,'FL5_POR_包裝對照表 (Mapping Table)'!E:E,'FL5_POR_包裝對照表 (Mapping Table)'!BJ:BJ,"",0,1))</f>
        <v/>
      </c>
      <c r="E104" s="1140"/>
      <c r="F104" s="1141" t="str">
        <f t="array" ref="F104">if(isblank(E104),"",xlookup(E104,'FL5_POR_包裝對照表 (Mapping Table)'!E:E,'FL5_POR_包裝對照表 (Mapping Table)'!E:E,"",0,1))</f>
        <v/>
      </c>
      <c r="G104" s="313" t="str">
        <f t="array" ref="G104">if(isblank(E104),"",xlookup(E104,'FL5_POR_包裝對照表 (Mapping Table)'!E:E,'FL5_POR_包裝對照表 (Mapping Table)'!F:F,"",0,1))</f>
        <v/>
      </c>
      <c r="H104" s="312" t="str">
        <f t="array" ref="H104">if(isblank(E104),"",xlookup(E104,'FL5_POR_包裝對照表 (Mapping Table)'!E:E,'FL5_POR_包裝對照表 (Mapping Table)'!AN:AN,"",0,1))</f>
        <v/>
      </c>
      <c r="I104" s="1155" t="str">
        <f t="shared" si="5"/>
        <v/>
      </c>
      <c r="J104" s="1143" t="str">
        <f t="shared" si="6"/>
        <v/>
      </c>
      <c r="K104" s="1144">
        <f t="shared" si="1"/>
        <v>0</v>
      </c>
      <c r="L104" s="292" t="str">
        <f>IF(ISBLANK(E104),"",'FL5_POR_包裝對照表 (Mapping Table)'!$E$4)</f>
        <v/>
      </c>
      <c r="M104" s="292" t="str">
        <f>IF(ISBLANK(E104),"",'FL5_POR_包裝對照表 (Mapping Table)'!$F$4&amp;"-PRQ")</f>
        <v/>
      </c>
      <c r="N104" s="292" t="str">
        <f t="shared" si="2"/>
        <v/>
      </c>
      <c r="O104" s="677" t="str">
        <f t="shared" si="3"/>
        <v/>
      </c>
      <c r="P104" s="677" t="str">
        <f t="shared" si="4"/>
        <v/>
      </c>
      <c r="Q104" s="1145" t="str">
        <f t="array" ref="Q104">if(isblank(E104),"",xlookup(E104,'FL5_POR_包裝對照表 (Mapping Table)'!E:E,'FL5_POR_包裝對照表 (Mapping Table)'!AB:AB,"",0,1))</f>
        <v/>
      </c>
      <c r="R104" s="888"/>
      <c r="S104" s="888"/>
      <c r="T104" s="1154"/>
      <c r="U104" s="888"/>
      <c r="V104" s="888"/>
      <c r="W104" s="310"/>
      <c r="X104" s="908" t="str">
        <f t="array" ref="X104">if(isblank(E104),"",xlookup(E104,'FL5_POR_包裝對照表 (Mapping Table)'!E:E,'FL5_POR_包裝對照表 (Mapping Table)'!K:K,"",0,1))</f>
        <v/>
      </c>
      <c r="Y104" s="1"/>
      <c r="Z104" s="1"/>
      <c r="AA104" s="1"/>
      <c r="AB104" s="1"/>
      <c r="AC104" s="1"/>
      <c r="AD104" s="1"/>
      <c r="AE104" s="1"/>
      <c r="AF104" s="1"/>
      <c r="AG104" s="1"/>
      <c r="AH104" s="1"/>
      <c r="AI104" s="1"/>
      <c r="AJ104" s="1"/>
      <c r="AK104" s="1"/>
      <c r="AL104" s="1"/>
      <c r="AM104" s="1"/>
      <c r="AN104" s="1"/>
    </row>
    <row r="105">
      <c r="A105" s="1138"/>
      <c r="B105" s="310"/>
      <c r="C105" s="888"/>
      <c r="D105" s="301" t="str">
        <f t="array" ref="D105">if(isblank(E105),"",xlookup(E105,'FL5_POR_包裝對照表 (Mapping Table)'!E:E,'FL5_POR_包裝對照表 (Mapping Table)'!BJ:BJ,"",0,1))</f>
        <v/>
      </c>
      <c r="E105" s="1140"/>
      <c r="F105" s="1141" t="str">
        <f t="array" ref="F105">if(isblank(E105),"",xlookup(E105,'FL5_POR_包裝對照表 (Mapping Table)'!E:E,'FL5_POR_包裝對照表 (Mapping Table)'!E:E,"",0,1))</f>
        <v/>
      </c>
      <c r="G105" s="313" t="str">
        <f t="array" ref="G105">if(isblank(E105),"",xlookup(E105,'FL5_POR_包裝對照表 (Mapping Table)'!E:E,'FL5_POR_包裝對照表 (Mapping Table)'!F:F,"",0,1))</f>
        <v/>
      </c>
      <c r="H105" s="312" t="str">
        <f t="array" ref="H105">if(isblank(E105),"",xlookup(E105,'FL5_POR_包裝對照表 (Mapping Table)'!E:E,'FL5_POR_包裝對照表 (Mapping Table)'!AN:AN,"",0,1))</f>
        <v/>
      </c>
      <c r="I105" s="1155" t="str">
        <f t="shared" si="5"/>
        <v/>
      </c>
      <c r="J105" s="1143" t="str">
        <f t="shared" si="6"/>
        <v/>
      </c>
      <c r="K105" s="1144">
        <f t="shared" si="1"/>
        <v>0</v>
      </c>
      <c r="L105" s="292" t="str">
        <f>IF(ISBLANK(E105),"",'FL5_POR_包裝對照表 (Mapping Table)'!$E$4)</f>
        <v/>
      </c>
      <c r="M105" s="292" t="str">
        <f>IF(ISBLANK(E105),"",'FL5_POR_包裝對照表 (Mapping Table)'!$F$4&amp;"-PRQ")</f>
        <v/>
      </c>
      <c r="N105" s="292" t="str">
        <f t="shared" si="2"/>
        <v/>
      </c>
      <c r="O105" s="677" t="str">
        <f t="shared" si="3"/>
        <v/>
      </c>
      <c r="P105" s="677" t="str">
        <f t="shared" si="4"/>
        <v/>
      </c>
      <c r="Q105" s="1145" t="str">
        <f t="array" ref="Q105">if(isblank(E105),"",xlookup(E105,'FL5_POR_包裝對照表 (Mapping Table)'!E:E,'FL5_POR_包裝對照表 (Mapping Table)'!AB:AB,"",0,1))</f>
        <v/>
      </c>
      <c r="R105" s="888"/>
      <c r="S105" s="888"/>
      <c r="T105" s="1154"/>
      <c r="U105" s="888"/>
      <c r="V105" s="888"/>
      <c r="W105" s="310"/>
      <c r="X105" s="908" t="str">
        <f t="array" ref="X105">if(isblank(E105),"",xlookup(E105,'FL5_POR_包裝對照表 (Mapping Table)'!E:E,'FL5_POR_包裝對照表 (Mapping Table)'!K:K,"",0,1))</f>
        <v/>
      </c>
      <c r="Y105" s="1"/>
      <c r="Z105" s="1"/>
      <c r="AA105" s="1"/>
      <c r="AB105" s="1"/>
      <c r="AC105" s="1"/>
      <c r="AD105" s="1"/>
      <c r="AE105" s="1"/>
      <c r="AF105" s="1"/>
      <c r="AG105" s="1"/>
      <c r="AH105" s="1"/>
      <c r="AI105" s="1"/>
      <c r="AJ105" s="1"/>
      <c r="AK105" s="1"/>
      <c r="AL105" s="1"/>
      <c r="AM105" s="1"/>
      <c r="AN105" s="1"/>
    </row>
    <row r="106">
      <c r="A106" s="1138"/>
      <c r="B106" s="310"/>
      <c r="C106" s="888"/>
      <c r="D106" s="301" t="str">
        <f t="array" ref="D106">if(isblank(E106),"",xlookup(E106,'FL5_POR_包裝對照表 (Mapping Table)'!E:E,'FL5_POR_包裝對照表 (Mapping Table)'!BJ:BJ,"",0,1))</f>
        <v/>
      </c>
      <c r="E106" s="1140"/>
      <c r="F106" s="1141" t="str">
        <f t="array" ref="F106">if(isblank(E106),"",xlookup(E106,'FL5_POR_包裝對照表 (Mapping Table)'!E:E,'FL5_POR_包裝對照表 (Mapping Table)'!E:E,"",0,1))</f>
        <v/>
      </c>
      <c r="G106" s="313" t="str">
        <f t="array" ref="G106">if(isblank(E106),"",xlookup(E106,'FL5_POR_包裝對照表 (Mapping Table)'!E:E,'FL5_POR_包裝對照表 (Mapping Table)'!F:F,"",0,1))</f>
        <v/>
      </c>
      <c r="H106" s="312" t="str">
        <f t="array" ref="H106">if(isblank(E106),"",xlookup(E106,'FL5_POR_包裝對照表 (Mapping Table)'!E:E,'FL5_POR_包裝對照表 (Mapping Table)'!AN:AN,"",0,1))</f>
        <v/>
      </c>
      <c r="I106" s="1155" t="str">
        <f t="shared" si="5"/>
        <v/>
      </c>
      <c r="J106" s="1143" t="str">
        <f t="shared" si="6"/>
        <v/>
      </c>
      <c r="K106" s="1144">
        <f t="shared" si="1"/>
        <v>0</v>
      </c>
      <c r="L106" s="292" t="str">
        <f>IF(ISBLANK(E106),"",'FL5_POR_包裝對照表 (Mapping Table)'!$E$4)</f>
        <v/>
      </c>
      <c r="M106" s="292" t="str">
        <f>IF(ISBLANK(E106),"",'FL5_POR_包裝對照表 (Mapping Table)'!$F$4&amp;"-PRQ")</f>
        <v/>
      </c>
      <c r="N106" s="292" t="str">
        <f t="shared" si="2"/>
        <v/>
      </c>
      <c r="O106" s="677" t="str">
        <f t="shared" si="3"/>
        <v/>
      </c>
      <c r="P106" s="677" t="str">
        <f t="shared" si="4"/>
        <v/>
      </c>
      <c r="Q106" s="1145" t="str">
        <f t="array" ref="Q106">if(isblank(E106),"",xlookup(E106,'FL5_POR_包裝對照表 (Mapping Table)'!E:E,'FL5_POR_包裝對照表 (Mapping Table)'!AB:AB,"",0,1))</f>
        <v/>
      </c>
      <c r="R106" s="888"/>
      <c r="S106" s="888"/>
      <c r="T106" s="1154"/>
      <c r="U106" s="888"/>
      <c r="V106" s="888"/>
      <c r="W106" s="310"/>
      <c r="X106" s="908" t="str">
        <f t="array" ref="X106">if(isblank(E106),"",xlookup(E106,'FL5_POR_包裝對照表 (Mapping Table)'!E:E,'FL5_POR_包裝對照表 (Mapping Table)'!K:K,"",0,1))</f>
        <v/>
      </c>
      <c r="Y106" s="1"/>
      <c r="Z106" s="1"/>
      <c r="AA106" s="1"/>
      <c r="AB106" s="1"/>
      <c r="AC106" s="1"/>
      <c r="AD106" s="1"/>
      <c r="AE106" s="1"/>
      <c r="AF106" s="1"/>
      <c r="AG106" s="1"/>
      <c r="AH106" s="1"/>
      <c r="AI106" s="1"/>
      <c r="AJ106" s="1"/>
      <c r="AK106" s="1"/>
      <c r="AL106" s="1"/>
      <c r="AM106" s="1"/>
      <c r="AN106" s="1"/>
    </row>
    <row r="107">
      <c r="A107" s="1138"/>
      <c r="B107" s="310"/>
      <c r="C107" s="888"/>
      <c r="D107" s="301" t="str">
        <f t="array" ref="D107">if(isblank(E107),"",xlookup(E107,'FL5_POR_包裝對照表 (Mapping Table)'!E:E,'FL5_POR_包裝對照表 (Mapping Table)'!BJ:BJ,"",0,1))</f>
        <v/>
      </c>
      <c r="E107" s="1140"/>
      <c r="F107" s="1141" t="str">
        <f t="array" ref="F107">if(isblank(E107),"",xlookup(E107,'FL5_POR_包裝對照表 (Mapping Table)'!E:E,'FL5_POR_包裝對照表 (Mapping Table)'!E:E,"",0,1))</f>
        <v/>
      </c>
      <c r="G107" s="313" t="str">
        <f t="array" ref="G107">if(isblank(E107),"",xlookup(E107,'FL5_POR_包裝對照表 (Mapping Table)'!E:E,'FL5_POR_包裝對照表 (Mapping Table)'!F:F,"",0,1))</f>
        <v/>
      </c>
      <c r="H107" s="312" t="str">
        <f t="array" ref="H107">if(isblank(E107),"",xlookup(E107,'FL5_POR_包裝對照表 (Mapping Table)'!E:E,'FL5_POR_包裝對照表 (Mapping Table)'!AN:AN,"",0,1))</f>
        <v/>
      </c>
      <c r="I107" s="1155" t="str">
        <f t="shared" si="5"/>
        <v/>
      </c>
      <c r="J107" s="1143" t="str">
        <f t="shared" si="6"/>
        <v/>
      </c>
      <c r="K107" s="1144">
        <f t="shared" si="1"/>
        <v>0</v>
      </c>
      <c r="L107" s="292" t="str">
        <f>IF(ISBLANK(E107),"",'FL5_POR_包裝對照表 (Mapping Table)'!$E$4)</f>
        <v/>
      </c>
      <c r="M107" s="292" t="str">
        <f>IF(ISBLANK(E107),"",'FL5_POR_包裝對照表 (Mapping Table)'!$F$4&amp;"-PRQ")</f>
        <v/>
      </c>
      <c r="N107" s="292" t="str">
        <f t="shared" si="2"/>
        <v/>
      </c>
      <c r="O107" s="677" t="str">
        <f t="shared" si="3"/>
        <v/>
      </c>
      <c r="P107" s="677" t="str">
        <f t="shared" si="4"/>
        <v/>
      </c>
      <c r="Q107" s="1145" t="str">
        <f t="array" ref="Q107">if(isblank(E107),"",xlookup(E107,'FL5_POR_包裝對照表 (Mapping Table)'!E:E,'FL5_POR_包裝對照表 (Mapping Table)'!AB:AB,"",0,1))</f>
        <v/>
      </c>
      <c r="R107" s="888"/>
      <c r="S107" s="888"/>
      <c r="T107" s="1154"/>
      <c r="U107" s="888"/>
      <c r="V107" s="888"/>
      <c r="W107" s="310"/>
      <c r="X107" s="908" t="str">
        <f t="array" ref="X107">if(isblank(E107),"",xlookup(E107,'FL5_POR_包裝對照表 (Mapping Table)'!E:E,'FL5_POR_包裝對照表 (Mapping Table)'!K:K,"",0,1))</f>
        <v/>
      </c>
      <c r="Y107" s="1"/>
      <c r="Z107" s="1"/>
      <c r="AA107" s="1"/>
      <c r="AB107" s="1"/>
      <c r="AC107" s="1"/>
      <c r="AD107" s="1"/>
      <c r="AE107" s="1"/>
      <c r="AF107" s="1"/>
      <c r="AG107" s="1"/>
      <c r="AH107" s="1"/>
      <c r="AI107" s="1"/>
      <c r="AJ107" s="1"/>
      <c r="AK107" s="1"/>
      <c r="AL107" s="1"/>
      <c r="AM107" s="1"/>
      <c r="AN107" s="1"/>
    </row>
    <row r="108">
      <c r="B108" s="578"/>
      <c r="C108" s="1156"/>
      <c r="D108" s="301" t="str">
        <f t="array" ref="D108">if(isblank(E108),"",xlookup(E108,'FL5_POR_包裝對照表 (Mapping Table)'!E:E,'FL5_POR_包裝對照表 (Mapping Table)'!BJ:BJ,"",0,1))</f>
        <v/>
      </c>
      <c r="E108" s="1140"/>
      <c r="F108" s="1141" t="str">
        <f t="array" ref="F108">if(isblank(E108),"",xlookup(E108,'FL5_POR_包裝對照表 (Mapping Table)'!E:E,'FL5_POR_包裝對照表 (Mapping Table)'!E:E,"",0,1))</f>
        <v/>
      </c>
      <c r="G108" s="313" t="str">
        <f t="array" ref="G108">if(isblank(E108),"",xlookup(E108,'FL5_POR_包裝對照表 (Mapping Table)'!E:E,'FL5_POR_包裝對照表 (Mapping Table)'!F:F,"",0,1))</f>
        <v/>
      </c>
      <c r="H108" s="312" t="str">
        <f t="array" ref="H108">if(isblank(E108),"",xlookup(E108,'FL5_POR_包裝對照表 (Mapping Table)'!E:E,'FL5_POR_包裝對照表 (Mapping Table)'!AN:AN,"",0,1))</f>
        <v/>
      </c>
      <c r="I108" s="1155" t="str">
        <f t="shared" si="5"/>
        <v/>
      </c>
      <c r="J108" s="1143" t="str">
        <f t="shared" si="6"/>
        <v/>
      </c>
      <c r="K108" s="1144">
        <f t="shared" si="1"/>
        <v>0</v>
      </c>
      <c r="L108" s="292" t="str">
        <f>IF(ISBLANK(E108),"",'FL5_POR_包裝對照表 (Mapping Table)'!$E$4)</f>
        <v/>
      </c>
      <c r="M108" s="292" t="str">
        <f>IF(ISBLANK(E108),"",'FL5_POR_包裝對照表 (Mapping Table)'!$F$4&amp;"-PRQ")</f>
        <v/>
      </c>
      <c r="N108" s="292" t="str">
        <f t="shared" si="2"/>
        <v/>
      </c>
      <c r="O108" s="677" t="str">
        <f t="shared" si="3"/>
        <v/>
      </c>
      <c r="P108" s="677" t="str">
        <f t="shared" si="4"/>
        <v/>
      </c>
      <c r="Q108" s="1145" t="str">
        <f t="array" ref="Q108">if(isblank(E108),"",xlookup(E108,'FL5_POR_包裝對照表 (Mapping Table)'!E:E,'FL5_POR_包裝對照表 (Mapping Table)'!AB:AB,"",0,1))</f>
        <v/>
      </c>
      <c r="R108" s="578"/>
      <c r="S108" s="578"/>
      <c r="T108" s="578"/>
      <c r="U108" s="578"/>
      <c r="V108" s="578"/>
      <c r="W108" s="578"/>
      <c r="X108" s="908" t="str">
        <f t="array" ref="X108">if(isblank(E108),"",xlookup(E108,'FL5_POR_包裝對照表 (Mapping Table)'!E:E,'FL5_POR_包裝對照表 (Mapping Table)'!K:K,"",0,1))</f>
        <v/>
      </c>
    </row>
    <row r="109">
      <c r="A109" s="1157"/>
      <c r="B109" s="1158"/>
      <c r="C109" s="1159"/>
      <c r="D109" s="1158"/>
      <c r="E109" s="1160"/>
      <c r="F109" s="1161"/>
      <c r="G109" s="1162"/>
      <c r="H109" s="1158"/>
      <c r="I109" s="1163"/>
      <c r="J109" s="1164"/>
      <c r="K109" s="1165"/>
      <c r="L109" s="1165"/>
      <c r="M109" s="1165"/>
      <c r="N109" s="1165"/>
      <c r="O109" s="1165"/>
      <c r="P109" s="1165"/>
      <c r="Q109" s="1165"/>
      <c r="R109" s="1159"/>
      <c r="S109" s="1159"/>
      <c r="T109" s="1166"/>
      <c r="U109" s="1159"/>
      <c r="V109" s="1159"/>
      <c r="W109" s="1158"/>
      <c r="X109" s="1165"/>
      <c r="Y109" s="1167"/>
      <c r="Z109" s="1167"/>
      <c r="AA109" s="1167"/>
      <c r="AB109" s="1167"/>
      <c r="AC109" s="1167"/>
      <c r="AD109" s="1167"/>
      <c r="AE109" s="1167"/>
      <c r="AF109" s="1167"/>
      <c r="AG109" s="1167"/>
      <c r="AH109" s="1167"/>
      <c r="AI109" s="1167"/>
      <c r="AJ109" s="1167"/>
      <c r="AK109" s="1167"/>
      <c r="AL109" s="1167"/>
      <c r="AM109" s="1167"/>
      <c r="AN109" s="1167"/>
    </row>
    <row r="110">
      <c r="A110" s="1138"/>
      <c r="B110" s="310"/>
      <c r="C110" s="888"/>
      <c r="D110" s="310"/>
      <c r="E110" s="1140"/>
      <c r="F110" s="932"/>
      <c r="G110" s="355"/>
      <c r="H110" s="310"/>
      <c r="I110" s="931"/>
      <c r="J110" s="1143"/>
      <c r="K110" s="691"/>
      <c r="L110" s="691"/>
      <c r="M110" s="292"/>
      <c r="N110" s="292"/>
      <c r="O110" s="677"/>
      <c r="P110" s="677"/>
      <c r="Q110" s="691"/>
      <c r="R110" s="888"/>
      <c r="S110" s="888"/>
      <c r="T110" s="1154"/>
      <c r="U110" s="888"/>
      <c r="V110" s="888"/>
      <c r="W110" s="310"/>
      <c r="X110" s="691"/>
      <c r="Y110" s="1"/>
      <c r="Z110" s="1"/>
      <c r="AA110" s="1"/>
      <c r="AB110" s="1"/>
      <c r="AC110" s="1"/>
      <c r="AD110" s="1"/>
      <c r="AE110" s="1"/>
      <c r="AF110" s="1"/>
      <c r="AG110" s="1"/>
      <c r="AH110" s="1"/>
      <c r="AI110" s="1"/>
      <c r="AJ110" s="1"/>
      <c r="AK110" s="1"/>
      <c r="AL110" s="1"/>
      <c r="AM110" s="1"/>
      <c r="AN110" s="1"/>
    </row>
    <row r="111">
      <c r="A111" s="1138"/>
      <c r="B111" s="310"/>
      <c r="C111" s="888"/>
      <c r="D111" s="310"/>
      <c r="E111" s="1140"/>
      <c r="F111" s="932"/>
      <c r="G111" s="355"/>
      <c r="H111" s="310"/>
      <c r="I111" s="931"/>
      <c r="J111" s="1143"/>
      <c r="K111" s="691"/>
      <c r="L111" s="691"/>
      <c r="M111" s="292"/>
      <c r="N111" s="292"/>
      <c r="O111" s="677"/>
      <c r="P111" s="677"/>
      <c r="Q111" s="691"/>
      <c r="R111" s="888"/>
      <c r="S111" s="888"/>
      <c r="T111" s="1154"/>
      <c r="U111" s="888"/>
      <c r="V111" s="888"/>
      <c r="W111" s="310"/>
      <c r="X111" s="691"/>
      <c r="Y111" s="1"/>
      <c r="Z111" s="1"/>
      <c r="AA111" s="1"/>
      <c r="AB111" s="1"/>
      <c r="AC111" s="1"/>
      <c r="AD111" s="1"/>
      <c r="AE111" s="1"/>
      <c r="AF111" s="1"/>
      <c r="AG111" s="1"/>
      <c r="AH111" s="1"/>
      <c r="AI111" s="1"/>
      <c r="AJ111" s="1"/>
      <c r="AK111" s="1"/>
      <c r="AL111" s="1"/>
      <c r="AM111" s="1"/>
      <c r="AN111" s="1"/>
    </row>
    <row r="112">
      <c r="A112" s="1138"/>
      <c r="B112" s="310"/>
      <c r="C112" s="888"/>
      <c r="D112" s="310"/>
      <c r="E112" s="1140"/>
      <c r="F112" s="932"/>
      <c r="G112" s="355"/>
      <c r="H112" s="310"/>
      <c r="I112" s="931"/>
      <c r="J112" s="1143"/>
      <c r="K112" s="691"/>
      <c r="L112" s="691"/>
      <c r="M112" s="292"/>
      <c r="N112" s="292"/>
      <c r="O112" s="677"/>
      <c r="P112" s="677"/>
      <c r="Q112" s="691"/>
      <c r="R112" s="888"/>
      <c r="S112" s="888"/>
      <c r="T112" s="1154"/>
      <c r="U112" s="888"/>
      <c r="V112" s="888"/>
      <c r="W112" s="310"/>
      <c r="X112" s="691"/>
      <c r="Y112" s="1"/>
      <c r="Z112" s="1"/>
      <c r="AA112" s="1"/>
      <c r="AB112" s="1"/>
      <c r="AC112" s="1"/>
      <c r="AD112" s="1"/>
      <c r="AE112" s="1"/>
      <c r="AF112" s="1"/>
      <c r="AG112" s="1"/>
      <c r="AH112" s="1"/>
      <c r="AI112" s="1"/>
      <c r="AJ112" s="1"/>
      <c r="AK112" s="1"/>
      <c r="AL112" s="1"/>
      <c r="AM112" s="1"/>
      <c r="AN112" s="1"/>
    </row>
    <row r="113">
      <c r="A113" s="1138"/>
      <c r="B113" s="310"/>
      <c r="C113" s="888"/>
      <c r="D113" s="310"/>
      <c r="E113" s="1140"/>
      <c r="F113" s="932"/>
      <c r="G113" s="355"/>
      <c r="H113" s="310"/>
      <c r="I113" s="931"/>
      <c r="J113" s="1143"/>
      <c r="K113" s="691"/>
      <c r="L113" s="691"/>
      <c r="M113" s="292"/>
      <c r="N113" s="292"/>
      <c r="O113" s="677"/>
      <c r="P113" s="677"/>
      <c r="Q113" s="691"/>
      <c r="R113" s="888"/>
      <c r="S113" s="888"/>
      <c r="T113" s="1154"/>
      <c r="U113" s="888"/>
      <c r="V113" s="888"/>
      <c r="W113" s="310"/>
      <c r="X113" s="691"/>
      <c r="Y113" s="1"/>
      <c r="Z113" s="1"/>
      <c r="AA113" s="1"/>
      <c r="AB113" s="1"/>
      <c r="AC113" s="1"/>
      <c r="AD113" s="1"/>
      <c r="AE113" s="1"/>
      <c r="AF113" s="1"/>
      <c r="AG113" s="1"/>
      <c r="AH113" s="1"/>
      <c r="AI113" s="1"/>
      <c r="AJ113" s="1"/>
      <c r="AK113" s="1"/>
      <c r="AL113" s="1"/>
      <c r="AM113" s="1"/>
      <c r="AN113" s="1"/>
    </row>
    <row r="114">
      <c r="A114" s="1138"/>
      <c r="B114" s="310"/>
      <c r="C114" s="888"/>
      <c r="D114" s="310"/>
      <c r="E114" s="1140"/>
      <c r="F114" s="932"/>
      <c r="G114" s="355"/>
      <c r="H114" s="310"/>
      <c r="I114" s="931"/>
      <c r="J114" s="1143"/>
      <c r="K114" s="691"/>
      <c r="L114" s="691"/>
      <c r="M114" s="292"/>
      <c r="N114" s="292"/>
      <c r="O114" s="677"/>
      <c r="P114" s="677"/>
      <c r="Q114" s="691"/>
      <c r="R114" s="888"/>
      <c r="S114" s="888"/>
      <c r="T114" s="1154"/>
      <c r="U114" s="888"/>
      <c r="V114" s="888"/>
      <c r="W114" s="310"/>
      <c r="X114" s="691"/>
      <c r="Y114" s="1"/>
      <c r="Z114" s="1"/>
      <c r="AA114" s="1"/>
      <c r="AB114" s="1"/>
      <c r="AC114" s="1"/>
      <c r="AD114" s="1"/>
      <c r="AE114" s="1"/>
      <c r="AF114" s="1"/>
      <c r="AG114" s="1"/>
      <c r="AH114" s="1"/>
      <c r="AI114" s="1"/>
      <c r="AJ114" s="1"/>
      <c r="AK114" s="1"/>
      <c r="AL114" s="1"/>
      <c r="AM114" s="1"/>
      <c r="AN114" s="1"/>
    </row>
    <row r="115">
      <c r="A115" s="1138"/>
      <c r="B115" s="310"/>
      <c r="C115" s="888"/>
      <c r="D115" s="310"/>
      <c r="E115" s="1140"/>
      <c r="F115" s="932"/>
      <c r="G115" s="355"/>
      <c r="H115" s="310"/>
      <c r="I115" s="931"/>
      <c r="J115" s="1143"/>
      <c r="K115" s="691"/>
      <c r="L115" s="691"/>
      <c r="M115" s="292"/>
      <c r="N115" s="292"/>
      <c r="O115" s="677"/>
      <c r="P115" s="677"/>
      <c r="Q115" s="691"/>
      <c r="R115" s="888"/>
      <c r="S115" s="888"/>
      <c r="T115" s="1154"/>
      <c r="U115" s="888"/>
      <c r="V115" s="888"/>
      <c r="W115" s="310"/>
      <c r="X115" s="691"/>
      <c r="Y115" s="1"/>
      <c r="Z115" s="1"/>
      <c r="AA115" s="1"/>
      <c r="AB115" s="1"/>
      <c r="AC115" s="1"/>
      <c r="AD115" s="1"/>
      <c r="AE115" s="1"/>
      <c r="AF115" s="1"/>
      <c r="AG115" s="1"/>
      <c r="AH115" s="1"/>
      <c r="AI115" s="1"/>
      <c r="AJ115" s="1"/>
      <c r="AK115" s="1"/>
      <c r="AL115" s="1"/>
      <c r="AM115" s="1"/>
      <c r="AN115" s="1"/>
    </row>
    <row r="116">
      <c r="A116" s="1138"/>
      <c r="B116" s="310"/>
      <c r="C116" s="888"/>
      <c r="D116" s="310"/>
      <c r="E116" s="1140"/>
      <c r="F116" s="932"/>
      <c r="G116" s="355"/>
      <c r="H116" s="310"/>
      <c r="I116" s="931"/>
      <c r="J116" s="1143"/>
      <c r="K116" s="691"/>
      <c r="L116" s="691"/>
      <c r="M116" s="292"/>
      <c r="N116" s="292"/>
      <c r="O116" s="677"/>
      <c r="P116" s="677"/>
      <c r="Q116" s="691"/>
      <c r="R116" s="888"/>
      <c r="S116" s="888"/>
      <c r="T116" s="1154"/>
      <c r="U116" s="888"/>
      <c r="V116" s="888"/>
      <c r="W116" s="310"/>
      <c r="X116" s="691"/>
      <c r="Y116" s="1"/>
      <c r="Z116" s="1"/>
      <c r="AA116" s="1"/>
      <c r="AB116" s="1"/>
      <c r="AC116" s="1"/>
      <c r="AD116" s="1"/>
      <c r="AE116" s="1"/>
      <c r="AF116" s="1"/>
      <c r="AG116" s="1"/>
      <c r="AH116" s="1"/>
      <c r="AI116" s="1"/>
      <c r="AJ116" s="1"/>
      <c r="AK116" s="1"/>
      <c r="AL116" s="1"/>
      <c r="AM116" s="1"/>
      <c r="AN116" s="1"/>
    </row>
    <row r="117">
      <c r="A117" s="1138"/>
      <c r="B117" s="310"/>
      <c r="C117" s="888"/>
      <c r="D117" s="310"/>
      <c r="E117" s="1140"/>
      <c r="F117" s="932"/>
      <c r="G117" s="355"/>
      <c r="H117" s="310"/>
      <c r="I117" s="931"/>
      <c r="J117" s="1143"/>
      <c r="K117" s="691"/>
      <c r="L117" s="691"/>
      <c r="M117" s="691"/>
      <c r="N117" s="292"/>
      <c r="O117" s="677"/>
      <c r="P117" s="677"/>
      <c r="Q117" s="691"/>
      <c r="R117" s="888"/>
      <c r="S117" s="888"/>
      <c r="T117" s="1154"/>
      <c r="U117" s="888"/>
      <c r="V117" s="888"/>
      <c r="W117" s="310"/>
      <c r="X117" s="691"/>
      <c r="Y117" s="1"/>
      <c r="Z117" s="1"/>
      <c r="AA117" s="1"/>
      <c r="AB117" s="1"/>
      <c r="AC117" s="1"/>
      <c r="AD117" s="1"/>
      <c r="AE117" s="1"/>
      <c r="AF117" s="1"/>
      <c r="AG117" s="1"/>
      <c r="AH117" s="1"/>
      <c r="AI117" s="1"/>
      <c r="AJ117" s="1"/>
      <c r="AK117" s="1"/>
      <c r="AL117" s="1"/>
      <c r="AM117" s="1"/>
      <c r="AN117" s="1"/>
    </row>
    <row r="118">
      <c r="A118" s="1138"/>
      <c r="B118" s="310"/>
      <c r="C118" s="888"/>
      <c r="D118" s="310"/>
      <c r="E118" s="1140"/>
      <c r="F118" s="932"/>
      <c r="G118" s="355"/>
      <c r="H118" s="310"/>
      <c r="I118" s="931"/>
      <c r="J118" s="1143"/>
      <c r="K118" s="691"/>
      <c r="L118" s="691"/>
      <c r="M118" s="691"/>
      <c r="N118" s="292"/>
      <c r="O118" s="677"/>
      <c r="P118" s="677"/>
      <c r="Q118" s="691"/>
      <c r="R118" s="888"/>
      <c r="S118" s="888"/>
      <c r="T118" s="1154"/>
      <c r="U118" s="888"/>
      <c r="V118" s="888"/>
      <c r="W118" s="310"/>
      <c r="X118" s="691"/>
      <c r="Y118" s="1"/>
      <c r="Z118" s="1"/>
      <c r="AA118" s="1"/>
      <c r="AB118" s="1"/>
      <c r="AC118" s="1"/>
      <c r="AD118" s="1"/>
      <c r="AE118" s="1"/>
      <c r="AF118" s="1"/>
      <c r="AG118" s="1"/>
      <c r="AH118" s="1"/>
      <c r="AI118" s="1"/>
      <c r="AJ118" s="1"/>
      <c r="AK118" s="1"/>
      <c r="AL118" s="1"/>
      <c r="AM118" s="1"/>
      <c r="AN118" s="1"/>
    </row>
    <row r="119">
      <c r="A119" s="1138"/>
      <c r="B119" s="310"/>
      <c r="C119" s="888"/>
      <c r="D119" s="310"/>
      <c r="E119" s="1140"/>
      <c r="F119" s="932"/>
      <c r="G119" s="355"/>
      <c r="H119" s="310"/>
      <c r="I119" s="931"/>
      <c r="J119" s="1143"/>
      <c r="K119" s="691"/>
      <c r="L119" s="691"/>
      <c r="M119" s="691"/>
      <c r="N119" s="292"/>
      <c r="O119" s="677"/>
      <c r="P119" s="677"/>
      <c r="Q119" s="691"/>
      <c r="R119" s="888"/>
      <c r="S119" s="888"/>
      <c r="T119" s="1154"/>
      <c r="U119" s="888"/>
      <c r="V119" s="888"/>
      <c r="W119" s="310"/>
      <c r="X119" s="691"/>
      <c r="Y119" s="1"/>
      <c r="Z119" s="1"/>
      <c r="AA119" s="1"/>
      <c r="AB119" s="1"/>
      <c r="AC119" s="1"/>
      <c r="AD119" s="1"/>
      <c r="AE119" s="1"/>
      <c r="AF119" s="1"/>
      <c r="AG119" s="1"/>
      <c r="AH119" s="1"/>
      <c r="AI119" s="1"/>
      <c r="AJ119" s="1"/>
      <c r="AK119" s="1"/>
      <c r="AL119" s="1"/>
      <c r="AM119" s="1"/>
      <c r="AN119" s="1"/>
    </row>
    <row r="120">
      <c r="A120" s="1138"/>
      <c r="B120" s="310"/>
      <c r="C120" s="888"/>
      <c r="D120" s="310"/>
      <c r="E120" s="1140"/>
      <c r="F120" s="932"/>
      <c r="G120" s="355"/>
      <c r="H120" s="310"/>
      <c r="I120" s="931"/>
      <c r="J120" s="1143"/>
      <c r="K120" s="691"/>
      <c r="L120" s="691"/>
      <c r="M120" s="691"/>
      <c r="N120" s="292"/>
      <c r="O120" s="677"/>
      <c r="P120" s="677"/>
      <c r="Q120" s="691"/>
      <c r="R120" s="888"/>
      <c r="S120" s="888"/>
      <c r="T120" s="1154"/>
      <c r="U120" s="888"/>
      <c r="V120" s="888"/>
      <c r="W120" s="310"/>
      <c r="X120" s="691"/>
      <c r="Y120" s="1"/>
      <c r="Z120" s="1"/>
      <c r="AA120" s="1"/>
      <c r="AB120" s="1"/>
      <c r="AC120" s="1"/>
      <c r="AD120" s="1"/>
      <c r="AE120" s="1"/>
      <c r="AF120" s="1"/>
      <c r="AG120" s="1"/>
      <c r="AH120" s="1"/>
      <c r="AI120" s="1"/>
      <c r="AJ120" s="1"/>
      <c r="AK120" s="1"/>
      <c r="AL120" s="1"/>
      <c r="AM120" s="1"/>
      <c r="AN120" s="1"/>
    </row>
    <row r="121">
      <c r="A121" s="1138"/>
      <c r="B121" s="310"/>
      <c r="C121" s="888"/>
      <c r="D121" s="310"/>
      <c r="E121" s="1140"/>
      <c r="F121" s="932"/>
      <c r="G121" s="355"/>
      <c r="H121" s="310"/>
      <c r="I121" s="931"/>
      <c r="J121" s="1143"/>
      <c r="K121" s="691"/>
      <c r="L121" s="691"/>
      <c r="M121" s="691"/>
      <c r="N121" s="292"/>
      <c r="O121" s="677"/>
      <c r="P121" s="677"/>
      <c r="Q121" s="691"/>
      <c r="R121" s="888"/>
      <c r="S121" s="888"/>
      <c r="T121" s="1154"/>
      <c r="U121" s="888"/>
      <c r="V121" s="888"/>
      <c r="W121" s="310"/>
      <c r="X121" s="691"/>
      <c r="Y121" s="1"/>
      <c r="Z121" s="1"/>
      <c r="AA121" s="1"/>
      <c r="AB121" s="1"/>
      <c r="AC121" s="1"/>
      <c r="AD121" s="1"/>
      <c r="AE121" s="1"/>
      <c r="AF121" s="1"/>
      <c r="AG121" s="1"/>
      <c r="AH121" s="1"/>
      <c r="AI121" s="1"/>
      <c r="AJ121" s="1"/>
      <c r="AK121" s="1"/>
      <c r="AL121" s="1"/>
      <c r="AM121" s="1"/>
      <c r="AN121" s="1"/>
    </row>
    <row r="122">
      <c r="A122" s="1138"/>
      <c r="B122" s="310"/>
      <c r="C122" s="888"/>
      <c r="D122" s="310"/>
      <c r="E122" s="1140"/>
      <c r="F122" s="932"/>
      <c r="G122" s="355"/>
      <c r="H122" s="310"/>
      <c r="I122" s="931"/>
      <c r="J122" s="1143"/>
      <c r="K122" s="691"/>
      <c r="L122" s="691"/>
      <c r="M122" s="691"/>
      <c r="N122" s="691"/>
      <c r="O122" s="691"/>
      <c r="P122" s="691"/>
      <c r="Q122" s="691"/>
      <c r="R122" s="888"/>
      <c r="S122" s="888"/>
      <c r="T122" s="1154"/>
      <c r="U122" s="888"/>
      <c r="V122" s="888"/>
      <c r="W122" s="310"/>
      <c r="X122" s="691"/>
      <c r="Y122" s="1"/>
      <c r="Z122" s="1"/>
      <c r="AA122" s="1"/>
      <c r="AB122" s="1"/>
      <c r="AC122" s="1"/>
      <c r="AD122" s="1"/>
      <c r="AE122" s="1"/>
      <c r="AF122" s="1"/>
      <c r="AG122" s="1"/>
      <c r="AH122" s="1"/>
      <c r="AI122" s="1"/>
      <c r="AJ122" s="1"/>
      <c r="AK122" s="1"/>
      <c r="AL122" s="1"/>
      <c r="AM122" s="1"/>
      <c r="AN122" s="1"/>
    </row>
    <row r="123">
      <c r="A123" s="1138"/>
      <c r="B123" s="310"/>
      <c r="C123" s="888"/>
      <c r="D123" s="310"/>
      <c r="E123" s="1140"/>
      <c r="F123" s="932"/>
      <c r="G123" s="355"/>
      <c r="H123" s="310"/>
      <c r="I123" s="931"/>
      <c r="J123" s="1143"/>
      <c r="K123" s="691"/>
      <c r="L123" s="691"/>
      <c r="M123" s="691"/>
      <c r="N123" s="691"/>
      <c r="O123" s="691"/>
      <c r="P123" s="691"/>
      <c r="Q123" s="691"/>
      <c r="R123" s="888"/>
      <c r="S123" s="888"/>
      <c r="T123" s="1154"/>
      <c r="U123" s="888"/>
      <c r="V123" s="888"/>
      <c r="W123" s="310"/>
      <c r="X123" s="691"/>
      <c r="Y123" s="1"/>
      <c r="Z123" s="1"/>
      <c r="AA123" s="1"/>
      <c r="AB123" s="1"/>
      <c r="AC123" s="1"/>
      <c r="AD123" s="1"/>
      <c r="AE123" s="1"/>
      <c r="AF123" s="1"/>
      <c r="AG123" s="1"/>
      <c r="AH123" s="1"/>
      <c r="AI123" s="1"/>
      <c r="AJ123" s="1"/>
      <c r="AK123" s="1"/>
      <c r="AL123" s="1"/>
      <c r="AM123" s="1"/>
      <c r="AN123" s="1"/>
    </row>
    <row r="124">
      <c r="A124" s="1138"/>
      <c r="B124" s="310"/>
      <c r="C124" s="888"/>
      <c r="D124" s="310"/>
      <c r="E124" s="1140"/>
      <c r="F124" s="932"/>
      <c r="G124" s="355"/>
      <c r="H124" s="310"/>
      <c r="I124" s="931"/>
      <c r="J124" s="1143"/>
      <c r="K124" s="691"/>
      <c r="L124" s="691"/>
      <c r="M124" s="691"/>
      <c r="N124" s="691"/>
      <c r="O124" s="691"/>
      <c r="P124" s="691"/>
      <c r="Q124" s="691"/>
      <c r="R124" s="888"/>
      <c r="S124" s="888"/>
      <c r="T124" s="1154"/>
      <c r="U124" s="888"/>
      <c r="V124" s="888"/>
      <c r="W124" s="310"/>
      <c r="X124" s="691"/>
      <c r="Y124" s="1"/>
      <c r="Z124" s="1"/>
      <c r="AA124" s="1"/>
      <c r="AB124" s="1"/>
      <c r="AC124" s="1"/>
      <c r="AD124" s="1"/>
      <c r="AE124" s="1"/>
      <c r="AF124" s="1"/>
      <c r="AG124" s="1"/>
      <c r="AH124" s="1"/>
      <c r="AI124" s="1"/>
      <c r="AJ124" s="1"/>
      <c r="AK124" s="1"/>
      <c r="AL124" s="1"/>
      <c r="AM124" s="1"/>
      <c r="AN124" s="1"/>
    </row>
    <row r="125">
      <c r="A125" s="1138"/>
      <c r="B125" s="310"/>
      <c r="C125" s="888"/>
      <c r="D125" s="310"/>
      <c r="E125" s="1140"/>
      <c r="F125" s="932"/>
      <c r="G125" s="355"/>
      <c r="H125" s="310"/>
      <c r="I125" s="931"/>
      <c r="J125" s="1143"/>
      <c r="K125" s="691"/>
      <c r="L125" s="691"/>
      <c r="M125" s="691"/>
      <c r="N125" s="691"/>
      <c r="O125" s="691"/>
      <c r="P125" s="691"/>
      <c r="Q125" s="691"/>
      <c r="R125" s="888"/>
      <c r="S125" s="888"/>
      <c r="T125" s="1154"/>
      <c r="U125" s="888"/>
      <c r="V125" s="888"/>
      <c r="W125" s="310"/>
      <c r="X125" s="691"/>
      <c r="Y125" s="1"/>
      <c r="Z125" s="1"/>
      <c r="AA125" s="1"/>
      <c r="AB125" s="1"/>
      <c r="AC125" s="1"/>
      <c r="AD125" s="1"/>
      <c r="AE125" s="1"/>
      <c r="AF125" s="1"/>
      <c r="AG125" s="1"/>
      <c r="AH125" s="1"/>
      <c r="AI125" s="1"/>
      <c r="AJ125" s="1"/>
      <c r="AK125" s="1"/>
      <c r="AL125" s="1"/>
      <c r="AM125" s="1"/>
      <c r="AN125" s="1"/>
    </row>
    <row r="126">
      <c r="A126" s="1138"/>
      <c r="B126" s="310"/>
      <c r="C126" s="888"/>
      <c r="D126" s="310"/>
      <c r="E126" s="1140"/>
      <c r="F126" s="932"/>
      <c r="G126" s="355"/>
      <c r="H126" s="310"/>
      <c r="I126" s="931"/>
      <c r="J126" s="1143"/>
      <c r="K126" s="691"/>
      <c r="L126" s="691"/>
      <c r="M126" s="691"/>
      <c r="N126" s="691"/>
      <c r="O126" s="691"/>
      <c r="P126" s="691"/>
      <c r="Q126" s="691"/>
      <c r="R126" s="888"/>
      <c r="S126" s="888"/>
      <c r="T126" s="1154"/>
      <c r="U126" s="888"/>
      <c r="V126" s="888"/>
      <c r="W126" s="310"/>
      <c r="X126" s="691"/>
      <c r="Y126" s="1"/>
      <c r="Z126" s="1"/>
      <c r="AA126" s="1"/>
      <c r="AB126" s="1"/>
      <c r="AC126" s="1"/>
      <c r="AD126" s="1"/>
      <c r="AE126" s="1"/>
      <c r="AF126" s="1"/>
      <c r="AG126" s="1"/>
      <c r="AH126" s="1"/>
      <c r="AI126" s="1"/>
      <c r="AJ126" s="1"/>
      <c r="AK126" s="1"/>
      <c r="AL126" s="1"/>
      <c r="AM126" s="1"/>
      <c r="AN126" s="1"/>
    </row>
    <row r="127">
      <c r="A127" s="1138"/>
      <c r="B127" s="310"/>
      <c r="C127" s="888"/>
      <c r="D127" s="310"/>
      <c r="E127" s="1140"/>
      <c r="F127" s="932"/>
      <c r="G127" s="355"/>
      <c r="H127" s="310"/>
      <c r="I127" s="931"/>
      <c r="J127" s="1143"/>
      <c r="K127" s="691"/>
      <c r="L127" s="691"/>
      <c r="M127" s="691"/>
      <c r="N127" s="691"/>
      <c r="O127" s="691"/>
      <c r="P127" s="691"/>
      <c r="Q127" s="691"/>
      <c r="R127" s="888"/>
      <c r="S127" s="888"/>
      <c r="T127" s="1154"/>
      <c r="U127" s="888"/>
      <c r="V127" s="888"/>
      <c r="W127" s="310"/>
      <c r="X127" s="691"/>
      <c r="Y127" s="1"/>
      <c r="Z127" s="1"/>
      <c r="AA127" s="1"/>
      <c r="AB127" s="1"/>
      <c r="AC127" s="1"/>
      <c r="AD127" s="1"/>
      <c r="AE127" s="1"/>
      <c r="AF127" s="1"/>
      <c r="AG127" s="1"/>
      <c r="AH127" s="1"/>
      <c r="AI127" s="1"/>
      <c r="AJ127" s="1"/>
      <c r="AK127" s="1"/>
      <c r="AL127" s="1"/>
      <c r="AM127" s="1"/>
      <c r="AN127" s="1"/>
    </row>
    <row r="128">
      <c r="A128" s="1138"/>
      <c r="B128" s="310"/>
      <c r="C128" s="888"/>
      <c r="D128" s="310"/>
      <c r="E128" s="1140"/>
      <c r="F128" s="932"/>
      <c r="G128" s="355"/>
      <c r="H128" s="310"/>
      <c r="I128" s="931"/>
      <c r="J128" s="1143"/>
      <c r="K128" s="691"/>
      <c r="L128" s="691"/>
      <c r="M128" s="691"/>
      <c r="N128" s="691"/>
      <c r="O128" s="691"/>
      <c r="P128" s="691"/>
      <c r="Q128" s="691"/>
      <c r="R128" s="888"/>
      <c r="S128" s="888"/>
      <c r="T128" s="1154"/>
      <c r="U128" s="888"/>
      <c r="V128" s="888"/>
      <c r="W128" s="310"/>
      <c r="X128" s="691"/>
      <c r="Y128" s="1"/>
      <c r="Z128" s="1"/>
      <c r="AA128" s="1"/>
      <c r="AB128" s="1"/>
      <c r="AC128" s="1"/>
      <c r="AD128" s="1"/>
      <c r="AE128" s="1"/>
      <c r="AF128" s="1"/>
      <c r="AG128" s="1"/>
      <c r="AH128" s="1"/>
      <c r="AI128" s="1"/>
      <c r="AJ128" s="1"/>
      <c r="AK128" s="1"/>
      <c r="AL128" s="1"/>
      <c r="AM128" s="1"/>
      <c r="AN128" s="1"/>
    </row>
    <row r="129">
      <c r="A129" s="1138"/>
      <c r="B129" s="310"/>
      <c r="C129" s="888"/>
      <c r="D129" s="310"/>
      <c r="E129" s="1140"/>
      <c r="F129" s="932"/>
      <c r="G129" s="355"/>
      <c r="H129" s="310"/>
      <c r="I129" s="931"/>
      <c r="J129" s="1143"/>
      <c r="K129" s="691"/>
      <c r="L129" s="691"/>
      <c r="M129" s="691"/>
      <c r="N129" s="691"/>
      <c r="O129" s="691"/>
      <c r="P129" s="691"/>
      <c r="Q129" s="691"/>
      <c r="R129" s="888"/>
      <c r="S129" s="888"/>
      <c r="T129" s="1154"/>
      <c r="U129" s="888"/>
      <c r="V129" s="888"/>
      <c r="W129" s="310"/>
      <c r="X129" s="691"/>
      <c r="Y129" s="1"/>
      <c r="Z129" s="1"/>
      <c r="AA129" s="1"/>
      <c r="AB129" s="1"/>
      <c r="AC129" s="1"/>
      <c r="AD129" s="1"/>
      <c r="AE129" s="1"/>
      <c r="AF129" s="1"/>
      <c r="AG129" s="1"/>
      <c r="AH129" s="1"/>
      <c r="AI129" s="1"/>
      <c r="AJ129" s="1"/>
      <c r="AK129" s="1"/>
      <c r="AL129" s="1"/>
      <c r="AM129" s="1"/>
      <c r="AN129" s="1"/>
    </row>
    <row r="130">
      <c r="A130" s="1138"/>
      <c r="B130" s="310"/>
      <c r="C130" s="888"/>
      <c r="D130" s="310"/>
      <c r="E130" s="1140"/>
      <c r="F130" s="932"/>
      <c r="G130" s="355"/>
      <c r="H130" s="310"/>
      <c r="I130" s="931"/>
      <c r="J130" s="1143"/>
      <c r="K130" s="691"/>
      <c r="L130" s="691"/>
      <c r="M130" s="691"/>
      <c r="N130" s="691"/>
      <c r="O130" s="691"/>
      <c r="P130" s="691"/>
      <c r="Q130" s="691"/>
      <c r="R130" s="888"/>
      <c r="S130" s="888"/>
      <c r="T130" s="1154"/>
      <c r="U130" s="888"/>
      <c r="V130" s="888"/>
      <c r="W130" s="310"/>
      <c r="X130" s="691"/>
      <c r="Y130" s="1"/>
      <c r="Z130" s="1"/>
      <c r="AA130" s="1"/>
      <c r="AB130" s="1"/>
      <c r="AC130" s="1"/>
      <c r="AD130" s="1"/>
      <c r="AE130" s="1"/>
      <c r="AF130" s="1"/>
      <c r="AG130" s="1"/>
      <c r="AH130" s="1"/>
      <c r="AI130" s="1"/>
      <c r="AJ130" s="1"/>
      <c r="AK130" s="1"/>
      <c r="AL130" s="1"/>
      <c r="AM130" s="1"/>
      <c r="AN130" s="1"/>
    </row>
    <row r="131">
      <c r="A131" s="1138"/>
      <c r="B131" s="310"/>
      <c r="C131" s="888"/>
      <c r="D131" s="310"/>
      <c r="E131" s="1140"/>
      <c r="F131" s="932"/>
      <c r="G131" s="355"/>
      <c r="H131" s="310"/>
      <c r="I131" s="931"/>
      <c r="J131" s="1143"/>
      <c r="K131" s="691"/>
      <c r="L131" s="691"/>
      <c r="M131" s="691"/>
      <c r="N131" s="691"/>
      <c r="O131" s="691"/>
      <c r="P131" s="691"/>
      <c r="Q131" s="691"/>
      <c r="R131" s="888"/>
      <c r="S131" s="888"/>
      <c r="T131" s="1154"/>
      <c r="U131" s="888"/>
      <c r="V131" s="888"/>
      <c r="W131" s="310"/>
      <c r="X131" s="691"/>
      <c r="Y131" s="1"/>
      <c r="Z131" s="1"/>
      <c r="AA131" s="1"/>
      <c r="AB131" s="1"/>
      <c r="AC131" s="1"/>
      <c r="AD131" s="1"/>
      <c r="AE131" s="1"/>
      <c r="AF131" s="1"/>
      <c r="AG131" s="1"/>
      <c r="AH131" s="1"/>
      <c r="AI131" s="1"/>
      <c r="AJ131" s="1"/>
      <c r="AK131" s="1"/>
      <c r="AL131" s="1"/>
      <c r="AM131" s="1"/>
      <c r="AN131" s="1"/>
    </row>
    <row r="132">
      <c r="A132" s="1138"/>
      <c r="B132" s="310"/>
      <c r="C132" s="888"/>
      <c r="D132" s="310"/>
      <c r="E132" s="1140"/>
      <c r="F132" s="932"/>
      <c r="G132" s="355"/>
      <c r="H132" s="310"/>
      <c r="I132" s="931"/>
      <c r="J132" s="1143"/>
      <c r="K132" s="691"/>
      <c r="L132" s="691"/>
      <c r="M132" s="691"/>
      <c r="N132" s="691"/>
      <c r="O132" s="691"/>
      <c r="P132" s="691"/>
      <c r="Q132" s="691"/>
      <c r="R132" s="888"/>
      <c r="S132" s="888"/>
      <c r="T132" s="1154"/>
      <c r="U132" s="888"/>
      <c r="V132" s="888"/>
      <c r="W132" s="310"/>
      <c r="X132" s="691"/>
      <c r="Y132" s="1"/>
      <c r="Z132" s="1"/>
      <c r="AA132" s="1"/>
      <c r="AB132" s="1"/>
      <c r="AC132" s="1"/>
      <c r="AD132" s="1"/>
      <c r="AE132" s="1"/>
      <c r="AF132" s="1"/>
      <c r="AG132" s="1"/>
      <c r="AH132" s="1"/>
      <c r="AI132" s="1"/>
      <c r="AJ132" s="1"/>
      <c r="AK132" s="1"/>
      <c r="AL132" s="1"/>
      <c r="AM132" s="1"/>
      <c r="AN132" s="1"/>
    </row>
    <row r="133">
      <c r="A133" s="1138"/>
      <c r="B133" s="310"/>
      <c r="C133" s="888"/>
      <c r="D133" s="310"/>
      <c r="E133" s="1140"/>
      <c r="F133" s="932"/>
      <c r="G133" s="355"/>
      <c r="H133" s="310"/>
      <c r="I133" s="931"/>
      <c r="J133" s="1143"/>
      <c r="K133" s="691"/>
      <c r="L133" s="691"/>
      <c r="M133" s="691"/>
      <c r="N133" s="691"/>
      <c r="O133" s="691"/>
      <c r="P133" s="691"/>
      <c r="Q133" s="691"/>
      <c r="R133" s="888"/>
      <c r="S133" s="888"/>
      <c r="T133" s="1154"/>
      <c r="U133" s="888"/>
      <c r="V133" s="888"/>
      <c r="W133" s="310"/>
      <c r="X133" s="691"/>
      <c r="Y133" s="1"/>
      <c r="Z133" s="1"/>
      <c r="AA133" s="1"/>
      <c r="AB133" s="1"/>
      <c r="AC133" s="1"/>
      <c r="AD133" s="1"/>
      <c r="AE133" s="1"/>
      <c r="AF133" s="1"/>
      <c r="AG133" s="1"/>
      <c r="AH133" s="1"/>
      <c r="AI133" s="1"/>
      <c r="AJ133" s="1"/>
      <c r="AK133" s="1"/>
      <c r="AL133" s="1"/>
      <c r="AM133" s="1"/>
      <c r="AN133" s="1"/>
    </row>
    <row r="134">
      <c r="A134" s="1138"/>
      <c r="B134" s="310"/>
      <c r="C134" s="888"/>
      <c r="D134" s="310"/>
      <c r="E134" s="1140"/>
      <c r="F134" s="932"/>
      <c r="G134" s="355"/>
      <c r="H134" s="310"/>
      <c r="I134" s="931"/>
      <c r="J134" s="1143"/>
      <c r="K134" s="691"/>
      <c r="L134" s="691"/>
      <c r="M134" s="691"/>
      <c r="N134" s="691"/>
      <c r="O134" s="691"/>
      <c r="P134" s="691"/>
      <c r="Q134" s="691"/>
      <c r="R134" s="888"/>
      <c r="S134" s="888"/>
      <c r="T134" s="1154"/>
      <c r="U134" s="888"/>
      <c r="V134" s="888"/>
      <c r="W134" s="310"/>
      <c r="X134" s="691"/>
      <c r="Y134" s="1"/>
      <c r="Z134" s="1"/>
      <c r="AA134" s="1"/>
      <c r="AB134" s="1"/>
      <c r="AC134" s="1"/>
      <c r="AD134" s="1"/>
      <c r="AE134" s="1"/>
      <c r="AF134" s="1"/>
      <c r="AG134" s="1"/>
      <c r="AH134" s="1"/>
      <c r="AI134" s="1"/>
      <c r="AJ134" s="1"/>
      <c r="AK134" s="1"/>
      <c r="AL134" s="1"/>
      <c r="AM134" s="1"/>
      <c r="AN134" s="1"/>
    </row>
    <row r="135">
      <c r="A135" s="1138"/>
      <c r="B135" s="310"/>
      <c r="C135" s="888"/>
      <c r="D135" s="310"/>
      <c r="E135" s="1140"/>
      <c r="F135" s="932"/>
      <c r="G135" s="355"/>
      <c r="H135" s="310"/>
      <c r="I135" s="931"/>
      <c r="J135" s="1143"/>
      <c r="K135" s="691"/>
      <c r="L135" s="691"/>
      <c r="M135" s="691"/>
      <c r="N135" s="691"/>
      <c r="O135" s="691"/>
      <c r="P135" s="691"/>
      <c r="Q135" s="691"/>
      <c r="R135" s="888"/>
      <c r="S135" s="888"/>
      <c r="T135" s="1154"/>
      <c r="U135" s="888"/>
      <c r="V135" s="888"/>
      <c r="W135" s="310"/>
      <c r="X135" s="691"/>
      <c r="Y135" s="1"/>
      <c r="Z135" s="1"/>
      <c r="AA135" s="1"/>
      <c r="AB135" s="1"/>
      <c r="AC135" s="1"/>
      <c r="AD135" s="1"/>
      <c r="AE135" s="1"/>
      <c r="AF135" s="1"/>
      <c r="AG135" s="1"/>
      <c r="AH135" s="1"/>
      <c r="AI135" s="1"/>
      <c r="AJ135" s="1"/>
      <c r="AK135" s="1"/>
      <c r="AL135" s="1"/>
      <c r="AM135" s="1"/>
      <c r="AN135" s="1"/>
    </row>
    <row r="136">
      <c r="A136" s="1138"/>
      <c r="B136" s="310"/>
      <c r="C136" s="888"/>
      <c r="D136" s="310"/>
      <c r="E136" s="1140"/>
      <c r="F136" s="932"/>
      <c r="G136" s="355"/>
      <c r="H136" s="310"/>
      <c r="I136" s="931"/>
      <c r="J136" s="1143"/>
      <c r="K136" s="691"/>
      <c r="L136" s="691"/>
      <c r="M136" s="691"/>
      <c r="N136" s="691"/>
      <c r="O136" s="691"/>
      <c r="P136" s="691"/>
      <c r="Q136" s="691"/>
      <c r="R136" s="888"/>
      <c r="S136" s="888"/>
      <c r="T136" s="1154"/>
      <c r="U136" s="888"/>
      <c r="V136" s="888"/>
      <c r="W136" s="310"/>
      <c r="X136" s="691"/>
      <c r="Y136" s="1"/>
      <c r="Z136" s="1"/>
      <c r="AA136" s="1"/>
      <c r="AB136" s="1"/>
      <c r="AC136" s="1"/>
      <c r="AD136" s="1"/>
      <c r="AE136" s="1"/>
      <c r="AF136" s="1"/>
      <c r="AG136" s="1"/>
      <c r="AH136" s="1"/>
      <c r="AI136" s="1"/>
      <c r="AJ136" s="1"/>
      <c r="AK136" s="1"/>
      <c r="AL136" s="1"/>
      <c r="AM136" s="1"/>
      <c r="AN136" s="1"/>
    </row>
    <row r="137">
      <c r="A137" s="1138"/>
      <c r="B137" s="310"/>
      <c r="C137" s="888"/>
      <c r="D137" s="310"/>
      <c r="E137" s="1140"/>
      <c r="F137" s="932"/>
      <c r="G137" s="355"/>
      <c r="H137" s="310"/>
      <c r="I137" s="931"/>
      <c r="J137" s="1143"/>
      <c r="K137" s="691"/>
      <c r="L137" s="691"/>
      <c r="M137" s="691"/>
      <c r="N137" s="691"/>
      <c r="O137" s="691"/>
      <c r="P137" s="691"/>
      <c r="Q137" s="691"/>
      <c r="R137" s="888"/>
      <c r="S137" s="888"/>
      <c r="T137" s="1154"/>
      <c r="U137" s="888"/>
      <c r="V137" s="888"/>
      <c r="W137" s="310"/>
      <c r="X137" s="691"/>
      <c r="Y137" s="1"/>
      <c r="Z137" s="1"/>
      <c r="AA137" s="1"/>
      <c r="AB137" s="1"/>
      <c r="AC137" s="1"/>
      <c r="AD137" s="1"/>
      <c r="AE137" s="1"/>
      <c r="AF137" s="1"/>
      <c r="AG137" s="1"/>
      <c r="AH137" s="1"/>
      <c r="AI137" s="1"/>
      <c r="AJ137" s="1"/>
      <c r="AK137" s="1"/>
      <c r="AL137" s="1"/>
      <c r="AM137" s="1"/>
      <c r="AN137" s="1"/>
    </row>
    <row r="138">
      <c r="A138" s="1138"/>
      <c r="B138" s="310"/>
      <c r="C138" s="888"/>
      <c r="D138" s="310"/>
      <c r="E138" s="1140"/>
      <c r="F138" s="932"/>
      <c r="G138" s="355"/>
      <c r="H138" s="310"/>
      <c r="I138" s="931"/>
      <c r="J138" s="1143"/>
      <c r="K138" s="691"/>
      <c r="L138" s="691"/>
      <c r="M138" s="691"/>
      <c r="N138" s="691"/>
      <c r="O138" s="691"/>
      <c r="P138" s="691"/>
      <c r="Q138" s="691"/>
      <c r="R138" s="888"/>
      <c r="S138" s="888"/>
      <c r="T138" s="1154"/>
      <c r="U138" s="888"/>
      <c r="V138" s="888"/>
      <c r="W138" s="310"/>
      <c r="X138" s="691"/>
      <c r="Y138" s="1"/>
      <c r="Z138" s="1"/>
      <c r="AA138" s="1"/>
      <c r="AB138" s="1"/>
      <c r="AC138" s="1"/>
      <c r="AD138" s="1"/>
      <c r="AE138" s="1"/>
      <c r="AF138" s="1"/>
      <c r="AG138" s="1"/>
      <c r="AH138" s="1"/>
      <c r="AI138" s="1"/>
      <c r="AJ138" s="1"/>
      <c r="AK138" s="1"/>
      <c r="AL138" s="1"/>
      <c r="AM138" s="1"/>
      <c r="AN138" s="1"/>
    </row>
    <row r="139">
      <c r="A139" s="1138"/>
      <c r="B139" s="310"/>
      <c r="C139" s="888"/>
      <c r="D139" s="310"/>
      <c r="E139" s="1140"/>
      <c r="F139" s="932"/>
      <c r="G139" s="355"/>
      <c r="H139" s="310"/>
      <c r="I139" s="931"/>
      <c r="J139" s="1143"/>
      <c r="K139" s="691"/>
      <c r="L139" s="691"/>
      <c r="M139" s="691"/>
      <c r="N139" s="691"/>
      <c r="O139" s="691"/>
      <c r="P139" s="691"/>
      <c r="Q139" s="691"/>
      <c r="R139" s="888"/>
      <c r="S139" s="888"/>
      <c r="T139" s="1154"/>
      <c r="U139" s="888"/>
      <c r="V139" s="888"/>
      <c r="W139" s="310"/>
      <c r="X139" s="691"/>
      <c r="Y139" s="1"/>
      <c r="Z139" s="1"/>
      <c r="AA139" s="1"/>
      <c r="AB139" s="1"/>
      <c r="AC139" s="1"/>
      <c r="AD139" s="1"/>
      <c r="AE139" s="1"/>
      <c r="AF139" s="1"/>
      <c r="AG139" s="1"/>
      <c r="AH139" s="1"/>
      <c r="AI139" s="1"/>
      <c r="AJ139" s="1"/>
      <c r="AK139" s="1"/>
      <c r="AL139" s="1"/>
      <c r="AM139" s="1"/>
      <c r="AN139" s="1"/>
    </row>
    <row r="140">
      <c r="A140" s="1138"/>
      <c r="B140" s="310"/>
      <c r="C140" s="888"/>
      <c r="D140" s="310"/>
      <c r="E140" s="1140"/>
      <c r="F140" s="932"/>
      <c r="G140" s="355"/>
      <c r="H140" s="310"/>
      <c r="I140" s="931"/>
      <c r="J140" s="1143"/>
      <c r="K140" s="691"/>
      <c r="L140" s="691"/>
      <c r="M140" s="691"/>
      <c r="N140" s="691"/>
      <c r="O140" s="691"/>
      <c r="P140" s="691"/>
      <c r="Q140" s="691"/>
      <c r="R140" s="888"/>
      <c r="S140" s="888"/>
      <c r="T140" s="1154"/>
      <c r="U140" s="888"/>
      <c r="V140" s="888"/>
      <c r="W140" s="310"/>
      <c r="X140" s="691"/>
      <c r="Y140" s="1"/>
      <c r="Z140" s="1"/>
      <c r="AA140" s="1"/>
      <c r="AB140" s="1"/>
      <c r="AC140" s="1"/>
      <c r="AD140" s="1"/>
      <c r="AE140" s="1"/>
      <c r="AF140" s="1"/>
      <c r="AG140" s="1"/>
      <c r="AH140" s="1"/>
      <c r="AI140" s="1"/>
      <c r="AJ140" s="1"/>
      <c r="AK140" s="1"/>
      <c r="AL140" s="1"/>
      <c r="AM140" s="1"/>
      <c r="AN140" s="1"/>
    </row>
    <row r="141">
      <c r="A141" s="1138"/>
      <c r="B141" s="310"/>
      <c r="C141" s="888"/>
      <c r="D141" s="310"/>
      <c r="E141" s="1140"/>
      <c r="F141" s="932"/>
      <c r="G141" s="355"/>
      <c r="H141" s="310"/>
      <c r="I141" s="931"/>
      <c r="J141" s="1143"/>
      <c r="K141" s="691"/>
      <c r="L141" s="691"/>
      <c r="M141" s="691"/>
      <c r="N141" s="691"/>
      <c r="O141" s="691"/>
      <c r="P141" s="691"/>
      <c r="Q141" s="691"/>
      <c r="R141" s="888"/>
      <c r="S141" s="888"/>
      <c r="T141" s="1154"/>
      <c r="U141" s="888"/>
      <c r="V141" s="888"/>
      <c r="W141" s="310"/>
      <c r="X141" s="691"/>
      <c r="Y141" s="1"/>
      <c r="Z141" s="1"/>
      <c r="AA141" s="1"/>
      <c r="AB141" s="1"/>
      <c r="AC141" s="1"/>
      <c r="AD141" s="1"/>
      <c r="AE141" s="1"/>
      <c r="AF141" s="1"/>
      <c r="AG141" s="1"/>
      <c r="AH141" s="1"/>
      <c r="AI141" s="1"/>
      <c r="AJ141" s="1"/>
      <c r="AK141" s="1"/>
      <c r="AL141" s="1"/>
      <c r="AM141" s="1"/>
      <c r="AN141" s="1"/>
    </row>
    <row r="142">
      <c r="A142" s="1138"/>
      <c r="B142" s="310"/>
      <c r="C142" s="888"/>
      <c r="D142" s="310"/>
      <c r="E142" s="1140"/>
      <c r="F142" s="932"/>
      <c r="G142" s="355"/>
      <c r="H142" s="310"/>
      <c r="I142" s="931"/>
      <c r="J142" s="1143"/>
      <c r="K142" s="691"/>
      <c r="L142" s="691"/>
      <c r="M142" s="691"/>
      <c r="N142" s="691"/>
      <c r="O142" s="691"/>
      <c r="P142" s="691"/>
      <c r="Q142" s="691"/>
      <c r="R142" s="888"/>
      <c r="S142" s="888"/>
      <c r="T142" s="1154"/>
      <c r="U142" s="888"/>
      <c r="V142" s="888"/>
      <c r="W142" s="310"/>
      <c r="X142" s="691"/>
      <c r="Y142" s="1"/>
      <c r="Z142" s="1"/>
      <c r="AA142" s="1"/>
      <c r="AB142" s="1"/>
      <c r="AC142" s="1"/>
      <c r="AD142" s="1"/>
      <c r="AE142" s="1"/>
      <c r="AF142" s="1"/>
      <c r="AG142" s="1"/>
      <c r="AH142" s="1"/>
      <c r="AI142" s="1"/>
      <c r="AJ142" s="1"/>
      <c r="AK142" s="1"/>
      <c r="AL142" s="1"/>
      <c r="AM142" s="1"/>
      <c r="AN142" s="1"/>
    </row>
    <row r="143">
      <c r="A143" s="1138"/>
      <c r="B143" s="310"/>
      <c r="C143" s="888"/>
      <c r="D143" s="310"/>
      <c r="E143" s="1140"/>
      <c r="F143" s="932"/>
      <c r="G143" s="355"/>
      <c r="H143" s="310"/>
      <c r="I143" s="931"/>
      <c r="J143" s="1143"/>
      <c r="K143" s="691"/>
      <c r="L143" s="691"/>
      <c r="M143" s="691"/>
      <c r="N143" s="691"/>
      <c r="O143" s="691"/>
      <c r="P143" s="691"/>
      <c r="Q143" s="691"/>
      <c r="R143" s="888"/>
      <c r="S143" s="888"/>
      <c r="T143" s="1154"/>
      <c r="U143" s="888"/>
      <c r="V143" s="888"/>
      <c r="W143" s="310"/>
      <c r="X143" s="691"/>
      <c r="Y143" s="1"/>
      <c r="Z143" s="1"/>
      <c r="AA143" s="1"/>
      <c r="AB143" s="1"/>
      <c r="AC143" s="1"/>
      <c r="AD143" s="1"/>
      <c r="AE143" s="1"/>
      <c r="AF143" s="1"/>
      <c r="AG143" s="1"/>
      <c r="AH143" s="1"/>
      <c r="AI143" s="1"/>
      <c r="AJ143" s="1"/>
      <c r="AK143" s="1"/>
      <c r="AL143" s="1"/>
      <c r="AM143" s="1"/>
      <c r="AN143" s="1"/>
    </row>
    <row r="144">
      <c r="A144" s="1138"/>
      <c r="B144" s="310"/>
      <c r="C144" s="888"/>
      <c r="D144" s="310"/>
      <c r="E144" s="1140"/>
      <c r="F144" s="932"/>
      <c r="G144" s="355"/>
      <c r="H144" s="310"/>
      <c r="I144" s="931"/>
      <c r="J144" s="1143"/>
      <c r="K144" s="691"/>
      <c r="L144" s="691"/>
      <c r="M144" s="691"/>
      <c r="N144" s="691"/>
      <c r="O144" s="691"/>
      <c r="P144" s="691"/>
      <c r="Q144" s="691"/>
      <c r="R144" s="888"/>
      <c r="S144" s="888"/>
      <c r="T144" s="1154"/>
      <c r="U144" s="888"/>
      <c r="V144" s="888"/>
      <c r="W144" s="310"/>
      <c r="X144" s="691"/>
      <c r="Y144" s="1"/>
      <c r="Z144" s="1"/>
      <c r="AA144" s="1"/>
      <c r="AB144" s="1"/>
      <c r="AC144" s="1"/>
      <c r="AD144" s="1"/>
      <c r="AE144" s="1"/>
      <c r="AF144" s="1"/>
      <c r="AG144" s="1"/>
      <c r="AH144" s="1"/>
      <c r="AI144" s="1"/>
      <c r="AJ144" s="1"/>
      <c r="AK144" s="1"/>
      <c r="AL144" s="1"/>
      <c r="AM144" s="1"/>
      <c r="AN144" s="1"/>
    </row>
    <row r="145">
      <c r="A145" s="1138"/>
      <c r="B145" s="310"/>
      <c r="C145" s="888"/>
      <c r="D145" s="310"/>
      <c r="E145" s="1140"/>
      <c r="F145" s="932"/>
      <c r="G145" s="355"/>
      <c r="H145" s="310"/>
      <c r="I145" s="931"/>
      <c r="J145" s="1143"/>
      <c r="K145" s="691"/>
      <c r="L145" s="691"/>
      <c r="M145" s="691"/>
      <c r="N145" s="691"/>
      <c r="O145" s="691"/>
      <c r="P145" s="691"/>
      <c r="Q145" s="691"/>
      <c r="R145" s="888"/>
      <c r="S145" s="888"/>
      <c r="T145" s="1154"/>
      <c r="U145" s="888"/>
      <c r="V145" s="888"/>
      <c r="W145" s="310"/>
      <c r="X145" s="691"/>
      <c r="Y145" s="1"/>
      <c r="Z145" s="1"/>
      <c r="AA145" s="1"/>
      <c r="AB145" s="1"/>
      <c r="AC145" s="1"/>
      <c r="AD145" s="1"/>
      <c r="AE145" s="1"/>
      <c r="AF145" s="1"/>
      <c r="AG145" s="1"/>
      <c r="AH145" s="1"/>
      <c r="AI145" s="1"/>
      <c r="AJ145" s="1"/>
      <c r="AK145" s="1"/>
      <c r="AL145" s="1"/>
      <c r="AM145" s="1"/>
      <c r="AN145" s="1"/>
    </row>
    <row r="146">
      <c r="A146" s="1138"/>
      <c r="B146" s="310"/>
      <c r="C146" s="888"/>
      <c r="D146" s="310"/>
      <c r="E146" s="1140"/>
      <c r="F146" s="932"/>
      <c r="G146" s="355"/>
      <c r="H146" s="310"/>
      <c r="I146" s="931"/>
      <c r="J146" s="1143"/>
      <c r="K146" s="691"/>
      <c r="L146" s="691"/>
      <c r="M146" s="691"/>
      <c r="N146" s="691"/>
      <c r="O146" s="691"/>
      <c r="P146" s="691"/>
      <c r="Q146" s="691"/>
      <c r="R146" s="888"/>
      <c r="S146" s="888"/>
      <c r="T146" s="1154"/>
      <c r="U146" s="888"/>
      <c r="V146" s="888"/>
      <c r="W146" s="310"/>
      <c r="X146" s="691"/>
      <c r="Y146" s="1"/>
      <c r="Z146" s="1"/>
      <c r="AA146" s="1"/>
      <c r="AB146" s="1"/>
      <c r="AC146" s="1"/>
      <c r="AD146" s="1"/>
      <c r="AE146" s="1"/>
      <c r="AF146" s="1"/>
      <c r="AG146" s="1"/>
      <c r="AH146" s="1"/>
      <c r="AI146" s="1"/>
      <c r="AJ146" s="1"/>
      <c r="AK146" s="1"/>
      <c r="AL146" s="1"/>
      <c r="AM146" s="1"/>
      <c r="AN146" s="1"/>
    </row>
    <row r="147">
      <c r="A147" s="1138"/>
      <c r="B147" s="310"/>
      <c r="C147" s="888"/>
      <c r="D147" s="310"/>
      <c r="E147" s="1140"/>
      <c r="F147" s="932"/>
      <c r="G147" s="355"/>
      <c r="H147" s="310"/>
      <c r="I147" s="931"/>
      <c r="J147" s="1143"/>
      <c r="K147" s="691"/>
      <c r="L147" s="691"/>
      <c r="M147" s="691"/>
      <c r="N147" s="691"/>
      <c r="O147" s="691"/>
      <c r="P147" s="691"/>
      <c r="Q147" s="691"/>
      <c r="R147" s="888"/>
      <c r="S147" s="888"/>
      <c r="T147" s="1154"/>
      <c r="U147" s="888"/>
      <c r="V147" s="888"/>
      <c r="W147" s="310"/>
      <c r="X147" s="691"/>
      <c r="Y147" s="1"/>
      <c r="Z147" s="1"/>
      <c r="AA147" s="1"/>
      <c r="AB147" s="1"/>
      <c r="AC147" s="1"/>
      <c r="AD147" s="1"/>
      <c r="AE147" s="1"/>
      <c r="AF147" s="1"/>
      <c r="AG147" s="1"/>
      <c r="AH147" s="1"/>
      <c r="AI147" s="1"/>
      <c r="AJ147" s="1"/>
      <c r="AK147" s="1"/>
      <c r="AL147" s="1"/>
      <c r="AM147" s="1"/>
      <c r="AN147" s="1"/>
    </row>
    <row r="148">
      <c r="A148" s="1138"/>
      <c r="B148" s="310"/>
      <c r="C148" s="888"/>
      <c r="D148" s="310"/>
      <c r="E148" s="1140"/>
      <c r="F148" s="932"/>
      <c r="G148" s="355"/>
      <c r="H148" s="310"/>
      <c r="I148" s="931"/>
      <c r="J148" s="1143"/>
      <c r="K148" s="691"/>
      <c r="L148" s="691"/>
      <c r="M148" s="691"/>
      <c r="N148" s="691"/>
      <c r="O148" s="691"/>
      <c r="P148" s="691"/>
      <c r="Q148" s="691"/>
      <c r="R148" s="888"/>
      <c r="S148" s="888"/>
      <c r="T148" s="1154"/>
      <c r="U148" s="888"/>
      <c r="V148" s="888"/>
      <c r="W148" s="310"/>
      <c r="X148" s="691"/>
      <c r="Y148" s="1"/>
      <c r="Z148" s="1"/>
      <c r="AA148" s="1"/>
      <c r="AB148" s="1"/>
      <c r="AC148" s="1"/>
      <c r="AD148" s="1"/>
      <c r="AE148" s="1"/>
      <c r="AF148" s="1"/>
      <c r="AG148" s="1"/>
      <c r="AH148" s="1"/>
      <c r="AI148" s="1"/>
      <c r="AJ148" s="1"/>
      <c r="AK148" s="1"/>
      <c r="AL148" s="1"/>
      <c r="AM148" s="1"/>
      <c r="AN148" s="1"/>
    </row>
    <row r="149">
      <c r="A149" s="1138"/>
      <c r="B149" s="310"/>
      <c r="C149" s="888"/>
      <c r="D149" s="310"/>
      <c r="E149" s="1140"/>
      <c r="F149" s="932"/>
      <c r="G149" s="355"/>
      <c r="H149" s="310"/>
      <c r="I149" s="931"/>
      <c r="J149" s="1143"/>
      <c r="K149" s="691"/>
      <c r="L149" s="691"/>
      <c r="M149" s="691"/>
      <c r="N149" s="691"/>
      <c r="O149" s="691"/>
      <c r="P149" s="691"/>
      <c r="Q149" s="691"/>
      <c r="R149" s="888"/>
      <c r="S149" s="888"/>
      <c r="T149" s="1154"/>
      <c r="U149" s="888"/>
      <c r="V149" s="888"/>
      <c r="W149" s="310"/>
      <c r="X149" s="691"/>
      <c r="Y149" s="1"/>
      <c r="Z149" s="1"/>
      <c r="AA149" s="1"/>
      <c r="AB149" s="1"/>
      <c r="AC149" s="1"/>
      <c r="AD149" s="1"/>
      <c r="AE149" s="1"/>
      <c r="AF149" s="1"/>
      <c r="AG149" s="1"/>
      <c r="AH149" s="1"/>
      <c r="AI149" s="1"/>
      <c r="AJ149" s="1"/>
      <c r="AK149" s="1"/>
      <c r="AL149" s="1"/>
      <c r="AM149" s="1"/>
      <c r="AN149" s="1"/>
    </row>
    <row r="150">
      <c r="A150" s="1138"/>
      <c r="B150" s="310"/>
      <c r="C150" s="888"/>
      <c r="D150" s="310"/>
      <c r="E150" s="1140"/>
      <c r="F150" s="932"/>
      <c r="G150" s="355"/>
      <c r="H150" s="310"/>
      <c r="I150" s="931"/>
      <c r="J150" s="1143"/>
      <c r="K150" s="691"/>
      <c r="L150" s="691"/>
      <c r="M150" s="691"/>
      <c r="N150" s="691"/>
      <c r="O150" s="691"/>
      <c r="P150" s="691"/>
      <c r="Q150" s="691"/>
      <c r="R150" s="888"/>
      <c r="S150" s="888"/>
      <c r="T150" s="1154"/>
      <c r="U150" s="888"/>
      <c r="V150" s="888"/>
      <c r="W150" s="310"/>
      <c r="X150" s="691"/>
      <c r="Y150" s="1"/>
      <c r="Z150" s="1"/>
      <c r="AA150" s="1"/>
      <c r="AB150" s="1"/>
      <c r="AC150" s="1"/>
      <c r="AD150" s="1"/>
      <c r="AE150" s="1"/>
      <c r="AF150" s="1"/>
      <c r="AG150" s="1"/>
      <c r="AH150" s="1"/>
      <c r="AI150" s="1"/>
      <c r="AJ150" s="1"/>
      <c r="AK150" s="1"/>
      <c r="AL150" s="1"/>
      <c r="AM150" s="1"/>
      <c r="AN150" s="1"/>
    </row>
    <row r="151">
      <c r="A151" s="1138"/>
      <c r="B151" s="310"/>
      <c r="C151" s="888"/>
      <c r="D151" s="310"/>
      <c r="E151" s="1140"/>
      <c r="F151" s="932"/>
      <c r="G151" s="355"/>
      <c r="H151" s="310"/>
      <c r="I151" s="931"/>
      <c r="J151" s="1143"/>
      <c r="K151" s="691"/>
      <c r="L151" s="691"/>
      <c r="M151" s="691"/>
      <c r="N151" s="691"/>
      <c r="O151" s="691"/>
      <c r="P151" s="691"/>
      <c r="Q151" s="691"/>
      <c r="R151" s="888"/>
      <c r="S151" s="888"/>
      <c r="T151" s="1154"/>
      <c r="U151" s="888"/>
      <c r="V151" s="888"/>
      <c r="W151" s="310"/>
      <c r="X151" s="691"/>
      <c r="Y151" s="1"/>
      <c r="Z151" s="1"/>
      <c r="AA151" s="1"/>
      <c r="AB151" s="1"/>
      <c r="AC151" s="1"/>
      <c r="AD151" s="1"/>
      <c r="AE151" s="1"/>
      <c r="AF151" s="1"/>
      <c r="AG151" s="1"/>
      <c r="AH151" s="1"/>
      <c r="AI151" s="1"/>
      <c r="AJ151" s="1"/>
      <c r="AK151" s="1"/>
      <c r="AL151" s="1"/>
      <c r="AM151" s="1"/>
      <c r="AN151" s="1"/>
    </row>
    <row r="152">
      <c r="A152" s="1138"/>
      <c r="B152" s="310"/>
      <c r="C152" s="888"/>
      <c r="D152" s="310"/>
      <c r="E152" s="1140"/>
      <c r="F152" s="932"/>
      <c r="G152" s="355"/>
      <c r="H152" s="310"/>
      <c r="I152" s="931"/>
      <c r="J152" s="1143"/>
      <c r="K152" s="691"/>
      <c r="L152" s="691"/>
      <c r="M152" s="691"/>
      <c r="N152" s="691"/>
      <c r="O152" s="691"/>
      <c r="P152" s="691"/>
      <c r="Q152" s="691"/>
      <c r="R152" s="888"/>
      <c r="S152" s="888"/>
      <c r="T152" s="1154"/>
      <c r="U152" s="888"/>
      <c r="V152" s="888"/>
      <c r="W152" s="310"/>
      <c r="X152" s="691"/>
      <c r="Y152" s="1"/>
      <c r="Z152" s="1"/>
      <c r="AA152" s="1"/>
      <c r="AB152" s="1"/>
      <c r="AC152" s="1"/>
      <c r="AD152" s="1"/>
      <c r="AE152" s="1"/>
      <c r="AF152" s="1"/>
      <c r="AG152" s="1"/>
      <c r="AH152" s="1"/>
      <c r="AI152" s="1"/>
      <c r="AJ152" s="1"/>
      <c r="AK152" s="1"/>
      <c r="AL152" s="1"/>
      <c r="AM152" s="1"/>
      <c r="AN152" s="1"/>
    </row>
    <row r="153">
      <c r="A153" s="1138"/>
      <c r="B153" s="310"/>
      <c r="C153" s="888"/>
      <c r="D153" s="310"/>
      <c r="E153" s="1140"/>
      <c r="F153" s="932"/>
      <c r="G153" s="355"/>
      <c r="H153" s="310"/>
      <c r="I153" s="931"/>
      <c r="J153" s="1143"/>
      <c r="K153" s="691"/>
      <c r="L153" s="691"/>
      <c r="M153" s="691"/>
      <c r="N153" s="691"/>
      <c r="O153" s="691"/>
      <c r="P153" s="691"/>
      <c r="Q153" s="691"/>
      <c r="R153" s="888"/>
      <c r="S153" s="888"/>
      <c r="T153" s="1154"/>
      <c r="U153" s="888"/>
      <c r="V153" s="888"/>
      <c r="W153" s="310"/>
      <c r="X153" s="691"/>
      <c r="Y153" s="1"/>
      <c r="Z153" s="1"/>
      <c r="AA153" s="1"/>
      <c r="AB153" s="1"/>
      <c r="AC153" s="1"/>
      <c r="AD153" s="1"/>
      <c r="AE153" s="1"/>
      <c r="AF153" s="1"/>
      <c r="AG153" s="1"/>
      <c r="AH153" s="1"/>
      <c r="AI153" s="1"/>
      <c r="AJ153" s="1"/>
      <c r="AK153" s="1"/>
      <c r="AL153" s="1"/>
      <c r="AM153" s="1"/>
      <c r="AN153" s="1"/>
    </row>
    <row r="154">
      <c r="A154" s="1138"/>
      <c r="B154" s="310"/>
      <c r="C154" s="888"/>
      <c r="D154" s="310"/>
      <c r="E154" s="1140"/>
      <c r="F154" s="932"/>
      <c r="G154" s="355"/>
      <c r="H154" s="310"/>
      <c r="I154" s="931"/>
      <c r="J154" s="1143"/>
      <c r="K154" s="691"/>
      <c r="L154" s="691"/>
      <c r="M154" s="691"/>
      <c r="N154" s="691"/>
      <c r="O154" s="691"/>
      <c r="P154" s="691"/>
      <c r="Q154" s="691"/>
      <c r="R154" s="888"/>
      <c r="S154" s="888"/>
      <c r="T154" s="1154"/>
      <c r="U154" s="888"/>
      <c r="V154" s="888"/>
      <c r="W154" s="310"/>
      <c r="X154" s="691"/>
      <c r="Y154" s="1"/>
      <c r="Z154" s="1"/>
      <c r="AA154" s="1"/>
      <c r="AB154" s="1"/>
      <c r="AC154" s="1"/>
      <c r="AD154" s="1"/>
      <c r="AE154" s="1"/>
      <c r="AF154" s="1"/>
      <c r="AG154" s="1"/>
      <c r="AH154" s="1"/>
      <c r="AI154" s="1"/>
      <c r="AJ154" s="1"/>
      <c r="AK154" s="1"/>
      <c r="AL154" s="1"/>
      <c r="AM154" s="1"/>
      <c r="AN154" s="1"/>
    </row>
    <row r="155">
      <c r="A155" s="1138"/>
      <c r="B155" s="310"/>
      <c r="C155" s="888"/>
      <c r="D155" s="310"/>
      <c r="E155" s="1140"/>
      <c r="F155" s="932"/>
      <c r="G155" s="355"/>
      <c r="H155" s="310"/>
      <c r="I155" s="931"/>
      <c r="J155" s="1143"/>
      <c r="K155" s="691"/>
      <c r="L155" s="691"/>
      <c r="M155" s="691"/>
      <c r="N155" s="691"/>
      <c r="O155" s="691"/>
      <c r="P155" s="691"/>
      <c r="Q155" s="691"/>
      <c r="R155" s="888"/>
      <c r="S155" s="888"/>
      <c r="T155" s="1154"/>
      <c r="U155" s="888"/>
      <c r="V155" s="888"/>
      <c r="W155" s="310"/>
      <c r="X155" s="691"/>
      <c r="Y155" s="1"/>
      <c r="Z155" s="1"/>
      <c r="AA155" s="1"/>
      <c r="AB155" s="1"/>
      <c r="AC155" s="1"/>
      <c r="AD155" s="1"/>
      <c r="AE155" s="1"/>
      <c r="AF155" s="1"/>
      <c r="AG155" s="1"/>
      <c r="AH155" s="1"/>
      <c r="AI155" s="1"/>
      <c r="AJ155" s="1"/>
      <c r="AK155" s="1"/>
      <c r="AL155" s="1"/>
      <c r="AM155" s="1"/>
      <c r="AN155" s="1"/>
    </row>
    <row r="156">
      <c r="A156" s="1138"/>
      <c r="B156" s="310"/>
      <c r="C156" s="888"/>
      <c r="D156" s="310"/>
      <c r="E156" s="1140"/>
      <c r="F156" s="932"/>
      <c r="G156" s="355"/>
      <c r="H156" s="310"/>
      <c r="I156" s="931"/>
      <c r="J156" s="1143"/>
      <c r="K156" s="691"/>
      <c r="L156" s="691"/>
      <c r="M156" s="691"/>
      <c r="N156" s="691"/>
      <c r="O156" s="691"/>
      <c r="P156" s="691"/>
      <c r="Q156" s="691"/>
      <c r="R156" s="888"/>
      <c r="S156" s="888"/>
      <c r="T156" s="1154"/>
      <c r="U156" s="888"/>
      <c r="V156" s="888"/>
      <c r="W156" s="310"/>
      <c r="X156" s="691"/>
      <c r="Y156" s="1"/>
      <c r="Z156" s="1"/>
      <c r="AA156" s="1"/>
      <c r="AB156" s="1"/>
      <c r="AC156" s="1"/>
      <c r="AD156" s="1"/>
      <c r="AE156" s="1"/>
      <c r="AF156" s="1"/>
      <c r="AG156" s="1"/>
      <c r="AH156" s="1"/>
      <c r="AI156" s="1"/>
      <c r="AJ156" s="1"/>
      <c r="AK156" s="1"/>
      <c r="AL156" s="1"/>
      <c r="AM156" s="1"/>
      <c r="AN156" s="1"/>
    </row>
    <row r="157">
      <c r="A157" s="1138"/>
      <c r="B157" s="310"/>
      <c r="C157" s="888"/>
      <c r="D157" s="310"/>
      <c r="E157" s="1140"/>
      <c r="F157" s="932"/>
      <c r="G157" s="355"/>
      <c r="H157" s="310"/>
      <c r="I157" s="931"/>
      <c r="J157" s="1143"/>
      <c r="K157" s="691"/>
      <c r="L157" s="691"/>
      <c r="M157" s="691"/>
      <c r="N157" s="691"/>
      <c r="O157" s="691"/>
      <c r="P157" s="691"/>
      <c r="Q157" s="691"/>
      <c r="R157" s="888"/>
      <c r="S157" s="888"/>
      <c r="T157" s="1154"/>
      <c r="U157" s="888"/>
      <c r="V157" s="888"/>
      <c r="W157" s="310"/>
      <c r="X157" s="691"/>
      <c r="Y157" s="1"/>
      <c r="Z157" s="1"/>
      <c r="AA157" s="1"/>
      <c r="AB157" s="1"/>
      <c r="AC157" s="1"/>
      <c r="AD157" s="1"/>
      <c r="AE157" s="1"/>
      <c r="AF157" s="1"/>
      <c r="AG157" s="1"/>
      <c r="AH157" s="1"/>
      <c r="AI157" s="1"/>
      <c r="AJ157" s="1"/>
      <c r="AK157" s="1"/>
      <c r="AL157" s="1"/>
      <c r="AM157" s="1"/>
      <c r="AN157" s="1"/>
    </row>
    <row r="158">
      <c r="A158" s="1138"/>
      <c r="B158" s="310"/>
      <c r="C158" s="888"/>
      <c r="D158" s="310"/>
      <c r="E158" s="1140"/>
      <c r="F158" s="932"/>
      <c r="G158" s="355"/>
      <c r="H158" s="310"/>
      <c r="I158" s="931"/>
      <c r="J158" s="1143"/>
      <c r="K158" s="691"/>
      <c r="L158" s="691"/>
      <c r="M158" s="691"/>
      <c r="N158" s="691"/>
      <c r="O158" s="691"/>
      <c r="P158" s="691"/>
      <c r="Q158" s="691"/>
      <c r="R158" s="888"/>
      <c r="S158" s="888"/>
      <c r="T158" s="1154"/>
      <c r="U158" s="888"/>
      <c r="V158" s="888"/>
      <c r="W158" s="310"/>
      <c r="X158" s="691"/>
      <c r="Y158" s="1"/>
      <c r="Z158" s="1"/>
      <c r="AA158" s="1"/>
      <c r="AB158" s="1"/>
      <c r="AC158" s="1"/>
      <c r="AD158" s="1"/>
      <c r="AE158" s="1"/>
      <c r="AF158" s="1"/>
      <c r="AG158" s="1"/>
      <c r="AH158" s="1"/>
      <c r="AI158" s="1"/>
      <c r="AJ158" s="1"/>
      <c r="AK158" s="1"/>
      <c r="AL158" s="1"/>
      <c r="AM158" s="1"/>
      <c r="AN158" s="1"/>
    </row>
    <row r="159">
      <c r="A159" s="1138"/>
      <c r="B159" s="310"/>
      <c r="C159" s="888"/>
      <c r="D159" s="310"/>
      <c r="E159" s="1140"/>
      <c r="F159" s="932"/>
      <c r="G159" s="355"/>
      <c r="H159" s="310"/>
      <c r="I159" s="931"/>
      <c r="J159" s="1143"/>
      <c r="K159" s="691"/>
      <c r="L159" s="691"/>
      <c r="M159" s="691"/>
      <c r="N159" s="691"/>
      <c r="O159" s="691"/>
      <c r="P159" s="691"/>
      <c r="Q159" s="691"/>
      <c r="R159" s="888"/>
      <c r="S159" s="888"/>
      <c r="T159" s="1154"/>
      <c r="U159" s="888"/>
      <c r="V159" s="888"/>
      <c r="W159" s="310"/>
      <c r="X159" s="691"/>
      <c r="Y159" s="1"/>
      <c r="Z159" s="1"/>
      <c r="AA159" s="1"/>
      <c r="AB159" s="1"/>
      <c r="AC159" s="1"/>
      <c r="AD159" s="1"/>
      <c r="AE159" s="1"/>
      <c r="AF159" s="1"/>
      <c r="AG159" s="1"/>
      <c r="AH159" s="1"/>
      <c r="AI159" s="1"/>
      <c r="AJ159" s="1"/>
      <c r="AK159" s="1"/>
      <c r="AL159" s="1"/>
      <c r="AM159" s="1"/>
      <c r="AN159" s="1"/>
    </row>
    <row r="160">
      <c r="A160" s="1138"/>
      <c r="B160" s="310"/>
      <c r="C160" s="888"/>
      <c r="D160" s="310"/>
      <c r="E160" s="1140"/>
      <c r="F160" s="932"/>
      <c r="G160" s="355"/>
      <c r="H160" s="310"/>
      <c r="I160" s="931"/>
      <c r="J160" s="1143"/>
      <c r="K160" s="691"/>
      <c r="L160" s="691"/>
      <c r="M160" s="691"/>
      <c r="N160" s="691"/>
      <c r="O160" s="691"/>
      <c r="P160" s="691"/>
      <c r="Q160" s="691"/>
      <c r="R160" s="888"/>
      <c r="S160" s="888"/>
      <c r="T160" s="1154"/>
      <c r="U160" s="888"/>
      <c r="V160" s="888"/>
      <c r="W160" s="310"/>
      <c r="X160" s="691"/>
      <c r="Y160" s="1"/>
      <c r="Z160" s="1"/>
      <c r="AA160" s="1"/>
      <c r="AB160" s="1"/>
      <c r="AC160" s="1"/>
      <c r="AD160" s="1"/>
      <c r="AE160" s="1"/>
      <c r="AF160" s="1"/>
      <c r="AG160" s="1"/>
      <c r="AH160" s="1"/>
      <c r="AI160" s="1"/>
      <c r="AJ160" s="1"/>
      <c r="AK160" s="1"/>
      <c r="AL160" s="1"/>
      <c r="AM160" s="1"/>
      <c r="AN160" s="1"/>
    </row>
    <row r="161">
      <c r="A161" s="1138"/>
      <c r="B161" s="310"/>
      <c r="C161" s="888"/>
      <c r="D161" s="310"/>
      <c r="E161" s="1140"/>
      <c r="F161" s="932"/>
      <c r="G161" s="355"/>
      <c r="H161" s="310"/>
      <c r="I161" s="931"/>
      <c r="J161" s="1143"/>
      <c r="K161" s="691"/>
      <c r="L161" s="691"/>
      <c r="M161" s="691"/>
      <c r="N161" s="691"/>
      <c r="O161" s="691"/>
      <c r="P161" s="691"/>
      <c r="Q161" s="691"/>
      <c r="R161" s="888"/>
      <c r="S161" s="888"/>
      <c r="T161" s="1154"/>
      <c r="U161" s="888"/>
      <c r="V161" s="888"/>
      <c r="W161" s="310"/>
      <c r="X161" s="691"/>
      <c r="Y161" s="1"/>
      <c r="Z161" s="1"/>
      <c r="AA161" s="1"/>
      <c r="AB161" s="1"/>
      <c r="AC161" s="1"/>
      <c r="AD161" s="1"/>
      <c r="AE161" s="1"/>
      <c r="AF161" s="1"/>
      <c r="AG161" s="1"/>
      <c r="AH161" s="1"/>
      <c r="AI161" s="1"/>
      <c r="AJ161" s="1"/>
      <c r="AK161" s="1"/>
      <c r="AL161" s="1"/>
      <c r="AM161" s="1"/>
      <c r="AN161" s="1"/>
    </row>
    <row r="162">
      <c r="A162" s="1138"/>
      <c r="B162" s="310"/>
      <c r="C162" s="888"/>
      <c r="D162" s="310"/>
      <c r="E162" s="1140"/>
      <c r="F162" s="932"/>
      <c r="G162" s="355"/>
      <c r="H162" s="310"/>
      <c r="I162" s="931"/>
      <c r="J162" s="1143"/>
      <c r="K162" s="691"/>
      <c r="L162" s="691"/>
      <c r="M162" s="691"/>
      <c r="N162" s="691"/>
      <c r="O162" s="691"/>
      <c r="P162" s="691"/>
      <c r="Q162" s="691"/>
      <c r="R162" s="888"/>
      <c r="S162" s="888"/>
      <c r="T162" s="1154"/>
      <c r="U162" s="888"/>
      <c r="V162" s="888"/>
      <c r="W162" s="310"/>
      <c r="X162" s="691"/>
      <c r="Y162" s="1"/>
      <c r="Z162" s="1"/>
      <c r="AA162" s="1"/>
      <c r="AB162" s="1"/>
      <c r="AC162" s="1"/>
      <c r="AD162" s="1"/>
      <c r="AE162" s="1"/>
      <c r="AF162" s="1"/>
      <c r="AG162" s="1"/>
      <c r="AH162" s="1"/>
      <c r="AI162" s="1"/>
      <c r="AJ162" s="1"/>
      <c r="AK162" s="1"/>
      <c r="AL162" s="1"/>
      <c r="AM162" s="1"/>
      <c r="AN162" s="1"/>
    </row>
    <row r="163">
      <c r="A163" s="1138"/>
      <c r="B163" s="310"/>
      <c r="C163" s="888"/>
      <c r="D163" s="310"/>
      <c r="E163" s="1140"/>
      <c r="F163" s="932"/>
      <c r="G163" s="355"/>
      <c r="H163" s="310"/>
      <c r="I163" s="931"/>
      <c r="J163" s="1143"/>
      <c r="K163" s="691"/>
      <c r="L163" s="691"/>
      <c r="M163" s="691"/>
      <c r="N163" s="691"/>
      <c r="O163" s="691"/>
      <c r="P163" s="691"/>
      <c r="Q163" s="691"/>
      <c r="R163" s="888"/>
      <c r="S163" s="888"/>
      <c r="T163" s="1154"/>
      <c r="U163" s="888"/>
      <c r="V163" s="888"/>
      <c r="W163" s="310"/>
      <c r="X163" s="691"/>
      <c r="Y163" s="1"/>
      <c r="Z163" s="1"/>
      <c r="AA163" s="1"/>
      <c r="AB163" s="1"/>
      <c r="AC163" s="1"/>
      <c r="AD163" s="1"/>
      <c r="AE163" s="1"/>
      <c r="AF163" s="1"/>
      <c r="AG163" s="1"/>
      <c r="AH163" s="1"/>
      <c r="AI163" s="1"/>
      <c r="AJ163" s="1"/>
      <c r="AK163" s="1"/>
      <c r="AL163" s="1"/>
      <c r="AM163" s="1"/>
      <c r="AN163" s="1"/>
    </row>
    <row r="164">
      <c r="A164" s="1138"/>
      <c r="B164" s="310"/>
      <c r="C164" s="888"/>
      <c r="D164" s="310"/>
      <c r="E164" s="1140"/>
      <c r="F164" s="932"/>
      <c r="G164" s="355"/>
      <c r="H164" s="310"/>
      <c r="I164" s="931"/>
      <c r="J164" s="1143"/>
      <c r="K164" s="691"/>
      <c r="L164" s="691"/>
      <c r="M164" s="691"/>
      <c r="N164" s="691"/>
      <c r="O164" s="691"/>
      <c r="P164" s="691"/>
      <c r="Q164" s="691"/>
      <c r="R164" s="888"/>
      <c r="S164" s="888"/>
      <c r="T164" s="1154"/>
      <c r="U164" s="888"/>
      <c r="V164" s="888"/>
      <c r="W164" s="310"/>
      <c r="X164" s="691"/>
      <c r="Y164" s="1"/>
      <c r="Z164" s="1"/>
      <c r="AA164" s="1"/>
      <c r="AB164" s="1"/>
      <c r="AC164" s="1"/>
      <c r="AD164" s="1"/>
      <c r="AE164" s="1"/>
      <c r="AF164" s="1"/>
      <c r="AG164" s="1"/>
      <c r="AH164" s="1"/>
      <c r="AI164" s="1"/>
      <c r="AJ164" s="1"/>
      <c r="AK164" s="1"/>
      <c r="AL164" s="1"/>
      <c r="AM164" s="1"/>
      <c r="AN164" s="1"/>
    </row>
    <row r="165">
      <c r="A165" s="1138"/>
      <c r="B165" s="310"/>
      <c r="C165" s="888"/>
      <c r="D165" s="310"/>
      <c r="E165" s="1140"/>
      <c r="F165" s="932"/>
      <c r="G165" s="355"/>
      <c r="H165" s="310"/>
      <c r="I165" s="931"/>
      <c r="J165" s="1143"/>
      <c r="K165" s="691"/>
      <c r="L165" s="691"/>
      <c r="M165" s="691"/>
      <c r="N165" s="691"/>
      <c r="O165" s="691"/>
      <c r="P165" s="691"/>
      <c r="Q165" s="691"/>
      <c r="R165" s="888"/>
      <c r="S165" s="888"/>
      <c r="T165" s="1154"/>
      <c r="U165" s="888"/>
      <c r="V165" s="888"/>
      <c r="W165" s="310"/>
      <c r="X165" s="691"/>
      <c r="Y165" s="1"/>
      <c r="Z165" s="1"/>
      <c r="AA165" s="1"/>
      <c r="AB165" s="1"/>
      <c r="AC165" s="1"/>
      <c r="AD165" s="1"/>
      <c r="AE165" s="1"/>
      <c r="AF165" s="1"/>
      <c r="AG165" s="1"/>
      <c r="AH165" s="1"/>
      <c r="AI165" s="1"/>
      <c r="AJ165" s="1"/>
      <c r="AK165" s="1"/>
      <c r="AL165" s="1"/>
      <c r="AM165" s="1"/>
      <c r="AN165" s="1"/>
    </row>
    <row r="166">
      <c r="A166" s="1138"/>
      <c r="B166" s="310"/>
      <c r="C166" s="888"/>
      <c r="D166" s="310"/>
      <c r="E166" s="1140"/>
      <c r="F166" s="932"/>
      <c r="G166" s="355"/>
      <c r="H166" s="310"/>
      <c r="I166" s="931"/>
      <c r="J166" s="1143"/>
      <c r="K166" s="691"/>
      <c r="L166" s="691"/>
      <c r="M166" s="691"/>
      <c r="N166" s="691"/>
      <c r="O166" s="691"/>
      <c r="P166" s="691"/>
      <c r="Q166" s="691"/>
      <c r="R166" s="888"/>
      <c r="S166" s="888"/>
      <c r="T166" s="1154"/>
      <c r="U166" s="888"/>
      <c r="V166" s="888"/>
      <c r="W166" s="310"/>
      <c r="X166" s="691"/>
      <c r="Y166" s="1"/>
      <c r="Z166" s="1"/>
      <c r="AA166" s="1"/>
      <c r="AB166" s="1"/>
      <c r="AC166" s="1"/>
      <c r="AD166" s="1"/>
      <c r="AE166" s="1"/>
      <c r="AF166" s="1"/>
      <c r="AG166" s="1"/>
      <c r="AH166" s="1"/>
      <c r="AI166" s="1"/>
      <c r="AJ166" s="1"/>
      <c r="AK166" s="1"/>
      <c r="AL166" s="1"/>
      <c r="AM166" s="1"/>
      <c r="AN166" s="1"/>
    </row>
    <row r="167">
      <c r="A167" s="1138"/>
      <c r="B167" s="310"/>
      <c r="C167" s="888"/>
      <c r="D167" s="310"/>
      <c r="E167" s="1140"/>
      <c r="F167" s="932"/>
      <c r="G167" s="355"/>
      <c r="H167" s="310"/>
      <c r="I167" s="931"/>
      <c r="J167" s="1143"/>
      <c r="K167" s="691"/>
      <c r="L167" s="691"/>
      <c r="M167" s="691"/>
      <c r="N167" s="691"/>
      <c r="O167" s="691"/>
      <c r="P167" s="691"/>
      <c r="Q167" s="691"/>
      <c r="R167" s="888"/>
      <c r="S167" s="888"/>
      <c r="T167" s="1154"/>
      <c r="U167" s="888"/>
      <c r="V167" s="888"/>
      <c r="W167" s="310"/>
      <c r="X167" s="691"/>
      <c r="Y167" s="1"/>
      <c r="Z167" s="1"/>
      <c r="AA167" s="1"/>
      <c r="AB167" s="1"/>
      <c r="AC167" s="1"/>
      <c r="AD167" s="1"/>
      <c r="AE167" s="1"/>
      <c r="AF167" s="1"/>
      <c r="AG167" s="1"/>
      <c r="AH167" s="1"/>
      <c r="AI167" s="1"/>
      <c r="AJ167" s="1"/>
      <c r="AK167" s="1"/>
      <c r="AL167" s="1"/>
      <c r="AM167" s="1"/>
      <c r="AN167" s="1"/>
    </row>
    <row r="168">
      <c r="A168" s="1138"/>
      <c r="B168" s="310"/>
      <c r="C168" s="888"/>
      <c r="D168" s="310"/>
      <c r="E168" s="1140"/>
      <c r="F168" s="932"/>
      <c r="G168" s="355"/>
      <c r="H168" s="310"/>
      <c r="I168" s="931"/>
      <c r="J168" s="1143"/>
      <c r="K168" s="691"/>
      <c r="L168" s="691"/>
      <c r="M168" s="691"/>
      <c r="N168" s="691"/>
      <c r="O168" s="691"/>
      <c r="P168" s="691"/>
      <c r="Q168" s="691"/>
      <c r="R168" s="888"/>
      <c r="S168" s="888"/>
      <c r="T168" s="1154"/>
      <c r="U168" s="888"/>
      <c r="V168" s="888"/>
      <c r="W168" s="310"/>
      <c r="X168" s="691"/>
      <c r="Y168" s="1"/>
      <c r="Z168" s="1"/>
      <c r="AA168" s="1"/>
      <c r="AB168" s="1"/>
      <c r="AC168" s="1"/>
      <c r="AD168" s="1"/>
      <c r="AE168" s="1"/>
      <c r="AF168" s="1"/>
      <c r="AG168" s="1"/>
      <c r="AH168" s="1"/>
      <c r="AI168" s="1"/>
      <c r="AJ168" s="1"/>
      <c r="AK168" s="1"/>
      <c r="AL168" s="1"/>
      <c r="AM168" s="1"/>
      <c r="AN168" s="1"/>
    </row>
    <row r="169">
      <c r="A169" s="1138"/>
      <c r="B169" s="310"/>
      <c r="C169" s="888"/>
      <c r="D169" s="310"/>
      <c r="E169" s="1140"/>
      <c r="F169" s="932"/>
      <c r="G169" s="355"/>
      <c r="H169" s="310"/>
      <c r="I169" s="931"/>
      <c r="J169" s="1143"/>
      <c r="K169" s="691"/>
      <c r="L169" s="691"/>
      <c r="M169" s="691"/>
      <c r="N169" s="691"/>
      <c r="O169" s="691"/>
      <c r="P169" s="691"/>
      <c r="Q169" s="691"/>
      <c r="R169" s="888"/>
      <c r="S169" s="888"/>
      <c r="T169" s="1154"/>
      <c r="U169" s="888"/>
      <c r="V169" s="888"/>
      <c r="W169" s="310"/>
      <c r="X169" s="691"/>
      <c r="Y169" s="1"/>
      <c r="Z169" s="1"/>
      <c r="AA169" s="1"/>
      <c r="AB169" s="1"/>
      <c r="AC169" s="1"/>
      <c r="AD169" s="1"/>
      <c r="AE169" s="1"/>
      <c r="AF169" s="1"/>
      <c r="AG169" s="1"/>
      <c r="AH169" s="1"/>
      <c r="AI169" s="1"/>
      <c r="AJ169" s="1"/>
      <c r="AK169" s="1"/>
      <c r="AL169" s="1"/>
      <c r="AM169" s="1"/>
      <c r="AN169" s="1"/>
    </row>
    <row r="170">
      <c r="A170" s="1138"/>
      <c r="B170" s="310"/>
      <c r="C170" s="888"/>
      <c r="D170" s="310"/>
      <c r="E170" s="1140"/>
      <c r="F170" s="932"/>
      <c r="G170" s="355"/>
      <c r="H170" s="310"/>
      <c r="I170" s="931"/>
      <c r="J170" s="1143"/>
      <c r="K170" s="691"/>
      <c r="L170" s="691"/>
      <c r="M170" s="691"/>
      <c r="N170" s="691"/>
      <c r="O170" s="691"/>
      <c r="P170" s="691"/>
      <c r="Q170" s="691"/>
      <c r="R170" s="888"/>
      <c r="S170" s="888"/>
      <c r="T170" s="1154"/>
      <c r="U170" s="888"/>
      <c r="V170" s="888"/>
      <c r="W170" s="310"/>
      <c r="X170" s="691"/>
      <c r="Y170" s="1"/>
      <c r="Z170" s="1"/>
      <c r="AA170" s="1"/>
      <c r="AB170" s="1"/>
      <c r="AC170" s="1"/>
      <c r="AD170" s="1"/>
      <c r="AE170" s="1"/>
      <c r="AF170" s="1"/>
      <c r="AG170" s="1"/>
      <c r="AH170" s="1"/>
      <c r="AI170" s="1"/>
      <c r="AJ170" s="1"/>
      <c r="AK170" s="1"/>
      <c r="AL170" s="1"/>
      <c r="AM170" s="1"/>
      <c r="AN170" s="1"/>
    </row>
    <row r="171">
      <c r="A171" s="1138"/>
      <c r="B171" s="310"/>
      <c r="C171" s="888"/>
      <c r="D171" s="310"/>
      <c r="E171" s="1140"/>
      <c r="F171" s="932"/>
      <c r="G171" s="355"/>
      <c r="H171" s="310"/>
      <c r="I171" s="931"/>
      <c r="J171" s="1143"/>
      <c r="K171" s="691"/>
      <c r="L171" s="691"/>
      <c r="M171" s="691"/>
      <c r="N171" s="691"/>
      <c r="O171" s="691"/>
      <c r="P171" s="691"/>
      <c r="Q171" s="691"/>
      <c r="R171" s="888"/>
      <c r="S171" s="888"/>
      <c r="T171" s="1154"/>
      <c r="U171" s="888"/>
      <c r="V171" s="888"/>
      <c r="W171" s="310"/>
      <c r="X171" s="691"/>
      <c r="Y171" s="1"/>
      <c r="Z171" s="1"/>
      <c r="AA171" s="1"/>
      <c r="AB171" s="1"/>
      <c r="AC171" s="1"/>
      <c r="AD171" s="1"/>
      <c r="AE171" s="1"/>
      <c r="AF171" s="1"/>
      <c r="AG171" s="1"/>
      <c r="AH171" s="1"/>
      <c r="AI171" s="1"/>
      <c r="AJ171" s="1"/>
      <c r="AK171" s="1"/>
      <c r="AL171" s="1"/>
      <c r="AM171" s="1"/>
      <c r="AN171" s="1"/>
    </row>
    <row r="172">
      <c r="A172" s="1138"/>
      <c r="B172" s="310"/>
      <c r="C172" s="888"/>
      <c r="D172" s="310"/>
      <c r="E172" s="1140"/>
      <c r="F172" s="932"/>
      <c r="G172" s="355"/>
      <c r="H172" s="310"/>
      <c r="I172" s="931"/>
      <c r="J172" s="1143"/>
      <c r="K172" s="691"/>
      <c r="L172" s="691"/>
      <c r="M172" s="691"/>
      <c r="N172" s="691"/>
      <c r="O172" s="691"/>
      <c r="P172" s="691"/>
      <c r="Q172" s="691"/>
      <c r="R172" s="888"/>
      <c r="S172" s="888"/>
      <c r="T172" s="1154"/>
      <c r="U172" s="888"/>
      <c r="V172" s="888"/>
      <c r="W172" s="310"/>
      <c r="X172" s="691"/>
      <c r="Y172" s="1"/>
      <c r="Z172" s="1"/>
      <c r="AA172" s="1"/>
      <c r="AB172" s="1"/>
      <c r="AC172" s="1"/>
      <c r="AD172" s="1"/>
      <c r="AE172" s="1"/>
      <c r="AF172" s="1"/>
      <c r="AG172" s="1"/>
      <c r="AH172" s="1"/>
      <c r="AI172" s="1"/>
      <c r="AJ172" s="1"/>
      <c r="AK172" s="1"/>
      <c r="AL172" s="1"/>
      <c r="AM172" s="1"/>
      <c r="AN172" s="1"/>
    </row>
    <row r="173">
      <c r="A173" s="1138"/>
      <c r="B173" s="310"/>
      <c r="C173" s="888"/>
      <c r="D173" s="310"/>
      <c r="E173" s="1140"/>
      <c r="F173" s="932"/>
      <c r="G173" s="355"/>
      <c r="H173" s="310"/>
      <c r="I173" s="931"/>
      <c r="J173" s="1143"/>
      <c r="K173" s="691"/>
      <c r="L173" s="691"/>
      <c r="M173" s="691"/>
      <c r="N173" s="691"/>
      <c r="O173" s="691"/>
      <c r="P173" s="691"/>
      <c r="Q173" s="691"/>
      <c r="R173" s="888"/>
      <c r="S173" s="888"/>
      <c r="T173" s="1154"/>
      <c r="U173" s="888"/>
      <c r="V173" s="888"/>
      <c r="W173" s="310"/>
      <c r="X173" s="691"/>
      <c r="Y173" s="1"/>
      <c r="Z173" s="1"/>
      <c r="AA173" s="1"/>
      <c r="AB173" s="1"/>
      <c r="AC173" s="1"/>
      <c r="AD173" s="1"/>
      <c r="AE173" s="1"/>
      <c r="AF173" s="1"/>
      <c r="AG173" s="1"/>
      <c r="AH173" s="1"/>
      <c r="AI173" s="1"/>
      <c r="AJ173" s="1"/>
      <c r="AK173" s="1"/>
      <c r="AL173" s="1"/>
      <c r="AM173" s="1"/>
      <c r="AN173" s="1"/>
    </row>
    <row r="174">
      <c r="A174" s="1138"/>
      <c r="B174" s="310"/>
      <c r="C174" s="888"/>
      <c r="D174" s="310"/>
      <c r="E174" s="1140"/>
      <c r="F174" s="932"/>
      <c r="G174" s="355"/>
      <c r="H174" s="310"/>
      <c r="I174" s="931"/>
      <c r="J174" s="1143"/>
      <c r="K174" s="691"/>
      <c r="L174" s="691"/>
      <c r="M174" s="691"/>
      <c r="N174" s="691"/>
      <c r="O174" s="691"/>
      <c r="P174" s="691"/>
      <c r="Q174" s="691"/>
      <c r="R174" s="888"/>
      <c r="S174" s="888"/>
      <c r="T174" s="1154"/>
      <c r="U174" s="888"/>
      <c r="V174" s="888"/>
      <c r="W174" s="310"/>
      <c r="X174" s="691"/>
      <c r="Y174" s="1"/>
      <c r="Z174" s="1"/>
      <c r="AA174" s="1"/>
      <c r="AB174" s="1"/>
      <c r="AC174" s="1"/>
      <c r="AD174" s="1"/>
      <c r="AE174" s="1"/>
      <c r="AF174" s="1"/>
      <c r="AG174" s="1"/>
      <c r="AH174" s="1"/>
      <c r="AI174" s="1"/>
      <c r="AJ174" s="1"/>
      <c r="AK174" s="1"/>
      <c r="AL174" s="1"/>
      <c r="AM174" s="1"/>
      <c r="AN174" s="1"/>
    </row>
    <row r="175">
      <c r="A175" s="1138"/>
      <c r="B175" s="310"/>
      <c r="C175" s="888"/>
      <c r="D175" s="310"/>
      <c r="E175" s="1140"/>
      <c r="F175" s="932"/>
      <c r="G175" s="355"/>
      <c r="H175" s="310"/>
      <c r="I175" s="931"/>
      <c r="J175" s="1143"/>
      <c r="K175" s="691"/>
      <c r="L175" s="691"/>
      <c r="M175" s="691"/>
      <c r="N175" s="691"/>
      <c r="O175" s="691"/>
      <c r="P175" s="691"/>
      <c r="Q175" s="691"/>
      <c r="R175" s="888"/>
      <c r="S175" s="888"/>
      <c r="T175" s="1154"/>
      <c r="U175" s="888"/>
      <c r="V175" s="888"/>
      <c r="W175" s="310"/>
      <c r="X175" s="691"/>
      <c r="Y175" s="1"/>
      <c r="Z175" s="1"/>
      <c r="AA175" s="1"/>
      <c r="AB175" s="1"/>
      <c r="AC175" s="1"/>
      <c r="AD175" s="1"/>
      <c r="AE175" s="1"/>
      <c r="AF175" s="1"/>
      <c r="AG175" s="1"/>
      <c r="AH175" s="1"/>
      <c r="AI175" s="1"/>
      <c r="AJ175" s="1"/>
      <c r="AK175" s="1"/>
      <c r="AL175" s="1"/>
      <c r="AM175" s="1"/>
      <c r="AN175" s="1"/>
    </row>
    <row r="176">
      <c r="A176" s="1138"/>
      <c r="B176" s="310"/>
      <c r="C176" s="888"/>
      <c r="D176" s="310"/>
      <c r="E176" s="1140"/>
      <c r="F176" s="932"/>
      <c r="G176" s="355"/>
      <c r="H176" s="310"/>
      <c r="I176" s="931"/>
      <c r="J176" s="1143"/>
      <c r="K176" s="691"/>
      <c r="L176" s="691"/>
      <c r="M176" s="691"/>
      <c r="N176" s="691"/>
      <c r="O176" s="691"/>
      <c r="P176" s="691"/>
      <c r="Q176" s="691"/>
      <c r="R176" s="888"/>
      <c r="S176" s="888"/>
      <c r="T176" s="1154"/>
      <c r="U176" s="888"/>
      <c r="V176" s="888"/>
      <c r="W176" s="310"/>
      <c r="X176" s="691"/>
      <c r="Y176" s="1"/>
      <c r="Z176" s="1"/>
      <c r="AA176" s="1"/>
      <c r="AB176" s="1"/>
      <c r="AC176" s="1"/>
      <c r="AD176" s="1"/>
      <c r="AE176" s="1"/>
      <c r="AF176" s="1"/>
      <c r="AG176" s="1"/>
      <c r="AH176" s="1"/>
      <c r="AI176" s="1"/>
      <c r="AJ176" s="1"/>
      <c r="AK176" s="1"/>
      <c r="AL176" s="1"/>
      <c r="AM176" s="1"/>
      <c r="AN176" s="1"/>
    </row>
    <row r="177">
      <c r="A177" s="1138"/>
      <c r="B177" s="310"/>
      <c r="C177" s="888"/>
      <c r="D177" s="310"/>
      <c r="E177" s="1140"/>
      <c r="F177" s="932"/>
      <c r="G177" s="355"/>
      <c r="H177" s="310"/>
      <c r="I177" s="931"/>
      <c r="J177" s="1143"/>
      <c r="K177" s="691"/>
      <c r="L177" s="691"/>
      <c r="M177" s="691"/>
      <c r="N177" s="691"/>
      <c r="O177" s="691"/>
      <c r="P177" s="691"/>
      <c r="Q177" s="691"/>
      <c r="R177" s="888"/>
      <c r="S177" s="888"/>
      <c r="T177" s="1154"/>
      <c r="U177" s="888"/>
      <c r="V177" s="888"/>
      <c r="W177" s="310"/>
      <c r="X177" s="691"/>
      <c r="Y177" s="1"/>
      <c r="Z177" s="1"/>
      <c r="AA177" s="1"/>
      <c r="AB177" s="1"/>
      <c r="AC177" s="1"/>
      <c r="AD177" s="1"/>
      <c r="AE177" s="1"/>
      <c r="AF177" s="1"/>
      <c r="AG177" s="1"/>
      <c r="AH177" s="1"/>
      <c r="AI177" s="1"/>
      <c r="AJ177" s="1"/>
      <c r="AK177" s="1"/>
      <c r="AL177" s="1"/>
      <c r="AM177" s="1"/>
      <c r="AN177" s="1"/>
    </row>
    <row r="178">
      <c r="A178" s="1138"/>
      <c r="B178" s="310"/>
      <c r="C178" s="888"/>
      <c r="D178" s="310"/>
      <c r="E178" s="1140"/>
      <c r="F178" s="932"/>
      <c r="G178" s="355"/>
      <c r="H178" s="310"/>
      <c r="I178" s="931"/>
      <c r="J178" s="1143"/>
      <c r="K178" s="691"/>
      <c r="L178" s="691"/>
      <c r="M178" s="691"/>
      <c r="N178" s="691"/>
      <c r="O178" s="691"/>
      <c r="P178" s="691"/>
      <c r="Q178" s="691"/>
      <c r="R178" s="888"/>
      <c r="S178" s="888"/>
      <c r="T178" s="1154"/>
      <c r="U178" s="888"/>
      <c r="V178" s="888"/>
      <c r="W178" s="310"/>
      <c r="X178" s="691"/>
      <c r="Y178" s="1"/>
      <c r="Z178" s="1"/>
      <c r="AA178" s="1"/>
      <c r="AB178" s="1"/>
      <c r="AC178" s="1"/>
      <c r="AD178" s="1"/>
      <c r="AE178" s="1"/>
      <c r="AF178" s="1"/>
      <c r="AG178" s="1"/>
      <c r="AH178" s="1"/>
      <c r="AI178" s="1"/>
      <c r="AJ178" s="1"/>
      <c r="AK178" s="1"/>
      <c r="AL178" s="1"/>
      <c r="AM178" s="1"/>
      <c r="AN178" s="1"/>
    </row>
    <row r="179">
      <c r="A179" s="1138"/>
      <c r="B179" s="310"/>
      <c r="C179" s="888"/>
      <c r="D179" s="310"/>
      <c r="E179" s="1140"/>
      <c r="F179" s="932"/>
      <c r="G179" s="355"/>
      <c r="H179" s="310"/>
      <c r="I179" s="931"/>
      <c r="J179" s="1143"/>
      <c r="K179" s="691"/>
      <c r="L179" s="691"/>
      <c r="M179" s="691"/>
      <c r="N179" s="691"/>
      <c r="O179" s="691"/>
      <c r="P179" s="691"/>
      <c r="Q179" s="691"/>
      <c r="R179" s="888"/>
      <c r="S179" s="888"/>
      <c r="T179" s="1154"/>
      <c r="U179" s="888"/>
      <c r="V179" s="888"/>
      <c r="W179" s="310"/>
      <c r="X179" s="691"/>
      <c r="Y179" s="1"/>
      <c r="Z179" s="1"/>
      <c r="AA179" s="1"/>
      <c r="AB179" s="1"/>
      <c r="AC179" s="1"/>
      <c r="AD179" s="1"/>
      <c r="AE179" s="1"/>
      <c r="AF179" s="1"/>
      <c r="AG179" s="1"/>
      <c r="AH179" s="1"/>
      <c r="AI179" s="1"/>
      <c r="AJ179" s="1"/>
      <c r="AK179" s="1"/>
      <c r="AL179" s="1"/>
      <c r="AM179" s="1"/>
      <c r="AN179" s="1"/>
    </row>
    <row r="180">
      <c r="A180" s="1138"/>
      <c r="B180" s="310"/>
      <c r="C180" s="888"/>
      <c r="D180" s="310"/>
      <c r="E180" s="1140"/>
      <c r="F180" s="932"/>
      <c r="G180" s="355"/>
      <c r="H180" s="310"/>
      <c r="I180" s="931"/>
      <c r="J180" s="1143"/>
      <c r="K180" s="691"/>
      <c r="L180" s="691"/>
      <c r="M180" s="691"/>
      <c r="N180" s="691"/>
      <c r="O180" s="691"/>
      <c r="P180" s="691"/>
      <c r="Q180" s="691"/>
      <c r="R180" s="888"/>
      <c r="S180" s="888"/>
      <c r="T180" s="1154"/>
      <c r="U180" s="888"/>
      <c r="V180" s="888"/>
      <c r="W180" s="310"/>
      <c r="X180" s="691"/>
      <c r="Y180" s="1"/>
      <c r="Z180" s="1"/>
      <c r="AA180" s="1"/>
      <c r="AB180" s="1"/>
      <c r="AC180" s="1"/>
      <c r="AD180" s="1"/>
      <c r="AE180" s="1"/>
      <c r="AF180" s="1"/>
      <c r="AG180" s="1"/>
      <c r="AH180" s="1"/>
      <c r="AI180" s="1"/>
      <c r="AJ180" s="1"/>
      <c r="AK180" s="1"/>
      <c r="AL180" s="1"/>
      <c r="AM180" s="1"/>
      <c r="AN180" s="1"/>
    </row>
    <row r="181">
      <c r="A181" s="1138"/>
      <c r="B181" s="310"/>
      <c r="C181" s="888"/>
      <c r="D181" s="310"/>
      <c r="E181" s="1140"/>
      <c r="F181" s="932"/>
      <c r="G181" s="355"/>
      <c r="H181" s="310"/>
      <c r="I181" s="931"/>
      <c r="J181" s="1143"/>
      <c r="K181" s="691"/>
      <c r="L181" s="691"/>
      <c r="M181" s="691"/>
      <c r="N181" s="691"/>
      <c r="O181" s="691"/>
      <c r="P181" s="691"/>
      <c r="Q181" s="691"/>
      <c r="R181" s="888"/>
      <c r="S181" s="888"/>
      <c r="T181" s="1154"/>
      <c r="U181" s="888"/>
      <c r="V181" s="888"/>
      <c r="W181" s="310"/>
      <c r="X181" s="691"/>
      <c r="Y181" s="1"/>
      <c r="Z181" s="1"/>
      <c r="AA181" s="1"/>
      <c r="AB181" s="1"/>
      <c r="AC181" s="1"/>
      <c r="AD181" s="1"/>
      <c r="AE181" s="1"/>
      <c r="AF181" s="1"/>
      <c r="AG181" s="1"/>
      <c r="AH181" s="1"/>
      <c r="AI181" s="1"/>
      <c r="AJ181" s="1"/>
      <c r="AK181" s="1"/>
      <c r="AL181" s="1"/>
      <c r="AM181" s="1"/>
      <c r="AN181" s="1"/>
    </row>
    <row r="182">
      <c r="A182" s="1138"/>
      <c r="B182" s="310"/>
      <c r="C182" s="888"/>
      <c r="D182" s="310"/>
      <c r="E182" s="1140"/>
      <c r="F182" s="932"/>
      <c r="G182" s="355"/>
      <c r="H182" s="310"/>
      <c r="I182" s="931"/>
      <c r="J182" s="1143"/>
      <c r="K182" s="691"/>
      <c r="L182" s="691"/>
      <c r="M182" s="691"/>
      <c r="N182" s="691"/>
      <c r="O182" s="691"/>
      <c r="P182" s="691"/>
      <c r="Q182" s="691"/>
      <c r="R182" s="888"/>
      <c r="S182" s="888"/>
      <c r="T182" s="1154"/>
      <c r="U182" s="888"/>
      <c r="V182" s="888"/>
      <c r="W182" s="310"/>
      <c r="X182" s="691"/>
      <c r="Y182" s="1"/>
      <c r="Z182" s="1"/>
      <c r="AA182" s="1"/>
      <c r="AB182" s="1"/>
      <c r="AC182" s="1"/>
      <c r="AD182" s="1"/>
      <c r="AE182" s="1"/>
      <c r="AF182" s="1"/>
      <c r="AG182" s="1"/>
      <c r="AH182" s="1"/>
      <c r="AI182" s="1"/>
      <c r="AJ182" s="1"/>
      <c r="AK182" s="1"/>
      <c r="AL182" s="1"/>
      <c r="AM182" s="1"/>
      <c r="AN182" s="1"/>
    </row>
    <row r="183">
      <c r="A183" s="1138"/>
      <c r="B183" s="310"/>
      <c r="C183" s="888"/>
      <c r="D183" s="310"/>
      <c r="E183" s="1140"/>
      <c r="F183" s="932"/>
      <c r="G183" s="355"/>
      <c r="H183" s="310"/>
      <c r="I183" s="931"/>
      <c r="J183" s="1143"/>
      <c r="K183" s="691"/>
      <c r="L183" s="691"/>
      <c r="M183" s="691"/>
      <c r="N183" s="691"/>
      <c r="O183" s="691"/>
      <c r="P183" s="691"/>
      <c r="Q183" s="691"/>
      <c r="R183" s="888"/>
      <c r="S183" s="888"/>
      <c r="T183" s="1154"/>
      <c r="U183" s="888"/>
      <c r="V183" s="888"/>
      <c r="W183" s="310"/>
      <c r="X183" s="691"/>
      <c r="Y183" s="1"/>
      <c r="Z183" s="1"/>
      <c r="AA183" s="1"/>
      <c r="AB183" s="1"/>
      <c r="AC183" s="1"/>
      <c r="AD183" s="1"/>
      <c r="AE183" s="1"/>
      <c r="AF183" s="1"/>
      <c r="AG183" s="1"/>
      <c r="AH183" s="1"/>
      <c r="AI183" s="1"/>
      <c r="AJ183" s="1"/>
      <c r="AK183" s="1"/>
      <c r="AL183" s="1"/>
      <c r="AM183" s="1"/>
      <c r="AN183" s="1"/>
    </row>
    <row r="184">
      <c r="A184" s="1138"/>
      <c r="B184" s="310"/>
      <c r="C184" s="888"/>
      <c r="D184" s="310"/>
      <c r="E184" s="1140"/>
      <c r="F184" s="932"/>
      <c r="G184" s="355"/>
      <c r="H184" s="310"/>
      <c r="I184" s="931"/>
      <c r="J184" s="1143"/>
      <c r="K184" s="691"/>
      <c r="L184" s="691"/>
      <c r="M184" s="691"/>
      <c r="N184" s="691"/>
      <c r="O184" s="691"/>
      <c r="P184" s="691"/>
      <c r="Q184" s="691"/>
      <c r="R184" s="888"/>
      <c r="S184" s="888"/>
      <c r="T184" s="1154"/>
      <c r="U184" s="888"/>
      <c r="V184" s="888"/>
      <c r="W184" s="310"/>
      <c r="X184" s="691"/>
      <c r="Y184" s="1"/>
      <c r="Z184" s="1"/>
      <c r="AA184" s="1"/>
      <c r="AB184" s="1"/>
      <c r="AC184" s="1"/>
      <c r="AD184" s="1"/>
      <c r="AE184" s="1"/>
      <c r="AF184" s="1"/>
      <c r="AG184" s="1"/>
      <c r="AH184" s="1"/>
      <c r="AI184" s="1"/>
      <c r="AJ184" s="1"/>
      <c r="AK184" s="1"/>
      <c r="AL184" s="1"/>
      <c r="AM184" s="1"/>
      <c r="AN184" s="1"/>
    </row>
    <row r="185">
      <c r="A185" s="1138"/>
      <c r="B185" s="310"/>
      <c r="C185" s="888"/>
      <c r="D185" s="310"/>
      <c r="E185" s="1140"/>
      <c r="F185" s="932"/>
      <c r="G185" s="355"/>
      <c r="H185" s="310"/>
      <c r="I185" s="931"/>
      <c r="J185" s="1143"/>
      <c r="K185" s="691"/>
      <c r="L185" s="691"/>
      <c r="M185" s="691"/>
      <c r="N185" s="691"/>
      <c r="O185" s="691"/>
      <c r="P185" s="691"/>
      <c r="Q185" s="691"/>
      <c r="R185" s="888"/>
      <c r="S185" s="888"/>
      <c r="T185" s="1154"/>
      <c r="U185" s="888"/>
      <c r="V185" s="888"/>
      <c r="W185" s="310"/>
      <c r="X185" s="691"/>
      <c r="Y185" s="1"/>
      <c r="Z185" s="1"/>
      <c r="AA185" s="1"/>
      <c r="AB185" s="1"/>
      <c r="AC185" s="1"/>
      <c r="AD185" s="1"/>
      <c r="AE185" s="1"/>
      <c r="AF185" s="1"/>
      <c r="AG185" s="1"/>
      <c r="AH185" s="1"/>
      <c r="AI185" s="1"/>
      <c r="AJ185" s="1"/>
      <c r="AK185" s="1"/>
      <c r="AL185" s="1"/>
      <c r="AM185" s="1"/>
      <c r="AN185" s="1"/>
    </row>
    <row r="186">
      <c r="A186" s="1138"/>
      <c r="B186" s="310"/>
      <c r="C186" s="888"/>
      <c r="D186" s="310"/>
      <c r="E186" s="1140"/>
      <c r="F186" s="932"/>
      <c r="G186" s="355"/>
      <c r="H186" s="310"/>
      <c r="I186" s="931"/>
      <c r="J186" s="1143"/>
      <c r="K186" s="691"/>
      <c r="L186" s="691"/>
      <c r="M186" s="691"/>
      <c r="N186" s="691"/>
      <c r="O186" s="691"/>
      <c r="P186" s="691"/>
      <c r="Q186" s="691"/>
      <c r="R186" s="888"/>
      <c r="S186" s="888"/>
      <c r="T186" s="1154"/>
      <c r="U186" s="888"/>
      <c r="V186" s="888"/>
      <c r="W186" s="310"/>
      <c r="X186" s="691"/>
      <c r="Y186" s="1"/>
      <c r="Z186" s="1"/>
      <c r="AA186" s="1"/>
      <c r="AB186" s="1"/>
      <c r="AC186" s="1"/>
      <c r="AD186" s="1"/>
      <c r="AE186" s="1"/>
      <c r="AF186" s="1"/>
      <c r="AG186" s="1"/>
      <c r="AH186" s="1"/>
      <c r="AI186" s="1"/>
      <c r="AJ186" s="1"/>
      <c r="AK186" s="1"/>
      <c r="AL186" s="1"/>
      <c r="AM186" s="1"/>
      <c r="AN186" s="1"/>
    </row>
    <row r="187">
      <c r="A187" s="1138"/>
      <c r="B187" s="310"/>
      <c r="C187" s="888"/>
      <c r="D187" s="310"/>
      <c r="E187" s="1140"/>
      <c r="F187" s="932"/>
      <c r="G187" s="355"/>
      <c r="H187" s="310"/>
      <c r="I187" s="931"/>
      <c r="J187" s="1143"/>
      <c r="K187" s="691"/>
      <c r="L187" s="691"/>
      <c r="M187" s="691"/>
      <c r="N187" s="691"/>
      <c r="O187" s="691"/>
      <c r="P187" s="691"/>
      <c r="Q187" s="691"/>
      <c r="R187" s="888"/>
      <c r="S187" s="888"/>
      <c r="T187" s="1154"/>
      <c r="U187" s="888"/>
      <c r="V187" s="888"/>
      <c r="W187" s="310"/>
      <c r="X187" s="691"/>
      <c r="Y187" s="1"/>
      <c r="Z187" s="1"/>
      <c r="AA187" s="1"/>
      <c r="AB187" s="1"/>
      <c r="AC187" s="1"/>
      <c r="AD187" s="1"/>
      <c r="AE187" s="1"/>
      <c r="AF187" s="1"/>
      <c r="AG187" s="1"/>
      <c r="AH187" s="1"/>
      <c r="AI187" s="1"/>
      <c r="AJ187" s="1"/>
      <c r="AK187" s="1"/>
      <c r="AL187" s="1"/>
      <c r="AM187" s="1"/>
      <c r="AN187" s="1"/>
    </row>
    <row r="188">
      <c r="A188" s="1138"/>
      <c r="B188" s="310"/>
      <c r="C188" s="888"/>
      <c r="D188" s="310"/>
      <c r="E188" s="1140"/>
      <c r="F188" s="932"/>
      <c r="G188" s="355"/>
      <c r="H188" s="310"/>
      <c r="I188" s="931"/>
      <c r="J188" s="1143"/>
      <c r="K188" s="691"/>
      <c r="L188" s="691"/>
      <c r="M188" s="691"/>
      <c r="N188" s="691"/>
      <c r="O188" s="691"/>
      <c r="P188" s="691"/>
      <c r="Q188" s="691"/>
      <c r="R188" s="888"/>
      <c r="S188" s="888"/>
      <c r="T188" s="1154"/>
      <c r="U188" s="888"/>
      <c r="V188" s="888"/>
      <c r="W188" s="310"/>
      <c r="X188" s="691"/>
      <c r="Y188" s="1"/>
      <c r="Z188" s="1"/>
      <c r="AA188" s="1"/>
      <c r="AB188" s="1"/>
      <c r="AC188" s="1"/>
      <c r="AD188" s="1"/>
      <c r="AE188" s="1"/>
      <c r="AF188" s="1"/>
      <c r="AG188" s="1"/>
      <c r="AH188" s="1"/>
      <c r="AI188" s="1"/>
      <c r="AJ188" s="1"/>
      <c r="AK188" s="1"/>
      <c r="AL188" s="1"/>
      <c r="AM188" s="1"/>
      <c r="AN188" s="1"/>
    </row>
    <row r="189">
      <c r="A189" s="1138"/>
      <c r="B189" s="310"/>
      <c r="C189" s="888"/>
      <c r="D189" s="310"/>
      <c r="E189" s="1140"/>
      <c r="F189" s="932"/>
      <c r="G189" s="355"/>
      <c r="H189" s="310"/>
      <c r="I189" s="931"/>
      <c r="J189" s="1143"/>
      <c r="K189" s="691"/>
      <c r="L189" s="691"/>
      <c r="M189" s="691"/>
      <c r="N189" s="691"/>
      <c r="O189" s="691"/>
      <c r="P189" s="691"/>
      <c r="Q189" s="691"/>
      <c r="R189" s="888"/>
      <c r="S189" s="888"/>
      <c r="T189" s="1154"/>
      <c r="U189" s="888"/>
      <c r="V189" s="888"/>
      <c r="W189" s="310"/>
      <c r="X189" s="691"/>
      <c r="Y189" s="1"/>
      <c r="Z189" s="1"/>
      <c r="AA189" s="1"/>
      <c r="AB189" s="1"/>
      <c r="AC189" s="1"/>
      <c r="AD189" s="1"/>
      <c r="AE189" s="1"/>
      <c r="AF189" s="1"/>
      <c r="AG189" s="1"/>
      <c r="AH189" s="1"/>
      <c r="AI189" s="1"/>
      <c r="AJ189" s="1"/>
      <c r="AK189" s="1"/>
      <c r="AL189" s="1"/>
      <c r="AM189" s="1"/>
      <c r="AN189" s="1"/>
    </row>
    <row r="190">
      <c r="A190" s="1138"/>
      <c r="B190" s="310"/>
      <c r="C190" s="888"/>
      <c r="D190" s="310"/>
      <c r="E190" s="1140"/>
      <c r="F190" s="932"/>
      <c r="G190" s="355"/>
      <c r="H190" s="310"/>
      <c r="I190" s="931"/>
      <c r="J190" s="1143"/>
      <c r="K190" s="691"/>
      <c r="L190" s="691"/>
      <c r="M190" s="691"/>
      <c r="N190" s="691"/>
      <c r="O190" s="691"/>
      <c r="P190" s="691"/>
      <c r="Q190" s="691"/>
      <c r="R190" s="888"/>
      <c r="S190" s="888"/>
      <c r="T190" s="1154"/>
      <c r="U190" s="888"/>
      <c r="V190" s="888"/>
      <c r="W190" s="310"/>
      <c r="X190" s="691"/>
      <c r="Y190" s="1"/>
      <c r="Z190" s="1"/>
      <c r="AA190" s="1"/>
      <c r="AB190" s="1"/>
      <c r="AC190" s="1"/>
      <c r="AD190" s="1"/>
      <c r="AE190" s="1"/>
      <c r="AF190" s="1"/>
      <c r="AG190" s="1"/>
      <c r="AH190" s="1"/>
      <c r="AI190" s="1"/>
      <c r="AJ190" s="1"/>
      <c r="AK190" s="1"/>
      <c r="AL190" s="1"/>
      <c r="AM190" s="1"/>
      <c r="AN190" s="1"/>
    </row>
    <row r="191">
      <c r="A191" s="1138"/>
      <c r="B191" s="310"/>
      <c r="C191" s="888"/>
      <c r="D191" s="310"/>
      <c r="E191" s="1140"/>
      <c r="F191" s="932"/>
      <c r="G191" s="355"/>
      <c r="H191" s="310"/>
      <c r="I191" s="931"/>
      <c r="J191" s="1143"/>
      <c r="K191" s="691"/>
      <c r="L191" s="691"/>
      <c r="M191" s="691"/>
      <c r="N191" s="691"/>
      <c r="O191" s="691"/>
      <c r="P191" s="691"/>
      <c r="Q191" s="691"/>
      <c r="R191" s="888"/>
      <c r="S191" s="888"/>
      <c r="T191" s="1154"/>
      <c r="U191" s="888"/>
      <c r="V191" s="888"/>
      <c r="W191" s="310"/>
      <c r="X191" s="691"/>
      <c r="Y191" s="1"/>
      <c r="Z191" s="1"/>
      <c r="AA191" s="1"/>
      <c r="AB191" s="1"/>
      <c r="AC191" s="1"/>
      <c r="AD191" s="1"/>
      <c r="AE191" s="1"/>
      <c r="AF191" s="1"/>
      <c r="AG191" s="1"/>
      <c r="AH191" s="1"/>
      <c r="AI191" s="1"/>
      <c r="AJ191" s="1"/>
      <c r="AK191" s="1"/>
      <c r="AL191" s="1"/>
      <c r="AM191" s="1"/>
      <c r="AN191" s="1"/>
    </row>
    <row r="192">
      <c r="A192" s="1138"/>
      <c r="B192" s="310"/>
      <c r="C192" s="888"/>
      <c r="D192" s="310"/>
      <c r="E192" s="1140"/>
      <c r="F192" s="932"/>
      <c r="G192" s="355"/>
      <c r="H192" s="310"/>
      <c r="I192" s="931"/>
      <c r="J192" s="1143"/>
      <c r="K192" s="691"/>
      <c r="L192" s="691"/>
      <c r="M192" s="691"/>
      <c r="N192" s="691"/>
      <c r="O192" s="691"/>
      <c r="P192" s="691"/>
      <c r="Q192" s="691"/>
      <c r="R192" s="888"/>
      <c r="S192" s="888"/>
      <c r="T192" s="1154"/>
      <c r="U192" s="888"/>
      <c r="V192" s="888"/>
      <c r="W192" s="310"/>
      <c r="X192" s="691"/>
      <c r="Y192" s="1"/>
      <c r="Z192" s="1"/>
      <c r="AA192" s="1"/>
      <c r="AB192" s="1"/>
      <c r="AC192" s="1"/>
      <c r="AD192" s="1"/>
      <c r="AE192" s="1"/>
      <c r="AF192" s="1"/>
      <c r="AG192" s="1"/>
      <c r="AH192" s="1"/>
      <c r="AI192" s="1"/>
      <c r="AJ192" s="1"/>
      <c r="AK192" s="1"/>
      <c r="AL192" s="1"/>
      <c r="AM192" s="1"/>
      <c r="AN192" s="1"/>
    </row>
    <row r="193">
      <c r="A193" s="1138"/>
      <c r="B193" s="310"/>
      <c r="C193" s="888"/>
      <c r="D193" s="310"/>
      <c r="E193" s="1140"/>
      <c r="F193" s="932"/>
      <c r="G193" s="355"/>
      <c r="H193" s="310"/>
      <c r="I193" s="931"/>
      <c r="J193" s="1143"/>
      <c r="K193" s="691"/>
      <c r="L193" s="691"/>
      <c r="M193" s="691"/>
      <c r="N193" s="691"/>
      <c r="O193" s="691"/>
      <c r="P193" s="691"/>
      <c r="Q193" s="691"/>
      <c r="R193" s="888"/>
      <c r="S193" s="888"/>
      <c r="T193" s="1154"/>
      <c r="U193" s="888"/>
      <c r="V193" s="888"/>
      <c r="W193" s="310"/>
      <c r="X193" s="691"/>
      <c r="Y193" s="1"/>
      <c r="Z193" s="1"/>
      <c r="AA193" s="1"/>
      <c r="AB193" s="1"/>
      <c r="AC193" s="1"/>
      <c r="AD193" s="1"/>
      <c r="AE193" s="1"/>
      <c r="AF193" s="1"/>
      <c r="AG193" s="1"/>
      <c r="AH193" s="1"/>
      <c r="AI193" s="1"/>
      <c r="AJ193" s="1"/>
      <c r="AK193" s="1"/>
      <c r="AL193" s="1"/>
      <c r="AM193" s="1"/>
      <c r="AN193" s="1"/>
    </row>
    <row r="194">
      <c r="A194" s="1138"/>
      <c r="B194" s="310"/>
      <c r="C194" s="888"/>
      <c r="D194" s="310"/>
      <c r="E194" s="1140"/>
      <c r="F194" s="932"/>
      <c r="G194" s="355"/>
      <c r="H194" s="310"/>
      <c r="I194" s="931"/>
      <c r="J194" s="1143"/>
      <c r="K194" s="691"/>
      <c r="L194" s="691"/>
      <c r="M194" s="691"/>
      <c r="N194" s="691"/>
      <c r="O194" s="691"/>
      <c r="P194" s="691"/>
      <c r="Q194" s="691"/>
      <c r="R194" s="888"/>
      <c r="S194" s="888"/>
      <c r="T194" s="1154"/>
      <c r="U194" s="888"/>
      <c r="V194" s="888"/>
      <c r="W194" s="310"/>
      <c r="X194" s="691"/>
      <c r="Y194" s="1"/>
      <c r="Z194" s="1"/>
      <c r="AA194" s="1"/>
      <c r="AB194" s="1"/>
      <c r="AC194" s="1"/>
      <c r="AD194" s="1"/>
      <c r="AE194" s="1"/>
      <c r="AF194" s="1"/>
      <c r="AG194" s="1"/>
      <c r="AH194" s="1"/>
      <c r="AI194" s="1"/>
      <c r="AJ194" s="1"/>
      <c r="AK194" s="1"/>
      <c r="AL194" s="1"/>
      <c r="AM194" s="1"/>
      <c r="AN194" s="1"/>
    </row>
    <row r="195">
      <c r="A195" s="1138"/>
      <c r="B195" s="310"/>
      <c r="C195" s="888"/>
      <c r="D195" s="310"/>
      <c r="E195" s="1140"/>
      <c r="F195" s="932"/>
      <c r="G195" s="355"/>
      <c r="H195" s="310"/>
      <c r="I195" s="931"/>
      <c r="J195" s="1143"/>
      <c r="K195" s="691"/>
      <c r="L195" s="691"/>
      <c r="M195" s="691"/>
      <c r="N195" s="691"/>
      <c r="O195" s="691"/>
      <c r="P195" s="691"/>
      <c r="Q195" s="691"/>
      <c r="R195" s="888"/>
      <c r="S195" s="888"/>
      <c r="T195" s="1154"/>
      <c r="U195" s="888"/>
      <c r="V195" s="888"/>
      <c r="W195" s="310"/>
      <c r="X195" s="691"/>
      <c r="Y195" s="1"/>
      <c r="Z195" s="1"/>
      <c r="AA195" s="1"/>
      <c r="AB195" s="1"/>
      <c r="AC195" s="1"/>
      <c r="AD195" s="1"/>
      <c r="AE195" s="1"/>
      <c r="AF195" s="1"/>
      <c r="AG195" s="1"/>
      <c r="AH195" s="1"/>
      <c r="AI195" s="1"/>
      <c r="AJ195" s="1"/>
      <c r="AK195" s="1"/>
      <c r="AL195" s="1"/>
      <c r="AM195" s="1"/>
      <c r="AN195" s="1"/>
    </row>
    <row r="196">
      <c r="A196" s="1138"/>
      <c r="B196" s="310"/>
      <c r="C196" s="888"/>
      <c r="D196" s="310"/>
      <c r="E196" s="1140"/>
      <c r="F196" s="932"/>
      <c r="G196" s="355"/>
      <c r="H196" s="310"/>
      <c r="I196" s="931"/>
      <c r="J196" s="1143"/>
      <c r="K196" s="691"/>
      <c r="L196" s="691"/>
      <c r="M196" s="691"/>
      <c r="N196" s="691"/>
      <c r="O196" s="691"/>
      <c r="P196" s="691"/>
      <c r="Q196" s="691"/>
      <c r="R196" s="888"/>
      <c r="S196" s="888"/>
      <c r="T196" s="1154"/>
      <c r="U196" s="888"/>
      <c r="V196" s="888"/>
      <c r="W196" s="310"/>
      <c r="X196" s="691"/>
      <c r="Y196" s="1"/>
      <c r="Z196" s="1"/>
      <c r="AA196" s="1"/>
      <c r="AB196" s="1"/>
      <c r="AC196" s="1"/>
      <c r="AD196" s="1"/>
      <c r="AE196" s="1"/>
      <c r="AF196" s="1"/>
      <c r="AG196" s="1"/>
      <c r="AH196" s="1"/>
      <c r="AI196" s="1"/>
      <c r="AJ196" s="1"/>
      <c r="AK196" s="1"/>
      <c r="AL196" s="1"/>
      <c r="AM196" s="1"/>
      <c r="AN196" s="1"/>
    </row>
    <row r="197">
      <c r="A197" s="1138"/>
      <c r="B197" s="310"/>
      <c r="C197" s="888"/>
      <c r="D197" s="310"/>
      <c r="E197" s="1140"/>
      <c r="F197" s="932"/>
      <c r="G197" s="355"/>
      <c r="H197" s="310"/>
      <c r="I197" s="931"/>
      <c r="J197" s="1143"/>
      <c r="K197" s="691"/>
      <c r="L197" s="691"/>
      <c r="M197" s="691"/>
      <c r="N197" s="691"/>
      <c r="O197" s="691"/>
      <c r="P197" s="691"/>
      <c r="Q197" s="691"/>
      <c r="R197" s="888"/>
      <c r="S197" s="888"/>
      <c r="T197" s="1154"/>
      <c r="U197" s="888"/>
      <c r="V197" s="888"/>
      <c r="W197" s="310"/>
      <c r="X197" s="691"/>
      <c r="Y197" s="1"/>
      <c r="Z197" s="1"/>
      <c r="AA197" s="1"/>
      <c r="AB197" s="1"/>
      <c r="AC197" s="1"/>
      <c r="AD197" s="1"/>
      <c r="AE197" s="1"/>
      <c r="AF197" s="1"/>
      <c r="AG197" s="1"/>
      <c r="AH197" s="1"/>
      <c r="AI197" s="1"/>
      <c r="AJ197" s="1"/>
      <c r="AK197" s="1"/>
      <c r="AL197" s="1"/>
      <c r="AM197" s="1"/>
      <c r="AN197" s="1"/>
    </row>
    <row r="198">
      <c r="A198" s="1138"/>
      <c r="B198" s="310"/>
      <c r="C198" s="888"/>
      <c r="D198" s="310"/>
      <c r="E198" s="1140"/>
      <c r="F198" s="932"/>
      <c r="G198" s="355"/>
      <c r="H198" s="310"/>
      <c r="I198" s="931"/>
      <c r="J198" s="1143"/>
      <c r="K198" s="691"/>
      <c r="L198" s="691"/>
      <c r="M198" s="691"/>
      <c r="N198" s="691"/>
      <c r="O198" s="691"/>
      <c r="P198" s="691"/>
      <c r="Q198" s="691"/>
      <c r="R198" s="888"/>
      <c r="S198" s="888"/>
      <c r="T198" s="1154"/>
      <c r="U198" s="888"/>
      <c r="V198" s="888"/>
      <c r="W198" s="310"/>
      <c r="X198" s="691"/>
      <c r="Y198" s="1"/>
      <c r="Z198" s="1"/>
      <c r="AA198" s="1"/>
      <c r="AB198" s="1"/>
      <c r="AC198" s="1"/>
      <c r="AD198" s="1"/>
      <c r="AE198" s="1"/>
      <c r="AF198" s="1"/>
      <c r="AG198" s="1"/>
      <c r="AH198" s="1"/>
      <c r="AI198" s="1"/>
      <c r="AJ198" s="1"/>
      <c r="AK198" s="1"/>
      <c r="AL198" s="1"/>
      <c r="AM198" s="1"/>
      <c r="AN198" s="1"/>
    </row>
    <row r="199">
      <c r="A199" s="1138"/>
      <c r="B199" s="310"/>
      <c r="C199" s="888"/>
      <c r="D199" s="310"/>
      <c r="E199" s="1140"/>
      <c r="F199" s="932"/>
      <c r="G199" s="355"/>
      <c r="H199" s="310"/>
      <c r="I199" s="931"/>
      <c r="J199" s="1143"/>
      <c r="K199" s="691"/>
      <c r="L199" s="691"/>
      <c r="M199" s="691"/>
      <c r="N199" s="691"/>
      <c r="O199" s="691"/>
      <c r="P199" s="691"/>
      <c r="Q199" s="691"/>
      <c r="R199" s="888"/>
      <c r="S199" s="888"/>
      <c r="T199" s="1154"/>
      <c r="U199" s="888"/>
      <c r="V199" s="888"/>
      <c r="W199" s="310"/>
      <c r="X199" s="691"/>
      <c r="Y199" s="1"/>
      <c r="Z199" s="1"/>
      <c r="AA199" s="1"/>
      <c r="AB199" s="1"/>
      <c r="AC199" s="1"/>
      <c r="AD199" s="1"/>
      <c r="AE199" s="1"/>
      <c r="AF199" s="1"/>
      <c r="AG199" s="1"/>
      <c r="AH199" s="1"/>
      <c r="AI199" s="1"/>
      <c r="AJ199" s="1"/>
      <c r="AK199" s="1"/>
      <c r="AL199" s="1"/>
      <c r="AM199" s="1"/>
      <c r="AN199" s="1"/>
    </row>
    <row r="200">
      <c r="A200" s="1138"/>
      <c r="B200" s="310"/>
      <c r="C200" s="888"/>
      <c r="D200" s="310"/>
      <c r="E200" s="1140"/>
      <c r="F200" s="932"/>
      <c r="G200" s="355"/>
      <c r="H200" s="310"/>
      <c r="I200" s="931"/>
      <c r="J200" s="1143"/>
      <c r="K200" s="691"/>
      <c r="L200" s="691"/>
      <c r="M200" s="691"/>
      <c r="N200" s="691"/>
      <c r="O200" s="691"/>
      <c r="P200" s="691"/>
      <c r="Q200" s="691"/>
      <c r="R200" s="888"/>
      <c r="S200" s="888"/>
      <c r="T200" s="1154"/>
      <c r="U200" s="888"/>
      <c r="V200" s="888"/>
      <c r="W200" s="310"/>
      <c r="X200" s="691"/>
      <c r="Y200" s="1"/>
      <c r="Z200" s="1"/>
      <c r="AA200" s="1"/>
      <c r="AB200" s="1"/>
      <c r="AC200" s="1"/>
      <c r="AD200" s="1"/>
      <c r="AE200" s="1"/>
      <c r="AF200" s="1"/>
      <c r="AG200" s="1"/>
      <c r="AH200" s="1"/>
      <c r="AI200" s="1"/>
      <c r="AJ200" s="1"/>
      <c r="AK200" s="1"/>
      <c r="AL200" s="1"/>
      <c r="AM200" s="1"/>
      <c r="AN200" s="1"/>
    </row>
    <row r="201">
      <c r="A201" s="1138"/>
      <c r="B201" s="310"/>
      <c r="C201" s="888"/>
      <c r="D201" s="310"/>
      <c r="E201" s="1140"/>
      <c r="F201" s="932"/>
      <c r="G201" s="355"/>
      <c r="H201" s="310"/>
      <c r="I201" s="931"/>
      <c r="J201" s="1143"/>
      <c r="K201" s="691"/>
      <c r="L201" s="691"/>
      <c r="M201" s="691"/>
      <c r="N201" s="691"/>
      <c r="O201" s="691"/>
      <c r="P201" s="691"/>
      <c r="Q201" s="691"/>
      <c r="R201" s="888"/>
      <c r="S201" s="888"/>
      <c r="T201" s="1154"/>
      <c r="U201" s="888"/>
      <c r="V201" s="888"/>
      <c r="W201" s="310"/>
      <c r="X201" s="691"/>
      <c r="Y201" s="1"/>
      <c r="Z201" s="1"/>
      <c r="AA201" s="1"/>
      <c r="AB201" s="1"/>
      <c r="AC201" s="1"/>
      <c r="AD201" s="1"/>
      <c r="AE201" s="1"/>
      <c r="AF201" s="1"/>
      <c r="AG201" s="1"/>
      <c r="AH201" s="1"/>
      <c r="AI201" s="1"/>
      <c r="AJ201" s="1"/>
      <c r="AK201" s="1"/>
      <c r="AL201" s="1"/>
      <c r="AM201" s="1"/>
      <c r="AN201" s="1"/>
    </row>
    <row r="202">
      <c r="A202" s="1138"/>
      <c r="B202" s="310"/>
      <c r="C202" s="888"/>
      <c r="D202" s="310"/>
      <c r="E202" s="1140"/>
      <c r="F202" s="932"/>
      <c r="G202" s="355"/>
      <c r="H202" s="310"/>
      <c r="I202" s="931"/>
      <c r="J202" s="1143"/>
      <c r="K202" s="691"/>
      <c r="L202" s="691"/>
      <c r="M202" s="691"/>
      <c r="N202" s="691"/>
      <c r="O202" s="691"/>
      <c r="P202" s="691"/>
      <c r="Q202" s="691"/>
      <c r="R202" s="888"/>
      <c r="S202" s="888"/>
      <c r="T202" s="1154"/>
      <c r="U202" s="888"/>
      <c r="V202" s="888"/>
      <c r="W202" s="310"/>
      <c r="X202" s="691"/>
      <c r="Y202" s="1"/>
      <c r="Z202" s="1"/>
      <c r="AA202" s="1"/>
      <c r="AB202" s="1"/>
      <c r="AC202" s="1"/>
      <c r="AD202" s="1"/>
      <c r="AE202" s="1"/>
      <c r="AF202" s="1"/>
      <c r="AG202" s="1"/>
      <c r="AH202" s="1"/>
      <c r="AI202" s="1"/>
      <c r="AJ202" s="1"/>
      <c r="AK202" s="1"/>
      <c r="AL202" s="1"/>
      <c r="AM202" s="1"/>
      <c r="AN202" s="1"/>
    </row>
    <row r="203">
      <c r="A203" s="1138"/>
      <c r="B203" s="310"/>
      <c r="C203" s="888"/>
      <c r="D203" s="310"/>
      <c r="E203" s="1140"/>
      <c r="F203" s="932"/>
      <c r="G203" s="355"/>
      <c r="H203" s="310"/>
      <c r="I203" s="931"/>
      <c r="J203" s="1143"/>
      <c r="K203" s="691"/>
      <c r="L203" s="691"/>
      <c r="M203" s="691"/>
      <c r="N203" s="691"/>
      <c r="O203" s="691"/>
      <c r="P203" s="691"/>
      <c r="Q203" s="691"/>
      <c r="R203" s="888"/>
      <c r="S203" s="888"/>
      <c r="T203" s="1154"/>
      <c r="U203" s="888"/>
      <c r="V203" s="888"/>
      <c r="W203" s="310"/>
      <c r="X203" s="691"/>
      <c r="Y203" s="1"/>
      <c r="Z203" s="1"/>
      <c r="AA203" s="1"/>
      <c r="AB203" s="1"/>
      <c r="AC203" s="1"/>
      <c r="AD203" s="1"/>
      <c r="AE203" s="1"/>
      <c r="AF203" s="1"/>
      <c r="AG203" s="1"/>
      <c r="AH203" s="1"/>
      <c r="AI203" s="1"/>
      <c r="AJ203" s="1"/>
      <c r="AK203" s="1"/>
      <c r="AL203" s="1"/>
      <c r="AM203" s="1"/>
      <c r="AN203" s="1"/>
    </row>
    <row r="204">
      <c r="A204" s="1138"/>
      <c r="B204" s="310"/>
      <c r="C204" s="888"/>
      <c r="D204" s="310"/>
      <c r="E204" s="1140"/>
      <c r="F204" s="932"/>
      <c r="G204" s="355"/>
      <c r="H204" s="310"/>
      <c r="I204" s="931"/>
      <c r="J204" s="1143"/>
      <c r="K204" s="691"/>
      <c r="L204" s="691"/>
      <c r="M204" s="691"/>
      <c r="N204" s="691"/>
      <c r="O204" s="691"/>
      <c r="P204" s="691"/>
      <c r="Q204" s="691"/>
      <c r="R204" s="888"/>
      <c r="S204" s="888"/>
      <c r="T204" s="1154"/>
      <c r="U204" s="888"/>
      <c r="V204" s="888"/>
      <c r="W204" s="310"/>
      <c r="X204" s="691"/>
      <c r="Y204" s="1"/>
      <c r="Z204" s="1"/>
      <c r="AA204" s="1"/>
      <c r="AB204" s="1"/>
      <c r="AC204" s="1"/>
      <c r="AD204" s="1"/>
      <c r="AE204" s="1"/>
      <c r="AF204" s="1"/>
      <c r="AG204" s="1"/>
      <c r="AH204" s="1"/>
      <c r="AI204" s="1"/>
      <c r="AJ204" s="1"/>
      <c r="AK204" s="1"/>
      <c r="AL204" s="1"/>
      <c r="AM204" s="1"/>
      <c r="AN204" s="1"/>
    </row>
    <row r="205">
      <c r="A205" s="1138"/>
      <c r="B205" s="310"/>
      <c r="C205" s="888"/>
      <c r="D205" s="310"/>
      <c r="E205" s="1140"/>
      <c r="F205" s="932"/>
      <c r="G205" s="355"/>
      <c r="H205" s="310"/>
      <c r="I205" s="931"/>
      <c r="J205" s="1143"/>
      <c r="K205" s="691"/>
      <c r="L205" s="691"/>
      <c r="M205" s="691"/>
      <c r="N205" s="691"/>
      <c r="O205" s="691"/>
      <c r="P205" s="691"/>
      <c r="Q205" s="691"/>
      <c r="R205" s="888"/>
      <c r="S205" s="888"/>
      <c r="T205" s="1154"/>
      <c r="U205" s="888"/>
      <c r="V205" s="888"/>
      <c r="W205" s="310"/>
      <c r="X205" s="691"/>
      <c r="Y205" s="1"/>
      <c r="Z205" s="1"/>
      <c r="AA205" s="1"/>
      <c r="AB205" s="1"/>
      <c r="AC205" s="1"/>
      <c r="AD205" s="1"/>
      <c r="AE205" s="1"/>
      <c r="AF205" s="1"/>
      <c r="AG205" s="1"/>
      <c r="AH205" s="1"/>
      <c r="AI205" s="1"/>
      <c r="AJ205" s="1"/>
      <c r="AK205" s="1"/>
      <c r="AL205" s="1"/>
      <c r="AM205" s="1"/>
      <c r="AN205" s="1"/>
    </row>
    <row r="206">
      <c r="A206" s="1138"/>
      <c r="B206" s="310"/>
      <c r="C206" s="888"/>
      <c r="D206" s="310"/>
      <c r="E206" s="1140"/>
      <c r="F206" s="932"/>
      <c r="G206" s="355"/>
      <c r="H206" s="310"/>
      <c r="I206" s="931"/>
      <c r="J206" s="1143"/>
      <c r="K206" s="691"/>
      <c r="L206" s="691"/>
      <c r="M206" s="691"/>
      <c r="N206" s="691"/>
      <c r="O206" s="691"/>
      <c r="P206" s="691"/>
      <c r="Q206" s="691"/>
      <c r="R206" s="888"/>
      <c r="S206" s="888"/>
      <c r="T206" s="1154"/>
      <c r="U206" s="888"/>
      <c r="V206" s="888"/>
      <c r="W206" s="310"/>
      <c r="X206" s="691"/>
      <c r="Y206" s="1"/>
      <c r="Z206" s="1"/>
      <c r="AA206" s="1"/>
      <c r="AB206" s="1"/>
      <c r="AC206" s="1"/>
      <c r="AD206" s="1"/>
      <c r="AE206" s="1"/>
      <c r="AF206" s="1"/>
      <c r="AG206" s="1"/>
      <c r="AH206" s="1"/>
      <c r="AI206" s="1"/>
      <c r="AJ206" s="1"/>
      <c r="AK206" s="1"/>
      <c r="AL206" s="1"/>
      <c r="AM206" s="1"/>
      <c r="AN206" s="1"/>
    </row>
    <row r="207">
      <c r="A207" s="1138"/>
      <c r="B207" s="310"/>
      <c r="C207" s="888"/>
      <c r="D207" s="310"/>
      <c r="E207" s="1140"/>
      <c r="F207" s="932"/>
      <c r="G207" s="355"/>
      <c r="H207" s="310"/>
      <c r="I207" s="931"/>
      <c r="J207" s="1143"/>
      <c r="K207" s="691"/>
      <c r="L207" s="691"/>
      <c r="M207" s="691"/>
      <c r="N207" s="691"/>
      <c r="O207" s="691"/>
      <c r="P207" s="691"/>
      <c r="Q207" s="691"/>
      <c r="R207" s="888"/>
      <c r="S207" s="888"/>
      <c r="T207" s="1154"/>
      <c r="U207" s="888"/>
      <c r="V207" s="888"/>
      <c r="W207" s="310"/>
      <c r="X207" s="691"/>
      <c r="Y207" s="1"/>
      <c r="Z207" s="1"/>
      <c r="AA207" s="1"/>
      <c r="AB207" s="1"/>
      <c r="AC207" s="1"/>
      <c r="AD207" s="1"/>
      <c r="AE207" s="1"/>
      <c r="AF207" s="1"/>
      <c r="AG207" s="1"/>
      <c r="AH207" s="1"/>
      <c r="AI207" s="1"/>
      <c r="AJ207" s="1"/>
      <c r="AK207" s="1"/>
      <c r="AL207" s="1"/>
      <c r="AM207" s="1"/>
      <c r="AN207" s="1"/>
    </row>
    <row r="208">
      <c r="A208" s="1138"/>
      <c r="B208" s="310"/>
      <c r="C208" s="888"/>
      <c r="D208" s="310"/>
      <c r="E208" s="1140"/>
      <c r="F208" s="932"/>
      <c r="G208" s="355"/>
      <c r="H208" s="310"/>
      <c r="I208" s="931"/>
      <c r="J208" s="1143"/>
      <c r="K208" s="691"/>
      <c r="L208" s="691"/>
      <c r="M208" s="691"/>
      <c r="N208" s="691"/>
      <c r="O208" s="691"/>
      <c r="P208" s="691"/>
      <c r="Q208" s="691"/>
      <c r="R208" s="888"/>
      <c r="S208" s="888"/>
      <c r="T208" s="1154"/>
      <c r="U208" s="888"/>
      <c r="V208" s="888"/>
      <c r="W208" s="310"/>
      <c r="X208" s="691"/>
      <c r="Y208" s="1"/>
      <c r="Z208" s="1"/>
      <c r="AA208" s="1"/>
      <c r="AB208" s="1"/>
      <c r="AC208" s="1"/>
      <c r="AD208" s="1"/>
      <c r="AE208" s="1"/>
      <c r="AF208" s="1"/>
      <c r="AG208" s="1"/>
      <c r="AH208" s="1"/>
      <c r="AI208" s="1"/>
      <c r="AJ208" s="1"/>
      <c r="AK208" s="1"/>
      <c r="AL208" s="1"/>
      <c r="AM208" s="1"/>
      <c r="AN208" s="1"/>
    </row>
    <row r="209">
      <c r="A209" s="1138"/>
      <c r="B209" s="310"/>
      <c r="C209" s="888"/>
      <c r="D209" s="310"/>
      <c r="E209" s="1140"/>
      <c r="F209" s="932"/>
      <c r="G209" s="355"/>
      <c r="H209" s="310"/>
      <c r="I209" s="931"/>
      <c r="J209" s="1143"/>
      <c r="K209" s="691"/>
      <c r="L209" s="691"/>
      <c r="M209" s="691"/>
      <c r="N209" s="691"/>
      <c r="O209" s="691"/>
      <c r="P209" s="691"/>
      <c r="Q209" s="691"/>
      <c r="R209" s="888"/>
      <c r="S209" s="888"/>
      <c r="T209" s="1154"/>
      <c r="U209" s="888"/>
      <c r="V209" s="888"/>
      <c r="W209" s="310"/>
      <c r="X209" s="691"/>
      <c r="Y209" s="1"/>
      <c r="Z209" s="1"/>
      <c r="AA209" s="1"/>
      <c r="AB209" s="1"/>
      <c r="AC209" s="1"/>
      <c r="AD209" s="1"/>
      <c r="AE209" s="1"/>
      <c r="AF209" s="1"/>
      <c r="AG209" s="1"/>
      <c r="AH209" s="1"/>
      <c r="AI209" s="1"/>
      <c r="AJ209" s="1"/>
      <c r="AK209" s="1"/>
      <c r="AL209" s="1"/>
      <c r="AM209" s="1"/>
      <c r="AN209" s="1"/>
    </row>
    <row r="210">
      <c r="A210" s="1138"/>
      <c r="B210" s="310"/>
      <c r="C210" s="888"/>
      <c r="D210" s="310"/>
      <c r="E210" s="1140"/>
      <c r="F210" s="932"/>
      <c r="G210" s="355"/>
      <c r="H210" s="310"/>
      <c r="I210" s="931"/>
      <c r="J210" s="1143"/>
      <c r="K210" s="691"/>
      <c r="L210" s="691"/>
      <c r="M210" s="691"/>
      <c r="N210" s="691"/>
      <c r="O210" s="691"/>
      <c r="P210" s="691"/>
      <c r="Q210" s="691"/>
      <c r="R210" s="888"/>
      <c r="S210" s="888"/>
      <c r="T210" s="1154"/>
      <c r="U210" s="888"/>
      <c r="V210" s="888"/>
      <c r="W210" s="310"/>
      <c r="X210" s="691"/>
      <c r="Y210" s="1"/>
      <c r="Z210" s="1"/>
      <c r="AA210" s="1"/>
      <c r="AB210" s="1"/>
      <c r="AC210" s="1"/>
      <c r="AD210" s="1"/>
      <c r="AE210" s="1"/>
      <c r="AF210" s="1"/>
      <c r="AG210" s="1"/>
      <c r="AH210" s="1"/>
      <c r="AI210" s="1"/>
      <c r="AJ210" s="1"/>
      <c r="AK210" s="1"/>
      <c r="AL210" s="1"/>
      <c r="AM210" s="1"/>
      <c r="AN210" s="1"/>
    </row>
    <row r="211">
      <c r="A211" s="1138"/>
      <c r="B211" s="310"/>
      <c r="C211" s="888"/>
      <c r="D211" s="310"/>
      <c r="E211" s="1140"/>
      <c r="F211" s="932"/>
      <c r="G211" s="355"/>
      <c r="H211" s="310"/>
      <c r="I211" s="931"/>
      <c r="J211" s="1143"/>
      <c r="K211" s="691"/>
      <c r="L211" s="691"/>
      <c r="M211" s="691"/>
      <c r="N211" s="691"/>
      <c r="O211" s="691"/>
      <c r="P211" s="691"/>
      <c r="Q211" s="691"/>
      <c r="R211" s="888"/>
      <c r="S211" s="888"/>
      <c r="T211" s="1154"/>
      <c r="U211" s="888"/>
      <c r="V211" s="888"/>
      <c r="W211" s="310"/>
      <c r="X211" s="691"/>
      <c r="Y211" s="1"/>
      <c r="Z211" s="1"/>
      <c r="AA211" s="1"/>
      <c r="AB211" s="1"/>
      <c r="AC211" s="1"/>
      <c r="AD211" s="1"/>
      <c r="AE211" s="1"/>
      <c r="AF211" s="1"/>
      <c r="AG211" s="1"/>
      <c r="AH211" s="1"/>
      <c r="AI211" s="1"/>
      <c r="AJ211" s="1"/>
      <c r="AK211" s="1"/>
      <c r="AL211" s="1"/>
      <c r="AM211" s="1"/>
      <c r="AN211" s="1"/>
    </row>
    <row r="212">
      <c r="A212" s="1138"/>
      <c r="B212" s="310"/>
      <c r="C212" s="888"/>
      <c r="D212" s="310"/>
      <c r="E212" s="1140"/>
      <c r="F212" s="932"/>
      <c r="G212" s="355"/>
      <c r="H212" s="310"/>
      <c r="I212" s="931"/>
      <c r="J212" s="1143"/>
      <c r="K212" s="691"/>
      <c r="L212" s="691"/>
      <c r="M212" s="691"/>
      <c r="N212" s="691"/>
      <c r="O212" s="691"/>
      <c r="P212" s="691"/>
      <c r="Q212" s="691"/>
      <c r="R212" s="888"/>
      <c r="S212" s="888"/>
      <c r="T212" s="1154"/>
      <c r="U212" s="888"/>
      <c r="V212" s="888"/>
      <c r="W212" s="310"/>
      <c r="X212" s="691"/>
      <c r="Y212" s="1"/>
      <c r="Z212" s="1"/>
      <c r="AA212" s="1"/>
      <c r="AB212" s="1"/>
      <c r="AC212" s="1"/>
      <c r="AD212" s="1"/>
      <c r="AE212" s="1"/>
      <c r="AF212" s="1"/>
      <c r="AG212" s="1"/>
      <c r="AH212" s="1"/>
      <c r="AI212" s="1"/>
      <c r="AJ212" s="1"/>
      <c r="AK212" s="1"/>
      <c r="AL212" s="1"/>
      <c r="AM212" s="1"/>
      <c r="AN212" s="1"/>
    </row>
    <row r="213">
      <c r="A213" s="1138"/>
      <c r="B213" s="310"/>
      <c r="C213" s="888"/>
      <c r="D213" s="310"/>
      <c r="E213" s="1140"/>
      <c r="F213" s="932"/>
      <c r="G213" s="355"/>
      <c r="H213" s="310"/>
      <c r="I213" s="931"/>
      <c r="J213" s="1143"/>
      <c r="K213" s="691"/>
      <c r="L213" s="691"/>
      <c r="M213" s="691"/>
      <c r="N213" s="691"/>
      <c r="O213" s="691"/>
      <c r="P213" s="691"/>
      <c r="Q213" s="691"/>
      <c r="R213" s="888"/>
      <c r="S213" s="888"/>
      <c r="T213" s="1154"/>
      <c r="U213" s="888"/>
      <c r="V213" s="888"/>
      <c r="W213" s="310"/>
      <c r="X213" s="691"/>
      <c r="Y213" s="1"/>
      <c r="Z213" s="1"/>
      <c r="AA213" s="1"/>
      <c r="AB213" s="1"/>
      <c r="AC213" s="1"/>
      <c r="AD213" s="1"/>
      <c r="AE213" s="1"/>
      <c r="AF213" s="1"/>
      <c r="AG213" s="1"/>
      <c r="AH213" s="1"/>
      <c r="AI213" s="1"/>
      <c r="AJ213" s="1"/>
      <c r="AK213" s="1"/>
      <c r="AL213" s="1"/>
      <c r="AM213" s="1"/>
      <c r="AN213" s="1"/>
    </row>
    <row r="214">
      <c r="A214" s="1138"/>
      <c r="B214" s="310"/>
      <c r="C214" s="888"/>
      <c r="D214" s="310"/>
      <c r="E214" s="1140"/>
      <c r="F214" s="932"/>
      <c r="G214" s="355"/>
      <c r="H214" s="310"/>
      <c r="I214" s="931"/>
      <c r="J214" s="1143"/>
      <c r="K214" s="691"/>
      <c r="L214" s="691"/>
      <c r="M214" s="691"/>
      <c r="N214" s="691"/>
      <c r="O214" s="691"/>
      <c r="P214" s="691"/>
      <c r="Q214" s="691"/>
      <c r="R214" s="888"/>
      <c r="S214" s="888"/>
      <c r="T214" s="1154"/>
      <c r="U214" s="888"/>
      <c r="V214" s="888"/>
      <c r="W214" s="310"/>
      <c r="X214" s="691"/>
      <c r="Y214" s="1"/>
      <c r="Z214" s="1"/>
      <c r="AA214" s="1"/>
      <c r="AB214" s="1"/>
      <c r="AC214" s="1"/>
      <c r="AD214" s="1"/>
      <c r="AE214" s="1"/>
      <c r="AF214" s="1"/>
      <c r="AG214" s="1"/>
      <c r="AH214" s="1"/>
      <c r="AI214" s="1"/>
      <c r="AJ214" s="1"/>
      <c r="AK214" s="1"/>
      <c r="AL214" s="1"/>
      <c r="AM214" s="1"/>
      <c r="AN214" s="1"/>
    </row>
    <row r="215">
      <c r="A215" s="1138"/>
      <c r="B215" s="310"/>
      <c r="C215" s="888"/>
      <c r="D215" s="310"/>
      <c r="E215" s="1140"/>
      <c r="F215" s="932"/>
      <c r="G215" s="355"/>
      <c r="H215" s="310"/>
      <c r="I215" s="931"/>
      <c r="J215" s="1143"/>
      <c r="K215" s="691"/>
      <c r="L215" s="691"/>
      <c r="M215" s="691"/>
      <c r="N215" s="691"/>
      <c r="O215" s="691"/>
      <c r="P215" s="691"/>
      <c r="Q215" s="691"/>
      <c r="R215" s="888"/>
      <c r="S215" s="888"/>
      <c r="T215" s="1154"/>
      <c r="U215" s="888"/>
      <c r="V215" s="888"/>
      <c r="W215" s="310"/>
      <c r="X215" s="691"/>
      <c r="Y215" s="1"/>
      <c r="Z215" s="1"/>
      <c r="AA215" s="1"/>
      <c r="AB215" s="1"/>
      <c r="AC215" s="1"/>
      <c r="AD215" s="1"/>
      <c r="AE215" s="1"/>
      <c r="AF215" s="1"/>
      <c r="AG215" s="1"/>
      <c r="AH215" s="1"/>
      <c r="AI215" s="1"/>
      <c r="AJ215" s="1"/>
      <c r="AK215" s="1"/>
      <c r="AL215" s="1"/>
      <c r="AM215" s="1"/>
      <c r="AN215" s="1"/>
    </row>
    <row r="216">
      <c r="A216" s="1138"/>
      <c r="B216" s="310"/>
      <c r="C216" s="888"/>
      <c r="D216" s="310"/>
      <c r="E216" s="1140"/>
      <c r="F216" s="932"/>
      <c r="G216" s="355"/>
      <c r="H216" s="310"/>
      <c r="I216" s="931"/>
      <c r="J216" s="1143"/>
      <c r="K216" s="691"/>
      <c r="L216" s="691"/>
      <c r="M216" s="691"/>
      <c r="N216" s="691"/>
      <c r="O216" s="691"/>
      <c r="P216" s="691"/>
      <c r="Q216" s="691"/>
      <c r="R216" s="888"/>
      <c r="S216" s="888"/>
      <c r="T216" s="1154"/>
      <c r="U216" s="888"/>
      <c r="V216" s="888"/>
      <c r="W216" s="310"/>
      <c r="X216" s="691"/>
      <c r="Y216" s="1"/>
      <c r="Z216" s="1"/>
      <c r="AA216" s="1"/>
      <c r="AB216" s="1"/>
      <c r="AC216" s="1"/>
      <c r="AD216" s="1"/>
      <c r="AE216" s="1"/>
      <c r="AF216" s="1"/>
      <c r="AG216" s="1"/>
      <c r="AH216" s="1"/>
      <c r="AI216" s="1"/>
      <c r="AJ216" s="1"/>
      <c r="AK216" s="1"/>
      <c r="AL216" s="1"/>
      <c r="AM216" s="1"/>
      <c r="AN216" s="1"/>
    </row>
    <row r="217">
      <c r="A217" s="1138"/>
      <c r="B217" s="310"/>
      <c r="C217" s="888"/>
      <c r="D217" s="310"/>
      <c r="E217" s="1140"/>
      <c r="F217" s="932"/>
      <c r="G217" s="355"/>
      <c r="H217" s="310"/>
      <c r="I217" s="931"/>
      <c r="J217" s="1143"/>
      <c r="K217" s="691"/>
      <c r="L217" s="691"/>
      <c r="M217" s="691"/>
      <c r="N217" s="691"/>
      <c r="O217" s="691"/>
      <c r="P217" s="691"/>
      <c r="Q217" s="691"/>
      <c r="R217" s="888"/>
      <c r="S217" s="888"/>
      <c r="T217" s="1154"/>
      <c r="U217" s="888"/>
      <c r="V217" s="888"/>
      <c r="W217" s="310"/>
      <c r="X217" s="691"/>
      <c r="Y217" s="1"/>
      <c r="Z217" s="1"/>
      <c r="AA217" s="1"/>
      <c r="AB217" s="1"/>
      <c r="AC217" s="1"/>
      <c r="AD217" s="1"/>
      <c r="AE217" s="1"/>
      <c r="AF217" s="1"/>
      <c r="AG217" s="1"/>
      <c r="AH217" s="1"/>
      <c r="AI217" s="1"/>
      <c r="AJ217" s="1"/>
      <c r="AK217" s="1"/>
      <c r="AL217" s="1"/>
      <c r="AM217" s="1"/>
      <c r="AN217" s="1"/>
    </row>
    <row r="218">
      <c r="A218" s="1138"/>
      <c r="B218" s="310"/>
      <c r="C218" s="888"/>
      <c r="D218" s="310"/>
      <c r="E218" s="1140"/>
      <c r="F218" s="932"/>
      <c r="G218" s="355"/>
      <c r="H218" s="310"/>
      <c r="I218" s="931"/>
      <c r="J218" s="1143"/>
      <c r="K218" s="691"/>
      <c r="L218" s="691"/>
      <c r="M218" s="691"/>
      <c r="N218" s="691"/>
      <c r="O218" s="691"/>
      <c r="P218" s="691"/>
      <c r="Q218" s="691"/>
      <c r="R218" s="888"/>
      <c r="S218" s="888"/>
      <c r="T218" s="1154"/>
      <c r="U218" s="888"/>
      <c r="V218" s="888"/>
      <c r="W218" s="310"/>
      <c r="X218" s="691"/>
      <c r="Y218" s="1"/>
      <c r="Z218" s="1"/>
      <c r="AA218" s="1"/>
      <c r="AB218" s="1"/>
      <c r="AC218" s="1"/>
      <c r="AD218" s="1"/>
      <c r="AE218" s="1"/>
      <c r="AF218" s="1"/>
      <c r="AG218" s="1"/>
      <c r="AH218" s="1"/>
      <c r="AI218" s="1"/>
      <c r="AJ218" s="1"/>
      <c r="AK218" s="1"/>
      <c r="AL218" s="1"/>
      <c r="AM218" s="1"/>
      <c r="AN218" s="1"/>
    </row>
    <row r="219">
      <c r="A219" s="1138"/>
      <c r="B219" s="310"/>
      <c r="C219" s="888"/>
      <c r="D219" s="310"/>
      <c r="E219" s="1140"/>
      <c r="F219" s="932"/>
      <c r="G219" s="355"/>
      <c r="H219" s="310"/>
      <c r="I219" s="931"/>
      <c r="J219" s="1143"/>
      <c r="K219" s="691"/>
      <c r="L219" s="691"/>
      <c r="M219" s="691"/>
      <c r="N219" s="691"/>
      <c r="O219" s="691"/>
      <c r="P219" s="691"/>
      <c r="Q219" s="691"/>
      <c r="R219" s="888"/>
      <c r="S219" s="888"/>
      <c r="T219" s="1154"/>
      <c r="U219" s="888"/>
      <c r="V219" s="888"/>
      <c r="W219" s="310"/>
      <c r="X219" s="691"/>
      <c r="Y219" s="1"/>
      <c r="Z219" s="1"/>
      <c r="AA219" s="1"/>
      <c r="AB219" s="1"/>
      <c r="AC219" s="1"/>
      <c r="AD219" s="1"/>
      <c r="AE219" s="1"/>
      <c r="AF219" s="1"/>
      <c r="AG219" s="1"/>
      <c r="AH219" s="1"/>
      <c r="AI219" s="1"/>
      <c r="AJ219" s="1"/>
      <c r="AK219" s="1"/>
      <c r="AL219" s="1"/>
      <c r="AM219" s="1"/>
      <c r="AN219" s="1"/>
    </row>
    <row r="220">
      <c r="A220" s="1138"/>
      <c r="B220" s="310"/>
      <c r="C220" s="888"/>
      <c r="D220" s="310"/>
      <c r="E220" s="1140"/>
      <c r="F220" s="932"/>
      <c r="G220" s="355"/>
      <c r="H220" s="310"/>
      <c r="I220" s="931"/>
      <c r="J220" s="1143"/>
      <c r="K220" s="691"/>
      <c r="L220" s="691"/>
      <c r="M220" s="691"/>
      <c r="N220" s="691"/>
      <c r="O220" s="691"/>
      <c r="P220" s="691"/>
      <c r="Q220" s="691"/>
      <c r="R220" s="888"/>
      <c r="S220" s="888"/>
      <c r="T220" s="1154"/>
      <c r="U220" s="888"/>
      <c r="V220" s="888"/>
      <c r="W220" s="310"/>
      <c r="X220" s="691"/>
      <c r="Y220" s="1"/>
      <c r="Z220" s="1"/>
      <c r="AA220" s="1"/>
      <c r="AB220" s="1"/>
      <c r="AC220" s="1"/>
      <c r="AD220" s="1"/>
      <c r="AE220" s="1"/>
      <c r="AF220" s="1"/>
      <c r="AG220" s="1"/>
      <c r="AH220" s="1"/>
      <c r="AI220" s="1"/>
      <c r="AJ220" s="1"/>
      <c r="AK220" s="1"/>
      <c r="AL220" s="1"/>
      <c r="AM220" s="1"/>
      <c r="AN220" s="1"/>
    </row>
    <row r="221">
      <c r="A221" s="1138"/>
      <c r="B221" s="310"/>
      <c r="C221" s="888"/>
      <c r="D221" s="310"/>
      <c r="E221" s="1140"/>
      <c r="F221" s="932"/>
      <c r="G221" s="355"/>
      <c r="H221" s="310"/>
      <c r="I221" s="931"/>
      <c r="J221" s="1143"/>
      <c r="K221" s="691"/>
      <c r="L221" s="691"/>
      <c r="M221" s="691"/>
      <c r="N221" s="691"/>
      <c r="O221" s="691"/>
      <c r="P221" s="691"/>
      <c r="Q221" s="691"/>
      <c r="R221" s="888"/>
      <c r="S221" s="888"/>
      <c r="T221" s="1154"/>
      <c r="U221" s="888"/>
      <c r="V221" s="888"/>
      <c r="W221" s="310"/>
      <c r="X221" s="691"/>
      <c r="Y221" s="1"/>
      <c r="Z221" s="1"/>
      <c r="AA221" s="1"/>
      <c r="AB221" s="1"/>
      <c r="AC221" s="1"/>
      <c r="AD221" s="1"/>
      <c r="AE221" s="1"/>
      <c r="AF221" s="1"/>
      <c r="AG221" s="1"/>
      <c r="AH221" s="1"/>
      <c r="AI221" s="1"/>
      <c r="AJ221" s="1"/>
      <c r="AK221" s="1"/>
      <c r="AL221" s="1"/>
      <c r="AM221" s="1"/>
      <c r="AN221" s="1"/>
    </row>
    <row r="222">
      <c r="A222" s="1138"/>
      <c r="B222" s="310"/>
      <c r="C222" s="888"/>
      <c r="D222" s="310"/>
      <c r="E222" s="1140"/>
      <c r="F222" s="932"/>
      <c r="G222" s="355"/>
      <c r="H222" s="310"/>
      <c r="I222" s="931"/>
      <c r="J222" s="1143"/>
      <c r="K222" s="691"/>
      <c r="L222" s="691"/>
      <c r="M222" s="691"/>
      <c r="N222" s="691"/>
      <c r="O222" s="691"/>
      <c r="P222" s="691"/>
      <c r="Q222" s="691"/>
      <c r="R222" s="888"/>
      <c r="S222" s="888"/>
      <c r="T222" s="1154"/>
      <c r="U222" s="888"/>
      <c r="V222" s="888"/>
      <c r="W222" s="310"/>
      <c r="X222" s="691"/>
      <c r="Y222" s="1"/>
      <c r="Z222" s="1"/>
      <c r="AA222" s="1"/>
      <c r="AB222" s="1"/>
      <c r="AC222" s="1"/>
      <c r="AD222" s="1"/>
      <c r="AE222" s="1"/>
      <c r="AF222" s="1"/>
      <c r="AG222" s="1"/>
      <c r="AH222" s="1"/>
      <c r="AI222" s="1"/>
      <c r="AJ222" s="1"/>
      <c r="AK222" s="1"/>
      <c r="AL222" s="1"/>
      <c r="AM222" s="1"/>
      <c r="AN222" s="1"/>
    </row>
    <row r="223">
      <c r="A223" s="1138"/>
      <c r="B223" s="310"/>
      <c r="C223" s="888"/>
      <c r="D223" s="310"/>
      <c r="E223" s="1140"/>
      <c r="F223" s="932"/>
      <c r="G223" s="355"/>
      <c r="H223" s="310"/>
      <c r="I223" s="931"/>
      <c r="J223" s="1143"/>
      <c r="K223" s="691"/>
      <c r="L223" s="691"/>
      <c r="M223" s="691"/>
      <c r="N223" s="691"/>
      <c r="O223" s="691"/>
      <c r="P223" s="691"/>
      <c r="Q223" s="691"/>
      <c r="R223" s="888"/>
      <c r="S223" s="888"/>
      <c r="T223" s="1154"/>
      <c r="U223" s="888"/>
      <c r="V223" s="888"/>
      <c r="W223" s="310"/>
      <c r="X223" s="691"/>
      <c r="Y223" s="1"/>
      <c r="Z223" s="1"/>
      <c r="AA223" s="1"/>
      <c r="AB223" s="1"/>
      <c r="AC223" s="1"/>
      <c r="AD223" s="1"/>
      <c r="AE223" s="1"/>
      <c r="AF223" s="1"/>
      <c r="AG223" s="1"/>
      <c r="AH223" s="1"/>
      <c r="AI223" s="1"/>
      <c r="AJ223" s="1"/>
      <c r="AK223" s="1"/>
      <c r="AL223" s="1"/>
      <c r="AM223" s="1"/>
      <c r="AN223" s="1"/>
    </row>
    <row r="224">
      <c r="A224" s="1138"/>
      <c r="B224" s="310"/>
      <c r="C224" s="888"/>
      <c r="D224" s="310"/>
      <c r="E224" s="1140"/>
      <c r="F224" s="932"/>
      <c r="G224" s="355"/>
      <c r="H224" s="310"/>
      <c r="I224" s="931"/>
      <c r="J224" s="1143"/>
      <c r="K224" s="691"/>
      <c r="L224" s="691"/>
      <c r="M224" s="691"/>
      <c r="N224" s="691"/>
      <c r="O224" s="691"/>
      <c r="P224" s="691"/>
      <c r="Q224" s="691"/>
      <c r="R224" s="888"/>
      <c r="S224" s="888"/>
      <c r="T224" s="1154"/>
      <c r="U224" s="888"/>
      <c r="V224" s="888"/>
      <c r="W224" s="310"/>
      <c r="X224" s="691"/>
      <c r="Y224" s="1"/>
      <c r="Z224" s="1"/>
      <c r="AA224" s="1"/>
      <c r="AB224" s="1"/>
      <c r="AC224" s="1"/>
      <c r="AD224" s="1"/>
      <c r="AE224" s="1"/>
      <c r="AF224" s="1"/>
      <c r="AG224" s="1"/>
      <c r="AH224" s="1"/>
      <c r="AI224" s="1"/>
      <c r="AJ224" s="1"/>
      <c r="AK224" s="1"/>
      <c r="AL224" s="1"/>
      <c r="AM224" s="1"/>
      <c r="AN224" s="1"/>
    </row>
    <row r="225">
      <c r="A225" s="1138"/>
      <c r="B225" s="310"/>
      <c r="C225" s="888"/>
      <c r="D225" s="310"/>
      <c r="E225" s="1140"/>
      <c r="F225" s="932"/>
      <c r="G225" s="355"/>
      <c r="H225" s="310"/>
      <c r="I225" s="931"/>
      <c r="J225" s="1143"/>
      <c r="K225" s="691"/>
      <c r="L225" s="691"/>
      <c r="M225" s="691"/>
      <c r="N225" s="691"/>
      <c r="O225" s="691"/>
      <c r="P225" s="691"/>
      <c r="Q225" s="691"/>
      <c r="R225" s="888"/>
      <c r="S225" s="888"/>
      <c r="T225" s="1154"/>
      <c r="U225" s="888"/>
      <c r="V225" s="888"/>
      <c r="W225" s="310"/>
      <c r="X225" s="691"/>
      <c r="Y225" s="1"/>
      <c r="Z225" s="1"/>
      <c r="AA225" s="1"/>
      <c r="AB225" s="1"/>
      <c r="AC225" s="1"/>
      <c r="AD225" s="1"/>
      <c r="AE225" s="1"/>
      <c r="AF225" s="1"/>
      <c r="AG225" s="1"/>
      <c r="AH225" s="1"/>
      <c r="AI225" s="1"/>
      <c r="AJ225" s="1"/>
      <c r="AK225" s="1"/>
      <c r="AL225" s="1"/>
      <c r="AM225" s="1"/>
      <c r="AN225" s="1"/>
    </row>
    <row r="226">
      <c r="A226" s="1138"/>
      <c r="B226" s="310"/>
      <c r="C226" s="888"/>
      <c r="D226" s="310"/>
      <c r="E226" s="1140"/>
      <c r="F226" s="932"/>
      <c r="G226" s="355"/>
      <c r="H226" s="310"/>
      <c r="I226" s="931"/>
      <c r="J226" s="1143"/>
      <c r="K226" s="691"/>
      <c r="L226" s="691"/>
      <c r="M226" s="691"/>
      <c r="N226" s="691"/>
      <c r="O226" s="691"/>
      <c r="P226" s="691"/>
      <c r="Q226" s="691"/>
      <c r="R226" s="888"/>
      <c r="S226" s="888"/>
      <c r="T226" s="1154"/>
      <c r="U226" s="888"/>
      <c r="V226" s="888"/>
      <c r="W226" s="310"/>
      <c r="X226" s="691"/>
      <c r="Y226" s="1"/>
      <c r="Z226" s="1"/>
      <c r="AA226" s="1"/>
      <c r="AB226" s="1"/>
      <c r="AC226" s="1"/>
      <c r="AD226" s="1"/>
      <c r="AE226" s="1"/>
      <c r="AF226" s="1"/>
      <c r="AG226" s="1"/>
      <c r="AH226" s="1"/>
      <c r="AI226" s="1"/>
      <c r="AJ226" s="1"/>
      <c r="AK226" s="1"/>
      <c r="AL226" s="1"/>
      <c r="AM226" s="1"/>
      <c r="AN226" s="1"/>
    </row>
    <row r="227">
      <c r="A227" s="1138"/>
      <c r="B227" s="310"/>
      <c r="C227" s="888"/>
      <c r="D227" s="310"/>
      <c r="E227" s="1140"/>
      <c r="F227" s="932"/>
      <c r="G227" s="355"/>
      <c r="H227" s="310"/>
      <c r="I227" s="931"/>
      <c r="J227" s="1143"/>
      <c r="K227" s="691"/>
      <c r="L227" s="691"/>
      <c r="M227" s="691"/>
      <c r="N227" s="691"/>
      <c r="O227" s="691"/>
      <c r="P227" s="691"/>
      <c r="Q227" s="691"/>
      <c r="R227" s="888"/>
      <c r="S227" s="888"/>
      <c r="T227" s="1154"/>
      <c r="U227" s="888"/>
      <c r="V227" s="888"/>
      <c r="W227" s="310"/>
      <c r="X227" s="691"/>
      <c r="Y227" s="1"/>
      <c r="Z227" s="1"/>
      <c r="AA227" s="1"/>
      <c r="AB227" s="1"/>
      <c r="AC227" s="1"/>
      <c r="AD227" s="1"/>
      <c r="AE227" s="1"/>
      <c r="AF227" s="1"/>
      <c r="AG227" s="1"/>
      <c r="AH227" s="1"/>
      <c r="AI227" s="1"/>
      <c r="AJ227" s="1"/>
      <c r="AK227" s="1"/>
      <c r="AL227" s="1"/>
      <c r="AM227" s="1"/>
      <c r="AN227" s="1"/>
    </row>
    <row r="228">
      <c r="A228" s="1138"/>
      <c r="B228" s="310"/>
      <c r="C228" s="888"/>
      <c r="D228" s="310"/>
      <c r="E228" s="1140"/>
      <c r="F228" s="932"/>
      <c r="G228" s="355"/>
      <c r="H228" s="310"/>
      <c r="I228" s="931"/>
      <c r="J228" s="1143"/>
      <c r="K228" s="691"/>
      <c r="L228" s="691"/>
      <c r="M228" s="691"/>
      <c r="N228" s="691"/>
      <c r="O228" s="691"/>
      <c r="P228" s="691"/>
      <c r="Q228" s="691"/>
      <c r="R228" s="888"/>
      <c r="S228" s="888"/>
      <c r="T228" s="1154"/>
      <c r="U228" s="888"/>
      <c r="V228" s="888"/>
      <c r="W228" s="310"/>
      <c r="X228" s="691"/>
      <c r="Y228" s="1"/>
      <c r="Z228" s="1"/>
      <c r="AA228" s="1"/>
      <c r="AB228" s="1"/>
      <c r="AC228" s="1"/>
      <c r="AD228" s="1"/>
      <c r="AE228" s="1"/>
      <c r="AF228" s="1"/>
      <c r="AG228" s="1"/>
      <c r="AH228" s="1"/>
      <c r="AI228" s="1"/>
      <c r="AJ228" s="1"/>
      <c r="AK228" s="1"/>
      <c r="AL228" s="1"/>
      <c r="AM228" s="1"/>
      <c r="AN228" s="1"/>
    </row>
    <row r="229">
      <c r="A229" s="1138"/>
      <c r="B229" s="310"/>
      <c r="C229" s="888"/>
      <c r="D229" s="310"/>
      <c r="E229" s="1140"/>
      <c r="F229" s="932"/>
      <c r="G229" s="355"/>
      <c r="H229" s="310"/>
      <c r="I229" s="931"/>
      <c r="J229" s="1143"/>
      <c r="K229" s="691"/>
      <c r="L229" s="691"/>
      <c r="M229" s="691"/>
      <c r="N229" s="691"/>
      <c r="O229" s="691"/>
      <c r="P229" s="691"/>
      <c r="Q229" s="691"/>
      <c r="R229" s="888"/>
      <c r="S229" s="888"/>
      <c r="T229" s="1154"/>
      <c r="U229" s="888"/>
      <c r="V229" s="888"/>
      <c r="W229" s="310"/>
      <c r="X229" s="691"/>
      <c r="Y229" s="1"/>
      <c r="Z229" s="1"/>
      <c r="AA229" s="1"/>
      <c r="AB229" s="1"/>
      <c r="AC229" s="1"/>
      <c r="AD229" s="1"/>
      <c r="AE229" s="1"/>
      <c r="AF229" s="1"/>
      <c r="AG229" s="1"/>
      <c r="AH229" s="1"/>
      <c r="AI229" s="1"/>
      <c r="AJ229" s="1"/>
      <c r="AK229" s="1"/>
      <c r="AL229" s="1"/>
      <c r="AM229" s="1"/>
      <c r="AN229" s="1"/>
    </row>
    <row r="230">
      <c r="A230" s="1138"/>
      <c r="B230" s="310"/>
      <c r="C230" s="888"/>
      <c r="D230" s="310"/>
      <c r="E230" s="1140"/>
      <c r="F230" s="932"/>
      <c r="G230" s="355"/>
      <c r="H230" s="310"/>
      <c r="I230" s="931"/>
      <c r="J230" s="1143"/>
      <c r="K230" s="691"/>
      <c r="L230" s="691"/>
      <c r="M230" s="691"/>
      <c r="N230" s="691"/>
      <c r="O230" s="691"/>
      <c r="P230" s="691"/>
      <c r="Q230" s="691"/>
      <c r="R230" s="888"/>
      <c r="S230" s="888"/>
      <c r="T230" s="1154"/>
      <c r="U230" s="888"/>
      <c r="V230" s="888"/>
      <c r="W230" s="310"/>
      <c r="X230" s="691"/>
      <c r="Y230" s="1"/>
      <c r="Z230" s="1"/>
      <c r="AA230" s="1"/>
      <c r="AB230" s="1"/>
      <c r="AC230" s="1"/>
      <c r="AD230" s="1"/>
      <c r="AE230" s="1"/>
      <c r="AF230" s="1"/>
      <c r="AG230" s="1"/>
      <c r="AH230" s="1"/>
      <c r="AI230" s="1"/>
      <c r="AJ230" s="1"/>
      <c r="AK230" s="1"/>
      <c r="AL230" s="1"/>
      <c r="AM230" s="1"/>
      <c r="AN230" s="1"/>
    </row>
    <row r="231">
      <c r="A231" s="1138"/>
      <c r="B231" s="310"/>
      <c r="C231" s="888"/>
      <c r="D231" s="310"/>
      <c r="E231" s="1140"/>
      <c r="F231" s="932"/>
      <c r="G231" s="355"/>
      <c r="H231" s="310"/>
      <c r="I231" s="931"/>
      <c r="J231" s="1143"/>
      <c r="K231" s="691"/>
      <c r="L231" s="691"/>
      <c r="M231" s="691"/>
      <c r="N231" s="691"/>
      <c r="O231" s="691"/>
      <c r="P231" s="691"/>
      <c r="Q231" s="691"/>
      <c r="R231" s="888"/>
      <c r="S231" s="888"/>
      <c r="T231" s="1154"/>
      <c r="U231" s="888"/>
      <c r="V231" s="888"/>
      <c r="W231" s="310"/>
      <c r="X231" s="691"/>
      <c r="Y231" s="1"/>
      <c r="Z231" s="1"/>
      <c r="AA231" s="1"/>
      <c r="AB231" s="1"/>
      <c r="AC231" s="1"/>
      <c r="AD231" s="1"/>
      <c r="AE231" s="1"/>
      <c r="AF231" s="1"/>
      <c r="AG231" s="1"/>
      <c r="AH231" s="1"/>
      <c r="AI231" s="1"/>
      <c r="AJ231" s="1"/>
      <c r="AK231" s="1"/>
      <c r="AL231" s="1"/>
      <c r="AM231" s="1"/>
      <c r="AN231" s="1"/>
    </row>
    <row r="232">
      <c r="A232" s="1138"/>
      <c r="B232" s="310"/>
      <c r="C232" s="888"/>
      <c r="D232" s="310"/>
      <c r="E232" s="1140"/>
      <c r="F232" s="932"/>
      <c r="G232" s="355"/>
      <c r="H232" s="310"/>
      <c r="I232" s="931"/>
      <c r="J232" s="1143"/>
      <c r="K232" s="691"/>
      <c r="L232" s="691"/>
      <c r="M232" s="691"/>
      <c r="N232" s="691"/>
      <c r="O232" s="691"/>
      <c r="P232" s="691"/>
      <c r="Q232" s="691"/>
      <c r="R232" s="888"/>
      <c r="S232" s="888"/>
      <c r="T232" s="1154"/>
      <c r="U232" s="888"/>
      <c r="V232" s="888"/>
      <c r="W232" s="310"/>
      <c r="X232" s="691"/>
      <c r="Y232" s="1"/>
      <c r="Z232" s="1"/>
      <c r="AA232" s="1"/>
      <c r="AB232" s="1"/>
      <c r="AC232" s="1"/>
      <c r="AD232" s="1"/>
      <c r="AE232" s="1"/>
      <c r="AF232" s="1"/>
      <c r="AG232" s="1"/>
      <c r="AH232" s="1"/>
      <c r="AI232" s="1"/>
      <c r="AJ232" s="1"/>
      <c r="AK232" s="1"/>
      <c r="AL232" s="1"/>
      <c r="AM232" s="1"/>
      <c r="AN232" s="1"/>
    </row>
    <row r="233">
      <c r="A233" s="1138"/>
      <c r="B233" s="310"/>
      <c r="C233" s="888"/>
      <c r="D233" s="310"/>
      <c r="E233" s="1140"/>
      <c r="F233" s="932"/>
      <c r="G233" s="355"/>
      <c r="H233" s="310"/>
      <c r="I233" s="931"/>
      <c r="J233" s="1143"/>
      <c r="K233" s="691"/>
      <c r="L233" s="691"/>
      <c r="M233" s="691"/>
      <c r="N233" s="691"/>
      <c r="O233" s="691"/>
      <c r="P233" s="691"/>
      <c r="Q233" s="691"/>
      <c r="R233" s="888"/>
      <c r="S233" s="888"/>
      <c r="T233" s="1154"/>
      <c r="U233" s="888"/>
      <c r="V233" s="888"/>
      <c r="W233" s="310"/>
      <c r="X233" s="691"/>
      <c r="Y233" s="1"/>
      <c r="Z233" s="1"/>
      <c r="AA233" s="1"/>
      <c r="AB233" s="1"/>
      <c r="AC233" s="1"/>
      <c r="AD233" s="1"/>
      <c r="AE233" s="1"/>
      <c r="AF233" s="1"/>
      <c r="AG233" s="1"/>
      <c r="AH233" s="1"/>
      <c r="AI233" s="1"/>
      <c r="AJ233" s="1"/>
      <c r="AK233" s="1"/>
      <c r="AL233" s="1"/>
      <c r="AM233" s="1"/>
      <c r="AN233" s="1"/>
    </row>
    <row r="234">
      <c r="A234" s="1138"/>
      <c r="B234" s="310"/>
      <c r="C234" s="888"/>
      <c r="D234" s="310"/>
      <c r="E234" s="1140"/>
      <c r="F234" s="932"/>
      <c r="G234" s="355"/>
      <c r="H234" s="310"/>
      <c r="I234" s="931"/>
      <c r="J234" s="1143"/>
      <c r="K234" s="691"/>
      <c r="L234" s="691"/>
      <c r="M234" s="691"/>
      <c r="N234" s="691"/>
      <c r="O234" s="691"/>
      <c r="P234" s="691"/>
      <c r="Q234" s="691"/>
      <c r="R234" s="888"/>
      <c r="S234" s="888"/>
      <c r="T234" s="1154"/>
      <c r="U234" s="888"/>
      <c r="V234" s="888"/>
      <c r="W234" s="310"/>
      <c r="X234" s="691"/>
      <c r="Y234" s="1"/>
      <c r="Z234" s="1"/>
      <c r="AA234" s="1"/>
      <c r="AB234" s="1"/>
      <c r="AC234" s="1"/>
      <c r="AD234" s="1"/>
      <c r="AE234" s="1"/>
      <c r="AF234" s="1"/>
      <c r="AG234" s="1"/>
      <c r="AH234" s="1"/>
      <c r="AI234" s="1"/>
      <c r="AJ234" s="1"/>
      <c r="AK234" s="1"/>
      <c r="AL234" s="1"/>
      <c r="AM234" s="1"/>
      <c r="AN234" s="1"/>
    </row>
    <row r="235">
      <c r="A235" s="1138"/>
      <c r="B235" s="310"/>
      <c r="C235" s="888"/>
      <c r="D235" s="310"/>
      <c r="E235" s="1140"/>
      <c r="F235" s="932"/>
      <c r="G235" s="355"/>
      <c r="H235" s="310"/>
      <c r="I235" s="931"/>
      <c r="J235" s="1143"/>
      <c r="K235" s="691"/>
      <c r="L235" s="691"/>
      <c r="M235" s="691"/>
      <c r="N235" s="691"/>
      <c r="O235" s="691"/>
      <c r="P235" s="691"/>
      <c r="Q235" s="691"/>
      <c r="R235" s="888"/>
      <c r="S235" s="888"/>
      <c r="T235" s="1154"/>
      <c r="U235" s="888"/>
      <c r="V235" s="888"/>
      <c r="W235" s="310"/>
      <c r="X235" s="691"/>
      <c r="Y235" s="1"/>
      <c r="Z235" s="1"/>
      <c r="AA235" s="1"/>
      <c r="AB235" s="1"/>
      <c r="AC235" s="1"/>
      <c r="AD235" s="1"/>
      <c r="AE235" s="1"/>
      <c r="AF235" s="1"/>
      <c r="AG235" s="1"/>
      <c r="AH235" s="1"/>
      <c r="AI235" s="1"/>
      <c r="AJ235" s="1"/>
      <c r="AK235" s="1"/>
      <c r="AL235" s="1"/>
      <c r="AM235" s="1"/>
      <c r="AN235" s="1"/>
    </row>
    <row r="236">
      <c r="A236" s="1138"/>
      <c r="B236" s="310"/>
      <c r="C236" s="888"/>
      <c r="D236" s="310"/>
      <c r="E236" s="1140"/>
      <c r="F236" s="932"/>
      <c r="G236" s="355"/>
      <c r="H236" s="310"/>
      <c r="I236" s="931"/>
      <c r="J236" s="1143"/>
      <c r="K236" s="691"/>
      <c r="L236" s="691"/>
      <c r="M236" s="691"/>
      <c r="N236" s="691"/>
      <c r="O236" s="691"/>
      <c r="P236" s="691"/>
      <c r="Q236" s="691"/>
      <c r="R236" s="888"/>
      <c r="S236" s="888"/>
      <c r="T236" s="1154"/>
      <c r="U236" s="888"/>
      <c r="V236" s="888"/>
      <c r="W236" s="310"/>
      <c r="X236" s="691"/>
      <c r="Y236" s="1"/>
      <c r="Z236" s="1"/>
      <c r="AA236" s="1"/>
      <c r="AB236" s="1"/>
      <c r="AC236" s="1"/>
      <c r="AD236" s="1"/>
      <c r="AE236" s="1"/>
      <c r="AF236" s="1"/>
      <c r="AG236" s="1"/>
      <c r="AH236" s="1"/>
      <c r="AI236" s="1"/>
      <c r="AJ236" s="1"/>
      <c r="AK236" s="1"/>
      <c r="AL236" s="1"/>
      <c r="AM236" s="1"/>
      <c r="AN236" s="1"/>
    </row>
    <row r="237">
      <c r="A237" s="1138"/>
      <c r="B237" s="310"/>
      <c r="C237" s="888"/>
      <c r="D237" s="310"/>
      <c r="E237" s="1140"/>
      <c r="F237" s="932"/>
      <c r="G237" s="355"/>
      <c r="H237" s="310"/>
      <c r="I237" s="931"/>
      <c r="J237" s="1143"/>
      <c r="K237" s="691"/>
      <c r="L237" s="691"/>
      <c r="M237" s="691"/>
      <c r="N237" s="691"/>
      <c r="O237" s="691"/>
      <c r="P237" s="691"/>
      <c r="Q237" s="691"/>
      <c r="R237" s="888"/>
      <c r="S237" s="888"/>
      <c r="T237" s="1154"/>
      <c r="U237" s="888"/>
      <c r="V237" s="888"/>
      <c r="W237" s="310"/>
      <c r="X237" s="691"/>
      <c r="Y237" s="1"/>
      <c r="Z237" s="1"/>
      <c r="AA237" s="1"/>
      <c r="AB237" s="1"/>
      <c r="AC237" s="1"/>
      <c r="AD237" s="1"/>
      <c r="AE237" s="1"/>
      <c r="AF237" s="1"/>
      <c r="AG237" s="1"/>
      <c r="AH237" s="1"/>
      <c r="AI237" s="1"/>
      <c r="AJ237" s="1"/>
      <c r="AK237" s="1"/>
      <c r="AL237" s="1"/>
      <c r="AM237" s="1"/>
      <c r="AN237" s="1"/>
    </row>
    <row r="238">
      <c r="A238" s="1138"/>
      <c r="B238" s="310"/>
      <c r="C238" s="888"/>
      <c r="D238" s="310"/>
      <c r="E238" s="1140"/>
      <c r="F238" s="932"/>
      <c r="G238" s="355"/>
      <c r="H238" s="310"/>
      <c r="I238" s="931"/>
      <c r="J238" s="1143"/>
      <c r="K238" s="691"/>
      <c r="L238" s="691"/>
      <c r="M238" s="691"/>
      <c r="N238" s="691"/>
      <c r="O238" s="691"/>
      <c r="P238" s="691"/>
      <c r="Q238" s="691"/>
      <c r="R238" s="888"/>
      <c r="S238" s="888"/>
      <c r="T238" s="1154"/>
      <c r="U238" s="888"/>
      <c r="V238" s="888"/>
      <c r="W238" s="310"/>
      <c r="X238" s="691"/>
      <c r="Y238" s="1"/>
      <c r="Z238" s="1"/>
      <c r="AA238" s="1"/>
      <c r="AB238" s="1"/>
      <c r="AC238" s="1"/>
      <c r="AD238" s="1"/>
      <c r="AE238" s="1"/>
      <c r="AF238" s="1"/>
      <c r="AG238" s="1"/>
      <c r="AH238" s="1"/>
      <c r="AI238" s="1"/>
      <c r="AJ238" s="1"/>
      <c r="AK238" s="1"/>
      <c r="AL238" s="1"/>
      <c r="AM238" s="1"/>
      <c r="AN238" s="1"/>
    </row>
    <row r="239">
      <c r="A239" s="1138"/>
      <c r="B239" s="310"/>
      <c r="C239" s="888"/>
      <c r="D239" s="310"/>
      <c r="E239" s="1140"/>
      <c r="F239" s="932"/>
      <c r="G239" s="355"/>
      <c r="H239" s="310"/>
      <c r="I239" s="931"/>
      <c r="J239" s="1143"/>
      <c r="K239" s="691"/>
      <c r="L239" s="691"/>
      <c r="M239" s="691"/>
      <c r="N239" s="691"/>
      <c r="O239" s="691"/>
      <c r="P239" s="691"/>
      <c r="Q239" s="691"/>
      <c r="R239" s="888"/>
      <c r="S239" s="888"/>
      <c r="T239" s="1154"/>
      <c r="U239" s="888"/>
      <c r="V239" s="888"/>
      <c r="W239" s="310"/>
      <c r="X239" s="691"/>
      <c r="Y239" s="1"/>
      <c r="Z239" s="1"/>
      <c r="AA239" s="1"/>
      <c r="AB239" s="1"/>
      <c r="AC239" s="1"/>
      <c r="AD239" s="1"/>
      <c r="AE239" s="1"/>
      <c r="AF239" s="1"/>
      <c r="AG239" s="1"/>
      <c r="AH239" s="1"/>
      <c r="AI239" s="1"/>
      <c r="AJ239" s="1"/>
      <c r="AK239" s="1"/>
      <c r="AL239" s="1"/>
      <c r="AM239" s="1"/>
      <c r="AN239" s="1"/>
    </row>
    <row r="240">
      <c r="A240" s="1138"/>
      <c r="B240" s="310"/>
      <c r="C240" s="888"/>
      <c r="D240" s="310"/>
      <c r="E240" s="1140"/>
      <c r="F240" s="932"/>
      <c r="G240" s="355"/>
      <c r="H240" s="310"/>
      <c r="I240" s="931"/>
      <c r="J240" s="1143"/>
      <c r="K240" s="691"/>
      <c r="L240" s="691"/>
      <c r="M240" s="691"/>
      <c r="N240" s="691"/>
      <c r="O240" s="691"/>
      <c r="P240" s="691"/>
      <c r="Q240" s="691"/>
      <c r="R240" s="888"/>
      <c r="S240" s="888"/>
      <c r="T240" s="1154"/>
      <c r="U240" s="888"/>
      <c r="V240" s="888"/>
      <c r="W240" s="310"/>
      <c r="X240" s="691"/>
      <c r="Y240" s="1"/>
      <c r="Z240" s="1"/>
      <c r="AA240" s="1"/>
      <c r="AB240" s="1"/>
      <c r="AC240" s="1"/>
      <c r="AD240" s="1"/>
      <c r="AE240" s="1"/>
      <c r="AF240" s="1"/>
      <c r="AG240" s="1"/>
      <c r="AH240" s="1"/>
      <c r="AI240" s="1"/>
      <c r="AJ240" s="1"/>
      <c r="AK240" s="1"/>
      <c r="AL240" s="1"/>
      <c r="AM240" s="1"/>
      <c r="AN240" s="1"/>
    </row>
    <row r="241">
      <c r="A241" s="1138"/>
      <c r="B241" s="310"/>
      <c r="C241" s="888"/>
      <c r="D241" s="310"/>
      <c r="E241" s="1140"/>
      <c r="F241" s="932"/>
      <c r="G241" s="355"/>
      <c r="H241" s="310"/>
      <c r="I241" s="931"/>
      <c r="J241" s="1143"/>
      <c r="K241" s="691"/>
      <c r="L241" s="691"/>
      <c r="M241" s="691"/>
      <c r="N241" s="691"/>
      <c r="O241" s="691"/>
      <c r="P241" s="691"/>
      <c r="Q241" s="691"/>
      <c r="R241" s="888"/>
      <c r="S241" s="888"/>
      <c r="T241" s="1154"/>
      <c r="U241" s="888"/>
      <c r="V241" s="888"/>
      <c r="W241" s="310"/>
      <c r="X241" s="691"/>
      <c r="Y241" s="1"/>
      <c r="Z241" s="1"/>
      <c r="AA241" s="1"/>
      <c r="AB241" s="1"/>
      <c r="AC241" s="1"/>
      <c r="AD241" s="1"/>
      <c r="AE241" s="1"/>
      <c r="AF241" s="1"/>
      <c r="AG241" s="1"/>
      <c r="AH241" s="1"/>
      <c r="AI241" s="1"/>
      <c r="AJ241" s="1"/>
      <c r="AK241" s="1"/>
      <c r="AL241" s="1"/>
      <c r="AM241" s="1"/>
      <c r="AN241" s="1"/>
    </row>
    <row r="242">
      <c r="A242" s="1138"/>
      <c r="B242" s="310"/>
      <c r="C242" s="888"/>
      <c r="D242" s="310"/>
      <c r="E242" s="1140"/>
      <c r="F242" s="932"/>
      <c r="G242" s="355"/>
      <c r="H242" s="310"/>
      <c r="I242" s="931"/>
      <c r="J242" s="1143"/>
      <c r="K242" s="691"/>
      <c r="L242" s="691"/>
      <c r="M242" s="691"/>
      <c r="N242" s="691"/>
      <c r="O242" s="691"/>
      <c r="P242" s="691"/>
      <c r="Q242" s="691"/>
      <c r="R242" s="888"/>
      <c r="S242" s="888"/>
      <c r="T242" s="1154"/>
      <c r="U242" s="888"/>
      <c r="V242" s="888"/>
      <c r="W242" s="310"/>
      <c r="X242" s="691"/>
      <c r="Y242" s="1"/>
      <c r="Z242" s="1"/>
      <c r="AA242" s="1"/>
      <c r="AB242" s="1"/>
      <c r="AC242" s="1"/>
      <c r="AD242" s="1"/>
      <c r="AE242" s="1"/>
      <c r="AF242" s="1"/>
      <c r="AG242" s="1"/>
      <c r="AH242" s="1"/>
      <c r="AI242" s="1"/>
      <c r="AJ242" s="1"/>
      <c r="AK242" s="1"/>
      <c r="AL242" s="1"/>
      <c r="AM242" s="1"/>
      <c r="AN242" s="1"/>
    </row>
    <row r="243">
      <c r="A243" s="1138"/>
      <c r="B243" s="310"/>
      <c r="C243" s="888"/>
      <c r="D243" s="310"/>
      <c r="E243" s="1140"/>
      <c r="F243" s="932"/>
      <c r="G243" s="355"/>
      <c r="H243" s="310"/>
      <c r="I243" s="931"/>
      <c r="J243" s="1143"/>
      <c r="K243" s="691"/>
      <c r="L243" s="691"/>
      <c r="M243" s="691"/>
      <c r="N243" s="691"/>
      <c r="O243" s="691"/>
      <c r="P243" s="691"/>
      <c r="Q243" s="691"/>
      <c r="R243" s="888"/>
      <c r="S243" s="888"/>
      <c r="T243" s="1154"/>
      <c r="U243" s="888"/>
      <c r="V243" s="888"/>
      <c r="W243" s="310"/>
      <c r="X243" s="691"/>
      <c r="Y243" s="1"/>
      <c r="Z243" s="1"/>
      <c r="AA243" s="1"/>
      <c r="AB243" s="1"/>
      <c r="AC243" s="1"/>
      <c r="AD243" s="1"/>
      <c r="AE243" s="1"/>
      <c r="AF243" s="1"/>
      <c r="AG243" s="1"/>
      <c r="AH243" s="1"/>
      <c r="AI243" s="1"/>
      <c r="AJ243" s="1"/>
      <c r="AK243" s="1"/>
      <c r="AL243" s="1"/>
      <c r="AM243" s="1"/>
      <c r="AN243" s="1"/>
    </row>
    <row r="244">
      <c r="A244" s="1138"/>
      <c r="B244" s="310"/>
      <c r="C244" s="888"/>
      <c r="D244" s="310"/>
      <c r="E244" s="1140"/>
      <c r="F244" s="932"/>
      <c r="G244" s="355"/>
      <c r="H244" s="310"/>
      <c r="I244" s="931"/>
      <c r="J244" s="1143"/>
      <c r="K244" s="691"/>
      <c r="L244" s="691"/>
      <c r="M244" s="691"/>
      <c r="N244" s="691"/>
      <c r="O244" s="691"/>
      <c r="P244" s="691"/>
      <c r="Q244" s="691"/>
      <c r="R244" s="888"/>
      <c r="S244" s="888"/>
      <c r="T244" s="1154"/>
      <c r="U244" s="888"/>
      <c r="V244" s="888"/>
      <c r="W244" s="310"/>
      <c r="X244" s="691"/>
      <c r="Y244" s="1"/>
      <c r="Z244" s="1"/>
      <c r="AA244" s="1"/>
      <c r="AB244" s="1"/>
      <c r="AC244" s="1"/>
      <c r="AD244" s="1"/>
      <c r="AE244" s="1"/>
      <c r="AF244" s="1"/>
      <c r="AG244" s="1"/>
      <c r="AH244" s="1"/>
      <c r="AI244" s="1"/>
      <c r="AJ244" s="1"/>
      <c r="AK244" s="1"/>
      <c r="AL244" s="1"/>
      <c r="AM244" s="1"/>
      <c r="AN244" s="1"/>
    </row>
    <row r="245">
      <c r="A245" s="1138"/>
      <c r="B245" s="310"/>
      <c r="C245" s="888"/>
      <c r="D245" s="310"/>
      <c r="E245" s="1140"/>
      <c r="F245" s="932"/>
      <c r="G245" s="355"/>
      <c r="H245" s="310"/>
      <c r="I245" s="931"/>
      <c r="J245" s="1143"/>
      <c r="K245" s="691"/>
      <c r="L245" s="691"/>
      <c r="M245" s="691"/>
      <c r="N245" s="691"/>
      <c r="O245" s="691"/>
      <c r="P245" s="691"/>
      <c r="Q245" s="691"/>
      <c r="R245" s="888"/>
      <c r="S245" s="888"/>
      <c r="T245" s="1154"/>
      <c r="U245" s="888"/>
      <c r="V245" s="888"/>
      <c r="W245" s="310"/>
      <c r="X245" s="691"/>
      <c r="Y245" s="1"/>
      <c r="Z245" s="1"/>
      <c r="AA245" s="1"/>
      <c r="AB245" s="1"/>
      <c r="AC245" s="1"/>
      <c r="AD245" s="1"/>
      <c r="AE245" s="1"/>
      <c r="AF245" s="1"/>
      <c r="AG245" s="1"/>
      <c r="AH245" s="1"/>
      <c r="AI245" s="1"/>
      <c r="AJ245" s="1"/>
      <c r="AK245" s="1"/>
      <c r="AL245" s="1"/>
      <c r="AM245" s="1"/>
      <c r="AN245" s="1"/>
    </row>
    <row r="246">
      <c r="A246" s="1138"/>
      <c r="B246" s="310"/>
      <c r="C246" s="888"/>
      <c r="D246" s="310"/>
      <c r="E246" s="1140"/>
      <c r="F246" s="932"/>
      <c r="G246" s="355"/>
      <c r="H246" s="310"/>
      <c r="I246" s="931"/>
      <c r="J246" s="1143"/>
      <c r="K246" s="691"/>
      <c r="L246" s="691"/>
      <c r="M246" s="691"/>
      <c r="N246" s="691"/>
      <c r="O246" s="691"/>
      <c r="P246" s="691"/>
      <c r="Q246" s="691"/>
      <c r="R246" s="888"/>
      <c r="S246" s="888"/>
      <c r="T246" s="1154"/>
      <c r="U246" s="888"/>
      <c r="V246" s="888"/>
      <c r="W246" s="310"/>
      <c r="X246" s="691"/>
      <c r="Y246" s="1"/>
      <c r="Z246" s="1"/>
      <c r="AA246" s="1"/>
      <c r="AB246" s="1"/>
      <c r="AC246" s="1"/>
      <c r="AD246" s="1"/>
      <c r="AE246" s="1"/>
      <c r="AF246" s="1"/>
      <c r="AG246" s="1"/>
      <c r="AH246" s="1"/>
      <c r="AI246" s="1"/>
      <c r="AJ246" s="1"/>
      <c r="AK246" s="1"/>
      <c r="AL246" s="1"/>
      <c r="AM246" s="1"/>
      <c r="AN246" s="1"/>
    </row>
    <row r="247">
      <c r="A247" s="1138"/>
      <c r="B247" s="310"/>
      <c r="C247" s="888"/>
      <c r="D247" s="310"/>
      <c r="E247" s="1140"/>
      <c r="F247" s="932"/>
      <c r="G247" s="355"/>
      <c r="H247" s="310"/>
      <c r="I247" s="931"/>
      <c r="J247" s="1143"/>
      <c r="K247" s="691"/>
      <c r="L247" s="691"/>
      <c r="M247" s="691"/>
      <c r="N247" s="691"/>
      <c r="O247" s="691"/>
      <c r="P247" s="691"/>
      <c r="Q247" s="691"/>
      <c r="R247" s="888"/>
      <c r="S247" s="888"/>
      <c r="T247" s="1154"/>
      <c r="U247" s="888"/>
      <c r="V247" s="888"/>
      <c r="W247" s="310"/>
      <c r="X247" s="691"/>
      <c r="Y247" s="1"/>
      <c r="Z247" s="1"/>
      <c r="AA247" s="1"/>
      <c r="AB247" s="1"/>
      <c r="AC247" s="1"/>
      <c r="AD247" s="1"/>
      <c r="AE247" s="1"/>
      <c r="AF247" s="1"/>
      <c r="AG247" s="1"/>
      <c r="AH247" s="1"/>
      <c r="AI247" s="1"/>
      <c r="AJ247" s="1"/>
      <c r="AK247" s="1"/>
      <c r="AL247" s="1"/>
      <c r="AM247" s="1"/>
      <c r="AN247" s="1"/>
    </row>
    <row r="248">
      <c r="A248" s="1138"/>
      <c r="B248" s="310"/>
      <c r="C248" s="888"/>
      <c r="D248" s="310"/>
      <c r="E248" s="1140"/>
      <c r="F248" s="932"/>
      <c r="G248" s="355"/>
      <c r="H248" s="310"/>
      <c r="I248" s="931"/>
      <c r="J248" s="1143"/>
      <c r="K248" s="691"/>
      <c r="L248" s="691"/>
      <c r="M248" s="691"/>
      <c r="N248" s="691"/>
      <c r="O248" s="691"/>
      <c r="P248" s="691"/>
      <c r="Q248" s="691"/>
      <c r="R248" s="888"/>
      <c r="S248" s="888"/>
      <c r="T248" s="1154"/>
      <c r="U248" s="888"/>
      <c r="V248" s="888"/>
      <c r="W248" s="310"/>
      <c r="X248" s="691"/>
      <c r="Y248" s="1"/>
      <c r="Z248" s="1"/>
      <c r="AA248" s="1"/>
      <c r="AB248" s="1"/>
      <c r="AC248" s="1"/>
      <c r="AD248" s="1"/>
      <c r="AE248" s="1"/>
      <c r="AF248" s="1"/>
      <c r="AG248" s="1"/>
      <c r="AH248" s="1"/>
      <c r="AI248" s="1"/>
      <c r="AJ248" s="1"/>
      <c r="AK248" s="1"/>
      <c r="AL248" s="1"/>
      <c r="AM248" s="1"/>
      <c r="AN248" s="1"/>
    </row>
    <row r="249">
      <c r="A249" s="1138"/>
      <c r="B249" s="310"/>
      <c r="C249" s="888"/>
      <c r="D249" s="310"/>
      <c r="E249" s="1140"/>
      <c r="F249" s="932"/>
      <c r="G249" s="355"/>
      <c r="H249" s="310"/>
      <c r="I249" s="931"/>
      <c r="J249" s="1143"/>
      <c r="K249" s="691"/>
      <c r="L249" s="691"/>
      <c r="M249" s="691"/>
      <c r="N249" s="691"/>
      <c r="O249" s="691"/>
      <c r="P249" s="691"/>
      <c r="Q249" s="691"/>
      <c r="R249" s="888"/>
      <c r="S249" s="888"/>
      <c r="T249" s="1154"/>
      <c r="U249" s="888"/>
      <c r="V249" s="888"/>
      <c r="W249" s="310"/>
      <c r="X249" s="691"/>
      <c r="Y249" s="1"/>
      <c r="Z249" s="1"/>
      <c r="AA249" s="1"/>
      <c r="AB249" s="1"/>
      <c r="AC249" s="1"/>
      <c r="AD249" s="1"/>
      <c r="AE249" s="1"/>
      <c r="AF249" s="1"/>
      <c r="AG249" s="1"/>
      <c r="AH249" s="1"/>
      <c r="AI249" s="1"/>
      <c r="AJ249" s="1"/>
      <c r="AK249" s="1"/>
      <c r="AL249" s="1"/>
      <c r="AM249" s="1"/>
      <c r="AN249" s="1"/>
    </row>
    <row r="250">
      <c r="A250" s="1138"/>
      <c r="B250" s="310"/>
      <c r="C250" s="888"/>
      <c r="D250" s="310"/>
      <c r="E250" s="1140"/>
      <c r="F250" s="932"/>
      <c r="G250" s="355"/>
      <c r="H250" s="310"/>
      <c r="I250" s="931"/>
      <c r="J250" s="1143"/>
      <c r="K250" s="691"/>
      <c r="L250" s="691"/>
      <c r="M250" s="691"/>
      <c r="N250" s="691"/>
      <c r="O250" s="691"/>
      <c r="P250" s="691"/>
      <c r="Q250" s="691"/>
      <c r="R250" s="888"/>
      <c r="S250" s="888"/>
      <c r="T250" s="1154"/>
      <c r="U250" s="888"/>
      <c r="V250" s="888"/>
      <c r="W250" s="310"/>
      <c r="X250" s="691"/>
      <c r="Y250" s="1"/>
      <c r="Z250" s="1"/>
      <c r="AA250" s="1"/>
      <c r="AB250" s="1"/>
      <c r="AC250" s="1"/>
      <c r="AD250" s="1"/>
      <c r="AE250" s="1"/>
      <c r="AF250" s="1"/>
      <c r="AG250" s="1"/>
      <c r="AH250" s="1"/>
      <c r="AI250" s="1"/>
      <c r="AJ250" s="1"/>
      <c r="AK250" s="1"/>
      <c r="AL250" s="1"/>
      <c r="AM250" s="1"/>
      <c r="AN250" s="1"/>
    </row>
    <row r="251">
      <c r="A251" s="1138"/>
      <c r="B251" s="310"/>
      <c r="C251" s="888"/>
      <c r="D251" s="310"/>
      <c r="E251" s="1140"/>
      <c r="F251" s="932"/>
      <c r="G251" s="355"/>
      <c r="H251" s="310"/>
      <c r="I251" s="931"/>
      <c r="J251" s="1143"/>
      <c r="K251" s="691"/>
      <c r="L251" s="691"/>
      <c r="M251" s="691"/>
      <c r="N251" s="691"/>
      <c r="O251" s="691"/>
      <c r="P251" s="691"/>
      <c r="Q251" s="691"/>
      <c r="R251" s="888"/>
      <c r="S251" s="888"/>
      <c r="T251" s="1154"/>
      <c r="U251" s="888"/>
      <c r="V251" s="888"/>
      <c r="W251" s="310"/>
      <c r="X251" s="691"/>
      <c r="Y251" s="1"/>
      <c r="Z251" s="1"/>
      <c r="AA251" s="1"/>
      <c r="AB251" s="1"/>
      <c r="AC251" s="1"/>
      <c r="AD251" s="1"/>
      <c r="AE251" s="1"/>
      <c r="AF251" s="1"/>
      <c r="AG251" s="1"/>
      <c r="AH251" s="1"/>
      <c r="AI251" s="1"/>
      <c r="AJ251" s="1"/>
      <c r="AK251" s="1"/>
      <c r="AL251" s="1"/>
      <c r="AM251" s="1"/>
      <c r="AN251" s="1"/>
    </row>
    <row r="252">
      <c r="A252" s="1138"/>
      <c r="B252" s="310"/>
      <c r="C252" s="888"/>
      <c r="D252" s="310"/>
      <c r="E252" s="1140"/>
      <c r="F252" s="932"/>
      <c r="G252" s="355"/>
      <c r="H252" s="310"/>
      <c r="I252" s="931"/>
      <c r="J252" s="1143"/>
      <c r="K252" s="691"/>
      <c r="L252" s="691"/>
      <c r="M252" s="691"/>
      <c r="N252" s="691"/>
      <c r="O252" s="691"/>
      <c r="P252" s="691"/>
      <c r="Q252" s="691"/>
      <c r="R252" s="888"/>
      <c r="S252" s="888"/>
      <c r="T252" s="1154"/>
      <c r="U252" s="888"/>
      <c r="V252" s="888"/>
      <c r="W252" s="310"/>
      <c r="X252" s="691"/>
      <c r="Y252" s="1"/>
      <c r="Z252" s="1"/>
      <c r="AA252" s="1"/>
      <c r="AB252" s="1"/>
      <c r="AC252" s="1"/>
      <c r="AD252" s="1"/>
      <c r="AE252" s="1"/>
      <c r="AF252" s="1"/>
      <c r="AG252" s="1"/>
      <c r="AH252" s="1"/>
      <c r="AI252" s="1"/>
      <c r="AJ252" s="1"/>
      <c r="AK252" s="1"/>
      <c r="AL252" s="1"/>
      <c r="AM252" s="1"/>
      <c r="AN252" s="1"/>
    </row>
    <row r="253">
      <c r="A253" s="1138"/>
      <c r="B253" s="310"/>
      <c r="C253" s="888"/>
      <c r="D253" s="310"/>
      <c r="E253" s="1140"/>
      <c r="F253" s="932"/>
      <c r="G253" s="355"/>
      <c r="H253" s="310"/>
      <c r="I253" s="931"/>
      <c r="J253" s="1143"/>
      <c r="K253" s="691"/>
      <c r="L253" s="691"/>
      <c r="M253" s="691"/>
      <c r="N253" s="691"/>
      <c r="O253" s="691"/>
      <c r="P253" s="691"/>
      <c r="Q253" s="691"/>
      <c r="R253" s="888"/>
      <c r="S253" s="888"/>
      <c r="T253" s="1154"/>
      <c r="U253" s="888"/>
      <c r="V253" s="888"/>
      <c r="W253" s="310"/>
      <c r="X253" s="691"/>
      <c r="Y253" s="1"/>
      <c r="Z253" s="1"/>
      <c r="AA253" s="1"/>
      <c r="AB253" s="1"/>
      <c r="AC253" s="1"/>
      <c r="AD253" s="1"/>
      <c r="AE253" s="1"/>
      <c r="AF253" s="1"/>
      <c r="AG253" s="1"/>
      <c r="AH253" s="1"/>
      <c r="AI253" s="1"/>
      <c r="AJ253" s="1"/>
      <c r="AK253" s="1"/>
      <c r="AL253" s="1"/>
      <c r="AM253" s="1"/>
      <c r="AN253" s="1"/>
    </row>
    <row r="254">
      <c r="A254" s="1138"/>
      <c r="B254" s="310"/>
      <c r="C254" s="888"/>
      <c r="D254" s="310"/>
      <c r="E254" s="1140"/>
      <c r="F254" s="932"/>
      <c r="G254" s="355"/>
      <c r="H254" s="310"/>
      <c r="I254" s="931"/>
      <c r="J254" s="1143"/>
      <c r="K254" s="691"/>
      <c r="L254" s="691"/>
      <c r="M254" s="691"/>
      <c r="N254" s="691"/>
      <c r="O254" s="691"/>
      <c r="P254" s="691"/>
      <c r="Q254" s="691"/>
      <c r="R254" s="888"/>
      <c r="S254" s="888"/>
      <c r="T254" s="1154"/>
      <c r="U254" s="888"/>
      <c r="V254" s="888"/>
      <c r="W254" s="310"/>
      <c r="X254" s="691"/>
      <c r="Y254" s="1"/>
      <c r="Z254" s="1"/>
      <c r="AA254" s="1"/>
      <c r="AB254" s="1"/>
      <c r="AC254" s="1"/>
      <c r="AD254" s="1"/>
      <c r="AE254" s="1"/>
      <c r="AF254" s="1"/>
      <c r="AG254" s="1"/>
      <c r="AH254" s="1"/>
      <c r="AI254" s="1"/>
      <c r="AJ254" s="1"/>
      <c r="AK254" s="1"/>
      <c r="AL254" s="1"/>
      <c r="AM254" s="1"/>
      <c r="AN254" s="1"/>
    </row>
    <row r="255">
      <c r="A255" s="1138"/>
      <c r="B255" s="310"/>
      <c r="C255" s="888"/>
      <c r="D255" s="310"/>
      <c r="E255" s="1140"/>
      <c r="F255" s="932"/>
      <c r="G255" s="355"/>
      <c r="H255" s="310"/>
      <c r="I255" s="931"/>
      <c r="J255" s="1143"/>
      <c r="K255" s="691"/>
      <c r="L255" s="691"/>
      <c r="M255" s="691"/>
      <c r="N255" s="691"/>
      <c r="O255" s="691"/>
      <c r="P255" s="691"/>
      <c r="Q255" s="691"/>
      <c r="R255" s="888"/>
      <c r="S255" s="888"/>
      <c r="T255" s="1154"/>
      <c r="U255" s="888"/>
      <c r="V255" s="888"/>
      <c r="W255" s="310"/>
      <c r="X255" s="691"/>
      <c r="Y255" s="1"/>
      <c r="Z255" s="1"/>
      <c r="AA255" s="1"/>
      <c r="AB255" s="1"/>
      <c r="AC255" s="1"/>
      <c r="AD255" s="1"/>
      <c r="AE255" s="1"/>
      <c r="AF255" s="1"/>
      <c r="AG255" s="1"/>
      <c r="AH255" s="1"/>
      <c r="AI255" s="1"/>
      <c r="AJ255" s="1"/>
      <c r="AK255" s="1"/>
      <c r="AL255" s="1"/>
      <c r="AM255" s="1"/>
      <c r="AN255" s="1"/>
    </row>
    <row r="256">
      <c r="A256" s="1138"/>
      <c r="B256" s="310"/>
      <c r="C256" s="888"/>
      <c r="D256" s="310"/>
      <c r="E256" s="1140"/>
      <c r="F256" s="932"/>
      <c r="G256" s="355"/>
      <c r="H256" s="310"/>
      <c r="I256" s="931"/>
      <c r="J256" s="1143"/>
      <c r="K256" s="691"/>
      <c r="L256" s="691"/>
      <c r="M256" s="691"/>
      <c r="N256" s="691"/>
      <c r="O256" s="691"/>
      <c r="P256" s="691"/>
      <c r="Q256" s="691"/>
      <c r="R256" s="888"/>
      <c r="S256" s="888"/>
      <c r="T256" s="1154"/>
      <c r="U256" s="888"/>
      <c r="V256" s="888"/>
      <c r="W256" s="310"/>
      <c r="X256" s="691"/>
      <c r="Y256" s="1"/>
      <c r="Z256" s="1"/>
      <c r="AA256" s="1"/>
      <c r="AB256" s="1"/>
      <c r="AC256" s="1"/>
      <c r="AD256" s="1"/>
      <c r="AE256" s="1"/>
      <c r="AF256" s="1"/>
      <c r="AG256" s="1"/>
      <c r="AH256" s="1"/>
      <c r="AI256" s="1"/>
      <c r="AJ256" s="1"/>
      <c r="AK256" s="1"/>
      <c r="AL256" s="1"/>
      <c r="AM256" s="1"/>
      <c r="AN256" s="1"/>
    </row>
    <row r="257">
      <c r="A257" s="1138"/>
      <c r="B257" s="310"/>
      <c r="C257" s="888"/>
      <c r="D257" s="310"/>
      <c r="E257" s="1140"/>
      <c r="F257" s="932"/>
      <c r="G257" s="355"/>
      <c r="H257" s="310"/>
      <c r="I257" s="931"/>
      <c r="J257" s="1143"/>
      <c r="K257" s="691"/>
      <c r="L257" s="691"/>
      <c r="M257" s="691"/>
      <c r="N257" s="691"/>
      <c r="O257" s="691"/>
      <c r="P257" s="691"/>
      <c r="Q257" s="691"/>
      <c r="R257" s="888"/>
      <c r="S257" s="888"/>
      <c r="T257" s="1154"/>
      <c r="U257" s="888"/>
      <c r="V257" s="888"/>
      <c r="W257" s="310"/>
      <c r="X257" s="691"/>
      <c r="Y257" s="1"/>
      <c r="Z257" s="1"/>
      <c r="AA257" s="1"/>
      <c r="AB257" s="1"/>
      <c r="AC257" s="1"/>
      <c r="AD257" s="1"/>
      <c r="AE257" s="1"/>
      <c r="AF257" s="1"/>
      <c r="AG257" s="1"/>
      <c r="AH257" s="1"/>
      <c r="AI257" s="1"/>
      <c r="AJ257" s="1"/>
      <c r="AK257" s="1"/>
      <c r="AL257" s="1"/>
      <c r="AM257" s="1"/>
      <c r="AN257" s="1"/>
    </row>
    <row r="258">
      <c r="A258" s="1138"/>
      <c r="B258" s="310"/>
      <c r="C258" s="888"/>
      <c r="D258" s="310"/>
      <c r="E258" s="1140"/>
      <c r="F258" s="932"/>
      <c r="G258" s="355"/>
      <c r="H258" s="310"/>
      <c r="I258" s="931"/>
      <c r="J258" s="1143"/>
      <c r="K258" s="691"/>
      <c r="L258" s="691"/>
      <c r="M258" s="691"/>
      <c r="N258" s="691"/>
      <c r="O258" s="691"/>
      <c r="P258" s="691"/>
      <c r="Q258" s="691"/>
      <c r="R258" s="888"/>
      <c r="S258" s="888"/>
      <c r="T258" s="1154"/>
      <c r="U258" s="888"/>
      <c r="V258" s="888"/>
      <c r="W258" s="310"/>
      <c r="X258" s="691"/>
      <c r="Y258" s="1"/>
      <c r="Z258" s="1"/>
      <c r="AA258" s="1"/>
      <c r="AB258" s="1"/>
      <c r="AC258" s="1"/>
      <c r="AD258" s="1"/>
      <c r="AE258" s="1"/>
      <c r="AF258" s="1"/>
      <c r="AG258" s="1"/>
      <c r="AH258" s="1"/>
      <c r="AI258" s="1"/>
      <c r="AJ258" s="1"/>
      <c r="AK258" s="1"/>
      <c r="AL258" s="1"/>
      <c r="AM258" s="1"/>
      <c r="AN258" s="1"/>
    </row>
    <row r="259">
      <c r="A259" s="1138"/>
      <c r="B259" s="310"/>
      <c r="C259" s="888"/>
      <c r="D259" s="310"/>
      <c r="E259" s="1140"/>
      <c r="F259" s="932"/>
      <c r="G259" s="355"/>
      <c r="H259" s="310"/>
      <c r="I259" s="931"/>
      <c r="J259" s="1143"/>
      <c r="K259" s="691"/>
      <c r="L259" s="691"/>
      <c r="M259" s="691"/>
      <c r="N259" s="691"/>
      <c r="O259" s="691"/>
      <c r="P259" s="691"/>
      <c r="Q259" s="691"/>
      <c r="R259" s="888"/>
      <c r="S259" s="888"/>
      <c r="T259" s="1154"/>
      <c r="U259" s="888"/>
      <c r="V259" s="888"/>
      <c r="W259" s="310"/>
      <c r="X259" s="691"/>
      <c r="Y259" s="1"/>
      <c r="Z259" s="1"/>
      <c r="AA259" s="1"/>
      <c r="AB259" s="1"/>
      <c r="AC259" s="1"/>
      <c r="AD259" s="1"/>
      <c r="AE259" s="1"/>
      <c r="AF259" s="1"/>
      <c r="AG259" s="1"/>
      <c r="AH259" s="1"/>
      <c r="AI259" s="1"/>
      <c r="AJ259" s="1"/>
      <c r="AK259" s="1"/>
      <c r="AL259" s="1"/>
      <c r="AM259" s="1"/>
      <c r="AN259" s="1"/>
    </row>
    <row r="260">
      <c r="A260" s="1138"/>
      <c r="B260" s="310"/>
      <c r="C260" s="888"/>
      <c r="D260" s="310"/>
      <c r="E260" s="1140"/>
      <c r="F260" s="932"/>
      <c r="G260" s="355"/>
      <c r="H260" s="310"/>
      <c r="I260" s="931"/>
      <c r="J260" s="1143"/>
      <c r="K260" s="691"/>
      <c r="L260" s="691"/>
      <c r="M260" s="691"/>
      <c r="N260" s="691"/>
      <c r="O260" s="691"/>
      <c r="P260" s="691"/>
      <c r="Q260" s="691"/>
      <c r="R260" s="888"/>
      <c r="S260" s="888"/>
      <c r="T260" s="1154"/>
      <c r="U260" s="888"/>
      <c r="V260" s="888"/>
      <c r="W260" s="310"/>
      <c r="X260" s="691"/>
      <c r="Y260" s="1"/>
      <c r="Z260" s="1"/>
      <c r="AA260" s="1"/>
      <c r="AB260" s="1"/>
      <c r="AC260" s="1"/>
      <c r="AD260" s="1"/>
      <c r="AE260" s="1"/>
      <c r="AF260" s="1"/>
      <c r="AG260" s="1"/>
      <c r="AH260" s="1"/>
      <c r="AI260" s="1"/>
      <c r="AJ260" s="1"/>
      <c r="AK260" s="1"/>
      <c r="AL260" s="1"/>
      <c r="AM260" s="1"/>
      <c r="AN260" s="1"/>
    </row>
    <row r="261">
      <c r="A261" s="1138"/>
      <c r="B261" s="310"/>
      <c r="C261" s="888"/>
      <c r="D261" s="310"/>
      <c r="E261" s="1140"/>
      <c r="F261" s="932"/>
      <c r="G261" s="355"/>
      <c r="H261" s="310"/>
      <c r="I261" s="931"/>
      <c r="J261" s="1143"/>
      <c r="K261" s="691"/>
      <c r="L261" s="691"/>
      <c r="M261" s="691"/>
      <c r="N261" s="691"/>
      <c r="O261" s="691"/>
      <c r="P261" s="691"/>
      <c r="Q261" s="691"/>
      <c r="R261" s="888"/>
      <c r="S261" s="888"/>
      <c r="T261" s="1154"/>
      <c r="U261" s="888"/>
      <c r="V261" s="888"/>
      <c r="W261" s="310"/>
      <c r="X261" s="691"/>
      <c r="Y261" s="1"/>
      <c r="Z261" s="1"/>
      <c r="AA261" s="1"/>
      <c r="AB261" s="1"/>
      <c r="AC261" s="1"/>
      <c r="AD261" s="1"/>
      <c r="AE261" s="1"/>
      <c r="AF261" s="1"/>
      <c r="AG261" s="1"/>
      <c r="AH261" s="1"/>
      <c r="AI261" s="1"/>
      <c r="AJ261" s="1"/>
      <c r="AK261" s="1"/>
      <c r="AL261" s="1"/>
      <c r="AM261" s="1"/>
      <c r="AN261" s="1"/>
    </row>
    <row r="262">
      <c r="A262" s="1138"/>
      <c r="B262" s="310"/>
      <c r="C262" s="888"/>
      <c r="D262" s="310"/>
      <c r="E262" s="1140"/>
      <c r="F262" s="932"/>
      <c r="G262" s="355"/>
      <c r="H262" s="310"/>
      <c r="I262" s="931"/>
      <c r="J262" s="1143"/>
      <c r="K262" s="691"/>
      <c r="L262" s="691"/>
      <c r="M262" s="691"/>
      <c r="N262" s="691"/>
      <c r="O262" s="691"/>
      <c r="P262" s="691"/>
      <c r="Q262" s="691"/>
      <c r="R262" s="888"/>
      <c r="S262" s="888"/>
      <c r="T262" s="1154"/>
      <c r="U262" s="888"/>
      <c r="V262" s="888"/>
      <c r="W262" s="310"/>
      <c r="X262" s="691"/>
      <c r="Y262" s="1"/>
      <c r="Z262" s="1"/>
      <c r="AA262" s="1"/>
      <c r="AB262" s="1"/>
      <c r="AC262" s="1"/>
      <c r="AD262" s="1"/>
      <c r="AE262" s="1"/>
      <c r="AF262" s="1"/>
      <c r="AG262" s="1"/>
      <c r="AH262" s="1"/>
      <c r="AI262" s="1"/>
      <c r="AJ262" s="1"/>
      <c r="AK262" s="1"/>
      <c r="AL262" s="1"/>
      <c r="AM262" s="1"/>
      <c r="AN262" s="1"/>
    </row>
    <row r="263">
      <c r="A263" s="1138"/>
      <c r="B263" s="310"/>
      <c r="C263" s="888"/>
      <c r="D263" s="310"/>
      <c r="E263" s="1140"/>
      <c r="F263" s="932"/>
      <c r="G263" s="355"/>
      <c r="H263" s="310"/>
      <c r="I263" s="931"/>
      <c r="J263" s="1143"/>
      <c r="K263" s="691"/>
      <c r="L263" s="691"/>
      <c r="M263" s="691"/>
      <c r="N263" s="691"/>
      <c r="O263" s="691"/>
      <c r="P263" s="691"/>
      <c r="Q263" s="691"/>
      <c r="R263" s="888"/>
      <c r="S263" s="888"/>
      <c r="T263" s="1154"/>
      <c r="U263" s="888"/>
      <c r="V263" s="888"/>
      <c r="W263" s="310"/>
      <c r="X263" s="691"/>
      <c r="Y263" s="1"/>
      <c r="Z263" s="1"/>
      <c r="AA263" s="1"/>
      <c r="AB263" s="1"/>
      <c r="AC263" s="1"/>
      <c r="AD263" s="1"/>
      <c r="AE263" s="1"/>
      <c r="AF263" s="1"/>
      <c r="AG263" s="1"/>
      <c r="AH263" s="1"/>
      <c r="AI263" s="1"/>
      <c r="AJ263" s="1"/>
      <c r="AK263" s="1"/>
      <c r="AL263" s="1"/>
      <c r="AM263" s="1"/>
      <c r="AN263" s="1"/>
    </row>
    <row r="264">
      <c r="A264" s="1138"/>
      <c r="B264" s="310"/>
      <c r="C264" s="888"/>
      <c r="D264" s="310"/>
      <c r="E264" s="1140"/>
      <c r="F264" s="932"/>
      <c r="G264" s="355"/>
      <c r="H264" s="310"/>
      <c r="I264" s="931"/>
      <c r="J264" s="1143"/>
      <c r="K264" s="691"/>
      <c r="L264" s="691"/>
      <c r="M264" s="691"/>
      <c r="N264" s="691"/>
      <c r="O264" s="691"/>
      <c r="P264" s="691"/>
      <c r="Q264" s="691"/>
      <c r="R264" s="888"/>
      <c r="S264" s="888"/>
      <c r="T264" s="1154"/>
      <c r="U264" s="888"/>
      <c r="V264" s="888"/>
      <c r="W264" s="310"/>
      <c r="X264" s="691"/>
      <c r="Y264" s="1"/>
      <c r="Z264" s="1"/>
      <c r="AA264" s="1"/>
      <c r="AB264" s="1"/>
      <c r="AC264" s="1"/>
      <c r="AD264" s="1"/>
      <c r="AE264" s="1"/>
      <c r="AF264" s="1"/>
      <c r="AG264" s="1"/>
      <c r="AH264" s="1"/>
      <c r="AI264" s="1"/>
      <c r="AJ264" s="1"/>
      <c r="AK264" s="1"/>
      <c r="AL264" s="1"/>
      <c r="AM264" s="1"/>
      <c r="AN264" s="1"/>
    </row>
    <row r="265">
      <c r="A265" s="1138"/>
      <c r="B265" s="310"/>
      <c r="C265" s="888"/>
      <c r="D265" s="310"/>
      <c r="E265" s="1140"/>
      <c r="F265" s="932"/>
      <c r="G265" s="355"/>
      <c r="H265" s="310"/>
      <c r="I265" s="931"/>
      <c r="J265" s="1143"/>
      <c r="K265" s="691"/>
      <c r="L265" s="691"/>
      <c r="M265" s="691"/>
      <c r="N265" s="691"/>
      <c r="O265" s="691"/>
      <c r="P265" s="691"/>
      <c r="Q265" s="691"/>
      <c r="R265" s="888"/>
      <c r="S265" s="888"/>
      <c r="T265" s="1154"/>
      <c r="U265" s="888"/>
      <c r="V265" s="888"/>
      <c r="W265" s="310"/>
      <c r="X265" s="691"/>
      <c r="Y265" s="1"/>
      <c r="Z265" s="1"/>
      <c r="AA265" s="1"/>
      <c r="AB265" s="1"/>
      <c r="AC265" s="1"/>
      <c r="AD265" s="1"/>
      <c r="AE265" s="1"/>
      <c r="AF265" s="1"/>
      <c r="AG265" s="1"/>
      <c r="AH265" s="1"/>
      <c r="AI265" s="1"/>
      <c r="AJ265" s="1"/>
      <c r="AK265" s="1"/>
      <c r="AL265" s="1"/>
      <c r="AM265" s="1"/>
      <c r="AN265" s="1"/>
    </row>
    <row r="266">
      <c r="A266" s="1138"/>
      <c r="B266" s="310"/>
      <c r="C266" s="888"/>
      <c r="D266" s="310"/>
      <c r="E266" s="1140"/>
      <c r="F266" s="932"/>
      <c r="G266" s="355"/>
      <c r="H266" s="310"/>
      <c r="I266" s="931"/>
      <c r="J266" s="1143"/>
      <c r="K266" s="691"/>
      <c r="L266" s="691"/>
      <c r="M266" s="691"/>
      <c r="N266" s="691"/>
      <c r="O266" s="691"/>
      <c r="P266" s="691"/>
      <c r="Q266" s="691"/>
      <c r="R266" s="888"/>
      <c r="S266" s="888"/>
      <c r="T266" s="1154"/>
      <c r="U266" s="888"/>
      <c r="V266" s="888"/>
      <c r="W266" s="310"/>
      <c r="X266" s="691"/>
      <c r="Y266" s="1"/>
      <c r="Z266" s="1"/>
      <c r="AA266" s="1"/>
      <c r="AB266" s="1"/>
      <c r="AC266" s="1"/>
      <c r="AD266" s="1"/>
      <c r="AE266" s="1"/>
      <c r="AF266" s="1"/>
      <c r="AG266" s="1"/>
      <c r="AH266" s="1"/>
      <c r="AI266" s="1"/>
      <c r="AJ266" s="1"/>
      <c r="AK266" s="1"/>
      <c r="AL266" s="1"/>
      <c r="AM266" s="1"/>
      <c r="AN266" s="1"/>
    </row>
    <row r="267">
      <c r="A267" s="1138"/>
      <c r="B267" s="310"/>
      <c r="C267" s="888"/>
      <c r="D267" s="310"/>
      <c r="E267" s="1140"/>
      <c r="F267" s="932"/>
      <c r="G267" s="355"/>
      <c r="H267" s="310"/>
      <c r="I267" s="931"/>
      <c r="J267" s="1143"/>
      <c r="K267" s="691"/>
      <c r="L267" s="691"/>
      <c r="M267" s="691"/>
      <c r="N267" s="691"/>
      <c r="O267" s="691"/>
      <c r="P267" s="691"/>
      <c r="Q267" s="691"/>
      <c r="R267" s="888"/>
      <c r="S267" s="888"/>
      <c r="T267" s="1154"/>
      <c r="U267" s="888"/>
      <c r="V267" s="888"/>
      <c r="W267" s="310"/>
      <c r="X267" s="691"/>
      <c r="Y267" s="1"/>
      <c r="Z267" s="1"/>
      <c r="AA267" s="1"/>
      <c r="AB267" s="1"/>
      <c r="AC267" s="1"/>
      <c r="AD267" s="1"/>
      <c r="AE267" s="1"/>
      <c r="AF267" s="1"/>
      <c r="AG267" s="1"/>
      <c r="AH267" s="1"/>
      <c r="AI267" s="1"/>
      <c r="AJ267" s="1"/>
      <c r="AK267" s="1"/>
      <c r="AL267" s="1"/>
      <c r="AM267" s="1"/>
      <c r="AN267" s="1"/>
    </row>
    <row r="268">
      <c r="A268" s="1138"/>
      <c r="B268" s="310"/>
      <c r="C268" s="888"/>
      <c r="D268" s="310"/>
      <c r="E268" s="1140"/>
      <c r="F268" s="932"/>
      <c r="G268" s="355"/>
      <c r="H268" s="310"/>
      <c r="I268" s="931"/>
      <c r="J268" s="1143"/>
      <c r="K268" s="691"/>
      <c r="L268" s="691"/>
      <c r="M268" s="691"/>
      <c r="N268" s="691"/>
      <c r="O268" s="691"/>
      <c r="P268" s="691"/>
      <c r="Q268" s="691"/>
      <c r="R268" s="888"/>
      <c r="S268" s="888"/>
      <c r="T268" s="1154"/>
      <c r="U268" s="888"/>
      <c r="V268" s="888"/>
      <c r="W268" s="310"/>
      <c r="X268" s="691"/>
      <c r="Y268" s="1"/>
      <c r="Z268" s="1"/>
      <c r="AA268" s="1"/>
      <c r="AB268" s="1"/>
      <c r="AC268" s="1"/>
      <c r="AD268" s="1"/>
      <c r="AE268" s="1"/>
      <c r="AF268" s="1"/>
      <c r="AG268" s="1"/>
      <c r="AH268" s="1"/>
      <c r="AI268" s="1"/>
      <c r="AJ268" s="1"/>
      <c r="AK268" s="1"/>
      <c r="AL268" s="1"/>
      <c r="AM268" s="1"/>
      <c r="AN268" s="1"/>
    </row>
    <row r="269">
      <c r="A269" s="1138"/>
      <c r="B269" s="310"/>
      <c r="C269" s="888"/>
      <c r="D269" s="310"/>
      <c r="E269" s="1140"/>
      <c r="F269" s="932"/>
      <c r="G269" s="355"/>
      <c r="H269" s="310"/>
      <c r="I269" s="931"/>
      <c r="J269" s="1143"/>
      <c r="K269" s="691"/>
      <c r="L269" s="691"/>
      <c r="M269" s="691"/>
      <c r="N269" s="691"/>
      <c r="O269" s="691"/>
      <c r="P269" s="691"/>
      <c r="Q269" s="691"/>
      <c r="R269" s="888"/>
      <c r="S269" s="888"/>
      <c r="T269" s="1154"/>
      <c r="U269" s="888"/>
      <c r="V269" s="888"/>
      <c r="W269" s="310"/>
      <c r="X269" s="691"/>
      <c r="Y269" s="1"/>
      <c r="Z269" s="1"/>
      <c r="AA269" s="1"/>
      <c r="AB269" s="1"/>
      <c r="AC269" s="1"/>
      <c r="AD269" s="1"/>
      <c r="AE269" s="1"/>
      <c r="AF269" s="1"/>
      <c r="AG269" s="1"/>
      <c r="AH269" s="1"/>
      <c r="AI269" s="1"/>
      <c r="AJ269" s="1"/>
      <c r="AK269" s="1"/>
      <c r="AL269" s="1"/>
      <c r="AM269" s="1"/>
      <c r="AN269" s="1"/>
    </row>
    <row r="270">
      <c r="A270" s="1138"/>
      <c r="B270" s="310"/>
      <c r="C270" s="888"/>
      <c r="D270" s="310"/>
      <c r="E270" s="1140"/>
      <c r="F270" s="932"/>
      <c r="G270" s="355"/>
      <c r="H270" s="310"/>
      <c r="I270" s="931"/>
      <c r="J270" s="1143"/>
      <c r="K270" s="691"/>
      <c r="L270" s="691"/>
      <c r="M270" s="691"/>
      <c r="N270" s="691"/>
      <c r="O270" s="691"/>
      <c r="P270" s="691"/>
      <c r="Q270" s="691"/>
      <c r="R270" s="888"/>
      <c r="S270" s="888"/>
      <c r="T270" s="1154"/>
      <c r="U270" s="888"/>
      <c r="V270" s="888"/>
      <c r="W270" s="310"/>
      <c r="X270" s="691"/>
      <c r="Y270" s="1"/>
      <c r="Z270" s="1"/>
      <c r="AA270" s="1"/>
      <c r="AB270" s="1"/>
      <c r="AC270" s="1"/>
      <c r="AD270" s="1"/>
      <c r="AE270" s="1"/>
      <c r="AF270" s="1"/>
      <c r="AG270" s="1"/>
      <c r="AH270" s="1"/>
      <c r="AI270" s="1"/>
      <c r="AJ270" s="1"/>
      <c r="AK270" s="1"/>
      <c r="AL270" s="1"/>
      <c r="AM270" s="1"/>
      <c r="AN270" s="1"/>
    </row>
    <row r="271">
      <c r="A271" s="1138"/>
      <c r="B271" s="310"/>
      <c r="C271" s="888"/>
      <c r="D271" s="310"/>
      <c r="E271" s="1140"/>
      <c r="F271" s="932"/>
      <c r="G271" s="355"/>
      <c r="H271" s="310"/>
      <c r="I271" s="931"/>
      <c r="J271" s="1143"/>
      <c r="K271" s="691"/>
      <c r="L271" s="691"/>
      <c r="M271" s="691"/>
      <c r="N271" s="691"/>
      <c r="O271" s="691"/>
      <c r="P271" s="691"/>
      <c r="Q271" s="691"/>
      <c r="R271" s="888"/>
      <c r="S271" s="888"/>
      <c r="T271" s="1154"/>
      <c r="U271" s="888"/>
      <c r="V271" s="888"/>
      <c r="W271" s="310"/>
      <c r="X271" s="691"/>
      <c r="Y271" s="1"/>
      <c r="Z271" s="1"/>
      <c r="AA271" s="1"/>
      <c r="AB271" s="1"/>
      <c r="AC271" s="1"/>
      <c r="AD271" s="1"/>
      <c r="AE271" s="1"/>
      <c r="AF271" s="1"/>
      <c r="AG271" s="1"/>
      <c r="AH271" s="1"/>
      <c r="AI271" s="1"/>
      <c r="AJ271" s="1"/>
      <c r="AK271" s="1"/>
      <c r="AL271" s="1"/>
      <c r="AM271" s="1"/>
      <c r="AN271" s="1"/>
    </row>
    <row r="272">
      <c r="A272" s="1138"/>
      <c r="B272" s="310"/>
      <c r="C272" s="888"/>
      <c r="D272" s="310"/>
      <c r="E272" s="1140"/>
      <c r="F272" s="932"/>
      <c r="G272" s="355"/>
      <c r="H272" s="310"/>
      <c r="I272" s="931"/>
      <c r="J272" s="1143"/>
      <c r="K272" s="691"/>
      <c r="L272" s="691"/>
      <c r="M272" s="691"/>
      <c r="N272" s="691"/>
      <c r="O272" s="691"/>
      <c r="P272" s="691"/>
      <c r="Q272" s="691"/>
      <c r="R272" s="888"/>
      <c r="S272" s="888"/>
      <c r="T272" s="1154"/>
      <c r="U272" s="888"/>
      <c r="V272" s="888"/>
      <c r="W272" s="310"/>
      <c r="X272" s="691"/>
      <c r="Y272" s="1"/>
      <c r="Z272" s="1"/>
      <c r="AA272" s="1"/>
      <c r="AB272" s="1"/>
      <c r="AC272" s="1"/>
      <c r="AD272" s="1"/>
      <c r="AE272" s="1"/>
      <c r="AF272" s="1"/>
      <c r="AG272" s="1"/>
      <c r="AH272" s="1"/>
      <c r="AI272" s="1"/>
      <c r="AJ272" s="1"/>
      <c r="AK272" s="1"/>
      <c r="AL272" s="1"/>
      <c r="AM272" s="1"/>
      <c r="AN272" s="1"/>
    </row>
    <row r="273">
      <c r="A273" s="1138"/>
      <c r="B273" s="310"/>
      <c r="C273" s="888"/>
      <c r="D273" s="310"/>
      <c r="E273" s="1140"/>
      <c r="F273" s="932"/>
      <c r="G273" s="355"/>
      <c r="H273" s="310"/>
      <c r="I273" s="931"/>
      <c r="J273" s="1143"/>
      <c r="K273" s="691"/>
      <c r="L273" s="691"/>
      <c r="M273" s="691"/>
      <c r="N273" s="691"/>
      <c r="O273" s="691"/>
      <c r="P273" s="691"/>
      <c r="Q273" s="691"/>
      <c r="R273" s="888"/>
      <c r="S273" s="888"/>
      <c r="T273" s="1154"/>
      <c r="U273" s="888"/>
      <c r="V273" s="888"/>
      <c r="W273" s="310"/>
      <c r="X273" s="691"/>
      <c r="Y273" s="1"/>
      <c r="Z273" s="1"/>
      <c r="AA273" s="1"/>
      <c r="AB273" s="1"/>
      <c r="AC273" s="1"/>
      <c r="AD273" s="1"/>
      <c r="AE273" s="1"/>
      <c r="AF273" s="1"/>
      <c r="AG273" s="1"/>
      <c r="AH273" s="1"/>
      <c r="AI273" s="1"/>
      <c r="AJ273" s="1"/>
      <c r="AK273" s="1"/>
      <c r="AL273" s="1"/>
      <c r="AM273" s="1"/>
      <c r="AN273" s="1"/>
    </row>
    <row r="274">
      <c r="A274" s="1138"/>
      <c r="B274" s="310"/>
      <c r="C274" s="888"/>
      <c r="D274" s="310"/>
      <c r="E274" s="1140"/>
      <c r="F274" s="932"/>
      <c r="G274" s="355"/>
      <c r="H274" s="310"/>
      <c r="I274" s="931"/>
      <c r="J274" s="1143"/>
      <c r="K274" s="691"/>
      <c r="L274" s="691"/>
      <c r="M274" s="691"/>
      <c r="N274" s="691"/>
      <c r="O274" s="691"/>
      <c r="P274" s="691"/>
      <c r="Q274" s="691"/>
      <c r="R274" s="888"/>
      <c r="S274" s="888"/>
      <c r="T274" s="1154"/>
      <c r="U274" s="888"/>
      <c r="V274" s="888"/>
      <c r="W274" s="310"/>
      <c r="X274" s="691"/>
      <c r="Y274" s="1"/>
      <c r="Z274" s="1"/>
      <c r="AA274" s="1"/>
      <c r="AB274" s="1"/>
      <c r="AC274" s="1"/>
      <c r="AD274" s="1"/>
      <c r="AE274" s="1"/>
      <c r="AF274" s="1"/>
      <c r="AG274" s="1"/>
      <c r="AH274" s="1"/>
      <c r="AI274" s="1"/>
      <c r="AJ274" s="1"/>
      <c r="AK274" s="1"/>
      <c r="AL274" s="1"/>
      <c r="AM274" s="1"/>
      <c r="AN274" s="1"/>
    </row>
    <row r="275">
      <c r="A275" s="1138"/>
      <c r="B275" s="310"/>
      <c r="C275" s="888"/>
      <c r="D275" s="310"/>
      <c r="E275" s="1140"/>
      <c r="F275" s="932"/>
      <c r="G275" s="355"/>
      <c r="H275" s="310"/>
      <c r="I275" s="931"/>
      <c r="J275" s="1143"/>
      <c r="K275" s="691"/>
      <c r="L275" s="691"/>
      <c r="M275" s="691"/>
      <c r="N275" s="691"/>
      <c r="O275" s="691"/>
      <c r="P275" s="691"/>
      <c r="Q275" s="691"/>
      <c r="R275" s="888"/>
      <c r="S275" s="888"/>
      <c r="T275" s="1154"/>
      <c r="U275" s="888"/>
      <c r="V275" s="888"/>
      <c r="W275" s="310"/>
      <c r="X275" s="691"/>
      <c r="Y275" s="1"/>
      <c r="Z275" s="1"/>
      <c r="AA275" s="1"/>
      <c r="AB275" s="1"/>
      <c r="AC275" s="1"/>
      <c r="AD275" s="1"/>
      <c r="AE275" s="1"/>
      <c r="AF275" s="1"/>
      <c r="AG275" s="1"/>
      <c r="AH275" s="1"/>
      <c r="AI275" s="1"/>
      <c r="AJ275" s="1"/>
      <c r="AK275" s="1"/>
      <c r="AL275" s="1"/>
      <c r="AM275" s="1"/>
      <c r="AN275" s="1"/>
    </row>
    <row r="276">
      <c r="A276" s="1138"/>
      <c r="B276" s="310"/>
      <c r="C276" s="888"/>
      <c r="D276" s="310"/>
      <c r="E276" s="1140"/>
      <c r="F276" s="932"/>
      <c r="G276" s="355"/>
      <c r="H276" s="310"/>
      <c r="I276" s="931"/>
      <c r="J276" s="1143"/>
      <c r="K276" s="691"/>
      <c r="L276" s="691"/>
      <c r="M276" s="691"/>
      <c r="N276" s="691"/>
      <c r="O276" s="691"/>
      <c r="P276" s="691"/>
      <c r="Q276" s="691"/>
      <c r="R276" s="888"/>
      <c r="S276" s="888"/>
      <c r="T276" s="1154"/>
      <c r="U276" s="888"/>
      <c r="V276" s="888"/>
      <c r="W276" s="310"/>
      <c r="X276" s="691"/>
      <c r="Y276" s="1"/>
      <c r="Z276" s="1"/>
      <c r="AA276" s="1"/>
      <c r="AB276" s="1"/>
      <c r="AC276" s="1"/>
      <c r="AD276" s="1"/>
      <c r="AE276" s="1"/>
      <c r="AF276" s="1"/>
      <c r="AG276" s="1"/>
      <c r="AH276" s="1"/>
      <c r="AI276" s="1"/>
      <c r="AJ276" s="1"/>
      <c r="AK276" s="1"/>
      <c r="AL276" s="1"/>
      <c r="AM276" s="1"/>
      <c r="AN276" s="1"/>
    </row>
    <row r="277">
      <c r="A277" s="1138"/>
      <c r="B277" s="310"/>
      <c r="C277" s="888"/>
      <c r="D277" s="310"/>
      <c r="E277" s="1140"/>
      <c r="F277" s="932"/>
      <c r="G277" s="355"/>
      <c r="H277" s="310"/>
      <c r="I277" s="931"/>
      <c r="J277" s="1143"/>
      <c r="K277" s="691"/>
      <c r="L277" s="691"/>
      <c r="M277" s="691"/>
      <c r="N277" s="691"/>
      <c r="O277" s="691"/>
      <c r="P277" s="691"/>
      <c r="Q277" s="691"/>
      <c r="R277" s="888"/>
      <c r="S277" s="888"/>
      <c r="T277" s="1154"/>
      <c r="U277" s="888"/>
      <c r="V277" s="888"/>
      <c r="W277" s="310"/>
      <c r="X277" s="691"/>
      <c r="Y277" s="1"/>
      <c r="Z277" s="1"/>
      <c r="AA277" s="1"/>
      <c r="AB277" s="1"/>
      <c r="AC277" s="1"/>
      <c r="AD277" s="1"/>
      <c r="AE277" s="1"/>
      <c r="AF277" s="1"/>
      <c r="AG277" s="1"/>
      <c r="AH277" s="1"/>
      <c r="AI277" s="1"/>
      <c r="AJ277" s="1"/>
      <c r="AK277" s="1"/>
      <c r="AL277" s="1"/>
      <c r="AM277" s="1"/>
      <c r="AN277" s="1"/>
    </row>
    <row r="278">
      <c r="A278" s="1138"/>
      <c r="B278" s="310"/>
      <c r="C278" s="888"/>
      <c r="D278" s="310"/>
      <c r="E278" s="1140"/>
      <c r="F278" s="932"/>
      <c r="G278" s="355"/>
      <c r="H278" s="310"/>
      <c r="I278" s="931"/>
      <c r="J278" s="1143"/>
      <c r="K278" s="691"/>
      <c r="L278" s="691"/>
      <c r="M278" s="691"/>
      <c r="N278" s="691"/>
      <c r="O278" s="691"/>
      <c r="P278" s="691"/>
      <c r="Q278" s="691"/>
      <c r="R278" s="888"/>
      <c r="S278" s="888"/>
      <c r="T278" s="1154"/>
      <c r="U278" s="888"/>
      <c r="V278" s="888"/>
      <c r="W278" s="310"/>
      <c r="X278" s="691"/>
      <c r="Y278" s="1"/>
      <c r="Z278" s="1"/>
      <c r="AA278" s="1"/>
      <c r="AB278" s="1"/>
      <c r="AC278" s="1"/>
      <c r="AD278" s="1"/>
      <c r="AE278" s="1"/>
      <c r="AF278" s="1"/>
      <c r="AG278" s="1"/>
      <c r="AH278" s="1"/>
      <c r="AI278" s="1"/>
      <c r="AJ278" s="1"/>
      <c r="AK278" s="1"/>
      <c r="AL278" s="1"/>
      <c r="AM278" s="1"/>
      <c r="AN278" s="1"/>
    </row>
    <row r="279">
      <c r="A279" s="1138"/>
      <c r="B279" s="310"/>
      <c r="C279" s="888"/>
      <c r="D279" s="310"/>
      <c r="E279" s="1140"/>
      <c r="F279" s="932"/>
      <c r="G279" s="355"/>
      <c r="H279" s="310"/>
      <c r="I279" s="931"/>
      <c r="J279" s="1143"/>
      <c r="K279" s="691"/>
      <c r="L279" s="691"/>
      <c r="M279" s="691"/>
      <c r="N279" s="691"/>
      <c r="O279" s="691"/>
      <c r="P279" s="691"/>
      <c r="Q279" s="691"/>
      <c r="R279" s="888"/>
      <c r="S279" s="888"/>
      <c r="T279" s="1154"/>
      <c r="U279" s="888"/>
      <c r="V279" s="888"/>
      <c r="W279" s="310"/>
      <c r="X279" s="691"/>
      <c r="Y279" s="1"/>
      <c r="Z279" s="1"/>
      <c r="AA279" s="1"/>
      <c r="AB279" s="1"/>
      <c r="AC279" s="1"/>
      <c r="AD279" s="1"/>
      <c r="AE279" s="1"/>
      <c r="AF279" s="1"/>
      <c r="AG279" s="1"/>
      <c r="AH279" s="1"/>
      <c r="AI279" s="1"/>
      <c r="AJ279" s="1"/>
      <c r="AK279" s="1"/>
      <c r="AL279" s="1"/>
      <c r="AM279" s="1"/>
      <c r="AN279" s="1"/>
    </row>
    <row r="280">
      <c r="A280" s="1138"/>
      <c r="B280" s="310"/>
      <c r="C280" s="888"/>
      <c r="D280" s="310"/>
      <c r="E280" s="1140"/>
      <c r="F280" s="932"/>
      <c r="G280" s="355"/>
      <c r="H280" s="310"/>
      <c r="I280" s="931"/>
      <c r="J280" s="1143"/>
      <c r="K280" s="691"/>
      <c r="L280" s="691"/>
      <c r="M280" s="691"/>
      <c r="N280" s="691"/>
      <c r="O280" s="691"/>
      <c r="P280" s="691"/>
      <c r="Q280" s="691"/>
      <c r="R280" s="888"/>
      <c r="S280" s="888"/>
      <c r="T280" s="1154"/>
      <c r="U280" s="888"/>
      <c r="V280" s="888"/>
      <c r="W280" s="310"/>
      <c r="X280" s="691"/>
      <c r="Y280" s="1"/>
      <c r="Z280" s="1"/>
      <c r="AA280" s="1"/>
      <c r="AB280" s="1"/>
      <c r="AC280" s="1"/>
      <c r="AD280" s="1"/>
      <c r="AE280" s="1"/>
      <c r="AF280" s="1"/>
      <c r="AG280" s="1"/>
      <c r="AH280" s="1"/>
      <c r="AI280" s="1"/>
      <c r="AJ280" s="1"/>
      <c r="AK280" s="1"/>
      <c r="AL280" s="1"/>
      <c r="AM280" s="1"/>
      <c r="AN280" s="1"/>
    </row>
    <row r="281">
      <c r="A281" s="1138"/>
      <c r="B281" s="310"/>
      <c r="C281" s="888"/>
      <c r="D281" s="310"/>
      <c r="E281" s="1140"/>
      <c r="F281" s="932"/>
      <c r="G281" s="355"/>
      <c r="H281" s="310"/>
      <c r="I281" s="931"/>
      <c r="J281" s="1143"/>
      <c r="K281" s="691"/>
      <c r="L281" s="691"/>
      <c r="M281" s="691"/>
      <c r="N281" s="691"/>
      <c r="O281" s="691"/>
      <c r="P281" s="691"/>
      <c r="Q281" s="691"/>
      <c r="R281" s="888"/>
      <c r="S281" s="888"/>
      <c r="T281" s="1154"/>
      <c r="U281" s="888"/>
      <c r="V281" s="888"/>
      <c r="W281" s="310"/>
      <c r="X281" s="691"/>
      <c r="Y281" s="1"/>
      <c r="Z281" s="1"/>
      <c r="AA281" s="1"/>
      <c r="AB281" s="1"/>
      <c r="AC281" s="1"/>
      <c r="AD281" s="1"/>
      <c r="AE281" s="1"/>
      <c r="AF281" s="1"/>
      <c r="AG281" s="1"/>
      <c r="AH281" s="1"/>
      <c r="AI281" s="1"/>
      <c r="AJ281" s="1"/>
      <c r="AK281" s="1"/>
      <c r="AL281" s="1"/>
      <c r="AM281" s="1"/>
      <c r="AN281" s="1"/>
    </row>
    <row r="282">
      <c r="A282" s="1138"/>
      <c r="B282" s="310"/>
      <c r="C282" s="888"/>
      <c r="D282" s="310"/>
      <c r="E282" s="1140"/>
      <c r="F282" s="932"/>
      <c r="G282" s="355"/>
      <c r="H282" s="310"/>
      <c r="I282" s="931"/>
      <c r="J282" s="1143"/>
      <c r="K282" s="691"/>
      <c r="L282" s="691"/>
      <c r="M282" s="691"/>
      <c r="N282" s="691"/>
      <c r="O282" s="691"/>
      <c r="P282" s="691"/>
      <c r="Q282" s="691"/>
      <c r="R282" s="888"/>
      <c r="S282" s="888"/>
      <c r="T282" s="1154"/>
      <c r="U282" s="888"/>
      <c r="V282" s="888"/>
      <c r="W282" s="310"/>
      <c r="X282" s="691"/>
      <c r="Y282" s="1"/>
      <c r="Z282" s="1"/>
      <c r="AA282" s="1"/>
      <c r="AB282" s="1"/>
      <c r="AC282" s="1"/>
      <c r="AD282" s="1"/>
      <c r="AE282" s="1"/>
      <c r="AF282" s="1"/>
      <c r="AG282" s="1"/>
      <c r="AH282" s="1"/>
      <c r="AI282" s="1"/>
      <c r="AJ282" s="1"/>
      <c r="AK282" s="1"/>
      <c r="AL282" s="1"/>
      <c r="AM282" s="1"/>
      <c r="AN282" s="1"/>
    </row>
    <row r="283">
      <c r="A283" s="1138"/>
      <c r="B283" s="310"/>
      <c r="C283" s="888"/>
      <c r="D283" s="310"/>
      <c r="E283" s="1140"/>
      <c r="F283" s="932"/>
      <c r="G283" s="355"/>
      <c r="H283" s="310"/>
      <c r="I283" s="931"/>
      <c r="J283" s="1143"/>
      <c r="K283" s="691"/>
      <c r="L283" s="691"/>
      <c r="M283" s="691"/>
      <c r="N283" s="691"/>
      <c r="O283" s="691"/>
      <c r="P283" s="691"/>
      <c r="Q283" s="691"/>
      <c r="R283" s="888"/>
      <c r="S283" s="888"/>
      <c r="T283" s="1154"/>
      <c r="U283" s="888"/>
      <c r="V283" s="888"/>
      <c r="W283" s="310"/>
      <c r="X283" s="691"/>
      <c r="Y283" s="1"/>
      <c r="Z283" s="1"/>
      <c r="AA283" s="1"/>
      <c r="AB283" s="1"/>
      <c r="AC283" s="1"/>
      <c r="AD283" s="1"/>
      <c r="AE283" s="1"/>
      <c r="AF283" s="1"/>
      <c r="AG283" s="1"/>
      <c r="AH283" s="1"/>
      <c r="AI283" s="1"/>
      <c r="AJ283" s="1"/>
      <c r="AK283" s="1"/>
      <c r="AL283" s="1"/>
      <c r="AM283" s="1"/>
      <c r="AN283" s="1"/>
    </row>
    <row r="284">
      <c r="A284" s="1138"/>
      <c r="B284" s="310"/>
      <c r="C284" s="888"/>
      <c r="D284" s="310"/>
      <c r="E284" s="1140"/>
      <c r="F284" s="932"/>
      <c r="G284" s="355"/>
      <c r="H284" s="310"/>
      <c r="I284" s="931"/>
      <c r="J284" s="1143"/>
      <c r="K284" s="691"/>
      <c r="L284" s="691"/>
      <c r="M284" s="691"/>
      <c r="N284" s="691"/>
      <c r="O284" s="691"/>
      <c r="P284" s="691"/>
      <c r="Q284" s="691"/>
      <c r="R284" s="888"/>
      <c r="S284" s="888"/>
      <c r="T284" s="1154"/>
      <c r="U284" s="888"/>
      <c r="V284" s="888"/>
      <c r="W284" s="310"/>
      <c r="X284" s="691"/>
      <c r="Y284" s="1"/>
      <c r="Z284" s="1"/>
      <c r="AA284" s="1"/>
      <c r="AB284" s="1"/>
      <c r="AC284" s="1"/>
      <c r="AD284" s="1"/>
      <c r="AE284" s="1"/>
      <c r="AF284" s="1"/>
      <c r="AG284" s="1"/>
      <c r="AH284" s="1"/>
      <c r="AI284" s="1"/>
      <c r="AJ284" s="1"/>
      <c r="AK284" s="1"/>
      <c r="AL284" s="1"/>
      <c r="AM284" s="1"/>
      <c r="AN284" s="1"/>
    </row>
    <row r="285">
      <c r="A285" s="1138"/>
      <c r="B285" s="310"/>
      <c r="C285" s="888"/>
      <c r="D285" s="310"/>
      <c r="E285" s="1140"/>
      <c r="F285" s="932"/>
      <c r="G285" s="355"/>
      <c r="H285" s="310"/>
      <c r="I285" s="931"/>
      <c r="J285" s="1143"/>
      <c r="K285" s="691"/>
      <c r="L285" s="691"/>
      <c r="M285" s="691"/>
      <c r="N285" s="691"/>
      <c r="O285" s="691"/>
      <c r="P285" s="691"/>
      <c r="Q285" s="691"/>
      <c r="R285" s="888"/>
      <c r="S285" s="888"/>
      <c r="T285" s="1154"/>
      <c r="U285" s="888"/>
      <c r="V285" s="888"/>
      <c r="W285" s="310"/>
      <c r="X285" s="691"/>
      <c r="Y285" s="1"/>
      <c r="Z285" s="1"/>
      <c r="AA285" s="1"/>
      <c r="AB285" s="1"/>
      <c r="AC285" s="1"/>
      <c r="AD285" s="1"/>
      <c r="AE285" s="1"/>
      <c r="AF285" s="1"/>
      <c r="AG285" s="1"/>
      <c r="AH285" s="1"/>
      <c r="AI285" s="1"/>
      <c r="AJ285" s="1"/>
      <c r="AK285" s="1"/>
      <c r="AL285" s="1"/>
      <c r="AM285" s="1"/>
      <c r="AN285" s="1"/>
    </row>
    <row r="286">
      <c r="A286" s="1138"/>
      <c r="B286" s="310"/>
      <c r="C286" s="888"/>
      <c r="D286" s="310"/>
      <c r="E286" s="1140"/>
      <c r="F286" s="932"/>
      <c r="G286" s="355"/>
      <c r="H286" s="310"/>
      <c r="I286" s="931"/>
      <c r="J286" s="1143"/>
      <c r="K286" s="691"/>
      <c r="L286" s="691"/>
      <c r="M286" s="691"/>
      <c r="N286" s="691"/>
      <c r="O286" s="691"/>
      <c r="P286" s="691"/>
      <c r="Q286" s="691"/>
      <c r="R286" s="888"/>
      <c r="S286" s="888"/>
      <c r="T286" s="1154"/>
      <c r="U286" s="888"/>
      <c r="V286" s="888"/>
      <c r="W286" s="310"/>
      <c r="X286" s="691"/>
      <c r="Y286" s="1"/>
      <c r="Z286" s="1"/>
      <c r="AA286" s="1"/>
      <c r="AB286" s="1"/>
      <c r="AC286" s="1"/>
      <c r="AD286" s="1"/>
      <c r="AE286" s="1"/>
      <c r="AF286" s="1"/>
      <c r="AG286" s="1"/>
      <c r="AH286" s="1"/>
      <c r="AI286" s="1"/>
      <c r="AJ286" s="1"/>
      <c r="AK286" s="1"/>
      <c r="AL286" s="1"/>
      <c r="AM286" s="1"/>
      <c r="AN286" s="1"/>
    </row>
    <row r="287">
      <c r="A287" s="1138"/>
      <c r="B287" s="310"/>
      <c r="C287" s="888"/>
      <c r="D287" s="310"/>
      <c r="E287" s="1140"/>
      <c r="F287" s="932"/>
      <c r="G287" s="355"/>
      <c r="H287" s="310"/>
      <c r="I287" s="931"/>
      <c r="J287" s="1143"/>
      <c r="K287" s="691"/>
      <c r="L287" s="691"/>
      <c r="M287" s="691"/>
      <c r="N287" s="691"/>
      <c r="O287" s="691"/>
      <c r="P287" s="691"/>
      <c r="Q287" s="691"/>
      <c r="R287" s="888"/>
      <c r="S287" s="888"/>
      <c r="T287" s="1154"/>
      <c r="U287" s="888"/>
      <c r="V287" s="888"/>
      <c r="W287" s="310"/>
      <c r="X287" s="691"/>
      <c r="Y287" s="1"/>
      <c r="Z287" s="1"/>
      <c r="AA287" s="1"/>
      <c r="AB287" s="1"/>
      <c r="AC287" s="1"/>
      <c r="AD287" s="1"/>
      <c r="AE287" s="1"/>
      <c r="AF287" s="1"/>
      <c r="AG287" s="1"/>
      <c r="AH287" s="1"/>
      <c r="AI287" s="1"/>
      <c r="AJ287" s="1"/>
      <c r="AK287" s="1"/>
      <c r="AL287" s="1"/>
      <c r="AM287" s="1"/>
      <c r="AN287" s="1"/>
    </row>
    <row r="288">
      <c r="A288" s="1138"/>
      <c r="B288" s="310"/>
      <c r="C288" s="888"/>
      <c r="D288" s="310"/>
      <c r="E288" s="1140"/>
      <c r="F288" s="932"/>
      <c r="G288" s="355"/>
      <c r="H288" s="310"/>
      <c r="I288" s="931"/>
      <c r="J288" s="1143"/>
      <c r="K288" s="691"/>
      <c r="L288" s="691"/>
      <c r="M288" s="691"/>
      <c r="N288" s="691"/>
      <c r="O288" s="691"/>
      <c r="P288" s="691"/>
      <c r="Q288" s="691"/>
      <c r="R288" s="888"/>
      <c r="S288" s="888"/>
      <c r="T288" s="1154"/>
      <c r="U288" s="888"/>
      <c r="V288" s="888"/>
      <c r="W288" s="310"/>
      <c r="X288" s="691"/>
      <c r="Y288" s="1"/>
      <c r="Z288" s="1"/>
      <c r="AA288" s="1"/>
      <c r="AB288" s="1"/>
      <c r="AC288" s="1"/>
      <c r="AD288" s="1"/>
      <c r="AE288" s="1"/>
      <c r="AF288" s="1"/>
      <c r="AG288" s="1"/>
      <c r="AH288" s="1"/>
      <c r="AI288" s="1"/>
      <c r="AJ288" s="1"/>
      <c r="AK288" s="1"/>
      <c r="AL288" s="1"/>
      <c r="AM288" s="1"/>
      <c r="AN288" s="1"/>
    </row>
    <row r="289">
      <c r="A289" s="1138"/>
      <c r="B289" s="310"/>
      <c r="C289" s="888"/>
      <c r="D289" s="310"/>
      <c r="E289" s="1140"/>
      <c r="F289" s="932"/>
      <c r="G289" s="355"/>
      <c r="H289" s="310"/>
      <c r="I289" s="931"/>
      <c r="J289" s="1143"/>
      <c r="K289" s="691"/>
      <c r="L289" s="691"/>
      <c r="M289" s="691"/>
      <c r="N289" s="691"/>
      <c r="O289" s="691"/>
      <c r="P289" s="691"/>
      <c r="Q289" s="691"/>
      <c r="R289" s="888"/>
      <c r="S289" s="888"/>
      <c r="T289" s="1154"/>
      <c r="U289" s="888"/>
      <c r="V289" s="888"/>
      <c r="W289" s="310"/>
      <c r="X289" s="691"/>
      <c r="Y289" s="1"/>
      <c r="Z289" s="1"/>
      <c r="AA289" s="1"/>
      <c r="AB289" s="1"/>
      <c r="AC289" s="1"/>
      <c r="AD289" s="1"/>
      <c r="AE289" s="1"/>
      <c r="AF289" s="1"/>
      <c r="AG289" s="1"/>
      <c r="AH289" s="1"/>
      <c r="AI289" s="1"/>
      <c r="AJ289" s="1"/>
      <c r="AK289" s="1"/>
      <c r="AL289" s="1"/>
      <c r="AM289" s="1"/>
      <c r="AN289" s="1"/>
    </row>
    <row r="290">
      <c r="A290" s="1138"/>
      <c r="B290" s="310"/>
      <c r="C290" s="888"/>
      <c r="D290" s="310"/>
      <c r="E290" s="1140"/>
      <c r="F290" s="932"/>
      <c r="G290" s="355"/>
      <c r="H290" s="310"/>
      <c r="I290" s="931"/>
      <c r="J290" s="1143"/>
      <c r="K290" s="691"/>
      <c r="L290" s="691"/>
      <c r="M290" s="691"/>
      <c r="N290" s="691"/>
      <c r="O290" s="691"/>
      <c r="P290" s="691"/>
      <c r="Q290" s="691"/>
      <c r="R290" s="888"/>
      <c r="S290" s="888"/>
      <c r="T290" s="1154"/>
      <c r="U290" s="888"/>
      <c r="V290" s="888"/>
      <c r="W290" s="310"/>
      <c r="X290" s="691"/>
      <c r="Y290" s="1"/>
      <c r="Z290" s="1"/>
      <c r="AA290" s="1"/>
      <c r="AB290" s="1"/>
      <c r="AC290" s="1"/>
      <c r="AD290" s="1"/>
      <c r="AE290" s="1"/>
      <c r="AF290" s="1"/>
      <c r="AG290" s="1"/>
      <c r="AH290" s="1"/>
      <c r="AI290" s="1"/>
      <c r="AJ290" s="1"/>
      <c r="AK290" s="1"/>
      <c r="AL290" s="1"/>
      <c r="AM290" s="1"/>
      <c r="AN290" s="1"/>
    </row>
    <row r="291">
      <c r="A291" s="1138"/>
      <c r="B291" s="310"/>
      <c r="C291" s="888"/>
      <c r="D291" s="310"/>
      <c r="E291" s="1140"/>
      <c r="F291" s="932"/>
      <c r="G291" s="355"/>
      <c r="H291" s="310"/>
      <c r="I291" s="931"/>
      <c r="J291" s="1143"/>
      <c r="K291" s="691"/>
      <c r="L291" s="691"/>
      <c r="M291" s="691"/>
      <c r="N291" s="691"/>
      <c r="O291" s="691"/>
      <c r="P291" s="691"/>
      <c r="Q291" s="691"/>
      <c r="R291" s="888"/>
      <c r="S291" s="888"/>
      <c r="T291" s="1154"/>
      <c r="U291" s="888"/>
      <c r="V291" s="888"/>
      <c r="W291" s="310"/>
      <c r="X291" s="691"/>
      <c r="Y291" s="1"/>
      <c r="Z291" s="1"/>
      <c r="AA291" s="1"/>
      <c r="AB291" s="1"/>
      <c r="AC291" s="1"/>
      <c r="AD291" s="1"/>
      <c r="AE291" s="1"/>
      <c r="AF291" s="1"/>
      <c r="AG291" s="1"/>
      <c r="AH291" s="1"/>
      <c r="AI291" s="1"/>
      <c r="AJ291" s="1"/>
      <c r="AK291" s="1"/>
      <c r="AL291" s="1"/>
      <c r="AM291" s="1"/>
      <c r="AN291" s="1"/>
    </row>
    <row r="292">
      <c r="A292" s="1138"/>
      <c r="B292" s="310"/>
      <c r="C292" s="888"/>
      <c r="D292" s="310"/>
      <c r="E292" s="1140"/>
      <c r="F292" s="932"/>
      <c r="G292" s="355"/>
      <c r="H292" s="310"/>
      <c r="I292" s="931"/>
      <c r="J292" s="1143"/>
      <c r="K292" s="691"/>
      <c r="L292" s="691"/>
      <c r="M292" s="691"/>
      <c r="N292" s="691"/>
      <c r="O292" s="691"/>
      <c r="P292" s="691"/>
      <c r="Q292" s="691"/>
      <c r="R292" s="888"/>
      <c r="S292" s="888"/>
      <c r="T292" s="1154"/>
      <c r="U292" s="888"/>
      <c r="V292" s="888"/>
      <c r="W292" s="310"/>
      <c r="X292" s="691"/>
      <c r="Y292" s="1"/>
      <c r="Z292" s="1"/>
      <c r="AA292" s="1"/>
      <c r="AB292" s="1"/>
      <c r="AC292" s="1"/>
      <c r="AD292" s="1"/>
      <c r="AE292" s="1"/>
      <c r="AF292" s="1"/>
      <c r="AG292" s="1"/>
      <c r="AH292" s="1"/>
      <c r="AI292" s="1"/>
      <c r="AJ292" s="1"/>
      <c r="AK292" s="1"/>
      <c r="AL292" s="1"/>
      <c r="AM292" s="1"/>
      <c r="AN292" s="1"/>
    </row>
    <row r="293">
      <c r="A293" s="1138"/>
      <c r="B293" s="310"/>
      <c r="C293" s="888"/>
      <c r="D293" s="310"/>
      <c r="E293" s="1140"/>
      <c r="F293" s="932"/>
      <c r="G293" s="355"/>
      <c r="H293" s="310"/>
      <c r="I293" s="931"/>
      <c r="J293" s="1143"/>
      <c r="K293" s="691"/>
      <c r="L293" s="691"/>
      <c r="M293" s="691"/>
      <c r="N293" s="691"/>
      <c r="O293" s="691"/>
      <c r="P293" s="691"/>
      <c r="Q293" s="691"/>
      <c r="R293" s="888"/>
      <c r="S293" s="888"/>
      <c r="T293" s="1154"/>
      <c r="U293" s="888"/>
      <c r="V293" s="888"/>
      <c r="W293" s="310"/>
      <c r="X293" s="691"/>
      <c r="Y293" s="1"/>
      <c r="Z293" s="1"/>
      <c r="AA293" s="1"/>
      <c r="AB293" s="1"/>
      <c r="AC293" s="1"/>
      <c r="AD293" s="1"/>
      <c r="AE293" s="1"/>
      <c r="AF293" s="1"/>
      <c r="AG293" s="1"/>
      <c r="AH293" s="1"/>
      <c r="AI293" s="1"/>
      <c r="AJ293" s="1"/>
      <c r="AK293" s="1"/>
      <c r="AL293" s="1"/>
      <c r="AM293" s="1"/>
      <c r="AN293" s="1"/>
    </row>
    <row r="294">
      <c r="A294" s="1138"/>
      <c r="B294" s="310"/>
      <c r="C294" s="888"/>
      <c r="D294" s="310"/>
      <c r="E294" s="1140"/>
      <c r="F294" s="932"/>
      <c r="G294" s="355"/>
      <c r="H294" s="310"/>
      <c r="I294" s="931"/>
      <c r="J294" s="1143"/>
      <c r="K294" s="691"/>
      <c r="L294" s="691"/>
      <c r="M294" s="691"/>
      <c r="N294" s="691"/>
      <c r="O294" s="691"/>
      <c r="P294" s="691"/>
      <c r="Q294" s="691"/>
      <c r="R294" s="888"/>
      <c r="S294" s="888"/>
      <c r="T294" s="1154"/>
      <c r="U294" s="888"/>
      <c r="V294" s="888"/>
      <c r="W294" s="310"/>
      <c r="X294" s="691"/>
      <c r="Y294" s="1"/>
      <c r="Z294" s="1"/>
      <c r="AA294" s="1"/>
      <c r="AB294" s="1"/>
      <c r="AC294" s="1"/>
      <c r="AD294" s="1"/>
      <c r="AE294" s="1"/>
      <c r="AF294" s="1"/>
      <c r="AG294" s="1"/>
      <c r="AH294" s="1"/>
      <c r="AI294" s="1"/>
      <c r="AJ294" s="1"/>
      <c r="AK294" s="1"/>
      <c r="AL294" s="1"/>
      <c r="AM294" s="1"/>
      <c r="AN294" s="1"/>
    </row>
    <row r="295">
      <c r="A295" s="1138"/>
      <c r="B295" s="310"/>
      <c r="C295" s="888"/>
      <c r="D295" s="310"/>
      <c r="E295" s="1140"/>
      <c r="F295" s="932"/>
      <c r="G295" s="355"/>
      <c r="H295" s="310"/>
      <c r="I295" s="931"/>
      <c r="J295" s="1143"/>
      <c r="K295" s="691"/>
      <c r="L295" s="691"/>
      <c r="M295" s="691"/>
      <c r="N295" s="691"/>
      <c r="O295" s="691"/>
      <c r="P295" s="691"/>
      <c r="Q295" s="691"/>
      <c r="R295" s="888"/>
      <c r="S295" s="888"/>
      <c r="T295" s="1154"/>
      <c r="U295" s="888"/>
      <c r="V295" s="888"/>
      <c r="W295" s="310"/>
      <c r="X295" s="691"/>
      <c r="Y295" s="1"/>
      <c r="Z295" s="1"/>
      <c r="AA295" s="1"/>
      <c r="AB295" s="1"/>
      <c r="AC295" s="1"/>
      <c r="AD295" s="1"/>
      <c r="AE295" s="1"/>
      <c r="AF295" s="1"/>
      <c r="AG295" s="1"/>
      <c r="AH295" s="1"/>
      <c r="AI295" s="1"/>
      <c r="AJ295" s="1"/>
      <c r="AK295" s="1"/>
      <c r="AL295" s="1"/>
      <c r="AM295" s="1"/>
      <c r="AN295" s="1"/>
    </row>
    <row r="296">
      <c r="A296" s="1138"/>
      <c r="B296" s="310"/>
      <c r="C296" s="888"/>
      <c r="D296" s="310"/>
      <c r="E296" s="1140"/>
      <c r="F296" s="932"/>
      <c r="G296" s="355"/>
      <c r="H296" s="310"/>
      <c r="I296" s="931"/>
      <c r="J296" s="1143"/>
      <c r="K296" s="691"/>
      <c r="L296" s="691"/>
      <c r="M296" s="691"/>
      <c r="N296" s="691"/>
      <c r="O296" s="691"/>
      <c r="P296" s="691"/>
      <c r="Q296" s="691"/>
      <c r="R296" s="888"/>
      <c r="S296" s="888"/>
      <c r="T296" s="1154"/>
      <c r="U296" s="888"/>
      <c r="V296" s="888"/>
      <c r="W296" s="310"/>
      <c r="X296" s="691"/>
      <c r="Y296" s="1"/>
      <c r="Z296" s="1"/>
      <c r="AA296" s="1"/>
      <c r="AB296" s="1"/>
      <c r="AC296" s="1"/>
      <c r="AD296" s="1"/>
      <c r="AE296" s="1"/>
      <c r="AF296" s="1"/>
      <c r="AG296" s="1"/>
      <c r="AH296" s="1"/>
      <c r="AI296" s="1"/>
      <c r="AJ296" s="1"/>
      <c r="AK296" s="1"/>
      <c r="AL296" s="1"/>
      <c r="AM296" s="1"/>
      <c r="AN296" s="1"/>
    </row>
    <row r="297">
      <c r="A297" s="1138"/>
      <c r="B297" s="310"/>
      <c r="C297" s="888"/>
      <c r="D297" s="310"/>
      <c r="E297" s="1140"/>
      <c r="F297" s="932"/>
      <c r="G297" s="355"/>
      <c r="H297" s="310"/>
      <c r="I297" s="931"/>
      <c r="J297" s="1143"/>
      <c r="K297" s="691"/>
      <c r="L297" s="691"/>
      <c r="M297" s="691"/>
      <c r="N297" s="691"/>
      <c r="O297" s="691"/>
      <c r="P297" s="691"/>
      <c r="Q297" s="691"/>
      <c r="R297" s="888"/>
      <c r="S297" s="888"/>
      <c r="T297" s="1154"/>
      <c r="U297" s="888"/>
      <c r="V297" s="888"/>
      <c r="W297" s="310"/>
      <c r="X297" s="691"/>
      <c r="Y297" s="1"/>
      <c r="Z297" s="1"/>
      <c r="AA297" s="1"/>
      <c r="AB297" s="1"/>
      <c r="AC297" s="1"/>
      <c r="AD297" s="1"/>
      <c r="AE297" s="1"/>
      <c r="AF297" s="1"/>
      <c r="AG297" s="1"/>
      <c r="AH297" s="1"/>
      <c r="AI297" s="1"/>
      <c r="AJ297" s="1"/>
      <c r="AK297" s="1"/>
      <c r="AL297" s="1"/>
      <c r="AM297" s="1"/>
      <c r="AN297" s="1"/>
    </row>
    <row r="298">
      <c r="A298" s="1138"/>
      <c r="B298" s="310"/>
      <c r="C298" s="888"/>
      <c r="D298" s="310"/>
      <c r="E298" s="1140"/>
      <c r="F298" s="932"/>
      <c r="G298" s="355"/>
      <c r="H298" s="310"/>
      <c r="I298" s="931"/>
      <c r="J298" s="1143"/>
      <c r="K298" s="691"/>
      <c r="L298" s="691"/>
      <c r="M298" s="691"/>
      <c r="N298" s="691"/>
      <c r="O298" s="691"/>
      <c r="P298" s="691"/>
      <c r="Q298" s="691"/>
      <c r="R298" s="888"/>
      <c r="S298" s="888"/>
      <c r="T298" s="1154"/>
      <c r="U298" s="888"/>
      <c r="V298" s="888"/>
      <c r="W298" s="310"/>
      <c r="X298" s="691"/>
      <c r="Y298" s="1"/>
      <c r="Z298" s="1"/>
      <c r="AA298" s="1"/>
      <c r="AB298" s="1"/>
      <c r="AC298" s="1"/>
      <c r="AD298" s="1"/>
      <c r="AE298" s="1"/>
      <c r="AF298" s="1"/>
      <c r="AG298" s="1"/>
      <c r="AH298" s="1"/>
      <c r="AI298" s="1"/>
      <c r="AJ298" s="1"/>
      <c r="AK298" s="1"/>
      <c r="AL298" s="1"/>
      <c r="AM298" s="1"/>
      <c r="AN298" s="1"/>
    </row>
    <row r="299">
      <c r="A299" s="1138"/>
      <c r="B299" s="310"/>
      <c r="C299" s="888"/>
      <c r="D299" s="310"/>
      <c r="E299" s="1140"/>
      <c r="F299" s="932"/>
      <c r="G299" s="355"/>
      <c r="H299" s="310"/>
      <c r="I299" s="931"/>
      <c r="J299" s="1143"/>
      <c r="K299" s="691"/>
      <c r="L299" s="691"/>
      <c r="M299" s="691"/>
      <c r="N299" s="691"/>
      <c r="O299" s="691"/>
      <c r="P299" s="691"/>
      <c r="Q299" s="691"/>
      <c r="R299" s="888"/>
      <c r="S299" s="888"/>
      <c r="T299" s="1154"/>
      <c r="U299" s="888"/>
      <c r="V299" s="888"/>
      <c r="W299" s="310"/>
      <c r="X299" s="691"/>
      <c r="Y299" s="1"/>
      <c r="Z299" s="1"/>
      <c r="AA299" s="1"/>
      <c r="AB299" s="1"/>
      <c r="AC299" s="1"/>
      <c r="AD299" s="1"/>
      <c r="AE299" s="1"/>
      <c r="AF299" s="1"/>
      <c r="AG299" s="1"/>
      <c r="AH299" s="1"/>
      <c r="AI299" s="1"/>
      <c r="AJ299" s="1"/>
      <c r="AK299" s="1"/>
      <c r="AL299" s="1"/>
      <c r="AM299" s="1"/>
      <c r="AN299" s="1"/>
    </row>
    <row r="300">
      <c r="A300" s="1138"/>
      <c r="B300" s="310"/>
      <c r="C300" s="888"/>
      <c r="D300" s="310"/>
      <c r="E300" s="1140"/>
      <c r="F300" s="932"/>
      <c r="G300" s="355"/>
      <c r="H300" s="310"/>
      <c r="I300" s="931"/>
      <c r="J300" s="1143"/>
      <c r="K300" s="691"/>
      <c r="L300" s="691"/>
      <c r="M300" s="691"/>
      <c r="N300" s="691"/>
      <c r="O300" s="691"/>
      <c r="P300" s="691"/>
      <c r="Q300" s="691"/>
      <c r="R300" s="888"/>
      <c r="S300" s="888"/>
      <c r="T300" s="1154"/>
      <c r="U300" s="888"/>
      <c r="V300" s="888"/>
      <c r="W300" s="310"/>
      <c r="X300" s="691"/>
      <c r="Y300" s="1"/>
      <c r="Z300" s="1"/>
      <c r="AA300" s="1"/>
      <c r="AB300" s="1"/>
      <c r="AC300" s="1"/>
      <c r="AD300" s="1"/>
      <c r="AE300" s="1"/>
      <c r="AF300" s="1"/>
      <c r="AG300" s="1"/>
      <c r="AH300" s="1"/>
      <c r="AI300" s="1"/>
      <c r="AJ300" s="1"/>
      <c r="AK300" s="1"/>
      <c r="AL300" s="1"/>
      <c r="AM300" s="1"/>
      <c r="AN300" s="1"/>
    </row>
    <row r="301">
      <c r="A301" s="1138"/>
      <c r="B301" s="310"/>
      <c r="C301" s="888"/>
      <c r="D301" s="310"/>
      <c r="E301" s="1140"/>
      <c r="F301" s="932"/>
      <c r="G301" s="355"/>
      <c r="H301" s="310"/>
      <c r="I301" s="931"/>
      <c r="J301" s="1143"/>
      <c r="K301" s="691"/>
      <c r="L301" s="691"/>
      <c r="M301" s="691"/>
      <c r="N301" s="691"/>
      <c r="O301" s="691"/>
      <c r="P301" s="691"/>
      <c r="Q301" s="691"/>
      <c r="R301" s="888"/>
      <c r="S301" s="888"/>
      <c r="T301" s="1154"/>
      <c r="U301" s="888"/>
      <c r="V301" s="888"/>
      <c r="W301" s="310"/>
      <c r="X301" s="691"/>
      <c r="Y301" s="1"/>
      <c r="Z301" s="1"/>
      <c r="AA301" s="1"/>
      <c r="AB301" s="1"/>
      <c r="AC301" s="1"/>
      <c r="AD301" s="1"/>
      <c r="AE301" s="1"/>
      <c r="AF301" s="1"/>
      <c r="AG301" s="1"/>
      <c r="AH301" s="1"/>
      <c r="AI301" s="1"/>
      <c r="AJ301" s="1"/>
      <c r="AK301" s="1"/>
      <c r="AL301" s="1"/>
      <c r="AM301" s="1"/>
      <c r="AN301" s="1"/>
    </row>
    <row r="302">
      <c r="A302" s="1138"/>
      <c r="B302" s="310"/>
      <c r="C302" s="888"/>
      <c r="D302" s="310"/>
      <c r="E302" s="1140"/>
      <c r="F302" s="932"/>
      <c r="G302" s="355"/>
      <c r="H302" s="310"/>
      <c r="I302" s="931"/>
      <c r="J302" s="1143"/>
      <c r="K302" s="691"/>
      <c r="L302" s="691"/>
      <c r="M302" s="691"/>
      <c r="N302" s="691"/>
      <c r="O302" s="691"/>
      <c r="P302" s="691"/>
      <c r="Q302" s="691"/>
      <c r="R302" s="888"/>
      <c r="S302" s="888"/>
      <c r="T302" s="1154"/>
      <c r="U302" s="888"/>
      <c r="V302" s="888"/>
      <c r="W302" s="310"/>
      <c r="X302" s="691"/>
      <c r="Y302" s="1"/>
      <c r="Z302" s="1"/>
      <c r="AA302" s="1"/>
      <c r="AB302" s="1"/>
      <c r="AC302" s="1"/>
      <c r="AD302" s="1"/>
      <c r="AE302" s="1"/>
      <c r="AF302" s="1"/>
      <c r="AG302" s="1"/>
      <c r="AH302" s="1"/>
      <c r="AI302" s="1"/>
      <c r="AJ302" s="1"/>
      <c r="AK302" s="1"/>
      <c r="AL302" s="1"/>
      <c r="AM302" s="1"/>
      <c r="AN302" s="1"/>
    </row>
    <row r="303">
      <c r="A303" s="1138"/>
      <c r="B303" s="310"/>
      <c r="C303" s="888"/>
      <c r="D303" s="310"/>
      <c r="E303" s="1140"/>
      <c r="F303" s="932"/>
      <c r="G303" s="355"/>
      <c r="H303" s="310"/>
      <c r="I303" s="931"/>
      <c r="J303" s="1143"/>
      <c r="K303" s="691"/>
      <c r="L303" s="691"/>
      <c r="M303" s="691"/>
      <c r="N303" s="691"/>
      <c r="O303" s="691"/>
      <c r="P303" s="691"/>
      <c r="Q303" s="691"/>
      <c r="R303" s="888"/>
      <c r="S303" s="888"/>
      <c r="T303" s="1154"/>
      <c r="U303" s="888"/>
      <c r="V303" s="888"/>
      <c r="W303" s="310"/>
      <c r="X303" s="691"/>
      <c r="Y303" s="1"/>
      <c r="Z303" s="1"/>
      <c r="AA303" s="1"/>
      <c r="AB303" s="1"/>
      <c r="AC303" s="1"/>
      <c r="AD303" s="1"/>
      <c r="AE303" s="1"/>
      <c r="AF303" s="1"/>
      <c r="AG303" s="1"/>
      <c r="AH303" s="1"/>
      <c r="AI303" s="1"/>
      <c r="AJ303" s="1"/>
      <c r="AK303" s="1"/>
      <c r="AL303" s="1"/>
      <c r="AM303" s="1"/>
      <c r="AN303" s="1"/>
    </row>
    <row r="304">
      <c r="A304" s="1138"/>
      <c r="B304" s="310"/>
      <c r="C304" s="888"/>
      <c r="D304" s="310"/>
      <c r="E304" s="1140"/>
      <c r="F304" s="932"/>
      <c r="G304" s="355"/>
      <c r="H304" s="310"/>
      <c r="I304" s="931"/>
      <c r="J304" s="1143"/>
      <c r="K304" s="691"/>
      <c r="L304" s="691"/>
      <c r="M304" s="691"/>
      <c r="N304" s="691"/>
      <c r="O304" s="691"/>
      <c r="P304" s="691"/>
      <c r="Q304" s="691"/>
      <c r="R304" s="888"/>
      <c r="S304" s="888"/>
      <c r="T304" s="1154"/>
      <c r="U304" s="888"/>
      <c r="V304" s="888"/>
      <c r="W304" s="310"/>
      <c r="X304" s="691"/>
      <c r="Y304" s="1"/>
      <c r="Z304" s="1"/>
      <c r="AA304" s="1"/>
      <c r="AB304" s="1"/>
      <c r="AC304" s="1"/>
      <c r="AD304" s="1"/>
      <c r="AE304" s="1"/>
      <c r="AF304" s="1"/>
      <c r="AG304" s="1"/>
      <c r="AH304" s="1"/>
      <c r="AI304" s="1"/>
      <c r="AJ304" s="1"/>
      <c r="AK304" s="1"/>
      <c r="AL304" s="1"/>
      <c r="AM304" s="1"/>
      <c r="AN304" s="1"/>
    </row>
    <row r="305">
      <c r="A305" s="1138"/>
      <c r="B305" s="310"/>
      <c r="C305" s="888"/>
      <c r="D305" s="310"/>
      <c r="E305" s="1140"/>
      <c r="F305" s="932"/>
      <c r="G305" s="355"/>
      <c r="H305" s="310"/>
      <c r="I305" s="931"/>
      <c r="J305" s="1143"/>
      <c r="K305" s="691"/>
      <c r="L305" s="691"/>
      <c r="M305" s="691"/>
      <c r="N305" s="691"/>
      <c r="O305" s="691"/>
      <c r="P305" s="691"/>
      <c r="Q305" s="691"/>
      <c r="R305" s="888"/>
      <c r="S305" s="888"/>
      <c r="T305" s="1154"/>
      <c r="U305" s="888"/>
      <c r="V305" s="888"/>
      <c r="W305" s="310"/>
      <c r="X305" s="691"/>
      <c r="Y305" s="1"/>
      <c r="Z305" s="1"/>
      <c r="AA305" s="1"/>
      <c r="AB305" s="1"/>
      <c r="AC305" s="1"/>
      <c r="AD305" s="1"/>
      <c r="AE305" s="1"/>
      <c r="AF305" s="1"/>
      <c r="AG305" s="1"/>
      <c r="AH305" s="1"/>
      <c r="AI305" s="1"/>
      <c r="AJ305" s="1"/>
      <c r="AK305" s="1"/>
      <c r="AL305" s="1"/>
      <c r="AM305" s="1"/>
      <c r="AN305" s="1"/>
    </row>
    <row r="306">
      <c r="A306" s="1138"/>
      <c r="B306" s="310"/>
      <c r="C306" s="888"/>
      <c r="D306" s="310"/>
      <c r="E306" s="1140"/>
      <c r="F306" s="932"/>
      <c r="G306" s="355"/>
      <c r="H306" s="310"/>
      <c r="I306" s="931"/>
      <c r="J306" s="1143"/>
      <c r="K306" s="691"/>
      <c r="L306" s="691"/>
      <c r="M306" s="691"/>
      <c r="N306" s="691"/>
      <c r="O306" s="691"/>
      <c r="P306" s="691"/>
      <c r="Q306" s="691"/>
      <c r="R306" s="888"/>
      <c r="S306" s="888"/>
      <c r="T306" s="1154"/>
      <c r="U306" s="888"/>
      <c r="V306" s="888"/>
      <c r="W306" s="310"/>
      <c r="X306" s="691"/>
      <c r="Y306" s="1"/>
      <c r="Z306" s="1"/>
      <c r="AA306" s="1"/>
      <c r="AB306" s="1"/>
      <c r="AC306" s="1"/>
      <c r="AD306" s="1"/>
      <c r="AE306" s="1"/>
      <c r="AF306" s="1"/>
      <c r="AG306" s="1"/>
      <c r="AH306" s="1"/>
      <c r="AI306" s="1"/>
      <c r="AJ306" s="1"/>
      <c r="AK306" s="1"/>
      <c r="AL306" s="1"/>
      <c r="AM306" s="1"/>
      <c r="AN306" s="1"/>
    </row>
    <row r="307">
      <c r="A307" s="1138"/>
      <c r="B307" s="310"/>
      <c r="C307" s="888"/>
      <c r="D307" s="310"/>
      <c r="E307" s="1140"/>
      <c r="F307" s="932"/>
      <c r="G307" s="355"/>
      <c r="H307" s="310"/>
      <c r="I307" s="931"/>
      <c r="J307" s="1143"/>
      <c r="K307" s="691"/>
      <c r="L307" s="691"/>
      <c r="M307" s="691"/>
      <c r="N307" s="691"/>
      <c r="O307" s="691"/>
      <c r="P307" s="691"/>
      <c r="Q307" s="691"/>
      <c r="R307" s="888"/>
      <c r="S307" s="888"/>
      <c r="T307" s="1154"/>
      <c r="U307" s="888"/>
      <c r="V307" s="888"/>
      <c r="W307" s="310"/>
      <c r="X307" s="691"/>
      <c r="Y307" s="1"/>
      <c r="Z307" s="1"/>
      <c r="AA307" s="1"/>
      <c r="AB307" s="1"/>
      <c r="AC307" s="1"/>
      <c r="AD307" s="1"/>
      <c r="AE307" s="1"/>
      <c r="AF307" s="1"/>
      <c r="AG307" s="1"/>
      <c r="AH307" s="1"/>
      <c r="AI307" s="1"/>
      <c r="AJ307" s="1"/>
      <c r="AK307" s="1"/>
      <c r="AL307" s="1"/>
      <c r="AM307" s="1"/>
      <c r="AN307" s="1"/>
    </row>
    <row r="308">
      <c r="A308" s="1138"/>
      <c r="B308" s="310"/>
      <c r="C308" s="888"/>
      <c r="D308" s="310"/>
      <c r="E308" s="1140"/>
      <c r="F308" s="932"/>
      <c r="G308" s="355"/>
      <c r="H308" s="310"/>
      <c r="I308" s="931"/>
      <c r="J308" s="1143"/>
      <c r="K308" s="691"/>
      <c r="L308" s="691"/>
      <c r="M308" s="691"/>
      <c r="N308" s="691"/>
      <c r="O308" s="691"/>
      <c r="P308" s="691"/>
      <c r="Q308" s="691"/>
      <c r="R308" s="888"/>
      <c r="S308" s="888"/>
      <c r="T308" s="1154"/>
      <c r="U308" s="888"/>
      <c r="V308" s="888"/>
      <c r="W308" s="310"/>
      <c r="X308" s="691"/>
      <c r="Y308" s="1"/>
      <c r="Z308" s="1"/>
      <c r="AA308" s="1"/>
      <c r="AB308" s="1"/>
      <c r="AC308" s="1"/>
      <c r="AD308" s="1"/>
      <c r="AE308" s="1"/>
      <c r="AF308" s="1"/>
      <c r="AG308" s="1"/>
      <c r="AH308" s="1"/>
      <c r="AI308" s="1"/>
      <c r="AJ308" s="1"/>
      <c r="AK308" s="1"/>
      <c r="AL308" s="1"/>
      <c r="AM308" s="1"/>
      <c r="AN308" s="1"/>
    </row>
    <row r="309">
      <c r="A309" s="1138"/>
      <c r="B309" s="310"/>
      <c r="C309" s="888"/>
      <c r="D309" s="310"/>
      <c r="E309" s="1140"/>
      <c r="F309" s="932"/>
      <c r="G309" s="355"/>
      <c r="H309" s="310"/>
      <c r="I309" s="931"/>
      <c r="J309" s="1143"/>
      <c r="K309" s="691"/>
      <c r="L309" s="691"/>
      <c r="M309" s="691"/>
      <c r="N309" s="691"/>
      <c r="O309" s="691"/>
      <c r="P309" s="691"/>
      <c r="Q309" s="691"/>
      <c r="R309" s="888"/>
      <c r="S309" s="888"/>
      <c r="T309" s="1154"/>
      <c r="U309" s="888"/>
      <c r="V309" s="888"/>
      <c r="W309" s="310"/>
      <c r="X309" s="691"/>
      <c r="Y309" s="1"/>
      <c r="Z309" s="1"/>
      <c r="AA309" s="1"/>
      <c r="AB309" s="1"/>
      <c r="AC309" s="1"/>
      <c r="AD309" s="1"/>
      <c r="AE309" s="1"/>
      <c r="AF309" s="1"/>
      <c r="AG309" s="1"/>
      <c r="AH309" s="1"/>
      <c r="AI309" s="1"/>
      <c r="AJ309" s="1"/>
      <c r="AK309" s="1"/>
      <c r="AL309" s="1"/>
      <c r="AM309" s="1"/>
      <c r="AN309" s="1"/>
    </row>
    <row r="310">
      <c r="A310" s="1138"/>
      <c r="B310" s="310"/>
      <c r="C310" s="888"/>
      <c r="D310" s="310"/>
      <c r="E310" s="1140"/>
      <c r="F310" s="932"/>
      <c r="G310" s="355"/>
      <c r="H310" s="310"/>
      <c r="I310" s="931"/>
      <c r="J310" s="1143"/>
      <c r="K310" s="691"/>
      <c r="L310" s="691"/>
      <c r="M310" s="691"/>
      <c r="N310" s="691"/>
      <c r="O310" s="691"/>
      <c r="P310" s="691"/>
      <c r="Q310" s="691"/>
      <c r="R310" s="888"/>
      <c r="S310" s="888"/>
      <c r="T310" s="1154"/>
      <c r="U310" s="888"/>
      <c r="V310" s="888"/>
      <c r="W310" s="310"/>
      <c r="X310" s="691"/>
      <c r="Y310" s="1"/>
      <c r="Z310" s="1"/>
      <c r="AA310" s="1"/>
      <c r="AB310" s="1"/>
      <c r="AC310" s="1"/>
      <c r="AD310" s="1"/>
      <c r="AE310" s="1"/>
      <c r="AF310" s="1"/>
      <c r="AG310" s="1"/>
      <c r="AH310" s="1"/>
      <c r="AI310" s="1"/>
      <c r="AJ310" s="1"/>
      <c r="AK310" s="1"/>
      <c r="AL310" s="1"/>
      <c r="AM310" s="1"/>
      <c r="AN310" s="1"/>
    </row>
    <row r="311">
      <c r="A311" s="1138"/>
      <c r="B311" s="310"/>
      <c r="C311" s="888"/>
      <c r="D311" s="310"/>
      <c r="E311" s="1140"/>
      <c r="F311" s="932"/>
      <c r="G311" s="355"/>
      <c r="H311" s="310"/>
      <c r="I311" s="931"/>
      <c r="J311" s="1143"/>
      <c r="K311" s="691"/>
      <c r="L311" s="691"/>
      <c r="M311" s="691"/>
      <c r="N311" s="691"/>
      <c r="O311" s="691"/>
      <c r="P311" s="691"/>
      <c r="Q311" s="691"/>
      <c r="R311" s="888"/>
      <c r="S311" s="888"/>
      <c r="T311" s="1154"/>
      <c r="U311" s="888"/>
      <c r="V311" s="888"/>
      <c r="W311" s="310"/>
      <c r="X311" s="691"/>
      <c r="Y311" s="1"/>
      <c r="Z311" s="1"/>
      <c r="AA311" s="1"/>
      <c r="AB311" s="1"/>
      <c r="AC311" s="1"/>
      <c r="AD311" s="1"/>
      <c r="AE311" s="1"/>
      <c r="AF311" s="1"/>
      <c r="AG311" s="1"/>
      <c r="AH311" s="1"/>
      <c r="AI311" s="1"/>
      <c r="AJ311" s="1"/>
      <c r="AK311" s="1"/>
      <c r="AL311" s="1"/>
      <c r="AM311" s="1"/>
      <c r="AN311" s="1"/>
    </row>
    <row r="312">
      <c r="A312" s="1138"/>
      <c r="B312" s="310"/>
      <c r="C312" s="888"/>
      <c r="D312" s="310"/>
      <c r="E312" s="1140"/>
      <c r="F312" s="932"/>
      <c r="G312" s="355"/>
      <c r="H312" s="310"/>
      <c r="I312" s="931"/>
      <c r="J312" s="1143"/>
      <c r="K312" s="691"/>
      <c r="L312" s="691"/>
      <c r="M312" s="691"/>
      <c r="N312" s="691"/>
      <c r="O312" s="691"/>
      <c r="P312" s="691"/>
      <c r="Q312" s="691"/>
      <c r="R312" s="888"/>
      <c r="S312" s="888"/>
      <c r="T312" s="1154"/>
      <c r="U312" s="888"/>
      <c r="V312" s="888"/>
      <c r="W312" s="310"/>
      <c r="X312" s="691"/>
      <c r="Y312" s="1"/>
      <c r="Z312" s="1"/>
      <c r="AA312" s="1"/>
      <c r="AB312" s="1"/>
      <c r="AC312" s="1"/>
      <c r="AD312" s="1"/>
      <c r="AE312" s="1"/>
      <c r="AF312" s="1"/>
      <c r="AG312" s="1"/>
      <c r="AH312" s="1"/>
      <c r="AI312" s="1"/>
      <c r="AJ312" s="1"/>
      <c r="AK312" s="1"/>
      <c r="AL312" s="1"/>
      <c r="AM312" s="1"/>
      <c r="AN312" s="1"/>
    </row>
    <row r="313">
      <c r="A313" s="1138"/>
      <c r="B313" s="310"/>
      <c r="C313" s="888"/>
      <c r="D313" s="310"/>
      <c r="E313" s="1140"/>
      <c r="F313" s="932"/>
      <c r="G313" s="355"/>
      <c r="H313" s="310"/>
      <c r="I313" s="931"/>
      <c r="J313" s="1143"/>
      <c r="K313" s="691"/>
      <c r="L313" s="691"/>
      <c r="M313" s="691"/>
      <c r="N313" s="691"/>
      <c r="O313" s="691"/>
      <c r="P313" s="691"/>
      <c r="Q313" s="691"/>
      <c r="R313" s="888"/>
      <c r="S313" s="888"/>
      <c r="T313" s="1154"/>
      <c r="U313" s="888"/>
      <c r="V313" s="888"/>
      <c r="W313" s="310"/>
      <c r="X313" s="691"/>
      <c r="Y313" s="1"/>
      <c r="Z313" s="1"/>
      <c r="AA313" s="1"/>
      <c r="AB313" s="1"/>
      <c r="AC313" s="1"/>
      <c r="AD313" s="1"/>
      <c r="AE313" s="1"/>
      <c r="AF313" s="1"/>
      <c r="AG313" s="1"/>
      <c r="AH313" s="1"/>
      <c r="AI313" s="1"/>
      <c r="AJ313" s="1"/>
      <c r="AK313" s="1"/>
      <c r="AL313" s="1"/>
      <c r="AM313" s="1"/>
      <c r="AN313" s="1"/>
    </row>
    <row r="314">
      <c r="A314" s="1138"/>
      <c r="B314" s="310"/>
      <c r="C314" s="888"/>
      <c r="D314" s="310"/>
      <c r="E314" s="1140"/>
      <c r="F314" s="932"/>
      <c r="G314" s="355"/>
      <c r="H314" s="310"/>
      <c r="I314" s="931"/>
      <c r="J314" s="1143"/>
      <c r="K314" s="691"/>
      <c r="L314" s="691"/>
      <c r="M314" s="691"/>
      <c r="N314" s="691"/>
      <c r="O314" s="691"/>
      <c r="P314" s="691"/>
      <c r="Q314" s="691"/>
      <c r="R314" s="888"/>
      <c r="S314" s="888"/>
      <c r="T314" s="1154"/>
      <c r="U314" s="888"/>
      <c r="V314" s="888"/>
      <c r="W314" s="310"/>
      <c r="X314" s="691"/>
      <c r="Y314" s="1"/>
      <c r="Z314" s="1"/>
      <c r="AA314" s="1"/>
      <c r="AB314" s="1"/>
      <c r="AC314" s="1"/>
      <c r="AD314" s="1"/>
      <c r="AE314" s="1"/>
      <c r="AF314" s="1"/>
      <c r="AG314" s="1"/>
      <c r="AH314" s="1"/>
      <c r="AI314" s="1"/>
      <c r="AJ314" s="1"/>
      <c r="AK314" s="1"/>
      <c r="AL314" s="1"/>
      <c r="AM314" s="1"/>
      <c r="AN314" s="1"/>
    </row>
    <row r="315">
      <c r="A315" s="1138"/>
      <c r="B315" s="310"/>
      <c r="C315" s="888"/>
      <c r="D315" s="310"/>
      <c r="E315" s="1140"/>
      <c r="F315" s="932"/>
      <c r="G315" s="355"/>
      <c r="H315" s="310"/>
      <c r="I315" s="931"/>
      <c r="J315" s="1143"/>
      <c r="K315" s="691"/>
      <c r="L315" s="691"/>
      <c r="M315" s="691"/>
      <c r="N315" s="691"/>
      <c r="O315" s="691"/>
      <c r="P315" s="691"/>
      <c r="Q315" s="691"/>
      <c r="R315" s="888"/>
      <c r="S315" s="888"/>
      <c r="T315" s="1154"/>
      <c r="U315" s="888"/>
      <c r="V315" s="888"/>
      <c r="W315" s="310"/>
      <c r="X315" s="691"/>
      <c r="Y315" s="1"/>
      <c r="Z315" s="1"/>
      <c r="AA315" s="1"/>
      <c r="AB315" s="1"/>
      <c r="AC315" s="1"/>
      <c r="AD315" s="1"/>
      <c r="AE315" s="1"/>
      <c r="AF315" s="1"/>
      <c r="AG315" s="1"/>
      <c r="AH315" s="1"/>
      <c r="AI315" s="1"/>
      <c r="AJ315" s="1"/>
      <c r="AK315" s="1"/>
      <c r="AL315" s="1"/>
      <c r="AM315" s="1"/>
      <c r="AN315" s="1"/>
    </row>
    <row r="316">
      <c r="A316" s="1138"/>
      <c r="B316" s="310"/>
      <c r="C316" s="888"/>
      <c r="D316" s="310"/>
      <c r="E316" s="1140"/>
      <c r="F316" s="932"/>
      <c r="G316" s="355"/>
      <c r="H316" s="310"/>
      <c r="I316" s="931"/>
      <c r="J316" s="1143"/>
      <c r="K316" s="691"/>
      <c r="L316" s="691"/>
      <c r="M316" s="691"/>
      <c r="N316" s="691"/>
      <c r="O316" s="691"/>
      <c r="P316" s="691"/>
      <c r="Q316" s="691"/>
      <c r="R316" s="888"/>
      <c r="S316" s="888"/>
      <c r="T316" s="1154"/>
      <c r="U316" s="888"/>
      <c r="V316" s="888"/>
      <c r="W316" s="310"/>
      <c r="X316" s="691"/>
      <c r="Y316" s="1"/>
      <c r="Z316" s="1"/>
      <c r="AA316" s="1"/>
      <c r="AB316" s="1"/>
      <c r="AC316" s="1"/>
      <c r="AD316" s="1"/>
      <c r="AE316" s="1"/>
      <c r="AF316" s="1"/>
      <c r="AG316" s="1"/>
      <c r="AH316" s="1"/>
      <c r="AI316" s="1"/>
      <c r="AJ316" s="1"/>
      <c r="AK316" s="1"/>
      <c r="AL316" s="1"/>
      <c r="AM316" s="1"/>
      <c r="AN316" s="1"/>
    </row>
    <row r="317">
      <c r="A317" s="1138"/>
      <c r="B317" s="310"/>
      <c r="C317" s="888"/>
      <c r="D317" s="310"/>
      <c r="E317" s="1140"/>
      <c r="F317" s="932"/>
      <c r="G317" s="355"/>
      <c r="H317" s="310"/>
      <c r="I317" s="931"/>
      <c r="J317" s="1143"/>
      <c r="K317" s="691"/>
      <c r="L317" s="691"/>
      <c r="M317" s="691"/>
      <c r="N317" s="691"/>
      <c r="O317" s="691"/>
      <c r="P317" s="691"/>
      <c r="Q317" s="691"/>
      <c r="R317" s="888"/>
      <c r="S317" s="888"/>
      <c r="T317" s="1154"/>
      <c r="U317" s="888"/>
      <c r="V317" s="888"/>
      <c r="W317" s="310"/>
      <c r="X317" s="691"/>
      <c r="Y317" s="1"/>
      <c r="Z317" s="1"/>
      <c r="AA317" s="1"/>
      <c r="AB317" s="1"/>
      <c r="AC317" s="1"/>
      <c r="AD317" s="1"/>
      <c r="AE317" s="1"/>
      <c r="AF317" s="1"/>
      <c r="AG317" s="1"/>
      <c r="AH317" s="1"/>
      <c r="AI317" s="1"/>
      <c r="AJ317" s="1"/>
      <c r="AK317" s="1"/>
      <c r="AL317" s="1"/>
      <c r="AM317" s="1"/>
      <c r="AN317" s="1"/>
    </row>
    <row r="318">
      <c r="A318" s="1138"/>
      <c r="B318" s="310"/>
      <c r="C318" s="888"/>
      <c r="D318" s="310"/>
      <c r="E318" s="1140"/>
      <c r="F318" s="932"/>
      <c r="G318" s="355"/>
      <c r="H318" s="310"/>
      <c r="I318" s="931"/>
      <c r="J318" s="1143"/>
      <c r="K318" s="691"/>
      <c r="L318" s="691"/>
      <c r="M318" s="691"/>
      <c r="N318" s="691"/>
      <c r="O318" s="691"/>
      <c r="P318" s="691"/>
      <c r="Q318" s="691"/>
      <c r="R318" s="888"/>
      <c r="S318" s="888"/>
      <c r="T318" s="1154"/>
      <c r="U318" s="888"/>
      <c r="V318" s="888"/>
      <c r="W318" s="310"/>
      <c r="X318" s="691"/>
      <c r="Y318" s="1"/>
      <c r="Z318" s="1"/>
      <c r="AA318" s="1"/>
      <c r="AB318" s="1"/>
      <c r="AC318" s="1"/>
      <c r="AD318" s="1"/>
      <c r="AE318" s="1"/>
      <c r="AF318" s="1"/>
      <c r="AG318" s="1"/>
      <c r="AH318" s="1"/>
      <c r="AI318" s="1"/>
      <c r="AJ318" s="1"/>
      <c r="AK318" s="1"/>
      <c r="AL318" s="1"/>
      <c r="AM318" s="1"/>
      <c r="AN318" s="1"/>
    </row>
    <row r="319">
      <c r="A319" s="1138"/>
      <c r="B319" s="310"/>
      <c r="C319" s="888"/>
      <c r="D319" s="310"/>
      <c r="E319" s="1140"/>
      <c r="F319" s="932"/>
      <c r="G319" s="355"/>
      <c r="H319" s="310"/>
      <c r="I319" s="931"/>
      <c r="J319" s="1143"/>
      <c r="K319" s="691"/>
      <c r="L319" s="691"/>
      <c r="M319" s="691"/>
      <c r="N319" s="691"/>
      <c r="O319" s="691"/>
      <c r="P319" s="691"/>
      <c r="Q319" s="691"/>
      <c r="R319" s="888"/>
      <c r="S319" s="888"/>
      <c r="T319" s="1154"/>
      <c r="U319" s="888"/>
      <c r="V319" s="888"/>
      <c r="W319" s="310"/>
      <c r="X319" s="691"/>
      <c r="Y319" s="1"/>
      <c r="Z319" s="1"/>
      <c r="AA319" s="1"/>
      <c r="AB319" s="1"/>
      <c r="AC319" s="1"/>
      <c r="AD319" s="1"/>
      <c r="AE319" s="1"/>
      <c r="AF319" s="1"/>
      <c r="AG319" s="1"/>
      <c r="AH319" s="1"/>
      <c r="AI319" s="1"/>
      <c r="AJ319" s="1"/>
      <c r="AK319" s="1"/>
      <c r="AL319" s="1"/>
      <c r="AM319" s="1"/>
      <c r="AN319" s="1"/>
    </row>
    <row r="320">
      <c r="A320" s="1138"/>
      <c r="B320" s="310"/>
      <c r="C320" s="888"/>
      <c r="D320" s="310"/>
      <c r="E320" s="1140"/>
      <c r="F320" s="932"/>
      <c r="G320" s="355"/>
      <c r="H320" s="310"/>
      <c r="I320" s="931"/>
      <c r="J320" s="1143"/>
      <c r="K320" s="691"/>
      <c r="L320" s="691"/>
      <c r="M320" s="691"/>
      <c r="N320" s="691"/>
      <c r="O320" s="691"/>
      <c r="P320" s="691"/>
      <c r="Q320" s="691"/>
      <c r="R320" s="888"/>
      <c r="S320" s="888"/>
      <c r="T320" s="1154"/>
      <c r="U320" s="888"/>
      <c r="V320" s="888"/>
      <c r="W320" s="310"/>
      <c r="X320" s="691"/>
      <c r="Y320" s="1"/>
      <c r="Z320" s="1"/>
      <c r="AA320" s="1"/>
      <c r="AB320" s="1"/>
      <c r="AC320" s="1"/>
      <c r="AD320" s="1"/>
      <c r="AE320" s="1"/>
      <c r="AF320" s="1"/>
      <c r="AG320" s="1"/>
      <c r="AH320" s="1"/>
      <c r="AI320" s="1"/>
      <c r="AJ320" s="1"/>
      <c r="AK320" s="1"/>
      <c r="AL320" s="1"/>
      <c r="AM320" s="1"/>
      <c r="AN320" s="1"/>
    </row>
    <row r="321">
      <c r="A321" s="1138"/>
      <c r="B321" s="310"/>
      <c r="C321" s="888"/>
      <c r="D321" s="310"/>
      <c r="E321" s="1140"/>
      <c r="F321" s="932"/>
      <c r="G321" s="355"/>
      <c r="H321" s="310"/>
      <c r="I321" s="931"/>
      <c r="J321" s="1143"/>
      <c r="K321" s="691"/>
      <c r="L321" s="691"/>
      <c r="M321" s="691"/>
      <c r="N321" s="691"/>
      <c r="O321" s="691"/>
      <c r="P321" s="691"/>
      <c r="Q321" s="691"/>
      <c r="R321" s="888"/>
      <c r="S321" s="888"/>
      <c r="T321" s="1154"/>
      <c r="U321" s="888"/>
      <c r="V321" s="888"/>
      <c r="W321" s="310"/>
      <c r="X321" s="691"/>
      <c r="Y321" s="1"/>
      <c r="Z321" s="1"/>
      <c r="AA321" s="1"/>
      <c r="AB321" s="1"/>
      <c r="AC321" s="1"/>
      <c r="AD321" s="1"/>
      <c r="AE321" s="1"/>
      <c r="AF321" s="1"/>
      <c r="AG321" s="1"/>
      <c r="AH321" s="1"/>
      <c r="AI321" s="1"/>
      <c r="AJ321" s="1"/>
      <c r="AK321" s="1"/>
      <c r="AL321" s="1"/>
      <c r="AM321" s="1"/>
      <c r="AN321" s="1"/>
    </row>
    <row r="322">
      <c r="A322" s="1138"/>
      <c r="B322" s="310"/>
      <c r="C322" s="888"/>
      <c r="D322" s="310"/>
      <c r="E322" s="1140"/>
      <c r="F322" s="932"/>
      <c r="G322" s="355"/>
      <c r="H322" s="310"/>
      <c r="I322" s="931"/>
      <c r="J322" s="1143"/>
      <c r="K322" s="691"/>
      <c r="L322" s="691"/>
      <c r="M322" s="691"/>
      <c r="N322" s="691"/>
      <c r="O322" s="691"/>
      <c r="P322" s="691"/>
      <c r="Q322" s="691"/>
      <c r="R322" s="888"/>
      <c r="S322" s="888"/>
      <c r="T322" s="1154"/>
      <c r="U322" s="888"/>
      <c r="V322" s="888"/>
      <c r="W322" s="310"/>
      <c r="X322" s="691"/>
      <c r="Y322" s="1"/>
      <c r="Z322" s="1"/>
      <c r="AA322" s="1"/>
      <c r="AB322" s="1"/>
      <c r="AC322" s="1"/>
      <c r="AD322" s="1"/>
      <c r="AE322" s="1"/>
      <c r="AF322" s="1"/>
      <c r="AG322" s="1"/>
      <c r="AH322" s="1"/>
      <c r="AI322" s="1"/>
      <c r="AJ322" s="1"/>
      <c r="AK322" s="1"/>
      <c r="AL322" s="1"/>
      <c r="AM322" s="1"/>
      <c r="AN322" s="1"/>
    </row>
    <row r="323">
      <c r="A323" s="1138"/>
      <c r="B323" s="310"/>
      <c r="C323" s="888"/>
      <c r="D323" s="310"/>
      <c r="E323" s="1140"/>
      <c r="F323" s="932"/>
      <c r="G323" s="355"/>
      <c r="H323" s="310"/>
      <c r="I323" s="931"/>
      <c r="J323" s="1143"/>
      <c r="K323" s="691"/>
      <c r="L323" s="691"/>
      <c r="M323" s="691"/>
      <c r="N323" s="691"/>
      <c r="O323" s="691"/>
      <c r="P323" s="691"/>
      <c r="Q323" s="691"/>
      <c r="R323" s="888"/>
      <c r="S323" s="888"/>
      <c r="T323" s="1154"/>
      <c r="U323" s="888"/>
      <c r="V323" s="888"/>
      <c r="W323" s="310"/>
      <c r="X323" s="691"/>
      <c r="Y323" s="1"/>
      <c r="Z323" s="1"/>
      <c r="AA323" s="1"/>
      <c r="AB323" s="1"/>
      <c r="AC323" s="1"/>
      <c r="AD323" s="1"/>
      <c r="AE323" s="1"/>
      <c r="AF323" s="1"/>
      <c r="AG323" s="1"/>
      <c r="AH323" s="1"/>
      <c r="AI323" s="1"/>
      <c r="AJ323" s="1"/>
      <c r="AK323" s="1"/>
      <c r="AL323" s="1"/>
      <c r="AM323" s="1"/>
      <c r="AN323" s="1"/>
    </row>
    <row r="324">
      <c r="A324" s="1138"/>
      <c r="B324" s="310"/>
      <c r="C324" s="888"/>
      <c r="D324" s="310"/>
      <c r="E324" s="1140"/>
      <c r="F324" s="932"/>
      <c r="G324" s="355"/>
      <c r="H324" s="310"/>
      <c r="I324" s="931"/>
      <c r="J324" s="1143"/>
      <c r="K324" s="691"/>
      <c r="L324" s="691"/>
      <c r="M324" s="691"/>
      <c r="N324" s="691"/>
      <c r="O324" s="691"/>
      <c r="P324" s="691"/>
      <c r="Q324" s="691"/>
      <c r="R324" s="888"/>
      <c r="S324" s="888"/>
      <c r="T324" s="1154"/>
      <c r="U324" s="888"/>
      <c r="V324" s="888"/>
      <c r="W324" s="310"/>
      <c r="X324" s="691"/>
      <c r="Y324" s="1"/>
      <c r="Z324" s="1"/>
      <c r="AA324" s="1"/>
      <c r="AB324" s="1"/>
      <c r="AC324" s="1"/>
      <c r="AD324" s="1"/>
      <c r="AE324" s="1"/>
      <c r="AF324" s="1"/>
      <c r="AG324" s="1"/>
      <c r="AH324" s="1"/>
      <c r="AI324" s="1"/>
      <c r="AJ324" s="1"/>
      <c r="AK324" s="1"/>
      <c r="AL324" s="1"/>
      <c r="AM324" s="1"/>
      <c r="AN324" s="1"/>
    </row>
    <row r="325">
      <c r="A325" s="1138"/>
      <c r="B325" s="310"/>
      <c r="C325" s="888"/>
      <c r="D325" s="310"/>
      <c r="E325" s="1140"/>
      <c r="F325" s="932"/>
      <c r="G325" s="355"/>
      <c r="H325" s="310"/>
      <c r="I325" s="931"/>
      <c r="J325" s="1143"/>
      <c r="K325" s="691"/>
      <c r="L325" s="691"/>
      <c r="M325" s="691"/>
      <c r="N325" s="691"/>
      <c r="O325" s="691"/>
      <c r="P325" s="691"/>
      <c r="Q325" s="691"/>
      <c r="R325" s="888"/>
      <c r="S325" s="888"/>
      <c r="T325" s="1154"/>
      <c r="U325" s="888"/>
      <c r="V325" s="888"/>
      <c r="W325" s="310"/>
      <c r="X325" s="691"/>
      <c r="Y325" s="1"/>
      <c r="Z325" s="1"/>
      <c r="AA325" s="1"/>
      <c r="AB325" s="1"/>
      <c r="AC325" s="1"/>
      <c r="AD325" s="1"/>
      <c r="AE325" s="1"/>
      <c r="AF325" s="1"/>
      <c r="AG325" s="1"/>
      <c r="AH325" s="1"/>
      <c r="AI325" s="1"/>
      <c r="AJ325" s="1"/>
      <c r="AK325" s="1"/>
      <c r="AL325" s="1"/>
      <c r="AM325" s="1"/>
      <c r="AN325" s="1"/>
    </row>
    <row r="326">
      <c r="A326" s="1138"/>
      <c r="B326" s="310"/>
      <c r="C326" s="888"/>
      <c r="D326" s="310"/>
      <c r="E326" s="1140"/>
      <c r="F326" s="932"/>
      <c r="G326" s="355"/>
      <c r="H326" s="310"/>
      <c r="I326" s="931"/>
      <c r="J326" s="1143"/>
      <c r="K326" s="691"/>
      <c r="L326" s="691"/>
      <c r="M326" s="691"/>
      <c r="N326" s="691"/>
      <c r="O326" s="691"/>
      <c r="P326" s="691"/>
      <c r="Q326" s="691"/>
      <c r="R326" s="888"/>
      <c r="S326" s="888"/>
      <c r="T326" s="1154"/>
      <c r="U326" s="888"/>
      <c r="V326" s="888"/>
      <c r="W326" s="310"/>
      <c r="X326" s="691"/>
      <c r="Y326" s="1"/>
      <c r="Z326" s="1"/>
      <c r="AA326" s="1"/>
      <c r="AB326" s="1"/>
      <c r="AC326" s="1"/>
      <c r="AD326" s="1"/>
      <c r="AE326" s="1"/>
      <c r="AF326" s="1"/>
      <c r="AG326" s="1"/>
      <c r="AH326" s="1"/>
      <c r="AI326" s="1"/>
      <c r="AJ326" s="1"/>
      <c r="AK326" s="1"/>
      <c r="AL326" s="1"/>
      <c r="AM326" s="1"/>
      <c r="AN326" s="1"/>
    </row>
    <row r="327">
      <c r="A327" s="1138"/>
      <c r="B327" s="310"/>
      <c r="C327" s="888"/>
      <c r="D327" s="310"/>
      <c r="E327" s="1140"/>
      <c r="F327" s="932"/>
      <c r="G327" s="355"/>
      <c r="H327" s="310"/>
      <c r="I327" s="931"/>
      <c r="J327" s="1143"/>
      <c r="K327" s="691"/>
      <c r="L327" s="691"/>
      <c r="M327" s="691"/>
      <c r="N327" s="691"/>
      <c r="O327" s="691"/>
      <c r="P327" s="691"/>
      <c r="Q327" s="691"/>
      <c r="R327" s="888"/>
      <c r="S327" s="888"/>
      <c r="T327" s="1154"/>
      <c r="U327" s="888"/>
      <c r="V327" s="888"/>
      <c r="W327" s="310"/>
      <c r="X327" s="691"/>
      <c r="Y327" s="1"/>
      <c r="Z327" s="1"/>
      <c r="AA327" s="1"/>
      <c r="AB327" s="1"/>
      <c r="AC327" s="1"/>
      <c r="AD327" s="1"/>
      <c r="AE327" s="1"/>
      <c r="AF327" s="1"/>
      <c r="AG327" s="1"/>
      <c r="AH327" s="1"/>
      <c r="AI327" s="1"/>
      <c r="AJ327" s="1"/>
      <c r="AK327" s="1"/>
      <c r="AL327" s="1"/>
      <c r="AM327" s="1"/>
      <c r="AN327" s="1"/>
    </row>
    <row r="328">
      <c r="A328" s="1138"/>
      <c r="B328" s="310"/>
      <c r="C328" s="888"/>
      <c r="D328" s="310"/>
      <c r="E328" s="1140"/>
      <c r="F328" s="932"/>
      <c r="G328" s="355"/>
      <c r="H328" s="310"/>
      <c r="I328" s="931"/>
      <c r="J328" s="1143"/>
      <c r="K328" s="691"/>
      <c r="L328" s="691"/>
      <c r="M328" s="691"/>
      <c r="N328" s="691"/>
      <c r="O328" s="691"/>
      <c r="P328" s="691"/>
      <c r="Q328" s="691"/>
      <c r="R328" s="888"/>
      <c r="S328" s="888"/>
      <c r="T328" s="1154"/>
      <c r="U328" s="888"/>
      <c r="V328" s="888"/>
      <c r="W328" s="310"/>
      <c r="X328" s="691"/>
      <c r="Y328" s="1"/>
      <c r="Z328" s="1"/>
      <c r="AA328" s="1"/>
      <c r="AB328" s="1"/>
      <c r="AC328" s="1"/>
      <c r="AD328" s="1"/>
      <c r="AE328" s="1"/>
      <c r="AF328" s="1"/>
      <c r="AG328" s="1"/>
      <c r="AH328" s="1"/>
      <c r="AI328" s="1"/>
      <c r="AJ328" s="1"/>
      <c r="AK328" s="1"/>
      <c r="AL328" s="1"/>
      <c r="AM328" s="1"/>
      <c r="AN328" s="1"/>
    </row>
    <row r="329">
      <c r="A329" s="1138"/>
      <c r="B329" s="310"/>
      <c r="C329" s="888"/>
      <c r="D329" s="310"/>
      <c r="E329" s="1140"/>
      <c r="F329" s="932"/>
      <c r="G329" s="355"/>
      <c r="H329" s="310"/>
      <c r="I329" s="931"/>
      <c r="J329" s="1143"/>
      <c r="K329" s="691"/>
      <c r="L329" s="691"/>
      <c r="M329" s="691"/>
      <c r="N329" s="691"/>
      <c r="O329" s="691"/>
      <c r="P329" s="691"/>
      <c r="Q329" s="691"/>
      <c r="R329" s="888"/>
      <c r="S329" s="888"/>
      <c r="T329" s="1154"/>
      <c r="U329" s="888"/>
      <c r="V329" s="888"/>
      <c r="W329" s="310"/>
      <c r="X329" s="691"/>
      <c r="Y329" s="1"/>
      <c r="Z329" s="1"/>
      <c r="AA329" s="1"/>
      <c r="AB329" s="1"/>
      <c r="AC329" s="1"/>
      <c r="AD329" s="1"/>
      <c r="AE329" s="1"/>
      <c r="AF329" s="1"/>
      <c r="AG329" s="1"/>
      <c r="AH329" s="1"/>
      <c r="AI329" s="1"/>
      <c r="AJ329" s="1"/>
      <c r="AK329" s="1"/>
      <c r="AL329" s="1"/>
      <c r="AM329" s="1"/>
      <c r="AN329" s="1"/>
    </row>
    <row r="330">
      <c r="A330" s="1138"/>
      <c r="B330" s="310"/>
      <c r="C330" s="888"/>
      <c r="D330" s="310"/>
      <c r="E330" s="1140"/>
      <c r="F330" s="932"/>
      <c r="G330" s="355"/>
      <c r="H330" s="310"/>
      <c r="I330" s="931"/>
      <c r="J330" s="1143"/>
      <c r="K330" s="691"/>
      <c r="L330" s="691"/>
      <c r="M330" s="691"/>
      <c r="N330" s="691"/>
      <c r="O330" s="691"/>
      <c r="P330" s="691"/>
      <c r="Q330" s="691"/>
      <c r="R330" s="888"/>
      <c r="S330" s="888"/>
      <c r="T330" s="1154"/>
      <c r="U330" s="888"/>
      <c r="V330" s="888"/>
      <c r="W330" s="310"/>
      <c r="X330" s="691"/>
      <c r="Y330" s="1"/>
      <c r="Z330" s="1"/>
      <c r="AA330" s="1"/>
      <c r="AB330" s="1"/>
      <c r="AC330" s="1"/>
      <c r="AD330" s="1"/>
      <c r="AE330" s="1"/>
      <c r="AF330" s="1"/>
      <c r="AG330" s="1"/>
      <c r="AH330" s="1"/>
      <c r="AI330" s="1"/>
      <c r="AJ330" s="1"/>
      <c r="AK330" s="1"/>
      <c r="AL330" s="1"/>
      <c r="AM330" s="1"/>
      <c r="AN330" s="1"/>
    </row>
    <row r="331">
      <c r="A331" s="1138"/>
      <c r="B331" s="310"/>
      <c r="C331" s="888"/>
      <c r="D331" s="310"/>
      <c r="E331" s="1140"/>
      <c r="F331" s="932"/>
      <c r="G331" s="355"/>
      <c r="H331" s="310"/>
      <c r="I331" s="931"/>
      <c r="J331" s="1143"/>
      <c r="K331" s="691"/>
      <c r="L331" s="691"/>
      <c r="M331" s="691"/>
      <c r="N331" s="691"/>
      <c r="O331" s="691"/>
      <c r="P331" s="691"/>
      <c r="Q331" s="691"/>
      <c r="R331" s="888"/>
      <c r="S331" s="888"/>
      <c r="T331" s="1154"/>
      <c r="U331" s="888"/>
      <c r="V331" s="888"/>
      <c r="W331" s="310"/>
      <c r="X331" s="691"/>
      <c r="Y331" s="1"/>
      <c r="Z331" s="1"/>
      <c r="AA331" s="1"/>
      <c r="AB331" s="1"/>
      <c r="AC331" s="1"/>
      <c r="AD331" s="1"/>
      <c r="AE331" s="1"/>
      <c r="AF331" s="1"/>
      <c r="AG331" s="1"/>
      <c r="AH331" s="1"/>
      <c r="AI331" s="1"/>
      <c r="AJ331" s="1"/>
      <c r="AK331" s="1"/>
      <c r="AL331" s="1"/>
      <c r="AM331" s="1"/>
      <c r="AN331" s="1"/>
    </row>
    <row r="332">
      <c r="A332" s="1138"/>
      <c r="B332" s="310"/>
      <c r="C332" s="888"/>
      <c r="D332" s="310"/>
      <c r="E332" s="1140"/>
      <c r="F332" s="932"/>
      <c r="G332" s="355"/>
      <c r="H332" s="310"/>
      <c r="I332" s="931"/>
      <c r="J332" s="1143"/>
      <c r="K332" s="691"/>
      <c r="L332" s="691"/>
      <c r="M332" s="691"/>
      <c r="N332" s="691"/>
      <c r="O332" s="691"/>
      <c r="P332" s="691"/>
      <c r="Q332" s="691"/>
      <c r="R332" s="888"/>
      <c r="S332" s="888"/>
      <c r="T332" s="1154"/>
      <c r="U332" s="888"/>
      <c r="V332" s="888"/>
      <c r="W332" s="310"/>
      <c r="X332" s="691"/>
      <c r="Y332" s="1"/>
      <c r="Z332" s="1"/>
      <c r="AA332" s="1"/>
      <c r="AB332" s="1"/>
      <c r="AC332" s="1"/>
      <c r="AD332" s="1"/>
      <c r="AE332" s="1"/>
      <c r="AF332" s="1"/>
      <c r="AG332" s="1"/>
      <c r="AH332" s="1"/>
      <c r="AI332" s="1"/>
      <c r="AJ332" s="1"/>
      <c r="AK332" s="1"/>
      <c r="AL332" s="1"/>
      <c r="AM332" s="1"/>
      <c r="AN332" s="1"/>
    </row>
    <row r="333">
      <c r="A333" s="1138"/>
      <c r="B333" s="310"/>
      <c r="C333" s="888"/>
      <c r="D333" s="310"/>
      <c r="E333" s="1140"/>
      <c r="F333" s="932"/>
      <c r="G333" s="355"/>
      <c r="H333" s="310"/>
      <c r="I333" s="931"/>
      <c r="J333" s="1143"/>
      <c r="K333" s="691"/>
      <c r="L333" s="691"/>
      <c r="M333" s="691"/>
      <c r="N333" s="691"/>
      <c r="O333" s="691"/>
      <c r="P333" s="691"/>
      <c r="Q333" s="691"/>
      <c r="R333" s="888"/>
      <c r="S333" s="888"/>
      <c r="T333" s="1154"/>
      <c r="U333" s="888"/>
      <c r="V333" s="888"/>
      <c r="W333" s="310"/>
      <c r="X333" s="691"/>
      <c r="Y333" s="1"/>
      <c r="Z333" s="1"/>
      <c r="AA333" s="1"/>
      <c r="AB333" s="1"/>
      <c r="AC333" s="1"/>
      <c r="AD333" s="1"/>
      <c r="AE333" s="1"/>
      <c r="AF333" s="1"/>
      <c r="AG333" s="1"/>
      <c r="AH333" s="1"/>
      <c r="AI333" s="1"/>
      <c r="AJ333" s="1"/>
      <c r="AK333" s="1"/>
      <c r="AL333" s="1"/>
      <c r="AM333" s="1"/>
      <c r="AN333" s="1"/>
    </row>
    <row r="334">
      <c r="A334" s="1138"/>
      <c r="B334" s="310"/>
      <c r="C334" s="888"/>
      <c r="D334" s="310"/>
      <c r="E334" s="1140"/>
      <c r="F334" s="932"/>
      <c r="G334" s="355"/>
      <c r="H334" s="310"/>
      <c r="I334" s="931"/>
      <c r="J334" s="1143"/>
      <c r="K334" s="691"/>
      <c r="L334" s="691"/>
      <c r="M334" s="691"/>
      <c r="N334" s="691"/>
      <c r="O334" s="691"/>
      <c r="P334" s="691"/>
      <c r="Q334" s="691"/>
      <c r="R334" s="888"/>
      <c r="S334" s="888"/>
      <c r="T334" s="1154"/>
      <c r="U334" s="888"/>
      <c r="V334" s="888"/>
      <c r="W334" s="310"/>
      <c r="X334" s="691"/>
      <c r="Y334" s="1"/>
      <c r="Z334" s="1"/>
      <c r="AA334" s="1"/>
      <c r="AB334" s="1"/>
      <c r="AC334" s="1"/>
      <c r="AD334" s="1"/>
      <c r="AE334" s="1"/>
      <c r="AF334" s="1"/>
      <c r="AG334" s="1"/>
      <c r="AH334" s="1"/>
      <c r="AI334" s="1"/>
      <c r="AJ334" s="1"/>
      <c r="AK334" s="1"/>
      <c r="AL334" s="1"/>
      <c r="AM334" s="1"/>
      <c r="AN334" s="1"/>
    </row>
    <row r="335">
      <c r="A335" s="1138"/>
      <c r="B335" s="310"/>
      <c r="C335" s="888"/>
      <c r="D335" s="310"/>
      <c r="E335" s="1140"/>
      <c r="F335" s="932"/>
      <c r="G335" s="355"/>
      <c r="H335" s="310"/>
      <c r="I335" s="931"/>
      <c r="J335" s="1143"/>
      <c r="K335" s="691"/>
      <c r="L335" s="691"/>
      <c r="M335" s="691"/>
      <c r="N335" s="691"/>
      <c r="O335" s="691"/>
      <c r="P335" s="691"/>
      <c r="Q335" s="691"/>
      <c r="R335" s="888"/>
      <c r="S335" s="888"/>
      <c r="T335" s="1154"/>
      <c r="U335" s="888"/>
      <c r="V335" s="888"/>
      <c r="W335" s="310"/>
      <c r="X335" s="691"/>
      <c r="Y335" s="1"/>
      <c r="Z335" s="1"/>
      <c r="AA335" s="1"/>
      <c r="AB335" s="1"/>
      <c r="AC335" s="1"/>
      <c r="AD335" s="1"/>
      <c r="AE335" s="1"/>
      <c r="AF335" s="1"/>
      <c r="AG335" s="1"/>
      <c r="AH335" s="1"/>
      <c r="AI335" s="1"/>
      <c r="AJ335" s="1"/>
      <c r="AK335" s="1"/>
      <c r="AL335" s="1"/>
      <c r="AM335" s="1"/>
      <c r="AN335" s="1"/>
    </row>
    <row r="336">
      <c r="A336" s="1138"/>
      <c r="B336" s="310"/>
      <c r="C336" s="888"/>
      <c r="D336" s="310"/>
      <c r="E336" s="1140"/>
      <c r="F336" s="932"/>
      <c r="G336" s="355"/>
      <c r="H336" s="310"/>
      <c r="I336" s="931"/>
      <c r="J336" s="1143"/>
      <c r="K336" s="691"/>
      <c r="L336" s="691"/>
      <c r="M336" s="691"/>
      <c r="N336" s="691"/>
      <c r="O336" s="691"/>
      <c r="P336" s="691"/>
      <c r="Q336" s="691"/>
      <c r="R336" s="888"/>
      <c r="S336" s="888"/>
      <c r="T336" s="1154"/>
      <c r="U336" s="888"/>
      <c r="V336" s="888"/>
      <c r="W336" s="310"/>
      <c r="X336" s="691"/>
      <c r="Y336" s="1"/>
      <c r="Z336" s="1"/>
      <c r="AA336" s="1"/>
      <c r="AB336" s="1"/>
      <c r="AC336" s="1"/>
      <c r="AD336" s="1"/>
      <c r="AE336" s="1"/>
      <c r="AF336" s="1"/>
      <c r="AG336" s="1"/>
      <c r="AH336" s="1"/>
      <c r="AI336" s="1"/>
      <c r="AJ336" s="1"/>
      <c r="AK336" s="1"/>
      <c r="AL336" s="1"/>
      <c r="AM336" s="1"/>
      <c r="AN336" s="1"/>
    </row>
    <row r="337">
      <c r="A337" s="1138"/>
      <c r="B337" s="310"/>
      <c r="C337" s="888"/>
      <c r="D337" s="310"/>
      <c r="E337" s="1140"/>
      <c r="F337" s="932"/>
      <c r="G337" s="355"/>
      <c r="H337" s="310"/>
      <c r="I337" s="931"/>
      <c r="J337" s="1143"/>
      <c r="K337" s="691"/>
      <c r="L337" s="691"/>
      <c r="M337" s="691"/>
      <c r="N337" s="691"/>
      <c r="O337" s="691"/>
      <c r="P337" s="691"/>
      <c r="Q337" s="691"/>
      <c r="R337" s="888"/>
      <c r="S337" s="888"/>
      <c r="T337" s="1154"/>
      <c r="U337" s="888"/>
      <c r="V337" s="888"/>
      <c r="W337" s="310"/>
      <c r="X337" s="691"/>
      <c r="Y337" s="1"/>
      <c r="Z337" s="1"/>
      <c r="AA337" s="1"/>
      <c r="AB337" s="1"/>
      <c r="AC337" s="1"/>
      <c r="AD337" s="1"/>
      <c r="AE337" s="1"/>
      <c r="AF337" s="1"/>
      <c r="AG337" s="1"/>
      <c r="AH337" s="1"/>
      <c r="AI337" s="1"/>
      <c r="AJ337" s="1"/>
      <c r="AK337" s="1"/>
      <c r="AL337" s="1"/>
      <c r="AM337" s="1"/>
      <c r="AN337" s="1"/>
    </row>
    <row r="338">
      <c r="A338" s="1138"/>
      <c r="B338" s="310"/>
      <c r="C338" s="888"/>
      <c r="D338" s="310"/>
      <c r="E338" s="1140"/>
      <c r="F338" s="932"/>
      <c r="G338" s="355"/>
      <c r="H338" s="310"/>
      <c r="I338" s="931"/>
      <c r="J338" s="1143"/>
      <c r="K338" s="691"/>
      <c r="L338" s="691"/>
      <c r="M338" s="691"/>
      <c r="N338" s="691"/>
      <c r="O338" s="691"/>
      <c r="P338" s="691"/>
      <c r="Q338" s="691"/>
      <c r="R338" s="888"/>
      <c r="S338" s="888"/>
      <c r="T338" s="1154"/>
      <c r="U338" s="888"/>
      <c r="V338" s="888"/>
      <c r="W338" s="310"/>
      <c r="X338" s="691"/>
      <c r="Y338" s="1"/>
      <c r="Z338" s="1"/>
      <c r="AA338" s="1"/>
      <c r="AB338" s="1"/>
      <c r="AC338" s="1"/>
      <c r="AD338" s="1"/>
      <c r="AE338" s="1"/>
      <c r="AF338" s="1"/>
      <c r="AG338" s="1"/>
      <c r="AH338" s="1"/>
      <c r="AI338" s="1"/>
      <c r="AJ338" s="1"/>
      <c r="AK338" s="1"/>
      <c r="AL338" s="1"/>
      <c r="AM338" s="1"/>
      <c r="AN338" s="1"/>
    </row>
    <row r="339">
      <c r="A339" s="1138"/>
      <c r="B339" s="310"/>
      <c r="C339" s="888"/>
      <c r="D339" s="310"/>
      <c r="E339" s="1140"/>
      <c r="F339" s="932"/>
      <c r="G339" s="355"/>
      <c r="H339" s="310"/>
      <c r="I339" s="931"/>
      <c r="J339" s="1143"/>
      <c r="K339" s="691"/>
      <c r="L339" s="691"/>
      <c r="M339" s="691"/>
      <c r="N339" s="691"/>
      <c r="O339" s="691"/>
      <c r="P339" s="691"/>
      <c r="Q339" s="691"/>
      <c r="R339" s="888"/>
      <c r="S339" s="888"/>
      <c r="T339" s="1154"/>
      <c r="U339" s="888"/>
      <c r="V339" s="888"/>
      <c r="W339" s="310"/>
      <c r="X339" s="691"/>
      <c r="Y339" s="1"/>
      <c r="Z339" s="1"/>
      <c r="AA339" s="1"/>
      <c r="AB339" s="1"/>
      <c r="AC339" s="1"/>
      <c r="AD339" s="1"/>
      <c r="AE339" s="1"/>
      <c r="AF339" s="1"/>
      <c r="AG339" s="1"/>
      <c r="AH339" s="1"/>
      <c r="AI339" s="1"/>
      <c r="AJ339" s="1"/>
      <c r="AK339" s="1"/>
      <c r="AL339" s="1"/>
      <c r="AM339" s="1"/>
      <c r="AN339" s="1"/>
    </row>
    <row r="340">
      <c r="A340" s="1138"/>
      <c r="B340" s="310"/>
      <c r="C340" s="888"/>
      <c r="D340" s="310"/>
      <c r="E340" s="1140"/>
      <c r="F340" s="932"/>
      <c r="G340" s="355"/>
      <c r="H340" s="310"/>
      <c r="I340" s="931"/>
      <c r="J340" s="1143"/>
      <c r="K340" s="691"/>
      <c r="L340" s="691"/>
      <c r="M340" s="691"/>
      <c r="N340" s="691"/>
      <c r="O340" s="691"/>
      <c r="P340" s="691"/>
      <c r="Q340" s="691"/>
      <c r="R340" s="888"/>
      <c r="S340" s="888"/>
      <c r="T340" s="1154"/>
      <c r="U340" s="888"/>
      <c r="V340" s="888"/>
      <c r="W340" s="310"/>
      <c r="X340" s="691"/>
      <c r="Y340" s="1"/>
      <c r="Z340" s="1"/>
      <c r="AA340" s="1"/>
      <c r="AB340" s="1"/>
      <c r="AC340" s="1"/>
      <c r="AD340" s="1"/>
      <c r="AE340" s="1"/>
      <c r="AF340" s="1"/>
      <c r="AG340" s="1"/>
      <c r="AH340" s="1"/>
      <c r="AI340" s="1"/>
      <c r="AJ340" s="1"/>
      <c r="AK340" s="1"/>
      <c r="AL340" s="1"/>
      <c r="AM340" s="1"/>
      <c r="AN340" s="1"/>
    </row>
    <row r="341">
      <c r="A341" s="1138"/>
      <c r="B341" s="310"/>
      <c r="C341" s="888"/>
      <c r="D341" s="310"/>
      <c r="E341" s="1140"/>
      <c r="F341" s="932"/>
      <c r="G341" s="355"/>
      <c r="H341" s="310"/>
      <c r="I341" s="931"/>
      <c r="J341" s="1143"/>
      <c r="K341" s="691"/>
      <c r="L341" s="691"/>
      <c r="M341" s="691"/>
      <c r="N341" s="691"/>
      <c r="O341" s="691"/>
      <c r="P341" s="691"/>
      <c r="Q341" s="691"/>
      <c r="R341" s="888"/>
      <c r="S341" s="888"/>
      <c r="T341" s="1154"/>
      <c r="U341" s="888"/>
      <c r="V341" s="888"/>
      <c r="W341" s="310"/>
      <c r="X341" s="691"/>
      <c r="Y341" s="1"/>
      <c r="Z341" s="1"/>
      <c r="AA341" s="1"/>
      <c r="AB341" s="1"/>
      <c r="AC341" s="1"/>
      <c r="AD341" s="1"/>
      <c r="AE341" s="1"/>
      <c r="AF341" s="1"/>
      <c r="AG341" s="1"/>
      <c r="AH341" s="1"/>
      <c r="AI341" s="1"/>
      <c r="AJ341" s="1"/>
      <c r="AK341" s="1"/>
      <c r="AL341" s="1"/>
      <c r="AM341" s="1"/>
      <c r="AN341" s="1"/>
    </row>
    <row r="342">
      <c r="A342" s="1138"/>
      <c r="B342" s="310"/>
      <c r="C342" s="888"/>
      <c r="D342" s="310"/>
      <c r="E342" s="1140"/>
      <c r="F342" s="932"/>
      <c r="G342" s="355"/>
      <c r="H342" s="310"/>
      <c r="I342" s="931"/>
      <c r="J342" s="1143"/>
      <c r="K342" s="691"/>
      <c r="L342" s="691"/>
      <c r="M342" s="691"/>
      <c r="N342" s="691"/>
      <c r="O342" s="691"/>
      <c r="P342" s="691"/>
      <c r="Q342" s="691"/>
      <c r="R342" s="888"/>
      <c r="S342" s="888"/>
      <c r="T342" s="1154"/>
      <c r="U342" s="888"/>
      <c r="V342" s="888"/>
      <c r="W342" s="310"/>
      <c r="X342" s="691"/>
      <c r="Y342" s="1"/>
      <c r="Z342" s="1"/>
      <c r="AA342" s="1"/>
      <c r="AB342" s="1"/>
      <c r="AC342" s="1"/>
      <c r="AD342" s="1"/>
      <c r="AE342" s="1"/>
      <c r="AF342" s="1"/>
      <c r="AG342" s="1"/>
      <c r="AH342" s="1"/>
      <c r="AI342" s="1"/>
      <c r="AJ342" s="1"/>
      <c r="AK342" s="1"/>
      <c r="AL342" s="1"/>
      <c r="AM342" s="1"/>
      <c r="AN342" s="1"/>
    </row>
    <row r="343">
      <c r="A343" s="1138"/>
      <c r="B343" s="310"/>
      <c r="C343" s="888"/>
      <c r="D343" s="310"/>
      <c r="E343" s="1140"/>
      <c r="F343" s="932"/>
      <c r="G343" s="355"/>
      <c r="H343" s="310"/>
      <c r="I343" s="931"/>
      <c r="J343" s="1143"/>
      <c r="K343" s="691"/>
      <c r="L343" s="691"/>
      <c r="M343" s="691"/>
      <c r="N343" s="691"/>
      <c r="O343" s="691"/>
      <c r="P343" s="691"/>
      <c r="Q343" s="691"/>
      <c r="R343" s="888"/>
      <c r="S343" s="888"/>
      <c r="T343" s="1154"/>
      <c r="U343" s="888"/>
      <c r="V343" s="888"/>
      <c r="W343" s="310"/>
      <c r="X343" s="691"/>
      <c r="Y343" s="1"/>
      <c r="Z343" s="1"/>
      <c r="AA343" s="1"/>
      <c r="AB343" s="1"/>
      <c r="AC343" s="1"/>
      <c r="AD343" s="1"/>
      <c r="AE343" s="1"/>
      <c r="AF343" s="1"/>
      <c r="AG343" s="1"/>
      <c r="AH343" s="1"/>
      <c r="AI343" s="1"/>
      <c r="AJ343" s="1"/>
      <c r="AK343" s="1"/>
      <c r="AL343" s="1"/>
      <c r="AM343" s="1"/>
      <c r="AN343" s="1"/>
    </row>
    <row r="344">
      <c r="A344" s="1138"/>
      <c r="B344" s="310"/>
      <c r="C344" s="888"/>
      <c r="D344" s="310"/>
      <c r="E344" s="1140"/>
      <c r="F344" s="932"/>
      <c r="G344" s="355"/>
      <c r="H344" s="310"/>
      <c r="I344" s="931"/>
      <c r="J344" s="1143"/>
      <c r="K344" s="691"/>
      <c r="L344" s="691"/>
      <c r="M344" s="691"/>
      <c r="N344" s="691"/>
      <c r="O344" s="691"/>
      <c r="P344" s="691"/>
      <c r="Q344" s="691"/>
      <c r="R344" s="888"/>
      <c r="S344" s="888"/>
      <c r="T344" s="1154"/>
      <c r="U344" s="888"/>
      <c r="V344" s="888"/>
      <c r="W344" s="310"/>
      <c r="X344" s="691"/>
      <c r="Y344" s="1"/>
      <c r="Z344" s="1"/>
      <c r="AA344" s="1"/>
      <c r="AB344" s="1"/>
      <c r="AC344" s="1"/>
      <c r="AD344" s="1"/>
      <c r="AE344" s="1"/>
      <c r="AF344" s="1"/>
      <c r="AG344" s="1"/>
      <c r="AH344" s="1"/>
      <c r="AI344" s="1"/>
      <c r="AJ344" s="1"/>
      <c r="AK344" s="1"/>
      <c r="AL344" s="1"/>
      <c r="AM344" s="1"/>
      <c r="AN344" s="1"/>
    </row>
    <row r="345">
      <c r="A345" s="1138"/>
      <c r="B345" s="310"/>
      <c r="C345" s="888"/>
      <c r="D345" s="310"/>
      <c r="E345" s="1140"/>
      <c r="F345" s="932"/>
      <c r="G345" s="355"/>
      <c r="H345" s="310"/>
      <c r="I345" s="931"/>
      <c r="J345" s="1143"/>
      <c r="K345" s="691"/>
      <c r="L345" s="691"/>
      <c r="M345" s="691"/>
      <c r="N345" s="691"/>
      <c r="O345" s="691"/>
      <c r="P345" s="691"/>
      <c r="Q345" s="691"/>
      <c r="R345" s="888"/>
      <c r="S345" s="888"/>
      <c r="T345" s="1154"/>
      <c r="U345" s="888"/>
      <c r="V345" s="888"/>
      <c r="W345" s="310"/>
      <c r="X345" s="691"/>
      <c r="Y345" s="1"/>
      <c r="Z345" s="1"/>
      <c r="AA345" s="1"/>
      <c r="AB345" s="1"/>
      <c r="AC345" s="1"/>
      <c r="AD345" s="1"/>
      <c r="AE345" s="1"/>
      <c r="AF345" s="1"/>
      <c r="AG345" s="1"/>
      <c r="AH345" s="1"/>
      <c r="AI345" s="1"/>
      <c r="AJ345" s="1"/>
      <c r="AK345" s="1"/>
      <c r="AL345" s="1"/>
      <c r="AM345" s="1"/>
      <c r="AN345" s="1"/>
    </row>
    <row r="346">
      <c r="A346" s="1138"/>
      <c r="B346" s="310"/>
      <c r="C346" s="888"/>
      <c r="D346" s="310"/>
      <c r="E346" s="1140"/>
      <c r="F346" s="932"/>
      <c r="G346" s="355"/>
      <c r="H346" s="310"/>
      <c r="I346" s="931"/>
      <c r="J346" s="1143"/>
      <c r="K346" s="691"/>
      <c r="L346" s="691"/>
      <c r="M346" s="691"/>
      <c r="N346" s="691"/>
      <c r="O346" s="691"/>
      <c r="P346" s="691"/>
      <c r="Q346" s="691"/>
      <c r="R346" s="888"/>
      <c r="S346" s="888"/>
      <c r="T346" s="1154"/>
      <c r="U346" s="888"/>
      <c r="V346" s="888"/>
      <c r="W346" s="310"/>
      <c r="X346" s="691"/>
      <c r="Y346" s="1"/>
      <c r="Z346" s="1"/>
      <c r="AA346" s="1"/>
      <c r="AB346" s="1"/>
      <c r="AC346" s="1"/>
      <c r="AD346" s="1"/>
      <c r="AE346" s="1"/>
      <c r="AF346" s="1"/>
      <c r="AG346" s="1"/>
      <c r="AH346" s="1"/>
      <c r="AI346" s="1"/>
      <c r="AJ346" s="1"/>
      <c r="AK346" s="1"/>
      <c r="AL346" s="1"/>
      <c r="AM346" s="1"/>
      <c r="AN346" s="1"/>
    </row>
    <row r="347">
      <c r="A347" s="1138"/>
      <c r="B347" s="310"/>
      <c r="C347" s="888"/>
      <c r="D347" s="310"/>
      <c r="E347" s="1140"/>
      <c r="F347" s="932"/>
      <c r="G347" s="355"/>
      <c r="H347" s="310"/>
      <c r="I347" s="931"/>
      <c r="J347" s="1143"/>
      <c r="K347" s="691"/>
      <c r="L347" s="691"/>
      <c r="M347" s="691"/>
      <c r="N347" s="691"/>
      <c r="O347" s="691"/>
      <c r="P347" s="691"/>
      <c r="Q347" s="691"/>
      <c r="R347" s="888"/>
      <c r="S347" s="888"/>
      <c r="T347" s="1154"/>
      <c r="U347" s="888"/>
      <c r="V347" s="888"/>
      <c r="W347" s="310"/>
      <c r="X347" s="691"/>
      <c r="Y347" s="1"/>
      <c r="Z347" s="1"/>
      <c r="AA347" s="1"/>
      <c r="AB347" s="1"/>
      <c r="AC347" s="1"/>
      <c r="AD347" s="1"/>
      <c r="AE347" s="1"/>
      <c r="AF347" s="1"/>
      <c r="AG347" s="1"/>
      <c r="AH347" s="1"/>
      <c r="AI347" s="1"/>
      <c r="AJ347" s="1"/>
      <c r="AK347" s="1"/>
      <c r="AL347" s="1"/>
      <c r="AM347" s="1"/>
      <c r="AN347" s="1"/>
    </row>
    <row r="348">
      <c r="A348" s="1138"/>
      <c r="B348" s="310"/>
      <c r="C348" s="888"/>
      <c r="D348" s="310"/>
      <c r="E348" s="1140"/>
      <c r="F348" s="932"/>
      <c r="G348" s="355"/>
      <c r="H348" s="310"/>
      <c r="I348" s="931"/>
      <c r="J348" s="1143"/>
      <c r="K348" s="691"/>
      <c r="L348" s="691"/>
      <c r="M348" s="691"/>
      <c r="N348" s="691"/>
      <c r="O348" s="691"/>
      <c r="P348" s="691"/>
      <c r="Q348" s="691"/>
      <c r="R348" s="888"/>
      <c r="S348" s="888"/>
      <c r="T348" s="1154"/>
      <c r="U348" s="888"/>
      <c r="V348" s="888"/>
      <c r="W348" s="310"/>
      <c r="X348" s="691"/>
      <c r="Y348" s="1"/>
      <c r="Z348" s="1"/>
      <c r="AA348" s="1"/>
      <c r="AB348" s="1"/>
      <c r="AC348" s="1"/>
      <c r="AD348" s="1"/>
      <c r="AE348" s="1"/>
      <c r="AF348" s="1"/>
      <c r="AG348" s="1"/>
      <c r="AH348" s="1"/>
      <c r="AI348" s="1"/>
      <c r="AJ348" s="1"/>
      <c r="AK348" s="1"/>
      <c r="AL348" s="1"/>
      <c r="AM348" s="1"/>
      <c r="AN348" s="1"/>
    </row>
    <row r="349">
      <c r="A349" s="1138"/>
      <c r="B349" s="310"/>
      <c r="C349" s="888"/>
      <c r="D349" s="310"/>
      <c r="E349" s="1140"/>
      <c r="F349" s="932"/>
      <c r="G349" s="355"/>
      <c r="H349" s="310"/>
      <c r="I349" s="931"/>
      <c r="J349" s="1143"/>
      <c r="K349" s="691"/>
      <c r="L349" s="691"/>
      <c r="M349" s="691"/>
      <c r="N349" s="691"/>
      <c r="O349" s="691"/>
      <c r="P349" s="691"/>
      <c r="Q349" s="691"/>
      <c r="R349" s="888"/>
      <c r="S349" s="888"/>
      <c r="T349" s="1154"/>
      <c r="U349" s="888"/>
      <c r="V349" s="888"/>
      <c r="W349" s="310"/>
      <c r="X349" s="691"/>
      <c r="Y349" s="1"/>
      <c r="Z349" s="1"/>
      <c r="AA349" s="1"/>
      <c r="AB349" s="1"/>
      <c r="AC349" s="1"/>
      <c r="AD349" s="1"/>
      <c r="AE349" s="1"/>
      <c r="AF349" s="1"/>
      <c r="AG349" s="1"/>
      <c r="AH349" s="1"/>
      <c r="AI349" s="1"/>
      <c r="AJ349" s="1"/>
      <c r="AK349" s="1"/>
      <c r="AL349" s="1"/>
      <c r="AM349" s="1"/>
      <c r="AN349" s="1"/>
    </row>
    <row r="350">
      <c r="A350" s="1138"/>
      <c r="B350" s="310"/>
      <c r="C350" s="888"/>
      <c r="D350" s="310"/>
      <c r="E350" s="1140"/>
      <c r="F350" s="932"/>
      <c r="G350" s="355"/>
      <c r="H350" s="310"/>
      <c r="I350" s="931"/>
      <c r="J350" s="1143"/>
      <c r="K350" s="691"/>
      <c r="L350" s="691"/>
      <c r="M350" s="691"/>
      <c r="N350" s="691"/>
      <c r="O350" s="691"/>
      <c r="P350" s="691"/>
      <c r="Q350" s="691"/>
      <c r="R350" s="888"/>
      <c r="S350" s="888"/>
      <c r="T350" s="1154"/>
      <c r="U350" s="888"/>
      <c r="V350" s="888"/>
      <c r="W350" s="310"/>
      <c r="X350" s="691"/>
      <c r="Y350" s="1"/>
      <c r="Z350" s="1"/>
      <c r="AA350" s="1"/>
      <c r="AB350" s="1"/>
      <c r="AC350" s="1"/>
      <c r="AD350" s="1"/>
      <c r="AE350" s="1"/>
      <c r="AF350" s="1"/>
      <c r="AG350" s="1"/>
      <c r="AH350" s="1"/>
      <c r="AI350" s="1"/>
      <c r="AJ350" s="1"/>
      <c r="AK350" s="1"/>
      <c r="AL350" s="1"/>
      <c r="AM350" s="1"/>
      <c r="AN350" s="1"/>
    </row>
    <row r="351">
      <c r="A351" s="1138"/>
      <c r="B351" s="310"/>
      <c r="C351" s="888"/>
      <c r="D351" s="310"/>
      <c r="E351" s="1140"/>
      <c r="F351" s="932"/>
      <c r="G351" s="355"/>
      <c r="H351" s="310"/>
      <c r="I351" s="931"/>
      <c r="J351" s="1143"/>
      <c r="K351" s="691"/>
      <c r="L351" s="691"/>
      <c r="M351" s="691"/>
      <c r="N351" s="691"/>
      <c r="O351" s="691"/>
      <c r="P351" s="691"/>
      <c r="Q351" s="691"/>
      <c r="R351" s="888"/>
      <c r="S351" s="888"/>
      <c r="T351" s="1154"/>
      <c r="U351" s="888"/>
      <c r="V351" s="888"/>
      <c r="W351" s="310"/>
      <c r="X351" s="691"/>
      <c r="Y351" s="1"/>
      <c r="Z351" s="1"/>
      <c r="AA351" s="1"/>
      <c r="AB351" s="1"/>
      <c r="AC351" s="1"/>
      <c r="AD351" s="1"/>
      <c r="AE351" s="1"/>
      <c r="AF351" s="1"/>
      <c r="AG351" s="1"/>
      <c r="AH351" s="1"/>
      <c r="AI351" s="1"/>
      <c r="AJ351" s="1"/>
      <c r="AK351" s="1"/>
      <c r="AL351" s="1"/>
      <c r="AM351" s="1"/>
      <c r="AN351" s="1"/>
    </row>
    <row r="352">
      <c r="A352" s="1138"/>
      <c r="B352" s="310"/>
      <c r="C352" s="888"/>
      <c r="D352" s="310"/>
      <c r="E352" s="1140"/>
      <c r="F352" s="932"/>
      <c r="G352" s="355"/>
      <c r="H352" s="310"/>
      <c r="I352" s="931"/>
      <c r="J352" s="1143"/>
      <c r="K352" s="691"/>
      <c r="L352" s="691"/>
      <c r="M352" s="691"/>
      <c r="N352" s="691"/>
      <c r="O352" s="691"/>
      <c r="P352" s="691"/>
      <c r="Q352" s="691"/>
      <c r="R352" s="888"/>
      <c r="S352" s="888"/>
      <c r="T352" s="1154"/>
      <c r="U352" s="888"/>
      <c r="V352" s="888"/>
      <c r="W352" s="310"/>
      <c r="X352" s="691"/>
      <c r="Y352" s="1"/>
      <c r="Z352" s="1"/>
      <c r="AA352" s="1"/>
      <c r="AB352" s="1"/>
      <c r="AC352" s="1"/>
      <c r="AD352" s="1"/>
      <c r="AE352" s="1"/>
      <c r="AF352" s="1"/>
      <c r="AG352" s="1"/>
      <c r="AH352" s="1"/>
      <c r="AI352" s="1"/>
      <c r="AJ352" s="1"/>
      <c r="AK352" s="1"/>
      <c r="AL352" s="1"/>
      <c r="AM352" s="1"/>
      <c r="AN352" s="1"/>
    </row>
    <row r="353">
      <c r="A353" s="1138"/>
      <c r="B353" s="310"/>
      <c r="C353" s="888"/>
      <c r="D353" s="310"/>
      <c r="E353" s="1140"/>
      <c r="F353" s="932"/>
      <c r="G353" s="355"/>
      <c r="H353" s="310"/>
      <c r="I353" s="931"/>
      <c r="J353" s="1143"/>
      <c r="K353" s="691"/>
      <c r="L353" s="691"/>
      <c r="M353" s="691"/>
      <c r="N353" s="691"/>
      <c r="O353" s="691"/>
      <c r="P353" s="691"/>
      <c r="Q353" s="691"/>
      <c r="R353" s="888"/>
      <c r="S353" s="888"/>
      <c r="T353" s="1154"/>
      <c r="U353" s="888"/>
      <c r="V353" s="888"/>
      <c r="W353" s="310"/>
      <c r="X353" s="691"/>
      <c r="Y353" s="1"/>
      <c r="Z353" s="1"/>
      <c r="AA353" s="1"/>
      <c r="AB353" s="1"/>
      <c r="AC353" s="1"/>
      <c r="AD353" s="1"/>
      <c r="AE353" s="1"/>
      <c r="AF353" s="1"/>
      <c r="AG353" s="1"/>
      <c r="AH353" s="1"/>
      <c r="AI353" s="1"/>
      <c r="AJ353" s="1"/>
      <c r="AK353" s="1"/>
      <c r="AL353" s="1"/>
      <c r="AM353" s="1"/>
      <c r="AN353" s="1"/>
    </row>
    <row r="354">
      <c r="A354" s="1138"/>
      <c r="B354" s="310"/>
      <c r="C354" s="888"/>
      <c r="D354" s="310"/>
      <c r="E354" s="1140"/>
      <c r="F354" s="932"/>
      <c r="G354" s="355"/>
      <c r="H354" s="310"/>
      <c r="I354" s="931"/>
      <c r="J354" s="1143"/>
      <c r="K354" s="691"/>
      <c r="L354" s="691"/>
      <c r="M354" s="691"/>
      <c r="N354" s="691"/>
      <c r="O354" s="691"/>
      <c r="P354" s="691"/>
      <c r="Q354" s="691"/>
      <c r="R354" s="888"/>
      <c r="S354" s="888"/>
      <c r="T354" s="1154"/>
      <c r="U354" s="888"/>
      <c r="V354" s="888"/>
      <c r="W354" s="310"/>
      <c r="X354" s="691"/>
      <c r="Y354" s="1"/>
      <c r="Z354" s="1"/>
      <c r="AA354" s="1"/>
      <c r="AB354" s="1"/>
      <c r="AC354" s="1"/>
      <c r="AD354" s="1"/>
      <c r="AE354" s="1"/>
      <c r="AF354" s="1"/>
      <c r="AG354" s="1"/>
      <c r="AH354" s="1"/>
      <c r="AI354" s="1"/>
      <c r="AJ354" s="1"/>
      <c r="AK354" s="1"/>
      <c r="AL354" s="1"/>
      <c r="AM354" s="1"/>
      <c r="AN354" s="1"/>
    </row>
    <row r="355">
      <c r="A355" s="1138"/>
      <c r="B355" s="310"/>
      <c r="C355" s="888"/>
      <c r="D355" s="310"/>
      <c r="E355" s="1140"/>
      <c r="F355" s="932"/>
      <c r="G355" s="355"/>
      <c r="H355" s="310"/>
      <c r="I355" s="931"/>
      <c r="J355" s="1143"/>
      <c r="K355" s="691"/>
      <c r="L355" s="691"/>
      <c r="M355" s="691"/>
      <c r="N355" s="691"/>
      <c r="O355" s="691"/>
      <c r="P355" s="691"/>
      <c r="Q355" s="691"/>
      <c r="R355" s="888"/>
      <c r="S355" s="888"/>
      <c r="T355" s="1154"/>
      <c r="U355" s="888"/>
      <c r="V355" s="888"/>
      <c r="W355" s="310"/>
      <c r="X355" s="691"/>
      <c r="Y355" s="1"/>
      <c r="Z355" s="1"/>
      <c r="AA355" s="1"/>
      <c r="AB355" s="1"/>
      <c r="AC355" s="1"/>
      <c r="AD355" s="1"/>
      <c r="AE355" s="1"/>
      <c r="AF355" s="1"/>
      <c r="AG355" s="1"/>
      <c r="AH355" s="1"/>
      <c r="AI355" s="1"/>
      <c r="AJ355" s="1"/>
      <c r="AK355" s="1"/>
      <c r="AL355" s="1"/>
      <c r="AM355" s="1"/>
      <c r="AN355" s="1"/>
    </row>
    <row r="356">
      <c r="A356" s="1138"/>
      <c r="B356" s="310"/>
      <c r="C356" s="888"/>
      <c r="D356" s="310"/>
      <c r="E356" s="1140"/>
      <c r="F356" s="932"/>
      <c r="G356" s="355"/>
      <c r="H356" s="310"/>
      <c r="I356" s="931"/>
      <c r="J356" s="1143"/>
      <c r="K356" s="691"/>
      <c r="L356" s="691"/>
      <c r="M356" s="691"/>
      <c r="N356" s="691"/>
      <c r="O356" s="691"/>
      <c r="P356" s="691"/>
      <c r="Q356" s="691"/>
      <c r="R356" s="888"/>
      <c r="S356" s="888"/>
      <c r="T356" s="1154"/>
      <c r="U356" s="888"/>
      <c r="V356" s="888"/>
      <c r="W356" s="310"/>
      <c r="X356" s="691"/>
      <c r="Y356" s="1"/>
      <c r="Z356" s="1"/>
      <c r="AA356" s="1"/>
      <c r="AB356" s="1"/>
      <c r="AC356" s="1"/>
      <c r="AD356" s="1"/>
      <c r="AE356" s="1"/>
      <c r="AF356" s="1"/>
      <c r="AG356" s="1"/>
      <c r="AH356" s="1"/>
      <c r="AI356" s="1"/>
      <c r="AJ356" s="1"/>
      <c r="AK356" s="1"/>
      <c r="AL356" s="1"/>
      <c r="AM356" s="1"/>
      <c r="AN356" s="1"/>
    </row>
    <row r="357">
      <c r="A357" s="1138"/>
      <c r="B357" s="310"/>
      <c r="C357" s="888"/>
      <c r="D357" s="310"/>
      <c r="E357" s="1140"/>
      <c r="F357" s="932"/>
      <c r="G357" s="355"/>
      <c r="H357" s="310"/>
      <c r="I357" s="931"/>
      <c r="J357" s="1143"/>
      <c r="K357" s="691"/>
      <c r="L357" s="691"/>
      <c r="M357" s="691"/>
      <c r="N357" s="691"/>
      <c r="O357" s="691"/>
      <c r="P357" s="691"/>
      <c r="Q357" s="691"/>
      <c r="R357" s="888"/>
      <c r="S357" s="888"/>
      <c r="T357" s="1154"/>
      <c r="U357" s="888"/>
      <c r="V357" s="888"/>
      <c r="W357" s="310"/>
      <c r="X357" s="691"/>
      <c r="Y357" s="1"/>
      <c r="Z357" s="1"/>
      <c r="AA357" s="1"/>
      <c r="AB357" s="1"/>
      <c r="AC357" s="1"/>
      <c r="AD357" s="1"/>
      <c r="AE357" s="1"/>
      <c r="AF357" s="1"/>
      <c r="AG357" s="1"/>
      <c r="AH357" s="1"/>
      <c r="AI357" s="1"/>
      <c r="AJ357" s="1"/>
      <c r="AK357" s="1"/>
      <c r="AL357" s="1"/>
      <c r="AM357" s="1"/>
      <c r="AN357" s="1"/>
    </row>
    <row r="358">
      <c r="A358" s="1138"/>
      <c r="B358" s="310"/>
      <c r="C358" s="888"/>
      <c r="D358" s="310"/>
      <c r="E358" s="1140"/>
      <c r="F358" s="932"/>
      <c r="G358" s="355"/>
      <c r="H358" s="310"/>
      <c r="I358" s="931"/>
      <c r="J358" s="1143"/>
      <c r="K358" s="691"/>
      <c r="L358" s="691"/>
      <c r="M358" s="691"/>
      <c r="N358" s="691"/>
      <c r="O358" s="691"/>
      <c r="P358" s="691"/>
      <c r="Q358" s="691"/>
      <c r="R358" s="888"/>
      <c r="S358" s="888"/>
      <c r="T358" s="1154"/>
      <c r="U358" s="888"/>
      <c r="V358" s="888"/>
      <c r="W358" s="310"/>
      <c r="X358" s="691"/>
      <c r="Y358" s="1"/>
      <c r="Z358" s="1"/>
      <c r="AA358" s="1"/>
      <c r="AB358" s="1"/>
      <c r="AC358" s="1"/>
      <c r="AD358" s="1"/>
      <c r="AE358" s="1"/>
      <c r="AF358" s="1"/>
      <c r="AG358" s="1"/>
      <c r="AH358" s="1"/>
      <c r="AI358" s="1"/>
      <c r="AJ358" s="1"/>
      <c r="AK358" s="1"/>
      <c r="AL358" s="1"/>
      <c r="AM358" s="1"/>
      <c r="AN358" s="1"/>
    </row>
    <row r="359">
      <c r="A359" s="1138"/>
      <c r="B359" s="310"/>
      <c r="C359" s="888"/>
      <c r="D359" s="310"/>
      <c r="E359" s="1140"/>
      <c r="F359" s="932"/>
      <c r="G359" s="355"/>
      <c r="H359" s="310"/>
      <c r="I359" s="931"/>
      <c r="J359" s="1143"/>
      <c r="K359" s="691"/>
      <c r="L359" s="691"/>
      <c r="M359" s="691"/>
      <c r="N359" s="691"/>
      <c r="O359" s="691"/>
      <c r="P359" s="691"/>
      <c r="Q359" s="691"/>
      <c r="R359" s="888"/>
      <c r="S359" s="888"/>
      <c r="T359" s="1154"/>
      <c r="U359" s="888"/>
      <c r="V359" s="888"/>
      <c r="W359" s="310"/>
      <c r="X359" s="691"/>
      <c r="Y359" s="1"/>
      <c r="Z359" s="1"/>
      <c r="AA359" s="1"/>
      <c r="AB359" s="1"/>
      <c r="AC359" s="1"/>
      <c r="AD359" s="1"/>
      <c r="AE359" s="1"/>
      <c r="AF359" s="1"/>
      <c r="AG359" s="1"/>
      <c r="AH359" s="1"/>
      <c r="AI359" s="1"/>
      <c r="AJ359" s="1"/>
      <c r="AK359" s="1"/>
      <c r="AL359" s="1"/>
      <c r="AM359" s="1"/>
      <c r="AN359" s="1"/>
    </row>
    <row r="360">
      <c r="A360" s="1138"/>
      <c r="B360" s="310"/>
      <c r="C360" s="888"/>
      <c r="D360" s="310"/>
      <c r="E360" s="1140"/>
      <c r="F360" s="932"/>
      <c r="G360" s="355"/>
      <c r="H360" s="310"/>
      <c r="I360" s="931"/>
      <c r="J360" s="1143"/>
      <c r="K360" s="691"/>
      <c r="L360" s="691"/>
      <c r="M360" s="691"/>
      <c r="N360" s="691"/>
      <c r="O360" s="691"/>
      <c r="P360" s="691"/>
      <c r="Q360" s="691"/>
      <c r="R360" s="888"/>
      <c r="S360" s="888"/>
      <c r="T360" s="1154"/>
      <c r="U360" s="888"/>
      <c r="V360" s="888"/>
      <c r="W360" s="310"/>
      <c r="X360" s="691"/>
      <c r="Y360" s="1"/>
      <c r="Z360" s="1"/>
      <c r="AA360" s="1"/>
      <c r="AB360" s="1"/>
      <c r="AC360" s="1"/>
      <c r="AD360" s="1"/>
      <c r="AE360" s="1"/>
      <c r="AF360" s="1"/>
      <c r="AG360" s="1"/>
      <c r="AH360" s="1"/>
      <c r="AI360" s="1"/>
      <c r="AJ360" s="1"/>
      <c r="AK360" s="1"/>
      <c r="AL360" s="1"/>
      <c r="AM360" s="1"/>
      <c r="AN360" s="1"/>
    </row>
    <row r="361">
      <c r="A361" s="1138"/>
      <c r="B361" s="310"/>
      <c r="C361" s="888"/>
      <c r="D361" s="310"/>
      <c r="E361" s="1140"/>
      <c r="F361" s="932"/>
      <c r="G361" s="355"/>
      <c r="H361" s="310"/>
      <c r="I361" s="931"/>
      <c r="J361" s="1143"/>
      <c r="K361" s="691"/>
      <c r="L361" s="691"/>
      <c r="M361" s="691"/>
      <c r="N361" s="691"/>
      <c r="O361" s="691"/>
      <c r="P361" s="691"/>
      <c r="Q361" s="691"/>
      <c r="R361" s="888"/>
      <c r="S361" s="888"/>
      <c r="T361" s="1154"/>
      <c r="U361" s="888"/>
      <c r="V361" s="888"/>
      <c r="W361" s="310"/>
      <c r="X361" s="691"/>
      <c r="Y361" s="1"/>
      <c r="Z361" s="1"/>
      <c r="AA361" s="1"/>
      <c r="AB361" s="1"/>
      <c r="AC361" s="1"/>
      <c r="AD361" s="1"/>
      <c r="AE361" s="1"/>
      <c r="AF361" s="1"/>
      <c r="AG361" s="1"/>
      <c r="AH361" s="1"/>
      <c r="AI361" s="1"/>
      <c r="AJ361" s="1"/>
      <c r="AK361" s="1"/>
      <c r="AL361" s="1"/>
      <c r="AM361" s="1"/>
      <c r="AN361" s="1"/>
    </row>
    <row r="362">
      <c r="A362" s="1138"/>
      <c r="B362" s="310"/>
      <c r="C362" s="888"/>
      <c r="D362" s="310"/>
      <c r="E362" s="1140"/>
      <c r="F362" s="932"/>
      <c r="G362" s="355"/>
      <c r="H362" s="310"/>
      <c r="I362" s="931"/>
      <c r="J362" s="1143"/>
      <c r="K362" s="691"/>
      <c r="L362" s="691"/>
      <c r="M362" s="691"/>
      <c r="N362" s="691"/>
      <c r="O362" s="691"/>
      <c r="P362" s="691"/>
      <c r="Q362" s="691"/>
      <c r="R362" s="888"/>
      <c r="S362" s="888"/>
      <c r="T362" s="1154"/>
      <c r="U362" s="888"/>
      <c r="V362" s="888"/>
      <c r="W362" s="310"/>
      <c r="X362" s="691"/>
      <c r="Y362" s="1"/>
      <c r="Z362" s="1"/>
      <c r="AA362" s="1"/>
      <c r="AB362" s="1"/>
      <c r="AC362" s="1"/>
      <c r="AD362" s="1"/>
      <c r="AE362" s="1"/>
      <c r="AF362" s="1"/>
      <c r="AG362" s="1"/>
      <c r="AH362" s="1"/>
      <c r="AI362" s="1"/>
      <c r="AJ362" s="1"/>
      <c r="AK362" s="1"/>
      <c r="AL362" s="1"/>
      <c r="AM362" s="1"/>
      <c r="AN362" s="1"/>
    </row>
    <row r="363">
      <c r="A363" s="1138"/>
      <c r="B363" s="310"/>
      <c r="C363" s="888"/>
      <c r="D363" s="310"/>
      <c r="E363" s="1140"/>
      <c r="F363" s="932"/>
      <c r="G363" s="355"/>
      <c r="H363" s="310"/>
      <c r="I363" s="931"/>
      <c r="J363" s="1143"/>
      <c r="K363" s="691"/>
      <c r="L363" s="691"/>
      <c r="M363" s="691"/>
      <c r="N363" s="691"/>
      <c r="O363" s="691"/>
      <c r="P363" s="691"/>
      <c r="Q363" s="691"/>
      <c r="R363" s="888"/>
      <c r="S363" s="888"/>
      <c r="T363" s="1154"/>
      <c r="U363" s="888"/>
      <c r="V363" s="888"/>
      <c r="W363" s="310"/>
      <c r="X363" s="691"/>
      <c r="Y363" s="1"/>
      <c r="Z363" s="1"/>
      <c r="AA363" s="1"/>
      <c r="AB363" s="1"/>
      <c r="AC363" s="1"/>
      <c r="AD363" s="1"/>
      <c r="AE363" s="1"/>
      <c r="AF363" s="1"/>
      <c r="AG363" s="1"/>
      <c r="AH363" s="1"/>
      <c r="AI363" s="1"/>
      <c r="AJ363" s="1"/>
      <c r="AK363" s="1"/>
      <c r="AL363" s="1"/>
      <c r="AM363" s="1"/>
      <c r="AN363" s="1"/>
    </row>
    <row r="364">
      <c r="A364" s="1138"/>
      <c r="B364" s="310"/>
      <c r="C364" s="888"/>
      <c r="D364" s="310"/>
      <c r="E364" s="1140"/>
      <c r="F364" s="932"/>
      <c r="G364" s="355"/>
      <c r="H364" s="310"/>
      <c r="I364" s="931"/>
      <c r="J364" s="1143"/>
      <c r="K364" s="691"/>
      <c r="L364" s="691"/>
      <c r="M364" s="691"/>
      <c r="N364" s="691"/>
      <c r="O364" s="691"/>
      <c r="P364" s="691"/>
      <c r="Q364" s="691"/>
      <c r="R364" s="888"/>
      <c r="S364" s="888"/>
      <c r="T364" s="1154"/>
      <c r="U364" s="888"/>
      <c r="V364" s="888"/>
      <c r="W364" s="310"/>
      <c r="X364" s="691"/>
      <c r="Y364" s="1"/>
      <c r="Z364" s="1"/>
      <c r="AA364" s="1"/>
      <c r="AB364" s="1"/>
      <c r="AC364" s="1"/>
      <c r="AD364" s="1"/>
      <c r="AE364" s="1"/>
      <c r="AF364" s="1"/>
      <c r="AG364" s="1"/>
      <c r="AH364" s="1"/>
      <c r="AI364" s="1"/>
      <c r="AJ364" s="1"/>
      <c r="AK364" s="1"/>
      <c r="AL364" s="1"/>
      <c r="AM364" s="1"/>
      <c r="AN364" s="1"/>
    </row>
    <row r="365">
      <c r="A365" s="1138"/>
      <c r="B365" s="310"/>
      <c r="C365" s="888"/>
      <c r="D365" s="310"/>
      <c r="E365" s="1140"/>
      <c r="F365" s="932"/>
      <c r="G365" s="355"/>
      <c r="H365" s="310"/>
      <c r="I365" s="931"/>
      <c r="J365" s="1143"/>
      <c r="K365" s="691"/>
      <c r="L365" s="691"/>
      <c r="M365" s="691"/>
      <c r="N365" s="691"/>
      <c r="O365" s="691"/>
      <c r="P365" s="691"/>
      <c r="Q365" s="691"/>
      <c r="R365" s="888"/>
      <c r="S365" s="888"/>
      <c r="T365" s="1154"/>
      <c r="U365" s="888"/>
      <c r="V365" s="888"/>
      <c r="W365" s="310"/>
      <c r="X365" s="691"/>
      <c r="Y365" s="1"/>
      <c r="Z365" s="1"/>
      <c r="AA365" s="1"/>
      <c r="AB365" s="1"/>
      <c r="AC365" s="1"/>
      <c r="AD365" s="1"/>
      <c r="AE365" s="1"/>
      <c r="AF365" s="1"/>
      <c r="AG365" s="1"/>
      <c r="AH365" s="1"/>
      <c r="AI365" s="1"/>
      <c r="AJ365" s="1"/>
      <c r="AK365" s="1"/>
      <c r="AL365" s="1"/>
      <c r="AM365" s="1"/>
      <c r="AN365" s="1"/>
    </row>
    <row r="366">
      <c r="A366" s="1138"/>
      <c r="B366" s="310"/>
      <c r="C366" s="888"/>
      <c r="D366" s="310"/>
      <c r="E366" s="1140"/>
      <c r="F366" s="932"/>
      <c r="G366" s="355"/>
      <c r="H366" s="310"/>
      <c r="I366" s="931"/>
      <c r="J366" s="1143"/>
      <c r="K366" s="691"/>
      <c r="L366" s="691"/>
      <c r="M366" s="691"/>
      <c r="N366" s="691"/>
      <c r="O366" s="691"/>
      <c r="P366" s="691"/>
      <c r="Q366" s="691"/>
      <c r="R366" s="888"/>
      <c r="S366" s="888"/>
      <c r="T366" s="1154"/>
      <c r="U366" s="888"/>
      <c r="V366" s="888"/>
      <c r="W366" s="310"/>
      <c r="X366" s="691"/>
      <c r="Y366" s="1"/>
      <c r="Z366" s="1"/>
      <c r="AA366" s="1"/>
      <c r="AB366" s="1"/>
      <c r="AC366" s="1"/>
      <c r="AD366" s="1"/>
      <c r="AE366" s="1"/>
      <c r="AF366" s="1"/>
      <c r="AG366" s="1"/>
      <c r="AH366" s="1"/>
      <c r="AI366" s="1"/>
      <c r="AJ366" s="1"/>
      <c r="AK366" s="1"/>
      <c r="AL366" s="1"/>
      <c r="AM366" s="1"/>
      <c r="AN366" s="1"/>
    </row>
    <row r="367">
      <c r="A367" s="1138"/>
      <c r="B367" s="310"/>
      <c r="C367" s="888"/>
      <c r="D367" s="310"/>
      <c r="E367" s="1140"/>
      <c r="F367" s="932"/>
      <c r="G367" s="355"/>
      <c r="H367" s="310"/>
      <c r="I367" s="931"/>
      <c r="J367" s="1143"/>
      <c r="K367" s="691"/>
      <c r="L367" s="691"/>
      <c r="M367" s="691"/>
      <c r="N367" s="691"/>
      <c r="O367" s="691"/>
      <c r="P367" s="691"/>
      <c r="Q367" s="691"/>
      <c r="R367" s="888"/>
      <c r="S367" s="888"/>
      <c r="T367" s="1154"/>
      <c r="U367" s="888"/>
      <c r="V367" s="888"/>
      <c r="W367" s="310"/>
      <c r="X367" s="691"/>
      <c r="Y367" s="1"/>
      <c r="Z367" s="1"/>
      <c r="AA367" s="1"/>
      <c r="AB367" s="1"/>
      <c r="AC367" s="1"/>
      <c r="AD367" s="1"/>
      <c r="AE367" s="1"/>
      <c r="AF367" s="1"/>
      <c r="AG367" s="1"/>
      <c r="AH367" s="1"/>
      <c r="AI367" s="1"/>
      <c r="AJ367" s="1"/>
      <c r="AK367" s="1"/>
      <c r="AL367" s="1"/>
      <c r="AM367" s="1"/>
      <c r="AN367" s="1"/>
    </row>
    <row r="368">
      <c r="A368" s="1138"/>
      <c r="B368" s="310"/>
      <c r="C368" s="888"/>
      <c r="D368" s="310"/>
      <c r="E368" s="1140"/>
      <c r="F368" s="932"/>
      <c r="G368" s="355"/>
      <c r="H368" s="310"/>
      <c r="I368" s="931"/>
      <c r="J368" s="1143"/>
      <c r="K368" s="691"/>
      <c r="L368" s="691"/>
      <c r="M368" s="691"/>
      <c r="N368" s="691"/>
      <c r="O368" s="691"/>
      <c r="P368" s="691"/>
      <c r="Q368" s="691"/>
      <c r="R368" s="888"/>
      <c r="S368" s="888"/>
      <c r="T368" s="1154"/>
      <c r="U368" s="888"/>
      <c r="V368" s="888"/>
      <c r="W368" s="310"/>
      <c r="X368" s="691"/>
      <c r="Y368" s="1"/>
      <c r="Z368" s="1"/>
      <c r="AA368" s="1"/>
      <c r="AB368" s="1"/>
      <c r="AC368" s="1"/>
      <c r="AD368" s="1"/>
      <c r="AE368" s="1"/>
      <c r="AF368" s="1"/>
      <c r="AG368" s="1"/>
      <c r="AH368" s="1"/>
      <c r="AI368" s="1"/>
      <c r="AJ368" s="1"/>
      <c r="AK368" s="1"/>
      <c r="AL368" s="1"/>
      <c r="AM368" s="1"/>
      <c r="AN368" s="1"/>
    </row>
    <row r="369">
      <c r="A369" s="1138"/>
      <c r="B369" s="310"/>
      <c r="C369" s="888"/>
      <c r="D369" s="310"/>
      <c r="E369" s="1140"/>
      <c r="F369" s="932"/>
      <c r="G369" s="355"/>
      <c r="H369" s="310"/>
      <c r="I369" s="931"/>
      <c r="J369" s="1143"/>
      <c r="K369" s="691"/>
      <c r="L369" s="691"/>
      <c r="M369" s="691"/>
      <c r="N369" s="691"/>
      <c r="O369" s="691"/>
      <c r="P369" s="691"/>
      <c r="Q369" s="691"/>
      <c r="R369" s="888"/>
      <c r="S369" s="888"/>
      <c r="T369" s="1154"/>
      <c r="U369" s="888"/>
      <c r="V369" s="888"/>
      <c r="W369" s="310"/>
      <c r="X369" s="691"/>
      <c r="Y369" s="1"/>
      <c r="Z369" s="1"/>
      <c r="AA369" s="1"/>
      <c r="AB369" s="1"/>
      <c r="AC369" s="1"/>
      <c r="AD369" s="1"/>
      <c r="AE369" s="1"/>
      <c r="AF369" s="1"/>
      <c r="AG369" s="1"/>
      <c r="AH369" s="1"/>
      <c r="AI369" s="1"/>
      <c r="AJ369" s="1"/>
      <c r="AK369" s="1"/>
      <c r="AL369" s="1"/>
      <c r="AM369" s="1"/>
      <c r="AN369" s="1"/>
    </row>
    <row r="370">
      <c r="A370" s="1138"/>
      <c r="B370" s="310"/>
      <c r="C370" s="888"/>
      <c r="D370" s="310"/>
      <c r="E370" s="1140"/>
      <c r="F370" s="932"/>
      <c r="G370" s="355"/>
      <c r="H370" s="310"/>
      <c r="I370" s="931"/>
      <c r="J370" s="1143"/>
      <c r="K370" s="691"/>
      <c r="L370" s="691"/>
      <c r="M370" s="691"/>
      <c r="N370" s="691"/>
      <c r="O370" s="691"/>
      <c r="P370" s="691"/>
      <c r="Q370" s="691"/>
      <c r="R370" s="888"/>
      <c r="S370" s="888"/>
      <c r="T370" s="1154"/>
      <c r="U370" s="888"/>
      <c r="V370" s="888"/>
      <c r="W370" s="310"/>
      <c r="X370" s="691"/>
      <c r="Y370" s="1"/>
      <c r="Z370" s="1"/>
      <c r="AA370" s="1"/>
      <c r="AB370" s="1"/>
      <c r="AC370" s="1"/>
      <c r="AD370" s="1"/>
      <c r="AE370" s="1"/>
      <c r="AF370" s="1"/>
      <c r="AG370" s="1"/>
      <c r="AH370" s="1"/>
      <c r="AI370" s="1"/>
      <c r="AJ370" s="1"/>
      <c r="AK370" s="1"/>
      <c r="AL370" s="1"/>
      <c r="AM370" s="1"/>
      <c r="AN370" s="1"/>
    </row>
    <row r="371">
      <c r="A371" s="1138"/>
      <c r="B371" s="310"/>
      <c r="C371" s="888"/>
      <c r="D371" s="310"/>
      <c r="E371" s="1140"/>
      <c r="F371" s="932"/>
      <c r="G371" s="355"/>
      <c r="H371" s="310"/>
      <c r="I371" s="931"/>
      <c r="J371" s="1143"/>
      <c r="K371" s="691"/>
      <c r="L371" s="691"/>
      <c r="M371" s="691"/>
      <c r="N371" s="691"/>
      <c r="O371" s="691"/>
      <c r="P371" s="691"/>
      <c r="Q371" s="691"/>
      <c r="R371" s="888"/>
      <c r="S371" s="888"/>
      <c r="T371" s="1154"/>
      <c r="U371" s="888"/>
      <c r="V371" s="888"/>
      <c r="W371" s="310"/>
      <c r="X371" s="691"/>
      <c r="Y371" s="1"/>
      <c r="Z371" s="1"/>
      <c r="AA371" s="1"/>
      <c r="AB371" s="1"/>
      <c r="AC371" s="1"/>
      <c r="AD371" s="1"/>
      <c r="AE371" s="1"/>
      <c r="AF371" s="1"/>
      <c r="AG371" s="1"/>
      <c r="AH371" s="1"/>
      <c r="AI371" s="1"/>
      <c r="AJ371" s="1"/>
      <c r="AK371" s="1"/>
      <c r="AL371" s="1"/>
      <c r="AM371" s="1"/>
      <c r="AN371" s="1"/>
    </row>
    <row r="372">
      <c r="A372" s="1138"/>
      <c r="B372" s="310"/>
      <c r="C372" s="888"/>
      <c r="D372" s="310"/>
      <c r="E372" s="1140"/>
      <c r="F372" s="932"/>
      <c r="G372" s="355"/>
      <c r="H372" s="310"/>
      <c r="I372" s="931"/>
      <c r="J372" s="1143"/>
      <c r="K372" s="691"/>
      <c r="L372" s="691"/>
      <c r="M372" s="691"/>
      <c r="N372" s="691"/>
      <c r="O372" s="691"/>
      <c r="P372" s="691"/>
      <c r="Q372" s="691"/>
      <c r="R372" s="888"/>
      <c r="S372" s="888"/>
      <c r="T372" s="1154"/>
      <c r="U372" s="888"/>
      <c r="V372" s="888"/>
      <c r="W372" s="310"/>
      <c r="X372" s="691"/>
      <c r="Y372" s="1"/>
      <c r="Z372" s="1"/>
      <c r="AA372" s="1"/>
      <c r="AB372" s="1"/>
      <c r="AC372" s="1"/>
      <c r="AD372" s="1"/>
      <c r="AE372" s="1"/>
      <c r="AF372" s="1"/>
      <c r="AG372" s="1"/>
      <c r="AH372" s="1"/>
      <c r="AI372" s="1"/>
      <c r="AJ372" s="1"/>
      <c r="AK372" s="1"/>
      <c r="AL372" s="1"/>
      <c r="AM372" s="1"/>
      <c r="AN372" s="1"/>
    </row>
    <row r="373">
      <c r="A373" s="1138"/>
      <c r="B373" s="310"/>
      <c r="C373" s="888"/>
      <c r="D373" s="310"/>
      <c r="E373" s="1140"/>
      <c r="F373" s="932"/>
      <c r="G373" s="355"/>
      <c r="H373" s="310"/>
      <c r="I373" s="931"/>
      <c r="J373" s="1143"/>
      <c r="K373" s="691"/>
      <c r="L373" s="691"/>
      <c r="M373" s="691"/>
      <c r="N373" s="691"/>
      <c r="O373" s="691"/>
      <c r="P373" s="691"/>
      <c r="Q373" s="691"/>
      <c r="R373" s="888"/>
      <c r="S373" s="888"/>
      <c r="T373" s="1154"/>
      <c r="U373" s="888"/>
      <c r="V373" s="888"/>
      <c r="W373" s="310"/>
      <c r="X373" s="691"/>
      <c r="Y373" s="1"/>
      <c r="Z373" s="1"/>
      <c r="AA373" s="1"/>
      <c r="AB373" s="1"/>
      <c r="AC373" s="1"/>
      <c r="AD373" s="1"/>
      <c r="AE373" s="1"/>
      <c r="AF373" s="1"/>
      <c r="AG373" s="1"/>
      <c r="AH373" s="1"/>
      <c r="AI373" s="1"/>
      <c r="AJ373" s="1"/>
      <c r="AK373" s="1"/>
      <c r="AL373" s="1"/>
      <c r="AM373" s="1"/>
      <c r="AN373" s="1"/>
    </row>
    <row r="374">
      <c r="A374" s="1138"/>
      <c r="B374" s="310"/>
      <c r="C374" s="888"/>
      <c r="D374" s="310"/>
      <c r="E374" s="1140"/>
      <c r="F374" s="932"/>
      <c r="G374" s="355"/>
      <c r="H374" s="310"/>
      <c r="I374" s="931"/>
      <c r="J374" s="1143"/>
      <c r="K374" s="691"/>
      <c r="L374" s="691"/>
      <c r="M374" s="691"/>
      <c r="N374" s="691"/>
      <c r="O374" s="691"/>
      <c r="P374" s="691"/>
      <c r="Q374" s="691"/>
      <c r="R374" s="888"/>
      <c r="S374" s="888"/>
      <c r="T374" s="1154"/>
      <c r="U374" s="888"/>
      <c r="V374" s="888"/>
      <c r="W374" s="310"/>
      <c r="X374" s="691"/>
      <c r="Y374" s="1"/>
      <c r="Z374" s="1"/>
      <c r="AA374" s="1"/>
      <c r="AB374" s="1"/>
      <c r="AC374" s="1"/>
      <c r="AD374" s="1"/>
      <c r="AE374" s="1"/>
      <c r="AF374" s="1"/>
      <c r="AG374" s="1"/>
      <c r="AH374" s="1"/>
      <c r="AI374" s="1"/>
      <c r="AJ374" s="1"/>
      <c r="AK374" s="1"/>
      <c r="AL374" s="1"/>
      <c r="AM374" s="1"/>
      <c r="AN374" s="1"/>
    </row>
    <row r="375">
      <c r="A375" s="1138"/>
      <c r="B375" s="310"/>
      <c r="C375" s="888"/>
      <c r="D375" s="310"/>
      <c r="E375" s="1140"/>
      <c r="F375" s="932"/>
      <c r="G375" s="355"/>
      <c r="H375" s="310"/>
      <c r="I375" s="931"/>
      <c r="J375" s="1143"/>
      <c r="K375" s="691"/>
      <c r="L375" s="691"/>
      <c r="M375" s="691"/>
      <c r="N375" s="691"/>
      <c r="O375" s="691"/>
      <c r="P375" s="691"/>
      <c r="Q375" s="691"/>
      <c r="R375" s="888"/>
      <c r="S375" s="888"/>
      <c r="T375" s="1154"/>
      <c r="U375" s="888"/>
      <c r="V375" s="888"/>
      <c r="W375" s="310"/>
      <c r="X375" s="691"/>
      <c r="Y375" s="1"/>
      <c r="Z375" s="1"/>
      <c r="AA375" s="1"/>
      <c r="AB375" s="1"/>
      <c r="AC375" s="1"/>
      <c r="AD375" s="1"/>
      <c r="AE375" s="1"/>
      <c r="AF375" s="1"/>
      <c r="AG375" s="1"/>
      <c r="AH375" s="1"/>
      <c r="AI375" s="1"/>
      <c r="AJ375" s="1"/>
      <c r="AK375" s="1"/>
      <c r="AL375" s="1"/>
      <c r="AM375" s="1"/>
      <c r="AN375" s="1"/>
    </row>
    <row r="376">
      <c r="A376" s="1138"/>
      <c r="B376" s="310"/>
      <c r="C376" s="888"/>
      <c r="D376" s="310"/>
      <c r="E376" s="1140"/>
      <c r="F376" s="932"/>
      <c r="G376" s="355"/>
      <c r="H376" s="310"/>
      <c r="I376" s="931"/>
      <c r="J376" s="1143"/>
      <c r="K376" s="691"/>
      <c r="L376" s="691"/>
      <c r="M376" s="691"/>
      <c r="N376" s="691"/>
      <c r="O376" s="691"/>
      <c r="P376" s="691"/>
      <c r="Q376" s="691"/>
      <c r="R376" s="888"/>
      <c r="S376" s="888"/>
      <c r="T376" s="1154"/>
      <c r="U376" s="888"/>
      <c r="V376" s="888"/>
      <c r="W376" s="310"/>
      <c r="X376" s="691"/>
      <c r="Y376" s="1"/>
      <c r="Z376" s="1"/>
      <c r="AA376" s="1"/>
      <c r="AB376" s="1"/>
      <c r="AC376" s="1"/>
      <c r="AD376" s="1"/>
      <c r="AE376" s="1"/>
      <c r="AF376" s="1"/>
      <c r="AG376" s="1"/>
      <c r="AH376" s="1"/>
      <c r="AI376" s="1"/>
      <c r="AJ376" s="1"/>
      <c r="AK376" s="1"/>
      <c r="AL376" s="1"/>
      <c r="AM376" s="1"/>
      <c r="AN376" s="1"/>
    </row>
    <row r="377">
      <c r="A377" s="1138"/>
      <c r="B377" s="310"/>
      <c r="C377" s="888"/>
      <c r="D377" s="310"/>
      <c r="E377" s="1140"/>
      <c r="F377" s="932"/>
      <c r="G377" s="355"/>
      <c r="H377" s="310"/>
      <c r="I377" s="931"/>
      <c r="J377" s="1143"/>
      <c r="K377" s="691"/>
      <c r="L377" s="691"/>
      <c r="M377" s="691"/>
      <c r="N377" s="691"/>
      <c r="O377" s="691"/>
      <c r="P377" s="691"/>
      <c r="Q377" s="691"/>
      <c r="R377" s="888"/>
      <c r="S377" s="888"/>
      <c r="T377" s="1154"/>
      <c r="U377" s="888"/>
      <c r="V377" s="888"/>
      <c r="W377" s="310"/>
      <c r="X377" s="691"/>
      <c r="Y377" s="1"/>
      <c r="Z377" s="1"/>
      <c r="AA377" s="1"/>
      <c r="AB377" s="1"/>
      <c r="AC377" s="1"/>
      <c r="AD377" s="1"/>
      <c r="AE377" s="1"/>
      <c r="AF377" s="1"/>
      <c r="AG377" s="1"/>
      <c r="AH377" s="1"/>
      <c r="AI377" s="1"/>
      <c r="AJ377" s="1"/>
      <c r="AK377" s="1"/>
      <c r="AL377" s="1"/>
      <c r="AM377" s="1"/>
      <c r="AN377" s="1"/>
    </row>
    <row r="378">
      <c r="A378" s="1138"/>
      <c r="B378" s="310"/>
      <c r="C378" s="888"/>
      <c r="D378" s="310"/>
      <c r="E378" s="1140"/>
      <c r="F378" s="932"/>
      <c r="G378" s="355"/>
      <c r="H378" s="310"/>
      <c r="I378" s="931"/>
      <c r="J378" s="1143"/>
      <c r="K378" s="691"/>
      <c r="L378" s="691"/>
      <c r="M378" s="691"/>
      <c r="N378" s="691"/>
      <c r="O378" s="691"/>
      <c r="P378" s="691"/>
      <c r="Q378" s="691"/>
      <c r="R378" s="888"/>
      <c r="S378" s="888"/>
      <c r="T378" s="1154"/>
      <c r="U378" s="888"/>
      <c r="V378" s="888"/>
      <c r="W378" s="310"/>
      <c r="X378" s="691"/>
      <c r="Y378" s="1"/>
      <c r="Z378" s="1"/>
      <c r="AA378" s="1"/>
      <c r="AB378" s="1"/>
      <c r="AC378" s="1"/>
      <c r="AD378" s="1"/>
      <c r="AE378" s="1"/>
      <c r="AF378" s="1"/>
      <c r="AG378" s="1"/>
      <c r="AH378" s="1"/>
      <c r="AI378" s="1"/>
      <c r="AJ378" s="1"/>
      <c r="AK378" s="1"/>
      <c r="AL378" s="1"/>
      <c r="AM378" s="1"/>
      <c r="AN378" s="1"/>
    </row>
    <row r="379">
      <c r="A379" s="1138"/>
      <c r="B379" s="310"/>
      <c r="C379" s="888"/>
      <c r="D379" s="310"/>
      <c r="E379" s="1140"/>
      <c r="F379" s="932"/>
      <c r="G379" s="355"/>
      <c r="H379" s="310"/>
      <c r="I379" s="931"/>
      <c r="J379" s="1143"/>
      <c r="K379" s="691"/>
      <c r="L379" s="691"/>
      <c r="M379" s="691"/>
      <c r="N379" s="691"/>
      <c r="O379" s="691"/>
      <c r="P379" s="691"/>
      <c r="Q379" s="691"/>
      <c r="R379" s="888"/>
      <c r="S379" s="888"/>
      <c r="T379" s="1154"/>
      <c r="U379" s="888"/>
      <c r="V379" s="888"/>
      <c r="W379" s="310"/>
      <c r="X379" s="691"/>
      <c r="Y379" s="1"/>
      <c r="Z379" s="1"/>
      <c r="AA379" s="1"/>
      <c r="AB379" s="1"/>
      <c r="AC379" s="1"/>
      <c r="AD379" s="1"/>
      <c r="AE379" s="1"/>
      <c r="AF379" s="1"/>
      <c r="AG379" s="1"/>
      <c r="AH379" s="1"/>
      <c r="AI379" s="1"/>
      <c r="AJ379" s="1"/>
      <c r="AK379" s="1"/>
      <c r="AL379" s="1"/>
      <c r="AM379" s="1"/>
      <c r="AN379" s="1"/>
    </row>
    <row r="380">
      <c r="A380" s="1138"/>
      <c r="B380" s="310"/>
      <c r="C380" s="888"/>
      <c r="D380" s="310"/>
      <c r="E380" s="1140"/>
      <c r="F380" s="932"/>
      <c r="G380" s="355"/>
      <c r="H380" s="310"/>
      <c r="I380" s="931"/>
      <c r="J380" s="1143"/>
      <c r="K380" s="691"/>
      <c r="L380" s="691"/>
      <c r="M380" s="691"/>
      <c r="N380" s="691"/>
      <c r="O380" s="691"/>
      <c r="P380" s="691"/>
      <c r="Q380" s="691"/>
      <c r="R380" s="888"/>
      <c r="S380" s="888"/>
      <c r="T380" s="1154"/>
      <c r="U380" s="888"/>
      <c r="V380" s="888"/>
      <c r="W380" s="310"/>
      <c r="X380" s="691"/>
      <c r="Y380" s="1"/>
      <c r="Z380" s="1"/>
      <c r="AA380" s="1"/>
      <c r="AB380" s="1"/>
      <c r="AC380" s="1"/>
      <c r="AD380" s="1"/>
      <c r="AE380" s="1"/>
      <c r="AF380" s="1"/>
      <c r="AG380" s="1"/>
      <c r="AH380" s="1"/>
      <c r="AI380" s="1"/>
      <c r="AJ380" s="1"/>
      <c r="AK380" s="1"/>
      <c r="AL380" s="1"/>
      <c r="AM380" s="1"/>
      <c r="AN380" s="1"/>
    </row>
    <row r="381">
      <c r="A381" s="1138"/>
      <c r="B381" s="310"/>
      <c r="C381" s="888"/>
      <c r="D381" s="310"/>
      <c r="E381" s="1140"/>
      <c r="F381" s="932"/>
      <c r="G381" s="355"/>
      <c r="H381" s="310"/>
      <c r="I381" s="931"/>
      <c r="J381" s="1143"/>
      <c r="K381" s="691"/>
      <c r="L381" s="691"/>
      <c r="M381" s="691"/>
      <c r="N381" s="691"/>
      <c r="O381" s="691"/>
      <c r="P381" s="691"/>
      <c r="Q381" s="691"/>
      <c r="R381" s="888"/>
      <c r="S381" s="888"/>
      <c r="T381" s="1154"/>
      <c r="U381" s="888"/>
      <c r="V381" s="888"/>
      <c r="W381" s="310"/>
      <c r="X381" s="691"/>
      <c r="Y381" s="1"/>
      <c r="Z381" s="1"/>
      <c r="AA381" s="1"/>
      <c r="AB381" s="1"/>
      <c r="AC381" s="1"/>
      <c r="AD381" s="1"/>
      <c r="AE381" s="1"/>
      <c r="AF381" s="1"/>
      <c r="AG381" s="1"/>
      <c r="AH381" s="1"/>
      <c r="AI381" s="1"/>
      <c r="AJ381" s="1"/>
      <c r="AK381" s="1"/>
      <c r="AL381" s="1"/>
      <c r="AM381" s="1"/>
      <c r="AN381" s="1"/>
    </row>
    <row r="382">
      <c r="A382" s="1138"/>
      <c r="B382" s="310"/>
      <c r="C382" s="888"/>
      <c r="D382" s="310"/>
      <c r="E382" s="1140"/>
      <c r="F382" s="932"/>
      <c r="G382" s="355"/>
      <c r="H382" s="310"/>
      <c r="I382" s="931"/>
      <c r="J382" s="1143"/>
      <c r="K382" s="691"/>
      <c r="L382" s="691"/>
      <c r="M382" s="691"/>
      <c r="N382" s="691"/>
      <c r="O382" s="691"/>
      <c r="P382" s="691"/>
      <c r="Q382" s="691"/>
      <c r="R382" s="888"/>
      <c r="S382" s="888"/>
      <c r="T382" s="1154"/>
      <c r="U382" s="888"/>
      <c r="V382" s="888"/>
      <c r="W382" s="310"/>
      <c r="X382" s="691"/>
      <c r="Y382" s="1"/>
      <c r="Z382" s="1"/>
      <c r="AA382" s="1"/>
      <c r="AB382" s="1"/>
      <c r="AC382" s="1"/>
      <c r="AD382" s="1"/>
      <c r="AE382" s="1"/>
      <c r="AF382" s="1"/>
      <c r="AG382" s="1"/>
      <c r="AH382" s="1"/>
      <c r="AI382" s="1"/>
      <c r="AJ382" s="1"/>
      <c r="AK382" s="1"/>
      <c r="AL382" s="1"/>
      <c r="AM382" s="1"/>
      <c r="AN382" s="1"/>
    </row>
    <row r="383">
      <c r="A383" s="1138"/>
      <c r="B383" s="310"/>
      <c r="C383" s="888"/>
      <c r="D383" s="310"/>
      <c r="E383" s="1140"/>
      <c r="F383" s="932"/>
      <c r="G383" s="355"/>
      <c r="H383" s="310"/>
      <c r="I383" s="931"/>
      <c r="J383" s="1143"/>
      <c r="K383" s="691"/>
      <c r="L383" s="691"/>
      <c r="M383" s="691"/>
      <c r="N383" s="691"/>
      <c r="O383" s="691"/>
      <c r="P383" s="691"/>
      <c r="Q383" s="691"/>
      <c r="R383" s="888"/>
      <c r="S383" s="888"/>
      <c r="T383" s="1154"/>
      <c r="U383" s="888"/>
      <c r="V383" s="888"/>
      <c r="W383" s="310"/>
      <c r="X383" s="691"/>
      <c r="Y383" s="1"/>
      <c r="Z383" s="1"/>
      <c r="AA383" s="1"/>
      <c r="AB383" s="1"/>
      <c r="AC383" s="1"/>
      <c r="AD383" s="1"/>
      <c r="AE383" s="1"/>
      <c r="AF383" s="1"/>
      <c r="AG383" s="1"/>
      <c r="AH383" s="1"/>
      <c r="AI383" s="1"/>
      <c r="AJ383" s="1"/>
      <c r="AK383" s="1"/>
      <c r="AL383" s="1"/>
      <c r="AM383" s="1"/>
      <c r="AN383" s="1"/>
    </row>
    <row r="384">
      <c r="A384" s="1138"/>
      <c r="B384" s="310"/>
      <c r="C384" s="888"/>
      <c r="D384" s="310"/>
      <c r="E384" s="1140"/>
      <c r="F384" s="932"/>
      <c r="G384" s="355"/>
      <c r="H384" s="310"/>
      <c r="I384" s="931"/>
      <c r="J384" s="1143"/>
      <c r="K384" s="691"/>
      <c r="L384" s="691"/>
      <c r="M384" s="691"/>
      <c r="N384" s="691"/>
      <c r="O384" s="691"/>
      <c r="P384" s="691"/>
      <c r="Q384" s="691"/>
      <c r="R384" s="888"/>
      <c r="S384" s="888"/>
      <c r="T384" s="1154"/>
      <c r="U384" s="888"/>
      <c r="V384" s="888"/>
      <c r="W384" s="310"/>
      <c r="X384" s="691"/>
      <c r="Y384" s="1"/>
      <c r="Z384" s="1"/>
      <c r="AA384" s="1"/>
      <c r="AB384" s="1"/>
      <c r="AC384" s="1"/>
      <c r="AD384" s="1"/>
      <c r="AE384" s="1"/>
      <c r="AF384" s="1"/>
      <c r="AG384" s="1"/>
      <c r="AH384" s="1"/>
      <c r="AI384" s="1"/>
      <c r="AJ384" s="1"/>
      <c r="AK384" s="1"/>
      <c r="AL384" s="1"/>
      <c r="AM384" s="1"/>
      <c r="AN384" s="1"/>
    </row>
    <row r="385">
      <c r="A385" s="1138"/>
      <c r="B385" s="310"/>
      <c r="C385" s="888"/>
      <c r="D385" s="310"/>
      <c r="E385" s="1140"/>
      <c r="F385" s="932"/>
      <c r="G385" s="355"/>
      <c r="H385" s="310"/>
      <c r="I385" s="931"/>
      <c r="J385" s="1143"/>
      <c r="K385" s="691"/>
      <c r="L385" s="691"/>
      <c r="M385" s="691"/>
      <c r="N385" s="691"/>
      <c r="O385" s="691"/>
      <c r="P385" s="691"/>
      <c r="Q385" s="691"/>
      <c r="R385" s="888"/>
      <c r="S385" s="888"/>
      <c r="T385" s="1154"/>
      <c r="U385" s="888"/>
      <c r="V385" s="888"/>
      <c r="W385" s="310"/>
      <c r="X385" s="691"/>
      <c r="Y385" s="1"/>
      <c r="Z385" s="1"/>
      <c r="AA385" s="1"/>
      <c r="AB385" s="1"/>
      <c r="AC385" s="1"/>
      <c r="AD385" s="1"/>
      <c r="AE385" s="1"/>
      <c r="AF385" s="1"/>
      <c r="AG385" s="1"/>
      <c r="AH385" s="1"/>
      <c r="AI385" s="1"/>
      <c r="AJ385" s="1"/>
      <c r="AK385" s="1"/>
      <c r="AL385" s="1"/>
      <c r="AM385" s="1"/>
      <c r="AN385" s="1"/>
    </row>
    <row r="386">
      <c r="A386" s="1138"/>
      <c r="B386" s="310"/>
      <c r="C386" s="888"/>
      <c r="D386" s="310"/>
      <c r="E386" s="1140"/>
      <c r="F386" s="932"/>
      <c r="G386" s="355"/>
      <c r="H386" s="310"/>
      <c r="I386" s="931"/>
      <c r="J386" s="1143"/>
      <c r="K386" s="691"/>
      <c r="L386" s="691"/>
      <c r="M386" s="691"/>
      <c r="N386" s="691"/>
      <c r="O386" s="691"/>
      <c r="P386" s="691"/>
      <c r="Q386" s="691"/>
      <c r="R386" s="888"/>
      <c r="S386" s="888"/>
      <c r="T386" s="1154"/>
      <c r="U386" s="888"/>
      <c r="V386" s="888"/>
      <c r="W386" s="310"/>
      <c r="X386" s="691"/>
      <c r="Y386" s="1"/>
      <c r="Z386" s="1"/>
      <c r="AA386" s="1"/>
      <c r="AB386" s="1"/>
      <c r="AC386" s="1"/>
      <c r="AD386" s="1"/>
      <c r="AE386" s="1"/>
      <c r="AF386" s="1"/>
      <c r="AG386" s="1"/>
      <c r="AH386" s="1"/>
      <c r="AI386" s="1"/>
      <c r="AJ386" s="1"/>
      <c r="AK386" s="1"/>
      <c r="AL386" s="1"/>
      <c r="AM386" s="1"/>
      <c r="AN386" s="1"/>
    </row>
    <row r="387">
      <c r="A387" s="1138"/>
      <c r="B387" s="310"/>
      <c r="C387" s="888"/>
      <c r="D387" s="310"/>
      <c r="E387" s="1140"/>
      <c r="F387" s="932"/>
      <c r="G387" s="355"/>
      <c r="H387" s="310"/>
      <c r="I387" s="931"/>
      <c r="J387" s="1143"/>
      <c r="K387" s="691"/>
      <c r="L387" s="691"/>
      <c r="M387" s="691"/>
      <c r="N387" s="691"/>
      <c r="O387" s="691"/>
      <c r="P387" s="691"/>
      <c r="Q387" s="691"/>
      <c r="R387" s="888"/>
      <c r="S387" s="888"/>
      <c r="T387" s="1154"/>
      <c r="U387" s="888"/>
      <c r="V387" s="888"/>
      <c r="W387" s="310"/>
      <c r="X387" s="691"/>
      <c r="Y387" s="1"/>
      <c r="Z387" s="1"/>
      <c r="AA387" s="1"/>
      <c r="AB387" s="1"/>
      <c r="AC387" s="1"/>
      <c r="AD387" s="1"/>
      <c r="AE387" s="1"/>
      <c r="AF387" s="1"/>
      <c r="AG387" s="1"/>
      <c r="AH387" s="1"/>
      <c r="AI387" s="1"/>
      <c r="AJ387" s="1"/>
      <c r="AK387" s="1"/>
      <c r="AL387" s="1"/>
      <c r="AM387" s="1"/>
      <c r="AN387" s="1"/>
    </row>
    <row r="388">
      <c r="A388" s="1138"/>
      <c r="B388" s="310"/>
      <c r="C388" s="888"/>
      <c r="D388" s="310"/>
      <c r="E388" s="1140"/>
      <c r="F388" s="932"/>
      <c r="G388" s="355"/>
      <c r="H388" s="310"/>
      <c r="I388" s="931"/>
      <c r="J388" s="1143"/>
      <c r="K388" s="691"/>
      <c r="L388" s="691"/>
      <c r="M388" s="691"/>
      <c r="N388" s="691"/>
      <c r="O388" s="691"/>
      <c r="P388" s="691"/>
      <c r="Q388" s="691"/>
      <c r="R388" s="888"/>
      <c r="S388" s="888"/>
      <c r="T388" s="1154"/>
      <c r="U388" s="888"/>
      <c r="V388" s="888"/>
      <c r="W388" s="310"/>
      <c r="X388" s="691"/>
      <c r="Y388" s="1"/>
      <c r="Z388" s="1"/>
      <c r="AA388" s="1"/>
      <c r="AB388" s="1"/>
      <c r="AC388" s="1"/>
      <c r="AD388" s="1"/>
      <c r="AE388" s="1"/>
      <c r="AF388" s="1"/>
      <c r="AG388" s="1"/>
      <c r="AH388" s="1"/>
      <c r="AI388" s="1"/>
      <c r="AJ388" s="1"/>
      <c r="AK388" s="1"/>
      <c r="AL388" s="1"/>
      <c r="AM388" s="1"/>
      <c r="AN388" s="1"/>
    </row>
    <row r="389">
      <c r="A389" s="1138"/>
      <c r="B389" s="310"/>
      <c r="C389" s="888"/>
      <c r="D389" s="310"/>
      <c r="E389" s="1140"/>
      <c r="F389" s="932"/>
      <c r="G389" s="355"/>
      <c r="H389" s="310"/>
      <c r="I389" s="931"/>
      <c r="J389" s="1143"/>
      <c r="K389" s="691"/>
      <c r="L389" s="691"/>
      <c r="M389" s="691"/>
      <c r="N389" s="691"/>
      <c r="O389" s="691"/>
      <c r="P389" s="691"/>
      <c r="Q389" s="691"/>
      <c r="R389" s="888"/>
      <c r="S389" s="888"/>
      <c r="T389" s="1154"/>
      <c r="U389" s="888"/>
      <c r="V389" s="888"/>
      <c r="W389" s="310"/>
      <c r="X389" s="691"/>
      <c r="Y389" s="1"/>
      <c r="Z389" s="1"/>
      <c r="AA389" s="1"/>
      <c r="AB389" s="1"/>
      <c r="AC389" s="1"/>
      <c r="AD389" s="1"/>
      <c r="AE389" s="1"/>
      <c r="AF389" s="1"/>
      <c r="AG389" s="1"/>
      <c r="AH389" s="1"/>
      <c r="AI389" s="1"/>
      <c r="AJ389" s="1"/>
      <c r="AK389" s="1"/>
      <c r="AL389" s="1"/>
      <c r="AM389" s="1"/>
      <c r="AN389" s="1"/>
    </row>
    <row r="390">
      <c r="A390" s="1138"/>
      <c r="B390" s="310"/>
      <c r="C390" s="888"/>
      <c r="D390" s="310"/>
      <c r="E390" s="1140"/>
      <c r="F390" s="932"/>
      <c r="G390" s="355"/>
      <c r="H390" s="310"/>
      <c r="I390" s="931"/>
      <c r="J390" s="1143"/>
      <c r="K390" s="691"/>
      <c r="L390" s="691"/>
      <c r="M390" s="691"/>
      <c r="N390" s="691"/>
      <c r="O390" s="691"/>
      <c r="P390" s="691"/>
      <c r="Q390" s="691"/>
      <c r="R390" s="888"/>
      <c r="S390" s="888"/>
      <c r="T390" s="1154"/>
      <c r="U390" s="888"/>
      <c r="V390" s="888"/>
      <c r="W390" s="310"/>
      <c r="X390" s="691"/>
      <c r="Y390" s="1"/>
      <c r="Z390" s="1"/>
      <c r="AA390" s="1"/>
      <c r="AB390" s="1"/>
      <c r="AC390" s="1"/>
      <c r="AD390" s="1"/>
      <c r="AE390" s="1"/>
      <c r="AF390" s="1"/>
      <c r="AG390" s="1"/>
      <c r="AH390" s="1"/>
      <c r="AI390" s="1"/>
      <c r="AJ390" s="1"/>
      <c r="AK390" s="1"/>
      <c r="AL390" s="1"/>
      <c r="AM390" s="1"/>
      <c r="AN390" s="1"/>
    </row>
    <row r="391">
      <c r="A391" s="1138"/>
      <c r="B391" s="310"/>
      <c r="C391" s="888"/>
      <c r="D391" s="310"/>
      <c r="E391" s="1140"/>
      <c r="F391" s="932"/>
      <c r="G391" s="355"/>
      <c r="H391" s="310"/>
      <c r="I391" s="931"/>
      <c r="J391" s="1143"/>
      <c r="K391" s="691"/>
      <c r="L391" s="691"/>
      <c r="M391" s="691"/>
      <c r="N391" s="691"/>
      <c r="O391" s="691"/>
      <c r="P391" s="691"/>
      <c r="Q391" s="691"/>
      <c r="R391" s="888"/>
      <c r="S391" s="888"/>
      <c r="T391" s="1154"/>
      <c r="U391" s="888"/>
      <c r="V391" s="888"/>
      <c r="W391" s="310"/>
      <c r="X391" s="691"/>
      <c r="Y391" s="1"/>
      <c r="Z391" s="1"/>
      <c r="AA391" s="1"/>
      <c r="AB391" s="1"/>
      <c r="AC391" s="1"/>
      <c r="AD391" s="1"/>
      <c r="AE391" s="1"/>
      <c r="AF391" s="1"/>
      <c r="AG391" s="1"/>
      <c r="AH391" s="1"/>
      <c r="AI391" s="1"/>
      <c r="AJ391" s="1"/>
      <c r="AK391" s="1"/>
      <c r="AL391" s="1"/>
      <c r="AM391" s="1"/>
      <c r="AN391" s="1"/>
    </row>
    <row r="392">
      <c r="A392" s="1138"/>
      <c r="B392" s="310"/>
      <c r="C392" s="888"/>
      <c r="D392" s="310"/>
      <c r="E392" s="1140"/>
      <c r="F392" s="932"/>
      <c r="G392" s="355"/>
      <c r="H392" s="310"/>
      <c r="I392" s="931"/>
      <c r="J392" s="1143"/>
      <c r="K392" s="691"/>
      <c r="L392" s="691"/>
      <c r="M392" s="691"/>
      <c r="N392" s="691"/>
      <c r="O392" s="691"/>
      <c r="P392" s="691"/>
      <c r="Q392" s="691"/>
      <c r="R392" s="888"/>
      <c r="S392" s="888"/>
      <c r="T392" s="1154"/>
      <c r="U392" s="888"/>
      <c r="V392" s="888"/>
      <c r="W392" s="310"/>
      <c r="X392" s="691"/>
      <c r="Y392" s="1"/>
      <c r="Z392" s="1"/>
      <c r="AA392" s="1"/>
      <c r="AB392" s="1"/>
      <c r="AC392" s="1"/>
      <c r="AD392" s="1"/>
      <c r="AE392" s="1"/>
      <c r="AF392" s="1"/>
      <c r="AG392" s="1"/>
      <c r="AH392" s="1"/>
      <c r="AI392" s="1"/>
      <c r="AJ392" s="1"/>
      <c r="AK392" s="1"/>
      <c r="AL392" s="1"/>
      <c r="AM392" s="1"/>
      <c r="AN392" s="1"/>
    </row>
    <row r="393">
      <c r="A393" s="1138"/>
      <c r="B393" s="310"/>
      <c r="C393" s="888"/>
      <c r="D393" s="310"/>
      <c r="E393" s="1140"/>
      <c r="F393" s="932"/>
      <c r="G393" s="355"/>
      <c r="H393" s="310"/>
      <c r="I393" s="931"/>
      <c r="J393" s="1143"/>
      <c r="K393" s="691"/>
      <c r="L393" s="691"/>
      <c r="M393" s="691"/>
      <c r="N393" s="691"/>
      <c r="O393" s="691"/>
      <c r="P393" s="691"/>
      <c r="Q393" s="691"/>
      <c r="R393" s="888"/>
      <c r="S393" s="888"/>
      <c r="T393" s="1154"/>
      <c r="U393" s="888"/>
      <c r="V393" s="888"/>
      <c r="W393" s="310"/>
      <c r="X393" s="691"/>
      <c r="Y393" s="1"/>
      <c r="Z393" s="1"/>
      <c r="AA393" s="1"/>
      <c r="AB393" s="1"/>
      <c r="AC393" s="1"/>
      <c r="AD393" s="1"/>
      <c r="AE393" s="1"/>
      <c r="AF393" s="1"/>
      <c r="AG393" s="1"/>
      <c r="AH393" s="1"/>
      <c r="AI393" s="1"/>
      <c r="AJ393" s="1"/>
      <c r="AK393" s="1"/>
      <c r="AL393" s="1"/>
      <c r="AM393" s="1"/>
      <c r="AN393" s="1"/>
    </row>
    <row r="394">
      <c r="A394" s="1138"/>
      <c r="B394" s="310"/>
      <c r="C394" s="888"/>
      <c r="D394" s="310"/>
      <c r="E394" s="1140"/>
      <c r="F394" s="932"/>
      <c r="G394" s="355"/>
      <c r="H394" s="310"/>
      <c r="I394" s="931"/>
      <c r="J394" s="1143"/>
      <c r="K394" s="691"/>
      <c r="L394" s="691"/>
      <c r="M394" s="691"/>
      <c r="N394" s="691"/>
      <c r="O394" s="691"/>
      <c r="P394" s="691"/>
      <c r="Q394" s="691"/>
      <c r="R394" s="888"/>
      <c r="S394" s="888"/>
      <c r="T394" s="1154"/>
      <c r="U394" s="888"/>
      <c r="V394" s="888"/>
      <c r="W394" s="310"/>
      <c r="X394" s="691"/>
      <c r="Y394" s="1"/>
      <c r="Z394" s="1"/>
      <c r="AA394" s="1"/>
      <c r="AB394" s="1"/>
      <c r="AC394" s="1"/>
      <c r="AD394" s="1"/>
      <c r="AE394" s="1"/>
      <c r="AF394" s="1"/>
      <c r="AG394" s="1"/>
      <c r="AH394" s="1"/>
      <c r="AI394" s="1"/>
      <c r="AJ394" s="1"/>
      <c r="AK394" s="1"/>
      <c r="AL394" s="1"/>
      <c r="AM394" s="1"/>
      <c r="AN394" s="1"/>
    </row>
    <row r="395">
      <c r="A395" s="1138"/>
      <c r="B395" s="310"/>
      <c r="C395" s="888"/>
      <c r="D395" s="310"/>
      <c r="E395" s="1140"/>
      <c r="F395" s="932"/>
      <c r="G395" s="355"/>
      <c r="H395" s="310"/>
      <c r="I395" s="931"/>
      <c r="J395" s="1143"/>
      <c r="K395" s="691"/>
      <c r="L395" s="691"/>
      <c r="M395" s="691"/>
      <c r="N395" s="691"/>
      <c r="O395" s="691"/>
      <c r="P395" s="691"/>
      <c r="Q395" s="691"/>
      <c r="R395" s="888"/>
      <c r="S395" s="888"/>
      <c r="T395" s="1154"/>
      <c r="U395" s="888"/>
      <c r="V395" s="888"/>
      <c r="W395" s="310"/>
      <c r="X395" s="691"/>
      <c r="Y395" s="1"/>
      <c r="Z395" s="1"/>
      <c r="AA395" s="1"/>
      <c r="AB395" s="1"/>
      <c r="AC395" s="1"/>
      <c r="AD395" s="1"/>
      <c r="AE395" s="1"/>
      <c r="AF395" s="1"/>
      <c r="AG395" s="1"/>
      <c r="AH395" s="1"/>
      <c r="AI395" s="1"/>
      <c r="AJ395" s="1"/>
      <c r="AK395" s="1"/>
      <c r="AL395" s="1"/>
      <c r="AM395" s="1"/>
      <c r="AN395" s="1"/>
    </row>
    <row r="396">
      <c r="A396" s="1138"/>
      <c r="B396" s="310"/>
      <c r="C396" s="888"/>
      <c r="D396" s="310"/>
      <c r="E396" s="1140"/>
      <c r="F396" s="932"/>
      <c r="G396" s="355"/>
      <c r="H396" s="310"/>
      <c r="I396" s="931"/>
      <c r="J396" s="1143"/>
      <c r="K396" s="691"/>
      <c r="L396" s="691"/>
      <c r="M396" s="691"/>
      <c r="N396" s="691"/>
      <c r="O396" s="691"/>
      <c r="P396" s="691"/>
      <c r="Q396" s="691"/>
      <c r="R396" s="888"/>
      <c r="S396" s="888"/>
      <c r="T396" s="1154"/>
      <c r="U396" s="888"/>
      <c r="V396" s="888"/>
      <c r="W396" s="310"/>
      <c r="X396" s="691"/>
      <c r="Y396" s="1"/>
      <c r="Z396" s="1"/>
      <c r="AA396" s="1"/>
      <c r="AB396" s="1"/>
      <c r="AC396" s="1"/>
      <c r="AD396" s="1"/>
      <c r="AE396" s="1"/>
      <c r="AF396" s="1"/>
      <c r="AG396" s="1"/>
      <c r="AH396" s="1"/>
      <c r="AI396" s="1"/>
      <c r="AJ396" s="1"/>
      <c r="AK396" s="1"/>
      <c r="AL396" s="1"/>
      <c r="AM396" s="1"/>
      <c r="AN396" s="1"/>
    </row>
    <row r="397">
      <c r="A397" s="1138"/>
      <c r="B397" s="310"/>
      <c r="C397" s="888"/>
      <c r="D397" s="310"/>
      <c r="E397" s="1140"/>
      <c r="F397" s="932"/>
      <c r="G397" s="355"/>
      <c r="H397" s="310"/>
      <c r="I397" s="931"/>
      <c r="J397" s="1143"/>
      <c r="K397" s="691"/>
      <c r="L397" s="691"/>
      <c r="M397" s="691"/>
      <c r="N397" s="691"/>
      <c r="O397" s="691"/>
      <c r="P397" s="691"/>
      <c r="Q397" s="691"/>
      <c r="R397" s="888"/>
      <c r="S397" s="888"/>
      <c r="T397" s="1154"/>
      <c r="U397" s="888"/>
      <c r="V397" s="888"/>
      <c r="W397" s="310"/>
      <c r="X397" s="691"/>
      <c r="Y397" s="1"/>
      <c r="Z397" s="1"/>
      <c r="AA397" s="1"/>
      <c r="AB397" s="1"/>
      <c r="AC397" s="1"/>
      <c r="AD397" s="1"/>
      <c r="AE397" s="1"/>
      <c r="AF397" s="1"/>
      <c r="AG397" s="1"/>
      <c r="AH397" s="1"/>
      <c r="AI397" s="1"/>
      <c r="AJ397" s="1"/>
      <c r="AK397" s="1"/>
      <c r="AL397" s="1"/>
      <c r="AM397" s="1"/>
      <c r="AN397" s="1"/>
    </row>
    <row r="398">
      <c r="A398" s="1138"/>
      <c r="B398" s="310"/>
      <c r="C398" s="888"/>
      <c r="D398" s="310"/>
      <c r="E398" s="1140"/>
      <c r="F398" s="932"/>
      <c r="G398" s="355"/>
      <c r="H398" s="310"/>
      <c r="I398" s="931"/>
      <c r="J398" s="1143"/>
      <c r="K398" s="691"/>
      <c r="L398" s="691"/>
      <c r="M398" s="691"/>
      <c r="N398" s="691"/>
      <c r="O398" s="691"/>
      <c r="P398" s="691"/>
      <c r="Q398" s="691"/>
      <c r="R398" s="888"/>
      <c r="S398" s="888"/>
      <c r="T398" s="1154"/>
      <c r="U398" s="888"/>
      <c r="V398" s="888"/>
      <c r="W398" s="310"/>
      <c r="X398" s="691"/>
      <c r="Y398" s="1"/>
      <c r="Z398" s="1"/>
      <c r="AA398" s="1"/>
      <c r="AB398" s="1"/>
      <c r="AC398" s="1"/>
      <c r="AD398" s="1"/>
      <c r="AE398" s="1"/>
      <c r="AF398" s="1"/>
      <c r="AG398" s="1"/>
      <c r="AH398" s="1"/>
      <c r="AI398" s="1"/>
      <c r="AJ398" s="1"/>
      <c r="AK398" s="1"/>
      <c r="AL398" s="1"/>
      <c r="AM398" s="1"/>
      <c r="AN398" s="1"/>
    </row>
    <row r="399">
      <c r="A399" s="1138"/>
      <c r="B399" s="310"/>
      <c r="C399" s="888"/>
      <c r="D399" s="310"/>
      <c r="E399" s="1140"/>
      <c r="F399" s="932"/>
      <c r="G399" s="355"/>
      <c r="H399" s="310"/>
      <c r="I399" s="931"/>
      <c r="J399" s="1143"/>
      <c r="K399" s="691"/>
      <c r="L399" s="691"/>
      <c r="M399" s="691"/>
      <c r="N399" s="691"/>
      <c r="O399" s="691"/>
      <c r="P399" s="691"/>
      <c r="Q399" s="691"/>
      <c r="R399" s="888"/>
      <c r="S399" s="888"/>
      <c r="T399" s="1154"/>
      <c r="U399" s="888"/>
      <c r="V399" s="888"/>
      <c r="W399" s="310"/>
      <c r="X399" s="691"/>
      <c r="Y399" s="1"/>
      <c r="Z399" s="1"/>
      <c r="AA399" s="1"/>
      <c r="AB399" s="1"/>
      <c r="AC399" s="1"/>
      <c r="AD399" s="1"/>
      <c r="AE399" s="1"/>
      <c r="AF399" s="1"/>
      <c r="AG399" s="1"/>
      <c r="AH399" s="1"/>
      <c r="AI399" s="1"/>
      <c r="AJ399" s="1"/>
      <c r="AK399" s="1"/>
      <c r="AL399" s="1"/>
      <c r="AM399" s="1"/>
      <c r="AN399" s="1"/>
    </row>
    <row r="400">
      <c r="A400" s="1138"/>
      <c r="B400" s="310"/>
      <c r="C400" s="888"/>
      <c r="D400" s="310"/>
      <c r="E400" s="1140"/>
      <c r="F400" s="932"/>
      <c r="G400" s="355"/>
      <c r="H400" s="310"/>
      <c r="I400" s="931"/>
      <c r="J400" s="1143"/>
      <c r="K400" s="691"/>
      <c r="L400" s="691"/>
      <c r="M400" s="691"/>
      <c r="N400" s="691"/>
      <c r="O400" s="691"/>
      <c r="P400" s="691"/>
      <c r="Q400" s="691"/>
      <c r="R400" s="888"/>
      <c r="S400" s="888"/>
      <c r="T400" s="1154"/>
      <c r="U400" s="888"/>
      <c r="V400" s="888"/>
      <c r="W400" s="310"/>
      <c r="X400" s="691"/>
      <c r="Y400" s="1"/>
      <c r="Z400" s="1"/>
      <c r="AA400" s="1"/>
      <c r="AB400" s="1"/>
      <c r="AC400" s="1"/>
      <c r="AD400" s="1"/>
      <c r="AE400" s="1"/>
      <c r="AF400" s="1"/>
      <c r="AG400" s="1"/>
      <c r="AH400" s="1"/>
      <c r="AI400" s="1"/>
      <c r="AJ400" s="1"/>
      <c r="AK400" s="1"/>
      <c r="AL400" s="1"/>
      <c r="AM400" s="1"/>
      <c r="AN400" s="1"/>
    </row>
    <row r="401">
      <c r="A401" s="1138"/>
      <c r="B401" s="310"/>
      <c r="C401" s="888"/>
      <c r="D401" s="310"/>
      <c r="E401" s="1140"/>
      <c r="F401" s="932"/>
      <c r="G401" s="355"/>
      <c r="H401" s="310"/>
      <c r="I401" s="931"/>
      <c r="J401" s="1143"/>
      <c r="K401" s="691"/>
      <c r="L401" s="691"/>
      <c r="M401" s="691"/>
      <c r="N401" s="691"/>
      <c r="O401" s="691"/>
      <c r="P401" s="691"/>
      <c r="Q401" s="691"/>
      <c r="R401" s="888"/>
      <c r="S401" s="888"/>
      <c r="T401" s="1154"/>
      <c r="U401" s="888"/>
      <c r="V401" s="888"/>
      <c r="W401" s="310"/>
      <c r="X401" s="691"/>
      <c r="Y401" s="1"/>
      <c r="Z401" s="1"/>
      <c r="AA401" s="1"/>
      <c r="AB401" s="1"/>
      <c r="AC401" s="1"/>
      <c r="AD401" s="1"/>
      <c r="AE401" s="1"/>
      <c r="AF401" s="1"/>
      <c r="AG401" s="1"/>
      <c r="AH401" s="1"/>
      <c r="AI401" s="1"/>
      <c r="AJ401" s="1"/>
      <c r="AK401" s="1"/>
      <c r="AL401" s="1"/>
      <c r="AM401" s="1"/>
      <c r="AN401" s="1"/>
    </row>
    <row r="402">
      <c r="A402" s="1138"/>
      <c r="B402" s="310"/>
      <c r="C402" s="888"/>
      <c r="D402" s="310"/>
      <c r="E402" s="1140"/>
      <c r="F402" s="932"/>
      <c r="G402" s="355"/>
      <c r="H402" s="310"/>
      <c r="I402" s="931"/>
      <c r="J402" s="1143"/>
      <c r="K402" s="691"/>
      <c r="L402" s="691"/>
      <c r="M402" s="691"/>
      <c r="N402" s="691"/>
      <c r="O402" s="691"/>
      <c r="P402" s="691"/>
      <c r="Q402" s="691"/>
      <c r="R402" s="888"/>
      <c r="S402" s="888"/>
      <c r="T402" s="1154"/>
      <c r="U402" s="888"/>
      <c r="V402" s="888"/>
      <c r="W402" s="310"/>
      <c r="X402" s="691"/>
      <c r="Y402" s="1"/>
      <c r="Z402" s="1"/>
      <c r="AA402" s="1"/>
      <c r="AB402" s="1"/>
      <c r="AC402" s="1"/>
      <c r="AD402" s="1"/>
      <c r="AE402" s="1"/>
      <c r="AF402" s="1"/>
      <c r="AG402" s="1"/>
      <c r="AH402" s="1"/>
      <c r="AI402" s="1"/>
      <c r="AJ402" s="1"/>
      <c r="AK402" s="1"/>
      <c r="AL402" s="1"/>
      <c r="AM402" s="1"/>
      <c r="AN402" s="1"/>
    </row>
    <row r="403">
      <c r="A403" s="1138"/>
      <c r="B403" s="310"/>
      <c r="C403" s="888"/>
      <c r="D403" s="310"/>
      <c r="E403" s="1140"/>
      <c r="F403" s="932"/>
      <c r="G403" s="355"/>
      <c r="H403" s="310"/>
      <c r="I403" s="931"/>
      <c r="J403" s="1143"/>
      <c r="K403" s="691"/>
      <c r="L403" s="691"/>
      <c r="M403" s="691"/>
      <c r="N403" s="691"/>
      <c r="O403" s="691"/>
      <c r="P403" s="691"/>
      <c r="Q403" s="691"/>
      <c r="R403" s="888"/>
      <c r="S403" s="888"/>
      <c r="T403" s="1154"/>
      <c r="U403" s="888"/>
      <c r="V403" s="888"/>
      <c r="W403" s="310"/>
      <c r="X403" s="691"/>
      <c r="Y403" s="1"/>
      <c r="Z403" s="1"/>
      <c r="AA403" s="1"/>
      <c r="AB403" s="1"/>
      <c r="AC403" s="1"/>
      <c r="AD403" s="1"/>
      <c r="AE403" s="1"/>
      <c r="AF403" s="1"/>
      <c r="AG403" s="1"/>
      <c r="AH403" s="1"/>
      <c r="AI403" s="1"/>
      <c r="AJ403" s="1"/>
      <c r="AK403" s="1"/>
      <c r="AL403" s="1"/>
      <c r="AM403" s="1"/>
      <c r="AN403" s="1"/>
    </row>
    <row r="404">
      <c r="A404" s="1138"/>
      <c r="B404" s="310"/>
      <c r="C404" s="888"/>
      <c r="D404" s="310"/>
      <c r="E404" s="1140"/>
      <c r="F404" s="932"/>
      <c r="G404" s="355"/>
      <c r="H404" s="310"/>
      <c r="I404" s="931"/>
      <c r="J404" s="1143"/>
      <c r="K404" s="691"/>
      <c r="L404" s="691"/>
      <c r="M404" s="691"/>
      <c r="N404" s="691"/>
      <c r="O404" s="691"/>
      <c r="P404" s="691"/>
      <c r="Q404" s="691"/>
      <c r="R404" s="888"/>
      <c r="S404" s="888"/>
      <c r="T404" s="1154"/>
      <c r="U404" s="888"/>
      <c r="V404" s="888"/>
      <c r="W404" s="310"/>
      <c r="X404" s="691"/>
      <c r="Y404" s="1"/>
      <c r="Z404" s="1"/>
      <c r="AA404" s="1"/>
      <c r="AB404" s="1"/>
      <c r="AC404" s="1"/>
      <c r="AD404" s="1"/>
      <c r="AE404" s="1"/>
      <c r="AF404" s="1"/>
      <c r="AG404" s="1"/>
      <c r="AH404" s="1"/>
      <c r="AI404" s="1"/>
      <c r="AJ404" s="1"/>
      <c r="AK404" s="1"/>
      <c r="AL404" s="1"/>
      <c r="AM404" s="1"/>
      <c r="AN404" s="1"/>
    </row>
    <row r="405">
      <c r="A405" s="1138"/>
      <c r="B405" s="310"/>
      <c r="C405" s="888"/>
      <c r="D405" s="310"/>
      <c r="E405" s="1140"/>
      <c r="F405" s="932"/>
      <c r="G405" s="355"/>
      <c r="H405" s="310"/>
      <c r="I405" s="931"/>
      <c r="J405" s="1143"/>
      <c r="K405" s="691"/>
      <c r="L405" s="691"/>
      <c r="M405" s="691"/>
      <c r="N405" s="691"/>
      <c r="O405" s="691"/>
      <c r="P405" s="691"/>
      <c r="Q405" s="691"/>
      <c r="R405" s="888"/>
      <c r="S405" s="888"/>
      <c r="T405" s="1154"/>
      <c r="U405" s="888"/>
      <c r="V405" s="888"/>
      <c r="W405" s="310"/>
      <c r="X405" s="691"/>
      <c r="Y405" s="1"/>
      <c r="Z405" s="1"/>
      <c r="AA405" s="1"/>
      <c r="AB405" s="1"/>
      <c r="AC405" s="1"/>
      <c r="AD405" s="1"/>
      <c r="AE405" s="1"/>
      <c r="AF405" s="1"/>
      <c r="AG405" s="1"/>
      <c r="AH405" s="1"/>
      <c r="AI405" s="1"/>
      <c r="AJ405" s="1"/>
      <c r="AK405" s="1"/>
      <c r="AL405" s="1"/>
      <c r="AM405" s="1"/>
      <c r="AN405" s="1"/>
    </row>
    <row r="406">
      <c r="A406" s="1138"/>
      <c r="B406" s="310"/>
      <c r="C406" s="888"/>
      <c r="D406" s="310"/>
      <c r="E406" s="1140"/>
      <c r="F406" s="932"/>
      <c r="G406" s="355"/>
      <c r="H406" s="310"/>
      <c r="I406" s="931"/>
      <c r="J406" s="1143"/>
      <c r="K406" s="691"/>
      <c r="L406" s="691"/>
      <c r="M406" s="691"/>
      <c r="N406" s="691"/>
      <c r="O406" s="691"/>
      <c r="P406" s="691"/>
      <c r="Q406" s="691"/>
      <c r="R406" s="888"/>
      <c r="S406" s="888"/>
      <c r="T406" s="1154"/>
      <c r="U406" s="888"/>
      <c r="V406" s="888"/>
      <c r="W406" s="310"/>
      <c r="X406" s="691"/>
      <c r="Y406" s="1"/>
      <c r="Z406" s="1"/>
      <c r="AA406" s="1"/>
      <c r="AB406" s="1"/>
      <c r="AC406" s="1"/>
      <c r="AD406" s="1"/>
      <c r="AE406" s="1"/>
      <c r="AF406" s="1"/>
      <c r="AG406" s="1"/>
      <c r="AH406" s="1"/>
      <c r="AI406" s="1"/>
      <c r="AJ406" s="1"/>
      <c r="AK406" s="1"/>
      <c r="AL406" s="1"/>
      <c r="AM406" s="1"/>
      <c r="AN406" s="1"/>
    </row>
    <row r="407">
      <c r="A407" s="1138"/>
      <c r="B407" s="310"/>
      <c r="C407" s="888"/>
      <c r="D407" s="310"/>
      <c r="E407" s="1140"/>
      <c r="F407" s="932"/>
      <c r="G407" s="355"/>
      <c r="H407" s="310"/>
      <c r="I407" s="931"/>
      <c r="J407" s="1143"/>
      <c r="K407" s="691"/>
      <c r="L407" s="691"/>
      <c r="M407" s="691"/>
      <c r="N407" s="691"/>
      <c r="O407" s="691"/>
      <c r="P407" s="691"/>
      <c r="Q407" s="691"/>
      <c r="R407" s="888"/>
      <c r="S407" s="888"/>
      <c r="T407" s="1154"/>
      <c r="U407" s="888"/>
      <c r="V407" s="888"/>
      <c r="W407" s="310"/>
      <c r="X407" s="691"/>
      <c r="Y407" s="1"/>
      <c r="Z407" s="1"/>
      <c r="AA407" s="1"/>
      <c r="AB407" s="1"/>
      <c r="AC407" s="1"/>
      <c r="AD407" s="1"/>
      <c r="AE407" s="1"/>
      <c r="AF407" s="1"/>
      <c r="AG407" s="1"/>
      <c r="AH407" s="1"/>
      <c r="AI407" s="1"/>
      <c r="AJ407" s="1"/>
      <c r="AK407" s="1"/>
      <c r="AL407" s="1"/>
      <c r="AM407" s="1"/>
      <c r="AN407" s="1"/>
    </row>
    <row r="408">
      <c r="A408" s="1138"/>
      <c r="B408" s="310"/>
      <c r="C408" s="888"/>
      <c r="D408" s="310"/>
      <c r="E408" s="1140"/>
      <c r="F408" s="932"/>
      <c r="G408" s="355"/>
      <c r="H408" s="310"/>
      <c r="I408" s="931"/>
      <c r="J408" s="1143"/>
      <c r="K408" s="691"/>
      <c r="L408" s="691"/>
      <c r="M408" s="691"/>
      <c r="N408" s="691"/>
      <c r="O408" s="691"/>
      <c r="P408" s="691"/>
      <c r="Q408" s="691"/>
      <c r="R408" s="888"/>
      <c r="S408" s="888"/>
      <c r="T408" s="1154"/>
      <c r="U408" s="888"/>
      <c r="V408" s="888"/>
      <c r="W408" s="310"/>
      <c r="X408" s="691"/>
      <c r="Y408" s="1"/>
      <c r="Z408" s="1"/>
      <c r="AA408" s="1"/>
      <c r="AB408" s="1"/>
      <c r="AC408" s="1"/>
      <c r="AD408" s="1"/>
      <c r="AE408" s="1"/>
      <c r="AF408" s="1"/>
      <c r="AG408" s="1"/>
      <c r="AH408" s="1"/>
      <c r="AI408" s="1"/>
      <c r="AJ408" s="1"/>
      <c r="AK408" s="1"/>
      <c r="AL408" s="1"/>
      <c r="AM408" s="1"/>
      <c r="AN408" s="1"/>
    </row>
    <row r="409">
      <c r="A409" s="1138"/>
      <c r="B409" s="310"/>
      <c r="C409" s="888"/>
      <c r="D409" s="310"/>
      <c r="E409" s="1140"/>
      <c r="F409" s="932"/>
      <c r="G409" s="355"/>
      <c r="H409" s="310"/>
      <c r="I409" s="931"/>
      <c r="J409" s="1143"/>
      <c r="K409" s="691"/>
      <c r="L409" s="691"/>
      <c r="M409" s="691"/>
      <c r="N409" s="691"/>
      <c r="O409" s="691"/>
      <c r="P409" s="691"/>
      <c r="Q409" s="691"/>
      <c r="R409" s="888"/>
      <c r="S409" s="888"/>
      <c r="T409" s="1154"/>
      <c r="U409" s="888"/>
      <c r="V409" s="888"/>
      <c r="W409" s="310"/>
      <c r="X409" s="691"/>
      <c r="Y409" s="1"/>
      <c r="Z409" s="1"/>
      <c r="AA409" s="1"/>
      <c r="AB409" s="1"/>
      <c r="AC409" s="1"/>
      <c r="AD409" s="1"/>
      <c r="AE409" s="1"/>
      <c r="AF409" s="1"/>
      <c r="AG409" s="1"/>
      <c r="AH409" s="1"/>
      <c r="AI409" s="1"/>
      <c r="AJ409" s="1"/>
      <c r="AK409" s="1"/>
      <c r="AL409" s="1"/>
      <c r="AM409" s="1"/>
      <c r="AN409" s="1"/>
    </row>
    <row r="410">
      <c r="A410" s="1138"/>
      <c r="B410" s="310"/>
      <c r="C410" s="888"/>
      <c r="D410" s="310"/>
      <c r="E410" s="1140"/>
      <c r="F410" s="932"/>
      <c r="G410" s="355"/>
      <c r="H410" s="310"/>
      <c r="I410" s="931"/>
      <c r="J410" s="1143"/>
      <c r="K410" s="691"/>
      <c r="L410" s="691"/>
      <c r="M410" s="691"/>
      <c r="N410" s="691"/>
      <c r="O410" s="691"/>
      <c r="P410" s="691"/>
      <c r="Q410" s="691"/>
      <c r="R410" s="888"/>
      <c r="S410" s="888"/>
      <c r="T410" s="1154"/>
      <c r="U410" s="888"/>
      <c r="V410" s="888"/>
      <c r="W410" s="310"/>
      <c r="X410" s="691"/>
      <c r="Y410" s="1"/>
      <c r="Z410" s="1"/>
      <c r="AA410" s="1"/>
      <c r="AB410" s="1"/>
      <c r="AC410" s="1"/>
      <c r="AD410" s="1"/>
      <c r="AE410" s="1"/>
      <c r="AF410" s="1"/>
      <c r="AG410" s="1"/>
      <c r="AH410" s="1"/>
      <c r="AI410" s="1"/>
      <c r="AJ410" s="1"/>
      <c r="AK410" s="1"/>
      <c r="AL410" s="1"/>
      <c r="AM410" s="1"/>
      <c r="AN410" s="1"/>
    </row>
    <row r="411">
      <c r="A411" s="1138"/>
      <c r="B411" s="310"/>
      <c r="C411" s="888"/>
      <c r="D411" s="310"/>
      <c r="E411" s="1140"/>
      <c r="F411" s="932"/>
      <c r="G411" s="355"/>
      <c r="H411" s="310"/>
      <c r="I411" s="931"/>
      <c r="J411" s="1143"/>
      <c r="K411" s="691"/>
      <c r="L411" s="691"/>
      <c r="M411" s="691"/>
      <c r="N411" s="691"/>
      <c r="O411" s="691"/>
      <c r="P411" s="691"/>
      <c r="Q411" s="691"/>
      <c r="R411" s="888"/>
      <c r="S411" s="888"/>
      <c r="T411" s="1154"/>
      <c r="U411" s="888"/>
      <c r="V411" s="888"/>
      <c r="W411" s="310"/>
      <c r="X411" s="691"/>
      <c r="Y411" s="1"/>
      <c r="Z411" s="1"/>
      <c r="AA411" s="1"/>
      <c r="AB411" s="1"/>
      <c r="AC411" s="1"/>
      <c r="AD411" s="1"/>
      <c r="AE411" s="1"/>
      <c r="AF411" s="1"/>
      <c r="AG411" s="1"/>
      <c r="AH411" s="1"/>
      <c r="AI411" s="1"/>
      <c r="AJ411" s="1"/>
      <c r="AK411" s="1"/>
      <c r="AL411" s="1"/>
      <c r="AM411" s="1"/>
      <c r="AN411" s="1"/>
    </row>
    <row r="412">
      <c r="A412" s="1138"/>
      <c r="B412" s="310"/>
      <c r="C412" s="888"/>
      <c r="D412" s="310"/>
      <c r="E412" s="1140"/>
      <c r="F412" s="932"/>
      <c r="G412" s="355"/>
      <c r="H412" s="310"/>
      <c r="I412" s="931"/>
      <c r="J412" s="1143"/>
      <c r="K412" s="691"/>
      <c r="L412" s="691"/>
      <c r="M412" s="691"/>
      <c r="N412" s="691"/>
      <c r="O412" s="691"/>
      <c r="P412" s="691"/>
      <c r="Q412" s="691"/>
      <c r="R412" s="888"/>
      <c r="S412" s="888"/>
      <c r="T412" s="1154"/>
      <c r="U412" s="888"/>
      <c r="V412" s="888"/>
      <c r="W412" s="310"/>
      <c r="X412" s="691"/>
      <c r="Y412" s="1"/>
      <c r="Z412" s="1"/>
      <c r="AA412" s="1"/>
      <c r="AB412" s="1"/>
      <c r="AC412" s="1"/>
      <c r="AD412" s="1"/>
      <c r="AE412" s="1"/>
      <c r="AF412" s="1"/>
      <c r="AG412" s="1"/>
      <c r="AH412" s="1"/>
      <c r="AI412" s="1"/>
      <c r="AJ412" s="1"/>
      <c r="AK412" s="1"/>
      <c r="AL412" s="1"/>
      <c r="AM412" s="1"/>
      <c r="AN412" s="1"/>
    </row>
    <row r="413">
      <c r="A413" s="1138"/>
      <c r="B413" s="310"/>
      <c r="C413" s="888"/>
      <c r="D413" s="310"/>
      <c r="E413" s="1140"/>
      <c r="F413" s="932"/>
      <c r="G413" s="355"/>
      <c r="H413" s="310"/>
      <c r="I413" s="931"/>
      <c r="J413" s="1143"/>
      <c r="K413" s="691"/>
      <c r="L413" s="691"/>
      <c r="M413" s="691"/>
      <c r="N413" s="691"/>
      <c r="O413" s="691"/>
      <c r="P413" s="691"/>
      <c r="Q413" s="691"/>
      <c r="R413" s="888"/>
      <c r="S413" s="888"/>
      <c r="T413" s="1154"/>
      <c r="U413" s="888"/>
      <c r="V413" s="888"/>
      <c r="W413" s="310"/>
      <c r="X413" s="691"/>
      <c r="Y413" s="1"/>
      <c r="Z413" s="1"/>
      <c r="AA413" s="1"/>
      <c r="AB413" s="1"/>
      <c r="AC413" s="1"/>
      <c r="AD413" s="1"/>
      <c r="AE413" s="1"/>
      <c r="AF413" s="1"/>
      <c r="AG413" s="1"/>
      <c r="AH413" s="1"/>
      <c r="AI413" s="1"/>
      <c r="AJ413" s="1"/>
      <c r="AK413" s="1"/>
      <c r="AL413" s="1"/>
      <c r="AM413" s="1"/>
      <c r="AN413" s="1"/>
    </row>
    <row r="414">
      <c r="A414" s="1138"/>
      <c r="B414" s="310"/>
      <c r="C414" s="888"/>
      <c r="D414" s="310"/>
      <c r="E414" s="1140"/>
      <c r="F414" s="932"/>
      <c r="G414" s="355"/>
      <c r="H414" s="310"/>
      <c r="I414" s="931"/>
      <c r="J414" s="1143"/>
      <c r="K414" s="691"/>
      <c r="L414" s="691"/>
      <c r="M414" s="691"/>
      <c r="N414" s="691"/>
      <c r="O414" s="691"/>
      <c r="P414" s="691"/>
      <c r="Q414" s="691"/>
      <c r="R414" s="888"/>
      <c r="S414" s="888"/>
      <c r="T414" s="1154"/>
      <c r="U414" s="888"/>
      <c r="V414" s="888"/>
      <c r="W414" s="310"/>
      <c r="X414" s="691"/>
      <c r="Y414" s="1"/>
      <c r="Z414" s="1"/>
      <c r="AA414" s="1"/>
      <c r="AB414" s="1"/>
      <c r="AC414" s="1"/>
      <c r="AD414" s="1"/>
      <c r="AE414" s="1"/>
      <c r="AF414" s="1"/>
      <c r="AG414" s="1"/>
      <c r="AH414" s="1"/>
      <c r="AI414" s="1"/>
      <c r="AJ414" s="1"/>
      <c r="AK414" s="1"/>
      <c r="AL414" s="1"/>
      <c r="AM414" s="1"/>
      <c r="AN414" s="1"/>
    </row>
    <row r="415">
      <c r="A415" s="1138"/>
      <c r="B415" s="310"/>
      <c r="C415" s="888"/>
      <c r="D415" s="310"/>
      <c r="E415" s="1140"/>
      <c r="F415" s="932"/>
      <c r="G415" s="355"/>
      <c r="H415" s="310"/>
      <c r="I415" s="931"/>
      <c r="J415" s="1143"/>
      <c r="K415" s="691"/>
      <c r="L415" s="691"/>
      <c r="M415" s="691"/>
      <c r="N415" s="691"/>
      <c r="O415" s="691"/>
      <c r="P415" s="691"/>
      <c r="Q415" s="691"/>
      <c r="R415" s="888"/>
      <c r="S415" s="888"/>
      <c r="T415" s="1154"/>
      <c r="U415" s="888"/>
      <c r="V415" s="888"/>
      <c r="W415" s="310"/>
      <c r="X415" s="691"/>
      <c r="Y415" s="1"/>
      <c r="Z415" s="1"/>
      <c r="AA415" s="1"/>
      <c r="AB415" s="1"/>
      <c r="AC415" s="1"/>
      <c r="AD415" s="1"/>
      <c r="AE415" s="1"/>
      <c r="AF415" s="1"/>
      <c r="AG415" s="1"/>
      <c r="AH415" s="1"/>
      <c r="AI415" s="1"/>
      <c r="AJ415" s="1"/>
      <c r="AK415" s="1"/>
      <c r="AL415" s="1"/>
      <c r="AM415" s="1"/>
      <c r="AN415" s="1"/>
    </row>
    <row r="416">
      <c r="A416" s="1138"/>
      <c r="B416" s="310"/>
      <c r="C416" s="888"/>
      <c r="D416" s="310"/>
      <c r="E416" s="1140"/>
      <c r="F416" s="932"/>
      <c r="G416" s="355"/>
      <c r="H416" s="310"/>
      <c r="I416" s="931"/>
      <c r="J416" s="1143"/>
      <c r="K416" s="691"/>
      <c r="L416" s="691"/>
      <c r="M416" s="691"/>
      <c r="N416" s="691"/>
      <c r="O416" s="691"/>
      <c r="P416" s="691"/>
      <c r="Q416" s="691"/>
      <c r="R416" s="888"/>
      <c r="S416" s="888"/>
      <c r="T416" s="1154"/>
      <c r="U416" s="888"/>
      <c r="V416" s="888"/>
      <c r="W416" s="310"/>
      <c r="X416" s="691"/>
      <c r="Y416" s="1"/>
      <c r="Z416" s="1"/>
      <c r="AA416" s="1"/>
      <c r="AB416" s="1"/>
      <c r="AC416" s="1"/>
      <c r="AD416" s="1"/>
      <c r="AE416" s="1"/>
      <c r="AF416" s="1"/>
      <c r="AG416" s="1"/>
      <c r="AH416" s="1"/>
      <c r="AI416" s="1"/>
      <c r="AJ416" s="1"/>
      <c r="AK416" s="1"/>
      <c r="AL416" s="1"/>
      <c r="AM416" s="1"/>
      <c r="AN416" s="1"/>
    </row>
    <row r="417">
      <c r="A417" s="1138"/>
      <c r="B417" s="310"/>
      <c r="C417" s="888"/>
      <c r="D417" s="310"/>
      <c r="E417" s="1140"/>
      <c r="F417" s="932"/>
      <c r="G417" s="355"/>
      <c r="H417" s="310"/>
      <c r="I417" s="931"/>
      <c r="J417" s="1143"/>
      <c r="K417" s="691"/>
      <c r="L417" s="691"/>
      <c r="M417" s="691"/>
      <c r="N417" s="691"/>
      <c r="O417" s="691"/>
      <c r="P417" s="691"/>
      <c r="Q417" s="691"/>
      <c r="R417" s="888"/>
      <c r="S417" s="888"/>
      <c r="T417" s="1154"/>
      <c r="U417" s="888"/>
      <c r="V417" s="888"/>
      <c r="W417" s="310"/>
      <c r="X417" s="691"/>
      <c r="Y417" s="1"/>
      <c r="Z417" s="1"/>
      <c r="AA417" s="1"/>
      <c r="AB417" s="1"/>
      <c r="AC417" s="1"/>
      <c r="AD417" s="1"/>
      <c r="AE417" s="1"/>
      <c r="AF417" s="1"/>
      <c r="AG417" s="1"/>
      <c r="AH417" s="1"/>
      <c r="AI417" s="1"/>
      <c r="AJ417" s="1"/>
      <c r="AK417" s="1"/>
      <c r="AL417" s="1"/>
      <c r="AM417" s="1"/>
      <c r="AN417" s="1"/>
    </row>
    <row r="418">
      <c r="A418" s="1138"/>
      <c r="B418" s="310"/>
      <c r="C418" s="888"/>
      <c r="D418" s="310"/>
      <c r="E418" s="1140"/>
      <c r="F418" s="932"/>
      <c r="G418" s="355"/>
      <c r="H418" s="310"/>
      <c r="I418" s="931"/>
      <c r="J418" s="1143"/>
      <c r="K418" s="691"/>
      <c r="L418" s="691"/>
      <c r="M418" s="691"/>
      <c r="N418" s="691"/>
      <c r="O418" s="691"/>
      <c r="P418" s="691"/>
      <c r="Q418" s="691"/>
      <c r="R418" s="888"/>
      <c r="S418" s="888"/>
      <c r="T418" s="1154"/>
      <c r="U418" s="888"/>
      <c r="V418" s="888"/>
      <c r="W418" s="310"/>
      <c r="X418" s="691"/>
      <c r="Y418" s="1"/>
      <c r="Z418" s="1"/>
      <c r="AA418" s="1"/>
      <c r="AB418" s="1"/>
      <c r="AC418" s="1"/>
      <c r="AD418" s="1"/>
      <c r="AE418" s="1"/>
      <c r="AF418" s="1"/>
      <c r="AG418" s="1"/>
      <c r="AH418" s="1"/>
      <c r="AI418" s="1"/>
      <c r="AJ418" s="1"/>
      <c r="AK418" s="1"/>
      <c r="AL418" s="1"/>
      <c r="AM418" s="1"/>
      <c r="AN418" s="1"/>
    </row>
    <row r="419">
      <c r="A419" s="1138"/>
      <c r="B419" s="310"/>
      <c r="C419" s="888"/>
      <c r="D419" s="310"/>
      <c r="E419" s="1140"/>
      <c r="F419" s="932"/>
      <c r="G419" s="355"/>
      <c r="H419" s="310"/>
      <c r="I419" s="931"/>
      <c r="J419" s="1143"/>
      <c r="K419" s="691"/>
      <c r="L419" s="691"/>
      <c r="M419" s="691"/>
      <c r="N419" s="691"/>
      <c r="O419" s="691"/>
      <c r="P419" s="691"/>
      <c r="Q419" s="691"/>
      <c r="R419" s="888"/>
      <c r="S419" s="888"/>
      <c r="T419" s="1154"/>
      <c r="U419" s="888"/>
      <c r="V419" s="888"/>
      <c r="W419" s="310"/>
      <c r="X419" s="691"/>
      <c r="Y419" s="1"/>
      <c r="Z419" s="1"/>
      <c r="AA419" s="1"/>
      <c r="AB419" s="1"/>
      <c r="AC419" s="1"/>
      <c r="AD419" s="1"/>
      <c r="AE419" s="1"/>
      <c r="AF419" s="1"/>
      <c r="AG419" s="1"/>
      <c r="AH419" s="1"/>
      <c r="AI419" s="1"/>
      <c r="AJ419" s="1"/>
      <c r="AK419" s="1"/>
      <c r="AL419" s="1"/>
      <c r="AM419" s="1"/>
      <c r="AN419" s="1"/>
    </row>
    <row r="420">
      <c r="A420" s="1138"/>
      <c r="B420" s="310"/>
      <c r="C420" s="888"/>
      <c r="D420" s="310"/>
      <c r="E420" s="1140"/>
      <c r="F420" s="932"/>
      <c r="G420" s="355"/>
      <c r="H420" s="310"/>
      <c r="I420" s="931"/>
      <c r="J420" s="1143"/>
      <c r="K420" s="691"/>
      <c r="L420" s="691"/>
      <c r="M420" s="691"/>
      <c r="N420" s="691"/>
      <c r="O420" s="691"/>
      <c r="P420" s="691"/>
      <c r="Q420" s="691"/>
      <c r="R420" s="888"/>
      <c r="S420" s="888"/>
      <c r="T420" s="1154"/>
      <c r="U420" s="888"/>
      <c r="V420" s="888"/>
      <c r="W420" s="310"/>
      <c r="X420" s="691"/>
      <c r="Y420" s="1"/>
      <c r="Z420" s="1"/>
      <c r="AA420" s="1"/>
      <c r="AB420" s="1"/>
      <c r="AC420" s="1"/>
      <c r="AD420" s="1"/>
      <c r="AE420" s="1"/>
      <c r="AF420" s="1"/>
      <c r="AG420" s="1"/>
      <c r="AH420" s="1"/>
      <c r="AI420" s="1"/>
      <c r="AJ420" s="1"/>
      <c r="AK420" s="1"/>
      <c r="AL420" s="1"/>
      <c r="AM420" s="1"/>
      <c r="AN420" s="1"/>
    </row>
    <row r="421">
      <c r="A421" s="1138"/>
      <c r="B421" s="310"/>
      <c r="C421" s="888"/>
      <c r="D421" s="310"/>
      <c r="E421" s="1140"/>
      <c r="F421" s="932"/>
      <c r="G421" s="355"/>
      <c r="H421" s="310"/>
      <c r="I421" s="931"/>
      <c r="J421" s="1143"/>
      <c r="K421" s="691"/>
      <c r="L421" s="691"/>
      <c r="M421" s="691"/>
      <c r="N421" s="691"/>
      <c r="O421" s="691"/>
      <c r="P421" s="691"/>
      <c r="Q421" s="691"/>
      <c r="R421" s="888"/>
      <c r="S421" s="888"/>
      <c r="T421" s="1154"/>
      <c r="U421" s="888"/>
      <c r="V421" s="888"/>
      <c r="W421" s="310"/>
      <c r="X421" s="691"/>
      <c r="Y421" s="1"/>
      <c r="Z421" s="1"/>
      <c r="AA421" s="1"/>
      <c r="AB421" s="1"/>
      <c r="AC421" s="1"/>
      <c r="AD421" s="1"/>
      <c r="AE421" s="1"/>
      <c r="AF421" s="1"/>
      <c r="AG421" s="1"/>
      <c r="AH421" s="1"/>
      <c r="AI421" s="1"/>
      <c r="AJ421" s="1"/>
      <c r="AK421" s="1"/>
      <c r="AL421" s="1"/>
      <c r="AM421" s="1"/>
      <c r="AN421" s="1"/>
    </row>
    <row r="422">
      <c r="A422" s="1138"/>
      <c r="B422" s="310"/>
      <c r="C422" s="888"/>
      <c r="D422" s="310"/>
      <c r="E422" s="1140"/>
      <c r="F422" s="932"/>
      <c r="G422" s="355"/>
      <c r="H422" s="310"/>
      <c r="I422" s="931"/>
      <c r="J422" s="1143"/>
      <c r="K422" s="691"/>
      <c r="L422" s="691"/>
      <c r="M422" s="691"/>
      <c r="N422" s="691"/>
      <c r="O422" s="691"/>
      <c r="P422" s="691"/>
      <c r="Q422" s="691"/>
      <c r="R422" s="888"/>
      <c r="S422" s="888"/>
      <c r="T422" s="1154"/>
      <c r="U422" s="888"/>
      <c r="V422" s="888"/>
      <c r="W422" s="310"/>
      <c r="X422" s="691"/>
      <c r="Y422" s="1"/>
      <c r="Z422" s="1"/>
      <c r="AA422" s="1"/>
      <c r="AB422" s="1"/>
      <c r="AC422" s="1"/>
      <c r="AD422" s="1"/>
      <c r="AE422" s="1"/>
      <c r="AF422" s="1"/>
      <c r="AG422" s="1"/>
      <c r="AH422" s="1"/>
      <c r="AI422" s="1"/>
      <c r="AJ422" s="1"/>
      <c r="AK422" s="1"/>
      <c r="AL422" s="1"/>
      <c r="AM422" s="1"/>
      <c r="AN422" s="1"/>
    </row>
    <row r="423">
      <c r="A423" s="1138"/>
      <c r="B423" s="310"/>
      <c r="C423" s="888"/>
      <c r="D423" s="310"/>
      <c r="E423" s="1140"/>
      <c r="F423" s="932"/>
      <c r="G423" s="355"/>
      <c r="H423" s="310"/>
      <c r="I423" s="931"/>
      <c r="J423" s="1143"/>
      <c r="K423" s="691"/>
      <c r="L423" s="691"/>
      <c r="M423" s="691"/>
      <c r="N423" s="691"/>
      <c r="O423" s="691"/>
      <c r="P423" s="691"/>
      <c r="Q423" s="691"/>
      <c r="R423" s="888"/>
      <c r="S423" s="888"/>
      <c r="T423" s="1154"/>
      <c r="U423" s="888"/>
      <c r="V423" s="888"/>
      <c r="W423" s="310"/>
      <c r="X423" s="691"/>
      <c r="Y423" s="1"/>
      <c r="Z423" s="1"/>
      <c r="AA423" s="1"/>
      <c r="AB423" s="1"/>
      <c r="AC423" s="1"/>
      <c r="AD423" s="1"/>
      <c r="AE423" s="1"/>
      <c r="AF423" s="1"/>
      <c r="AG423" s="1"/>
      <c r="AH423" s="1"/>
      <c r="AI423" s="1"/>
      <c r="AJ423" s="1"/>
      <c r="AK423" s="1"/>
      <c r="AL423" s="1"/>
      <c r="AM423" s="1"/>
      <c r="AN423" s="1"/>
    </row>
    <row r="424">
      <c r="A424" s="1138"/>
      <c r="B424" s="310"/>
      <c r="C424" s="888"/>
      <c r="D424" s="310"/>
      <c r="E424" s="1140"/>
      <c r="F424" s="932"/>
      <c r="G424" s="355"/>
      <c r="H424" s="310"/>
      <c r="I424" s="931"/>
      <c r="J424" s="1143"/>
      <c r="K424" s="691"/>
      <c r="L424" s="691"/>
      <c r="M424" s="691"/>
      <c r="N424" s="691"/>
      <c r="O424" s="691"/>
      <c r="P424" s="691"/>
      <c r="Q424" s="691"/>
      <c r="R424" s="888"/>
      <c r="S424" s="888"/>
      <c r="T424" s="1154"/>
      <c r="U424" s="888"/>
      <c r="V424" s="888"/>
      <c r="W424" s="310"/>
      <c r="X424" s="691"/>
      <c r="Y424" s="1"/>
      <c r="Z424" s="1"/>
      <c r="AA424" s="1"/>
      <c r="AB424" s="1"/>
      <c r="AC424" s="1"/>
      <c r="AD424" s="1"/>
      <c r="AE424" s="1"/>
      <c r="AF424" s="1"/>
      <c r="AG424" s="1"/>
      <c r="AH424" s="1"/>
      <c r="AI424" s="1"/>
      <c r="AJ424" s="1"/>
      <c r="AK424" s="1"/>
      <c r="AL424" s="1"/>
      <c r="AM424" s="1"/>
      <c r="AN424" s="1"/>
    </row>
    <row r="425">
      <c r="A425" s="1138"/>
      <c r="B425" s="310"/>
      <c r="C425" s="888"/>
      <c r="D425" s="310"/>
      <c r="E425" s="1140"/>
      <c r="F425" s="932"/>
      <c r="G425" s="355"/>
      <c r="H425" s="310"/>
      <c r="I425" s="931"/>
      <c r="J425" s="1143"/>
      <c r="K425" s="691"/>
      <c r="L425" s="691"/>
      <c r="M425" s="691"/>
      <c r="N425" s="691"/>
      <c r="O425" s="691"/>
      <c r="P425" s="691"/>
      <c r="Q425" s="691"/>
      <c r="R425" s="888"/>
      <c r="S425" s="888"/>
      <c r="T425" s="1154"/>
      <c r="U425" s="888"/>
      <c r="V425" s="888"/>
      <c r="W425" s="310"/>
      <c r="X425" s="691"/>
      <c r="Y425" s="1"/>
      <c r="Z425" s="1"/>
      <c r="AA425" s="1"/>
      <c r="AB425" s="1"/>
      <c r="AC425" s="1"/>
      <c r="AD425" s="1"/>
      <c r="AE425" s="1"/>
      <c r="AF425" s="1"/>
      <c r="AG425" s="1"/>
      <c r="AH425" s="1"/>
      <c r="AI425" s="1"/>
      <c r="AJ425" s="1"/>
      <c r="AK425" s="1"/>
      <c r="AL425" s="1"/>
      <c r="AM425" s="1"/>
      <c r="AN425" s="1"/>
    </row>
    <row r="426">
      <c r="A426" s="1138"/>
      <c r="B426" s="310"/>
      <c r="C426" s="888"/>
      <c r="D426" s="310"/>
      <c r="E426" s="1140"/>
      <c r="F426" s="932"/>
      <c r="G426" s="355"/>
      <c r="H426" s="310"/>
      <c r="I426" s="931"/>
      <c r="J426" s="1143"/>
      <c r="K426" s="691"/>
      <c r="L426" s="691"/>
      <c r="M426" s="691"/>
      <c r="N426" s="691"/>
      <c r="O426" s="691"/>
      <c r="P426" s="691"/>
      <c r="Q426" s="691"/>
      <c r="R426" s="888"/>
      <c r="S426" s="888"/>
      <c r="T426" s="1154"/>
      <c r="U426" s="888"/>
      <c r="V426" s="888"/>
      <c r="W426" s="310"/>
      <c r="X426" s="691"/>
      <c r="Y426" s="1"/>
      <c r="Z426" s="1"/>
      <c r="AA426" s="1"/>
      <c r="AB426" s="1"/>
      <c r="AC426" s="1"/>
      <c r="AD426" s="1"/>
      <c r="AE426" s="1"/>
      <c r="AF426" s="1"/>
      <c r="AG426" s="1"/>
      <c r="AH426" s="1"/>
      <c r="AI426" s="1"/>
      <c r="AJ426" s="1"/>
      <c r="AK426" s="1"/>
      <c r="AL426" s="1"/>
      <c r="AM426" s="1"/>
      <c r="AN426" s="1"/>
    </row>
    <row r="427">
      <c r="A427" s="1138"/>
      <c r="B427" s="310"/>
      <c r="C427" s="888"/>
      <c r="D427" s="310"/>
      <c r="E427" s="1140"/>
      <c r="F427" s="932"/>
      <c r="G427" s="355"/>
      <c r="H427" s="310"/>
      <c r="I427" s="931"/>
      <c r="J427" s="1143"/>
      <c r="K427" s="691"/>
      <c r="L427" s="691"/>
      <c r="M427" s="691"/>
      <c r="N427" s="691"/>
      <c r="O427" s="691"/>
      <c r="P427" s="691"/>
      <c r="Q427" s="691"/>
      <c r="R427" s="888"/>
      <c r="S427" s="888"/>
      <c r="T427" s="1154"/>
      <c r="U427" s="888"/>
      <c r="V427" s="888"/>
      <c r="W427" s="310"/>
      <c r="X427" s="691"/>
      <c r="Y427" s="1"/>
      <c r="Z427" s="1"/>
      <c r="AA427" s="1"/>
      <c r="AB427" s="1"/>
      <c r="AC427" s="1"/>
      <c r="AD427" s="1"/>
      <c r="AE427" s="1"/>
      <c r="AF427" s="1"/>
      <c r="AG427" s="1"/>
      <c r="AH427" s="1"/>
      <c r="AI427" s="1"/>
      <c r="AJ427" s="1"/>
      <c r="AK427" s="1"/>
      <c r="AL427" s="1"/>
      <c r="AM427" s="1"/>
      <c r="AN427" s="1"/>
    </row>
    <row r="428">
      <c r="A428" s="1138"/>
      <c r="B428" s="310"/>
      <c r="C428" s="888"/>
      <c r="D428" s="310"/>
      <c r="E428" s="1140"/>
      <c r="F428" s="932"/>
      <c r="G428" s="355"/>
      <c r="H428" s="310"/>
      <c r="I428" s="931"/>
      <c r="J428" s="1143"/>
      <c r="K428" s="691"/>
      <c r="L428" s="691"/>
      <c r="M428" s="691"/>
      <c r="N428" s="691"/>
      <c r="O428" s="691"/>
      <c r="P428" s="691"/>
      <c r="Q428" s="691"/>
      <c r="R428" s="888"/>
      <c r="S428" s="888"/>
      <c r="T428" s="1154"/>
      <c r="U428" s="888"/>
      <c r="V428" s="888"/>
      <c r="W428" s="310"/>
      <c r="X428" s="691"/>
      <c r="Y428" s="1"/>
      <c r="Z428" s="1"/>
      <c r="AA428" s="1"/>
      <c r="AB428" s="1"/>
      <c r="AC428" s="1"/>
      <c r="AD428" s="1"/>
      <c r="AE428" s="1"/>
      <c r="AF428" s="1"/>
      <c r="AG428" s="1"/>
      <c r="AH428" s="1"/>
      <c r="AI428" s="1"/>
      <c r="AJ428" s="1"/>
      <c r="AK428" s="1"/>
      <c r="AL428" s="1"/>
      <c r="AM428" s="1"/>
      <c r="AN428" s="1"/>
    </row>
    <row r="429">
      <c r="A429" s="1138"/>
      <c r="B429" s="310"/>
      <c r="C429" s="888"/>
      <c r="D429" s="310"/>
      <c r="E429" s="1140"/>
      <c r="F429" s="932"/>
      <c r="G429" s="355"/>
      <c r="H429" s="310"/>
      <c r="I429" s="931"/>
      <c r="J429" s="1143"/>
      <c r="K429" s="691"/>
      <c r="L429" s="691"/>
      <c r="M429" s="691"/>
      <c r="N429" s="691"/>
      <c r="O429" s="691"/>
      <c r="P429" s="691"/>
      <c r="Q429" s="691"/>
      <c r="R429" s="888"/>
      <c r="S429" s="888"/>
      <c r="T429" s="1154"/>
      <c r="U429" s="888"/>
      <c r="V429" s="888"/>
      <c r="W429" s="310"/>
      <c r="X429" s="691"/>
      <c r="Y429" s="1"/>
      <c r="Z429" s="1"/>
      <c r="AA429" s="1"/>
      <c r="AB429" s="1"/>
      <c r="AC429" s="1"/>
      <c r="AD429" s="1"/>
      <c r="AE429" s="1"/>
      <c r="AF429" s="1"/>
      <c r="AG429" s="1"/>
      <c r="AH429" s="1"/>
      <c r="AI429" s="1"/>
      <c r="AJ429" s="1"/>
      <c r="AK429" s="1"/>
      <c r="AL429" s="1"/>
      <c r="AM429" s="1"/>
      <c r="AN429" s="1"/>
    </row>
    <row r="430">
      <c r="A430" s="1138"/>
      <c r="B430" s="310"/>
      <c r="C430" s="888"/>
      <c r="D430" s="310"/>
      <c r="E430" s="1140"/>
      <c r="F430" s="932"/>
      <c r="G430" s="355"/>
      <c r="H430" s="310"/>
      <c r="I430" s="931"/>
      <c r="J430" s="1143"/>
      <c r="K430" s="691"/>
      <c r="L430" s="691"/>
      <c r="M430" s="691"/>
      <c r="N430" s="691"/>
      <c r="O430" s="691"/>
      <c r="P430" s="691"/>
      <c r="Q430" s="691"/>
      <c r="R430" s="888"/>
      <c r="S430" s="888"/>
      <c r="T430" s="1154"/>
      <c r="U430" s="888"/>
      <c r="V430" s="888"/>
      <c r="W430" s="310"/>
      <c r="X430" s="691"/>
      <c r="Y430" s="1"/>
      <c r="Z430" s="1"/>
      <c r="AA430" s="1"/>
      <c r="AB430" s="1"/>
      <c r="AC430" s="1"/>
      <c r="AD430" s="1"/>
      <c r="AE430" s="1"/>
      <c r="AF430" s="1"/>
      <c r="AG430" s="1"/>
      <c r="AH430" s="1"/>
      <c r="AI430" s="1"/>
      <c r="AJ430" s="1"/>
      <c r="AK430" s="1"/>
      <c r="AL430" s="1"/>
      <c r="AM430" s="1"/>
      <c r="AN430" s="1"/>
    </row>
    <row r="431">
      <c r="A431" s="1138"/>
      <c r="B431" s="310"/>
      <c r="C431" s="888"/>
      <c r="D431" s="310"/>
      <c r="E431" s="1140"/>
      <c r="F431" s="932"/>
      <c r="G431" s="355"/>
      <c r="H431" s="310"/>
      <c r="I431" s="931"/>
      <c r="J431" s="1143"/>
      <c r="K431" s="691"/>
      <c r="L431" s="691"/>
      <c r="M431" s="691"/>
      <c r="N431" s="691"/>
      <c r="O431" s="691"/>
      <c r="P431" s="691"/>
      <c r="Q431" s="691"/>
      <c r="R431" s="888"/>
      <c r="S431" s="888"/>
      <c r="T431" s="1154"/>
      <c r="U431" s="888"/>
      <c r="V431" s="888"/>
      <c r="W431" s="310"/>
      <c r="X431" s="691"/>
      <c r="Y431" s="1"/>
      <c r="Z431" s="1"/>
      <c r="AA431" s="1"/>
      <c r="AB431" s="1"/>
      <c r="AC431" s="1"/>
      <c r="AD431" s="1"/>
      <c r="AE431" s="1"/>
      <c r="AF431" s="1"/>
      <c r="AG431" s="1"/>
      <c r="AH431" s="1"/>
      <c r="AI431" s="1"/>
      <c r="AJ431" s="1"/>
      <c r="AK431" s="1"/>
      <c r="AL431" s="1"/>
      <c r="AM431" s="1"/>
      <c r="AN431" s="1"/>
    </row>
    <row r="432">
      <c r="A432" s="1138"/>
      <c r="B432" s="310"/>
      <c r="C432" s="888"/>
      <c r="D432" s="310"/>
      <c r="E432" s="1140"/>
      <c r="F432" s="932"/>
      <c r="G432" s="355"/>
      <c r="H432" s="310"/>
      <c r="I432" s="931"/>
      <c r="J432" s="1143"/>
      <c r="K432" s="691"/>
      <c r="L432" s="691"/>
      <c r="M432" s="691"/>
      <c r="N432" s="691"/>
      <c r="O432" s="691"/>
      <c r="P432" s="691"/>
      <c r="Q432" s="691"/>
      <c r="R432" s="888"/>
      <c r="S432" s="888"/>
      <c r="T432" s="1154"/>
      <c r="U432" s="888"/>
      <c r="V432" s="888"/>
      <c r="W432" s="310"/>
      <c r="X432" s="691"/>
      <c r="Y432" s="1"/>
      <c r="Z432" s="1"/>
      <c r="AA432" s="1"/>
      <c r="AB432" s="1"/>
      <c r="AC432" s="1"/>
      <c r="AD432" s="1"/>
      <c r="AE432" s="1"/>
      <c r="AF432" s="1"/>
      <c r="AG432" s="1"/>
      <c r="AH432" s="1"/>
      <c r="AI432" s="1"/>
      <c r="AJ432" s="1"/>
      <c r="AK432" s="1"/>
      <c r="AL432" s="1"/>
      <c r="AM432" s="1"/>
      <c r="AN432" s="1"/>
    </row>
    <row r="433">
      <c r="A433" s="1138"/>
      <c r="B433" s="310"/>
      <c r="C433" s="888"/>
      <c r="D433" s="310"/>
      <c r="E433" s="1140"/>
      <c r="F433" s="932"/>
      <c r="G433" s="355"/>
      <c r="H433" s="310"/>
      <c r="I433" s="931"/>
      <c r="J433" s="1143"/>
      <c r="K433" s="691"/>
      <c r="L433" s="691"/>
      <c r="M433" s="691"/>
      <c r="N433" s="691"/>
      <c r="O433" s="691"/>
      <c r="P433" s="691"/>
      <c r="Q433" s="691"/>
      <c r="R433" s="888"/>
      <c r="S433" s="888"/>
      <c r="T433" s="1154"/>
      <c r="U433" s="888"/>
      <c r="V433" s="888"/>
      <c r="W433" s="310"/>
      <c r="X433" s="691"/>
      <c r="Y433" s="1"/>
      <c r="Z433" s="1"/>
      <c r="AA433" s="1"/>
      <c r="AB433" s="1"/>
      <c r="AC433" s="1"/>
      <c r="AD433" s="1"/>
      <c r="AE433" s="1"/>
      <c r="AF433" s="1"/>
      <c r="AG433" s="1"/>
      <c r="AH433" s="1"/>
      <c r="AI433" s="1"/>
      <c r="AJ433" s="1"/>
      <c r="AK433" s="1"/>
      <c r="AL433" s="1"/>
      <c r="AM433" s="1"/>
      <c r="AN433" s="1"/>
    </row>
    <row r="434">
      <c r="A434" s="1138"/>
      <c r="B434" s="310"/>
      <c r="C434" s="888"/>
      <c r="D434" s="310"/>
      <c r="E434" s="1140"/>
      <c r="F434" s="932"/>
      <c r="G434" s="355"/>
      <c r="H434" s="310"/>
      <c r="I434" s="931"/>
      <c r="J434" s="1143"/>
      <c r="K434" s="691"/>
      <c r="L434" s="691"/>
      <c r="M434" s="691"/>
      <c r="N434" s="691"/>
      <c r="O434" s="691"/>
      <c r="P434" s="691"/>
      <c r="Q434" s="691"/>
      <c r="R434" s="888"/>
      <c r="S434" s="888"/>
      <c r="T434" s="1154"/>
      <c r="U434" s="888"/>
      <c r="V434" s="888"/>
      <c r="W434" s="310"/>
      <c r="X434" s="691"/>
      <c r="Y434" s="1"/>
      <c r="Z434" s="1"/>
      <c r="AA434" s="1"/>
      <c r="AB434" s="1"/>
      <c r="AC434" s="1"/>
      <c r="AD434" s="1"/>
      <c r="AE434" s="1"/>
      <c r="AF434" s="1"/>
      <c r="AG434" s="1"/>
      <c r="AH434" s="1"/>
      <c r="AI434" s="1"/>
      <c r="AJ434" s="1"/>
      <c r="AK434" s="1"/>
      <c r="AL434" s="1"/>
      <c r="AM434" s="1"/>
      <c r="AN434" s="1"/>
    </row>
    <row r="435">
      <c r="A435" s="1138"/>
      <c r="B435" s="310"/>
      <c r="C435" s="888"/>
      <c r="D435" s="310"/>
      <c r="E435" s="1140"/>
      <c r="F435" s="932"/>
      <c r="G435" s="355"/>
      <c r="H435" s="310"/>
      <c r="I435" s="931"/>
      <c r="J435" s="1143"/>
      <c r="K435" s="691"/>
      <c r="L435" s="691"/>
      <c r="M435" s="691"/>
      <c r="N435" s="691"/>
      <c r="O435" s="691"/>
      <c r="P435" s="691"/>
      <c r="Q435" s="691"/>
      <c r="R435" s="888"/>
      <c r="S435" s="888"/>
      <c r="T435" s="1154"/>
      <c r="U435" s="888"/>
      <c r="V435" s="888"/>
      <c r="W435" s="310"/>
      <c r="X435" s="691"/>
      <c r="Y435" s="1"/>
      <c r="Z435" s="1"/>
      <c r="AA435" s="1"/>
      <c r="AB435" s="1"/>
      <c r="AC435" s="1"/>
      <c r="AD435" s="1"/>
      <c r="AE435" s="1"/>
      <c r="AF435" s="1"/>
      <c r="AG435" s="1"/>
      <c r="AH435" s="1"/>
      <c r="AI435" s="1"/>
      <c r="AJ435" s="1"/>
      <c r="AK435" s="1"/>
      <c r="AL435" s="1"/>
      <c r="AM435" s="1"/>
      <c r="AN435" s="1"/>
    </row>
    <row r="436">
      <c r="A436" s="1138"/>
      <c r="B436" s="310"/>
      <c r="C436" s="888"/>
      <c r="D436" s="310"/>
      <c r="E436" s="1140"/>
      <c r="F436" s="932"/>
      <c r="G436" s="355"/>
      <c r="H436" s="310"/>
      <c r="I436" s="931"/>
      <c r="J436" s="1143"/>
      <c r="K436" s="691"/>
      <c r="L436" s="691"/>
      <c r="M436" s="691"/>
      <c r="N436" s="691"/>
      <c r="O436" s="691"/>
      <c r="P436" s="691"/>
      <c r="Q436" s="691"/>
      <c r="R436" s="888"/>
      <c r="S436" s="888"/>
      <c r="T436" s="1154"/>
      <c r="U436" s="888"/>
      <c r="V436" s="888"/>
      <c r="W436" s="310"/>
      <c r="X436" s="691"/>
      <c r="Y436" s="1"/>
      <c r="Z436" s="1"/>
      <c r="AA436" s="1"/>
      <c r="AB436" s="1"/>
      <c r="AC436" s="1"/>
      <c r="AD436" s="1"/>
      <c r="AE436" s="1"/>
      <c r="AF436" s="1"/>
      <c r="AG436" s="1"/>
      <c r="AH436" s="1"/>
      <c r="AI436" s="1"/>
      <c r="AJ436" s="1"/>
      <c r="AK436" s="1"/>
      <c r="AL436" s="1"/>
      <c r="AM436" s="1"/>
      <c r="AN436" s="1"/>
    </row>
    <row r="437">
      <c r="A437" s="1138"/>
      <c r="B437" s="310"/>
      <c r="C437" s="888"/>
      <c r="D437" s="310"/>
      <c r="E437" s="1140"/>
      <c r="F437" s="932"/>
      <c r="G437" s="355"/>
      <c r="H437" s="310"/>
      <c r="I437" s="931"/>
      <c r="J437" s="1143"/>
      <c r="K437" s="691"/>
      <c r="L437" s="691"/>
      <c r="M437" s="691"/>
      <c r="N437" s="691"/>
      <c r="O437" s="691"/>
      <c r="P437" s="691"/>
      <c r="Q437" s="691"/>
      <c r="R437" s="888"/>
      <c r="S437" s="888"/>
      <c r="T437" s="1154"/>
      <c r="U437" s="888"/>
      <c r="V437" s="888"/>
      <c r="W437" s="310"/>
      <c r="X437" s="691"/>
      <c r="Y437" s="1"/>
      <c r="Z437" s="1"/>
      <c r="AA437" s="1"/>
      <c r="AB437" s="1"/>
      <c r="AC437" s="1"/>
      <c r="AD437" s="1"/>
      <c r="AE437" s="1"/>
      <c r="AF437" s="1"/>
      <c r="AG437" s="1"/>
      <c r="AH437" s="1"/>
      <c r="AI437" s="1"/>
      <c r="AJ437" s="1"/>
      <c r="AK437" s="1"/>
      <c r="AL437" s="1"/>
      <c r="AM437" s="1"/>
      <c r="AN437" s="1"/>
    </row>
    <row r="438">
      <c r="A438" s="1138"/>
      <c r="B438" s="310"/>
      <c r="C438" s="888"/>
      <c r="D438" s="310"/>
      <c r="E438" s="1140"/>
      <c r="F438" s="932"/>
      <c r="G438" s="355"/>
      <c r="H438" s="310"/>
      <c r="I438" s="931"/>
      <c r="J438" s="1143"/>
      <c r="K438" s="691"/>
      <c r="L438" s="691"/>
      <c r="M438" s="691"/>
      <c r="N438" s="691"/>
      <c r="O438" s="691"/>
      <c r="P438" s="691"/>
      <c r="Q438" s="691"/>
      <c r="R438" s="888"/>
      <c r="S438" s="888"/>
      <c r="T438" s="1154"/>
      <c r="U438" s="888"/>
      <c r="V438" s="888"/>
      <c r="W438" s="310"/>
      <c r="X438" s="691"/>
      <c r="Y438" s="1"/>
      <c r="Z438" s="1"/>
      <c r="AA438" s="1"/>
      <c r="AB438" s="1"/>
      <c r="AC438" s="1"/>
      <c r="AD438" s="1"/>
      <c r="AE438" s="1"/>
      <c r="AF438" s="1"/>
      <c r="AG438" s="1"/>
      <c r="AH438" s="1"/>
      <c r="AI438" s="1"/>
      <c r="AJ438" s="1"/>
      <c r="AK438" s="1"/>
      <c r="AL438" s="1"/>
      <c r="AM438" s="1"/>
      <c r="AN438" s="1"/>
    </row>
    <row r="439">
      <c r="A439" s="1138"/>
      <c r="B439" s="310"/>
      <c r="C439" s="888"/>
      <c r="D439" s="310"/>
      <c r="E439" s="1140"/>
      <c r="F439" s="932"/>
      <c r="G439" s="355"/>
      <c r="H439" s="310"/>
      <c r="I439" s="931"/>
      <c r="J439" s="1143"/>
      <c r="K439" s="691"/>
      <c r="L439" s="691"/>
      <c r="M439" s="691"/>
      <c r="N439" s="691"/>
      <c r="O439" s="691"/>
      <c r="P439" s="691"/>
      <c r="Q439" s="691"/>
      <c r="R439" s="888"/>
      <c r="S439" s="888"/>
      <c r="T439" s="1154"/>
      <c r="U439" s="888"/>
      <c r="V439" s="888"/>
      <c r="W439" s="310"/>
      <c r="X439" s="691"/>
      <c r="Y439" s="1"/>
      <c r="Z439" s="1"/>
      <c r="AA439" s="1"/>
      <c r="AB439" s="1"/>
      <c r="AC439" s="1"/>
      <c r="AD439" s="1"/>
      <c r="AE439" s="1"/>
      <c r="AF439" s="1"/>
      <c r="AG439" s="1"/>
      <c r="AH439" s="1"/>
      <c r="AI439" s="1"/>
      <c r="AJ439" s="1"/>
      <c r="AK439" s="1"/>
      <c r="AL439" s="1"/>
      <c r="AM439" s="1"/>
      <c r="AN439" s="1"/>
    </row>
    <row r="440">
      <c r="A440" s="1138"/>
      <c r="B440" s="310"/>
      <c r="C440" s="888"/>
      <c r="D440" s="310"/>
      <c r="E440" s="1140"/>
      <c r="F440" s="932"/>
      <c r="G440" s="355"/>
      <c r="H440" s="310"/>
      <c r="I440" s="931"/>
      <c r="J440" s="1143"/>
      <c r="K440" s="691"/>
      <c r="L440" s="691"/>
      <c r="M440" s="691"/>
      <c r="N440" s="691"/>
      <c r="O440" s="691"/>
      <c r="P440" s="691"/>
      <c r="Q440" s="691"/>
      <c r="R440" s="888"/>
      <c r="S440" s="888"/>
      <c r="T440" s="1154"/>
      <c r="U440" s="888"/>
      <c r="V440" s="888"/>
      <c r="W440" s="310"/>
      <c r="X440" s="691"/>
      <c r="Y440" s="1"/>
      <c r="Z440" s="1"/>
      <c r="AA440" s="1"/>
      <c r="AB440" s="1"/>
      <c r="AC440" s="1"/>
      <c r="AD440" s="1"/>
      <c r="AE440" s="1"/>
      <c r="AF440" s="1"/>
      <c r="AG440" s="1"/>
      <c r="AH440" s="1"/>
      <c r="AI440" s="1"/>
      <c r="AJ440" s="1"/>
      <c r="AK440" s="1"/>
      <c r="AL440" s="1"/>
      <c r="AM440" s="1"/>
      <c r="AN440" s="1"/>
    </row>
    <row r="441">
      <c r="A441" s="1138"/>
      <c r="B441" s="310"/>
      <c r="C441" s="888"/>
      <c r="D441" s="310"/>
      <c r="E441" s="1140"/>
      <c r="F441" s="932"/>
      <c r="G441" s="355"/>
      <c r="H441" s="310"/>
      <c r="I441" s="931"/>
      <c r="J441" s="1143"/>
      <c r="K441" s="691"/>
      <c r="L441" s="691"/>
      <c r="M441" s="691"/>
      <c r="N441" s="691"/>
      <c r="O441" s="691"/>
      <c r="P441" s="691"/>
      <c r="Q441" s="691"/>
      <c r="R441" s="888"/>
      <c r="S441" s="888"/>
      <c r="T441" s="1154"/>
      <c r="U441" s="888"/>
      <c r="V441" s="888"/>
      <c r="W441" s="310"/>
      <c r="X441" s="691"/>
      <c r="Y441" s="1"/>
      <c r="Z441" s="1"/>
      <c r="AA441" s="1"/>
      <c r="AB441" s="1"/>
      <c r="AC441" s="1"/>
      <c r="AD441" s="1"/>
      <c r="AE441" s="1"/>
      <c r="AF441" s="1"/>
      <c r="AG441" s="1"/>
      <c r="AH441" s="1"/>
      <c r="AI441" s="1"/>
      <c r="AJ441" s="1"/>
      <c r="AK441" s="1"/>
      <c r="AL441" s="1"/>
      <c r="AM441" s="1"/>
      <c r="AN441" s="1"/>
    </row>
    <row r="442">
      <c r="A442" s="1138"/>
      <c r="B442" s="310"/>
      <c r="C442" s="888"/>
      <c r="D442" s="310"/>
      <c r="E442" s="1140"/>
      <c r="F442" s="932"/>
      <c r="G442" s="355"/>
      <c r="H442" s="310"/>
      <c r="I442" s="931"/>
      <c r="J442" s="1143"/>
      <c r="K442" s="691"/>
      <c r="L442" s="691"/>
      <c r="M442" s="691"/>
      <c r="N442" s="691"/>
      <c r="O442" s="691"/>
      <c r="P442" s="691"/>
      <c r="Q442" s="691"/>
      <c r="R442" s="888"/>
      <c r="S442" s="888"/>
      <c r="T442" s="1154"/>
      <c r="U442" s="888"/>
      <c r="V442" s="888"/>
      <c r="W442" s="310"/>
      <c r="X442" s="691"/>
      <c r="Y442" s="1"/>
      <c r="Z442" s="1"/>
      <c r="AA442" s="1"/>
      <c r="AB442" s="1"/>
      <c r="AC442" s="1"/>
      <c r="AD442" s="1"/>
      <c r="AE442" s="1"/>
      <c r="AF442" s="1"/>
      <c r="AG442" s="1"/>
      <c r="AH442" s="1"/>
      <c r="AI442" s="1"/>
      <c r="AJ442" s="1"/>
      <c r="AK442" s="1"/>
      <c r="AL442" s="1"/>
      <c r="AM442" s="1"/>
      <c r="AN442" s="1"/>
    </row>
    <row r="443">
      <c r="A443" s="1138"/>
      <c r="B443" s="310"/>
      <c r="C443" s="888"/>
      <c r="D443" s="310"/>
      <c r="E443" s="1140"/>
      <c r="F443" s="932"/>
      <c r="G443" s="355"/>
      <c r="H443" s="310"/>
      <c r="I443" s="931"/>
      <c r="J443" s="1143"/>
      <c r="K443" s="691"/>
      <c r="L443" s="691"/>
      <c r="M443" s="691"/>
      <c r="N443" s="691"/>
      <c r="O443" s="691"/>
      <c r="P443" s="691"/>
      <c r="Q443" s="691"/>
      <c r="R443" s="888"/>
      <c r="S443" s="888"/>
      <c r="T443" s="1154"/>
      <c r="U443" s="888"/>
      <c r="V443" s="888"/>
      <c r="W443" s="310"/>
      <c r="X443" s="691"/>
      <c r="Y443" s="1"/>
      <c r="Z443" s="1"/>
      <c r="AA443" s="1"/>
      <c r="AB443" s="1"/>
      <c r="AC443" s="1"/>
      <c r="AD443" s="1"/>
      <c r="AE443" s="1"/>
      <c r="AF443" s="1"/>
      <c r="AG443" s="1"/>
      <c r="AH443" s="1"/>
      <c r="AI443" s="1"/>
      <c r="AJ443" s="1"/>
      <c r="AK443" s="1"/>
      <c r="AL443" s="1"/>
      <c r="AM443" s="1"/>
      <c r="AN443" s="1"/>
    </row>
    <row r="444">
      <c r="A444" s="1138"/>
      <c r="B444" s="310"/>
      <c r="C444" s="888"/>
      <c r="D444" s="310"/>
      <c r="E444" s="1140"/>
      <c r="F444" s="932"/>
      <c r="G444" s="355"/>
      <c r="H444" s="310"/>
      <c r="I444" s="931"/>
      <c r="J444" s="1143"/>
      <c r="K444" s="691"/>
      <c r="L444" s="691"/>
      <c r="M444" s="691"/>
      <c r="N444" s="691"/>
      <c r="O444" s="691"/>
      <c r="P444" s="691"/>
      <c r="Q444" s="691"/>
      <c r="R444" s="888"/>
      <c r="S444" s="888"/>
      <c r="T444" s="1154"/>
      <c r="U444" s="888"/>
      <c r="V444" s="888"/>
      <c r="W444" s="310"/>
      <c r="X444" s="691"/>
      <c r="Y444" s="1"/>
      <c r="Z444" s="1"/>
      <c r="AA444" s="1"/>
      <c r="AB444" s="1"/>
      <c r="AC444" s="1"/>
      <c r="AD444" s="1"/>
      <c r="AE444" s="1"/>
      <c r="AF444" s="1"/>
      <c r="AG444" s="1"/>
      <c r="AH444" s="1"/>
      <c r="AI444" s="1"/>
      <c r="AJ444" s="1"/>
      <c r="AK444" s="1"/>
      <c r="AL444" s="1"/>
      <c r="AM444" s="1"/>
      <c r="AN444" s="1"/>
    </row>
    <row r="445">
      <c r="A445" s="1138"/>
      <c r="B445" s="310"/>
      <c r="C445" s="888"/>
      <c r="D445" s="310"/>
      <c r="E445" s="1140"/>
      <c r="F445" s="932"/>
      <c r="G445" s="355"/>
      <c r="H445" s="310"/>
      <c r="I445" s="931"/>
      <c r="J445" s="1143"/>
      <c r="K445" s="691"/>
      <c r="L445" s="691"/>
      <c r="M445" s="691"/>
      <c r="N445" s="691"/>
      <c r="O445" s="691"/>
      <c r="P445" s="691"/>
      <c r="Q445" s="691"/>
      <c r="R445" s="888"/>
      <c r="S445" s="888"/>
      <c r="T445" s="1154"/>
      <c r="U445" s="888"/>
      <c r="V445" s="888"/>
      <c r="W445" s="310"/>
      <c r="X445" s="691"/>
      <c r="Y445" s="1"/>
      <c r="Z445" s="1"/>
      <c r="AA445" s="1"/>
      <c r="AB445" s="1"/>
      <c r="AC445" s="1"/>
      <c r="AD445" s="1"/>
      <c r="AE445" s="1"/>
      <c r="AF445" s="1"/>
      <c r="AG445" s="1"/>
      <c r="AH445" s="1"/>
      <c r="AI445" s="1"/>
      <c r="AJ445" s="1"/>
      <c r="AK445" s="1"/>
      <c r="AL445" s="1"/>
      <c r="AM445" s="1"/>
      <c r="AN445" s="1"/>
    </row>
    <row r="446">
      <c r="A446" s="1138"/>
      <c r="B446" s="310"/>
      <c r="C446" s="888"/>
      <c r="D446" s="310"/>
      <c r="E446" s="1140"/>
      <c r="F446" s="932"/>
      <c r="G446" s="355"/>
      <c r="H446" s="310"/>
      <c r="I446" s="931"/>
      <c r="J446" s="1143"/>
      <c r="K446" s="691"/>
      <c r="L446" s="691"/>
      <c r="M446" s="691"/>
      <c r="N446" s="691"/>
      <c r="O446" s="691"/>
      <c r="P446" s="691"/>
      <c r="Q446" s="691"/>
      <c r="R446" s="888"/>
      <c r="S446" s="888"/>
      <c r="T446" s="1154"/>
      <c r="U446" s="888"/>
      <c r="V446" s="888"/>
      <c r="W446" s="310"/>
      <c r="X446" s="691"/>
      <c r="Y446" s="1"/>
      <c r="Z446" s="1"/>
      <c r="AA446" s="1"/>
      <c r="AB446" s="1"/>
      <c r="AC446" s="1"/>
      <c r="AD446" s="1"/>
      <c r="AE446" s="1"/>
      <c r="AF446" s="1"/>
      <c r="AG446" s="1"/>
      <c r="AH446" s="1"/>
      <c r="AI446" s="1"/>
      <c r="AJ446" s="1"/>
      <c r="AK446" s="1"/>
      <c r="AL446" s="1"/>
      <c r="AM446" s="1"/>
      <c r="AN446" s="1"/>
    </row>
    <row r="447">
      <c r="A447" s="1138"/>
      <c r="B447" s="310"/>
      <c r="C447" s="888"/>
      <c r="D447" s="310"/>
      <c r="E447" s="1140"/>
      <c r="F447" s="932"/>
      <c r="G447" s="355"/>
      <c r="H447" s="310"/>
      <c r="I447" s="931"/>
      <c r="J447" s="1143"/>
      <c r="K447" s="691"/>
      <c r="L447" s="691"/>
      <c r="M447" s="691"/>
      <c r="N447" s="691"/>
      <c r="O447" s="691"/>
      <c r="P447" s="691"/>
      <c r="Q447" s="691"/>
      <c r="R447" s="888"/>
      <c r="S447" s="888"/>
      <c r="T447" s="1154"/>
      <c r="U447" s="888"/>
      <c r="V447" s="888"/>
      <c r="W447" s="310"/>
      <c r="X447" s="691"/>
      <c r="Y447" s="1"/>
      <c r="Z447" s="1"/>
      <c r="AA447" s="1"/>
      <c r="AB447" s="1"/>
      <c r="AC447" s="1"/>
      <c r="AD447" s="1"/>
      <c r="AE447" s="1"/>
      <c r="AF447" s="1"/>
      <c r="AG447" s="1"/>
      <c r="AH447" s="1"/>
      <c r="AI447" s="1"/>
      <c r="AJ447" s="1"/>
      <c r="AK447" s="1"/>
      <c r="AL447" s="1"/>
      <c r="AM447" s="1"/>
      <c r="AN447" s="1"/>
    </row>
    <row r="448">
      <c r="A448" s="1138"/>
      <c r="B448" s="310"/>
      <c r="C448" s="888"/>
      <c r="D448" s="310"/>
      <c r="E448" s="1140"/>
      <c r="F448" s="932"/>
      <c r="G448" s="355"/>
      <c r="H448" s="310"/>
      <c r="I448" s="931"/>
      <c r="J448" s="1143"/>
      <c r="K448" s="691"/>
      <c r="L448" s="691"/>
      <c r="M448" s="691"/>
      <c r="N448" s="691"/>
      <c r="O448" s="691"/>
      <c r="P448" s="691"/>
      <c r="Q448" s="691"/>
      <c r="R448" s="888"/>
      <c r="S448" s="888"/>
      <c r="T448" s="1154"/>
      <c r="U448" s="888"/>
      <c r="V448" s="888"/>
      <c r="W448" s="310"/>
      <c r="X448" s="691"/>
      <c r="Y448" s="1"/>
      <c r="Z448" s="1"/>
      <c r="AA448" s="1"/>
      <c r="AB448" s="1"/>
      <c r="AC448" s="1"/>
      <c r="AD448" s="1"/>
      <c r="AE448" s="1"/>
      <c r="AF448" s="1"/>
      <c r="AG448" s="1"/>
      <c r="AH448" s="1"/>
      <c r="AI448" s="1"/>
      <c r="AJ448" s="1"/>
      <c r="AK448" s="1"/>
      <c r="AL448" s="1"/>
      <c r="AM448" s="1"/>
      <c r="AN448" s="1"/>
    </row>
    <row r="449">
      <c r="A449" s="1138"/>
      <c r="B449" s="310"/>
      <c r="C449" s="888"/>
      <c r="D449" s="310"/>
      <c r="E449" s="1140"/>
      <c r="F449" s="932"/>
      <c r="G449" s="355"/>
      <c r="H449" s="310"/>
      <c r="I449" s="931"/>
      <c r="J449" s="1143"/>
      <c r="K449" s="691"/>
      <c r="L449" s="691"/>
      <c r="M449" s="691"/>
      <c r="N449" s="691"/>
      <c r="O449" s="691"/>
      <c r="P449" s="691"/>
      <c r="Q449" s="691"/>
      <c r="R449" s="888"/>
      <c r="S449" s="888"/>
      <c r="T449" s="1154"/>
      <c r="U449" s="888"/>
      <c r="V449" s="888"/>
      <c r="W449" s="310"/>
      <c r="X449" s="691"/>
      <c r="Y449" s="1"/>
      <c r="Z449" s="1"/>
      <c r="AA449" s="1"/>
      <c r="AB449" s="1"/>
      <c r="AC449" s="1"/>
      <c r="AD449" s="1"/>
      <c r="AE449" s="1"/>
      <c r="AF449" s="1"/>
      <c r="AG449" s="1"/>
      <c r="AH449" s="1"/>
      <c r="AI449" s="1"/>
      <c r="AJ449" s="1"/>
      <c r="AK449" s="1"/>
      <c r="AL449" s="1"/>
      <c r="AM449" s="1"/>
      <c r="AN449" s="1"/>
    </row>
    <row r="450">
      <c r="A450" s="1138"/>
      <c r="B450" s="310"/>
      <c r="C450" s="888"/>
      <c r="D450" s="310"/>
      <c r="E450" s="1140"/>
      <c r="F450" s="932"/>
      <c r="G450" s="355"/>
      <c r="H450" s="310"/>
      <c r="I450" s="931"/>
      <c r="J450" s="1143"/>
      <c r="K450" s="691"/>
      <c r="L450" s="691"/>
      <c r="M450" s="691"/>
      <c r="N450" s="691"/>
      <c r="O450" s="691"/>
      <c r="P450" s="691"/>
      <c r="Q450" s="691"/>
      <c r="R450" s="888"/>
      <c r="S450" s="888"/>
      <c r="T450" s="1154"/>
      <c r="U450" s="888"/>
      <c r="V450" s="888"/>
      <c r="W450" s="310"/>
      <c r="X450" s="691"/>
      <c r="Y450" s="1"/>
      <c r="Z450" s="1"/>
      <c r="AA450" s="1"/>
      <c r="AB450" s="1"/>
      <c r="AC450" s="1"/>
      <c r="AD450" s="1"/>
      <c r="AE450" s="1"/>
      <c r="AF450" s="1"/>
      <c r="AG450" s="1"/>
      <c r="AH450" s="1"/>
      <c r="AI450" s="1"/>
      <c r="AJ450" s="1"/>
      <c r="AK450" s="1"/>
      <c r="AL450" s="1"/>
      <c r="AM450" s="1"/>
      <c r="AN450" s="1"/>
    </row>
    <row r="451">
      <c r="A451" s="1138"/>
      <c r="B451" s="310"/>
      <c r="C451" s="888"/>
      <c r="D451" s="310"/>
      <c r="E451" s="1140"/>
      <c r="F451" s="932"/>
      <c r="G451" s="355"/>
      <c r="H451" s="310"/>
      <c r="I451" s="931"/>
      <c r="J451" s="1143"/>
      <c r="K451" s="691"/>
      <c r="L451" s="691"/>
      <c r="M451" s="691"/>
      <c r="N451" s="691"/>
      <c r="O451" s="691"/>
      <c r="P451" s="691"/>
      <c r="Q451" s="691"/>
      <c r="R451" s="888"/>
      <c r="S451" s="888"/>
      <c r="T451" s="1154"/>
      <c r="U451" s="888"/>
      <c r="V451" s="888"/>
      <c r="W451" s="310"/>
      <c r="X451" s="691"/>
      <c r="Y451" s="1"/>
      <c r="Z451" s="1"/>
      <c r="AA451" s="1"/>
      <c r="AB451" s="1"/>
      <c r="AC451" s="1"/>
      <c r="AD451" s="1"/>
      <c r="AE451" s="1"/>
      <c r="AF451" s="1"/>
      <c r="AG451" s="1"/>
      <c r="AH451" s="1"/>
      <c r="AI451" s="1"/>
      <c r="AJ451" s="1"/>
      <c r="AK451" s="1"/>
      <c r="AL451" s="1"/>
      <c r="AM451" s="1"/>
      <c r="AN451" s="1"/>
    </row>
    <row r="452">
      <c r="A452" s="1138"/>
      <c r="B452" s="310"/>
      <c r="C452" s="888"/>
      <c r="D452" s="310"/>
      <c r="E452" s="1140"/>
      <c r="F452" s="932"/>
      <c r="G452" s="355"/>
      <c r="H452" s="310"/>
      <c r="I452" s="931"/>
      <c r="J452" s="1143"/>
      <c r="K452" s="691"/>
      <c r="L452" s="691"/>
      <c r="M452" s="691"/>
      <c r="N452" s="691"/>
      <c r="O452" s="691"/>
      <c r="P452" s="691"/>
      <c r="Q452" s="691"/>
      <c r="R452" s="888"/>
      <c r="S452" s="888"/>
      <c r="T452" s="1154"/>
      <c r="U452" s="888"/>
      <c r="V452" s="888"/>
      <c r="W452" s="310"/>
      <c r="X452" s="691"/>
      <c r="Y452" s="1"/>
      <c r="Z452" s="1"/>
      <c r="AA452" s="1"/>
      <c r="AB452" s="1"/>
      <c r="AC452" s="1"/>
      <c r="AD452" s="1"/>
      <c r="AE452" s="1"/>
      <c r="AF452" s="1"/>
      <c r="AG452" s="1"/>
      <c r="AH452" s="1"/>
      <c r="AI452" s="1"/>
      <c r="AJ452" s="1"/>
      <c r="AK452" s="1"/>
      <c r="AL452" s="1"/>
      <c r="AM452" s="1"/>
      <c r="AN452" s="1"/>
    </row>
    <row r="453">
      <c r="A453" s="1138"/>
      <c r="B453" s="310"/>
      <c r="C453" s="888"/>
      <c r="D453" s="310"/>
      <c r="E453" s="1140"/>
      <c r="F453" s="932"/>
      <c r="G453" s="355"/>
      <c r="H453" s="310"/>
      <c r="I453" s="931"/>
      <c r="J453" s="1143"/>
      <c r="K453" s="691"/>
      <c r="L453" s="691"/>
      <c r="M453" s="691"/>
      <c r="N453" s="691"/>
      <c r="O453" s="691"/>
      <c r="P453" s="691"/>
      <c r="Q453" s="691"/>
      <c r="R453" s="888"/>
      <c r="S453" s="888"/>
      <c r="T453" s="1154"/>
      <c r="U453" s="888"/>
      <c r="V453" s="888"/>
      <c r="W453" s="310"/>
      <c r="X453" s="691"/>
      <c r="Y453" s="1"/>
      <c r="Z453" s="1"/>
      <c r="AA453" s="1"/>
      <c r="AB453" s="1"/>
      <c r="AC453" s="1"/>
      <c r="AD453" s="1"/>
      <c r="AE453" s="1"/>
      <c r="AF453" s="1"/>
      <c r="AG453" s="1"/>
      <c r="AH453" s="1"/>
      <c r="AI453" s="1"/>
      <c r="AJ453" s="1"/>
      <c r="AK453" s="1"/>
      <c r="AL453" s="1"/>
      <c r="AM453" s="1"/>
      <c r="AN453" s="1"/>
    </row>
    <row r="454">
      <c r="A454" s="1138"/>
      <c r="B454" s="310"/>
      <c r="C454" s="888"/>
      <c r="D454" s="310"/>
      <c r="E454" s="1140"/>
      <c r="F454" s="932"/>
      <c r="G454" s="355"/>
      <c r="H454" s="310"/>
      <c r="I454" s="931"/>
      <c r="J454" s="1143"/>
      <c r="K454" s="691"/>
      <c r="L454" s="691"/>
      <c r="M454" s="691"/>
      <c r="N454" s="691"/>
      <c r="O454" s="691"/>
      <c r="P454" s="691"/>
      <c r="Q454" s="691"/>
      <c r="R454" s="888"/>
      <c r="S454" s="888"/>
      <c r="T454" s="1154"/>
      <c r="U454" s="888"/>
      <c r="V454" s="888"/>
      <c r="W454" s="310"/>
      <c r="X454" s="691"/>
      <c r="Y454" s="1"/>
      <c r="Z454" s="1"/>
      <c r="AA454" s="1"/>
      <c r="AB454" s="1"/>
      <c r="AC454" s="1"/>
      <c r="AD454" s="1"/>
      <c r="AE454" s="1"/>
      <c r="AF454" s="1"/>
      <c r="AG454" s="1"/>
      <c r="AH454" s="1"/>
      <c r="AI454" s="1"/>
      <c r="AJ454" s="1"/>
      <c r="AK454" s="1"/>
      <c r="AL454" s="1"/>
      <c r="AM454" s="1"/>
      <c r="AN454" s="1"/>
    </row>
    <row r="455">
      <c r="A455" s="1138"/>
      <c r="B455" s="310"/>
      <c r="C455" s="888"/>
      <c r="D455" s="310"/>
      <c r="E455" s="1140"/>
      <c r="F455" s="932"/>
      <c r="G455" s="355"/>
      <c r="H455" s="310"/>
      <c r="I455" s="931"/>
      <c r="J455" s="1143"/>
      <c r="K455" s="691"/>
      <c r="L455" s="691"/>
      <c r="M455" s="691"/>
      <c r="N455" s="691"/>
      <c r="O455" s="691"/>
      <c r="P455" s="691"/>
      <c r="Q455" s="691"/>
      <c r="R455" s="888"/>
      <c r="S455" s="888"/>
      <c r="T455" s="1154"/>
      <c r="U455" s="888"/>
      <c r="V455" s="888"/>
      <c r="W455" s="310"/>
      <c r="X455" s="691"/>
      <c r="Y455" s="1"/>
      <c r="Z455" s="1"/>
      <c r="AA455" s="1"/>
      <c r="AB455" s="1"/>
      <c r="AC455" s="1"/>
      <c r="AD455" s="1"/>
      <c r="AE455" s="1"/>
      <c r="AF455" s="1"/>
      <c r="AG455" s="1"/>
      <c r="AH455" s="1"/>
      <c r="AI455" s="1"/>
      <c r="AJ455" s="1"/>
      <c r="AK455" s="1"/>
      <c r="AL455" s="1"/>
      <c r="AM455" s="1"/>
      <c r="AN455" s="1"/>
    </row>
    <row r="456">
      <c r="A456" s="1138"/>
      <c r="B456" s="310"/>
      <c r="C456" s="888"/>
      <c r="D456" s="310"/>
      <c r="E456" s="1140"/>
      <c r="F456" s="932"/>
      <c r="G456" s="355"/>
      <c r="H456" s="310"/>
      <c r="I456" s="931"/>
      <c r="J456" s="1143"/>
      <c r="K456" s="691"/>
      <c r="L456" s="691"/>
      <c r="M456" s="691"/>
      <c r="N456" s="691"/>
      <c r="O456" s="691"/>
      <c r="P456" s="691"/>
      <c r="Q456" s="691"/>
      <c r="R456" s="888"/>
      <c r="S456" s="888"/>
      <c r="T456" s="1154"/>
      <c r="U456" s="888"/>
      <c r="V456" s="888"/>
      <c r="W456" s="310"/>
      <c r="X456" s="691"/>
      <c r="Y456" s="1"/>
      <c r="Z456" s="1"/>
      <c r="AA456" s="1"/>
      <c r="AB456" s="1"/>
      <c r="AC456" s="1"/>
      <c r="AD456" s="1"/>
      <c r="AE456" s="1"/>
      <c r="AF456" s="1"/>
      <c r="AG456" s="1"/>
      <c r="AH456" s="1"/>
      <c r="AI456" s="1"/>
      <c r="AJ456" s="1"/>
      <c r="AK456" s="1"/>
      <c r="AL456" s="1"/>
      <c r="AM456" s="1"/>
      <c r="AN456" s="1"/>
    </row>
    <row r="457">
      <c r="A457" s="1138"/>
      <c r="B457" s="310"/>
      <c r="C457" s="888"/>
      <c r="D457" s="310"/>
      <c r="E457" s="1140"/>
      <c r="F457" s="932"/>
      <c r="G457" s="355"/>
      <c r="H457" s="310"/>
      <c r="I457" s="931"/>
      <c r="J457" s="1143"/>
      <c r="K457" s="691"/>
      <c r="L457" s="691"/>
      <c r="M457" s="691"/>
      <c r="N457" s="691"/>
      <c r="O457" s="691"/>
      <c r="P457" s="691"/>
      <c r="Q457" s="691"/>
      <c r="R457" s="888"/>
      <c r="S457" s="888"/>
      <c r="T457" s="1154"/>
      <c r="U457" s="888"/>
      <c r="V457" s="888"/>
      <c r="W457" s="310"/>
      <c r="X457" s="691"/>
      <c r="Y457" s="1"/>
      <c r="Z457" s="1"/>
      <c r="AA457" s="1"/>
      <c r="AB457" s="1"/>
      <c r="AC457" s="1"/>
      <c r="AD457" s="1"/>
      <c r="AE457" s="1"/>
      <c r="AF457" s="1"/>
      <c r="AG457" s="1"/>
      <c r="AH457" s="1"/>
      <c r="AI457" s="1"/>
      <c r="AJ457" s="1"/>
      <c r="AK457" s="1"/>
      <c r="AL457" s="1"/>
      <c r="AM457" s="1"/>
      <c r="AN457" s="1"/>
    </row>
    <row r="458">
      <c r="A458" s="1138"/>
      <c r="B458" s="310"/>
      <c r="C458" s="888"/>
      <c r="D458" s="310"/>
      <c r="E458" s="1140"/>
      <c r="F458" s="932"/>
      <c r="G458" s="355"/>
      <c r="H458" s="310"/>
      <c r="I458" s="931"/>
      <c r="J458" s="1143"/>
      <c r="K458" s="691"/>
      <c r="L458" s="691"/>
      <c r="M458" s="691"/>
      <c r="N458" s="691"/>
      <c r="O458" s="691"/>
      <c r="P458" s="691"/>
      <c r="Q458" s="691"/>
      <c r="R458" s="888"/>
      <c r="S458" s="888"/>
      <c r="T458" s="1154"/>
      <c r="U458" s="888"/>
      <c r="V458" s="888"/>
      <c r="W458" s="310"/>
      <c r="X458" s="691"/>
      <c r="Y458" s="1"/>
      <c r="Z458" s="1"/>
      <c r="AA458" s="1"/>
      <c r="AB458" s="1"/>
      <c r="AC458" s="1"/>
      <c r="AD458" s="1"/>
      <c r="AE458" s="1"/>
      <c r="AF458" s="1"/>
      <c r="AG458" s="1"/>
      <c r="AH458" s="1"/>
      <c r="AI458" s="1"/>
      <c r="AJ458" s="1"/>
      <c r="AK458" s="1"/>
      <c r="AL458" s="1"/>
      <c r="AM458" s="1"/>
      <c r="AN458" s="1"/>
    </row>
    <row r="459">
      <c r="A459" s="1138"/>
      <c r="B459" s="310"/>
      <c r="C459" s="888"/>
      <c r="D459" s="310"/>
      <c r="E459" s="1140"/>
      <c r="F459" s="932"/>
      <c r="G459" s="355"/>
      <c r="H459" s="310"/>
      <c r="I459" s="931"/>
      <c r="J459" s="1143"/>
      <c r="K459" s="691"/>
      <c r="L459" s="691"/>
      <c r="M459" s="691"/>
      <c r="N459" s="691"/>
      <c r="O459" s="691"/>
      <c r="P459" s="691"/>
      <c r="Q459" s="691"/>
      <c r="R459" s="888"/>
      <c r="S459" s="888"/>
      <c r="T459" s="1154"/>
      <c r="U459" s="888"/>
      <c r="V459" s="888"/>
      <c r="W459" s="310"/>
      <c r="X459" s="691"/>
      <c r="Y459" s="1"/>
      <c r="Z459" s="1"/>
      <c r="AA459" s="1"/>
      <c r="AB459" s="1"/>
      <c r="AC459" s="1"/>
      <c r="AD459" s="1"/>
      <c r="AE459" s="1"/>
      <c r="AF459" s="1"/>
      <c r="AG459" s="1"/>
      <c r="AH459" s="1"/>
      <c r="AI459" s="1"/>
      <c r="AJ459" s="1"/>
      <c r="AK459" s="1"/>
      <c r="AL459" s="1"/>
      <c r="AM459" s="1"/>
      <c r="AN459" s="1"/>
    </row>
    <row r="460">
      <c r="A460" s="1138"/>
      <c r="B460" s="310"/>
      <c r="C460" s="888"/>
      <c r="D460" s="310"/>
      <c r="E460" s="1140"/>
      <c r="F460" s="932"/>
      <c r="G460" s="355"/>
      <c r="H460" s="310"/>
      <c r="I460" s="931"/>
      <c r="J460" s="1143"/>
      <c r="K460" s="691"/>
      <c r="L460" s="691"/>
      <c r="M460" s="691"/>
      <c r="N460" s="691"/>
      <c r="O460" s="691"/>
      <c r="P460" s="691"/>
      <c r="Q460" s="691"/>
      <c r="R460" s="888"/>
      <c r="S460" s="888"/>
      <c r="T460" s="1154"/>
      <c r="U460" s="888"/>
      <c r="V460" s="888"/>
      <c r="W460" s="310"/>
      <c r="X460" s="691"/>
      <c r="Y460" s="1"/>
      <c r="Z460" s="1"/>
      <c r="AA460" s="1"/>
      <c r="AB460" s="1"/>
      <c r="AC460" s="1"/>
      <c r="AD460" s="1"/>
      <c r="AE460" s="1"/>
      <c r="AF460" s="1"/>
      <c r="AG460" s="1"/>
      <c r="AH460" s="1"/>
      <c r="AI460" s="1"/>
      <c r="AJ460" s="1"/>
      <c r="AK460" s="1"/>
      <c r="AL460" s="1"/>
      <c r="AM460" s="1"/>
      <c r="AN460" s="1"/>
    </row>
    <row r="461">
      <c r="A461" s="1138"/>
      <c r="B461" s="310"/>
      <c r="C461" s="888"/>
      <c r="D461" s="310"/>
      <c r="E461" s="1140"/>
      <c r="F461" s="932"/>
      <c r="G461" s="355"/>
      <c r="H461" s="310"/>
      <c r="I461" s="931"/>
      <c r="J461" s="1143"/>
      <c r="K461" s="691"/>
      <c r="L461" s="691"/>
      <c r="M461" s="691"/>
      <c r="N461" s="691"/>
      <c r="O461" s="691"/>
      <c r="P461" s="691"/>
      <c r="Q461" s="691"/>
      <c r="R461" s="888"/>
      <c r="S461" s="888"/>
      <c r="T461" s="1154"/>
      <c r="U461" s="888"/>
      <c r="V461" s="888"/>
      <c r="W461" s="310"/>
      <c r="X461" s="691"/>
      <c r="Y461" s="1"/>
      <c r="Z461" s="1"/>
      <c r="AA461" s="1"/>
      <c r="AB461" s="1"/>
      <c r="AC461" s="1"/>
      <c r="AD461" s="1"/>
      <c r="AE461" s="1"/>
      <c r="AF461" s="1"/>
      <c r="AG461" s="1"/>
      <c r="AH461" s="1"/>
      <c r="AI461" s="1"/>
      <c r="AJ461" s="1"/>
      <c r="AK461" s="1"/>
      <c r="AL461" s="1"/>
      <c r="AM461" s="1"/>
      <c r="AN461" s="1"/>
    </row>
    <row r="462">
      <c r="A462" s="1138"/>
      <c r="B462" s="310"/>
      <c r="C462" s="888"/>
      <c r="D462" s="310"/>
      <c r="E462" s="1140"/>
      <c r="F462" s="932"/>
      <c r="G462" s="355"/>
      <c r="H462" s="310"/>
      <c r="I462" s="931"/>
      <c r="J462" s="1143"/>
      <c r="K462" s="691"/>
      <c r="L462" s="691"/>
      <c r="M462" s="691"/>
      <c r="N462" s="691"/>
      <c r="O462" s="691"/>
      <c r="P462" s="691"/>
      <c r="Q462" s="691"/>
      <c r="R462" s="888"/>
      <c r="S462" s="888"/>
      <c r="T462" s="1154"/>
      <c r="U462" s="888"/>
      <c r="V462" s="888"/>
      <c r="W462" s="310"/>
      <c r="X462" s="691"/>
      <c r="Y462" s="1"/>
      <c r="Z462" s="1"/>
      <c r="AA462" s="1"/>
      <c r="AB462" s="1"/>
      <c r="AC462" s="1"/>
      <c r="AD462" s="1"/>
      <c r="AE462" s="1"/>
      <c r="AF462" s="1"/>
      <c r="AG462" s="1"/>
      <c r="AH462" s="1"/>
      <c r="AI462" s="1"/>
      <c r="AJ462" s="1"/>
      <c r="AK462" s="1"/>
      <c r="AL462" s="1"/>
      <c r="AM462" s="1"/>
      <c r="AN462" s="1"/>
    </row>
    <row r="463">
      <c r="A463" s="1138"/>
      <c r="B463" s="310"/>
      <c r="C463" s="888"/>
      <c r="D463" s="310"/>
      <c r="E463" s="1140"/>
      <c r="F463" s="932"/>
      <c r="G463" s="355"/>
      <c r="H463" s="310"/>
      <c r="I463" s="931"/>
      <c r="J463" s="1143"/>
      <c r="K463" s="691"/>
      <c r="L463" s="691"/>
      <c r="M463" s="691"/>
      <c r="N463" s="691"/>
      <c r="O463" s="691"/>
      <c r="P463" s="691"/>
      <c r="Q463" s="691"/>
      <c r="R463" s="888"/>
      <c r="S463" s="888"/>
      <c r="T463" s="1154"/>
      <c r="U463" s="888"/>
      <c r="V463" s="888"/>
      <c r="W463" s="310"/>
      <c r="X463" s="691"/>
      <c r="Y463" s="1"/>
      <c r="Z463" s="1"/>
      <c r="AA463" s="1"/>
      <c r="AB463" s="1"/>
      <c r="AC463" s="1"/>
      <c r="AD463" s="1"/>
      <c r="AE463" s="1"/>
      <c r="AF463" s="1"/>
      <c r="AG463" s="1"/>
      <c r="AH463" s="1"/>
      <c r="AI463" s="1"/>
      <c r="AJ463" s="1"/>
      <c r="AK463" s="1"/>
      <c r="AL463" s="1"/>
      <c r="AM463" s="1"/>
      <c r="AN463" s="1"/>
    </row>
    <row r="464">
      <c r="A464" s="1138"/>
      <c r="B464" s="310"/>
      <c r="C464" s="888"/>
      <c r="D464" s="310"/>
      <c r="E464" s="1140"/>
      <c r="F464" s="932"/>
      <c r="G464" s="355"/>
      <c r="H464" s="310"/>
      <c r="I464" s="931"/>
      <c r="J464" s="1143"/>
      <c r="K464" s="691"/>
      <c r="L464" s="691"/>
      <c r="M464" s="691"/>
      <c r="N464" s="691"/>
      <c r="O464" s="691"/>
      <c r="P464" s="691"/>
      <c r="Q464" s="691"/>
      <c r="R464" s="888"/>
      <c r="S464" s="888"/>
      <c r="T464" s="1154"/>
      <c r="U464" s="888"/>
      <c r="V464" s="888"/>
      <c r="W464" s="310"/>
      <c r="X464" s="691"/>
      <c r="Y464" s="1"/>
      <c r="Z464" s="1"/>
      <c r="AA464" s="1"/>
      <c r="AB464" s="1"/>
      <c r="AC464" s="1"/>
      <c r="AD464" s="1"/>
      <c r="AE464" s="1"/>
      <c r="AF464" s="1"/>
      <c r="AG464" s="1"/>
      <c r="AH464" s="1"/>
      <c r="AI464" s="1"/>
      <c r="AJ464" s="1"/>
      <c r="AK464" s="1"/>
      <c r="AL464" s="1"/>
      <c r="AM464" s="1"/>
      <c r="AN464" s="1"/>
    </row>
    <row r="465">
      <c r="A465" s="1138"/>
      <c r="B465" s="310"/>
      <c r="C465" s="888"/>
      <c r="D465" s="310"/>
      <c r="E465" s="1140"/>
      <c r="F465" s="932"/>
      <c r="G465" s="355"/>
      <c r="H465" s="310"/>
      <c r="I465" s="931"/>
      <c r="J465" s="1143"/>
      <c r="K465" s="691"/>
      <c r="L465" s="691"/>
      <c r="M465" s="691"/>
      <c r="N465" s="691"/>
      <c r="O465" s="691"/>
      <c r="P465" s="691"/>
      <c r="Q465" s="691"/>
      <c r="R465" s="888"/>
      <c r="S465" s="888"/>
      <c r="T465" s="1154"/>
      <c r="U465" s="888"/>
      <c r="V465" s="888"/>
      <c r="W465" s="310"/>
      <c r="X465" s="691"/>
      <c r="Y465" s="1"/>
      <c r="Z465" s="1"/>
      <c r="AA465" s="1"/>
      <c r="AB465" s="1"/>
      <c r="AC465" s="1"/>
      <c r="AD465" s="1"/>
      <c r="AE465" s="1"/>
      <c r="AF465" s="1"/>
      <c r="AG465" s="1"/>
      <c r="AH465" s="1"/>
      <c r="AI465" s="1"/>
      <c r="AJ465" s="1"/>
      <c r="AK465" s="1"/>
      <c r="AL465" s="1"/>
      <c r="AM465" s="1"/>
      <c r="AN465" s="1"/>
    </row>
    <row r="466">
      <c r="A466" s="1138"/>
      <c r="B466" s="310"/>
      <c r="C466" s="888"/>
      <c r="D466" s="310"/>
      <c r="E466" s="1140"/>
      <c r="F466" s="932"/>
      <c r="G466" s="355"/>
      <c r="H466" s="310"/>
      <c r="I466" s="931"/>
      <c r="J466" s="1143"/>
      <c r="K466" s="691"/>
      <c r="L466" s="691"/>
      <c r="M466" s="691"/>
      <c r="N466" s="691"/>
      <c r="O466" s="691"/>
      <c r="P466" s="691"/>
      <c r="Q466" s="691"/>
      <c r="R466" s="888"/>
      <c r="S466" s="888"/>
      <c r="T466" s="1154"/>
      <c r="U466" s="888"/>
      <c r="V466" s="888"/>
      <c r="W466" s="310"/>
      <c r="X466" s="691"/>
      <c r="Y466" s="1"/>
      <c r="Z466" s="1"/>
      <c r="AA466" s="1"/>
      <c r="AB466" s="1"/>
      <c r="AC466" s="1"/>
      <c r="AD466" s="1"/>
      <c r="AE466" s="1"/>
      <c r="AF466" s="1"/>
      <c r="AG466" s="1"/>
      <c r="AH466" s="1"/>
      <c r="AI466" s="1"/>
      <c r="AJ466" s="1"/>
      <c r="AK466" s="1"/>
      <c r="AL466" s="1"/>
      <c r="AM466" s="1"/>
      <c r="AN466" s="1"/>
    </row>
    <row r="467">
      <c r="A467" s="1138"/>
      <c r="B467" s="310"/>
      <c r="C467" s="888"/>
      <c r="D467" s="310"/>
      <c r="E467" s="1140"/>
      <c r="F467" s="932"/>
      <c r="G467" s="355"/>
      <c r="H467" s="310"/>
      <c r="I467" s="931"/>
      <c r="J467" s="1143"/>
      <c r="K467" s="691"/>
      <c r="L467" s="691"/>
      <c r="M467" s="691"/>
      <c r="N467" s="691"/>
      <c r="O467" s="691"/>
      <c r="P467" s="691"/>
      <c r="Q467" s="691"/>
      <c r="R467" s="888"/>
      <c r="S467" s="888"/>
      <c r="T467" s="1154"/>
      <c r="U467" s="888"/>
      <c r="V467" s="888"/>
      <c r="W467" s="310"/>
      <c r="X467" s="691"/>
      <c r="Y467" s="1"/>
      <c r="Z467" s="1"/>
      <c r="AA467" s="1"/>
      <c r="AB467" s="1"/>
      <c r="AC467" s="1"/>
      <c r="AD467" s="1"/>
      <c r="AE467" s="1"/>
      <c r="AF467" s="1"/>
      <c r="AG467" s="1"/>
      <c r="AH467" s="1"/>
      <c r="AI467" s="1"/>
      <c r="AJ467" s="1"/>
      <c r="AK467" s="1"/>
      <c r="AL467" s="1"/>
      <c r="AM467" s="1"/>
      <c r="AN467" s="1"/>
    </row>
    <row r="468">
      <c r="A468" s="1138"/>
      <c r="B468" s="310"/>
      <c r="C468" s="888"/>
      <c r="D468" s="310"/>
      <c r="E468" s="1140"/>
      <c r="F468" s="932"/>
      <c r="G468" s="355"/>
      <c r="H468" s="310"/>
      <c r="I468" s="931"/>
      <c r="J468" s="1143"/>
      <c r="K468" s="691"/>
      <c r="L468" s="691"/>
      <c r="M468" s="691"/>
      <c r="N468" s="691"/>
      <c r="O468" s="691"/>
      <c r="P468" s="691"/>
      <c r="Q468" s="691"/>
      <c r="R468" s="888"/>
      <c r="S468" s="888"/>
      <c r="T468" s="1154"/>
      <c r="U468" s="888"/>
      <c r="V468" s="888"/>
      <c r="W468" s="310"/>
      <c r="X468" s="691"/>
      <c r="Y468" s="1"/>
      <c r="Z468" s="1"/>
      <c r="AA468" s="1"/>
      <c r="AB468" s="1"/>
      <c r="AC468" s="1"/>
      <c r="AD468" s="1"/>
      <c r="AE468" s="1"/>
      <c r="AF468" s="1"/>
      <c r="AG468" s="1"/>
      <c r="AH468" s="1"/>
      <c r="AI468" s="1"/>
      <c r="AJ468" s="1"/>
      <c r="AK468" s="1"/>
      <c r="AL468" s="1"/>
      <c r="AM468" s="1"/>
      <c r="AN468" s="1"/>
    </row>
    <row r="469">
      <c r="A469" s="1138"/>
      <c r="B469" s="310"/>
      <c r="C469" s="888"/>
      <c r="D469" s="310"/>
      <c r="E469" s="1140"/>
      <c r="F469" s="932"/>
      <c r="G469" s="355"/>
      <c r="H469" s="310"/>
      <c r="I469" s="931"/>
      <c r="J469" s="1143"/>
      <c r="K469" s="691"/>
      <c r="L469" s="691"/>
      <c r="M469" s="691"/>
      <c r="N469" s="691"/>
      <c r="O469" s="691"/>
      <c r="P469" s="691"/>
      <c r="Q469" s="691"/>
      <c r="R469" s="888"/>
      <c r="S469" s="888"/>
      <c r="T469" s="1154"/>
      <c r="U469" s="888"/>
      <c r="V469" s="888"/>
      <c r="W469" s="310"/>
      <c r="X469" s="691"/>
      <c r="Y469" s="1"/>
      <c r="Z469" s="1"/>
      <c r="AA469" s="1"/>
      <c r="AB469" s="1"/>
      <c r="AC469" s="1"/>
      <c r="AD469" s="1"/>
      <c r="AE469" s="1"/>
      <c r="AF469" s="1"/>
      <c r="AG469" s="1"/>
      <c r="AH469" s="1"/>
      <c r="AI469" s="1"/>
      <c r="AJ469" s="1"/>
      <c r="AK469" s="1"/>
      <c r="AL469" s="1"/>
      <c r="AM469" s="1"/>
      <c r="AN469" s="1"/>
    </row>
    <row r="470">
      <c r="A470" s="1138"/>
      <c r="B470" s="310"/>
      <c r="C470" s="888"/>
      <c r="D470" s="310"/>
      <c r="E470" s="1140"/>
      <c r="F470" s="932"/>
      <c r="G470" s="355"/>
      <c r="H470" s="310"/>
      <c r="I470" s="931"/>
      <c r="J470" s="1143"/>
      <c r="K470" s="691"/>
      <c r="L470" s="691"/>
      <c r="M470" s="691"/>
      <c r="N470" s="691"/>
      <c r="O470" s="691"/>
      <c r="P470" s="691"/>
      <c r="Q470" s="691"/>
      <c r="R470" s="888"/>
      <c r="S470" s="888"/>
      <c r="T470" s="1154"/>
      <c r="U470" s="888"/>
      <c r="V470" s="888"/>
      <c r="W470" s="310"/>
      <c r="X470" s="691"/>
      <c r="Y470" s="1"/>
      <c r="Z470" s="1"/>
      <c r="AA470" s="1"/>
      <c r="AB470" s="1"/>
      <c r="AC470" s="1"/>
      <c r="AD470" s="1"/>
      <c r="AE470" s="1"/>
      <c r="AF470" s="1"/>
      <c r="AG470" s="1"/>
      <c r="AH470" s="1"/>
      <c r="AI470" s="1"/>
      <c r="AJ470" s="1"/>
      <c r="AK470" s="1"/>
      <c r="AL470" s="1"/>
      <c r="AM470" s="1"/>
      <c r="AN470" s="1"/>
    </row>
    <row r="471">
      <c r="A471" s="1138"/>
      <c r="B471" s="310"/>
      <c r="C471" s="888"/>
      <c r="D471" s="310"/>
      <c r="E471" s="1140"/>
      <c r="F471" s="932"/>
      <c r="G471" s="355"/>
      <c r="H471" s="310"/>
      <c r="I471" s="931"/>
      <c r="J471" s="1143"/>
      <c r="K471" s="691"/>
      <c r="L471" s="691"/>
      <c r="M471" s="691"/>
      <c r="N471" s="691"/>
      <c r="O471" s="691"/>
      <c r="P471" s="691"/>
      <c r="Q471" s="691"/>
      <c r="R471" s="888"/>
      <c r="S471" s="888"/>
      <c r="T471" s="1154"/>
      <c r="U471" s="888"/>
      <c r="V471" s="888"/>
      <c r="W471" s="310"/>
      <c r="X471" s="691"/>
      <c r="Y471" s="1"/>
      <c r="Z471" s="1"/>
      <c r="AA471" s="1"/>
      <c r="AB471" s="1"/>
      <c r="AC471" s="1"/>
      <c r="AD471" s="1"/>
      <c r="AE471" s="1"/>
      <c r="AF471" s="1"/>
      <c r="AG471" s="1"/>
      <c r="AH471" s="1"/>
      <c r="AI471" s="1"/>
      <c r="AJ471" s="1"/>
      <c r="AK471" s="1"/>
      <c r="AL471" s="1"/>
      <c r="AM471" s="1"/>
      <c r="AN471" s="1"/>
    </row>
    <row r="472">
      <c r="A472" s="1138"/>
      <c r="B472" s="310"/>
      <c r="C472" s="888"/>
      <c r="D472" s="310"/>
      <c r="E472" s="1140"/>
      <c r="F472" s="932"/>
      <c r="G472" s="355"/>
      <c r="H472" s="310"/>
      <c r="I472" s="931"/>
      <c r="J472" s="1143"/>
      <c r="K472" s="691"/>
      <c r="L472" s="691"/>
      <c r="M472" s="691"/>
      <c r="N472" s="691"/>
      <c r="O472" s="691"/>
      <c r="P472" s="691"/>
      <c r="Q472" s="691"/>
      <c r="R472" s="888"/>
      <c r="S472" s="888"/>
      <c r="T472" s="1154"/>
      <c r="U472" s="888"/>
      <c r="V472" s="888"/>
      <c r="W472" s="310"/>
      <c r="X472" s="691"/>
      <c r="Y472" s="1"/>
      <c r="Z472" s="1"/>
      <c r="AA472" s="1"/>
      <c r="AB472" s="1"/>
      <c r="AC472" s="1"/>
      <c r="AD472" s="1"/>
      <c r="AE472" s="1"/>
      <c r="AF472" s="1"/>
      <c r="AG472" s="1"/>
      <c r="AH472" s="1"/>
      <c r="AI472" s="1"/>
      <c r="AJ472" s="1"/>
      <c r="AK472" s="1"/>
      <c r="AL472" s="1"/>
      <c r="AM472" s="1"/>
      <c r="AN472" s="1"/>
    </row>
    <row r="473">
      <c r="A473" s="1138"/>
      <c r="B473" s="310"/>
      <c r="C473" s="888"/>
      <c r="D473" s="310"/>
      <c r="E473" s="1140"/>
      <c r="F473" s="932"/>
      <c r="G473" s="355"/>
      <c r="H473" s="310"/>
      <c r="I473" s="931"/>
      <c r="J473" s="1143"/>
      <c r="K473" s="691"/>
      <c r="L473" s="691"/>
      <c r="M473" s="691"/>
      <c r="N473" s="691"/>
      <c r="O473" s="691"/>
      <c r="P473" s="691"/>
      <c r="Q473" s="691"/>
      <c r="R473" s="888"/>
      <c r="S473" s="888"/>
      <c r="T473" s="1154"/>
      <c r="U473" s="888"/>
      <c r="V473" s="888"/>
      <c r="W473" s="310"/>
      <c r="X473" s="691"/>
      <c r="Y473" s="1"/>
      <c r="Z473" s="1"/>
      <c r="AA473" s="1"/>
      <c r="AB473" s="1"/>
      <c r="AC473" s="1"/>
      <c r="AD473" s="1"/>
      <c r="AE473" s="1"/>
      <c r="AF473" s="1"/>
      <c r="AG473" s="1"/>
      <c r="AH473" s="1"/>
      <c r="AI473" s="1"/>
      <c r="AJ473" s="1"/>
      <c r="AK473" s="1"/>
      <c r="AL473" s="1"/>
      <c r="AM473" s="1"/>
      <c r="AN473" s="1"/>
    </row>
    <row r="474">
      <c r="A474" s="1138"/>
      <c r="B474" s="310"/>
      <c r="C474" s="888"/>
      <c r="D474" s="310"/>
      <c r="E474" s="1140"/>
      <c r="F474" s="932"/>
      <c r="G474" s="355"/>
      <c r="H474" s="310"/>
      <c r="I474" s="931"/>
      <c r="J474" s="1143"/>
      <c r="K474" s="691"/>
      <c r="L474" s="691"/>
      <c r="M474" s="691"/>
      <c r="N474" s="691"/>
      <c r="O474" s="691"/>
      <c r="P474" s="691"/>
      <c r="Q474" s="691"/>
      <c r="R474" s="888"/>
      <c r="S474" s="888"/>
      <c r="T474" s="1154"/>
      <c r="U474" s="888"/>
      <c r="V474" s="888"/>
      <c r="W474" s="310"/>
      <c r="X474" s="691"/>
      <c r="Y474" s="1"/>
      <c r="Z474" s="1"/>
      <c r="AA474" s="1"/>
      <c r="AB474" s="1"/>
      <c r="AC474" s="1"/>
      <c r="AD474" s="1"/>
      <c r="AE474" s="1"/>
      <c r="AF474" s="1"/>
      <c r="AG474" s="1"/>
      <c r="AH474" s="1"/>
      <c r="AI474" s="1"/>
      <c r="AJ474" s="1"/>
      <c r="AK474" s="1"/>
      <c r="AL474" s="1"/>
      <c r="AM474" s="1"/>
      <c r="AN474" s="1"/>
    </row>
    <row r="475">
      <c r="A475" s="1138"/>
      <c r="B475" s="310"/>
      <c r="C475" s="888"/>
      <c r="D475" s="310"/>
      <c r="E475" s="1140"/>
      <c r="F475" s="932"/>
      <c r="G475" s="355"/>
      <c r="H475" s="310"/>
      <c r="I475" s="931"/>
      <c r="J475" s="1143"/>
      <c r="K475" s="691"/>
      <c r="L475" s="691"/>
      <c r="M475" s="691"/>
      <c r="N475" s="691"/>
      <c r="O475" s="691"/>
      <c r="P475" s="691"/>
      <c r="Q475" s="691"/>
      <c r="R475" s="888"/>
      <c r="S475" s="888"/>
      <c r="T475" s="1154"/>
      <c r="U475" s="888"/>
      <c r="V475" s="888"/>
      <c r="W475" s="310"/>
      <c r="X475" s="691"/>
      <c r="Y475" s="1"/>
      <c r="Z475" s="1"/>
      <c r="AA475" s="1"/>
      <c r="AB475" s="1"/>
      <c r="AC475" s="1"/>
      <c r="AD475" s="1"/>
      <c r="AE475" s="1"/>
      <c r="AF475" s="1"/>
      <c r="AG475" s="1"/>
      <c r="AH475" s="1"/>
      <c r="AI475" s="1"/>
      <c r="AJ475" s="1"/>
      <c r="AK475" s="1"/>
      <c r="AL475" s="1"/>
      <c r="AM475" s="1"/>
      <c r="AN475" s="1"/>
    </row>
    <row r="476">
      <c r="A476" s="1138"/>
      <c r="B476" s="310"/>
      <c r="C476" s="888"/>
      <c r="D476" s="310"/>
      <c r="E476" s="1140"/>
      <c r="F476" s="932"/>
      <c r="G476" s="355"/>
      <c r="H476" s="310"/>
      <c r="I476" s="931"/>
      <c r="J476" s="1143"/>
      <c r="K476" s="691"/>
      <c r="L476" s="691"/>
      <c r="M476" s="691"/>
      <c r="N476" s="691"/>
      <c r="O476" s="691"/>
      <c r="P476" s="691"/>
      <c r="Q476" s="691"/>
      <c r="R476" s="888"/>
      <c r="S476" s="888"/>
      <c r="T476" s="1154"/>
      <c r="U476" s="888"/>
      <c r="V476" s="888"/>
      <c r="W476" s="310"/>
      <c r="X476" s="691"/>
      <c r="Y476" s="1"/>
      <c r="Z476" s="1"/>
      <c r="AA476" s="1"/>
      <c r="AB476" s="1"/>
      <c r="AC476" s="1"/>
      <c r="AD476" s="1"/>
      <c r="AE476" s="1"/>
      <c r="AF476" s="1"/>
      <c r="AG476" s="1"/>
      <c r="AH476" s="1"/>
      <c r="AI476" s="1"/>
      <c r="AJ476" s="1"/>
      <c r="AK476" s="1"/>
      <c r="AL476" s="1"/>
      <c r="AM476" s="1"/>
      <c r="AN476" s="1"/>
    </row>
    <row r="477">
      <c r="A477" s="1138"/>
      <c r="B477" s="310"/>
      <c r="C477" s="888"/>
      <c r="D477" s="310"/>
      <c r="E477" s="1140"/>
      <c r="F477" s="932"/>
      <c r="G477" s="355"/>
      <c r="H477" s="310"/>
      <c r="I477" s="931"/>
      <c r="J477" s="1143"/>
      <c r="K477" s="691"/>
      <c r="L477" s="691"/>
      <c r="M477" s="691"/>
      <c r="N477" s="691"/>
      <c r="O477" s="691"/>
      <c r="P477" s="691"/>
      <c r="Q477" s="691"/>
      <c r="R477" s="888"/>
      <c r="S477" s="888"/>
      <c r="T477" s="1154"/>
      <c r="U477" s="888"/>
      <c r="V477" s="888"/>
      <c r="W477" s="310"/>
      <c r="X477" s="691"/>
      <c r="Y477" s="1"/>
      <c r="Z477" s="1"/>
      <c r="AA477" s="1"/>
      <c r="AB477" s="1"/>
      <c r="AC477" s="1"/>
      <c r="AD477" s="1"/>
      <c r="AE477" s="1"/>
      <c r="AF477" s="1"/>
      <c r="AG477" s="1"/>
      <c r="AH477" s="1"/>
      <c r="AI477" s="1"/>
      <c r="AJ477" s="1"/>
      <c r="AK477" s="1"/>
      <c r="AL477" s="1"/>
      <c r="AM477" s="1"/>
      <c r="AN477" s="1"/>
    </row>
    <row r="478">
      <c r="A478" s="1138"/>
      <c r="B478" s="310"/>
      <c r="C478" s="888"/>
      <c r="D478" s="310"/>
      <c r="E478" s="1140"/>
      <c r="F478" s="932"/>
      <c r="G478" s="355"/>
      <c r="H478" s="310"/>
      <c r="I478" s="931"/>
      <c r="J478" s="1143"/>
      <c r="K478" s="691"/>
      <c r="L478" s="691"/>
      <c r="M478" s="691"/>
      <c r="N478" s="691"/>
      <c r="O478" s="691"/>
      <c r="P478" s="691"/>
      <c r="Q478" s="691"/>
      <c r="R478" s="888"/>
      <c r="S478" s="888"/>
      <c r="T478" s="1154"/>
      <c r="U478" s="888"/>
      <c r="V478" s="888"/>
      <c r="W478" s="310"/>
      <c r="X478" s="691"/>
      <c r="Y478" s="1"/>
      <c r="Z478" s="1"/>
      <c r="AA478" s="1"/>
      <c r="AB478" s="1"/>
      <c r="AC478" s="1"/>
      <c r="AD478" s="1"/>
      <c r="AE478" s="1"/>
      <c r="AF478" s="1"/>
      <c r="AG478" s="1"/>
      <c r="AH478" s="1"/>
      <c r="AI478" s="1"/>
      <c r="AJ478" s="1"/>
      <c r="AK478" s="1"/>
      <c r="AL478" s="1"/>
      <c r="AM478" s="1"/>
      <c r="AN478" s="1"/>
    </row>
    <row r="479">
      <c r="A479" s="1138"/>
      <c r="B479" s="310"/>
      <c r="C479" s="888"/>
      <c r="D479" s="310"/>
      <c r="E479" s="1140"/>
      <c r="F479" s="932"/>
      <c r="G479" s="355"/>
      <c r="H479" s="310"/>
      <c r="I479" s="931"/>
      <c r="J479" s="1143"/>
      <c r="K479" s="691"/>
      <c r="L479" s="691"/>
      <c r="M479" s="691"/>
      <c r="N479" s="691"/>
      <c r="O479" s="691"/>
      <c r="P479" s="691"/>
      <c r="Q479" s="691"/>
      <c r="R479" s="888"/>
      <c r="S479" s="888"/>
      <c r="T479" s="1154"/>
      <c r="U479" s="888"/>
      <c r="V479" s="888"/>
      <c r="W479" s="310"/>
      <c r="X479" s="691"/>
      <c r="Y479" s="1"/>
      <c r="Z479" s="1"/>
      <c r="AA479" s="1"/>
      <c r="AB479" s="1"/>
      <c r="AC479" s="1"/>
      <c r="AD479" s="1"/>
      <c r="AE479" s="1"/>
      <c r="AF479" s="1"/>
      <c r="AG479" s="1"/>
      <c r="AH479" s="1"/>
      <c r="AI479" s="1"/>
      <c r="AJ479" s="1"/>
      <c r="AK479" s="1"/>
      <c r="AL479" s="1"/>
      <c r="AM479" s="1"/>
      <c r="AN479" s="1"/>
    </row>
    <row r="480">
      <c r="A480" s="1138"/>
      <c r="B480" s="310"/>
      <c r="C480" s="888"/>
      <c r="D480" s="310"/>
      <c r="E480" s="1140"/>
      <c r="F480" s="932"/>
      <c r="G480" s="355"/>
      <c r="H480" s="310"/>
      <c r="I480" s="931"/>
      <c r="J480" s="1143"/>
      <c r="K480" s="691"/>
      <c r="L480" s="691"/>
      <c r="M480" s="691"/>
      <c r="N480" s="691"/>
      <c r="O480" s="691"/>
      <c r="P480" s="691"/>
      <c r="Q480" s="691"/>
      <c r="R480" s="888"/>
      <c r="S480" s="888"/>
      <c r="T480" s="1154"/>
      <c r="U480" s="888"/>
      <c r="V480" s="888"/>
      <c r="W480" s="310"/>
      <c r="X480" s="691"/>
      <c r="Y480" s="1"/>
      <c r="Z480" s="1"/>
      <c r="AA480" s="1"/>
      <c r="AB480" s="1"/>
      <c r="AC480" s="1"/>
      <c r="AD480" s="1"/>
      <c r="AE480" s="1"/>
      <c r="AF480" s="1"/>
      <c r="AG480" s="1"/>
      <c r="AH480" s="1"/>
      <c r="AI480" s="1"/>
      <c r="AJ480" s="1"/>
      <c r="AK480" s="1"/>
      <c r="AL480" s="1"/>
      <c r="AM480" s="1"/>
      <c r="AN480" s="1"/>
    </row>
    <row r="481">
      <c r="A481" s="1138"/>
      <c r="B481" s="310"/>
      <c r="C481" s="888"/>
      <c r="D481" s="310"/>
      <c r="E481" s="1140"/>
      <c r="F481" s="932"/>
      <c r="G481" s="355"/>
      <c r="H481" s="310"/>
      <c r="I481" s="931"/>
      <c r="J481" s="1143"/>
      <c r="K481" s="691"/>
      <c r="L481" s="691"/>
      <c r="M481" s="691"/>
      <c r="N481" s="691"/>
      <c r="O481" s="691"/>
      <c r="P481" s="691"/>
      <c r="Q481" s="691"/>
      <c r="R481" s="888"/>
      <c r="S481" s="888"/>
      <c r="T481" s="1154"/>
      <c r="U481" s="888"/>
      <c r="V481" s="888"/>
      <c r="W481" s="310"/>
      <c r="X481" s="691"/>
      <c r="Y481" s="1"/>
      <c r="Z481" s="1"/>
      <c r="AA481" s="1"/>
      <c r="AB481" s="1"/>
      <c r="AC481" s="1"/>
      <c r="AD481" s="1"/>
      <c r="AE481" s="1"/>
      <c r="AF481" s="1"/>
      <c r="AG481" s="1"/>
      <c r="AH481" s="1"/>
      <c r="AI481" s="1"/>
      <c r="AJ481" s="1"/>
      <c r="AK481" s="1"/>
      <c r="AL481" s="1"/>
      <c r="AM481" s="1"/>
      <c r="AN481" s="1"/>
    </row>
    <row r="482">
      <c r="A482" s="1138"/>
      <c r="B482" s="310"/>
      <c r="C482" s="888"/>
      <c r="D482" s="310"/>
      <c r="E482" s="1140"/>
      <c r="F482" s="932"/>
      <c r="G482" s="355"/>
      <c r="H482" s="310"/>
      <c r="I482" s="931"/>
      <c r="J482" s="1143"/>
      <c r="K482" s="691"/>
      <c r="L482" s="691"/>
      <c r="M482" s="691"/>
      <c r="N482" s="691"/>
      <c r="O482" s="691"/>
      <c r="P482" s="691"/>
      <c r="Q482" s="691"/>
      <c r="R482" s="888"/>
      <c r="S482" s="888"/>
      <c r="T482" s="1154"/>
      <c r="U482" s="888"/>
      <c r="V482" s="888"/>
      <c r="W482" s="310"/>
      <c r="X482" s="691"/>
      <c r="Y482" s="1"/>
      <c r="Z482" s="1"/>
      <c r="AA482" s="1"/>
      <c r="AB482" s="1"/>
      <c r="AC482" s="1"/>
      <c r="AD482" s="1"/>
      <c r="AE482" s="1"/>
      <c r="AF482" s="1"/>
      <c r="AG482" s="1"/>
      <c r="AH482" s="1"/>
      <c r="AI482" s="1"/>
      <c r="AJ482" s="1"/>
      <c r="AK482" s="1"/>
      <c r="AL482" s="1"/>
      <c r="AM482" s="1"/>
      <c r="AN482" s="1"/>
    </row>
    <row r="483">
      <c r="A483" s="1138"/>
      <c r="B483" s="310"/>
      <c r="C483" s="888"/>
      <c r="D483" s="310"/>
      <c r="E483" s="1140"/>
      <c r="F483" s="932"/>
      <c r="G483" s="355"/>
      <c r="H483" s="310"/>
      <c r="I483" s="931"/>
      <c r="J483" s="1143"/>
      <c r="K483" s="691"/>
      <c r="L483" s="691"/>
      <c r="M483" s="691"/>
      <c r="N483" s="691"/>
      <c r="O483" s="691"/>
      <c r="P483" s="691"/>
      <c r="Q483" s="691"/>
      <c r="R483" s="888"/>
      <c r="S483" s="888"/>
      <c r="T483" s="1154"/>
      <c r="U483" s="888"/>
      <c r="V483" s="888"/>
      <c r="W483" s="310"/>
      <c r="X483" s="691"/>
      <c r="Y483" s="1"/>
      <c r="Z483" s="1"/>
      <c r="AA483" s="1"/>
      <c r="AB483" s="1"/>
      <c r="AC483" s="1"/>
      <c r="AD483" s="1"/>
      <c r="AE483" s="1"/>
      <c r="AF483" s="1"/>
      <c r="AG483" s="1"/>
      <c r="AH483" s="1"/>
      <c r="AI483" s="1"/>
      <c r="AJ483" s="1"/>
      <c r="AK483" s="1"/>
      <c r="AL483" s="1"/>
      <c r="AM483" s="1"/>
      <c r="AN483" s="1"/>
    </row>
    <row r="484">
      <c r="A484" s="1138"/>
      <c r="B484" s="310"/>
      <c r="C484" s="888"/>
      <c r="D484" s="310"/>
      <c r="E484" s="1140"/>
      <c r="F484" s="932"/>
      <c r="G484" s="355"/>
      <c r="H484" s="310"/>
      <c r="I484" s="931"/>
      <c r="J484" s="1143"/>
      <c r="K484" s="691"/>
      <c r="L484" s="691"/>
      <c r="M484" s="691"/>
      <c r="N484" s="691"/>
      <c r="O484" s="691"/>
      <c r="P484" s="691"/>
      <c r="Q484" s="691"/>
      <c r="R484" s="888"/>
      <c r="S484" s="888"/>
      <c r="T484" s="1154"/>
      <c r="U484" s="888"/>
      <c r="V484" s="888"/>
      <c r="W484" s="310"/>
      <c r="X484" s="691"/>
      <c r="Y484" s="1"/>
      <c r="Z484" s="1"/>
      <c r="AA484" s="1"/>
      <c r="AB484" s="1"/>
      <c r="AC484" s="1"/>
      <c r="AD484" s="1"/>
      <c r="AE484" s="1"/>
      <c r="AF484" s="1"/>
      <c r="AG484" s="1"/>
      <c r="AH484" s="1"/>
      <c r="AI484" s="1"/>
      <c r="AJ484" s="1"/>
      <c r="AK484" s="1"/>
      <c r="AL484" s="1"/>
      <c r="AM484" s="1"/>
      <c r="AN484" s="1"/>
    </row>
    <row r="485">
      <c r="A485" s="1138"/>
      <c r="B485" s="310"/>
      <c r="C485" s="888"/>
      <c r="D485" s="310"/>
      <c r="E485" s="1140"/>
      <c r="F485" s="932"/>
      <c r="G485" s="355"/>
      <c r="H485" s="310"/>
      <c r="I485" s="931"/>
      <c r="J485" s="1143"/>
      <c r="K485" s="691"/>
      <c r="L485" s="691"/>
      <c r="M485" s="691"/>
      <c r="N485" s="691"/>
      <c r="O485" s="691"/>
      <c r="P485" s="691"/>
      <c r="Q485" s="691"/>
      <c r="R485" s="888"/>
      <c r="S485" s="888"/>
      <c r="T485" s="1154"/>
      <c r="U485" s="888"/>
      <c r="V485" s="888"/>
      <c r="W485" s="310"/>
      <c r="X485" s="691"/>
      <c r="Y485" s="1"/>
      <c r="Z485" s="1"/>
      <c r="AA485" s="1"/>
      <c r="AB485" s="1"/>
      <c r="AC485" s="1"/>
      <c r="AD485" s="1"/>
      <c r="AE485" s="1"/>
      <c r="AF485" s="1"/>
      <c r="AG485" s="1"/>
      <c r="AH485" s="1"/>
      <c r="AI485" s="1"/>
      <c r="AJ485" s="1"/>
      <c r="AK485" s="1"/>
      <c r="AL485" s="1"/>
      <c r="AM485" s="1"/>
      <c r="AN485" s="1"/>
    </row>
    <row r="486">
      <c r="A486" s="1138"/>
      <c r="B486" s="310"/>
      <c r="C486" s="888"/>
      <c r="D486" s="310"/>
      <c r="E486" s="1140"/>
      <c r="F486" s="932"/>
      <c r="G486" s="355"/>
      <c r="H486" s="310"/>
      <c r="I486" s="931"/>
      <c r="J486" s="1143"/>
      <c r="K486" s="691"/>
      <c r="L486" s="691"/>
      <c r="M486" s="691"/>
      <c r="N486" s="691"/>
      <c r="O486" s="691"/>
      <c r="P486" s="691"/>
      <c r="Q486" s="691"/>
      <c r="R486" s="888"/>
      <c r="S486" s="888"/>
      <c r="T486" s="1154"/>
      <c r="U486" s="888"/>
      <c r="V486" s="888"/>
      <c r="W486" s="310"/>
      <c r="X486" s="691"/>
      <c r="Y486" s="1"/>
      <c r="Z486" s="1"/>
      <c r="AA486" s="1"/>
      <c r="AB486" s="1"/>
      <c r="AC486" s="1"/>
      <c r="AD486" s="1"/>
      <c r="AE486" s="1"/>
      <c r="AF486" s="1"/>
      <c r="AG486" s="1"/>
      <c r="AH486" s="1"/>
      <c r="AI486" s="1"/>
      <c r="AJ486" s="1"/>
      <c r="AK486" s="1"/>
      <c r="AL486" s="1"/>
      <c r="AM486" s="1"/>
      <c r="AN486" s="1"/>
    </row>
    <row r="487">
      <c r="A487" s="1138"/>
      <c r="B487" s="310"/>
      <c r="C487" s="888"/>
      <c r="D487" s="310"/>
      <c r="E487" s="1140"/>
      <c r="F487" s="932"/>
      <c r="G487" s="355"/>
      <c r="H487" s="310"/>
      <c r="I487" s="931"/>
      <c r="J487" s="1143"/>
      <c r="K487" s="691"/>
      <c r="L487" s="691"/>
      <c r="M487" s="691"/>
      <c r="N487" s="691"/>
      <c r="O487" s="691"/>
      <c r="P487" s="691"/>
      <c r="Q487" s="691"/>
      <c r="R487" s="888"/>
      <c r="S487" s="888"/>
      <c r="T487" s="1154"/>
      <c r="U487" s="888"/>
      <c r="V487" s="888"/>
      <c r="W487" s="310"/>
      <c r="X487" s="691"/>
      <c r="Y487" s="1"/>
      <c r="Z487" s="1"/>
      <c r="AA487" s="1"/>
      <c r="AB487" s="1"/>
      <c r="AC487" s="1"/>
      <c r="AD487" s="1"/>
      <c r="AE487" s="1"/>
      <c r="AF487" s="1"/>
      <c r="AG487" s="1"/>
      <c r="AH487" s="1"/>
      <c r="AI487" s="1"/>
      <c r="AJ487" s="1"/>
      <c r="AK487" s="1"/>
      <c r="AL487" s="1"/>
      <c r="AM487" s="1"/>
      <c r="AN487" s="1"/>
    </row>
    <row r="488">
      <c r="A488" s="1138"/>
      <c r="B488" s="310"/>
      <c r="C488" s="888"/>
      <c r="D488" s="310"/>
      <c r="E488" s="1140"/>
      <c r="F488" s="932"/>
      <c r="G488" s="355"/>
      <c r="H488" s="310"/>
      <c r="I488" s="931"/>
      <c r="J488" s="1143"/>
      <c r="K488" s="691"/>
      <c r="L488" s="691"/>
      <c r="M488" s="691"/>
      <c r="N488" s="691"/>
      <c r="O488" s="691"/>
      <c r="P488" s="691"/>
      <c r="Q488" s="691"/>
      <c r="R488" s="888"/>
      <c r="S488" s="888"/>
      <c r="T488" s="1154"/>
      <c r="U488" s="888"/>
      <c r="V488" s="888"/>
      <c r="W488" s="310"/>
      <c r="X488" s="691"/>
      <c r="Y488" s="1"/>
      <c r="Z488" s="1"/>
      <c r="AA488" s="1"/>
      <c r="AB488" s="1"/>
      <c r="AC488" s="1"/>
      <c r="AD488" s="1"/>
      <c r="AE488" s="1"/>
      <c r="AF488" s="1"/>
      <c r="AG488" s="1"/>
      <c r="AH488" s="1"/>
      <c r="AI488" s="1"/>
      <c r="AJ488" s="1"/>
      <c r="AK488" s="1"/>
      <c r="AL488" s="1"/>
      <c r="AM488" s="1"/>
      <c r="AN488" s="1"/>
    </row>
    <row r="489">
      <c r="A489" s="1138"/>
      <c r="B489" s="310"/>
      <c r="C489" s="888"/>
      <c r="D489" s="310"/>
      <c r="E489" s="1140"/>
      <c r="F489" s="932"/>
      <c r="G489" s="355"/>
      <c r="H489" s="310"/>
      <c r="I489" s="931"/>
      <c r="J489" s="1143"/>
      <c r="K489" s="691"/>
      <c r="L489" s="691"/>
      <c r="M489" s="691"/>
      <c r="N489" s="691"/>
      <c r="O489" s="691"/>
      <c r="P489" s="691"/>
      <c r="Q489" s="691"/>
      <c r="R489" s="888"/>
      <c r="S489" s="888"/>
      <c r="T489" s="1154"/>
      <c r="U489" s="888"/>
      <c r="V489" s="888"/>
      <c r="W489" s="310"/>
      <c r="X489" s="691"/>
      <c r="Y489" s="1"/>
      <c r="Z489" s="1"/>
      <c r="AA489" s="1"/>
      <c r="AB489" s="1"/>
      <c r="AC489" s="1"/>
      <c r="AD489" s="1"/>
      <c r="AE489" s="1"/>
      <c r="AF489" s="1"/>
      <c r="AG489" s="1"/>
      <c r="AH489" s="1"/>
      <c r="AI489" s="1"/>
      <c r="AJ489" s="1"/>
      <c r="AK489" s="1"/>
      <c r="AL489" s="1"/>
      <c r="AM489" s="1"/>
      <c r="AN489" s="1"/>
    </row>
    <row r="490">
      <c r="A490" s="1138"/>
      <c r="B490" s="310"/>
      <c r="C490" s="888"/>
      <c r="D490" s="310"/>
      <c r="E490" s="1140"/>
      <c r="F490" s="932"/>
      <c r="G490" s="355"/>
      <c r="H490" s="310"/>
      <c r="I490" s="931"/>
      <c r="J490" s="1143"/>
      <c r="K490" s="691"/>
      <c r="L490" s="691"/>
      <c r="M490" s="691"/>
      <c r="N490" s="691"/>
      <c r="O490" s="691"/>
      <c r="P490" s="691"/>
      <c r="Q490" s="691"/>
      <c r="R490" s="888"/>
      <c r="S490" s="888"/>
      <c r="T490" s="1154"/>
      <c r="U490" s="888"/>
      <c r="V490" s="888"/>
      <c r="W490" s="310"/>
      <c r="X490" s="691"/>
      <c r="Y490" s="1"/>
      <c r="Z490" s="1"/>
      <c r="AA490" s="1"/>
      <c r="AB490" s="1"/>
      <c r="AC490" s="1"/>
      <c r="AD490" s="1"/>
      <c r="AE490" s="1"/>
      <c r="AF490" s="1"/>
      <c r="AG490" s="1"/>
      <c r="AH490" s="1"/>
      <c r="AI490" s="1"/>
      <c r="AJ490" s="1"/>
      <c r="AK490" s="1"/>
      <c r="AL490" s="1"/>
      <c r="AM490" s="1"/>
      <c r="AN490" s="1"/>
    </row>
    <row r="491">
      <c r="A491" s="1138"/>
      <c r="B491" s="310"/>
      <c r="C491" s="888"/>
      <c r="D491" s="310"/>
      <c r="E491" s="1140"/>
      <c r="F491" s="932"/>
      <c r="G491" s="355"/>
      <c r="H491" s="310"/>
      <c r="I491" s="931"/>
      <c r="J491" s="1143"/>
      <c r="K491" s="691"/>
      <c r="L491" s="691"/>
      <c r="M491" s="691"/>
      <c r="N491" s="691"/>
      <c r="O491" s="691"/>
      <c r="P491" s="691"/>
      <c r="Q491" s="691"/>
      <c r="R491" s="888"/>
      <c r="S491" s="888"/>
      <c r="T491" s="1154"/>
      <c r="U491" s="888"/>
      <c r="V491" s="888"/>
      <c r="W491" s="310"/>
      <c r="X491" s="691"/>
      <c r="Y491" s="1"/>
      <c r="Z491" s="1"/>
      <c r="AA491" s="1"/>
      <c r="AB491" s="1"/>
      <c r="AC491" s="1"/>
      <c r="AD491" s="1"/>
      <c r="AE491" s="1"/>
      <c r="AF491" s="1"/>
      <c r="AG491" s="1"/>
      <c r="AH491" s="1"/>
      <c r="AI491" s="1"/>
      <c r="AJ491" s="1"/>
      <c r="AK491" s="1"/>
      <c r="AL491" s="1"/>
      <c r="AM491" s="1"/>
      <c r="AN491" s="1"/>
    </row>
    <row r="492">
      <c r="A492" s="1138"/>
      <c r="B492" s="310"/>
      <c r="C492" s="888"/>
      <c r="D492" s="310"/>
      <c r="E492" s="1140"/>
      <c r="F492" s="932"/>
      <c r="G492" s="355"/>
      <c r="H492" s="310"/>
      <c r="I492" s="931"/>
      <c r="J492" s="1143"/>
      <c r="K492" s="691"/>
      <c r="L492" s="691"/>
      <c r="M492" s="691"/>
      <c r="N492" s="691"/>
      <c r="O492" s="691"/>
      <c r="P492" s="691"/>
      <c r="Q492" s="691"/>
      <c r="R492" s="888"/>
      <c r="S492" s="888"/>
      <c r="T492" s="1154"/>
      <c r="U492" s="888"/>
      <c r="V492" s="888"/>
      <c r="W492" s="310"/>
      <c r="X492" s="691"/>
      <c r="Y492" s="1"/>
      <c r="Z492" s="1"/>
      <c r="AA492" s="1"/>
      <c r="AB492" s="1"/>
      <c r="AC492" s="1"/>
      <c r="AD492" s="1"/>
      <c r="AE492" s="1"/>
      <c r="AF492" s="1"/>
      <c r="AG492" s="1"/>
      <c r="AH492" s="1"/>
      <c r="AI492" s="1"/>
      <c r="AJ492" s="1"/>
      <c r="AK492" s="1"/>
      <c r="AL492" s="1"/>
      <c r="AM492" s="1"/>
      <c r="AN492" s="1"/>
    </row>
    <row r="493">
      <c r="A493" s="1138"/>
      <c r="B493" s="310"/>
      <c r="C493" s="888"/>
      <c r="D493" s="310"/>
      <c r="E493" s="1140"/>
      <c r="F493" s="932"/>
      <c r="G493" s="355"/>
      <c r="H493" s="310"/>
      <c r="I493" s="931"/>
      <c r="J493" s="1143"/>
      <c r="K493" s="691"/>
      <c r="L493" s="691"/>
      <c r="M493" s="691"/>
      <c r="N493" s="691"/>
      <c r="O493" s="691"/>
      <c r="P493" s="691"/>
      <c r="Q493" s="691"/>
      <c r="R493" s="888"/>
      <c r="S493" s="888"/>
      <c r="T493" s="1154"/>
      <c r="U493" s="888"/>
      <c r="V493" s="888"/>
      <c r="W493" s="310"/>
      <c r="X493" s="691"/>
      <c r="Y493" s="1"/>
      <c r="Z493" s="1"/>
      <c r="AA493" s="1"/>
      <c r="AB493" s="1"/>
      <c r="AC493" s="1"/>
      <c r="AD493" s="1"/>
      <c r="AE493" s="1"/>
      <c r="AF493" s="1"/>
      <c r="AG493" s="1"/>
      <c r="AH493" s="1"/>
      <c r="AI493" s="1"/>
      <c r="AJ493" s="1"/>
      <c r="AK493" s="1"/>
      <c r="AL493" s="1"/>
      <c r="AM493" s="1"/>
      <c r="AN493" s="1"/>
    </row>
    <row r="494">
      <c r="A494" s="1138"/>
      <c r="B494" s="310"/>
      <c r="C494" s="888"/>
      <c r="D494" s="310"/>
      <c r="E494" s="1140"/>
      <c r="F494" s="932"/>
      <c r="G494" s="355"/>
      <c r="H494" s="310"/>
      <c r="I494" s="931"/>
      <c r="J494" s="1143"/>
      <c r="K494" s="691"/>
      <c r="L494" s="691"/>
      <c r="M494" s="691"/>
      <c r="N494" s="691"/>
      <c r="O494" s="691"/>
      <c r="P494" s="691"/>
      <c r="Q494" s="691"/>
      <c r="R494" s="888"/>
      <c r="S494" s="888"/>
      <c r="T494" s="1154"/>
      <c r="U494" s="888"/>
      <c r="V494" s="888"/>
      <c r="W494" s="310"/>
      <c r="X494" s="691"/>
      <c r="Y494" s="1"/>
      <c r="Z494" s="1"/>
      <c r="AA494" s="1"/>
      <c r="AB494" s="1"/>
      <c r="AC494" s="1"/>
      <c r="AD494" s="1"/>
      <c r="AE494" s="1"/>
      <c r="AF494" s="1"/>
      <c r="AG494" s="1"/>
      <c r="AH494" s="1"/>
      <c r="AI494" s="1"/>
      <c r="AJ494" s="1"/>
      <c r="AK494" s="1"/>
      <c r="AL494" s="1"/>
      <c r="AM494" s="1"/>
      <c r="AN494" s="1"/>
    </row>
    <row r="495">
      <c r="A495" s="1138"/>
      <c r="B495" s="310"/>
      <c r="C495" s="888"/>
      <c r="D495" s="310"/>
      <c r="E495" s="1140"/>
      <c r="F495" s="932"/>
      <c r="G495" s="355"/>
      <c r="H495" s="310"/>
      <c r="I495" s="931"/>
      <c r="J495" s="1143"/>
      <c r="K495" s="691"/>
      <c r="L495" s="691"/>
      <c r="M495" s="691"/>
      <c r="N495" s="691"/>
      <c r="O495" s="691"/>
      <c r="P495" s="691"/>
      <c r="Q495" s="691"/>
      <c r="R495" s="888"/>
      <c r="S495" s="888"/>
      <c r="T495" s="1154"/>
      <c r="U495" s="888"/>
      <c r="V495" s="888"/>
      <c r="W495" s="310"/>
      <c r="X495" s="691"/>
      <c r="Y495" s="1"/>
      <c r="Z495" s="1"/>
      <c r="AA495" s="1"/>
      <c r="AB495" s="1"/>
      <c r="AC495" s="1"/>
      <c r="AD495" s="1"/>
      <c r="AE495" s="1"/>
      <c r="AF495" s="1"/>
      <c r="AG495" s="1"/>
      <c r="AH495" s="1"/>
      <c r="AI495" s="1"/>
      <c r="AJ495" s="1"/>
      <c r="AK495" s="1"/>
      <c r="AL495" s="1"/>
      <c r="AM495" s="1"/>
      <c r="AN495" s="1"/>
    </row>
    <row r="496">
      <c r="A496" s="1138"/>
      <c r="B496" s="310"/>
      <c r="C496" s="888"/>
      <c r="D496" s="310"/>
      <c r="E496" s="1140"/>
      <c r="F496" s="932"/>
      <c r="G496" s="355"/>
      <c r="H496" s="310"/>
      <c r="I496" s="931"/>
      <c r="J496" s="1143"/>
      <c r="K496" s="691"/>
      <c r="L496" s="691"/>
      <c r="M496" s="691"/>
      <c r="N496" s="691"/>
      <c r="O496" s="691"/>
      <c r="P496" s="691"/>
      <c r="Q496" s="691"/>
      <c r="R496" s="888"/>
      <c r="S496" s="888"/>
      <c r="T496" s="1154"/>
      <c r="U496" s="888"/>
      <c r="V496" s="888"/>
      <c r="W496" s="310"/>
      <c r="X496" s="691"/>
      <c r="Y496" s="1"/>
      <c r="Z496" s="1"/>
      <c r="AA496" s="1"/>
      <c r="AB496" s="1"/>
      <c r="AC496" s="1"/>
      <c r="AD496" s="1"/>
      <c r="AE496" s="1"/>
      <c r="AF496" s="1"/>
      <c r="AG496" s="1"/>
      <c r="AH496" s="1"/>
      <c r="AI496" s="1"/>
      <c r="AJ496" s="1"/>
      <c r="AK496" s="1"/>
      <c r="AL496" s="1"/>
      <c r="AM496" s="1"/>
      <c r="AN496" s="1"/>
    </row>
    <row r="497">
      <c r="A497" s="1138"/>
      <c r="B497" s="310"/>
      <c r="C497" s="888"/>
      <c r="D497" s="310"/>
      <c r="E497" s="1140"/>
      <c r="F497" s="932"/>
      <c r="G497" s="355"/>
      <c r="H497" s="310"/>
      <c r="I497" s="931"/>
      <c r="J497" s="1143"/>
      <c r="K497" s="691"/>
      <c r="L497" s="691"/>
      <c r="M497" s="691"/>
      <c r="N497" s="691"/>
      <c r="O497" s="691"/>
      <c r="P497" s="691"/>
      <c r="Q497" s="691"/>
      <c r="R497" s="888"/>
      <c r="S497" s="888"/>
      <c r="T497" s="1154"/>
      <c r="U497" s="888"/>
      <c r="V497" s="888"/>
      <c r="W497" s="310"/>
      <c r="X497" s="691"/>
      <c r="Y497" s="1"/>
      <c r="Z497" s="1"/>
      <c r="AA497" s="1"/>
      <c r="AB497" s="1"/>
      <c r="AC497" s="1"/>
      <c r="AD497" s="1"/>
      <c r="AE497" s="1"/>
      <c r="AF497" s="1"/>
      <c r="AG497" s="1"/>
      <c r="AH497" s="1"/>
      <c r="AI497" s="1"/>
      <c r="AJ497" s="1"/>
      <c r="AK497" s="1"/>
      <c r="AL497" s="1"/>
      <c r="AM497" s="1"/>
      <c r="AN497" s="1"/>
    </row>
    <row r="498">
      <c r="A498" s="1138"/>
      <c r="B498" s="310"/>
      <c r="C498" s="888"/>
      <c r="D498" s="310"/>
      <c r="E498" s="1140"/>
      <c r="F498" s="932"/>
      <c r="G498" s="355"/>
      <c r="H498" s="310"/>
      <c r="I498" s="931"/>
      <c r="J498" s="1143"/>
      <c r="K498" s="691"/>
      <c r="L498" s="691"/>
      <c r="M498" s="691"/>
      <c r="N498" s="691"/>
      <c r="O498" s="691"/>
      <c r="P498" s="691"/>
      <c r="Q498" s="691"/>
      <c r="R498" s="888"/>
      <c r="S498" s="888"/>
      <c r="T498" s="1154"/>
      <c r="U498" s="888"/>
      <c r="V498" s="888"/>
      <c r="W498" s="310"/>
      <c r="X498" s="691"/>
      <c r="Y498" s="1"/>
      <c r="Z498" s="1"/>
      <c r="AA498" s="1"/>
      <c r="AB498" s="1"/>
      <c r="AC498" s="1"/>
      <c r="AD498" s="1"/>
      <c r="AE498" s="1"/>
      <c r="AF498" s="1"/>
      <c r="AG498" s="1"/>
      <c r="AH498" s="1"/>
      <c r="AI498" s="1"/>
      <c r="AJ498" s="1"/>
      <c r="AK498" s="1"/>
      <c r="AL498" s="1"/>
      <c r="AM498" s="1"/>
      <c r="AN498" s="1"/>
    </row>
    <row r="499">
      <c r="A499" s="1138"/>
      <c r="B499" s="310"/>
      <c r="C499" s="888"/>
      <c r="D499" s="310"/>
      <c r="E499" s="1140"/>
      <c r="F499" s="932"/>
      <c r="G499" s="355"/>
      <c r="H499" s="310"/>
      <c r="I499" s="931"/>
      <c r="J499" s="1143"/>
      <c r="K499" s="691"/>
      <c r="L499" s="691"/>
      <c r="M499" s="691"/>
      <c r="N499" s="691"/>
      <c r="O499" s="691"/>
      <c r="P499" s="691"/>
      <c r="Q499" s="691"/>
      <c r="R499" s="888"/>
      <c r="S499" s="888"/>
      <c r="T499" s="1154"/>
      <c r="U499" s="888"/>
      <c r="V499" s="888"/>
      <c r="W499" s="310"/>
      <c r="X499" s="691"/>
      <c r="Y499" s="1"/>
      <c r="Z499" s="1"/>
      <c r="AA499" s="1"/>
      <c r="AB499" s="1"/>
      <c r="AC499" s="1"/>
      <c r="AD499" s="1"/>
      <c r="AE499" s="1"/>
      <c r="AF499" s="1"/>
      <c r="AG499" s="1"/>
      <c r="AH499" s="1"/>
      <c r="AI499" s="1"/>
      <c r="AJ499" s="1"/>
      <c r="AK499" s="1"/>
      <c r="AL499" s="1"/>
      <c r="AM499" s="1"/>
      <c r="AN499" s="1"/>
    </row>
    <row r="500">
      <c r="A500" s="1138"/>
      <c r="B500" s="310"/>
      <c r="C500" s="888"/>
      <c r="D500" s="310"/>
      <c r="E500" s="1140"/>
      <c r="F500" s="932"/>
      <c r="G500" s="355"/>
      <c r="H500" s="310"/>
      <c r="I500" s="931"/>
      <c r="J500" s="1143"/>
      <c r="K500" s="691"/>
      <c r="L500" s="691"/>
      <c r="M500" s="691"/>
      <c r="N500" s="691"/>
      <c r="O500" s="691"/>
      <c r="P500" s="691"/>
      <c r="Q500" s="691"/>
      <c r="R500" s="888"/>
      <c r="S500" s="888"/>
      <c r="T500" s="1154"/>
      <c r="U500" s="888"/>
      <c r="V500" s="888"/>
      <c r="W500" s="310"/>
      <c r="X500" s="691"/>
      <c r="Y500" s="1"/>
      <c r="Z500" s="1"/>
      <c r="AA500" s="1"/>
      <c r="AB500" s="1"/>
      <c r="AC500" s="1"/>
      <c r="AD500" s="1"/>
      <c r="AE500" s="1"/>
      <c r="AF500" s="1"/>
      <c r="AG500" s="1"/>
      <c r="AH500" s="1"/>
      <c r="AI500" s="1"/>
      <c r="AJ500" s="1"/>
      <c r="AK500" s="1"/>
      <c r="AL500" s="1"/>
      <c r="AM500" s="1"/>
      <c r="AN500" s="1"/>
    </row>
    <row r="501">
      <c r="A501" s="1138"/>
      <c r="B501" s="310"/>
      <c r="C501" s="888"/>
      <c r="D501" s="310"/>
      <c r="E501" s="1140"/>
      <c r="F501" s="932"/>
      <c r="G501" s="355"/>
      <c r="H501" s="310"/>
      <c r="I501" s="931"/>
      <c r="J501" s="1143"/>
      <c r="K501" s="691"/>
      <c r="L501" s="691"/>
      <c r="M501" s="691"/>
      <c r="N501" s="691"/>
      <c r="O501" s="691"/>
      <c r="P501" s="691"/>
      <c r="Q501" s="691"/>
      <c r="R501" s="888"/>
      <c r="S501" s="888"/>
      <c r="T501" s="1154"/>
      <c r="U501" s="888"/>
      <c r="V501" s="888"/>
      <c r="W501" s="310"/>
      <c r="X501" s="691"/>
      <c r="Y501" s="1"/>
      <c r="Z501" s="1"/>
      <c r="AA501" s="1"/>
      <c r="AB501" s="1"/>
      <c r="AC501" s="1"/>
      <c r="AD501" s="1"/>
      <c r="AE501" s="1"/>
      <c r="AF501" s="1"/>
      <c r="AG501" s="1"/>
      <c r="AH501" s="1"/>
      <c r="AI501" s="1"/>
      <c r="AJ501" s="1"/>
      <c r="AK501" s="1"/>
      <c r="AL501" s="1"/>
      <c r="AM501" s="1"/>
      <c r="AN501" s="1"/>
    </row>
    <row r="502">
      <c r="A502" s="1138"/>
      <c r="B502" s="310"/>
      <c r="C502" s="888"/>
      <c r="D502" s="310"/>
      <c r="E502" s="1140"/>
      <c r="F502" s="932"/>
      <c r="G502" s="355"/>
      <c r="H502" s="310"/>
      <c r="I502" s="931"/>
      <c r="J502" s="1143"/>
      <c r="K502" s="691"/>
      <c r="L502" s="691"/>
      <c r="M502" s="691"/>
      <c r="N502" s="691"/>
      <c r="O502" s="691"/>
      <c r="P502" s="691"/>
      <c r="Q502" s="691"/>
      <c r="R502" s="888"/>
      <c r="S502" s="888"/>
      <c r="T502" s="1154"/>
      <c r="U502" s="888"/>
      <c r="V502" s="888"/>
      <c r="W502" s="310"/>
      <c r="X502" s="691"/>
      <c r="Y502" s="1"/>
      <c r="Z502" s="1"/>
      <c r="AA502" s="1"/>
      <c r="AB502" s="1"/>
      <c r="AC502" s="1"/>
      <c r="AD502" s="1"/>
      <c r="AE502" s="1"/>
      <c r="AF502" s="1"/>
      <c r="AG502" s="1"/>
      <c r="AH502" s="1"/>
      <c r="AI502" s="1"/>
      <c r="AJ502" s="1"/>
      <c r="AK502" s="1"/>
      <c r="AL502" s="1"/>
      <c r="AM502" s="1"/>
      <c r="AN502" s="1"/>
    </row>
    <row r="503">
      <c r="A503" s="1138"/>
      <c r="B503" s="310"/>
      <c r="C503" s="888"/>
      <c r="D503" s="310"/>
      <c r="E503" s="1140"/>
      <c r="F503" s="932"/>
      <c r="G503" s="355"/>
      <c r="H503" s="310"/>
      <c r="I503" s="931"/>
      <c r="J503" s="1143"/>
      <c r="K503" s="691"/>
      <c r="L503" s="691"/>
      <c r="M503" s="691"/>
      <c r="N503" s="691"/>
      <c r="O503" s="691"/>
      <c r="P503" s="691"/>
      <c r="Q503" s="691"/>
      <c r="R503" s="888"/>
      <c r="S503" s="888"/>
      <c r="T503" s="1154"/>
      <c r="U503" s="888"/>
      <c r="V503" s="888"/>
      <c r="W503" s="310"/>
      <c r="X503" s="691"/>
      <c r="Y503" s="1"/>
      <c r="Z503" s="1"/>
      <c r="AA503" s="1"/>
      <c r="AB503" s="1"/>
      <c r="AC503" s="1"/>
      <c r="AD503" s="1"/>
      <c r="AE503" s="1"/>
      <c r="AF503" s="1"/>
      <c r="AG503" s="1"/>
      <c r="AH503" s="1"/>
      <c r="AI503" s="1"/>
      <c r="AJ503" s="1"/>
      <c r="AK503" s="1"/>
      <c r="AL503" s="1"/>
      <c r="AM503" s="1"/>
      <c r="AN503" s="1"/>
    </row>
    <row r="504">
      <c r="A504" s="1138"/>
      <c r="B504" s="310"/>
      <c r="C504" s="888"/>
      <c r="D504" s="310"/>
      <c r="E504" s="1140"/>
      <c r="F504" s="932"/>
      <c r="G504" s="355"/>
      <c r="H504" s="310"/>
      <c r="I504" s="931"/>
      <c r="J504" s="1143"/>
      <c r="K504" s="691"/>
      <c r="L504" s="691"/>
      <c r="M504" s="691"/>
      <c r="N504" s="691"/>
      <c r="O504" s="691"/>
      <c r="P504" s="691"/>
      <c r="Q504" s="691"/>
      <c r="R504" s="888"/>
      <c r="S504" s="888"/>
      <c r="T504" s="1154"/>
      <c r="U504" s="888"/>
      <c r="V504" s="888"/>
      <c r="W504" s="310"/>
      <c r="X504" s="691"/>
      <c r="Y504" s="1"/>
      <c r="Z504" s="1"/>
      <c r="AA504" s="1"/>
      <c r="AB504" s="1"/>
      <c r="AC504" s="1"/>
      <c r="AD504" s="1"/>
      <c r="AE504" s="1"/>
      <c r="AF504" s="1"/>
      <c r="AG504" s="1"/>
      <c r="AH504" s="1"/>
      <c r="AI504" s="1"/>
      <c r="AJ504" s="1"/>
      <c r="AK504" s="1"/>
      <c r="AL504" s="1"/>
      <c r="AM504" s="1"/>
      <c r="AN504" s="1"/>
    </row>
    <row r="505">
      <c r="A505" s="1138"/>
      <c r="B505" s="310"/>
      <c r="C505" s="888"/>
      <c r="D505" s="310"/>
      <c r="E505" s="1140"/>
      <c r="F505" s="932"/>
      <c r="G505" s="355"/>
      <c r="H505" s="310"/>
      <c r="I505" s="931"/>
      <c r="J505" s="1143"/>
      <c r="K505" s="691"/>
      <c r="L505" s="691"/>
      <c r="M505" s="691"/>
      <c r="N505" s="691"/>
      <c r="O505" s="691"/>
      <c r="P505" s="691"/>
      <c r="Q505" s="691"/>
      <c r="R505" s="888"/>
      <c r="S505" s="888"/>
      <c r="T505" s="1154"/>
      <c r="U505" s="888"/>
      <c r="V505" s="888"/>
      <c r="W505" s="310"/>
      <c r="X505" s="691"/>
      <c r="Y505" s="1"/>
      <c r="Z505" s="1"/>
      <c r="AA505" s="1"/>
      <c r="AB505" s="1"/>
      <c r="AC505" s="1"/>
      <c r="AD505" s="1"/>
      <c r="AE505" s="1"/>
      <c r="AF505" s="1"/>
      <c r="AG505" s="1"/>
      <c r="AH505" s="1"/>
      <c r="AI505" s="1"/>
      <c r="AJ505" s="1"/>
      <c r="AK505" s="1"/>
      <c r="AL505" s="1"/>
      <c r="AM505" s="1"/>
      <c r="AN505" s="1"/>
    </row>
    <row r="506">
      <c r="A506" s="1138"/>
      <c r="B506" s="310"/>
      <c r="C506" s="888"/>
      <c r="D506" s="310"/>
      <c r="E506" s="1140"/>
      <c r="F506" s="932"/>
      <c r="G506" s="355"/>
      <c r="H506" s="310"/>
      <c r="I506" s="931"/>
      <c r="J506" s="1143"/>
      <c r="K506" s="691"/>
      <c r="L506" s="691"/>
      <c r="M506" s="691"/>
      <c r="N506" s="691"/>
      <c r="O506" s="691"/>
      <c r="P506" s="691"/>
      <c r="Q506" s="691"/>
      <c r="R506" s="888"/>
      <c r="S506" s="888"/>
      <c r="T506" s="1154"/>
      <c r="U506" s="888"/>
      <c r="V506" s="888"/>
      <c r="W506" s="310"/>
      <c r="X506" s="691"/>
      <c r="Y506" s="1"/>
      <c r="Z506" s="1"/>
      <c r="AA506" s="1"/>
      <c r="AB506" s="1"/>
      <c r="AC506" s="1"/>
      <c r="AD506" s="1"/>
      <c r="AE506" s="1"/>
      <c r="AF506" s="1"/>
      <c r="AG506" s="1"/>
      <c r="AH506" s="1"/>
      <c r="AI506" s="1"/>
      <c r="AJ506" s="1"/>
      <c r="AK506" s="1"/>
      <c r="AL506" s="1"/>
      <c r="AM506" s="1"/>
      <c r="AN506" s="1"/>
    </row>
    <row r="507">
      <c r="A507" s="1138"/>
      <c r="B507" s="310"/>
      <c r="C507" s="888"/>
      <c r="D507" s="310"/>
      <c r="E507" s="1140"/>
      <c r="F507" s="932"/>
      <c r="G507" s="355"/>
      <c r="H507" s="310"/>
      <c r="I507" s="931"/>
      <c r="J507" s="1143"/>
      <c r="K507" s="691"/>
      <c r="L507" s="691"/>
      <c r="M507" s="691"/>
      <c r="N507" s="691"/>
      <c r="O507" s="691"/>
      <c r="P507" s="691"/>
      <c r="Q507" s="691"/>
      <c r="R507" s="888"/>
      <c r="S507" s="888"/>
      <c r="T507" s="1154"/>
      <c r="U507" s="888"/>
      <c r="V507" s="888"/>
      <c r="W507" s="310"/>
      <c r="X507" s="691"/>
      <c r="Y507" s="1"/>
      <c r="Z507" s="1"/>
      <c r="AA507" s="1"/>
      <c r="AB507" s="1"/>
      <c r="AC507" s="1"/>
      <c r="AD507" s="1"/>
      <c r="AE507" s="1"/>
      <c r="AF507" s="1"/>
      <c r="AG507" s="1"/>
      <c r="AH507" s="1"/>
      <c r="AI507" s="1"/>
      <c r="AJ507" s="1"/>
      <c r="AK507" s="1"/>
      <c r="AL507" s="1"/>
      <c r="AM507" s="1"/>
      <c r="AN507" s="1"/>
    </row>
    <row r="508">
      <c r="A508" s="1138"/>
      <c r="B508" s="310"/>
      <c r="C508" s="888"/>
      <c r="D508" s="310"/>
      <c r="E508" s="1140"/>
      <c r="F508" s="932"/>
      <c r="G508" s="355"/>
      <c r="H508" s="310"/>
      <c r="I508" s="931"/>
      <c r="J508" s="1143"/>
      <c r="K508" s="691"/>
      <c r="L508" s="691"/>
      <c r="M508" s="691"/>
      <c r="N508" s="691"/>
      <c r="O508" s="691"/>
      <c r="P508" s="691"/>
      <c r="Q508" s="691"/>
      <c r="R508" s="888"/>
      <c r="S508" s="888"/>
      <c r="T508" s="1154"/>
      <c r="U508" s="888"/>
      <c r="V508" s="888"/>
      <c r="W508" s="310"/>
      <c r="X508" s="691"/>
      <c r="Y508" s="1"/>
      <c r="Z508" s="1"/>
      <c r="AA508" s="1"/>
      <c r="AB508" s="1"/>
      <c r="AC508" s="1"/>
      <c r="AD508" s="1"/>
      <c r="AE508" s="1"/>
      <c r="AF508" s="1"/>
      <c r="AG508" s="1"/>
      <c r="AH508" s="1"/>
      <c r="AI508" s="1"/>
      <c r="AJ508" s="1"/>
      <c r="AK508" s="1"/>
      <c r="AL508" s="1"/>
      <c r="AM508" s="1"/>
      <c r="AN508" s="1"/>
    </row>
    <row r="509">
      <c r="A509" s="1138"/>
      <c r="B509" s="310"/>
      <c r="C509" s="888"/>
      <c r="D509" s="310"/>
      <c r="E509" s="1140"/>
      <c r="F509" s="932"/>
      <c r="G509" s="355"/>
      <c r="H509" s="310"/>
      <c r="I509" s="931"/>
      <c r="J509" s="1143"/>
      <c r="K509" s="691"/>
      <c r="L509" s="691"/>
      <c r="M509" s="691"/>
      <c r="N509" s="691"/>
      <c r="O509" s="691"/>
      <c r="P509" s="691"/>
      <c r="Q509" s="691"/>
      <c r="R509" s="888"/>
      <c r="S509" s="888"/>
      <c r="T509" s="1154"/>
      <c r="U509" s="888"/>
      <c r="V509" s="888"/>
      <c r="W509" s="310"/>
      <c r="X509" s="691"/>
      <c r="Y509" s="1"/>
      <c r="Z509" s="1"/>
      <c r="AA509" s="1"/>
      <c r="AB509" s="1"/>
      <c r="AC509" s="1"/>
      <c r="AD509" s="1"/>
      <c r="AE509" s="1"/>
      <c r="AF509" s="1"/>
      <c r="AG509" s="1"/>
      <c r="AH509" s="1"/>
      <c r="AI509" s="1"/>
      <c r="AJ509" s="1"/>
      <c r="AK509" s="1"/>
      <c r="AL509" s="1"/>
      <c r="AM509" s="1"/>
      <c r="AN509" s="1"/>
    </row>
    <row r="510">
      <c r="A510" s="1138"/>
      <c r="B510" s="310"/>
      <c r="C510" s="888"/>
      <c r="D510" s="310"/>
      <c r="E510" s="1140"/>
      <c r="F510" s="932"/>
      <c r="G510" s="355"/>
      <c r="H510" s="310"/>
      <c r="I510" s="931"/>
      <c r="J510" s="1143"/>
      <c r="K510" s="691"/>
      <c r="L510" s="691"/>
      <c r="M510" s="691"/>
      <c r="N510" s="691"/>
      <c r="O510" s="691"/>
      <c r="P510" s="691"/>
      <c r="Q510" s="691"/>
      <c r="R510" s="888"/>
      <c r="S510" s="888"/>
      <c r="T510" s="1154"/>
      <c r="U510" s="888"/>
      <c r="V510" s="888"/>
      <c r="W510" s="310"/>
      <c r="X510" s="691"/>
      <c r="Y510" s="1"/>
      <c r="Z510" s="1"/>
      <c r="AA510" s="1"/>
      <c r="AB510" s="1"/>
      <c r="AC510" s="1"/>
      <c r="AD510" s="1"/>
      <c r="AE510" s="1"/>
      <c r="AF510" s="1"/>
      <c r="AG510" s="1"/>
      <c r="AH510" s="1"/>
      <c r="AI510" s="1"/>
      <c r="AJ510" s="1"/>
      <c r="AK510" s="1"/>
      <c r="AL510" s="1"/>
      <c r="AM510" s="1"/>
      <c r="AN510" s="1"/>
    </row>
    <row r="511">
      <c r="A511" s="1138"/>
      <c r="B511" s="310"/>
      <c r="C511" s="888"/>
      <c r="D511" s="310"/>
      <c r="E511" s="1140"/>
      <c r="F511" s="932"/>
      <c r="G511" s="355"/>
      <c r="H511" s="310"/>
      <c r="I511" s="931"/>
      <c r="J511" s="1143"/>
      <c r="K511" s="691"/>
      <c r="L511" s="691"/>
      <c r="M511" s="691"/>
      <c r="N511" s="691"/>
      <c r="O511" s="691"/>
      <c r="P511" s="691"/>
      <c r="Q511" s="691"/>
      <c r="R511" s="888"/>
      <c r="S511" s="888"/>
      <c r="T511" s="1154"/>
      <c r="U511" s="888"/>
      <c r="V511" s="888"/>
      <c r="W511" s="310"/>
      <c r="X511" s="691"/>
      <c r="Y511" s="1"/>
      <c r="Z511" s="1"/>
      <c r="AA511" s="1"/>
      <c r="AB511" s="1"/>
      <c r="AC511" s="1"/>
      <c r="AD511" s="1"/>
      <c r="AE511" s="1"/>
      <c r="AF511" s="1"/>
      <c r="AG511" s="1"/>
      <c r="AH511" s="1"/>
      <c r="AI511" s="1"/>
      <c r="AJ511" s="1"/>
      <c r="AK511" s="1"/>
      <c r="AL511" s="1"/>
      <c r="AM511" s="1"/>
      <c r="AN511" s="1"/>
    </row>
    <row r="512">
      <c r="A512" s="1138"/>
      <c r="B512" s="310"/>
      <c r="C512" s="888"/>
      <c r="D512" s="310"/>
      <c r="E512" s="1140"/>
      <c r="F512" s="932"/>
      <c r="G512" s="355"/>
      <c r="H512" s="310"/>
      <c r="I512" s="931"/>
      <c r="J512" s="1143"/>
      <c r="K512" s="691"/>
      <c r="L512" s="691"/>
      <c r="M512" s="691"/>
      <c r="N512" s="691"/>
      <c r="O512" s="691"/>
      <c r="P512" s="691"/>
      <c r="Q512" s="691"/>
      <c r="R512" s="888"/>
      <c r="S512" s="888"/>
      <c r="T512" s="1154"/>
      <c r="U512" s="888"/>
      <c r="V512" s="888"/>
      <c r="W512" s="310"/>
      <c r="X512" s="691"/>
      <c r="Y512" s="1"/>
      <c r="Z512" s="1"/>
      <c r="AA512" s="1"/>
      <c r="AB512" s="1"/>
      <c r="AC512" s="1"/>
      <c r="AD512" s="1"/>
      <c r="AE512" s="1"/>
      <c r="AF512" s="1"/>
      <c r="AG512" s="1"/>
      <c r="AH512" s="1"/>
      <c r="AI512" s="1"/>
      <c r="AJ512" s="1"/>
      <c r="AK512" s="1"/>
      <c r="AL512" s="1"/>
      <c r="AM512" s="1"/>
      <c r="AN512" s="1"/>
    </row>
    <row r="513">
      <c r="A513" s="1138"/>
      <c r="B513" s="310"/>
      <c r="C513" s="888"/>
      <c r="D513" s="310"/>
      <c r="E513" s="1140"/>
      <c r="F513" s="932"/>
      <c r="G513" s="355"/>
      <c r="H513" s="310"/>
      <c r="I513" s="931"/>
      <c r="J513" s="1143"/>
      <c r="K513" s="691"/>
      <c r="L513" s="691"/>
      <c r="M513" s="691"/>
      <c r="N513" s="691"/>
      <c r="O513" s="691"/>
      <c r="P513" s="691"/>
      <c r="Q513" s="691"/>
      <c r="R513" s="888"/>
      <c r="S513" s="888"/>
      <c r="T513" s="1154"/>
      <c r="U513" s="888"/>
      <c r="V513" s="888"/>
      <c r="W513" s="310"/>
      <c r="X513" s="691"/>
      <c r="Y513" s="1"/>
      <c r="Z513" s="1"/>
      <c r="AA513" s="1"/>
      <c r="AB513" s="1"/>
      <c r="AC513" s="1"/>
      <c r="AD513" s="1"/>
      <c r="AE513" s="1"/>
      <c r="AF513" s="1"/>
      <c r="AG513" s="1"/>
      <c r="AH513" s="1"/>
      <c r="AI513" s="1"/>
      <c r="AJ513" s="1"/>
      <c r="AK513" s="1"/>
      <c r="AL513" s="1"/>
      <c r="AM513" s="1"/>
      <c r="AN513" s="1"/>
    </row>
    <row r="514">
      <c r="A514" s="1138"/>
      <c r="B514" s="310"/>
      <c r="C514" s="888"/>
      <c r="D514" s="310"/>
      <c r="E514" s="1140"/>
      <c r="F514" s="932"/>
      <c r="G514" s="355"/>
      <c r="H514" s="310"/>
      <c r="I514" s="931"/>
      <c r="J514" s="1143"/>
      <c r="K514" s="691"/>
      <c r="L514" s="691"/>
      <c r="M514" s="691"/>
      <c r="N514" s="691"/>
      <c r="O514" s="691"/>
      <c r="P514" s="691"/>
      <c r="Q514" s="691"/>
      <c r="R514" s="888"/>
      <c r="S514" s="888"/>
      <c r="T514" s="1154"/>
      <c r="U514" s="888"/>
      <c r="V514" s="888"/>
      <c r="W514" s="310"/>
      <c r="X514" s="691"/>
      <c r="Y514" s="1"/>
      <c r="Z514" s="1"/>
      <c r="AA514" s="1"/>
      <c r="AB514" s="1"/>
      <c r="AC514" s="1"/>
      <c r="AD514" s="1"/>
      <c r="AE514" s="1"/>
      <c r="AF514" s="1"/>
      <c r="AG514" s="1"/>
      <c r="AH514" s="1"/>
      <c r="AI514" s="1"/>
      <c r="AJ514" s="1"/>
      <c r="AK514" s="1"/>
      <c r="AL514" s="1"/>
      <c r="AM514" s="1"/>
      <c r="AN514" s="1"/>
    </row>
    <row r="515">
      <c r="A515" s="1138"/>
      <c r="B515" s="310"/>
      <c r="C515" s="888"/>
      <c r="D515" s="310"/>
      <c r="E515" s="1140"/>
      <c r="F515" s="932"/>
      <c r="G515" s="355"/>
      <c r="H515" s="310"/>
      <c r="I515" s="931"/>
      <c r="J515" s="1143"/>
      <c r="K515" s="691"/>
      <c r="L515" s="691"/>
      <c r="M515" s="691"/>
      <c r="N515" s="691"/>
      <c r="O515" s="691"/>
      <c r="P515" s="691"/>
      <c r="Q515" s="691"/>
      <c r="R515" s="888"/>
      <c r="S515" s="888"/>
      <c r="T515" s="1154"/>
      <c r="U515" s="888"/>
      <c r="V515" s="888"/>
      <c r="W515" s="310"/>
      <c r="X515" s="691"/>
      <c r="Y515" s="1"/>
      <c r="Z515" s="1"/>
      <c r="AA515" s="1"/>
      <c r="AB515" s="1"/>
      <c r="AC515" s="1"/>
      <c r="AD515" s="1"/>
      <c r="AE515" s="1"/>
      <c r="AF515" s="1"/>
      <c r="AG515" s="1"/>
      <c r="AH515" s="1"/>
      <c r="AI515" s="1"/>
      <c r="AJ515" s="1"/>
      <c r="AK515" s="1"/>
      <c r="AL515" s="1"/>
      <c r="AM515" s="1"/>
      <c r="AN515" s="1"/>
    </row>
    <row r="516">
      <c r="A516" s="1138"/>
      <c r="B516" s="310"/>
      <c r="C516" s="888"/>
      <c r="D516" s="310"/>
      <c r="E516" s="1140"/>
      <c r="F516" s="932"/>
      <c r="G516" s="355"/>
      <c r="H516" s="310"/>
      <c r="I516" s="931"/>
      <c r="J516" s="1143"/>
      <c r="K516" s="691"/>
      <c r="L516" s="691"/>
      <c r="M516" s="691"/>
      <c r="N516" s="691"/>
      <c r="O516" s="691"/>
      <c r="P516" s="691"/>
      <c r="Q516" s="691"/>
      <c r="R516" s="888"/>
      <c r="S516" s="888"/>
      <c r="T516" s="1154"/>
      <c r="U516" s="888"/>
      <c r="V516" s="888"/>
      <c r="W516" s="310"/>
      <c r="X516" s="691"/>
      <c r="Y516" s="1"/>
      <c r="Z516" s="1"/>
      <c r="AA516" s="1"/>
      <c r="AB516" s="1"/>
      <c r="AC516" s="1"/>
      <c r="AD516" s="1"/>
      <c r="AE516" s="1"/>
      <c r="AF516" s="1"/>
      <c r="AG516" s="1"/>
      <c r="AH516" s="1"/>
      <c r="AI516" s="1"/>
      <c r="AJ516" s="1"/>
      <c r="AK516" s="1"/>
      <c r="AL516" s="1"/>
      <c r="AM516" s="1"/>
      <c r="AN516" s="1"/>
    </row>
    <row r="517">
      <c r="A517" s="1138"/>
      <c r="B517" s="310"/>
      <c r="C517" s="888"/>
      <c r="D517" s="310"/>
      <c r="E517" s="1140"/>
      <c r="F517" s="932"/>
      <c r="G517" s="355"/>
      <c r="H517" s="310"/>
      <c r="I517" s="931"/>
      <c r="J517" s="1143"/>
      <c r="K517" s="691"/>
      <c r="L517" s="691"/>
      <c r="M517" s="691"/>
      <c r="N517" s="691"/>
      <c r="O517" s="691"/>
      <c r="P517" s="691"/>
      <c r="Q517" s="691"/>
      <c r="R517" s="888"/>
      <c r="S517" s="888"/>
      <c r="T517" s="1154"/>
      <c r="U517" s="888"/>
      <c r="V517" s="888"/>
      <c r="W517" s="310"/>
      <c r="X517" s="691"/>
      <c r="Y517" s="1"/>
      <c r="Z517" s="1"/>
      <c r="AA517" s="1"/>
      <c r="AB517" s="1"/>
      <c r="AC517" s="1"/>
      <c r="AD517" s="1"/>
      <c r="AE517" s="1"/>
      <c r="AF517" s="1"/>
      <c r="AG517" s="1"/>
      <c r="AH517" s="1"/>
      <c r="AI517" s="1"/>
      <c r="AJ517" s="1"/>
      <c r="AK517" s="1"/>
      <c r="AL517" s="1"/>
      <c r="AM517" s="1"/>
      <c r="AN517" s="1"/>
    </row>
    <row r="518">
      <c r="A518" s="1138"/>
      <c r="B518" s="310"/>
      <c r="C518" s="888"/>
      <c r="D518" s="310"/>
      <c r="E518" s="1140"/>
      <c r="F518" s="932"/>
      <c r="G518" s="355"/>
      <c r="H518" s="310"/>
      <c r="I518" s="931"/>
      <c r="J518" s="1143"/>
      <c r="K518" s="691"/>
      <c r="L518" s="691"/>
      <c r="M518" s="691"/>
      <c r="N518" s="691"/>
      <c r="O518" s="691"/>
      <c r="P518" s="691"/>
      <c r="Q518" s="691"/>
      <c r="R518" s="888"/>
      <c r="S518" s="888"/>
      <c r="T518" s="1154"/>
      <c r="U518" s="888"/>
      <c r="V518" s="888"/>
      <c r="W518" s="310"/>
      <c r="X518" s="691"/>
      <c r="Y518" s="1"/>
      <c r="Z518" s="1"/>
      <c r="AA518" s="1"/>
      <c r="AB518" s="1"/>
      <c r="AC518" s="1"/>
      <c r="AD518" s="1"/>
      <c r="AE518" s="1"/>
      <c r="AF518" s="1"/>
      <c r="AG518" s="1"/>
      <c r="AH518" s="1"/>
      <c r="AI518" s="1"/>
      <c r="AJ518" s="1"/>
      <c r="AK518" s="1"/>
      <c r="AL518" s="1"/>
      <c r="AM518" s="1"/>
      <c r="AN518" s="1"/>
    </row>
    <row r="519">
      <c r="A519" s="1138"/>
      <c r="B519" s="310"/>
      <c r="C519" s="888"/>
      <c r="D519" s="310"/>
      <c r="E519" s="1140"/>
      <c r="F519" s="932"/>
      <c r="G519" s="355"/>
      <c r="H519" s="310"/>
      <c r="I519" s="931"/>
      <c r="J519" s="1143"/>
      <c r="K519" s="691"/>
      <c r="L519" s="691"/>
      <c r="M519" s="691"/>
      <c r="N519" s="691"/>
      <c r="O519" s="691"/>
      <c r="P519" s="691"/>
      <c r="Q519" s="691"/>
      <c r="R519" s="888"/>
      <c r="S519" s="888"/>
      <c r="T519" s="1154"/>
      <c r="U519" s="888"/>
      <c r="V519" s="888"/>
      <c r="W519" s="310"/>
      <c r="X519" s="691"/>
      <c r="Y519" s="1"/>
      <c r="Z519" s="1"/>
      <c r="AA519" s="1"/>
      <c r="AB519" s="1"/>
      <c r="AC519" s="1"/>
      <c r="AD519" s="1"/>
      <c r="AE519" s="1"/>
      <c r="AF519" s="1"/>
      <c r="AG519" s="1"/>
      <c r="AH519" s="1"/>
      <c r="AI519" s="1"/>
      <c r="AJ519" s="1"/>
      <c r="AK519" s="1"/>
      <c r="AL519" s="1"/>
      <c r="AM519" s="1"/>
      <c r="AN519" s="1"/>
    </row>
    <row r="520">
      <c r="A520" s="1138"/>
      <c r="B520" s="310"/>
      <c r="C520" s="888"/>
      <c r="D520" s="310"/>
      <c r="E520" s="1140"/>
      <c r="F520" s="932"/>
      <c r="G520" s="355"/>
      <c r="H520" s="310"/>
      <c r="I520" s="931"/>
      <c r="J520" s="1143"/>
      <c r="K520" s="691"/>
      <c r="L520" s="691"/>
      <c r="M520" s="691"/>
      <c r="N520" s="691"/>
      <c r="O520" s="691"/>
      <c r="P520" s="691"/>
      <c r="Q520" s="691"/>
      <c r="R520" s="888"/>
      <c r="S520" s="888"/>
      <c r="T520" s="1154"/>
      <c r="U520" s="888"/>
      <c r="V520" s="888"/>
      <c r="W520" s="310"/>
      <c r="X520" s="691"/>
      <c r="Y520" s="1"/>
      <c r="Z520" s="1"/>
      <c r="AA520" s="1"/>
      <c r="AB520" s="1"/>
      <c r="AC520" s="1"/>
      <c r="AD520" s="1"/>
      <c r="AE520" s="1"/>
      <c r="AF520" s="1"/>
      <c r="AG520" s="1"/>
      <c r="AH520" s="1"/>
      <c r="AI520" s="1"/>
      <c r="AJ520" s="1"/>
      <c r="AK520" s="1"/>
      <c r="AL520" s="1"/>
      <c r="AM520" s="1"/>
      <c r="AN520" s="1"/>
    </row>
    <row r="521">
      <c r="A521" s="1138"/>
      <c r="B521" s="310"/>
      <c r="C521" s="888"/>
      <c r="D521" s="310"/>
      <c r="E521" s="1140"/>
      <c r="F521" s="932"/>
      <c r="G521" s="355"/>
      <c r="H521" s="310"/>
      <c r="I521" s="931"/>
      <c r="J521" s="1143"/>
      <c r="K521" s="691"/>
      <c r="L521" s="691"/>
      <c r="M521" s="691"/>
      <c r="N521" s="691"/>
      <c r="O521" s="691"/>
      <c r="P521" s="691"/>
      <c r="Q521" s="691"/>
      <c r="R521" s="888"/>
      <c r="S521" s="888"/>
      <c r="T521" s="1154"/>
      <c r="U521" s="888"/>
      <c r="V521" s="888"/>
      <c r="W521" s="310"/>
      <c r="X521" s="691"/>
      <c r="Y521" s="1"/>
      <c r="Z521" s="1"/>
      <c r="AA521" s="1"/>
      <c r="AB521" s="1"/>
      <c r="AC521" s="1"/>
      <c r="AD521" s="1"/>
      <c r="AE521" s="1"/>
      <c r="AF521" s="1"/>
      <c r="AG521" s="1"/>
      <c r="AH521" s="1"/>
      <c r="AI521" s="1"/>
      <c r="AJ521" s="1"/>
      <c r="AK521" s="1"/>
      <c r="AL521" s="1"/>
      <c r="AM521" s="1"/>
      <c r="AN521" s="1"/>
    </row>
    <row r="522">
      <c r="A522" s="1138"/>
      <c r="B522" s="310"/>
      <c r="C522" s="888"/>
      <c r="D522" s="310"/>
      <c r="E522" s="1140"/>
      <c r="F522" s="932"/>
      <c r="G522" s="355"/>
      <c r="H522" s="310"/>
      <c r="I522" s="931"/>
      <c r="J522" s="1143"/>
      <c r="K522" s="691"/>
      <c r="L522" s="691"/>
      <c r="M522" s="691"/>
      <c r="N522" s="691"/>
      <c r="O522" s="691"/>
      <c r="P522" s="691"/>
      <c r="Q522" s="691"/>
      <c r="R522" s="888"/>
      <c r="S522" s="888"/>
      <c r="T522" s="1154"/>
      <c r="U522" s="888"/>
      <c r="V522" s="888"/>
      <c r="W522" s="310"/>
      <c r="X522" s="691"/>
      <c r="Y522" s="1"/>
      <c r="Z522" s="1"/>
      <c r="AA522" s="1"/>
      <c r="AB522" s="1"/>
      <c r="AC522" s="1"/>
      <c r="AD522" s="1"/>
      <c r="AE522" s="1"/>
      <c r="AF522" s="1"/>
      <c r="AG522" s="1"/>
      <c r="AH522" s="1"/>
      <c r="AI522" s="1"/>
      <c r="AJ522" s="1"/>
      <c r="AK522" s="1"/>
      <c r="AL522" s="1"/>
      <c r="AM522" s="1"/>
      <c r="AN522" s="1"/>
    </row>
    <row r="523">
      <c r="A523" s="1138"/>
      <c r="B523" s="310"/>
      <c r="C523" s="888"/>
      <c r="D523" s="310"/>
      <c r="E523" s="1140"/>
      <c r="F523" s="932"/>
      <c r="G523" s="355"/>
      <c r="H523" s="310"/>
      <c r="I523" s="931"/>
      <c r="J523" s="1143"/>
      <c r="K523" s="691"/>
      <c r="L523" s="691"/>
      <c r="M523" s="691"/>
      <c r="N523" s="691"/>
      <c r="O523" s="691"/>
      <c r="P523" s="691"/>
      <c r="Q523" s="691"/>
      <c r="R523" s="888"/>
      <c r="S523" s="888"/>
      <c r="T523" s="1154"/>
      <c r="U523" s="888"/>
      <c r="V523" s="888"/>
      <c r="W523" s="310"/>
      <c r="X523" s="691"/>
      <c r="Y523" s="1"/>
      <c r="Z523" s="1"/>
      <c r="AA523" s="1"/>
      <c r="AB523" s="1"/>
      <c r="AC523" s="1"/>
      <c r="AD523" s="1"/>
      <c r="AE523" s="1"/>
      <c r="AF523" s="1"/>
      <c r="AG523" s="1"/>
      <c r="AH523" s="1"/>
      <c r="AI523" s="1"/>
      <c r="AJ523" s="1"/>
      <c r="AK523" s="1"/>
      <c r="AL523" s="1"/>
      <c r="AM523" s="1"/>
      <c r="AN523" s="1"/>
    </row>
    <row r="524">
      <c r="A524" s="1138"/>
      <c r="B524" s="310"/>
      <c r="C524" s="888"/>
      <c r="D524" s="310"/>
      <c r="E524" s="1140"/>
      <c r="F524" s="932"/>
      <c r="G524" s="355"/>
      <c r="H524" s="310"/>
      <c r="I524" s="931"/>
      <c r="J524" s="1143"/>
      <c r="K524" s="691"/>
      <c r="L524" s="691"/>
      <c r="M524" s="691"/>
      <c r="N524" s="691"/>
      <c r="O524" s="691"/>
      <c r="P524" s="691"/>
      <c r="Q524" s="691"/>
      <c r="R524" s="888"/>
      <c r="S524" s="888"/>
      <c r="T524" s="1154"/>
      <c r="U524" s="888"/>
      <c r="V524" s="888"/>
      <c r="W524" s="310"/>
      <c r="X524" s="691"/>
      <c r="Y524" s="1"/>
      <c r="Z524" s="1"/>
      <c r="AA524" s="1"/>
      <c r="AB524" s="1"/>
      <c r="AC524" s="1"/>
      <c r="AD524" s="1"/>
      <c r="AE524" s="1"/>
      <c r="AF524" s="1"/>
      <c r="AG524" s="1"/>
      <c r="AH524" s="1"/>
      <c r="AI524" s="1"/>
      <c r="AJ524" s="1"/>
      <c r="AK524" s="1"/>
      <c r="AL524" s="1"/>
      <c r="AM524" s="1"/>
      <c r="AN524" s="1"/>
    </row>
    <row r="525">
      <c r="A525" s="1138"/>
      <c r="B525" s="310"/>
      <c r="C525" s="888"/>
      <c r="D525" s="310"/>
      <c r="E525" s="1140"/>
      <c r="F525" s="932"/>
      <c r="G525" s="355"/>
      <c r="H525" s="310"/>
      <c r="I525" s="931"/>
      <c r="J525" s="1143"/>
      <c r="K525" s="691"/>
      <c r="L525" s="691"/>
      <c r="M525" s="691"/>
      <c r="N525" s="691"/>
      <c r="O525" s="691"/>
      <c r="P525" s="691"/>
      <c r="Q525" s="691"/>
      <c r="R525" s="888"/>
      <c r="S525" s="888"/>
      <c r="T525" s="1154"/>
      <c r="U525" s="888"/>
      <c r="V525" s="888"/>
      <c r="W525" s="310"/>
      <c r="X525" s="691"/>
      <c r="Y525" s="1"/>
      <c r="Z525" s="1"/>
      <c r="AA525" s="1"/>
      <c r="AB525" s="1"/>
      <c r="AC525" s="1"/>
      <c r="AD525" s="1"/>
      <c r="AE525" s="1"/>
      <c r="AF525" s="1"/>
      <c r="AG525" s="1"/>
      <c r="AH525" s="1"/>
      <c r="AI525" s="1"/>
      <c r="AJ525" s="1"/>
      <c r="AK525" s="1"/>
      <c r="AL525" s="1"/>
      <c r="AM525" s="1"/>
      <c r="AN525" s="1"/>
    </row>
    <row r="526">
      <c r="A526" s="1138"/>
      <c r="B526" s="310"/>
      <c r="C526" s="888"/>
      <c r="D526" s="310"/>
      <c r="E526" s="1140"/>
      <c r="F526" s="932"/>
      <c r="G526" s="355"/>
      <c r="H526" s="310"/>
      <c r="I526" s="931"/>
      <c r="J526" s="1143"/>
      <c r="K526" s="691"/>
      <c r="L526" s="691"/>
      <c r="M526" s="691"/>
      <c r="N526" s="691"/>
      <c r="O526" s="691"/>
      <c r="P526" s="691"/>
      <c r="Q526" s="691"/>
      <c r="R526" s="888"/>
      <c r="S526" s="888"/>
      <c r="T526" s="1154"/>
      <c r="U526" s="888"/>
      <c r="V526" s="888"/>
      <c r="W526" s="310"/>
      <c r="X526" s="691"/>
      <c r="Y526" s="1"/>
      <c r="Z526" s="1"/>
      <c r="AA526" s="1"/>
      <c r="AB526" s="1"/>
      <c r="AC526" s="1"/>
      <c r="AD526" s="1"/>
      <c r="AE526" s="1"/>
      <c r="AF526" s="1"/>
      <c r="AG526" s="1"/>
      <c r="AH526" s="1"/>
      <c r="AI526" s="1"/>
      <c r="AJ526" s="1"/>
      <c r="AK526" s="1"/>
      <c r="AL526" s="1"/>
      <c r="AM526" s="1"/>
      <c r="AN526" s="1"/>
    </row>
    <row r="527">
      <c r="A527" s="1138"/>
      <c r="B527" s="310"/>
      <c r="C527" s="888"/>
      <c r="D527" s="310"/>
      <c r="E527" s="1140"/>
      <c r="F527" s="932"/>
      <c r="G527" s="355"/>
      <c r="H527" s="310"/>
      <c r="I527" s="931"/>
      <c r="J527" s="1143"/>
      <c r="K527" s="691"/>
      <c r="L527" s="691"/>
      <c r="M527" s="691"/>
      <c r="N527" s="691"/>
      <c r="O527" s="691"/>
      <c r="P527" s="691"/>
      <c r="Q527" s="691"/>
      <c r="R527" s="888"/>
      <c r="S527" s="888"/>
      <c r="T527" s="1154"/>
      <c r="U527" s="888"/>
      <c r="V527" s="888"/>
      <c r="W527" s="310"/>
      <c r="X527" s="691"/>
      <c r="Y527" s="1"/>
      <c r="Z527" s="1"/>
      <c r="AA527" s="1"/>
      <c r="AB527" s="1"/>
      <c r="AC527" s="1"/>
      <c r="AD527" s="1"/>
      <c r="AE527" s="1"/>
      <c r="AF527" s="1"/>
      <c r="AG527" s="1"/>
      <c r="AH527" s="1"/>
      <c r="AI527" s="1"/>
      <c r="AJ527" s="1"/>
      <c r="AK527" s="1"/>
      <c r="AL527" s="1"/>
      <c r="AM527" s="1"/>
      <c r="AN527" s="1"/>
    </row>
    <row r="528">
      <c r="A528" s="1138"/>
      <c r="B528" s="310"/>
      <c r="C528" s="888"/>
      <c r="D528" s="310"/>
      <c r="E528" s="1140"/>
      <c r="F528" s="932"/>
      <c r="G528" s="355"/>
      <c r="H528" s="310"/>
      <c r="I528" s="931"/>
      <c r="J528" s="1143"/>
      <c r="K528" s="691"/>
      <c r="L528" s="691"/>
      <c r="M528" s="691"/>
      <c r="N528" s="691"/>
      <c r="O528" s="691"/>
      <c r="P528" s="691"/>
      <c r="Q528" s="691"/>
      <c r="R528" s="888"/>
      <c r="S528" s="888"/>
      <c r="T528" s="1154"/>
      <c r="U528" s="888"/>
      <c r="V528" s="888"/>
      <c r="W528" s="310"/>
      <c r="X528" s="691"/>
      <c r="Y528" s="1"/>
      <c r="Z528" s="1"/>
      <c r="AA528" s="1"/>
      <c r="AB528" s="1"/>
      <c r="AC528" s="1"/>
      <c r="AD528" s="1"/>
      <c r="AE528" s="1"/>
      <c r="AF528" s="1"/>
      <c r="AG528" s="1"/>
      <c r="AH528" s="1"/>
      <c r="AI528" s="1"/>
      <c r="AJ528" s="1"/>
      <c r="AK528" s="1"/>
      <c r="AL528" s="1"/>
      <c r="AM528" s="1"/>
      <c r="AN528" s="1"/>
    </row>
    <row r="529">
      <c r="A529" s="1138"/>
      <c r="B529" s="310"/>
      <c r="C529" s="888"/>
      <c r="D529" s="310"/>
      <c r="E529" s="1140"/>
      <c r="F529" s="932"/>
      <c r="G529" s="355"/>
      <c r="H529" s="310"/>
      <c r="I529" s="931"/>
      <c r="J529" s="1143"/>
      <c r="K529" s="691"/>
      <c r="L529" s="691"/>
      <c r="M529" s="691"/>
      <c r="N529" s="691"/>
      <c r="O529" s="691"/>
      <c r="P529" s="691"/>
      <c r="Q529" s="691"/>
      <c r="R529" s="888"/>
      <c r="S529" s="888"/>
      <c r="T529" s="1154"/>
      <c r="U529" s="888"/>
      <c r="V529" s="888"/>
      <c r="W529" s="310"/>
      <c r="X529" s="691"/>
      <c r="Y529" s="1"/>
      <c r="Z529" s="1"/>
      <c r="AA529" s="1"/>
      <c r="AB529" s="1"/>
      <c r="AC529" s="1"/>
      <c r="AD529" s="1"/>
      <c r="AE529" s="1"/>
      <c r="AF529" s="1"/>
      <c r="AG529" s="1"/>
      <c r="AH529" s="1"/>
      <c r="AI529" s="1"/>
      <c r="AJ529" s="1"/>
      <c r="AK529" s="1"/>
      <c r="AL529" s="1"/>
      <c r="AM529" s="1"/>
      <c r="AN529" s="1"/>
    </row>
    <row r="530">
      <c r="A530" s="1138"/>
      <c r="B530" s="310"/>
      <c r="C530" s="888"/>
      <c r="D530" s="310"/>
      <c r="E530" s="1140"/>
      <c r="F530" s="932"/>
      <c r="G530" s="355"/>
      <c r="H530" s="310"/>
      <c r="I530" s="931"/>
      <c r="J530" s="1143"/>
      <c r="K530" s="691"/>
      <c r="L530" s="691"/>
      <c r="M530" s="691"/>
      <c r="N530" s="691"/>
      <c r="O530" s="691"/>
      <c r="P530" s="691"/>
      <c r="Q530" s="691"/>
      <c r="R530" s="888"/>
      <c r="S530" s="888"/>
      <c r="T530" s="1154"/>
      <c r="U530" s="888"/>
      <c r="V530" s="888"/>
      <c r="W530" s="310"/>
      <c r="X530" s="691"/>
      <c r="Y530" s="1"/>
      <c r="Z530" s="1"/>
      <c r="AA530" s="1"/>
      <c r="AB530" s="1"/>
      <c r="AC530" s="1"/>
      <c r="AD530" s="1"/>
      <c r="AE530" s="1"/>
      <c r="AF530" s="1"/>
      <c r="AG530" s="1"/>
      <c r="AH530" s="1"/>
      <c r="AI530" s="1"/>
      <c r="AJ530" s="1"/>
      <c r="AK530" s="1"/>
      <c r="AL530" s="1"/>
      <c r="AM530" s="1"/>
      <c r="AN530" s="1"/>
    </row>
    <row r="531">
      <c r="A531" s="1138"/>
      <c r="B531" s="310"/>
      <c r="C531" s="888"/>
      <c r="D531" s="310"/>
      <c r="E531" s="1140"/>
      <c r="F531" s="932"/>
      <c r="G531" s="355"/>
      <c r="H531" s="310"/>
      <c r="I531" s="931"/>
      <c r="J531" s="1143"/>
      <c r="K531" s="691"/>
      <c r="L531" s="691"/>
      <c r="M531" s="691"/>
      <c r="N531" s="691"/>
      <c r="O531" s="691"/>
      <c r="P531" s="691"/>
      <c r="Q531" s="691"/>
      <c r="R531" s="888"/>
      <c r="S531" s="888"/>
      <c r="T531" s="1154"/>
      <c r="U531" s="888"/>
      <c r="V531" s="888"/>
      <c r="W531" s="310"/>
      <c r="X531" s="691"/>
      <c r="Y531" s="1"/>
      <c r="Z531" s="1"/>
      <c r="AA531" s="1"/>
      <c r="AB531" s="1"/>
      <c r="AC531" s="1"/>
      <c r="AD531" s="1"/>
      <c r="AE531" s="1"/>
      <c r="AF531" s="1"/>
      <c r="AG531" s="1"/>
      <c r="AH531" s="1"/>
      <c r="AI531" s="1"/>
      <c r="AJ531" s="1"/>
      <c r="AK531" s="1"/>
      <c r="AL531" s="1"/>
      <c r="AM531" s="1"/>
      <c r="AN531" s="1"/>
    </row>
    <row r="532">
      <c r="A532" s="1138"/>
      <c r="B532" s="310"/>
      <c r="C532" s="888"/>
      <c r="D532" s="310"/>
      <c r="E532" s="1140"/>
      <c r="F532" s="932"/>
      <c r="G532" s="355"/>
      <c r="H532" s="310"/>
      <c r="I532" s="931"/>
      <c r="J532" s="1143"/>
      <c r="K532" s="691"/>
      <c r="L532" s="691"/>
      <c r="M532" s="691"/>
      <c r="N532" s="691"/>
      <c r="O532" s="691"/>
      <c r="P532" s="691"/>
      <c r="Q532" s="691"/>
      <c r="R532" s="888"/>
      <c r="S532" s="888"/>
      <c r="T532" s="1154"/>
      <c r="U532" s="888"/>
      <c r="V532" s="888"/>
      <c r="W532" s="310"/>
      <c r="X532" s="691"/>
      <c r="Y532" s="1"/>
      <c r="Z532" s="1"/>
      <c r="AA532" s="1"/>
      <c r="AB532" s="1"/>
      <c r="AC532" s="1"/>
      <c r="AD532" s="1"/>
      <c r="AE532" s="1"/>
      <c r="AF532" s="1"/>
      <c r="AG532" s="1"/>
      <c r="AH532" s="1"/>
      <c r="AI532" s="1"/>
      <c r="AJ532" s="1"/>
      <c r="AK532" s="1"/>
      <c r="AL532" s="1"/>
      <c r="AM532" s="1"/>
      <c r="AN532" s="1"/>
    </row>
    <row r="533">
      <c r="A533" s="1138"/>
      <c r="B533" s="310"/>
      <c r="C533" s="888"/>
      <c r="D533" s="310"/>
      <c r="E533" s="1140"/>
      <c r="F533" s="932"/>
      <c r="G533" s="355"/>
      <c r="H533" s="310"/>
      <c r="I533" s="931"/>
      <c r="J533" s="1143"/>
      <c r="K533" s="691"/>
      <c r="L533" s="691"/>
      <c r="M533" s="691"/>
      <c r="N533" s="691"/>
      <c r="O533" s="691"/>
      <c r="P533" s="691"/>
      <c r="Q533" s="691"/>
      <c r="R533" s="888"/>
      <c r="S533" s="888"/>
      <c r="T533" s="1154"/>
      <c r="U533" s="888"/>
      <c r="V533" s="888"/>
      <c r="W533" s="310"/>
      <c r="X533" s="691"/>
      <c r="Y533" s="1"/>
      <c r="Z533" s="1"/>
      <c r="AA533" s="1"/>
      <c r="AB533" s="1"/>
      <c r="AC533" s="1"/>
      <c r="AD533" s="1"/>
      <c r="AE533" s="1"/>
      <c r="AF533" s="1"/>
      <c r="AG533" s="1"/>
      <c r="AH533" s="1"/>
      <c r="AI533" s="1"/>
      <c r="AJ533" s="1"/>
      <c r="AK533" s="1"/>
      <c r="AL533" s="1"/>
      <c r="AM533" s="1"/>
      <c r="AN533" s="1"/>
    </row>
    <row r="534">
      <c r="A534" s="1138"/>
      <c r="B534" s="310"/>
      <c r="C534" s="888"/>
      <c r="D534" s="310"/>
      <c r="E534" s="1140"/>
      <c r="F534" s="932"/>
      <c r="G534" s="355"/>
      <c r="H534" s="310"/>
      <c r="I534" s="931"/>
      <c r="J534" s="1143"/>
      <c r="K534" s="691"/>
      <c r="L534" s="691"/>
      <c r="M534" s="691"/>
      <c r="N534" s="691"/>
      <c r="O534" s="691"/>
      <c r="P534" s="691"/>
      <c r="Q534" s="691"/>
      <c r="R534" s="888"/>
      <c r="S534" s="888"/>
      <c r="T534" s="1154"/>
      <c r="U534" s="888"/>
      <c r="V534" s="888"/>
      <c r="W534" s="310"/>
      <c r="X534" s="691"/>
      <c r="Y534" s="1"/>
      <c r="Z534" s="1"/>
      <c r="AA534" s="1"/>
      <c r="AB534" s="1"/>
      <c r="AC534" s="1"/>
      <c r="AD534" s="1"/>
      <c r="AE534" s="1"/>
      <c r="AF534" s="1"/>
      <c r="AG534" s="1"/>
      <c r="AH534" s="1"/>
      <c r="AI534" s="1"/>
      <c r="AJ534" s="1"/>
      <c r="AK534" s="1"/>
      <c r="AL534" s="1"/>
      <c r="AM534" s="1"/>
      <c r="AN534" s="1"/>
    </row>
    <row r="535">
      <c r="A535" s="1138"/>
      <c r="B535" s="310"/>
      <c r="C535" s="888"/>
      <c r="D535" s="310"/>
      <c r="E535" s="1140"/>
      <c r="F535" s="932"/>
      <c r="G535" s="355"/>
      <c r="H535" s="310"/>
      <c r="I535" s="931"/>
      <c r="J535" s="1143"/>
      <c r="K535" s="691"/>
      <c r="L535" s="691"/>
      <c r="M535" s="691"/>
      <c r="N535" s="691"/>
      <c r="O535" s="691"/>
      <c r="P535" s="691"/>
      <c r="Q535" s="691"/>
      <c r="R535" s="888"/>
      <c r="S535" s="888"/>
      <c r="T535" s="1154"/>
      <c r="U535" s="888"/>
      <c r="V535" s="888"/>
      <c r="W535" s="310"/>
      <c r="X535" s="691"/>
      <c r="Y535" s="1"/>
      <c r="Z535" s="1"/>
      <c r="AA535" s="1"/>
      <c r="AB535" s="1"/>
      <c r="AC535" s="1"/>
      <c r="AD535" s="1"/>
      <c r="AE535" s="1"/>
      <c r="AF535" s="1"/>
      <c r="AG535" s="1"/>
      <c r="AH535" s="1"/>
      <c r="AI535" s="1"/>
      <c r="AJ535" s="1"/>
      <c r="AK535" s="1"/>
      <c r="AL535" s="1"/>
      <c r="AM535" s="1"/>
      <c r="AN535" s="1"/>
    </row>
    <row r="536">
      <c r="A536" s="1138"/>
      <c r="B536" s="310"/>
      <c r="C536" s="888"/>
      <c r="D536" s="310"/>
      <c r="E536" s="1140"/>
      <c r="F536" s="932"/>
      <c r="G536" s="355"/>
      <c r="H536" s="310"/>
      <c r="I536" s="931"/>
      <c r="J536" s="1143"/>
      <c r="K536" s="691"/>
      <c r="L536" s="691"/>
      <c r="M536" s="691"/>
      <c r="N536" s="691"/>
      <c r="O536" s="691"/>
      <c r="P536" s="691"/>
      <c r="Q536" s="691"/>
      <c r="R536" s="888"/>
      <c r="S536" s="888"/>
      <c r="T536" s="1154"/>
      <c r="U536" s="888"/>
      <c r="V536" s="888"/>
      <c r="W536" s="310"/>
      <c r="X536" s="691"/>
      <c r="Y536" s="1"/>
      <c r="Z536" s="1"/>
      <c r="AA536" s="1"/>
      <c r="AB536" s="1"/>
      <c r="AC536" s="1"/>
      <c r="AD536" s="1"/>
      <c r="AE536" s="1"/>
      <c r="AF536" s="1"/>
      <c r="AG536" s="1"/>
      <c r="AH536" s="1"/>
      <c r="AI536" s="1"/>
      <c r="AJ536" s="1"/>
      <c r="AK536" s="1"/>
      <c r="AL536" s="1"/>
      <c r="AM536" s="1"/>
      <c r="AN536" s="1"/>
    </row>
    <row r="537">
      <c r="A537" s="1138"/>
      <c r="B537" s="310"/>
      <c r="C537" s="888"/>
      <c r="D537" s="310"/>
      <c r="E537" s="1140"/>
      <c r="F537" s="932"/>
      <c r="G537" s="355"/>
      <c r="H537" s="310"/>
      <c r="I537" s="931"/>
      <c r="J537" s="1143"/>
      <c r="K537" s="691"/>
      <c r="L537" s="691"/>
      <c r="M537" s="691"/>
      <c r="N537" s="691"/>
      <c r="O537" s="691"/>
      <c r="P537" s="691"/>
      <c r="Q537" s="691"/>
      <c r="R537" s="888"/>
      <c r="S537" s="888"/>
      <c r="T537" s="1154"/>
      <c r="U537" s="888"/>
      <c r="V537" s="888"/>
      <c r="W537" s="310"/>
      <c r="X537" s="691"/>
      <c r="Y537" s="1"/>
      <c r="Z537" s="1"/>
      <c r="AA537" s="1"/>
      <c r="AB537" s="1"/>
      <c r="AC537" s="1"/>
      <c r="AD537" s="1"/>
      <c r="AE537" s="1"/>
      <c r="AF537" s="1"/>
      <c r="AG537" s="1"/>
      <c r="AH537" s="1"/>
      <c r="AI537" s="1"/>
      <c r="AJ537" s="1"/>
      <c r="AK537" s="1"/>
      <c r="AL537" s="1"/>
      <c r="AM537" s="1"/>
      <c r="AN537" s="1"/>
    </row>
    <row r="538">
      <c r="A538" s="1138"/>
      <c r="B538" s="310"/>
      <c r="C538" s="888"/>
      <c r="D538" s="310"/>
      <c r="E538" s="1140"/>
      <c r="F538" s="932"/>
      <c r="G538" s="355"/>
      <c r="H538" s="310"/>
      <c r="I538" s="931"/>
      <c r="J538" s="1143"/>
      <c r="K538" s="691"/>
      <c r="L538" s="691"/>
      <c r="M538" s="691"/>
      <c r="N538" s="691"/>
      <c r="O538" s="691"/>
      <c r="P538" s="691"/>
      <c r="Q538" s="691"/>
      <c r="R538" s="888"/>
      <c r="S538" s="888"/>
      <c r="T538" s="1154"/>
      <c r="U538" s="888"/>
      <c r="V538" s="888"/>
      <c r="W538" s="310"/>
      <c r="X538" s="691"/>
      <c r="Y538" s="1"/>
      <c r="Z538" s="1"/>
      <c r="AA538" s="1"/>
      <c r="AB538" s="1"/>
      <c r="AC538" s="1"/>
      <c r="AD538" s="1"/>
      <c r="AE538" s="1"/>
      <c r="AF538" s="1"/>
      <c r="AG538" s="1"/>
      <c r="AH538" s="1"/>
      <c r="AI538" s="1"/>
      <c r="AJ538" s="1"/>
      <c r="AK538" s="1"/>
      <c r="AL538" s="1"/>
      <c r="AM538" s="1"/>
      <c r="AN538" s="1"/>
    </row>
    <row r="539">
      <c r="A539" s="1138"/>
      <c r="B539" s="310"/>
      <c r="C539" s="888"/>
      <c r="D539" s="310"/>
      <c r="E539" s="1140"/>
      <c r="F539" s="932"/>
      <c r="G539" s="355"/>
      <c r="H539" s="310"/>
      <c r="I539" s="931"/>
      <c r="J539" s="1143"/>
      <c r="K539" s="691"/>
      <c r="L539" s="691"/>
      <c r="M539" s="691"/>
      <c r="N539" s="691"/>
      <c r="O539" s="691"/>
      <c r="P539" s="691"/>
      <c r="Q539" s="691"/>
      <c r="R539" s="888"/>
      <c r="S539" s="888"/>
      <c r="T539" s="1154"/>
      <c r="U539" s="888"/>
      <c r="V539" s="888"/>
      <c r="W539" s="310"/>
      <c r="X539" s="691"/>
      <c r="Y539" s="1"/>
      <c r="Z539" s="1"/>
      <c r="AA539" s="1"/>
      <c r="AB539" s="1"/>
      <c r="AC539" s="1"/>
      <c r="AD539" s="1"/>
      <c r="AE539" s="1"/>
      <c r="AF539" s="1"/>
      <c r="AG539" s="1"/>
      <c r="AH539" s="1"/>
      <c r="AI539" s="1"/>
      <c r="AJ539" s="1"/>
      <c r="AK539" s="1"/>
      <c r="AL539" s="1"/>
      <c r="AM539" s="1"/>
      <c r="AN539" s="1"/>
    </row>
    <row r="540">
      <c r="A540" s="1138"/>
      <c r="B540" s="310"/>
      <c r="C540" s="888"/>
      <c r="D540" s="310"/>
      <c r="E540" s="1140"/>
      <c r="F540" s="932"/>
      <c r="G540" s="355"/>
      <c r="H540" s="310"/>
      <c r="I540" s="931"/>
      <c r="J540" s="1143"/>
      <c r="K540" s="691"/>
      <c r="L540" s="691"/>
      <c r="M540" s="691"/>
      <c r="N540" s="691"/>
      <c r="O540" s="691"/>
      <c r="P540" s="691"/>
      <c r="Q540" s="691"/>
      <c r="R540" s="888"/>
      <c r="S540" s="888"/>
      <c r="T540" s="1154"/>
      <c r="U540" s="888"/>
      <c r="V540" s="888"/>
      <c r="W540" s="310"/>
      <c r="X540" s="691"/>
      <c r="Y540" s="1"/>
      <c r="Z540" s="1"/>
      <c r="AA540" s="1"/>
      <c r="AB540" s="1"/>
      <c r="AC540" s="1"/>
      <c r="AD540" s="1"/>
      <c r="AE540" s="1"/>
      <c r="AF540" s="1"/>
      <c r="AG540" s="1"/>
      <c r="AH540" s="1"/>
      <c r="AI540" s="1"/>
      <c r="AJ540" s="1"/>
      <c r="AK540" s="1"/>
      <c r="AL540" s="1"/>
      <c r="AM540" s="1"/>
      <c r="AN540" s="1"/>
    </row>
    <row r="541">
      <c r="A541" s="1138"/>
      <c r="B541" s="310"/>
      <c r="C541" s="888"/>
      <c r="D541" s="310"/>
      <c r="E541" s="1140"/>
      <c r="F541" s="932"/>
      <c r="G541" s="355"/>
      <c r="H541" s="310"/>
      <c r="I541" s="931"/>
      <c r="J541" s="1143"/>
      <c r="K541" s="691"/>
      <c r="L541" s="691"/>
      <c r="M541" s="691"/>
      <c r="N541" s="691"/>
      <c r="O541" s="691"/>
      <c r="P541" s="691"/>
      <c r="Q541" s="691"/>
      <c r="R541" s="888"/>
      <c r="S541" s="888"/>
      <c r="T541" s="1154"/>
      <c r="U541" s="888"/>
      <c r="V541" s="888"/>
      <c r="W541" s="310"/>
      <c r="X541" s="691"/>
      <c r="Y541" s="1"/>
      <c r="Z541" s="1"/>
      <c r="AA541" s="1"/>
      <c r="AB541" s="1"/>
      <c r="AC541" s="1"/>
      <c r="AD541" s="1"/>
      <c r="AE541" s="1"/>
      <c r="AF541" s="1"/>
      <c r="AG541" s="1"/>
      <c r="AH541" s="1"/>
      <c r="AI541" s="1"/>
      <c r="AJ541" s="1"/>
      <c r="AK541" s="1"/>
      <c r="AL541" s="1"/>
      <c r="AM541" s="1"/>
      <c r="AN541" s="1"/>
    </row>
    <row r="542">
      <c r="A542" s="1138"/>
      <c r="B542" s="310"/>
      <c r="C542" s="888"/>
      <c r="D542" s="310"/>
      <c r="E542" s="1140"/>
      <c r="F542" s="932"/>
      <c r="G542" s="355"/>
      <c r="H542" s="310"/>
      <c r="I542" s="931"/>
      <c r="J542" s="1143"/>
      <c r="K542" s="691"/>
      <c r="L542" s="691"/>
      <c r="M542" s="691"/>
      <c r="N542" s="691"/>
      <c r="O542" s="691"/>
      <c r="P542" s="691"/>
      <c r="Q542" s="691"/>
      <c r="R542" s="888"/>
      <c r="S542" s="888"/>
      <c r="T542" s="1154"/>
      <c r="U542" s="888"/>
      <c r="V542" s="888"/>
      <c r="W542" s="310"/>
      <c r="X542" s="691"/>
      <c r="Y542" s="1"/>
      <c r="Z542" s="1"/>
      <c r="AA542" s="1"/>
      <c r="AB542" s="1"/>
      <c r="AC542" s="1"/>
      <c r="AD542" s="1"/>
      <c r="AE542" s="1"/>
      <c r="AF542" s="1"/>
      <c r="AG542" s="1"/>
      <c r="AH542" s="1"/>
      <c r="AI542" s="1"/>
      <c r="AJ542" s="1"/>
      <c r="AK542" s="1"/>
      <c r="AL542" s="1"/>
      <c r="AM542" s="1"/>
      <c r="AN542" s="1"/>
    </row>
    <row r="543">
      <c r="A543" s="1138"/>
      <c r="B543" s="310"/>
      <c r="C543" s="888"/>
      <c r="D543" s="310"/>
      <c r="E543" s="1140"/>
      <c r="F543" s="932"/>
      <c r="G543" s="355"/>
      <c r="H543" s="310"/>
      <c r="I543" s="931"/>
      <c r="J543" s="1143"/>
      <c r="K543" s="691"/>
      <c r="L543" s="691"/>
      <c r="M543" s="691"/>
      <c r="N543" s="691"/>
      <c r="O543" s="691"/>
      <c r="P543" s="691"/>
      <c r="Q543" s="691"/>
      <c r="R543" s="888"/>
      <c r="S543" s="888"/>
      <c r="T543" s="1154"/>
      <c r="U543" s="888"/>
      <c r="V543" s="888"/>
      <c r="W543" s="310"/>
      <c r="X543" s="691"/>
      <c r="Y543" s="1"/>
      <c r="Z543" s="1"/>
      <c r="AA543" s="1"/>
      <c r="AB543" s="1"/>
      <c r="AC543" s="1"/>
      <c r="AD543" s="1"/>
      <c r="AE543" s="1"/>
      <c r="AF543" s="1"/>
      <c r="AG543" s="1"/>
      <c r="AH543" s="1"/>
      <c r="AI543" s="1"/>
      <c r="AJ543" s="1"/>
      <c r="AK543" s="1"/>
      <c r="AL543" s="1"/>
      <c r="AM543" s="1"/>
      <c r="AN543" s="1"/>
    </row>
    <row r="544">
      <c r="A544" s="1138"/>
      <c r="B544" s="310"/>
      <c r="C544" s="888"/>
      <c r="D544" s="310"/>
      <c r="E544" s="1140"/>
      <c r="F544" s="932"/>
      <c r="G544" s="355"/>
      <c r="H544" s="310"/>
      <c r="I544" s="931"/>
      <c r="J544" s="1143"/>
      <c r="K544" s="691"/>
      <c r="L544" s="691"/>
      <c r="M544" s="691"/>
      <c r="N544" s="691"/>
      <c r="O544" s="691"/>
      <c r="P544" s="691"/>
      <c r="Q544" s="691"/>
      <c r="R544" s="888"/>
      <c r="S544" s="888"/>
      <c r="T544" s="1154"/>
      <c r="U544" s="888"/>
      <c r="V544" s="888"/>
      <c r="W544" s="310"/>
      <c r="X544" s="691"/>
      <c r="Y544" s="1"/>
      <c r="Z544" s="1"/>
      <c r="AA544" s="1"/>
      <c r="AB544" s="1"/>
      <c r="AC544" s="1"/>
      <c r="AD544" s="1"/>
      <c r="AE544" s="1"/>
      <c r="AF544" s="1"/>
      <c r="AG544" s="1"/>
      <c r="AH544" s="1"/>
      <c r="AI544" s="1"/>
      <c r="AJ544" s="1"/>
      <c r="AK544" s="1"/>
      <c r="AL544" s="1"/>
      <c r="AM544" s="1"/>
      <c r="AN544" s="1"/>
    </row>
    <row r="545">
      <c r="A545" s="1138"/>
      <c r="B545" s="310"/>
      <c r="C545" s="888"/>
      <c r="D545" s="310"/>
      <c r="E545" s="1140"/>
      <c r="F545" s="932"/>
      <c r="G545" s="355"/>
      <c r="H545" s="310"/>
      <c r="I545" s="931"/>
      <c r="J545" s="1143"/>
      <c r="K545" s="691"/>
      <c r="L545" s="691"/>
      <c r="M545" s="691"/>
      <c r="N545" s="691"/>
      <c r="O545" s="691"/>
      <c r="P545" s="691"/>
      <c r="Q545" s="691"/>
      <c r="R545" s="888"/>
      <c r="S545" s="888"/>
      <c r="T545" s="1154"/>
      <c r="U545" s="888"/>
      <c r="V545" s="888"/>
      <c r="W545" s="310"/>
      <c r="X545" s="691"/>
      <c r="Y545" s="1"/>
      <c r="Z545" s="1"/>
      <c r="AA545" s="1"/>
      <c r="AB545" s="1"/>
      <c r="AC545" s="1"/>
      <c r="AD545" s="1"/>
      <c r="AE545" s="1"/>
      <c r="AF545" s="1"/>
      <c r="AG545" s="1"/>
      <c r="AH545" s="1"/>
      <c r="AI545" s="1"/>
      <c r="AJ545" s="1"/>
      <c r="AK545" s="1"/>
      <c r="AL545" s="1"/>
      <c r="AM545" s="1"/>
      <c r="AN545" s="1"/>
    </row>
    <row r="546">
      <c r="A546" s="1138"/>
      <c r="B546" s="310"/>
      <c r="C546" s="888"/>
      <c r="D546" s="310"/>
      <c r="E546" s="1140"/>
      <c r="F546" s="932"/>
      <c r="G546" s="355"/>
      <c r="H546" s="310"/>
      <c r="I546" s="931"/>
      <c r="J546" s="1143"/>
      <c r="K546" s="691"/>
      <c r="L546" s="691"/>
      <c r="M546" s="691"/>
      <c r="N546" s="691"/>
      <c r="O546" s="691"/>
      <c r="P546" s="691"/>
      <c r="Q546" s="691"/>
      <c r="R546" s="888"/>
      <c r="S546" s="888"/>
      <c r="T546" s="1154"/>
      <c r="U546" s="888"/>
      <c r="V546" s="888"/>
      <c r="W546" s="310"/>
      <c r="X546" s="691"/>
      <c r="Y546" s="1"/>
      <c r="Z546" s="1"/>
      <c r="AA546" s="1"/>
      <c r="AB546" s="1"/>
      <c r="AC546" s="1"/>
      <c r="AD546" s="1"/>
      <c r="AE546" s="1"/>
      <c r="AF546" s="1"/>
      <c r="AG546" s="1"/>
      <c r="AH546" s="1"/>
      <c r="AI546" s="1"/>
      <c r="AJ546" s="1"/>
      <c r="AK546" s="1"/>
      <c r="AL546" s="1"/>
      <c r="AM546" s="1"/>
      <c r="AN546" s="1"/>
    </row>
    <row r="547">
      <c r="A547" s="1138"/>
      <c r="B547" s="310"/>
      <c r="C547" s="888"/>
      <c r="D547" s="310"/>
      <c r="E547" s="1140"/>
      <c r="F547" s="932"/>
      <c r="G547" s="355"/>
      <c r="H547" s="310"/>
      <c r="I547" s="931"/>
      <c r="J547" s="1143"/>
      <c r="K547" s="691"/>
      <c r="L547" s="691"/>
      <c r="M547" s="691"/>
      <c r="N547" s="691"/>
      <c r="O547" s="691"/>
      <c r="P547" s="691"/>
      <c r="Q547" s="691"/>
      <c r="R547" s="888"/>
      <c r="S547" s="888"/>
      <c r="T547" s="1154"/>
      <c r="U547" s="888"/>
      <c r="V547" s="888"/>
      <c r="W547" s="310"/>
      <c r="X547" s="691"/>
      <c r="Y547" s="1"/>
      <c r="Z547" s="1"/>
      <c r="AA547" s="1"/>
      <c r="AB547" s="1"/>
      <c r="AC547" s="1"/>
      <c r="AD547" s="1"/>
      <c r="AE547" s="1"/>
      <c r="AF547" s="1"/>
      <c r="AG547" s="1"/>
      <c r="AH547" s="1"/>
      <c r="AI547" s="1"/>
      <c r="AJ547" s="1"/>
      <c r="AK547" s="1"/>
      <c r="AL547" s="1"/>
      <c r="AM547" s="1"/>
      <c r="AN547" s="1"/>
    </row>
    <row r="548">
      <c r="A548" s="1138"/>
      <c r="B548" s="310"/>
      <c r="C548" s="888"/>
      <c r="D548" s="310"/>
      <c r="E548" s="1140"/>
      <c r="F548" s="932"/>
      <c r="G548" s="355"/>
      <c r="H548" s="310"/>
      <c r="I548" s="931"/>
      <c r="J548" s="1143"/>
      <c r="K548" s="691"/>
      <c r="L548" s="691"/>
      <c r="M548" s="691"/>
      <c r="N548" s="691"/>
      <c r="O548" s="691"/>
      <c r="P548" s="691"/>
      <c r="Q548" s="691"/>
      <c r="R548" s="888"/>
      <c r="S548" s="888"/>
      <c r="T548" s="1154"/>
      <c r="U548" s="888"/>
      <c r="V548" s="888"/>
      <c r="W548" s="310"/>
      <c r="X548" s="691"/>
      <c r="Y548" s="1"/>
      <c r="Z548" s="1"/>
      <c r="AA548" s="1"/>
      <c r="AB548" s="1"/>
      <c r="AC548" s="1"/>
      <c r="AD548" s="1"/>
      <c r="AE548" s="1"/>
      <c r="AF548" s="1"/>
      <c r="AG548" s="1"/>
      <c r="AH548" s="1"/>
      <c r="AI548" s="1"/>
      <c r="AJ548" s="1"/>
      <c r="AK548" s="1"/>
      <c r="AL548" s="1"/>
      <c r="AM548" s="1"/>
      <c r="AN548" s="1"/>
    </row>
    <row r="549">
      <c r="A549" s="1138"/>
      <c r="B549" s="310"/>
      <c r="C549" s="888"/>
      <c r="D549" s="310"/>
      <c r="E549" s="1140"/>
      <c r="F549" s="932"/>
      <c r="G549" s="355"/>
      <c r="H549" s="310"/>
      <c r="I549" s="931"/>
      <c r="J549" s="1143"/>
      <c r="K549" s="691"/>
      <c r="L549" s="691"/>
      <c r="M549" s="691"/>
      <c r="N549" s="691"/>
      <c r="O549" s="691"/>
      <c r="P549" s="691"/>
      <c r="Q549" s="691"/>
      <c r="R549" s="888"/>
      <c r="S549" s="888"/>
      <c r="T549" s="1154"/>
      <c r="U549" s="888"/>
      <c r="V549" s="888"/>
      <c r="W549" s="310"/>
      <c r="X549" s="691"/>
      <c r="Y549" s="1"/>
      <c r="Z549" s="1"/>
      <c r="AA549" s="1"/>
      <c r="AB549" s="1"/>
      <c r="AC549" s="1"/>
      <c r="AD549" s="1"/>
      <c r="AE549" s="1"/>
      <c r="AF549" s="1"/>
      <c r="AG549" s="1"/>
      <c r="AH549" s="1"/>
      <c r="AI549" s="1"/>
      <c r="AJ549" s="1"/>
      <c r="AK549" s="1"/>
      <c r="AL549" s="1"/>
      <c r="AM549" s="1"/>
      <c r="AN549" s="1"/>
    </row>
    <row r="550">
      <c r="A550" s="1138"/>
      <c r="B550" s="310"/>
      <c r="C550" s="888"/>
      <c r="D550" s="310"/>
      <c r="E550" s="1140"/>
      <c r="F550" s="932"/>
      <c r="G550" s="355"/>
      <c r="H550" s="310"/>
      <c r="I550" s="931"/>
      <c r="J550" s="1143"/>
      <c r="K550" s="691"/>
      <c r="L550" s="691"/>
      <c r="M550" s="691"/>
      <c r="N550" s="691"/>
      <c r="O550" s="691"/>
      <c r="P550" s="691"/>
      <c r="Q550" s="691"/>
      <c r="R550" s="888"/>
      <c r="S550" s="888"/>
      <c r="T550" s="1154"/>
      <c r="U550" s="888"/>
      <c r="V550" s="888"/>
      <c r="W550" s="310"/>
      <c r="X550" s="691"/>
      <c r="Y550" s="1"/>
      <c r="Z550" s="1"/>
      <c r="AA550" s="1"/>
      <c r="AB550" s="1"/>
      <c r="AC550" s="1"/>
      <c r="AD550" s="1"/>
      <c r="AE550" s="1"/>
      <c r="AF550" s="1"/>
      <c r="AG550" s="1"/>
      <c r="AH550" s="1"/>
      <c r="AI550" s="1"/>
      <c r="AJ550" s="1"/>
      <c r="AK550" s="1"/>
      <c r="AL550" s="1"/>
      <c r="AM550" s="1"/>
      <c r="AN550" s="1"/>
    </row>
    <row r="551">
      <c r="A551" s="1138"/>
      <c r="B551" s="310"/>
      <c r="C551" s="888"/>
      <c r="D551" s="310"/>
      <c r="E551" s="1140"/>
      <c r="F551" s="932"/>
      <c r="G551" s="355"/>
      <c r="H551" s="310"/>
      <c r="I551" s="931"/>
      <c r="J551" s="1143"/>
      <c r="K551" s="691"/>
      <c r="L551" s="691"/>
      <c r="M551" s="691"/>
      <c r="N551" s="691"/>
      <c r="O551" s="691"/>
      <c r="P551" s="691"/>
      <c r="Q551" s="691"/>
      <c r="R551" s="888"/>
      <c r="S551" s="888"/>
      <c r="T551" s="1154"/>
      <c r="U551" s="888"/>
      <c r="V551" s="888"/>
      <c r="W551" s="310"/>
      <c r="X551" s="691"/>
      <c r="Y551" s="1"/>
      <c r="Z551" s="1"/>
      <c r="AA551" s="1"/>
      <c r="AB551" s="1"/>
      <c r="AC551" s="1"/>
      <c r="AD551" s="1"/>
      <c r="AE551" s="1"/>
      <c r="AF551" s="1"/>
      <c r="AG551" s="1"/>
      <c r="AH551" s="1"/>
      <c r="AI551" s="1"/>
      <c r="AJ551" s="1"/>
      <c r="AK551" s="1"/>
      <c r="AL551" s="1"/>
      <c r="AM551" s="1"/>
      <c r="AN551" s="1"/>
    </row>
    <row r="552">
      <c r="A552" s="1138"/>
      <c r="B552" s="310"/>
      <c r="C552" s="888"/>
      <c r="D552" s="310"/>
      <c r="E552" s="1140"/>
      <c r="F552" s="932"/>
      <c r="G552" s="355"/>
      <c r="H552" s="310"/>
      <c r="I552" s="931"/>
      <c r="J552" s="1143"/>
      <c r="K552" s="691"/>
      <c r="L552" s="691"/>
      <c r="M552" s="691"/>
      <c r="N552" s="691"/>
      <c r="O552" s="691"/>
      <c r="P552" s="691"/>
      <c r="Q552" s="691"/>
      <c r="R552" s="888"/>
      <c r="S552" s="888"/>
      <c r="T552" s="1154"/>
      <c r="U552" s="888"/>
      <c r="V552" s="888"/>
      <c r="W552" s="310"/>
      <c r="X552" s="691"/>
      <c r="Y552" s="1"/>
      <c r="Z552" s="1"/>
      <c r="AA552" s="1"/>
      <c r="AB552" s="1"/>
      <c r="AC552" s="1"/>
      <c r="AD552" s="1"/>
      <c r="AE552" s="1"/>
      <c r="AF552" s="1"/>
      <c r="AG552" s="1"/>
      <c r="AH552" s="1"/>
      <c r="AI552" s="1"/>
      <c r="AJ552" s="1"/>
      <c r="AK552" s="1"/>
      <c r="AL552" s="1"/>
      <c r="AM552" s="1"/>
      <c r="AN552" s="1"/>
    </row>
    <row r="553">
      <c r="A553" s="1138"/>
      <c r="B553" s="310"/>
      <c r="C553" s="888"/>
      <c r="D553" s="310"/>
      <c r="E553" s="1140"/>
      <c r="F553" s="932"/>
      <c r="G553" s="355"/>
      <c r="H553" s="310"/>
      <c r="I553" s="931"/>
      <c r="J553" s="1143"/>
      <c r="K553" s="691"/>
      <c r="L553" s="691"/>
      <c r="M553" s="691"/>
      <c r="N553" s="691"/>
      <c r="O553" s="691"/>
      <c r="P553" s="691"/>
      <c r="Q553" s="691"/>
      <c r="R553" s="888"/>
      <c r="S553" s="888"/>
      <c r="T553" s="1154"/>
      <c r="U553" s="888"/>
      <c r="V553" s="888"/>
      <c r="W553" s="310"/>
      <c r="X553" s="691"/>
      <c r="Y553" s="1"/>
      <c r="Z553" s="1"/>
      <c r="AA553" s="1"/>
      <c r="AB553" s="1"/>
      <c r="AC553" s="1"/>
      <c r="AD553" s="1"/>
      <c r="AE553" s="1"/>
      <c r="AF553" s="1"/>
      <c r="AG553" s="1"/>
      <c r="AH553" s="1"/>
      <c r="AI553" s="1"/>
      <c r="AJ553" s="1"/>
      <c r="AK553" s="1"/>
      <c r="AL553" s="1"/>
      <c r="AM553" s="1"/>
      <c r="AN553" s="1"/>
    </row>
    <row r="554">
      <c r="A554" s="1138"/>
      <c r="B554" s="310"/>
      <c r="C554" s="888"/>
      <c r="D554" s="310"/>
      <c r="E554" s="1140"/>
      <c r="F554" s="932"/>
      <c r="G554" s="355"/>
      <c r="H554" s="310"/>
      <c r="I554" s="931"/>
      <c r="J554" s="1143"/>
      <c r="K554" s="691"/>
      <c r="L554" s="691"/>
      <c r="M554" s="691"/>
      <c r="N554" s="691"/>
      <c r="O554" s="691"/>
      <c r="P554" s="691"/>
      <c r="Q554" s="691"/>
      <c r="R554" s="888"/>
      <c r="S554" s="888"/>
      <c r="T554" s="1154"/>
      <c r="U554" s="888"/>
      <c r="V554" s="888"/>
      <c r="W554" s="310"/>
      <c r="X554" s="691"/>
      <c r="Y554" s="1"/>
      <c r="Z554" s="1"/>
      <c r="AA554" s="1"/>
      <c r="AB554" s="1"/>
      <c r="AC554" s="1"/>
      <c r="AD554" s="1"/>
      <c r="AE554" s="1"/>
      <c r="AF554" s="1"/>
      <c r="AG554" s="1"/>
      <c r="AH554" s="1"/>
      <c r="AI554" s="1"/>
      <c r="AJ554" s="1"/>
      <c r="AK554" s="1"/>
      <c r="AL554" s="1"/>
      <c r="AM554" s="1"/>
      <c r="AN554" s="1"/>
    </row>
    <row r="555">
      <c r="A555" s="1138"/>
      <c r="B555" s="310"/>
      <c r="C555" s="888"/>
      <c r="D555" s="310"/>
      <c r="E555" s="1140"/>
      <c r="F555" s="932"/>
      <c r="G555" s="355"/>
      <c r="H555" s="310"/>
      <c r="I555" s="931"/>
      <c r="J555" s="1143"/>
      <c r="K555" s="691"/>
      <c r="L555" s="691"/>
      <c r="M555" s="691"/>
      <c r="N555" s="691"/>
      <c r="O555" s="691"/>
      <c r="P555" s="691"/>
      <c r="Q555" s="691"/>
      <c r="R555" s="888"/>
      <c r="S555" s="888"/>
      <c r="T555" s="1154"/>
      <c r="U555" s="888"/>
      <c r="V555" s="888"/>
      <c r="W555" s="310"/>
      <c r="X555" s="691"/>
      <c r="Y555" s="1"/>
      <c r="Z555" s="1"/>
      <c r="AA555" s="1"/>
      <c r="AB555" s="1"/>
      <c r="AC555" s="1"/>
      <c r="AD555" s="1"/>
      <c r="AE555" s="1"/>
      <c r="AF555" s="1"/>
      <c r="AG555" s="1"/>
      <c r="AH555" s="1"/>
      <c r="AI555" s="1"/>
      <c r="AJ555" s="1"/>
      <c r="AK555" s="1"/>
      <c r="AL555" s="1"/>
      <c r="AM555" s="1"/>
      <c r="AN555" s="1"/>
    </row>
    <row r="556">
      <c r="A556" s="1138"/>
      <c r="B556" s="310"/>
      <c r="C556" s="888"/>
      <c r="D556" s="310"/>
      <c r="E556" s="1140"/>
      <c r="F556" s="932"/>
      <c r="G556" s="355"/>
      <c r="H556" s="310"/>
      <c r="I556" s="931"/>
      <c r="J556" s="1143"/>
      <c r="K556" s="691"/>
      <c r="L556" s="691"/>
      <c r="M556" s="691"/>
      <c r="N556" s="691"/>
      <c r="O556" s="691"/>
      <c r="P556" s="691"/>
      <c r="Q556" s="691"/>
      <c r="R556" s="888"/>
      <c r="S556" s="888"/>
      <c r="T556" s="1154"/>
      <c r="U556" s="888"/>
      <c r="V556" s="888"/>
      <c r="W556" s="310"/>
      <c r="X556" s="691"/>
      <c r="Y556" s="1"/>
      <c r="Z556" s="1"/>
      <c r="AA556" s="1"/>
      <c r="AB556" s="1"/>
      <c r="AC556" s="1"/>
      <c r="AD556" s="1"/>
      <c r="AE556" s="1"/>
      <c r="AF556" s="1"/>
      <c r="AG556" s="1"/>
      <c r="AH556" s="1"/>
      <c r="AI556" s="1"/>
      <c r="AJ556" s="1"/>
      <c r="AK556" s="1"/>
      <c r="AL556" s="1"/>
      <c r="AM556" s="1"/>
      <c r="AN556" s="1"/>
    </row>
    <row r="557">
      <c r="A557" s="1138"/>
      <c r="B557" s="310"/>
      <c r="C557" s="888"/>
      <c r="D557" s="310"/>
      <c r="E557" s="1140"/>
      <c r="F557" s="932"/>
      <c r="G557" s="355"/>
      <c r="H557" s="310"/>
      <c r="I557" s="931"/>
      <c r="J557" s="1143"/>
      <c r="K557" s="691"/>
      <c r="L557" s="691"/>
      <c r="M557" s="691"/>
      <c r="N557" s="691"/>
      <c r="O557" s="691"/>
      <c r="P557" s="691"/>
      <c r="Q557" s="691"/>
      <c r="R557" s="888"/>
      <c r="S557" s="888"/>
      <c r="T557" s="1154"/>
      <c r="U557" s="888"/>
      <c r="V557" s="888"/>
      <c r="W557" s="310"/>
      <c r="X557" s="691"/>
      <c r="Y557" s="1"/>
      <c r="Z557" s="1"/>
      <c r="AA557" s="1"/>
      <c r="AB557" s="1"/>
      <c r="AC557" s="1"/>
      <c r="AD557" s="1"/>
      <c r="AE557" s="1"/>
      <c r="AF557" s="1"/>
      <c r="AG557" s="1"/>
      <c r="AH557" s="1"/>
      <c r="AI557" s="1"/>
      <c r="AJ557" s="1"/>
      <c r="AK557" s="1"/>
      <c r="AL557" s="1"/>
      <c r="AM557" s="1"/>
      <c r="AN557" s="1"/>
    </row>
    <row r="558">
      <c r="A558" s="1138"/>
      <c r="B558" s="310"/>
      <c r="C558" s="888"/>
      <c r="D558" s="310"/>
      <c r="E558" s="1140"/>
      <c r="F558" s="932"/>
      <c r="G558" s="355"/>
      <c r="H558" s="310"/>
      <c r="I558" s="931"/>
      <c r="J558" s="1143"/>
      <c r="K558" s="691"/>
      <c r="L558" s="691"/>
      <c r="M558" s="691"/>
      <c r="N558" s="691"/>
      <c r="O558" s="691"/>
      <c r="P558" s="691"/>
      <c r="Q558" s="691"/>
      <c r="R558" s="888"/>
      <c r="S558" s="888"/>
      <c r="T558" s="1154"/>
      <c r="U558" s="888"/>
      <c r="V558" s="888"/>
      <c r="W558" s="310"/>
      <c r="X558" s="691"/>
      <c r="Y558" s="1"/>
      <c r="Z558" s="1"/>
      <c r="AA558" s="1"/>
      <c r="AB558" s="1"/>
      <c r="AC558" s="1"/>
      <c r="AD558" s="1"/>
      <c r="AE558" s="1"/>
      <c r="AF558" s="1"/>
      <c r="AG558" s="1"/>
      <c r="AH558" s="1"/>
      <c r="AI558" s="1"/>
      <c r="AJ558" s="1"/>
      <c r="AK558" s="1"/>
      <c r="AL558" s="1"/>
      <c r="AM558" s="1"/>
      <c r="AN558" s="1"/>
    </row>
    <row r="559">
      <c r="A559" s="1138"/>
      <c r="B559" s="310"/>
      <c r="C559" s="888"/>
      <c r="D559" s="310"/>
      <c r="E559" s="1140"/>
      <c r="F559" s="932"/>
      <c r="G559" s="355"/>
      <c r="H559" s="310"/>
      <c r="I559" s="931"/>
      <c r="J559" s="1143"/>
      <c r="K559" s="691"/>
      <c r="L559" s="691"/>
      <c r="M559" s="691"/>
      <c r="N559" s="691"/>
      <c r="O559" s="691"/>
      <c r="P559" s="691"/>
      <c r="Q559" s="691"/>
      <c r="R559" s="888"/>
      <c r="S559" s="888"/>
      <c r="T559" s="1154"/>
      <c r="U559" s="888"/>
      <c r="V559" s="888"/>
      <c r="W559" s="310"/>
      <c r="X559" s="691"/>
      <c r="Y559" s="1"/>
      <c r="Z559" s="1"/>
      <c r="AA559" s="1"/>
      <c r="AB559" s="1"/>
      <c r="AC559" s="1"/>
      <c r="AD559" s="1"/>
      <c r="AE559" s="1"/>
      <c r="AF559" s="1"/>
      <c r="AG559" s="1"/>
      <c r="AH559" s="1"/>
      <c r="AI559" s="1"/>
      <c r="AJ559" s="1"/>
      <c r="AK559" s="1"/>
      <c r="AL559" s="1"/>
      <c r="AM559" s="1"/>
      <c r="AN559" s="1"/>
    </row>
    <row r="560">
      <c r="A560" s="1138"/>
      <c r="B560" s="310"/>
      <c r="C560" s="888"/>
      <c r="D560" s="310"/>
      <c r="E560" s="1140"/>
      <c r="F560" s="932"/>
      <c r="G560" s="355"/>
      <c r="H560" s="310"/>
      <c r="I560" s="931"/>
      <c r="J560" s="1143"/>
      <c r="K560" s="691"/>
      <c r="L560" s="691"/>
      <c r="M560" s="691"/>
      <c r="N560" s="691"/>
      <c r="O560" s="691"/>
      <c r="P560" s="691"/>
      <c r="Q560" s="691"/>
      <c r="R560" s="888"/>
      <c r="S560" s="888"/>
      <c r="T560" s="1154"/>
      <c r="U560" s="888"/>
      <c r="V560" s="888"/>
      <c r="W560" s="310"/>
      <c r="X560" s="691"/>
      <c r="Y560" s="1"/>
      <c r="Z560" s="1"/>
      <c r="AA560" s="1"/>
      <c r="AB560" s="1"/>
      <c r="AC560" s="1"/>
      <c r="AD560" s="1"/>
      <c r="AE560" s="1"/>
      <c r="AF560" s="1"/>
      <c r="AG560" s="1"/>
      <c r="AH560" s="1"/>
      <c r="AI560" s="1"/>
      <c r="AJ560" s="1"/>
      <c r="AK560" s="1"/>
      <c r="AL560" s="1"/>
      <c r="AM560" s="1"/>
      <c r="AN560" s="1"/>
    </row>
    <row r="561">
      <c r="A561" s="1138"/>
      <c r="B561" s="310"/>
      <c r="C561" s="888"/>
      <c r="D561" s="310"/>
      <c r="E561" s="1140"/>
      <c r="F561" s="932"/>
      <c r="G561" s="355"/>
      <c r="H561" s="310"/>
      <c r="I561" s="931"/>
      <c r="J561" s="1143"/>
      <c r="K561" s="691"/>
      <c r="L561" s="691"/>
      <c r="M561" s="691"/>
      <c r="N561" s="691"/>
      <c r="O561" s="691"/>
      <c r="P561" s="691"/>
      <c r="Q561" s="691"/>
      <c r="R561" s="888"/>
      <c r="S561" s="888"/>
      <c r="T561" s="1154"/>
      <c r="U561" s="888"/>
      <c r="V561" s="888"/>
      <c r="W561" s="310"/>
      <c r="X561" s="691"/>
      <c r="Y561" s="1"/>
      <c r="Z561" s="1"/>
      <c r="AA561" s="1"/>
      <c r="AB561" s="1"/>
      <c r="AC561" s="1"/>
      <c r="AD561" s="1"/>
      <c r="AE561" s="1"/>
      <c r="AF561" s="1"/>
      <c r="AG561" s="1"/>
      <c r="AH561" s="1"/>
      <c r="AI561" s="1"/>
      <c r="AJ561" s="1"/>
      <c r="AK561" s="1"/>
      <c r="AL561" s="1"/>
      <c r="AM561" s="1"/>
      <c r="AN561" s="1"/>
    </row>
    <row r="562">
      <c r="A562" s="1138"/>
      <c r="B562" s="310"/>
      <c r="C562" s="888"/>
      <c r="D562" s="310"/>
      <c r="E562" s="1140"/>
      <c r="F562" s="932"/>
      <c r="G562" s="355"/>
      <c r="H562" s="310"/>
      <c r="I562" s="931"/>
      <c r="J562" s="1143"/>
      <c r="K562" s="691"/>
      <c r="L562" s="691"/>
      <c r="M562" s="691"/>
      <c r="N562" s="691"/>
      <c r="O562" s="691"/>
      <c r="P562" s="691"/>
      <c r="Q562" s="691"/>
      <c r="R562" s="888"/>
      <c r="S562" s="888"/>
      <c r="T562" s="1154"/>
      <c r="U562" s="888"/>
      <c r="V562" s="888"/>
      <c r="W562" s="310"/>
      <c r="X562" s="691"/>
      <c r="Y562" s="1"/>
      <c r="Z562" s="1"/>
      <c r="AA562" s="1"/>
      <c r="AB562" s="1"/>
      <c r="AC562" s="1"/>
      <c r="AD562" s="1"/>
      <c r="AE562" s="1"/>
      <c r="AF562" s="1"/>
      <c r="AG562" s="1"/>
      <c r="AH562" s="1"/>
      <c r="AI562" s="1"/>
      <c r="AJ562" s="1"/>
      <c r="AK562" s="1"/>
      <c r="AL562" s="1"/>
      <c r="AM562" s="1"/>
      <c r="AN562" s="1"/>
    </row>
    <row r="563">
      <c r="A563" s="1138"/>
      <c r="B563" s="310"/>
      <c r="C563" s="888"/>
      <c r="D563" s="310"/>
      <c r="E563" s="1140"/>
      <c r="F563" s="932"/>
      <c r="G563" s="355"/>
      <c r="H563" s="310"/>
      <c r="I563" s="931"/>
      <c r="J563" s="1143"/>
      <c r="K563" s="691"/>
      <c r="L563" s="691"/>
      <c r="M563" s="691"/>
      <c r="N563" s="691"/>
      <c r="O563" s="691"/>
      <c r="P563" s="691"/>
      <c r="Q563" s="691"/>
      <c r="R563" s="888"/>
      <c r="S563" s="888"/>
      <c r="T563" s="1154"/>
      <c r="U563" s="888"/>
      <c r="V563" s="888"/>
      <c r="W563" s="310"/>
      <c r="X563" s="691"/>
      <c r="Y563" s="1"/>
      <c r="Z563" s="1"/>
      <c r="AA563" s="1"/>
      <c r="AB563" s="1"/>
      <c r="AC563" s="1"/>
      <c r="AD563" s="1"/>
      <c r="AE563" s="1"/>
      <c r="AF563" s="1"/>
      <c r="AG563" s="1"/>
      <c r="AH563" s="1"/>
      <c r="AI563" s="1"/>
      <c r="AJ563" s="1"/>
      <c r="AK563" s="1"/>
      <c r="AL563" s="1"/>
      <c r="AM563" s="1"/>
      <c r="AN563" s="1"/>
    </row>
    <row r="564">
      <c r="A564" s="1138"/>
      <c r="B564" s="310"/>
      <c r="C564" s="888"/>
      <c r="D564" s="310"/>
      <c r="E564" s="1140"/>
      <c r="F564" s="932"/>
      <c r="G564" s="355"/>
      <c r="H564" s="310"/>
      <c r="I564" s="931"/>
      <c r="J564" s="1143"/>
      <c r="K564" s="691"/>
      <c r="L564" s="691"/>
      <c r="M564" s="691"/>
      <c r="N564" s="691"/>
      <c r="O564" s="691"/>
      <c r="P564" s="691"/>
      <c r="Q564" s="691"/>
      <c r="R564" s="888"/>
      <c r="S564" s="888"/>
      <c r="T564" s="1154"/>
      <c r="U564" s="888"/>
      <c r="V564" s="888"/>
      <c r="W564" s="310"/>
      <c r="X564" s="691"/>
      <c r="Y564" s="1"/>
      <c r="Z564" s="1"/>
      <c r="AA564" s="1"/>
      <c r="AB564" s="1"/>
      <c r="AC564" s="1"/>
      <c r="AD564" s="1"/>
      <c r="AE564" s="1"/>
      <c r="AF564" s="1"/>
      <c r="AG564" s="1"/>
      <c r="AH564" s="1"/>
      <c r="AI564" s="1"/>
      <c r="AJ564" s="1"/>
      <c r="AK564" s="1"/>
      <c r="AL564" s="1"/>
      <c r="AM564" s="1"/>
      <c r="AN564" s="1"/>
    </row>
    <row r="565">
      <c r="A565" s="1138"/>
      <c r="B565" s="310"/>
      <c r="C565" s="888"/>
      <c r="D565" s="310"/>
      <c r="E565" s="1140"/>
      <c r="F565" s="932"/>
      <c r="G565" s="355"/>
      <c r="H565" s="310"/>
      <c r="I565" s="931"/>
      <c r="J565" s="1143"/>
      <c r="K565" s="691"/>
      <c r="L565" s="691"/>
      <c r="M565" s="691"/>
      <c r="N565" s="691"/>
      <c r="O565" s="691"/>
      <c r="P565" s="691"/>
      <c r="Q565" s="691"/>
      <c r="R565" s="888"/>
      <c r="S565" s="888"/>
      <c r="T565" s="1154"/>
      <c r="U565" s="888"/>
      <c r="V565" s="888"/>
      <c r="W565" s="310"/>
      <c r="X565" s="691"/>
      <c r="Y565" s="1"/>
      <c r="Z565" s="1"/>
      <c r="AA565" s="1"/>
      <c r="AB565" s="1"/>
      <c r="AC565" s="1"/>
      <c r="AD565" s="1"/>
      <c r="AE565" s="1"/>
      <c r="AF565" s="1"/>
      <c r="AG565" s="1"/>
      <c r="AH565" s="1"/>
      <c r="AI565" s="1"/>
      <c r="AJ565" s="1"/>
      <c r="AK565" s="1"/>
      <c r="AL565" s="1"/>
      <c r="AM565" s="1"/>
      <c r="AN565" s="1"/>
    </row>
    <row r="566">
      <c r="A566" s="1138"/>
      <c r="B566" s="310"/>
      <c r="C566" s="888"/>
      <c r="D566" s="310"/>
      <c r="E566" s="1140"/>
      <c r="F566" s="932"/>
      <c r="G566" s="355"/>
      <c r="H566" s="310"/>
      <c r="I566" s="931"/>
      <c r="J566" s="1143"/>
      <c r="K566" s="691"/>
      <c r="L566" s="691"/>
      <c r="M566" s="691"/>
      <c r="N566" s="691"/>
      <c r="O566" s="691"/>
      <c r="P566" s="691"/>
      <c r="Q566" s="691"/>
      <c r="R566" s="888"/>
      <c r="S566" s="888"/>
      <c r="T566" s="1154"/>
      <c r="U566" s="888"/>
      <c r="V566" s="888"/>
      <c r="W566" s="310"/>
      <c r="X566" s="691"/>
      <c r="Y566" s="1"/>
      <c r="Z566" s="1"/>
      <c r="AA566" s="1"/>
      <c r="AB566" s="1"/>
      <c r="AC566" s="1"/>
      <c r="AD566" s="1"/>
      <c r="AE566" s="1"/>
      <c r="AF566" s="1"/>
      <c r="AG566" s="1"/>
      <c r="AH566" s="1"/>
      <c r="AI566" s="1"/>
      <c r="AJ566" s="1"/>
      <c r="AK566" s="1"/>
      <c r="AL566" s="1"/>
      <c r="AM566" s="1"/>
      <c r="AN566" s="1"/>
    </row>
    <row r="567">
      <c r="A567" s="1138"/>
      <c r="B567" s="310"/>
      <c r="C567" s="888"/>
      <c r="D567" s="310"/>
      <c r="E567" s="1140"/>
      <c r="F567" s="932"/>
      <c r="G567" s="355"/>
      <c r="H567" s="310"/>
      <c r="I567" s="931"/>
      <c r="J567" s="1143"/>
      <c r="K567" s="691"/>
      <c r="L567" s="691"/>
      <c r="M567" s="691"/>
      <c r="N567" s="691"/>
      <c r="O567" s="691"/>
      <c r="P567" s="691"/>
      <c r="Q567" s="691"/>
      <c r="R567" s="888"/>
      <c r="S567" s="888"/>
      <c r="T567" s="1154"/>
      <c r="U567" s="888"/>
      <c r="V567" s="888"/>
      <c r="W567" s="310"/>
      <c r="X567" s="691"/>
      <c r="Y567" s="1"/>
      <c r="Z567" s="1"/>
      <c r="AA567" s="1"/>
      <c r="AB567" s="1"/>
      <c r="AC567" s="1"/>
      <c r="AD567" s="1"/>
      <c r="AE567" s="1"/>
      <c r="AF567" s="1"/>
      <c r="AG567" s="1"/>
      <c r="AH567" s="1"/>
      <c r="AI567" s="1"/>
      <c r="AJ567" s="1"/>
      <c r="AK567" s="1"/>
      <c r="AL567" s="1"/>
      <c r="AM567" s="1"/>
      <c r="AN567" s="1"/>
    </row>
    <row r="568">
      <c r="A568" s="1138"/>
      <c r="B568" s="310"/>
      <c r="C568" s="888"/>
      <c r="D568" s="310"/>
      <c r="E568" s="1140"/>
      <c r="F568" s="932"/>
      <c r="G568" s="355"/>
      <c r="H568" s="310"/>
      <c r="I568" s="931"/>
      <c r="J568" s="1143"/>
      <c r="K568" s="691"/>
      <c r="L568" s="691"/>
      <c r="M568" s="691"/>
      <c r="N568" s="691"/>
      <c r="O568" s="691"/>
      <c r="P568" s="691"/>
      <c r="Q568" s="691"/>
      <c r="R568" s="888"/>
      <c r="S568" s="888"/>
      <c r="T568" s="1154"/>
      <c r="U568" s="888"/>
      <c r="V568" s="888"/>
      <c r="W568" s="310"/>
      <c r="X568" s="691"/>
      <c r="Y568" s="1"/>
      <c r="Z568" s="1"/>
      <c r="AA568" s="1"/>
      <c r="AB568" s="1"/>
      <c r="AC568" s="1"/>
      <c r="AD568" s="1"/>
      <c r="AE568" s="1"/>
      <c r="AF568" s="1"/>
      <c r="AG568" s="1"/>
      <c r="AH568" s="1"/>
      <c r="AI568" s="1"/>
      <c r="AJ568" s="1"/>
      <c r="AK568" s="1"/>
      <c r="AL568" s="1"/>
      <c r="AM568" s="1"/>
      <c r="AN568" s="1"/>
    </row>
    <row r="569">
      <c r="A569" s="1138"/>
      <c r="B569" s="310"/>
      <c r="C569" s="888"/>
      <c r="D569" s="310"/>
      <c r="E569" s="1140"/>
      <c r="F569" s="932"/>
      <c r="G569" s="355"/>
      <c r="H569" s="310"/>
      <c r="I569" s="931"/>
      <c r="J569" s="1143"/>
      <c r="K569" s="691"/>
      <c r="L569" s="691"/>
      <c r="M569" s="691"/>
      <c r="N569" s="691"/>
      <c r="O569" s="691"/>
      <c r="P569" s="691"/>
      <c r="Q569" s="691"/>
      <c r="R569" s="888"/>
      <c r="S569" s="888"/>
      <c r="T569" s="1154"/>
      <c r="U569" s="888"/>
      <c r="V569" s="888"/>
      <c r="W569" s="310"/>
      <c r="X569" s="691"/>
      <c r="Y569" s="1"/>
      <c r="Z569" s="1"/>
      <c r="AA569" s="1"/>
      <c r="AB569" s="1"/>
      <c r="AC569" s="1"/>
      <c r="AD569" s="1"/>
      <c r="AE569" s="1"/>
      <c r="AF569" s="1"/>
      <c r="AG569" s="1"/>
      <c r="AH569" s="1"/>
      <c r="AI569" s="1"/>
      <c r="AJ569" s="1"/>
      <c r="AK569" s="1"/>
      <c r="AL569" s="1"/>
      <c r="AM569" s="1"/>
      <c r="AN569" s="1"/>
    </row>
    <row r="570">
      <c r="A570" s="1138"/>
      <c r="B570" s="310"/>
      <c r="C570" s="888"/>
      <c r="D570" s="310"/>
      <c r="E570" s="1140"/>
      <c r="F570" s="932"/>
      <c r="G570" s="355"/>
      <c r="H570" s="310"/>
      <c r="I570" s="931"/>
      <c r="J570" s="1143"/>
      <c r="K570" s="691"/>
      <c r="L570" s="691"/>
      <c r="M570" s="691"/>
      <c r="N570" s="691"/>
      <c r="O570" s="691"/>
      <c r="P570" s="691"/>
      <c r="Q570" s="691"/>
      <c r="R570" s="888"/>
      <c r="S570" s="888"/>
      <c r="T570" s="1154"/>
      <c r="U570" s="888"/>
      <c r="V570" s="888"/>
      <c r="W570" s="310"/>
      <c r="X570" s="691"/>
      <c r="Y570" s="1"/>
      <c r="Z570" s="1"/>
      <c r="AA570" s="1"/>
      <c r="AB570" s="1"/>
      <c r="AC570" s="1"/>
      <c r="AD570" s="1"/>
      <c r="AE570" s="1"/>
      <c r="AF570" s="1"/>
      <c r="AG570" s="1"/>
      <c r="AH570" s="1"/>
      <c r="AI570" s="1"/>
      <c r="AJ570" s="1"/>
      <c r="AK570" s="1"/>
      <c r="AL570" s="1"/>
      <c r="AM570" s="1"/>
      <c r="AN570" s="1"/>
    </row>
    <row r="571">
      <c r="A571" s="1138"/>
      <c r="B571" s="310"/>
      <c r="C571" s="888"/>
      <c r="D571" s="310"/>
      <c r="E571" s="1140"/>
      <c r="F571" s="932"/>
      <c r="G571" s="355"/>
      <c r="H571" s="310"/>
      <c r="I571" s="931"/>
      <c r="J571" s="1143"/>
      <c r="K571" s="691"/>
      <c r="L571" s="691"/>
      <c r="M571" s="691"/>
      <c r="N571" s="691"/>
      <c r="O571" s="691"/>
      <c r="P571" s="691"/>
      <c r="Q571" s="691"/>
      <c r="R571" s="888"/>
      <c r="S571" s="888"/>
      <c r="T571" s="1154"/>
      <c r="U571" s="888"/>
      <c r="V571" s="888"/>
      <c r="W571" s="310"/>
      <c r="X571" s="691"/>
      <c r="Y571" s="1"/>
      <c r="Z571" s="1"/>
      <c r="AA571" s="1"/>
      <c r="AB571" s="1"/>
      <c r="AC571" s="1"/>
      <c r="AD571" s="1"/>
      <c r="AE571" s="1"/>
      <c r="AF571" s="1"/>
      <c r="AG571" s="1"/>
      <c r="AH571" s="1"/>
      <c r="AI571" s="1"/>
      <c r="AJ571" s="1"/>
      <c r="AK571" s="1"/>
      <c r="AL571" s="1"/>
      <c r="AM571" s="1"/>
      <c r="AN571" s="1"/>
    </row>
    <row r="572">
      <c r="A572" s="1138"/>
      <c r="B572" s="310"/>
      <c r="C572" s="888"/>
      <c r="D572" s="310"/>
      <c r="E572" s="1140"/>
      <c r="F572" s="932"/>
      <c r="G572" s="355"/>
      <c r="H572" s="310"/>
      <c r="I572" s="931"/>
      <c r="J572" s="1143"/>
      <c r="K572" s="691"/>
      <c r="L572" s="691"/>
      <c r="M572" s="691"/>
      <c r="N572" s="691"/>
      <c r="O572" s="691"/>
      <c r="P572" s="691"/>
      <c r="Q572" s="691"/>
      <c r="R572" s="888"/>
      <c r="S572" s="888"/>
      <c r="T572" s="1154"/>
      <c r="U572" s="888"/>
      <c r="V572" s="888"/>
      <c r="W572" s="310"/>
      <c r="X572" s="691"/>
      <c r="Y572" s="1"/>
      <c r="Z572" s="1"/>
      <c r="AA572" s="1"/>
      <c r="AB572" s="1"/>
      <c r="AC572" s="1"/>
      <c r="AD572" s="1"/>
      <c r="AE572" s="1"/>
      <c r="AF572" s="1"/>
      <c r="AG572" s="1"/>
      <c r="AH572" s="1"/>
      <c r="AI572" s="1"/>
      <c r="AJ572" s="1"/>
      <c r="AK572" s="1"/>
      <c r="AL572" s="1"/>
      <c r="AM572" s="1"/>
      <c r="AN572" s="1"/>
    </row>
    <row r="573">
      <c r="A573" s="1138"/>
      <c r="B573" s="310"/>
      <c r="C573" s="888"/>
      <c r="D573" s="310"/>
      <c r="E573" s="1140"/>
      <c r="F573" s="932"/>
      <c r="G573" s="355"/>
      <c r="H573" s="310"/>
      <c r="I573" s="931"/>
      <c r="J573" s="1143"/>
      <c r="K573" s="691"/>
      <c r="L573" s="691"/>
      <c r="M573" s="691"/>
      <c r="N573" s="691"/>
      <c r="O573" s="691"/>
      <c r="P573" s="691"/>
      <c r="Q573" s="691"/>
      <c r="R573" s="888"/>
      <c r="S573" s="888"/>
      <c r="T573" s="1154"/>
      <c r="U573" s="888"/>
      <c r="V573" s="888"/>
      <c r="W573" s="310"/>
      <c r="X573" s="691"/>
      <c r="Y573" s="1"/>
      <c r="Z573" s="1"/>
      <c r="AA573" s="1"/>
      <c r="AB573" s="1"/>
      <c r="AC573" s="1"/>
      <c r="AD573" s="1"/>
      <c r="AE573" s="1"/>
      <c r="AF573" s="1"/>
      <c r="AG573" s="1"/>
      <c r="AH573" s="1"/>
      <c r="AI573" s="1"/>
      <c r="AJ573" s="1"/>
      <c r="AK573" s="1"/>
      <c r="AL573" s="1"/>
      <c r="AM573" s="1"/>
      <c r="AN573" s="1"/>
    </row>
    <row r="574">
      <c r="A574" s="1138"/>
      <c r="B574" s="310"/>
      <c r="C574" s="888"/>
      <c r="D574" s="310"/>
      <c r="E574" s="1140"/>
      <c r="F574" s="932"/>
      <c r="G574" s="355"/>
      <c r="H574" s="310"/>
      <c r="I574" s="931"/>
      <c r="J574" s="1143"/>
      <c r="K574" s="691"/>
      <c r="L574" s="691"/>
      <c r="M574" s="691"/>
      <c r="N574" s="691"/>
      <c r="O574" s="691"/>
      <c r="P574" s="691"/>
      <c r="Q574" s="691"/>
      <c r="R574" s="888"/>
      <c r="S574" s="888"/>
      <c r="T574" s="1154"/>
      <c r="U574" s="888"/>
      <c r="V574" s="888"/>
      <c r="W574" s="310"/>
      <c r="X574" s="691"/>
      <c r="Y574" s="1"/>
      <c r="Z574" s="1"/>
      <c r="AA574" s="1"/>
      <c r="AB574" s="1"/>
      <c r="AC574" s="1"/>
      <c r="AD574" s="1"/>
      <c r="AE574" s="1"/>
      <c r="AF574" s="1"/>
      <c r="AG574" s="1"/>
      <c r="AH574" s="1"/>
      <c r="AI574" s="1"/>
      <c r="AJ574" s="1"/>
      <c r="AK574" s="1"/>
      <c r="AL574" s="1"/>
      <c r="AM574" s="1"/>
      <c r="AN574" s="1"/>
    </row>
    <row r="575">
      <c r="A575" s="1138"/>
      <c r="B575" s="310"/>
      <c r="C575" s="888"/>
      <c r="D575" s="310"/>
      <c r="E575" s="1140"/>
      <c r="F575" s="932"/>
      <c r="G575" s="355"/>
      <c r="H575" s="310"/>
      <c r="I575" s="931"/>
      <c r="J575" s="1143"/>
      <c r="K575" s="691"/>
      <c r="L575" s="691"/>
      <c r="M575" s="691"/>
      <c r="N575" s="691"/>
      <c r="O575" s="691"/>
      <c r="P575" s="691"/>
      <c r="Q575" s="691"/>
      <c r="R575" s="888"/>
      <c r="S575" s="888"/>
      <c r="T575" s="1154"/>
      <c r="U575" s="888"/>
      <c r="V575" s="888"/>
      <c r="W575" s="310"/>
      <c r="X575" s="691"/>
      <c r="Y575" s="1"/>
      <c r="Z575" s="1"/>
      <c r="AA575" s="1"/>
      <c r="AB575" s="1"/>
      <c r="AC575" s="1"/>
      <c r="AD575" s="1"/>
      <c r="AE575" s="1"/>
      <c r="AF575" s="1"/>
      <c r="AG575" s="1"/>
      <c r="AH575" s="1"/>
      <c r="AI575" s="1"/>
      <c r="AJ575" s="1"/>
      <c r="AK575" s="1"/>
      <c r="AL575" s="1"/>
      <c r="AM575" s="1"/>
      <c r="AN575" s="1"/>
    </row>
    <row r="576">
      <c r="A576" s="1138"/>
      <c r="B576" s="310"/>
      <c r="C576" s="888"/>
      <c r="D576" s="310"/>
      <c r="E576" s="1140"/>
      <c r="F576" s="932"/>
      <c r="G576" s="355"/>
      <c r="H576" s="310"/>
      <c r="I576" s="931"/>
      <c r="J576" s="1143"/>
      <c r="K576" s="691"/>
      <c r="L576" s="691"/>
      <c r="M576" s="691"/>
      <c r="N576" s="691"/>
      <c r="O576" s="691"/>
      <c r="P576" s="691"/>
      <c r="Q576" s="691"/>
      <c r="R576" s="888"/>
      <c r="S576" s="888"/>
      <c r="T576" s="1154"/>
      <c r="U576" s="888"/>
      <c r="V576" s="888"/>
      <c r="W576" s="310"/>
      <c r="X576" s="691"/>
      <c r="Y576" s="1"/>
      <c r="Z576" s="1"/>
      <c r="AA576" s="1"/>
      <c r="AB576" s="1"/>
      <c r="AC576" s="1"/>
      <c r="AD576" s="1"/>
      <c r="AE576" s="1"/>
      <c r="AF576" s="1"/>
      <c r="AG576" s="1"/>
      <c r="AH576" s="1"/>
      <c r="AI576" s="1"/>
      <c r="AJ576" s="1"/>
      <c r="AK576" s="1"/>
      <c r="AL576" s="1"/>
      <c r="AM576" s="1"/>
      <c r="AN576" s="1"/>
    </row>
    <row r="577">
      <c r="A577" s="1138"/>
      <c r="B577" s="310"/>
      <c r="C577" s="888"/>
      <c r="D577" s="310"/>
      <c r="E577" s="1140"/>
      <c r="F577" s="932"/>
      <c r="G577" s="355"/>
      <c r="H577" s="310"/>
      <c r="I577" s="931"/>
      <c r="J577" s="1143"/>
      <c r="K577" s="691"/>
      <c r="L577" s="691"/>
      <c r="M577" s="691"/>
      <c r="N577" s="691"/>
      <c r="O577" s="691"/>
      <c r="P577" s="691"/>
      <c r="Q577" s="691"/>
      <c r="R577" s="888"/>
      <c r="S577" s="888"/>
      <c r="T577" s="1154"/>
      <c r="U577" s="888"/>
      <c r="V577" s="888"/>
      <c r="W577" s="310"/>
      <c r="X577" s="691"/>
      <c r="Y577" s="1"/>
      <c r="Z577" s="1"/>
      <c r="AA577" s="1"/>
      <c r="AB577" s="1"/>
      <c r="AC577" s="1"/>
      <c r="AD577" s="1"/>
      <c r="AE577" s="1"/>
      <c r="AF577" s="1"/>
      <c r="AG577" s="1"/>
      <c r="AH577" s="1"/>
      <c r="AI577" s="1"/>
      <c r="AJ577" s="1"/>
      <c r="AK577" s="1"/>
      <c r="AL577" s="1"/>
      <c r="AM577" s="1"/>
      <c r="AN577" s="1"/>
    </row>
    <row r="578">
      <c r="A578" s="1138"/>
      <c r="B578" s="310"/>
      <c r="C578" s="888"/>
      <c r="D578" s="310"/>
      <c r="E578" s="1140"/>
      <c r="F578" s="932"/>
      <c r="G578" s="355"/>
      <c r="H578" s="310"/>
      <c r="I578" s="931"/>
      <c r="J578" s="1143"/>
      <c r="K578" s="691"/>
      <c r="L578" s="691"/>
      <c r="M578" s="691"/>
      <c r="N578" s="691"/>
      <c r="O578" s="691"/>
      <c r="P578" s="691"/>
      <c r="Q578" s="691"/>
      <c r="R578" s="888"/>
      <c r="S578" s="888"/>
      <c r="T578" s="1154"/>
      <c r="U578" s="888"/>
      <c r="V578" s="888"/>
      <c r="W578" s="310"/>
      <c r="X578" s="691"/>
      <c r="Y578" s="1"/>
      <c r="Z578" s="1"/>
      <c r="AA578" s="1"/>
      <c r="AB578" s="1"/>
      <c r="AC578" s="1"/>
      <c r="AD578" s="1"/>
      <c r="AE578" s="1"/>
      <c r="AF578" s="1"/>
      <c r="AG578" s="1"/>
      <c r="AH578" s="1"/>
      <c r="AI578" s="1"/>
      <c r="AJ578" s="1"/>
      <c r="AK578" s="1"/>
      <c r="AL578" s="1"/>
      <c r="AM578" s="1"/>
      <c r="AN578" s="1"/>
    </row>
    <row r="579">
      <c r="A579" s="1138"/>
      <c r="B579" s="310"/>
      <c r="C579" s="888"/>
      <c r="D579" s="310"/>
      <c r="E579" s="1140"/>
      <c r="F579" s="932"/>
      <c r="G579" s="355"/>
      <c r="H579" s="310"/>
      <c r="I579" s="931"/>
      <c r="J579" s="1143"/>
      <c r="K579" s="691"/>
      <c r="L579" s="691"/>
      <c r="M579" s="691"/>
      <c r="N579" s="691"/>
      <c r="O579" s="691"/>
      <c r="P579" s="691"/>
      <c r="Q579" s="691"/>
      <c r="R579" s="888"/>
      <c r="S579" s="888"/>
      <c r="T579" s="1154"/>
      <c r="U579" s="888"/>
      <c r="V579" s="888"/>
      <c r="W579" s="310"/>
      <c r="X579" s="691"/>
      <c r="Y579" s="1"/>
      <c r="Z579" s="1"/>
      <c r="AA579" s="1"/>
      <c r="AB579" s="1"/>
      <c r="AC579" s="1"/>
      <c r="AD579" s="1"/>
      <c r="AE579" s="1"/>
      <c r="AF579" s="1"/>
      <c r="AG579" s="1"/>
      <c r="AH579" s="1"/>
      <c r="AI579" s="1"/>
      <c r="AJ579" s="1"/>
      <c r="AK579" s="1"/>
      <c r="AL579" s="1"/>
      <c r="AM579" s="1"/>
      <c r="AN579" s="1"/>
    </row>
    <row r="580">
      <c r="A580" s="1138"/>
      <c r="B580" s="310"/>
      <c r="C580" s="888"/>
      <c r="D580" s="310"/>
      <c r="E580" s="1140"/>
      <c r="F580" s="932"/>
      <c r="G580" s="355"/>
      <c r="H580" s="310"/>
      <c r="I580" s="931"/>
      <c r="J580" s="1143"/>
      <c r="K580" s="691"/>
      <c r="L580" s="691"/>
      <c r="M580" s="691"/>
      <c r="N580" s="691"/>
      <c r="O580" s="691"/>
      <c r="P580" s="691"/>
      <c r="Q580" s="691"/>
      <c r="R580" s="888"/>
      <c r="S580" s="888"/>
      <c r="T580" s="1154"/>
      <c r="U580" s="888"/>
      <c r="V580" s="888"/>
      <c r="W580" s="310"/>
      <c r="X580" s="691"/>
      <c r="Y580" s="1"/>
      <c r="Z580" s="1"/>
      <c r="AA580" s="1"/>
      <c r="AB580" s="1"/>
      <c r="AC580" s="1"/>
      <c r="AD580" s="1"/>
      <c r="AE580" s="1"/>
      <c r="AF580" s="1"/>
      <c r="AG580" s="1"/>
      <c r="AH580" s="1"/>
      <c r="AI580" s="1"/>
      <c r="AJ580" s="1"/>
      <c r="AK580" s="1"/>
      <c r="AL580" s="1"/>
      <c r="AM580" s="1"/>
      <c r="AN580" s="1"/>
    </row>
    <row r="581">
      <c r="A581" s="1138"/>
      <c r="B581" s="310"/>
      <c r="C581" s="888"/>
      <c r="D581" s="310"/>
      <c r="E581" s="1140"/>
      <c r="F581" s="932"/>
      <c r="G581" s="355"/>
      <c r="H581" s="310"/>
      <c r="I581" s="931"/>
      <c r="J581" s="1143"/>
      <c r="K581" s="691"/>
      <c r="L581" s="691"/>
      <c r="M581" s="691"/>
      <c r="N581" s="691"/>
      <c r="O581" s="691"/>
      <c r="P581" s="691"/>
      <c r="Q581" s="691"/>
      <c r="R581" s="888"/>
      <c r="S581" s="888"/>
      <c r="T581" s="1154"/>
      <c r="U581" s="888"/>
      <c r="V581" s="888"/>
      <c r="W581" s="310"/>
      <c r="X581" s="691"/>
      <c r="Y581" s="1"/>
      <c r="Z581" s="1"/>
      <c r="AA581" s="1"/>
      <c r="AB581" s="1"/>
      <c r="AC581" s="1"/>
      <c r="AD581" s="1"/>
      <c r="AE581" s="1"/>
      <c r="AF581" s="1"/>
      <c r="AG581" s="1"/>
      <c r="AH581" s="1"/>
      <c r="AI581" s="1"/>
      <c r="AJ581" s="1"/>
      <c r="AK581" s="1"/>
      <c r="AL581" s="1"/>
      <c r="AM581" s="1"/>
      <c r="AN581" s="1"/>
    </row>
    <row r="582">
      <c r="A582" s="1138"/>
      <c r="B582" s="310"/>
      <c r="C582" s="888"/>
      <c r="D582" s="310"/>
      <c r="E582" s="1140"/>
      <c r="F582" s="932"/>
      <c r="G582" s="355"/>
      <c r="H582" s="310"/>
      <c r="I582" s="931"/>
      <c r="J582" s="1143"/>
      <c r="K582" s="691"/>
      <c r="L582" s="691"/>
      <c r="M582" s="691"/>
      <c r="N582" s="691"/>
      <c r="O582" s="691"/>
      <c r="P582" s="691"/>
      <c r="Q582" s="691"/>
      <c r="R582" s="888"/>
      <c r="S582" s="888"/>
      <c r="T582" s="1154"/>
      <c r="U582" s="888"/>
      <c r="V582" s="888"/>
      <c r="W582" s="310"/>
      <c r="X582" s="691"/>
      <c r="Y582" s="1"/>
      <c r="Z582" s="1"/>
      <c r="AA582" s="1"/>
      <c r="AB582" s="1"/>
      <c r="AC582" s="1"/>
      <c r="AD582" s="1"/>
      <c r="AE582" s="1"/>
      <c r="AF582" s="1"/>
      <c r="AG582" s="1"/>
      <c r="AH582" s="1"/>
      <c r="AI582" s="1"/>
      <c r="AJ582" s="1"/>
      <c r="AK582" s="1"/>
      <c r="AL582" s="1"/>
      <c r="AM582" s="1"/>
      <c r="AN582" s="1"/>
    </row>
    <row r="583">
      <c r="A583" s="1138"/>
      <c r="B583" s="310"/>
      <c r="C583" s="888"/>
      <c r="D583" s="310"/>
      <c r="E583" s="1140"/>
      <c r="F583" s="932"/>
      <c r="G583" s="355"/>
      <c r="H583" s="310"/>
      <c r="I583" s="931"/>
      <c r="J583" s="1143"/>
      <c r="K583" s="691"/>
      <c r="L583" s="691"/>
      <c r="M583" s="691"/>
      <c r="N583" s="691"/>
      <c r="O583" s="691"/>
      <c r="P583" s="691"/>
      <c r="Q583" s="691"/>
      <c r="R583" s="888"/>
      <c r="S583" s="888"/>
      <c r="T583" s="1154"/>
      <c r="U583" s="888"/>
      <c r="V583" s="888"/>
      <c r="W583" s="310"/>
      <c r="X583" s="691"/>
      <c r="Y583" s="1"/>
      <c r="Z583" s="1"/>
      <c r="AA583" s="1"/>
      <c r="AB583" s="1"/>
      <c r="AC583" s="1"/>
      <c r="AD583" s="1"/>
      <c r="AE583" s="1"/>
      <c r="AF583" s="1"/>
      <c r="AG583" s="1"/>
      <c r="AH583" s="1"/>
      <c r="AI583" s="1"/>
      <c r="AJ583" s="1"/>
      <c r="AK583" s="1"/>
      <c r="AL583" s="1"/>
      <c r="AM583" s="1"/>
      <c r="AN583" s="1"/>
    </row>
    <row r="584">
      <c r="A584" s="1138"/>
      <c r="B584" s="310"/>
      <c r="C584" s="888"/>
      <c r="D584" s="310"/>
      <c r="E584" s="1140"/>
      <c r="F584" s="932"/>
      <c r="G584" s="355"/>
      <c r="H584" s="310"/>
      <c r="I584" s="931"/>
      <c r="J584" s="1143"/>
      <c r="K584" s="691"/>
      <c r="L584" s="691"/>
      <c r="M584" s="691"/>
      <c r="N584" s="691"/>
      <c r="O584" s="691"/>
      <c r="P584" s="691"/>
      <c r="Q584" s="691"/>
      <c r="R584" s="888"/>
      <c r="S584" s="888"/>
      <c r="T584" s="1154"/>
      <c r="U584" s="888"/>
      <c r="V584" s="888"/>
      <c r="W584" s="310"/>
      <c r="X584" s="691"/>
      <c r="Y584" s="1"/>
      <c r="Z584" s="1"/>
      <c r="AA584" s="1"/>
      <c r="AB584" s="1"/>
      <c r="AC584" s="1"/>
      <c r="AD584" s="1"/>
      <c r="AE584" s="1"/>
      <c r="AF584" s="1"/>
      <c r="AG584" s="1"/>
      <c r="AH584" s="1"/>
      <c r="AI584" s="1"/>
      <c r="AJ584" s="1"/>
      <c r="AK584" s="1"/>
      <c r="AL584" s="1"/>
      <c r="AM584" s="1"/>
      <c r="AN584" s="1"/>
    </row>
    <row r="585">
      <c r="A585" s="1138"/>
      <c r="B585" s="310"/>
      <c r="C585" s="888"/>
      <c r="D585" s="310"/>
      <c r="E585" s="1140"/>
      <c r="F585" s="932"/>
      <c r="G585" s="355"/>
      <c r="H585" s="310"/>
      <c r="I585" s="931"/>
      <c r="J585" s="1143"/>
      <c r="K585" s="691"/>
      <c r="L585" s="691"/>
      <c r="M585" s="691"/>
      <c r="N585" s="691"/>
      <c r="O585" s="691"/>
      <c r="P585" s="691"/>
      <c r="Q585" s="691"/>
      <c r="R585" s="888"/>
      <c r="S585" s="888"/>
      <c r="T585" s="1154"/>
      <c r="U585" s="888"/>
      <c r="V585" s="888"/>
      <c r="W585" s="310"/>
      <c r="X585" s="691"/>
      <c r="Y585" s="1"/>
      <c r="Z585" s="1"/>
      <c r="AA585" s="1"/>
      <c r="AB585" s="1"/>
      <c r="AC585" s="1"/>
      <c r="AD585" s="1"/>
      <c r="AE585" s="1"/>
      <c r="AF585" s="1"/>
      <c r="AG585" s="1"/>
      <c r="AH585" s="1"/>
      <c r="AI585" s="1"/>
      <c r="AJ585" s="1"/>
      <c r="AK585" s="1"/>
      <c r="AL585" s="1"/>
      <c r="AM585" s="1"/>
      <c r="AN585" s="1"/>
    </row>
    <row r="586">
      <c r="A586" s="1138"/>
      <c r="B586" s="310"/>
      <c r="C586" s="888"/>
      <c r="D586" s="310"/>
      <c r="E586" s="1140"/>
      <c r="F586" s="932"/>
      <c r="G586" s="355"/>
      <c r="H586" s="310"/>
      <c r="I586" s="931"/>
      <c r="J586" s="1143"/>
      <c r="K586" s="691"/>
      <c r="L586" s="691"/>
      <c r="M586" s="691"/>
      <c r="N586" s="691"/>
      <c r="O586" s="691"/>
      <c r="P586" s="691"/>
      <c r="Q586" s="691"/>
      <c r="R586" s="888"/>
      <c r="S586" s="888"/>
      <c r="T586" s="1154"/>
      <c r="U586" s="888"/>
      <c r="V586" s="888"/>
      <c r="W586" s="310"/>
      <c r="X586" s="691"/>
      <c r="Y586" s="1"/>
      <c r="Z586" s="1"/>
      <c r="AA586" s="1"/>
      <c r="AB586" s="1"/>
      <c r="AC586" s="1"/>
      <c r="AD586" s="1"/>
      <c r="AE586" s="1"/>
      <c r="AF586" s="1"/>
      <c r="AG586" s="1"/>
      <c r="AH586" s="1"/>
      <c r="AI586" s="1"/>
      <c r="AJ586" s="1"/>
      <c r="AK586" s="1"/>
      <c r="AL586" s="1"/>
      <c r="AM586" s="1"/>
      <c r="AN586" s="1"/>
    </row>
    <row r="587">
      <c r="A587" s="1138"/>
      <c r="B587" s="310"/>
      <c r="C587" s="888"/>
      <c r="D587" s="310"/>
      <c r="E587" s="1140"/>
      <c r="F587" s="932"/>
      <c r="G587" s="355"/>
      <c r="H587" s="310"/>
      <c r="I587" s="931"/>
      <c r="J587" s="1143"/>
      <c r="K587" s="691"/>
      <c r="L587" s="691"/>
      <c r="M587" s="691"/>
      <c r="N587" s="691"/>
      <c r="O587" s="691"/>
      <c r="P587" s="691"/>
      <c r="Q587" s="691"/>
      <c r="R587" s="888"/>
      <c r="S587" s="888"/>
      <c r="T587" s="1154"/>
      <c r="U587" s="888"/>
      <c r="V587" s="888"/>
      <c r="W587" s="310"/>
      <c r="X587" s="691"/>
      <c r="Y587" s="1"/>
      <c r="Z587" s="1"/>
      <c r="AA587" s="1"/>
      <c r="AB587" s="1"/>
      <c r="AC587" s="1"/>
      <c r="AD587" s="1"/>
      <c r="AE587" s="1"/>
      <c r="AF587" s="1"/>
      <c r="AG587" s="1"/>
      <c r="AH587" s="1"/>
      <c r="AI587" s="1"/>
      <c r="AJ587" s="1"/>
      <c r="AK587" s="1"/>
      <c r="AL587" s="1"/>
      <c r="AM587" s="1"/>
      <c r="AN587" s="1"/>
    </row>
    <row r="588">
      <c r="A588" s="1138"/>
      <c r="B588" s="310"/>
      <c r="C588" s="888"/>
      <c r="D588" s="310"/>
      <c r="E588" s="1140"/>
      <c r="F588" s="932"/>
      <c r="G588" s="355"/>
      <c r="H588" s="310"/>
      <c r="I588" s="931"/>
      <c r="J588" s="1143"/>
      <c r="K588" s="691"/>
      <c r="L588" s="691"/>
      <c r="M588" s="691"/>
      <c r="N588" s="691"/>
      <c r="O588" s="691"/>
      <c r="P588" s="691"/>
      <c r="Q588" s="691"/>
      <c r="R588" s="888"/>
      <c r="S588" s="888"/>
      <c r="T588" s="1154"/>
      <c r="U588" s="888"/>
      <c r="V588" s="888"/>
      <c r="W588" s="310"/>
      <c r="X588" s="691"/>
      <c r="Y588" s="1"/>
      <c r="Z588" s="1"/>
      <c r="AA588" s="1"/>
      <c r="AB588" s="1"/>
      <c r="AC588" s="1"/>
      <c r="AD588" s="1"/>
      <c r="AE588" s="1"/>
      <c r="AF588" s="1"/>
      <c r="AG588" s="1"/>
      <c r="AH588" s="1"/>
      <c r="AI588" s="1"/>
      <c r="AJ588" s="1"/>
      <c r="AK588" s="1"/>
      <c r="AL588" s="1"/>
      <c r="AM588" s="1"/>
      <c r="AN588" s="1"/>
    </row>
    <row r="589">
      <c r="A589" s="1138"/>
      <c r="B589" s="310"/>
      <c r="C589" s="888"/>
      <c r="D589" s="310"/>
      <c r="E589" s="1140"/>
      <c r="F589" s="932"/>
      <c r="G589" s="355"/>
      <c r="H589" s="310"/>
      <c r="I589" s="931"/>
      <c r="J589" s="1143"/>
      <c r="K589" s="691"/>
      <c r="L589" s="691"/>
      <c r="M589" s="691"/>
      <c r="N589" s="691"/>
      <c r="O589" s="691"/>
      <c r="P589" s="691"/>
      <c r="Q589" s="691"/>
      <c r="R589" s="888"/>
      <c r="S589" s="888"/>
      <c r="T589" s="1154"/>
      <c r="U589" s="888"/>
      <c r="V589" s="888"/>
      <c r="W589" s="310"/>
      <c r="X589" s="691"/>
      <c r="Y589" s="1"/>
      <c r="Z589" s="1"/>
      <c r="AA589" s="1"/>
      <c r="AB589" s="1"/>
      <c r="AC589" s="1"/>
      <c r="AD589" s="1"/>
      <c r="AE589" s="1"/>
      <c r="AF589" s="1"/>
      <c r="AG589" s="1"/>
      <c r="AH589" s="1"/>
      <c r="AI589" s="1"/>
      <c r="AJ589" s="1"/>
      <c r="AK589" s="1"/>
      <c r="AL589" s="1"/>
      <c r="AM589" s="1"/>
      <c r="AN589" s="1"/>
    </row>
    <row r="590">
      <c r="A590" s="1138"/>
      <c r="B590" s="310"/>
      <c r="C590" s="888"/>
      <c r="D590" s="310"/>
      <c r="E590" s="1140"/>
      <c r="F590" s="932"/>
      <c r="G590" s="355"/>
      <c r="H590" s="310"/>
      <c r="I590" s="931"/>
      <c r="J590" s="1143"/>
      <c r="K590" s="691"/>
      <c r="L590" s="691"/>
      <c r="M590" s="691"/>
      <c r="N590" s="691"/>
      <c r="O590" s="691"/>
      <c r="P590" s="691"/>
      <c r="Q590" s="691"/>
      <c r="R590" s="888"/>
      <c r="S590" s="888"/>
      <c r="T590" s="1154"/>
      <c r="U590" s="888"/>
      <c r="V590" s="888"/>
      <c r="W590" s="310"/>
      <c r="X590" s="691"/>
      <c r="Y590" s="1"/>
      <c r="Z590" s="1"/>
      <c r="AA590" s="1"/>
      <c r="AB590" s="1"/>
      <c r="AC590" s="1"/>
      <c r="AD590" s="1"/>
      <c r="AE590" s="1"/>
      <c r="AF590" s="1"/>
      <c r="AG590" s="1"/>
      <c r="AH590" s="1"/>
      <c r="AI590" s="1"/>
      <c r="AJ590" s="1"/>
      <c r="AK590" s="1"/>
      <c r="AL590" s="1"/>
      <c r="AM590" s="1"/>
      <c r="AN590" s="1"/>
    </row>
    <row r="591">
      <c r="A591" s="1138"/>
      <c r="B591" s="310"/>
      <c r="C591" s="888"/>
      <c r="D591" s="310"/>
      <c r="E591" s="1140"/>
      <c r="F591" s="932"/>
      <c r="G591" s="355"/>
      <c r="H591" s="310"/>
      <c r="I591" s="931"/>
      <c r="J591" s="1143"/>
      <c r="K591" s="691"/>
      <c r="L591" s="691"/>
      <c r="M591" s="691"/>
      <c r="N591" s="691"/>
      <c r="O591" s="691"/>
      <c r="P591" s="691"/>
      <c r="Q591" s="691"/>
      <c r="R591" s="888"/>
      <c r="S591" s="888"/>
      <c r="T591" s="1154"/>
      <c r="U591" s="888"/>
      <c r="V591" s="888"/>
      <c r="W591" s="310"/>
      <c r="X591" s="691"/>
      <c r="Y591" s="1"/>
      <c r="Z591" s="1"/>
      <c r="AA591" s="1"/>
      <c r="AB591" s="1"/>
      <c r="AC591" s="1"/>
      <c r="AD591" s="1"/>
      <c r="AE591" s="1"/>
      <c r="AF591" s="1"/>
      <c r="AG591" s="1"/>
      <c r="AH591" s="1"/>
      <c r="AI591" s="1"/>
      <c r="AJ591" s="1"/>
      <c r="AK591" s="1"/>
      <c r="AL591" s="1"/>
      <c r="AM591" s="1"/>
      <c r="AN591" s="1"/>
    </row>
    <row r="592">
      <c r="A592" s="1138"/>
      <c r="B592" s="310"/>
      <c r="C592" s="888"/>
      <c r="D592" s="310"/>
      <c r="E592" s="1140"/>
      <c r="F592" s="932"/>
      <c r="G592" s="355"/>
      <c r="H592" s="310"/>
      <c r="I592" s="931"/>
      <c r="J592" s="1143"/>
      <c r="K592" s="691"/>
      <c r="L592" s="691"/>
      <c r="M592" s="691"/>
      <c r="N592" s="691"/>
      <c r="O592" s="691"/>
      <c r="P592" s="691"/>
      <c r="Q592" s="691"/>
      <c r="R592" s="888"/>
      <c r="S592" s="888"/>
      <c r="T592" s="1154"/>
      <c r="U592" s="888"/>
      <c r="V592" s="888"/>
      <c r="W592" s="310"/>
      <c r="X592" s="691"/>
      <c r="Y592" s="1"/>
      <c r="Z592" s="1"/>
      <c r="AA592" s="1"/>
      <c r="AB592" s="1"/>
      <c r="AC592" s="1"/>
      <c r="AD592" s="1"/>
      <c r="AE592" s="1"/>
      <c r="AF592" s="1"/>
      <c r="AG592" s="1"/>
      <c r="AH592" s="1"/>
      <c r="AI592" s="1"/>
      <c r="AJ592" s="1"/>
      <c r="AK592" s="1"/>
      <c r="AL592" s="1"/>
      <c r="AM592" s="1"/>
      <c r="AN592" s="1"/>
    </row>
    <row r="593">
      <c r="A593" s="1138"/>
      <c r="B593" s="310"/>
      <c r="C593" s="888"/>
      <c r="D593" s="310"/>
      <c r="E593" s="1140"/>
      <c r="F593" s="932"/>
      <c r="G593" s="355"/>
      <c r="H593" s="310"/>
      <c r="I593" s="931"/>
      <c r="J593" s="1143"/>
      <c r="K593" s="691"/>
      <c r="L593" s="691"/>
      <c r="M593" s="691"/>
      <c r="N593" s="691"/>
      <c r="O593" s="691"/>
      <c r="P593" s="691"/>
      <c r="Q593" s="691"/>
      <c r="R593" s="888"/>
      <c r="S593" s="888"/>
      <c r="T593" s="1154"/>
      <c r="U593" s="888"/>
      <c r="V593" s="888"/>
      <c r="W593" s="310"/>
      <c r="X593" s="691"/>
      <c r="Y593" s="1"/>
      <c r="Z593" s="1"/>
      <c r="AA593" s="1"/>
      <c r="AB593" s="1"/>
      <c r="AC593" s="1"/>
      <c r="AD593" s="1"/>
      <c r="AE593" s="1"/>
      <c r="AF593" s="1"/>
      <c r="AG593" s="1"/>
      <c r="AH593" s="1"/>
      <c r="AI593" s="1"/>
      <c r="AJ593" s="1"/>
      <c r="AK593" s="1"/>
      <c r="AL593" s="1"/>
      <c r="AM593" s="1"/>
      <c r="AN593" s="1"/>
    </row>
    <row r="594">
      <c r="A594" s="1138"/>
      <c r="B594" s="310"/>
      <c r="C594" s="888"/>
      <c r="D594" s="310"/>
      <c r="E594" s="1140"/>
      <c r="F594" s="932"/>
      <c r="G594" s="355"/>
      <c r="H594" s="310"/>
      <c r="I594" s="931"/>
      <c r="J594" s="1143"/>
      <c r="K594" s="691"/>
      <c r="L594" s="691"/>
      <c r="M594" s="691"/>
      <c r="N594" s="691"/>
      <c r="O594" s="691"/>
      <c r="P594" s="691"/>
      <c r="Q594" s="691"/>
      <c r="R594" s="888"/>
      <c r="S594" s="888"/>
      <c r="T594" s="1154"/>
      <c r="U594" s="888"/>
      <c r="V594" s="888"/>
      <c r="W594" s="310"/>
      <c r="X594" s="691"/>
      <c r="Y594" s="1"/>
      <c r="Z594" s="1"/>
      <c r="AA594" s="1"/>
      <c r="AB594" s="1"/>
      <c r="AC594" s="1"/>
      <c r="AD594" s="1"/>
      <c r="AE594" s="1"/>
      <c r="AF594" s="1"/>
      <c r="AG594" s="1"/>
      <c r="AH594" s="1"/>
      <c r="AI594" s="1"/>
      <c r="AJ594" s="1"/>
      <c r="AK594" s="1"/>
      <c r="AL594" s="1"/>
      <c r="AM594" s="1"/>
      <c r="AN594" s="1"/>
    </row>
    <row r="595">
      <c r="A595" s="1138"/>
      <c r="B595" s="310"/>
      <c r="C595" s="888"/>
      <c r="D595" s="310"/>
      <c r="E595" s="1140"/>
      <c r="F595" s="932"/>
      <c r="G595" s="355"/>
      <c r="H595" s="310"/>
      <c r="I595" s="931"/>
      <c r="J595" s="1143"/>
      <c r="K595" s="691"/>
      <c r="L595" s="691"/>
      <c r="M595" s="691"/>
      <c r="N595" s="691"/>
      <c r="O595" s="691"/>
      <c r="P595" s="691"/>
      <c r="Q595" s="691"/>
      <c r="R595" s="888"/>
      <c r="S595" s="888"/>
      <c r="T595" s="1154"/>
      <c r="U595" s="888"/>
      <c r="V595" s="888"/>
      <c r="W595" s="310"/>
      <c r="X595" s="691"/>
      <c r="Y595" s="1"/>
      <c r="Z595" s="1"/>
      <c r="AA595" s="1"/>
      <c r="AB595" s="1"/>
      <c r="AC595" s="1"/>
      <c r="AD595" s="1"/>
      <c r="AE595" s="1"/>
      <c r="AF595" s="1"/>
      <c r="AG595" s="1"/>
      <c r="AH595" s="1"/>
      <c r="AI595" s="1"/>
      <c r="AJ595" s="1"/>
      <c r="AK595" s="1"/>
      <c r="AL595" s="1"/>
      <c r="AM595" s="1"/>
      <c r="AN595" s="1"/>
    </row>
    <row r="596">
      <c r="A596" s="1138"/>
      <c r="B596" s="310"/>
      <c r="C596" s="888"/>
      <c r="D596" s="310"/>
      <c r="E596" s="1140"/>
      <c r="F596" s="932"/>
      <c r="G596" s="355"/>
      <c r="H596" s="310"/>
      <c r="I596" s="931"/>
      <c r="J596" s="1143"/>
      <c r="K596" s="691"/>
      <c r="L596" s="691"/>
      <c r="M596" s="691"/>
      <c r="N596" s="691"/>
      <c r="O596" s="691"/>
      <c r="P596" s="691"/>
      <c r="Q596" s="691"/>
      <c r="R596" s="888"/>
      <c r="S596" s="888"/>
      <c r="T596" s="1154"/>
      <c r="U596" s="888"/>
      <c r="V596" s="888"/>
      <c r="W596" s="310"/>
      <c r="X596" s="691"/>
      <c r="Y596" s="1"/>
      <c r="Z596" s="1"/>
      <c r="AA596" s="1"/>
      <c r="AB596" s="1"/>
      <c r="AC596" s="1"/>
      <c r="AD596" s="1"/>
      <c r="AE596" s="1"/>
      <c r="AF596" s="1"/>
      <c r="AG596" s="1"/>
      <c r="AH596" s="1"/>
      <c r="AI596" s="1"/>
      <c r="AJ596" s="1"/>
      <c r="AK596" s="1"/>
      <c r="AL596" s="1"/>
      <c r="AM596" s="1"/>
      <c r="AN596" s="1"/>
    </row>
    <row r="597">
      <c r="A597" s="1138"/>
      <c r="B597" s="310"/>
      <c r="C597" s="888"/>
      <c r="D597" s="310"/>
      <c r="E597" s="1140"/>
      <c r="F597" s="932"/>
      <c r="G597" s="355"/>
      <c r="H597" s="310"/>
      <c r="I597" s="931"/>
      <c r="J597" s="1143"/>
      <c r="K597" s="691"/>
      <c r="L597" s="691"/>
      <c r="M597" s="691"/>
      <c r="N597" s="691"/>
      <c r="O597" s="691"/>
      <c r="P597" s="691"/>
      <c r="Q597" s="691"/>
      <c r="R597" s="888"/>
      <c r="S597" s="888"/>
      <c r="T597" s="1154"/>
      <c r="U597" s="888"/>
      <c r="V597" s="888"/>
      <c r="W597" s="310"/>
      <c r="X597" s="691"/>
      <c r="Y597" s="1"/>
      <c r="Z597" s="1"/>
      <c r="AA597" s="1"/>
      <c r="AB597" s="1"/>
      <c r="AC597" s="1"/>
      <c r="AD597" s="1"/>
      <c r="AE597" s="1"/>
      <c r="AF597" s="1"/>
      <c r="AG597" s="1"/>
      <c r="AH597" s="1"/>
      <c r="AI597" s="1"/>
      <c r="AJ597" s="1"/>
      <c r="AK597" s="1"/>
      <c r="AL597" s="1"/>
      <c r="AM597" s="1"/>
      <c r="AN597" s="1"/>
    </row>
    <row r="598">
      <c r="A598" s="1138"/>
      <c r="B598" s="310"/>
      <c r="C598" s="888"/>
      <c r="D598" s="310"/>
      <c r="E598" s="1140"/>
      <c r="F598" s="932"/>
      <c r="G598" s="355"/>
      <c r="H598" s="310"/>
      <c r="I598" s="931"/>
      <c r="J598" s="1143"/>
      <c r="K598" s="691"/>
      <c r="L598" s="691"/>
      <c r="M598" s="691"/>
      <c r="N598" s="691"/>
      <c r="O598" s="691"/>
      <c r="P598" s="691"/>
      <c r="Q598" s="691"/>
      <c r="R598" s="888"/>
      <c r="S598" s="888"/>
      <c r="T598" s="1154"/>
      <c r="U598" s="888"/>
      <c r="V598" s="888"/>
      <c r="W598" s="310"/>
      <c r="X598" s="691"/>
      <c r="Y598" s="1"/>
      <c r="Z598" s="1"/>
      <c r="AA598" s="1"/>
      <c r="AB598" s="1"/>
      <c r="AC598" s="1"/>
      <c r="AD598" s="1"/>
      <c r="AE598" s="1"/>
      <c r="AF598" s="1"/>
      <c r="AG598" s="1"/>
      <c r="AH598" s="1"/>
      <c r="AI598" s="1"/>
      <c r="AJ598" s="1"/>
      <c r="AK598" s="1"/>
      <c r="AL598" s="1"/>
      <c r="AM598" s="1"/>
      <c r="AN598" s="1"/>
    </row>
    <row r="599">
      <c r="A599" s="1138"/>
      <c r="B599" s="310"/>
      <c r="C599" s="888"/>
      <c r="D599" s="310"/>
      <c r="E599" s="1140"/>
      <c r="F599" s="932"/>
      <c r="G599" s="355"/>
      <c r="H599" s="310"/>
      <c r="I599" s="931"/>
      <c r="J599" s="1143"/>
      <c r="K599" s="691"/>
      <c r="L599" s="691"/>
      <c r="M599" s="691"/>
      <c r="N599" s="691"/>
      <c r="O599" s="691"/>
      <c r="P599" s="691"/>
      <c r="Q599" s="691"/>
      <c r="R599" s="888"/>
      <c r="S599" s="888"/>
      <c r="T599" s="1154"/>
      <c r="U599" s="888"/>
      <c r="V599" s="888"/>
      <c r="W599" s="310"/>
      <c r="X599" s="691"/>
      <c r="Y599" s="1"/>
      <c r="Z599" s="1"/>
      <c r="AA599" s="1"/>
      <c r="AB599" s="1"/>
      <c r="AC599" s="1"/>
      <c r="AD599" s="1"/>
      <c r="AE599" s="1"/>
      <c r="AF599" s="1"/>
      <c r="AG599" s="1"/>
      <c r="AH599" s="1"/>
      <c r="AI599" s="1"/>
      <c r="AJ599" s="1"/>
      <c r="AK599" s="1"/>
      <c r="AL599" s="1"/>
      <c r="AM599" s="1"/>
      <c r="AN599" s="1"/>
    </row>
    <row r="600">
      <c r="A600" s="1138"/>
      <c r="B600" s="310"/>
      <c r="C600" s="888"/>
      <c r="D600" s="310"/>
      <c r="E600" s="1140"/>
      <c r="F600" s="932"/>
      <c r="G600" s="355"/>
      <c r="H600" s="310"/>
      <c r="I600" s="931"/>
      <c r="J600" s="1143"/>
      <c r="K600" s="691"/>
      <c r="L600" s="691"/>
      <c r="M600" s="691"/>
      <c r="N600" s="691"/>
      <c r="O600" s="691"/>
      <c r="P600" s="691"/>
      <c r="Q600" s="691"/>
      <c r="R600" s="888"/>
      <c r="S600" s="888"/>
      <c r="T600" s="1154"/>
      <c r="U600" s="888"/>
      <c r="V600" s="888"/>
      <c r="W600" s="310"/>
      <c r="X600" s="691"/>
      <c r="Y600" s="1"/>
      <c r="Z600" s="1"/>
      <c r="AA600" s="1"/>
      <c r="AB600" s="1"/>
      <c r="AC600" s="1"/>
      <c r="AD600" s="1"/>
      <c r="AE600" s="1"/>
      <c r="AF600" s="1"/>
      <c r="AG600" s="1"/>
      <c r="AH600" s="1"/>
      <c r="AI600" s="1"/>
      <c r="AJ600" s="1"/>
      <c r="AK600" s="1"/>
      <c r="AL600" s="1"/>
      <c r="AM600" s="1"/>
      <c r="AN600" s="1"/>
    </row>
    <row r="601">
      <c r="A601" s="1138"/>
      <c r="B601" s="310"/>
      <c r="C601" s="888"/>
      <c r="D601" s="310"/>
      <c r="E601" s="1140"/>
      <c r="F601" s="932"/>
      <c r="G601" s="355"/>
      <c r="H601" s="310"/>
      <c r="I601" s="931"/>
      <c r="J601" s="1143"/>
      <c r="K601" s="691"/>
      <c r="L601" s="691"/>
      <c r="M601" s="691"/>
      <c r="N601" s="691"/>
      <c r="O601" s="691"/>
      <c r="P601" s="691"/>
      <c r="Q601" s="691"/>
      <c r="R601" s="888"/>
      <c r="S601" s="888"/>
      <c r="T601" s="1154"/>
      <c r="U601" s="888"/>
      <c r="V601" s="888"/>
      <c r="W601" s="310"/>
      <c r="X601" s="691"/>
      <c r="Y601" s="1"/>
      <c r="Z601" s="1"/>
      <c r="AA601" s="1"/>
      <c r="AB601" s="1"/>
      <c r="AC601" s="1"/>
      <c r="AD601" s="1"/>
      <c r="AE601" s="1"/>
      <c r="AF601" s="1"/>
      <c r="AG601" s="1"/>
      <c r="AH601" s="1"/>
      <c r="AI601" s="1"/>
      <c r="AJ601" s="1"/>
      <c r="AK601" s="1"/>
      <c r="AL601" s="1"/>
      <c r="AM601" s="1"/>
      <c r="AN601" s="1"/>
    </row>
    <row r="602">
      <c r="A602" s="1138"/>
      <c r="B602" s="310"/>
      <c r="C602" s="888"/>
      <c r="D602" s="310"/>
      <c r="E602" s="1140"/>
      <c r="F602" s="932"/>
      <c r="G602" s="355"/>
      <c r="H602" s="310"/>
      <c r="I602" s="931"/>
      <c r="J602" s="1143"/>
      <c r="K602" s="691"/>
      <c r="L602" s="691"/>
      <c r="M602" s="691"/>
      <c r="N602" s="691"/>
      <c r="O602" s="691"/>
      <c r="P602" s="691"/>
      <c r="Q602" s="691"/>
      <c r="R602" s="888"/>
      <c r="S602" s="888"/>
      <c r="T602" s="1154"/>
      <c r="U602" s="888"/>
      <c r="V602" s="888"/>
      <c r="W602" s="310"/>
      <c r="X602" s="691"/>
      <c r="Y602" s="1"/>
      <c r="Z602" s="1"/>
      <c r="AA602" s="1"/>
      <c r="AB602" s="1"/>
      <c r="AC602" s="1"/>
      <c r="AD602" s="1"/>
      <c r="AE602" s="1"/>
      <c r="AF602" s="1"/>
      <c r="AG602" s="1"/>
      <c r="AH602" s="1"/>
      <c r="AI602" s="1"/>
      <c r="AJ602" s="1"/>
      <c r="AK602" s="1"/>
      <c r="AL602" s="1"/>
      <c r="AM602" s="1"/>
      <c r="AN602" s="1"/>
    </row>
    <row r="603">
      <c r="A603" s="1138"/>
      <c r="B603" s="310"/>
      <c r="C603" s="888"/>
      <c r="D603" s="310"/>
      <c r="E603" s="1140"/>
      <c r="F603" s="932"/>
      <c r="G603" s="355"/>
      <c r="H603" s="310"/>
      <c r="I603" s="931"/>
      <c r="J603" s="1143"/>
      <c r="K603" s="691"/>
      <c r="L603" s="691"/>
      <c r="M603" s="691"/>
      <c r="N603" s="691"/>
      <c r="O603" s="691"/>
      <c r="P603" s="691"/>
      <c r="Q603" s="691"/>
      <c r="R603" s="888"/>
      <c r="S603" s="888"/>
      <c r="T603" s="1154"/>
      <c r="U603" s="888"/>
      <c r="V603" s="888"/>
      <c r="W603" s="310"/>
      <c r="X603" s="691"/>
      <c r="Y603" s="1"/>
      <c r="Z603" s="1"/>
      <c r="AA603" s="1"/>
      <c r="AB603" s="1"/>
      <c r="AC603" s="1"/>
      <c r="AD603" s="1"/>
      <c r="AE603" s="1"/>
      <c r="AF603" s="1"/>
      <c r="AG603" s="1"/>
      <c r="AH603" s="1"/>
      <c r="AI603" s="1"/>
      <c r="AJ603" s="1"/>
      <c r="AK603" s="1"/>
      <c r="AL603" s="1"/>
      <c r="AM603" s="1"/>
      <c r="AN603" s="1"/>
    </row>
    <row r="604">
      <c r="A604" s="1138"/>
      <c r="B604" s="310"/>
      <c r="C604" s="888"/>
      <c r="D604" s="310"/>
      <c r="E604" s="1140"/>
      <c r="F604" s="932"/>
      <c r="G604" s="355"/>
      <c r="H604" s="310"/>
      <c r="I604" s="931"/>
      <c r="J604" s="1143"/>
      <c r="K604" s="691"/>
      <c r="L604" s="691"/>
      <c r="M604" s="691"/>
      <c r="N604" s="691"/>
      <c r="O604" s="691"/>
      <c r="P604" s="691"/>
      <c r="Q604" s="691"/>
      <c r="R604" s="888"/>
      <c r="S604" s="888"/>
      <c r="T604" s="1154"/>
      <c r="U604" s="888"/>
      <c r="V604" s="888"/>
      <c r="W604" s="310"/>
      <c r="X604" s="691"/>
      <c r="Y604" s="1"/>
      <c r="Z604" s="1"/>
      <c r="AA604" s="1"/>
      <c r="AB604" s="1"/>
      <c r="AC604" s="1"/>
      <c r="AD604" s="1"/>
      <c r="AE604" s="1"/>
      <c r="AF604" s="1"/>
      <c r="AG604" s="1"/>
      <c r="AH604" s="1"/>
      <c r="AI604" s="1"/>
      <c r="AJ604" s="1"/>
      <c r="AK604" s="1"/>
      <c r="AL604" s="1"/>
      <c r="AM604" s="1"/>
      <c r="AN604" s="1"/>
    </row>
    <row r="605">
      <c r="A605" s="1138"/>
      <c r="B605" s="310"/>
      <c r="C605" s="888"/>
      <c r="D605" s="310"/>
      <c r="E605" s="1140"/>
      <c r="F605" s="932"/>
      <c r="G605" s="355"/>
      <c r="H605" s="310"/>
      <c r="I605" s="931"/>
      <c r="J605" s="1143"/>
      <c r="K605" s="691"/>
      <c r="L605" s="691"/>
      <c r="M605" s="691"/>
      <c r="N605" s="691"/>
      <c r="O605" s="691"/>
      <c r="P605" s="691"/>
      <c r="Q605" s="691"/>
      <c r="R605" s="888"/>
      <c r="S605" s="888"/>
      <c r="T605" s="1154"/>
      <c r="U605" s="888"/>
      <c r="V605" s="888"/>
      <c r="W605" s="310"/>
      <c r="X605" s="691"/>
      <c r="Y605" s="1"/>
      <c r="Z605" s="1"/>
      <c r="AA605" s="1"/>
      <c r="AB605" s="1"/>
      <c r="AC605" s="1"/>
      <c r="AD605" s="1"/>
      <c r="AE605" s="1"/>
      <c r="AF605" s="1"/>
      <c r="AG605" s="1"/>
      <c r="AH605" s="1"/>
      <c r="AI605" s="1"/>
      <c r="AJ605" s="1"/>
      <c r="AK605" s="1"/>
      <c r="AL605" s="1"/>
      <c r="AM605" s="1"/>
      <c r="AN605" s="1"/>
    </row>
    <row r="606">
      <c r="A606" s="1138"/>
      <c r="B606" s="310"/>
      <c r="C606" s="888"/>
      <c r="D606" s="310"/>
      <c r="E606" s="1140"/>
      <c r="F606" s="932"/>
      <c r="G606" s="355"/>
      <c r="H606" s="310"/>
      <c r="I606" s="931"/>
      <c r="J606" s="1143"/>
      <c r="K606" s="691"/>
      <c r="L606" s="691"/>
      <c r="M606" s="691"/>
      <c r="N606" s="691"/>
      <c r="O606" s="691"/>
      <c r="P606" s="691"/>
      <c r="Q606" s="691"/>
      <c r="R606" s="888"/>
      <c r="S606" s="888"/>
      <c r="T606" s="1154"/>
      <c r="U606" s="888"/>
      <c r="V606" s="888"/>
      <c r="W606" s="310"/>
      <c r="X606" s="691"/>
      <c r="Y606" s="1"/>
      <c r="Z606" s="1"/>
      <c r="AA606" s="1"/>
      <c r="AB606" s="1"/>
      <c r="AC606" s="1"/>
      <c r="AD606" s="1"/>
      <c r="AE606" s="1"/>
      <c r="AF606" s="1"/>
      <c r="AG606" s="1"/>
      <c r="AH606" s="1"/>
      <c r="AI606" s="1"/>
      <c r="AJ606" s="1"/>
      <c r="AK606" s="1"/>
      <c r="AL606" s="1"/>
      <c r="AM606" s="1"/>
      <c r="AN606" s="1"/>
    </row>
    <row r="607">
      <c r="A607" s="1138"/>
      <c r="B607" s="310"/>
      <c r="C607" s="888"/>
      <c r="D607" s="310"/>
      <c r="E607" s="1140"/>
      <c r="F607" s="932"/>
      <c r="G607" s="355"/>
      <c r="H607" s="310"/>
      <c r="I607" s="931"/>
      <c r="J607" s="1143"/>
      <c r="K607" s="691"/>
      <c r="L607" s="691"/>
      <c r="M607" s="691"/>
      <c r="N607" s="691"/>
      <c r="O607" s="691"/>
      <c r="P607" s="691"/>
      <c r="Q607" s="691"/>
      <c r="R607" s="888"/>
      <c r="S607" s="888"/>
      <c r="T607" s="1154"/>
      <c r="U607" s="888"/>
      <c r="V607" s="888"/>
      <c r="W607" s="310"/>
      <c r="X607" s="691"/>
      <c r="Y607" s="1"/>
      <c r="Z607" s="1"/>
      <c r="AA607" s="1"/>
      <c r="AB607" s="1"/>
      <c r="AC607" s="1"/>
      <c r="AD607" s="1"/>
      <c r="AE607" s="1"/>
      <c r="AF607" s="1"/>
      <c r="AG607" s="1"/>
      <c r="AH607" s="1"/>
      <c r="AI607" s="1"/>
      <c r="AJ607" s="1"/>
      <c r="AK607" s="1"/>
      <c r="AL607" s="1"/>
      <c r="AM607" s="1"/>
      <c r="AN607" s="1"/>
    </row>
    <row r="608">
      <c r="A608" s="1138"/>
      <c r="B608" s="310"/>
      <c r="C608" s="888"/>
      <c r="D608" s="310"/>
      <c r="E608" s="1140"/>
      <c r="F608" s="932"/>
      <c r="G608" s="355"/>
      <c r="H608" s="310"/>
      <c r="I608" s="931"/>
      <c r="J608" s="1143"/>
      <c r="K608" s="691"/>
      <c r="L608" s="691"/>
      <c r="M608" s="691"/>
      <c r="N608" s="691"/>
      <c r="O608" s="691"/>
      <c r="P608" s="691"/>
      <c r="Q608" s="691"/>
      <c r="R608" s="888"/>
      <c r="S608" s="888"/>
      <c r="T608" s="1154"/>
      <c r="U608" s="888"/>
      <c r="V608" s="888"/>
      <c r="W608" s="310"/>
      <c r="X608" s="691"/>
      <c r="Y608" s="1"/>
      <c r="Z608" s="1"/>
      <c r="AA608" s="1"/>
      <c r="AB608" s="1"/>
      <c r="AC608" s="1"/>
      <c r="AD608" s="1"/>
      <c r="AE608" s="1"/>
      <c r="AF608" s="1"/>
      <c r="AG608" s="1"/>
      <c r="AH608" s="1"/>
      <c r="AI608" s="1"/>
      <c r="AJ608" s="1"/>
      <c r="AK608" s="1"/>
      <c r="AL608" s="1"/>
      <c r="AM608" s="1"/>
      <c r="AN608" s="1"/>
    </row>
    <row r="609">
      <c r="A609" s="1138"/>
      <c r="B609" s="310"/>
      <c r="C609" s="888"/>
      <c r="D609" s="310"/>
      <c r="E609" s="1140"/>
      <c r="F609" s="932"/>
      <c r="G609" s="355"/>
      <c r="H609" s="310"/>
      <c r="I609" s="931"/>
      <c r="J609" s="1143"/>
      <c r="K609" s="691"/>
      <c r="L609" s="691"/>
      <c r="M609" s="691"/>
      <c r="N609" s="691"/>
      <c r="O609" s="691"/>
      <c r="P609" s="691"/>
      <c r="Q609" s="691"/>
      <c r="R609" s="888"/>
      <c r="S609" s="888"/>
      <c r="T609" s="1154"/>
      <c r="U609" s="888"/>
      <c r="V609" s="888"/>
      <c r="W609" s="310"/>
      <c r="X609" s="691"/>
      <c r="Y609" s="1"/>
      <c r="Z609" s="1"/>
      <c r="AA609" s="1"/>
      <c r="AB609" s="1"/>
      <c r="AC609" s="1"/>
      <c r="AD609" s="1"/>
      <c r="AE609" s="1"/>
      <c r="AF609" s="1"/>
      <c r="AG609" s="1"/>
      <c r="AH609" s="1"/>
      <c r="AI609" s="1"/>
      <c r="AJ609" s="1"/>
      <c r="AK609" s="1"/>
      <c r="AL609" s="1"/>
      <c r="AM609" s="1"/>
      <c r="AN609" s="1"/>
    </row>
    <row r="610">
      <c r="A610" s="1138"/>
      <c r="B610" s="310"/>
      <c r="C610" s="888"/>
      <c r="D610" s="310"/>
      <c r="E610" s="1140"/>
      <c r="F610" s="932"/>
      <c r="G610" s="355"/>
      <c r="H610" s="310"/>
      <c r="I610" s="931"/>
      <c r="J610" s="1143"/>
      <c r="K610" s="691"/>
      <c r="L610" s="691"/>
      <c r="M610" s="691"/>
      <c r="N610" s="691"/>
      <c r="O610" s="691"/>
      <c r="P610" s="691"/>
      <c r="Q610" s="691"/>
      <c r="R610" s="888"/>
      <c r="S610" s="888"/>
      <c r="T610" s="1154"/>
      <c r="U610" s="888"/>
      <c r="V610" s="888"/>
      <c r="W610" s="310"/>
      <c r="X610" s="691"/>
      <c r="Y610" s="1"/>
      <c r="Z610" s="1"/>
      <c r="AA610" s="1"/>
      <c r="AB610" s="1"/>
      <c r="AC610" s="1"/>
      <c r="AD610" s="1"/>
      <c r="AE610" s="1"/>
      <c r="AF610" s="1"/>
      <c r="AG610" s="1"/>
      <c r="AH610" s="1"/>
      <c r="AI610" s="1"/>
      <c r="AJ610" s="1"/>
      <c r="AK610" s="1"/>
      <c r="AL610" s="1"/>
      <c r="AM610" s="1"/>
      <c r="AN610" s="1"/>
    </row>
    <row r="611">
      <c r="A611" s="1138"/>
      <c r="B611" s="310"/>
      <c r="C611" s="888"/>
      <c r="D611" s="310"/>
      <c r="E611" s="1140"/>
      <c r="F611" s="932"/>
      <c r="G611" s="355"/>
      <c r="H611" s="310"/>
      <c r="I611" s="931"/>
      <c r="J611" s="1143"/>
      <c r="K611" s="691"/>
      <c r="L611" s="691"/>
      <c r="M611" s="691"/>
      <c r="N611" s="691"/>
      <c r="O611" s="691"/>
      <c r="P611" s="691"/>
      <c r="Q611" s="691"/>
      <c r="R611" s="888"/>
      <c r="S611" s="888"/>
      <c r="T611" s="1154"/>
      <c r="U611" s="888"/>
      <c r="V611" s="888"/>
      <c r="W611" s="310"/>
      <c r="X611" s="691"/>
      <c r="Y611" s="1"/>
      <c r="Z611" s="1"/>
      <c r="AA611" s="1"/>
      <c r="AB611" s="1"/>
      <c r="AC611" s="1"/>
      <c r="AD611" s="1"/>
      <c r="AE611" s="1"/>
      <c r="AF611" s="1"/>
      <c r="AG611" s="1"/>
      <c r="AH611" s="1"/>
      <c r="AI611" s="1"/>
      <c r="AJ611" s="1"/>
      <c r="AK611" s="1"/>
      <c r="AL611" s="1"/>
      <c r="AM611" s="1"/>
      <c r="AN611" s="1"/>
    </row>
    <row r="612">
      <c r="A612" s="1138"/>
      <c r="B612" s="310"/>
      <c r="C612" s="888"/>
      <c r="D612" s="310"/>
      <c r="E612" s="1140"/>
      <c r="F612" s="932"/>
      <c r="G612" s="355"/>
      <c r="H612" s="310"/>
      <c r="I612" s="931"/>
      <c r="J612" s="1143"/>
      <c r="K612" s="691"/>
      <c r="L612" s="691"/>
      <c r="M612" s="691"/>
      <c r="N612" s="691"/>
      <c r="O612" s="691"/>
      <c r="P612" s="691"/>
      <c r="Q612" s="691"/>
      <c r="R612" s="888"/>
      <c r="S612" s="888"/>
      <c r="T612" s="1154"/>
      <c r="U612" s="888"/>
      <c r="V612" s="888"/>
      <c r="W612" s="310"/>
      <c r="X612" s="691"/>
      <c r="Y612" s="1"/>
      <c r="Z612" s="1"/>
      <c r="AA612" s="1"/>
      <c r="AB612" s="1"/>
      <c r="AC612" s="1"/>
      <c r="AD612" s="1"/>
      <c r="AE612" s="1"/>
      <c r="AF612" s="1"/>
      <c r="AG612" s="1"/>
      <c r="AH612" s="1"/>
      <c r="AI612" s="1"/>
      <c r="AJ612" s="1"/>
      <c r="AK612" s="1"/>
      <c r="AL612" s="1"/>
      <c r="AM612" s="1"/>
      <c r="AN612" s="1"/>
    </row>
    <row r="613">
      <c r="A613" s="1138"/>
      <c r="B613" s="310"/>
      <c r="C613" s="888"/>
      <c r="D613" s="310"/>
      <c r="E613" s="1140"/>
      <c r="F613" s="932"/>
      <c r="G613" s="355"/>
      <c r="H613" s="310"/>
      <c r="I613" s="931"/>
      <c r="J613" s="1143"/>
      <c r="K613" s="691"/>
      <c r="L613" s="691"/>
      <c r="M613" s="691"/>
      <c r="N613" s="691"/>
      <c r="O613" s="691"/>
      <c r="P613" s="691"/>
      <c r="Q613" s="691"/>
      <c r="R613" s="888"/>
      <c r="S613" s="888"/>
      <c r="T613" s="1154"/>
      <c r="U613" s="888"/>
      <c r="V613" s="888"/>
      <c r="W613" s="310"/>
      <c r="X613" s="691"/>
      <c r="Y613" s="1"/>
      <c r="Z613" s="1"/>
      <c r="AA613" s="1"/>
      <c r="AB613" s="1"/>
      <c r="AC613" s="1"/>
      <c r="AD613" s="1"/>
      <c r="AE613" s="1"/>
      <c r="AF613" s="1"/>
      <c r="AG613" s="1"/>
      <c r="AH613" s="1"/>
      <c r="AI613" s="1"/>
      <c r="AJ613" s="1"/>
      <c r="AK613" s="1"/>
      <c r="AL613" s="1"/>
      <c r="AM613" s="1"/>
      <c r="AN613" s="1"/>
    </row>
    <row r="614">
      <c r="A614" s="1138"/>
      <c r="B614" s="310"/>
      <c r="C614" s="888"/>
      <c r="D614" s="310"/>
      <c r="E614" s="1140"/>
      <c r="F614" s="932"/>
      <c r="G614" s="355"/>
      <c r="H614" s="310"/>
      <c r="I614" s="931"/>
      <c r="J614" s="1143"/>
      <c r="K614" s="691"/>
      <c r="L614" s="691"/>
      <c r="M614" s="691"/>
      <c r="N614" s="691"/>
      <c r="O614" s="691"/>
      <c r="P614" s="691"/>
      <c r="Q614" s="691"/>
      <c r="R614" s="888"/>
      <c r="S614" s="888"/>
      <c r="T614" s="1154"/>
      <c r="U614" s="888"/>
      <c r="V614" s="888"/>
      <c r="W614" s="310"/>
      <c r="X614" s="691"/>
      <c r="Y614" s="1"/>
      <c r="Z614" s="1"/>
      <c r="AA614" s="1"/>
      <c r="AB614" s="1"/>
      <c r="AC614" s="1"/>
      <c r="AD614" s="1"/>
      <c r="AE614" s="1"/>
      <c r="AF614" s="1"/>
      <c r="AG614" s="1"/>
      <c r="AH614" s="1"/>
      <c r="AI614" s="1"/>
      <c r="AJ614" s="1"/>
      <c r="AK614" s="1"/>
      <c r="AL614" s="1"/>
      <c r="AM614" s="1"/>
      <c r="AN614" s="1"/>
    </row>
    <row r="615">
      <c r="A615" s="1138"/>
      <c r="B615" s="310"/>
      <c r="C615" s="888"/>
      <c r="D615" s="310"/>
      <c r="E615" s="1140"/>
      <c r="F615" s="932"/>
      <c r="G615" s="355"/>
      <c r="H615" s="310"/>
      <c r="I615" s="931"/>
      <c r="J615" s="1143"/>
      <c r="K615" s="691"/>
      <c r="L615" s="691"/>
      <c r="M615" s="691"/>
      <c r="N615" s="691"/>
      <c r="O615" s="691"/>
      <c r="P615" s="691"/>
      <c r="Q615" s="691"/>
      <c r="R615" s="888"/>
      <c r="S615" s="888"/>
      <c r="T615" s="1154"/>
      <c r="U615" s="888"/>
      <c r="V615" s="888"/>
      <c r="W615" s="310"/>
      <c r="X615" s="691"/>
      <c r="Y615" s="1"/>
      <c r="Z615" s="1"/>
      <c r="AA615" s="1"/>
      <c r="AB615" s="1"/>
      <c r="AC615" s="1"/>
      <c r="AD615" s="1"/>
      <c r="AE615" s="1"/>
      <c r="AF615" s="1"/>
      <c r="AG615" s="1"/>
      <c r="AH615" s="1"/>
      <c r="AI615" s="1"/>
      <c r="AJ615" s="1"/>
      <c r="AK615" s="1"/>
      <c r="AL615" s="1"/>
      <c r="AM615" s="1"/>
      <c r="AN615" s="1"/>
    </row>
    <row r="616">
      <c r="A616" s="1138"/>
      <c r="B616" s="310"/>
      <c r="C616" s="888"/>
      <c r="D616" s="310"/>
      <c r="E616" s="1140"/>
      <c r="F616" s="932"/>
      <c r="G616" s="355"/>
      <c r="H616" s="310"/>
      <c r="I616" s="931"/>
      <c r="J616" s="1143"/>
      <c r="K616" s="691"/>
      <c r="L616" s="691"/>
      <c r="M616" s="691"/>
      <c r="N616" s="691"/>
      <c r="O616" s="691"/>
      <c r="P616" s="691"/>
      <c r="Q616" s="691"/>
      <c r="R616" s="888"/>
      <c r="S616" s="888"/>
      <c r="T616" s="1154"/>
      <c r="U616" s="888"/>
      <c r="V616" s="888"/>
      <c r="W616" s="310"/>
      <c r="X616" s="691"/>
      <c r="Y616" s="1"/>
      <c r="Z616" s="1"/>
      <c r="AA616" s="1"/>
      <c r="AB616" s="1"/>
      <c r="AC616" s="1"/>
      <c r="AD616" s="1"/>
      <c r="AE616" s="1"/>
      <c r="AF616" s="1"/>
      <c r="AG616" s="1"/>
      <c r="AH616" s="1"/>
      <c r="AI616" s="1"/>
      <c r="AJ616" s="1"/>
      <c r="AK616" s="1"/>
      <c r="AL616" s="1"/>
      <c r="AM616" s="1"/>
      <c r="AN616" s="1"/>
    </row>
    <row r="617">
      <c r="A617" s="1138"/>
      <c r="B617" s="310"/>
      <c r="C617" s="888"/>
      <c r="D617" s="310"/>
      <c r="E617" s="1140"/>
      <c r="F617" s="932"/>
      <c r="G617" s="355"/>
      <c r="H617" s="310"/>
      <c r="I617" s="931"/>
      <c r="J617" s="1143"/>
      <c r="K617" s="691"/>
      <c r="L617" s="691"/>
      <c r="M617" s="691"/>
      <c r="N617" s="691"/>
      <c r="O617" s="691"/>
      <c r="P617" s="691"/>
      <c r="Q617" s="691"/>
      <c r="R617" s="888"/>
      <c r="S617" s="888"/>
      <c r="T617" s="1154"/>
      <c r="U617" s="888"/>
      <c r="V617" s="888"/>
      <c r="W617" s="310"/>
      <c r="X617" s="691"/>
      <c r="Y617" s="1"/>
      <c r="Z617" s="1"/>
      <c r="AA617" s="1"/>
      <c r="AB617" s="1"/>
      <c r="AC617" s="1"/>
      <c r="AD617" s="1"/>
      <c r="AE617" s="1"/>
      <c r="AF617" s="1"/>
      <c r="AG617" s="1"/>
      <c r="AH617" s="1"/>
      <c r="AI617" s="1"/>
      <c r="AJ617" s="1"/>
      <c r="AK617" s="1"/>
      <c r="AL617" s="1"/>
      <c r="AM617" s="1"/>
      <c r="AN617" s="1"/>
    </row>
    <row r="618">
      <c r="A618" s="1138"/>
      <c r="B618" s="310"/>
      <c r="C618" s="888"/>
      <c r="D618" s="310"/>
      <c r="E618" s="1140"/>
      <c r="F618" s="932"/>
      <c r="G618" s="355"/>
      <c r="H618" s="310"/>
      <c r="I618" s="931"/>
      <c r="J618" s="1143"/>
      <c r="K618" s="691"/>
      <c r="L618" s="691"/>
      <c r="M618" s="691"/>
      <c r="N618" s="691"/>
      <c r="O618" s="691"/>
      <c r="P618" s="691"/>
      <c r="Q618" s="691"/>
      <c r="R618" s="888"/>
      <c r="S618" s="888"/>
      <c r="T618" s="1154"/>
      <c r="U618" s="888"/>
      <c r="V618" s="888"/>
      <c r="W618" s="310"/>
      <c r="X618" s="691"/>
      <c r="Y618" s="1"/>
      <c r="Z618" s="1"/>
      <c r="AA618" s="1"/>
      <c r="AB618" s="1"/>
      <c r="AC618" s="1"/>
      <c r="AD618" s="1"/>
      <c r="AE618" s="1"/>
      <c r="AF618" s="1"/>
      <c r="AG618" s="1"/>
      <c r="AH618" s="1"/>
      <c r="AI618" s="1"/>
      <c r="AJ618" s="1"/>
      <c r="AK618" s="1"/>
      <c r="AL618" s="1"/>
      <c r="AM618" s="1"/>
      <c r="AN618" s="1"/>
    </row>
    <row r="619">
      <c r="A619" s="1138"/>
      <c r="B619" s="310"/>
      <c r="C619" s="888"/>
      <c r="D619" s="310"/>
      <c r="E619" s="1140"/>
      <c r="F619" s="932"/>
      <c r="G619" s="355"/>
      <c r="H619" s="310"/>
      <c r="I619" s="931"/>
      <c r="J619" s="1143"/>
      <c r="K619" s="691"/>
      <c r="L619" s="691"/>
      <c r="M619" s="691"/>
      <c r="N619" s="691"/>
      <c r="O619" s="691"/>
      <c r="P619" s="691"/>
      <c r="Q619" s="691"/>
      <c r="R619" s="888"/>
      <c r="S619" s="888"/>
      <c r="T619" s="1154"/>
      <c r="U619" s="888"/>
      <c r="V619" s="888"/>
      <c r="W619" s="310"/>
      <c r="X619" s="691"/>
      <c r="Y619" s="1"/>
      <c r="Z619" s="1"/>
      <c r="AA619" s="1"/>
      <c r="AB619" s="1"/>
      <c r="AC619" s="1"/>
      <c r="AD619" s="1"/>
      <c r="AE619" s="1"/>
      <c r="AF619" s="1"/>
      <c r="AG619" s="1"/>
      <c r="AH619" s="1"/>
      <c r="AI619" s="1"/>
      <c r="AJ619" s="1"/>
      <c r="AK619" s="1"/>
      <c r="AL619" s="1"/>
      <c r="AM619" s="1"/>
      <c r="AN619" s="1"/>
    </row>
    <row r="620">
      <c r="A620" s="1138"/>
      <c r="B620" s="310"/>
      <c r="C620" s="888"/>
      <c r="D620" s="310"/>
      <c r="E620" s="1140"/>
      <c r="F620" s="932"/>
      <c r="G620" s="355"/>
      <c r="H620" s="310"/>
      <c r="I620" s="931"/>
      <c r="J620" s="1143"/>
      <c r="K620" s="691"/>
      <c r="L620" s="691"/>
      <c r="M620" s="691"/>
      <c r="N620" s="691"/>
      <c r="O620" s="691"/>
      <c r="P620" s="691"/>
      <c r="Q620" s="691"/>
      <c r="R620" s="888"/>
      <c r="S620" s="888"/>
      <c r="T620" s="1154"/>
      <c r="U620" s="888"/>
      <c r="V620" s="888"/>
      <c r="W620" s="310"/>
      <c r="X620" s="691"/>
      <c r="Y620" s="1"/>
      <c r="Z620" s="1"/>
      <c r="AA620" s="1"/>
      <c r="AB620" s="1"/>
      <c r="AC620" s="1"/>
      <c r="AD620" s="1"/>
      <c r="AE620" s="1"/>
      <c r="AF620" s="1"/>
      <c r="AG620" s="1"/>
      <c r="AH620" s="1"/>
      <c r="AI620" s="1"/>
      <c r="AJ620" s="1"/>
      <c r="AK620" s="1"/>
      <c r="AL620" s="1"/>
      <c r="AM620" s="1"/>
      <c r="AN620" s="1"/>
    </row>
    <row r="621">
      <c r="A621" s="1138"/>
      <c r="B621" s="310"/>
      <c r="C621" s="888"/>
      <c r="D621" s="310"/>
      <c r="E621" s="1140"/>
      <c r="F621" s="932"/>
      <c r="G621" s="355"/>
      <c r="H621" s="310"/>
      <c r="I621" s="931"/>
      <c r="J621" s="1143"/>
      <c r="K621" s="691"/>
      <c r="L621" s="691"/>
      <c r="M621" s="691"/>
      <c r="N621" s="691"/>
      <c r="O621" s="691"/>
      <c r="P621" s="691"/>
      <c r="Q621" s="691"/>
      <c r="R621" s="888"/>
      <c r="S621" s="888"/>
      <c r="T621" s="1154"/>
      <c r="U621" s="888"/>
      <c r="V621" s="888"/>
      <c r="W621" s="310"/>
      <c r="X621" s="691"/>
      <c r="Y621" s="1"/>
      <c r="Z621" s="1"/>
      <c r="AA621" s="1"/>
      <c r="AB621" s="1"/>
      <c r="AC621" s="1"/>
      <c r="AD621" s="1"/>
      <c r="AE621" s="1"/>
      <c r="AF621" s="1"/>
      <c r="AG621" s="1"/>
      <c r="AH621" s="1"/>
      <c r="AI621" s="1"/>
      <c r="AJ621" s="1"/>
      <c r="AK621" s="1"/>
      <c r="AL621" s="1"/>
      <c r="AM621" s="1"/>
      <c r="AN621" s="1"/>
    </row>
    <row r="622">
      <c r="A622" s="1138"/>
      <c r="B622" s="310"/>
      <c r="C622" s="888"/>
      <c r="D622" s="310"/>
      <c r="E622" s="1140"/>
      <c r="F622" s="932"/>
      <c r="G622" s="355"/>
      <c r="H622" s="310"/>
      <c r="I622" s="931"/>
      <c r="J622" s="1143"/>
      <c r="K622" s="691"/>
      <c r="L622" s="691"/>
      <c r="M622" s="691"/>
      <c r="N622" s="691"/>
      <c r="O622" s="691"/>
      <c r="P622" s="691"/>
      <c r="Q622" s="691"/>
      <c r="R622" s="888"/>
      <c r="S622" s="888"/>
      <c r="T622" s="1154"/>
      <c r="U622" s="888"/>
      <c r="V622" s="888"/>
      <c r="W622" s="310"/>
      <c r="X622" s="691"/>
      <c r="Y622" s="1"/>
      <c r="Z622" s="1"/>
      <c r="AA622" s="1"/>
      <c r="AB622" s="1"/>
      <c r="AC622" s="1"/>
      <c r="AD622" s="1"/>
      <c r="AE622" s="1"/>
      <c r="AF622" s="1"/>
      <c r="AG622" s="1"/>
      <c r="AH622" s="1"/>
      <c r="AI622" s="1"/>
      <c r="AJ622" s="1"/>
      <c r="AK622" s="1"/>
      <c r="AL622" s="1"/>
      <c r="AM622" s="1"/>
      <c r="AN622" s="1"/>
    </row>
    <row r="623">
      <c r="A623" s="1138"/>
      <c r="B623" s="310"/>
      <c r="C623" s="888"/>
      <c r="D623" s="310"/>
      <c r="E623" s="1140"/>
      <c r="F623" s="932"/>
      <c r="G623" s="355"/>
      <c r="H623" s="310"/>
      <c r="I623" s="931"/>
      <c r="J623" s="1143"/>
      <c r="K623" s="691"/>
      <c r="L623" s="691"/>
      <c r="M623" s="691"/>
      <c r="N623" s="691"/>
      <c r="O623" s="691"/>
      <c r="P623" s="691"/>
      <c r="Q623" s="691"/>
      <c r="R623" s="888"/>
      <c r="S623" s="888"/>
      <c r="T623" s="1154"/>
      <c r="U623" s="888"/>
      <c r="V623" s="888"/>
      <c r="W623" s="310"/>
      <c r="X623" s="691"/>
      <c r="Y623" s="1"/>
      <c r="Z623" s="1"/>
      <c r="AA623" s="1"/>
      <c r="AB623" s="1"/>
      <c r="AC623" s="1"/>
      <c r="AD623" s="1"/>
      <c r="AE623" s="1"/>
      <c r="AF623" s="1"/>
      <c r="AG623" s="1"/>
      <c r="AH623" s="1"/>
      <c r="AI623" s="1"/>
      <c r="AJ623" s="1"/>
      <c r="AK623" s="1"/>
      <c r="AL623" s="1"/>
      <c r="AM623" s="1"/>
      <c r="AN623" s="1"/>
    </row>
    <row r="624">
      <c r="A624" s="1138"/>
      <c r="B624" s="310"/>
      <c r="C624" s="888"/>
      <c r="D624" s="310"/>
      <c r="E624" s="1140"/>
      <c r="F624" s="932"/>
      <c r="G624" s="355"/>
      <c r="H624" s="310"/>
      <c r="I624" s="931"/>
      <c r="J624" s="1143"/>
      <c r="K624" s="691"/>
      <c r="L624" s="691"/>
      <c r="M624" s="691"/>
      <c r="N624" s="691"/>
      <c r="O624" s="691"/>
      <c r="P624" s="691"/>
      <c r="Q624" s="691"/>
      <c r="R624" s="888"/>
      <c r="S624" s="888"/>
      <c r="T624" s="1154"/>
      <c r="U624" s="888"/>
      <c r="V624" s="888"/>
      <c r="W624" s="310"/>
      <c r="X624" s="691"/>
      <c r="Y624" s="1"/>
      <c r="Z624" s="1"/>
      <c r="AA624" s="1"/>
      <c r="AB624" s="1"/>
      <c r="AC624" s="1"/>
      <c r="AD624" s="1"/>
      <c r="AE624" s="1"/>
      <c r="AF624" s="1"/>
      <c r="AG624" s="1"/>
      <c r="AH624" s="1"/>
      <c r="AI624" s="1"/>
      <c r="AJ624" s="1"/>
      <c r="AK624" s="1"/>
      <c r="AL624" s="1"/>
      <c r="AM624" s="1"/>
      <c r="AN624" s="1"/>
    </row>
    <row r="625">
      <c r="A625" s="1138"/>
      <c r="B625" s="310"/>
      <c r="C625" s="888"/>
      <c r="D625" s="310"/>
      <c r="E625" s="1140"/>
      <c r="F625" s="932"/>
      <c r="G625" s="355"/>
      <c r="H625" s="310"/>
      <c r="I625" s="931"/>
      <c r="J625" s="1143"/>
      <c r="K625" s="691"/>
      <c r="L625" s="691"/>
      <c r="M625" s="691"/>
      <c r="N625" s="691"/>
      <c r="O625" s="691"/>
      <c r="P625" s="691"/>
      <c r="Q625" s="691"/>
      <c r="R625" s="888"/>
      <c r="S625" s="888"/>
      <c r="T625" s="1154"/>
      <c r="U625" s="888"/>
      <c r="V625" s="888"/>
      <c r="W625" s="310"/>
      <c r="X625" s="691"/>
      <c r="Y625" s="1"/>
      <c r="Z625" s="1"/>
      <c r="AA625" s="1"/>
      <c r="AB625" s="1"/>
      <c r="AC625" s="1"/>
      <c r="AD625" s="1"/>
      <c r="AE625" s="1"/>
      <c r="AF625" s="1"/>
      <c r="AG625" s="1"/>
      <c r="AH625" s="1"/>
      <c r="AI625" s="1"/>
      <c r="AJ625" s="1"/>
      <c r="AK625" s="1"/>
      <c r="AL625" s="1"/>
      <c r="AM625" s="1"/>
      <c r="AN625" s="1"/>
    </row>
    <row r="626">
      <c r="A626" s="1138"/>
      <c r="B626" s="310"/>
      <c r="C626" s="888"/>
      <c r="D626" s="310"/>
      <c r="E626" s="1140"/>
      <c r="F626" s="932"/>
      <c r="G626" s="355"/>
      <c r="H626" s="310"/>
      <c r="I626" s="931"/>
      <c r="J626" s="1143"/>
      <c r="K626" s="691"/>
      <c r="L626" s="691"/>
      <c r="M626" s="691"/>
      <c r="N626" s="691"/>
      <c r="O626" s="691"/>
      <c r="P626" s="691"/>
      <c r="Q626" s="691"/>
      <c r="R626" s="888"/>
      <c r="S626" s="888"/>
      <c r="T626" s="1154"/>
      <c r="U626" s="888"/>
      <c r="V626" s="888"/>
      <c r="W626" s="310"/>
      <c r="X626" s="691"/>
      <c r="Y626" s="1"/>
      <c r="Z626" s="1"/>
      <c r="AA626" s="1"/>
      <c r="AB626" s="1"/>
      <c r="AC626" s="1"/>
      <c r="AD626" s="1"/>
      <c r="AE626" s="1"/>
      <c r="AF626" s="1"/>
      <c r="AG626" s="1"/>
      <c r="AH626" s="1"/>
      <c r="AI626" s="1"/>
      <c r="AJ626" s="1"/>
      <c r="AK626" s="1"/>
      <c r="AL626" s="1"/>
      <c r="AM626" s="1"/>
      <c r="AN626" s="1"/>
    </row>
    <row r="627">
      <c r="A627" s="1138"/>
      <c r="B627" s="310"/>
      <c r="C627" s="888"/>
      <c r="D627" s="310"/>
      <c r="E627" s="1140"/>
      <c r="F627" s="932"/>
      <c r="G627" s="355"/>
      <c r="H627" s="310"/>
      <c r="I627" s="931"/>
      <c r="J627" s="1143"/>
      <c r="K627" s="691"/>
      <c r="L627" s="691"/>
      <c r="M627" s="691"/>
      <c r="N627" s="691"/>
      <c r="O627" s="691"/>
      <c r="P627" s="691"/>
      <c r="Q627" s="691"/>
      <c r="R627" s="888"/>
      <c r="S627" s="888"/>
      <c r="T627" s="1154"/>
      <c r="U627" s="888"/>
      <c r="V627" s="888"/>
      <c r="W627" s="310"/>
      <c r="X627" s="691"/>
      <c r="Y627" s="1"/>
      <c r="Z627" s="1"/>
      <c r="AA627" s="1"/>
      <c r="AB627" s="1"/>
      <c r="AC627" s="1"/>
      <c r="AD627" s="1"/>
      <c r="AE627" s="1"/>
      <c r="AF627" s="1"/>
      <c r="AG627" s="1"/>
      <c r="AH627" s="1"/>
      <c r="AI627" s="1"/>
      <c r="AJ627" s="1"/>
      <c r="AK627" s="1"/>
      <c r="AL627" s="1"/>
      <c r="AM627" s="1"/>
      <c r="AN627" s="1"/>
    </row>
    <row r="628">
      <c r="A628" s="1138"/>
      <c r="B628" s="310"/>
      <c r="C628" s="888"/>
      <c r="D628" s="310"/>
      <c r="E628" s="1140"/>
      <c r="F628" s="932"/>
      <c r="G628" s="355"/>
      <c r="H628" s="310"/>
      <c r="I628" s="931"/>
      <c r="J628" s="1143"/>
      <c r="K628" s="691"/>
      <c r="L628" s="691"/>
      <c r="M628" s="691"/>
      <c r="N628" s="691"/>
      <c r="O628" s="691"/>
      <c r="P628" s="691"/>
      <c r="Q628" s="691"/>
      <c r="R628" s="888"/>
      <c r="S628" s="888"/>
      <c r="T628" s="1154"/>
      <c r="U628" s="888"/>
      <c r="V628" s="888"/>
      <c r="W628" s="310"/>
      <c r="X628" s="691"/>
      <c r="Y628" s="1"/>
      <c r="Z628" s="1"/>
      <c r="AA628" s="1"/>
      <c r="AB628" s="1"/>
      <c r="AC628" s="1"/>
      <c r="AD628" s="1"/>
      <c r="AE628" s="1"/>
      <c r="AF628" s="1"/>
      <c r="AG628" s="1"/>
      <c r="AH628" s="1"/>
      <c r="AI628" s="1"/>
      <c r="AJ628" s="1"/>
      <c r="AK628" s="1"/>
      <c r="AL628" s="1"/>
      <c r="AM628" s="1"/>
      <c r="AN628" s="1"/>
    </row>
    <row r="629">
      <c r="A629" s="1138"/>
      <c r="B629" s="310"/>
      <c r="C629" s="888"/>
      <c r="D629" s="310"/>
      <c r="E629" s="1140"/>
      <c r="F629" s="932"/>
      <c r="G629" s="355"/>
      <c r="H629" s="310"/>
      <c r="I629" s="931"/>
      <c r="J629" s="1143"/>
      <c r="K629" s="691"/>
      <c r="L629" s="691"/>
      <c r="M629" s="691"/>
      <c r="N629" s="691"/>
      <c r="O629" s="691"/>
      <c r="P629" s="691"/>
      <c r="Q629" s="691"/>
      <c r="R629" s="888"/>
      <c r="S629" s="888"/>
      <c r="T629" s="1154"/>
      <c r="U629" s="888"/>
      <c r="V629" s="888"/>
      <c r="W629" s="310"/>
      <c r="X629" s="691"/>
      <c r="Y629" s="1"/>
      <c r="Z629" s="1"/>
      <c r="AA629" s="1"/>
      <c r="AB629" s="1"/>
      <c r="AC629" s="1"/>
      <c r="AD629" s="1"/>
      <c r="AE629" s="1"/>
      <c r="AF629" s="1"/>
      <c r="AG629" s="1"/>
      <c r="AH629" s="1"/>
      <c r="AI629" s="1"/>
      <c r="AJ629" s="1"/>
      <c r="AK629" s="1"/>
      <c r="AL629" s="1"/>
      <c r="AM629" s="1"/>
      <c r="AN629" s="1"/>
    </row>
    <row r="630">
      <c r="A630" s="1138"/>
      <c r="B630" s="310"/>
      <c r="C630" s="888"/>
      <c r="D630" s="310"/>
      <c r="E630" s="1140"/>
      <c r="F630" s="932"/>
      <c r="G630" s="355"/>
      <c r="H630" s="310"/>
      <c r="I630" s="931"/>
      <c r="J630" s="1143"/>
      <c r="K630" s="691"/>
      <c r="L630" s="691"/>
      <c r="M630" s="691"/>
      <c r="N630" s="691"/>
      <c r="O630" s="691"/>
      <c r="P630" s="691"/>
      <c r="Q630" s="691"/>
      <c r="R630" s="888"/>
      <c r="S630" s="888"/>
      <c r="T630" s="1154"/>
      <c r="U630" s="888"/>
      <c r="V630" s="888"/>
      <c r="W630" s="310"/>
      <c r="X630" s="691"/>
      <c r="Y630" s="1"/>
      <c r="Z630" s="1"/>
      <c r="AA630" s="1"/>
      <c r="AB630" s="1"/>
      <c r="AC630" s="1"/>
      <c r="AD630" s="1"/>
      <c r="AE630" s="1"/>
      <c r="AF630" s="1"/>
      <c r="AG630" s="1"/>
      <c r="AH630" s="1"/>
      <c r="AI630" s="1"/>
      <c r="AJ630" s="1"/>
      <c r="AK630" s="1"/>
      <c r="AL630" s="1"/>
      <c r="AM630" s="1"/>
      <c r="AN630" s="1"/>
    </row>
    <row r="631">
      <c r="A631" s="1138"/>
      <c r="B631" s="310"/>
      <c r="C631" s="888"/>
      <c r="D631" s="310"/>
      <c r="E631" s="1140"/>
      <c r="F631" s="932"/>
      <c r="G631" s="355"/>
      <c r="H631" s="310"/>
      <c r="I631" s="931"/>
      <c r="J631" s="1143"/>
      <c r="K631" s="691"/>
      <c r="L631" s="691"/>
      <c r="M631" s="691"/>
      <c r="N631" s="691"/>
      <c r="O631" s="691"/>
      <c r="P631" s="691"/>
      <c r="Q631" s="691"/>
      <c r="R631" s="888"/>
      <c r="S631" s="888"/>
      <c r="T631" s="1154"/>
      <c r="U631" s="888"/>
      <c r="V631" s="888"/>
      <c r="W631" s="310"/>
      <c r="X631" s="691"/>
      <c r="Y631" s="1"/>
      <c r="Z631" s="1"/>
      <c r="AA631" s="1"/>
      <c r="AB631" s="1"/>
      <c r="AC631" s="1"/>
      <c r="AD631" s="1"/>
      <c r="AE631" s="1"/>
      <c r="AF631" s="1"/>
      <c r="AG631" s="1"/>
      <c r="AH631" s="1"/>
      <c r="AI631" s="1"/>
      <c r="AJ631" s="1"/>
      <c r="AK631" s="1"/>
      <c r="AL631" s="1"/>
      <c r="AM631" s="1"/>
      <c r="AN631" s="1"/>
    </row>
    <row r="632">
      <c r="A632" s="1138"/>
      <c r="B632" s="310"/>
      <c r="C632" s="888"/>
      <c r="D632" s="310"/>
      <c r="E632" s="1140"/>
      <c r="F632" s="932"/>
      <c r="G632" s="355"/>
      <c r="H632" s="310"/>
      <c r="I632" s="931"/>
      <c r="J632" s="1143"/>
      <c r="K632" s="691"/>
      <c r="L632" s="691"/>
      <c r="M632" s="691"/>
      <c r="N632" s="691"/>
      <c r="O632" s="691"/>
      <c r="P632" s="691"/>
      <c r="Q632" s="691"/>
      <c r="R632" s="888"/>
      <c r="S632" s="888"/>
      <c r="T632" s="1154"/>
      <c r="U632" s="888"/>
      <c r="V632" s="888"/>
      <c r="W632" s="310"/>
      <c r="X632" s="691"/>
      <c r="Y632" s="1"/>
      <c r="Z632" s="1"/>
      <c r="AA632" s="1"/>
      <c r="AB632" s="1"/>
      <c r="AC632" s="1"/>
      <c r="AD632" s="1"/>
      <c r="AE632" s="1"/>
      <c r="AF632" s="1"/>
      <c r="AG632" s="1"/>
      <c r="AH632" s="1"/>
      <c r="AI632" s="1"/>
      <c r="AJ632" s="1"/>
      <c r="AK632" s="1"/>
      <c r="AL632" s="1"/>
      <c r="AM632" s="1"/>
      <c r="AN632" s="1"/>
    </row>
    <row r="633">
      <c r="A633" s="1138"/>
      <c r="B633" s="310"/>
      <c r="C633" s="888"/>
      <c r="D633" s="310"/>
      <c r="E633" s="1140"/>
      <c r="F633" s="932"/>
      <c r="G633" s="355"/>
      <c r="H633" s="310"/>
      <c r="I633" s="931"/>
      <c r="J633" s="1143"/>
      <c r="K633" s="691"/>
      <c r="L633" s="691"/>
      <c r="M633" s="691"/>
      <c r="N633" s="691"/>
      <c r="O633" s="691"/>
      <c r="P633" s="691"/>
      <c r="Q633" s="691"/>
      <c r="R633" s="888"/>
      <c r="S633" s="888"/>
      <c r="T633" s="1154"/>
      <c r="U633" s="888"/>
      <c r="V633" s="888"/>
      <c r="W633" s="310"/>
      <c r="X633" s="691"/>
      <c r="Y633" s="1"/>
      <c r="Z633" s="1"/>
      <c r="AA633" s="1"/>
      <c r="AB633" s="1"/>
      <c r="AC633" s="1"/>
      <c r="AD633" s="1"/>
      <c r="AE633" s="1"/>
      <c r="AF633" s="1"/>
      <c r="AG633" s="1"/>
      <c r="AH633" s="1"/>
      <c r="AI633" s="1"/>
      <c r="AJ633" s="1"/>
      <c r="AK633" s="1"/>
      <c r="AL633" s="1"/>
      <c r="AM633" s="1"/>
      <c r="AN633" s="1"/>
    </row>
    <row r="634">
      <c r="A634" s="1138"/>
      <c r="B634" s="310"/>
      <c r="C634" s="888"/>
      <c r="D634" s="310"/>
      <c r="E634" s="1140"/>
      <c r="F634" s="932"/>
      <c r="G634" s="355"/>
      <c r="H634" s="310"/>
      <c r="I634" s="931"/>
      <c r="J634" s="1143"/>
      <c r="K634" s="691"/>
      <c r="L634" s="691"/>
      <c r="M634" s="691"/>
      <c r="N634" s="691"/>
      <c r="O634" s="691"/>
      <c r="P634" s="691"/>
      <c r="Q634" s="691"/>
      <c r="R634" s="888"/>
      <c r="S634" s="888"/>
      <c r="T634" s="1154"/>
      <c r="U634" s="888"/>
      <c r="V634" s="888"/>
      <c r="W634" s="310"/>
      <c r="X634" s="691"/>
      <c r="Y634" s="1"/>
      <c r="Z634" s="1"/>
      <c r="AA634" s="1"/>
      <c r="AB634" s="1"/>
      <c r="AC634" s="1"/>
      <c r="AD634" s="1"/>
      <c r="AE634" s="1"/>
      <c r="AF634" s="1"/>
      <c r="AG634" s="1"/>
      <c r="AH634" s="1"/>
      <c r="AI634" s="1"/>
      <c r="AJ634" s="1"/>
      <c r="AK634" s="1"/>
      <c r="AL634" s="1"/>
      <c r="AM634" s="1"/>
      <c r="AN634" s="1"/>
    </row>
    <row r="635">
      <c r="A635" s="1138"/>
      <c r="B635" s="310"/>
      <c r="C635" s="888"/>
      <c r="D635" s="310"/>
      <c r="E635" s="1140"/>
      <c r="F635" s="932"/>
      <c r="G635" s="355"/>
      <c r="H635" s="310"/>
      <c r="I635" s="931"/>
      <c r="J635" s="1143"/>
      <c r="K635" s="691"/>
      <c r="L635" s="691"/>
      <c r="M635" s="691"/>
      <c r="N635" s="691"/>
      <c r="O635" s="691"/>
      <c r="P635" s="691"/>
      <c r="Q635" s="691"/>
      <c r="R635" s="888"/>
      <c r="S635" s="888"/>
      <c r="T635" s="1154"/>
      <c r="U635" s="888"/>
      <c r="V635" s="888"/>
      <c r="W635" s="310"/>
      <c r="X635" s="691"/>
      <c r="Y635" s="1"/>
      <c r="Z635" s="1"/>
      <c r="AA635" s="1"/>
      <c r="AB635" s="1"/>
      <c r="AC635" s="1"/>
      <c r="AD635" s="1"/>
      <c r="AE635" s="1"/>
      <c r="AF635" s="1"/>
      <c r="AG635" s="1"/>
      <c r="AH635" s="1"/>
      <c r="AI635" s="1"/>
      <c r="AJ635" s="1"/>
      <c r="AK635" s="1"/>
      <c r="AL635" s="1"/>
      <c r="AM635" s="1"/>
      <c r="AN635" s="1"/>
    </row>
    <row r="636">
      <c r="A636" s="1138"/>
      <c r="B636" s="310"/>
      <c r="C636" s="888"/>
      <c r="D636" s="310"/>
      <c r="E636" s="1140"/>
      <c r="F636" s="932"/>
      <c r="G636" s="355"/>
      <c r="H636" s="310"/>
      <c r="I636" s="931"/>
      <c r="J636" s="1143"/>
      <c r="K636" s="691"/>
      <c r="L636" s="691"/>
      <c r="M636" s="691"/>
      <c r="N636" s="691"/>
      <c r="O636" s="691"/>
      <c r="P636" s="691"/>
      <c r="Q636" s="691"/>
      <c r="R636" s="888"/>
      <c r="S636" s="888"/>
      <c r="T636" s="1154"/>
      <c r="U636" s="888"/>
      <c r="V636" s="888"/>
      <c r="W636" s="310"/>
      <c r="X636" s="691"/>
      <c r="Y636" s="1"/>
      <c r="Z636" s="1"/>
      <c r="AA636" s="1"/>
      <c r="AB636" s="1"/>
      <c r="AC636" s="1"/>
      <c r="AD636" s="1"/>
      <c r="AE636" s="1"/>
      <c r="AF636" s="1"/>
      <c r="AG636" s="1"/>
      <c r="AH636" s="1"/>
      <c r="AI636" s="1"/>
      <c r="AJ636" s="1"/>
      <c r="AK636" s="1"/>
      <c r="AL636" s="1"/>
      <c r="AM636" s="1"/>
      <c r="AN636" s="1"/>
    </row>
    <row r="637">
      <c r="A637" s="1138"/>
      <c r="B637" s="310"/>
      <c r="C637" s="888"/>
      <c r="D637" s="310"/>
      <c r="E637" s="1140"/>
      <c r="F637" s="932"/>
      <c r="G637" s="355"/>
      <c r="H637" s="310"/>
      <c r="I637" s="931"/>
      <c r="J637" s="1143"/>
      <c r="K637" s="691"/>
      <c r="L637" s="691"/>
      <c r="M637" s="691"/>
      <c r="N637" s="691"/>
      <c r="O637" s="691"/>
      <c r="P637" s="691"/>
      <c r="Q637" s="691"/>
      <c r="R637" s="888"/>
      <c r="S637" s="888"/>
      <c r="T637" s="1154"/>
      <c r="U637" s="888"/>
      <c r="V637" s="888"/>
      <c r="W637" s="310"/>
      <c r="X637" s="691"/>
      <c r="Y637" s="1"/>
      <c r="Z637" s="1"/>
      <c r="AA637" s="1"/>
      <c r="AB637" s="1"/>
      <c r="AC637" s="1"/>
      <c r="AD637" s="1"/>
      <c r="AE637" s="1"/>
      <c r="AF637" s="1"/>
      <c r="AG637" s="1"/>
      <c r="AH637" s="1"/>
      <c r="AI637" s="1"/>
      <c r="AJ637" s="1"/>
      <c r="AK637" s="1"/>
      <c r="AL637" s="1"/>
      <c r="AM637" s="1"/>
      <c r="AN637" s="1"/>
    </row>
    <row r="638">
      <c r="A638" s="1138"/>
      <c r="B638" s="310"/>
      <c r="C638" s="888"/>
      <c r="D638" s="310"/>
      <c r="E638" s="1140"/>
      <c r="F638" s="932"/>
      <c r="G638" s="355"/>
      <c r="H638" s="310"/>
      <c r="I638" s="931"/>
      <c r="J638" s="1143"/>
      <c r="K638" s="691"/>
      <c r="L638" s="691"/>
      <c r="M638" s="691"/>
      <c r="N638" s="691"/>
      <c r="O638" s="691"/>
      <c r="P638" s="691"/>
      <c r="Q638" s="691"/>
      <c r="R638" s="888"/>
      <c r="S638" s="888"/>
      <c r="T638" s="1154"/>
      <c r="U638" s="888"/>
      <c r="V638" s="888"/>
      <c r="W638" s="310"/>
      <c r="X638" s="691"/>
      <c r="Y638" s="1"/>
      <c r="Z638" s="1"/>
      <c r="AA638" s="1"/>
      <c r="AB638" s="1"/>
      <c r="AC638" s="1"/>
      <c r="AD638" s="1"/>
      <c r="AE638" s="1"/>
      <c r="AF638" s="1"/>
      <c r="AG638" s="1"/>
      <c r="AH638" s="1"/>
      <c r="AI638" s="1"/>
      <c r="AJ638" s="1"/>
      <c r="AK638" s="1"/>
      <c r="AL638" s="1"/>
      <c r="AM638" s="1"/>
      <c r="AN638" s="1"/>
    </row>
    <row r="639">
      <c r="A639" s="1138"/>
      <c r="B639" s="310"/>
      <c r="C639" s="888"/>
      <c r="D639" s="310"/>
      <c r="E639" s="1140"/>
      <c r="F639" s="932"/>
      <c r="G639" s="355"/>
      <c r="H639" s="310"/>
      <c r="I639" s="931"/>
      <c r="J639" s="1143"/>
      <c r="K639" s="691"/>
      <c r="L639" s="691"/>
      <c r="M639" s="691"/>
      <c r="N639" s="691"/>
      <c r="O639" s="691"/>
      <c r="P639" s="691"/>
      <c r="Q639" s="691"/>
      <c r="R639" s="888"/>
      <c r="S639" s="888"/>
      <c r="T639" s="1154"/>
      <c r="U639" s="888"/>
      <c r="V639" s="888"/>
      <c r="W639" s="310"/>
      <c r="X639" s="691"/>
      <c r="Y639" s="1"/>
      <c r="Z639" s="1"/>
      <c r="AA639" s="1"/>
      <c r="AB639" s="1"/>
      <c r="AC639" s="1"/>
      <c r="AD639" s="1"/>
      <c r="AE639" s="1"/>
      <c r="AF639" s="1"/>
      <c r="AG639" s="1"/>
      <c r="AH639" s="1"/>
      <c r="AI639" s="1"/>
      <c r="AJ639" s="1"/>
      <c r="AK639" s="1"/>
      <c r="AL639" s="1"/>
      <c r="AM639" s="1"/>
      <c r="AN639" s="1"/>
    </row>
    <row r="640">
      <c r="A640" s="1138"/>
      <c r="B640" s="310"/>
      <c r="C640" s="888"/>
      <c r="D640" s="310"/>
      <c r="E640" s="1140"/>
      <c r="F640" s="932"/>
      <c r="G640" s="355"/>
      <c r="H640" s="310"/>
      <c r="I640" s="931"/>
      <c r="J640" s="1143"/>
      <c r="K640" s="691"/>
      <c r="L640" s="691"/>
      <c r="M640" s="691"/>
      <c r="N640" s="691"/>
      <c r="O640" s="691"/>
      <c r="P640" s="691"/>
      <c r="Q640" s="691"/>
      <c r="R640" s="888"/>
      <c r="S640" s="888"/>
      <c r="T640" s="1154"/>
      <c r="U640" s="888"/>
      <c r="V640" s="888"/>
      <c r="W640" s="310"/>
      <c r="X640" s="691"/>
      <c r="Y640" s="1"/>
      <c r="Z640" s="1"/>
      <c r="AA640" s="1"/>
      <c r="AB640" s="1"/>
      <c r="AC640" s="1"/>
      <c r="AD640" s="1"/>
      <c r="AE640" s="1"/>
      <c r="AF640" s="1"/>
      <c r="AG640" s="1"/>
      <c r="AH640" s="1"/>
      <c r="AI640" s="1"/>
      <c r="AJ640" s="1"/>
      <c r="AK640" s="1"/>
      <c r="AL640" s="1"/>
      <c r="AM640" s="1"/>
      <c r="AN640" s="1"/>
    </row>
    <row r="641">
      <c r="A641" s="1138"/>
      <c r="B641" s="310"/>
      <c r="C641" s="888"/>
      <c r="D641" s="310"/>
      <c r="E641" s="1140"/>
      <c r="F641" s="932"/>
      <c r="G641" s="355"/>
      <c r="H641" s="310"/>
      <c r="I641" s="931"/>
      <c r="J641" s="1143"/>
      <c r="K641" s="691"/>
      <c r="L641" s="691"/>
      <c r="M641" s="691"/>
      <c r="N641" s="691"/>
      <c r="O641" s="691"/>
      <c r="P641" s="691"/>
      <c r="Q641" s="691"/>
      <c r="R641" s="888"/>
      <c r="S641" s="888"/>
      <c r="T641" s="1154"/>
      <c r="U641" s="888"/>
      <c r="V641" s="888"/>
      <c r="W641" s="310"/>
      <c r="X641" s="691"/>
      <c r="Y641" s="1"/>
      <c r="Z641" s="1"/>
      <c r="AA641" s="1"/>
      <c r="AB641" s="1"/>
      <c r="AC641" s="1"/>
      <c r="AD641" s="1"/>
      <c r="AE641" s="1"/>
      <c r="AF641" s="1"/>
      <c r="AG641" s="1"/>
      <c r="AH641" s="1"/>
      <c r="AI641" s="1"/>
      <c r="AJ641" s="1"/>
      <c r="AK641" s="1"/>
      <c r="AL641" s="1"/>
      <c r="AM641" s="1"/>
      <c r="AN641" s="1"/>
    </row>
    <row r="642">
      <c r="A642" s="1138"/>
      <c r="B642" s="310"/>
      <c r="C642" s="888"/>
      <c r="D642" s="310"/>
      <c r="E642" s="1140"/>
      <c r="F642" s="932"/>
      <c r="G642" s="355"/>
      <c r="H642" s="310"/>
      <c r="I642" s="931"/>
      <c r="J642" s="1143"/>
      <c r="K642" s="691"/>
      <c r="L642" s="691"/>
      <c r="M642" s="691"/>
      <c r="N642" s="691"/>
      <c r="O642" s="691"/>
      <c r="P642" s="691"/>
      <c r="Q642" s="691"/>
      <c r="R642" s="888"/>
      <c r="S642" s="888"/>
      <c r="T642" s="1154"/>
      <c r="U642" s="888"/>
      <c r="V642" s="888"/>
      <c r="W642" s="310"/>
      <c r="X642" s="691"/>
      <c r="Y642" s="1"/>
      <c r="Z642" s="1"/>
      <c r="AA642" s="1"/>
      <c r="AB642" s="1"/>
      <c r="AC642" s="1"/>
      <c r="AD642" s="1"/>
      <c r="AE642" s="1"/>
      <c r="AF642" s="1"/>
      <c r="AG642" s="1"/>
      <c r="AH642" s="1"/>
      <c r="AI642" s="1"/>
      <c r="AJ642" s="1"/>
      <c r="AK642" s="1"/>
      <c r="AL642" s="1"/>
      <c r="AM642" s="1"/>
      <c r="AN642" s="1"/>
    </row>
    <row r="643">
      <c r="A643" s="1138"/>
      <c r="B643" s="310"/>
      <c r="C643" s="888"/>
      <c r="D643" s="310"/>
      <c r="E643" s="1140"/>
      <c r="F643" s="932"/>
      <c r="G643" s="355"/>
      <c r="H643" s="310"/>
      <c r="I643" s="931"/>
      <c r="J643" s="1143"/>
      <c r="K643" s="691"/>
      <c r="L643" s="691"/>
      <c r="M643" s="691"/>
      <c r="N643" s="691"/>
      <c r="O643" s="691"/>
      <c r="P643" s="691"/>
      <c r="Q643" s="691"/>
      <c r="R643" s="888"/>
      <c r="S643" s="888"/>
      <c r="T643" s="1154"/>
      <c r="U643" s="888"/>
      <c r="V643" s="888"/>
      <c r="W643" s="310"/>
      <c r="X643" s="691"/>
      <c r="Y643" s="1"/>
      <c r="Z643" s="1"/>
      <c r="AA643" s="1"/>
      <c r="AB643" s="1"/>
      <c r="AC643" s="1"/>
      <c r="AD643" s="1"/>
      <c r="AE643" s="1"/>
      <c r="AF643" s="1"/>
      <c r="AG643" s="1"/>
      <c r="AH643" s="1"/>
      <c r="AI643" s="1"/>
      <c r="AJ643" s="1"/>
      <c r="AK643" s="1"/>
      <c r="AL643" s="1"/>
      <c r="AM643" s="1"/>
      <c r="AN643" s="1"/>
    </row>
    <row r="644">
      <c r="A644" s="1138"/>
      <c r="B644" s="310"/>
      <c r="C644" s="888"/>
      <c r="D644" s="310"/>
      <c r="E644" s="1140"/>
      <c r="F644" s="932"/>
      <c r="G644" s="355"/>
      <c r="H644" s="310"/>
      <c r="I644" s="931"/>
      <c r="J644" s="1143"/>
      <c r="K644" s="691"/>
      <c r="L644" s="691"/>
      <c r="M644" s="691"/>
      <c r="N644" s="691"/>
      <c r="O644" s="691"/>
      <c r="P644" s="691"/>
      <c r="Q644" s="691"/>
      <c r="R644" s="888"/>
      <c r="S644" s="888"/>
      <c r="T644" s="1154"/>
      <c r="U644" s="888"/>
      <c r="V644" s="888"/>
      <c r="W644" s="310"/>
      <c r="X644" s="691"/>
      <c r="Y644" s="1"/>
      <c r="Z644" s="1"/>
      <c r="AA644" s="1"/>
      <c r="AB644" s="1"/>
      <c r="AC644" s="1"/>
      <c r="AD644" s="1"/>
      <c r="AE644" s="1"/>
      <c r="AF644" s="1"/>
      <c r="AG644" s="1"/>
      <c r="AH644" s="1"/>
      <c r="AI644" s="1"/>
      <c r="AJ644" s="1"/>
      <c r="AK644" s="1"/>
      <c r="AL644" s="1"/>
      <c r="AM644" s="1"/>
      <c r="AN644" s="1"/>
    </row>
    <row r="645">
      <c r="A645" s="1138"/>
      <c r="B645" s="310"/>
      <c r="C645" s="888"/>
      <c r="D645" s="310"/>
      <c r="E645" s="1140"/>
      <c r="F645" s="932"/>
      <c r="G645" s="355"/>
      <c r="H645" s="310"/>
      <c r="I645" s="931"/>
      <c r="J645" s="1143"/>
      <c r="K645" s="691"/>
      <c r="L645" s="691"/>
      <c r="M645" s="691"/>
      <c r="N645" s="691"/>
      <c r="O645" s="691"/>
      <c r="P645" s="691"/>
      <c r="Q645" s="691"/>
      <c r="R645" s="888"/>
      <c r="S645" s="888"/>
      <c r="T645" s="1154"/>
      <c r="U645" s="888"/>
      <c r="V645" s="888"/>
      <c r="W645" s="310"/>
      <c r="X645" s="691"/>
      <c r="Y645" s="1"/>
      <c r="Z645" s="1"/>
      <c r="AA645" s="1"/>
      <c r="AB645" s="1"/>
      <c r="AC645" s="1"/>
      <c r="AD645" s="1"/>
      <c r="AE645" s="1"/>
      <c r="AF645" s="1"/>
      <c r="AG645" s="1"/>
      <c r="AH645" s="1"/>
      <c r="AI645" s="1"/>
      <c r="AJ645" s="1"/>
      <c r="AK645" s="1"/>
      <c r="AL645" s="1"/>
      <c r="AM645" s="1"/>
      <c r="AN645" s="1"/>
    </row>
    <row r="646">
      <c r="A646" s="1138"/>
      <c r="B646" s="310"/>
      <c r="C646" s="888"/>
      <c r="D646" s="310"/>
      <c r="E646" s="1140"/>
      <c r="F646" s="932"/>
      <c r="G646" s="355"/>
      <c r="H646" s="310"/>
      <c r="I646" s="931"/>
      <c r="J646" s="1143"/>
      <c r="K646" s="691"/>
      <c r="L646" s="691"/>
      <c r="M646" s="691"/>
      <c r="N646" s="691"/>
      <c r="O646" s="691"/>
      <c r="P646" s="691"/>
      <c r="Q646" s="691"/>
      <c r="R646" s="888"/>
      <c r="S646" s="888"/>
      <c r="T646" s="1154"/>
      <c r="U646" s="888"/>
      <c r="V646" s="888"/>
      <c r="W646" s="310"/>
      <c r="X646" s="691"/>
      <c r="Y646" s="1"/>
      <c r="Z646" s="1"/>
      <c r="AA646" s="1"/>
      <c r="AB646" s="1"/>
      <c r="AC646" s="1"/>
      <c r="AD646" s="1"/>
      <c r="AE646" s="1"/>
      <c r="AF646" s="1"/>
      <c r="AG646" s="1"/>
      <c r="AH646" s="1"/>
      <c r="AI646" s="1"/>
      <c r="AJ646" s="1"/>
      <c r="AK646" s="1"/>
      <c r="AL646" s="1"/>
      <c r="AM646" s="1"/>
      <c r="AN646" s="1"/>
    </row>
    <row r="647">
      <c r="A647" s="1138"/>
      <c r="B647" s="310"/>
      <c r="C647" s="888"/>
      <c r="D647" s="310"/>
      <c r="E647" s="1140"/>
      <c r="F647" s="932"/>
      <c r="G647" s="355"/>
      <c r="H647" s="310"/>
      <c r="I647" s="931"/>
      <c r="J647" s="1143"/>
      <c r="K647" s="691"/>
      <c r="L647" s="691"/>
      <c r="M647" s="691"/>
      <c r="N647" s="691"/>
      <c r="O647" s="691"/>
      <c r="P647" s="691"/>
      <c r="Q647" s="691"/>
      <c r="R647" s="888"/>
      <c r="S647" s="888"/>
      <c r="T647" s="1154"/>
      <c r="U647" s="888"/>
      <c r="V647" s="888"/>
      <c r="W647" s="310"/>
      <c r="X647" s="691"/>
      <c r="Y647" s="1"/>
      <c r="Z647" s="1"/>
      <c r="AA647" s="1"/>
      <c r="AB647" s="1"/>
      <c r="AC647" s="1"/>
      <c r="AD647" s="1"/>
      <c r="AE647" s="1"/>
      <c r="AF647" s="1"/>
      <c r="AG647" s="1"/>
      <c r="AH647" s="1"/>
      <c r="AI647" s="1"/>
      <c r="AJ647" s="1"/>
      <c r="AK647" s="1"/>
      <c r="AL647" s="1"/>
      <c r="AM647" s="1"/>
      <c r="AN647" s="1"/>
    </row>
    <row r="648">
      <c r="A648" s="1138"/>
      <c r="B648" s="310"/>
      <c r="C648" s="888"/>
      <c r="D648" s="310"/>
      <c r="E648" s="1140"/>
      <c r="F648" s="932"/>
      <c r="G648" s="355"/>
      <c r="H648" s="310"/>
      <c r="I648" s="931"/>
      <c r="J648" s="1143"/>
      <c r="K648" s="691"/>
      <c r="L648" s="691"/>
      <c r="M648" s="691"/>
      <c r="N648" s="691"/>
      <c r="O648" s="691"/>
      <c r="P648" s="691"/>
      <c r="Q648" s="691"/>
      <c r="R648" s="888"/>
      <c r="S648" s="888"/>
      <c r="T648" s="1154"/>
      <c r="U648" s="888"/>
      <c r="V648" s="888"/>
      <c r="W648" s="310"/>
      <c r="X648" s="691"/>
      <c r="Y648" s="1"/>
      <c r="Z648" s="1"/>
      <c r="AA648" s="1"/>
      <c r="AB648" s="1"/>
      <c r="AC648" s="1"/>
      <c r="AD648" s="1"/>
      <c r="AE648" s="1"/>
      <c r="AF648" s="1"/>
      <c r="AG648" s="1"/>
      <c r="AH648" s="1"/>
      <c r="AI648" s="1"/>
      <c r="AJ648" s="1"/>
      <c r="AK648" s="1"/>
      <c r="AL648" s="1"/>
      <c r="AM648" s="1"/>
      <c r="AN648" s="1"/>
    </row>
    <row r="649">
      <c r="A649" s="1138"/>
      <c r="B649" s="310"/>
      <c r="C649" s="888"/>
      <c r="D649" s="310"/>
      <c r="E649" s="1140"/>
      <c r="F649" s="932"/>
      <c r="G649" s="355"/>
      <c r="H649" s="310"/>
      <c r="I649" s="931"/>
      <c r="J649" s="1143"/>
      <c r="K649" s="691"/>
      <c r="L649" s="691"/>
      <c r="M649" s="691"/>
      <c r="N649" s="691"/>
      <c r="O649" s="691"/>
      <c r="P649" s="691"/>
      <c r="Q649" s="691"/>
      <c r="R649" s="888"/>
      <c r="S649" s="888"/>
      <c r="T649" s="1154"/>
      <c r="U649" s="888"/>
      <c r="V649" s="888"/>
      <c r="W649" s="310"/>
      <c r="X649" s="691"/>
      <c r="Y649" s="1"/>
      <c r="Z649" s="1"/>
      <c r="AA649" s="1"/>
      <c r="AB649" s="1"/>
      <c r="AC649" s="1"/>
      <c r="AD649" s="1"/>
      <c r="AE649" s="1"/>
      <c r="AF649" s="1"/>
      <c r="AG649" s="1"/>
      <c r="AH649" s="1"/>
      <c r="AI649" s="1"/>
      <c r="AJ649" s="1"/>
      <c r="AK649" s="1"/>
      <c r="AL649" s="1"/>
      <c r="AM649" s="1"/>
      <c r="AN649" s="1"/>
    </row>
    <row r="650">
      <c r="A650" s="1138"/>
      <c r="B650" s="310"/>
      <c r="C650" s="888"/>
      <c r="D650" s="310"/>
      <c r="E650" s="1140"/>
      <c r="F650" s="932"/>
      <c r="G650" s="355"/>
      <c r="H650" s="310"/>
      <c r="I650" s="931"/>
      <c r="J650" s="1143"/>
      <c r="K650" s="691"/>
      <c r="L650" s="691"/>
      <c r="M650" s="691"/>
      <c r="N650" s="691"/>
      <c r="O650" s="691"/>
      <c r="P650" s="691"/>
      <c r="Q650" s="691"/>
      <c r="R650" s="888"/>
      <c r="S650" s="888"/>
      <c r="T650" s="1154"/>
      <c r="U650" s="888"/>
      <c r="V650" s="888"/>
      <c r="W650" s="310"/>
      <c r="X650" s="691"/>
      <c r="Y650" s="1"/>
      <c r="Z650" s="1"/>
      <c r="AA650" s="1"/>
      <c r="AB650" s="1"/>
      <c r="AC650" s="1"/>
      <c r="AD650" s="1"/>
      <c r="AE650" s="1"/>
      <c r="AF650" s="1"/>
      <c r="AG650" s="1"/>
      <c r="AH650" s="1"/>
      <c r="AI650" s="1"/>
      <c r="AJ650" s="1"/>
      <c r="AK650" s="1"/>
      <c r="AL650" s="1"/>
      <c r="AM650" s="1"/>
      <c r="AN650" s="1"/>
    </row>
    <row r="651">
      <c r="A651" s="1138"/>
      <c r="B651" s="310"/>
      <c r="C651" s="888"/>
      <c r="D651" s="310"/>
      <c r="E651" s="1140"/>
      <c r="F651" s="932"/>
      <c r="G651" s="355"/>
      <c r="H651" s="310"/>
      <c r="I651" s="931"/>
      <c r="J651" s="1143"/>
      <c r="K651" s="691"/>
      <c r="L651" s="691"/>
      <c r="M651" s="691"/>
      <c r="N651" s="691"/>
      <c r="O651" s="691"/>
      <c r="P651" s="691"/>
      <c r="Q651" s="691"/>
      <c r="R651" s="888"/>
      <c r="S651" s="888"/>
      <c r="T651" s="1154"/>
      <c r="U651" s="888"/>
      <c r="V651" s="888"/>
      <c r="W651" s="310"/>
      <c r="X651" s="691"/>
      <c r="Y651" s="1"/>
      <c r="Z651" s="1"/>
      <c r="AA651" s="1"/>
      <c r="AB651" s="1"/>
      <c r="AC651" s="1"/>
      <c r="AD651" s="1"/>
      <c r="AE651" s="1"/>
      <c r="AF651" s="1"/>
      <c r="AG651" s="1"/>
      <c r="AH651" s="1"/>
      <c r="AI651" s="1"/>
      <c r="AJ651" s="1"/>
      <c r="AK651" s="1"/>
      <c r="AL651" s="1"/>
      <c r="AM651" s="1"/>
      <c r="AN651" s="1"/>
    </row>
    <row r="652">
      <c r="A652" s="1138"/>
      <c r="B652" s="310"/>
      <c r="C652" s="888"/>
      <c r="D652" s="310"/>
      <c r="E652" s="1140"/>
      <c r="F652" s="932"/>
      <c r="G652" s="355"/>
      <c r="H652" s="310"/>
      <c r="I652" s="931"/>
      <c r="J652" s="1143"/>
      <c r="K652" s="691"/>
      <c r="L652" s="691"/>
      <c r="M652" s="691"/>
      <c r="N652" s="691"/>
      <c r="O652" s="691"/>
      <c r="P652" s="691"/>
      <c r="Q652" s="691"/>
      <c r="R652" s="888"/>
      <c r="S652" s="888"/>
      <c r="T652" s="1154"/>
      <c r="U652" s="888"/>
      <c r="V652" s="888"/>
      <c r="W652" s="310"/>
      <c r="X652" s="691"/>
      <c r="Y652" s="1"/>
      <c r="Z652" s="1"/>
      <c r="AA652" s="1"/>
      <c r="AB652" s="1"/>
      <c r="AC652" s="1"/>
      <c r="AD652" s="1"/>
      <c r="AE652" s="1"/>
      <c r="AF652" s="1"/>
      <c r="AG652" s="1"/>
      <c r="AH652" s="1"/>
      <c r="AI652" s="1"/>
      <c r="AJ652" s="1"/>
      <c r="AK652" s="1"/>
      <c r="AL652" s="1"/>
      <c r="AM652" s="1"/>
      <c r="AN652" s="1"/>
    </row>
    <row r="653">
      <c r="A653" s="1138"/>
      <c r="B653" s="310"/>
      <c r="C653" s="888"/>
      <c r="D653" s="310"/>
      <c r="E653" s="1140"/>
      <c r="F653" s="932"/>
      <c r="G653" s="355"/>
      <c r="H653" s="310"/>
      <c r="I653" s="931"/>
      <c r="J653" s="1143"/>
      <c r="K653" s="691"/>
      <c r="L653" s="691"/>
      <c r="M653" s="691"/>
      <c r="N653" s="691"/>
      <c r="O653" s="691"/>
      <c r="P653" s="691"/>
      <c r="Q653" s="691"/>
      <c r="R653" s="888"/>
      <c r="S653" s="888"/>
      <c r="T653" s="1154"/>
      <c r="U653" s="888"/>
      <c r="V653" s="888"/>
      <c r="W653" s="310"/>
      <c r="X653" s="691"/>
      <c r="Y653" s="1"/>
      <c r="Z653" s="1"/>
      <c r="AA653" s="1"/>
      <c r="AB653" s="1"/>
      <c r="AC653" s="1"/>
      <c r="AD653" s="1"/>
      <c r="AE653" s="1"/>
      <c r="AF653" s="1"/>
      <c r="AG653" s="1"/>
      <c r="AH653" s="1"/>
      <c r="AI653" s="1"/>
      <c r="AJ653" s="1"/>
      <c r="AK653" s="1"/>
      <c r="AL653" s="1"/>
      <c r="AM653" s="1"/>
      <c r="AN653" s="1"/>
    </row>
    <row r="654">
      <c r="A654" s="1138"/>
      <c r="B654" s="310"/>
      <c r="C654" s="888"/>
      <c r="D654" s="310"/>
      <c r="E654" s="1140"/>
      <c r="F654" s="932"/>
      <c r="G654" s="355"/>
      <c r="H654" s="310"/>
      <c r="I654" s="931"/>
      <c r="J654" s="1143"/>
      <c r="K654" s="691"/>
      <c r="L654" s="691"/>
      <c r="M654" s="691"/>
      <c r="N654" s="691"/>
      <c r="O654" s="691"/>
      <c r="P654" s="691"/>
      <c r="Q654" s="691"/>
      <c r="R654" s="888"/>
      <c r="S654" s="888"/>
      <c r="T654" s="1154"/>
      <c r="U654" s="888"/>
      <c r="V654" s="888"/>
      <c r="W654" s="310"/>
      <c r="X654" s="691"/>
      <c r="Y654" s="1"/>
      <c r="Z654" s="1"/>
      <c r="AA654" s="1"/>
      <c r="AB654" s="1"/>
      <c r="AC654" s="1"/>
      <c r="AD654" s="1"/>
      <c r="AE654" s="1"/>
      <c r="AF654" s="1"/>
      <c r="AG654" s="1"/>
      <c r="AH654" s="1"/>
      <c r="AI654" s="1"/>
      <c r="AJ654" s="1"/>
      <c r="AK654" s="1"/>
      <c r="AL654" s="1"/>
      <c r="AM654" s="1"/>
      <c r="AN654" s="1"/>
    </row>
    <row r="655">
      <c r="A655" s="1138"/>
      <c r="B655" s="310"/>
      <c r="C655" s="888"/>
      <c r="D655" s="310"/>
      <c r="E655" s="1140"/>
      <c r="F655" s="932"/>
      <c r="G655" s="355"/>
      <c r="H655" s="310"/>
      <c r="I655" s="931"/>
      <c r="J655" s="1143"/>
      <c r="K655" s="691"/>
      <c r="L655" s="691"/>
      <c r="M655" s="691"/>
      <c r="N655" s="691"/>
      <c r="O655" s="691"/>
      <c r="P655" s="691"/>
      <c r="Q655" s="691"/>
      <c r="R655" s="888"/>
      <c r="S655" s="888"/>
      <c r="T655" s="1154"/>
      <c r="U655" s="888"/>
      <c r="V655" s="888"/>
      <c r="W655" s="310"/>
      <c r="X655" s="691"/>
      <c r="Y655" s="1"/>
      <c r="Z655" s="1"/>
      <c r="AA655" s="1"/>
      <c r="AB655" s="1"/>
      <c r="AC655" s="1"/>
      <c r="AD655" s="1"/>
      <c r="AE655" s="1"/>
      <c r="AF655" s="1"/>
      <c r="AG655" s="1"/>
      <c r="AH655" s="1"/>
      <c r="AI655" s="1"/>
      <c r="AJ655" s="1"/>
      <c r="AK655" s="1"/>
      <c r="AL655" s="1"/>
      <c r="AM655" s="1"/>
      <c r="AN655" s="1"/>
    </row>
    <row r="656">
      <c r="A656" s="1138"/>
      <c r="B656" s="310"/>
      <c r="C656" s="888"/>
      <c r="D656" s="310"/>
      <c r="E656" s="1140"/>
      <c r="F656" s="932"/>
      <c r="G656" s="355"/>
      <c r="H656" s="310"/>
      <c r="I656" s="931"/>
      <c r="J656" s="1143"/>
      <c r="K656" s="691"/>
      <c r="L656" s="691"/>
      <c r="M656" s="691"/>
      <c r="N656" s="691"/>
      <c r="O656" s="691"/>
      <c r="P656" s="691"/>
      <c r="Q656" s="691"/>
      <c r="R656" s="888"/>
      <c r="S656" s="888"/>
      <c r="T656" s="1154"/>
      <c r="U656" s="888"/>
      <c r="V656" s="888"/>
      <c r="W656" s="310"/>
      <c r="X656" s="691"/>
      <c r="Y656" s="1"/>
      <c r="Z656" s="1"/>
      <c r="AA656" s="1"/>
      <c r="AB656" s="1"/>
      <c r="AC656" s="1"/>
      <c r="AD656" s="1"/>
      <c r="AE656" s="1"/>
      <c r="AF656" s="1"/>
      <c r="AG656" s="1"/>
      <c r="AH656" s="1"/>
      <c r="AI656" s="1"/>
      <c r="AJ656" s="1"/>
      <c r="AK656" s="1"/>
      <c r="AL656" s="1"/>
      <c r="AM656" s="1"/>
      <c r="AN656" s="1"/>
    </row>
    <row r="657">
      <c r="A657" s="1138"/>
      <c r="B657" s="310"/>
      <c r="C657" s="888"/>
      <c r="D657" s="310"/>
      <c r="E657" s="1140"/>
      <c r="F657" s="932"/>
      <c r="G657" s="355"/>
      <c r="H657" s="310"/>
      <c r="I657" s="931"/>
      <c r="J657" s="1143"/>
      <c r="K657" s="691"/>
      <c r="L657" s="691"/>
      <c r="M657" s="691"/>
      <c r="N657" s="691"/>
      <c r="O657" s="691"/>
      <c r="P657" s="691"/>
      <c r="Q657" s="691"/>
      <c r="R657" s="888"/>
      <c r="S657" s="888"/>
      <c r="T657" s="1154"/>
      <c r="U657" s="888"/>
      <c r="V657" s="888"/>
      <c r="W657" s="310"/>
      <c r="X657" s="691"/>
      <c r="Y657" s="1"/>
      <c r="Z657" s="1"/>
      <c r="AA657" s="1"/>
      <c r="AB657" s="1"/>
      <c r="AC657" s="1"/>
      <c r="AD657" s="1"/>
      <c r="AE657" s="1"/>
      <c r="AF657" s="1"/>
      <c r="AG657" s="1"/>
      <c r="AH657" s="1"/>
      <c r="AI657" s="1"/>
      <c r="AJ657" s="1"/>
      <c r="AK657" s="1"/>
      <c r="AL657" s="1"/>
      <c r="AM657" s="1"/>
      <c r="AN657" s="1"/>
    </row>
    <row r="658">
      <c r="A658" s="1138"/>
      <c r="B658" s="310"/>
      <c r="C658" s="888"/>
      <c r="D658" s="310"/>
      <c r="E658" s="1140"/>
      <c r="F658" s="932"/>
      <c r="G658" s="355"/>
      <c r="H658" s="310"/>
      <c r="I658" s="931"/>
      <c r="J658" s="1143"/>
      <c r="K658" s="691"/>
      <c r="L658" s="691"/>
      <c r="M658" s="691"/>
      <c r="N658" s="691"/>
      <c r="O658" s="691"/>
      <c r="P658" s="691"/>
      <c r="Q658" s="691"/>
      <c r="R658" s="888"/>
      <c r="S658" s="888"/>
      <c r="T658" s="1154"/>
      <c r="U658" s="888"/>
      <c r="V658" s="888"/>
      <c r="W658" s="310"/>
      <c r="X658" s="691"/>
      <c r="Y658" s="1"/>
      <c r="Z658" s="1"/>
      <c r="AA658" s="1"/>
      <c r="AB658" s="1"/>
      <c r="AC658" s="1"/>
      <c r="AD658" s="1"/>
      <c r="AE658" s="1"/>
      <c r="AF658" s="1"/>
      <c r="AG658" s="1"/>
      <c r="AH658" s="1"/>
      <c r="AI658" s="1"/>
      <c r="AJ658" s="1"/>
      <c r="AK658" s="1"/>
      <c r="AL658" s="1"/>
      <c r="AM658" s="1"/>
      <c r="AN658" s="1"/>
    </row>
    <row r="659">
      <c r="A659" s="1138"/>
      <c r="B659" s="310"/>
      <c r="C659" s="888"/>
      <c r="D659" s="310"/>
      <c r="E659" s="1140"/>
      <c r="F659" s="932"/>
      <c r="G659" s="355"/>
      <c r="H659" s="310"/>
      <c r="I659" s="931"/>
      <c r="J659" s="1143"/>
      <c r="K659" s="691"/>
      <c r="L659" s="691"/>
      <c r="M659" s="691"/>
      <c r="N659" s="691"/>
      <c r="O659" s="691"/>
      <c r="P659" s="691"/>
      <c r="Q659" s="691"/>
      <c r="R659" s="888"/>
      <c r="S659" s="888"/>
      <c r="T659" s="1154"/>
      <c r="U659" s="888"/>
      <c r="V659" s="888"/>
      <c r="W659" s="310"/>
      <c r="X659" s="691"/>
      <c r="Y659" s="1"/>
      <c r="Z659" s="1"/>
      <c r="AA659" s="1"/>
      <c r="AB659" s="1"/>
      <c r="AC659" s="1"/>
      <c r="AD659" s="1"/>
      <c r="AE659" s="1"/>
      <c r="AF659" s="1"/>
      <c r="AG659" s="1"/>
      <c r="AH659" s="1"/>
      <c r="AI659" s="1"/>
      <c r="AJ659" s="1"/>
      <c r="AK659" s="1"/>
      <c r="AL659" s="1"/>
      <c r="AM659" s="1"/>
      <c r="AN659" s="1"/>
    </row>
    <row r="660">
      <c r="A660" s="1138"/>
      <c r="B660" s="310"/>
      <c r="C660" s="888"/>
      <c r="D660" s="310"/>
      <c r="E660" s="1140"/>
      <c r="F660" s="932"/>
      <c r="G660" s="355"/>
      <c r="H660" s="310"/>
      <c r="I660" s="931"/>
      <c r="J660" s="1143"/>
      <c r="K660" s="691"/>
      <c r="L660" s="691"/>
      <c r="M660" s="691"/>
      <c r="N660" s="691"/>
      <c r="O660" s="691"/>
      <c r="P660" s="691"/>
      <c r="Q660" s="691"/>
      <c r="R660" s="888"/>
      <c r="S660" s="888"/>
      <c r="T660" s="1154"/>
      <c r="U660" s="888"/>
      <c r="V660" s="888"/>
      <c r="W660" s="310"/>
      <c r="X660" s="691"/>
      <c r="Y660" s="1"/>
      <c r="Z660" s="1"/>
      <c r="AA660" s="1"/>
      <c r="AB660" s="1"/>
      <c r="AC660" s="1"/>
      <c r="AD660" s="1"/>
      <c r="AE660" s="1"/>
      <c r="AF660" s="1"/>
      <c r="AG660" s="1"/>
      <c r="AH660" s="1"/>
      <c r="AI660" s="1"/>
      <c r="AJ660" s="1"/>
      <c r="AK660" s="1"/>
      <c r="AL660" s="1"/>
      <c r="AM660" s="1"/>
      <c r="AN660" s="1"/>
    </row>
    <row r="661">
      <c r="A661" s="1138"/>
      <c r="B661" s="310"/>
      <c r="C661" s="888"/>
      <c r="D661" s="310"/>
      <c r="E661" s="1140"/>
      <c r="F661" s="932"/>
      <c r="G661" s="355"/>
      <c r="H661" s="310"/>
      <c r="I661" s="931"/>
      <c r="J661" s="1143"/>
      <c r="K661" s="691"/>
      <c r="L661" s="691"/>
      <c r="M661" s="691"/>
      <c r="N661" s="691"/>
      <c r="O661" s="691"/>
      <c r="P661" s="691"/>
      <c r="Q661" s="691"/>
      <c r="R661" s="888"/>
      <c r="S661" s="888"/>
      <c r="T661" s="1154"/>
      <c r="U661" s="888"/>
      <c r="V661" s="888"/>
      <c r="W661" s="310"/>
      <c r="X661" s="691"/>
      <c r="Y661" s="1"/>
      <c r="Z661" s="1"/>
      <c r="AA661" s="1"/>
      <c r="AB661" s="1"/>
      <c r="AC661" s="1"/>
      <c r="AD661" s="1"/>
      <c r="AE661" s="1"/>
      <c r="AF661" s="1"/>
      <c r="AG661" s="1"/>
      <c r="AH661" s="1"/>
      <c r="AI661" s="1"/>
      <c r="AJ661" s="1"/>
      <c r="AK661" s="1"/>
      <c r="AL661" s="1"/>
      <c r="AM661" s="1"/>
      <c r="AN661" s="1"/>
    </row>
    <row r="662">
      <c r="A662" s="1138"/>
      <c r="B662" s="310"/>
      <c r="C662" s="888"/>
      <c r="D662" s="310"/>
      <c r="E662" s="1140"/>
      <c r="F662" s="932"/>
      <c r="G662" s="355"/>
      <c r="H662" s="310"/>
      <c r="I662" s="931"/>
      <c r="J662" s="1143"/>
      <c r="K662" s="691"/>
      <c r="L662" s="691"/>
      <c r="M662" s="691"/>
      <c r="N662" s="691"/>
      <c r="O662" s="691"/>
      <c r="P662" s="691"/>
      <c r="Q662" s="691"/>
      <c r="R662" s="888"/>
      <c r="S662" s="888"/>
      <c r="T662" s="1154"/>
      <c r="U662" s="888"/>
      <c r="V662" s="888"/>
      <c r="W662" s="310"/>
      <c r="X662" s="691"/>
      <c r="Y662" s="1"/>
      <c r="Z662" s="1"/>
      <c r="AA662" s="1"/>
      <c r="AB662" s="1"/>
      <c r="AC662" s="1"/>
      <c r="AD662" s="1"/>
      <c r="AE662" s="1"/>
      <c r="AF662" s="1"/>
      <c r="AG662" s="1"/>
      <c r="AH662" s="1"/>
      <c r="AI662" s="1"/>
      <c r="AJ662" s="1"/>
      <c r="AK662" s="1"/>
      <c r="AL662" s="1"/>
      <c r="AM662" s="1"/>
      <c r="AN662" s="1"/>
    </row>
    <row r="663">
      <c r="A663" s="1138"/>
      <c r="B663" s="310"/>
      <c r="C663" s="888"/>
      <c r="D663" s="310"/>
      <c r="E663" s="1140"/>
      <c r="F663" s="932"/>
      <c r="G663" s="355"/>
      <c r="H663" s="310"/>
      <c r="I663" s="931"/>
      <c r="J663" s="1143"/>
      <c r="K663" s="691"/>
      <c r="L663" s="691"/>
      <c r="M663" s="691"/>
      <c r="N663" s="691"/>
      <c r="O663" s="691"/>
      <c r="P663" s="691"/>
      <c r="Q663" s="691"/>
      <c r="R663" s="888"/>
      <c r="S663" s="888"/>
      <c r="T663" s="1154"/>
      <c r="U663" s="888"/>
      <c r="V663" s="888"/>
      <c r="W663" s="310"/>
      <c r="X663" s="691"/>
      <c r="Y663" s="1"/>
      <c r="Z663" s="1"/>
      <c r="AA663" s="1"/>
      <c r="AB663" s="1"/>
      <c r="AC663" s="1"/>
      <c r="AD663" s="1"/>
      <c r="AE663" s="1"/>
      <c r="AF663" s="1"/>
      <c r="AG663" s="1"/>
      <c r="AH663" s="1"/>
      <c r="AI663" s="1"/>
      <c r="AJ663" s="1"/>
      <c r="AK663" s="1"/>
      <c r="AL663" s="1"/>
      <c r="AM663" s="1"/>
      <c r="AN663" s="1"/>
    </row>
    <row r="664">
      <c r="A664" s="1138"/>
      <c r="B664" s="310"/>
      <c r="C664" s="888"/>
      <c r="D664" s="310"/>
      <c r="E664" s="1140"/>
      <c r="F664" s="932"/>
      <c r="G664" s="355"/>
      <c r="H664" s="310"/>
      <c r="I664" s="931"/>
      <c r="J664" s="1143"/>
      <c r="K664" s="691"/>
      <c r="L664" s="691"/>
      <c r="M664" s="691"/>
      <c r="N664" s="691"/>
      <c r="O664" s="691"/>
      <c r="P664" s="691"/>
      <c r="Q664" s="691"/>
      <c r="R664" s="888"/>
      <c r="S664" s="888"/>
      <c r="T664" s="1154"/>
      <c r="U664" s="888"/>
      <c r="V664" s="888"/>
      <c r="W664" s="310"/>
      <c r="X664" s="691"/>
      <c r="Y664" s="1"/>
      <c r="Z664" s="1"/>
      <c r="AA664" s="1"/>
      <c r="AB664" s="1"/>
      <c r="AC664" s="1"/>
      <c r="AD664" s="1"/>
      <c r="AE664" s="1"/>
      <c r="AF664" s="1"/>
      <c r="AG664" s="1"/>
      <c r="AH664" s="1"/>
      <c r="AI664" s="1"/>
      <c r="AJ664" s="1"/>
      <c r="AK664" s="1"/>
      <c r="AL664" s="1"/>
      <c r="AM664" s="1"/>
      <c r="AN664" s="1"/>
    </row>
    <row r="665">
      <c r="A665" s="1138"/>
      <c r="B665" s="310"/>
      <c r="C665" s="888"/>
      <c r="D665" s="310"/>
      <c r="E665" s="1140"/>
      <c r="F665" s="932"/>
      <c r="G665" s="355"/>
      <c r="H665" s="310"/>
      <c r="I665" s="931"/>
      <c r="J665" s="1143"/>
      <c r="K665" s="691"/>
      <c r="L665" s="691"/>
      <c r="M665" s="691"/>
      <c r="N665" s="691"/>
      <c r="O665" s="691"/>
      <c r="P665" s="691"/>
      <c r="Q665" s="691"/>
      <c r="R665" s="888"/>
      <c r="S665" s="888"/>
      <c r="T665" s="1154"/>
      <c r="U665" s="888"/>
      <c r="V665" s="888"/>
      <c r="W665" s="310"/>
      <c r="X665" s="691"/>
      <c r="Y665" s="1"/>
      <c r="Z665" s="1"/>
      <c r="AA665" s="1"/>
      <c r="AB665" s="1"/>
      <c r="AC665" s="1"/>
      <c r="AD665" s="1"/>
      <c r="AE665" s="1"/>
      <c r="AF665" s="1"/>
      <c r="AG665" s="1"/>
      <c r="AH665" s="1"/>
      <c r="AI665" s="1"/>
      <c r="AJ665" s="1"/>
      <c r="AK665" s="1"/>
      <c r="AL665" s="1"/>
      <c r="AM665" s="1"/>
      <c r="AN665" s="1"/>
    </row>
    <row r="666">
      <c r="A666" s="1138"/>
      <c r="B666" s="310"/>
      <c r="C666" s="888"/>
      <c r="D666" s="310"/>
      <c r="E666" s="1140"/>
      <c r="F666" s="932"/>
      <c r="G666" s="355"/>
      <c r="H666" s="310"/>
      <c r="I666" s="931"/>
      <c r="J666" s="1143"/>
      <c r="K666" s="691"/>
      <c r="L666" s="691"/>
      <c r="M666" s="691"/>
      <c r="N666" s="691"/>
      <c r="O666" s="691"/>
      <c r="P666" s="691"/>
      <c r="Q666" s="691"/>
      <c r="R666" s="888"/>
      <c r="S666" s="888"/>
      <c r="T666" s="1154"/>
      <c r="U666" s="888"/>
      <c r="V666" s="888"/>
      <c r="W666" s="310"/>
      <c r="X666" s="691"/>
      <c r="Y666" s="1"/>
      <c r="Z666" s="1"/>
      <c r="AA666" s="1"/>
      <c r="AB666" s="1"/>
      <c r="AC666" s="1"/>
      <c r="AD666" s="1"/>
      <c r="AE666" s="1"/>
      <c r="AF666" s="1"/>
      <c r="AG666" s="1"/>
      <c r="AH666" s="1"/>
      <c r="AI666" s="1"/>
      <c r="AJ666" s="1"/>
      <c r="AK666" s="1"/>
      <c r="AL666" s="1"/>
      <c r="AM666" s="1"/>
      <c r="AN666" s="1"/>
    </row>
    <row r="667">
      <c r="A667" s="1138"/>
      <c r="B667" s="310"/>
      <c r="C667" s="888"/>
      <c r="D667" s="310"/>
      <c r="E667" s="1140"/>
      <c r="F667" s="932"/>
      <c r="G667" s="355"/>
      <c r="H667" s="310"/>
      <c r="I667" s="931"/>
      <c r="J667" s="1143"/>
      <c r="K667" s="691"/>
      <c r="L667" s="691"/>
      <c r="M667" s="691"/>
      <c r="N667" s="691"/>
      <c r="O667" s="691"/>
      <c r="P667" s="691"/>
      <c r="Q667" s="691"/>
      <c r="R667" s="888"/>
      <c r="S667" s="888"/>
      <c r="T667" s="1154"/>
      <c r="U667" s="888"/>
      <c r="V667" s="888"/>
      <c r="W667" s="310"/>
      <c r="X667" s="691"/>
      <c r="Y667" s="1"/>
      <c r="Z667" s="1"/>
      <c r="AA667" s="1"/>
      <c r="AB667" s="1"/>
      <c r="AC667" s="1"/>
      <c r="AD667" s="1"/>
      <c r="AE667" s="1"/>
      <c r="AF667" s="1"/>
      <c r="AG667" s="1"/>
      <c r="AH667" s="1"/>
      <c r="AI667" s="1"/>
      <c r="AJ667" s="1"/>
      <c r="AK667" s="1"/>
      <c r="AL667" s="1"/>
      <c r="AM667" s="1"/>
      <c r="AN667" s="1"/>
    </row>
    <row r="668">
      <c r="A668" s="1138"/>
      <c r="B668" s="310"/>
      <c r="C668" s="888"/>
      <c r="D668" s="310"/>
      <c r="E668" s="1140"/>
      <c r="F668" s="932"/>
      <c r="G668" s="355"/>
      <c r="H668" s="310"/>
      <c r="I668" s="931"/>
      <c r="J668" s="1143"/>
      <c r="K668" s="691"/>
      <c r="L668" s="691"/>
      <c r="M668" s="691"/>
      <c r="N668" s="691"/>
      <c r="O668" s="691"/>
      <c r="P668" s="691"/>
      <c r="Q668" s="691"/>
      <c r="R668" s="888"/>
      <c r="S668" s="888"/>
      <c r="T668" s="1154"/>
      <c r="U668" s="888"/>
      <c r="V668" s="888"/>
      <c r="W668" s="310"/>
      <c r="X668" s="691"/>
      <c r="Y668" s="1"/>
      <c r="Z668" s="1"/>
      <c r="AA668" s="1"/>
      <c r="AB668" s="1"/>
      <c r="AC668" s="1"/>
      <c r="AD668" s="1"/>
      <c r="AE668" s="1"/>
      <c r="AF668" s="1"/>
      <c r="AG668" s="1"/>
      <c r="AH668" s="1"/>
      <c r="AI668" s="1"/>
      <c r="AJ668" s="1"/>
      <c r="AK668" s="1"/>
      <c r="AL668" s="1"/>
      <c r="AM668" s="1"/>
      <c r="AN668" s="1"/>
    </row>
    <row r="669">
      <c r="A669" s="1138"/>
      <c r="B669" s="310"/>
      <c r="C669" s="888"/>
      <c r="D669" s="310"/>
      <c r="E669" s="1140"/>
      <c r="F669" s="932"/>
      <c r="G669" s="355"/>
      <c r="H669" s="310"/>
      <c r="I669" s="931"/>
      <c r="J669" s="1143"/>
      <c r="K669" s="691"/>
      <c r="L669" s="691"/>
      <c r="M669" s="691"/>
      <c r="N669" s="691"/>
      <c r="O669" s="691"/>
      <c r="P669" s="691"/>
      <c r="Q669" s="691"/>
      <c r="R669" s="888"/>
      <c r="S669" s="888"/>
      <c r="T669" s="1154"/>
      <c r="U669" s="888"/>
      <c r="V669" s="888"/>
      <c r="W669" s="310"/>
      <c r="X669" s="691"/>
      <c r="Y669" s="1"/>
      <c r="Z669" s="1"/>
      <c r="AA669" s="1"/>
      <c r="AB669" s="1"/>
      <c r="AC669" s="1"/>
      <c r="AD669" s="1"/>
      <c r="AE669" s="1"/>
      <c r="AF669" s="1"/>
      <c r="AG669" s="1"/>
      <c r="AH669" s="1"/>
      <c r="AI669" s="1"/>
      <c r="AJ669" s="1"/>
      <c r="AK669" s="1"/>
      <c r="AL669" s="1"/>
      <c r="AM669" s="1"/>
      <c r="AN669" s="1"/>
    </row>
    <row r="670">
      <c r="A670" s="1138"/>
      <c r="B670" s="310"/>
      <c r="C670" s="888"/>
      <c r="D670" s="310"/>
      <c r="E670" s="1140"/>
      <c r="F670" s="932"/>
      <c r="G670" s="355"/>
      <c r="H670" s="310"/>
      <c r="I670" s="931"/>
      <c r="J670" s="1143"/>
      <c r="K670" s="691"/>
      <c r="L670" s="691"/>
      <c r="M670" s="691"/>
      <c r="N670" s="691"/>
      <c r="O670" s="691"/>
      <c r="P670" s="691"/>
      <c r="Q670" s="691"/>
      <c r="R670" s="888"/>
      <c r="S670" s="888"/>
      <c r="T670" s="1154"/>
      <c r="U670" s="888"/>
      <c r="V670" s="888"/>
      <c r="W670" s="310"/>
      <c r="X670" s="691"/>
      <c r="Y670" s="1"/>
      <c r="Z670" s="1"/>
      <c r="AA670" s="1"/>
      <c r="AB670" s="1"/>
      <c r="AC670" s="1"/>
      <c r="AD670" s="1"/>
      <c r="AE670" s="1"/>
      <c r="AF670" s="1"/>
      <c r="AG670" s="1"/>
      <c r="AH670" s="1"/>
      <c r="AI670" s="1"/>
      <c r="AJ670" s="1"/>
      <c r="AK670" s="1"/>
      <c r="AL670" s="1"/>
      <c r="AM670" s="1"/>
      <c r="AN670" s="1"/>
    </row>
    <row r="671">
      <c r="A671" s="1138"/>
      <c r="B671" s="310"/>
      <c r="C671" s="888"/>
      <c r="D671" s="310"/>
      <c r="E671" s="1140"/>
      <c r="F671" s="932"/>
      <c r="G671" s="355"/>
      <c r="H671" s="310"/>
      <c r="I671" s="931"/>
      <c r="J671" s="1143"/>
      <c r="K671" s="691"/>
      <c r="L671" s="691"/>
      <c r="M671" s="691"/>
      <c r="N671" s="691"/>
      <c r="O671" s="691"/>
      <c r="P671" s="691"/>
      <c r="Q671" s="691"/>
      <c r="R671" s="888"/>
      <c r="S671" s="888"/>
      <c r="T671" s="1154"/>
      <c r="U671" s="888"/>
      <c r="V671" s="888"/>
      <c r="W671" s="310"/>
      <c r="X671" s="691"/>
      <c r="Y671" s="1"/>
      <c r="Z671" s="1"/>
      <c r="AA671" s="1"/>
      <c r="AB671" s="1"/>
      <c r="AC671" s="1"/>
      <c r="AD671" s="1"/>
      <c r="AE671" s="1"/>
      <c r="AF671" s="1"/>
      <c r="AG671" s="1"/>
      <c r="AH671" s="1"/>
      <c r="AI671" s="1"/>
      <c r="AJ671" s="1"/>
      <c r="AK671" s="1"/>
      <c r="AL671" s="1"/>
      <c r="AM671" s="1"/>
      <c r="AN671" s="1"/>
    </row>
    <row r="672">
      <c r="A672" s="1138"/>
      <c r="B672" s="310"/>
      <c r="C672" s="888"/>
      <c r="D672" s="310"/>
      <c r="E672" s="1140"/>
      <c r="F672" s="932"/>
      <c r="G672" s="355"/>
      <c r="H672" s="310"/>
      <c r="I672" s="931"/>
      <c r="J672" s="1143"/>
      <c r="K672" s="691"/>
      <c r="L672" s="691"/>
      <c r="M672" s="691"/>
      <c r="N672" s="691"/>
      <c r="O672" s="691"/>
      <c r="P672" s="691"/>
      <c r="Q672" s="691"/>
      <c r="R672" s="888"/>
      <c r="S672" s="888"/>
      <c r="T672" s="1154"/>
      <c r="U672" s="888"/>
      <c r="V672" s="888"/>
      <c r="W672" s="310"/>
      <c r="X672" s="691"/>
      <c r="Y672" s="1"/>
      <c r="Z672" s="1"/>
      <c r="AA672" s="1"/>
      <c r="AB672" s="1"/>
      <c r="AC672" s="1"/>
      <c r="AD672" s="1"/>
      <c r="AE672" s="1"/>
      <c r="AF672" s="1"/>
      <c r="AG672" s="1"/>
      <c r="AH672" s="1"/>
      <c r="AI672" s="1"/>
      <c r="AJ672" s="1"/>
      <c r="AK672" s="1"/>
      <c r="AL672" s="1"/>
      <c r="AM672" s="1"/>
      <c r="AN672" s="1"/>
    </row>
    <row r="673">
      <c r="A673" s="1138"/>
      <c r="B673" s="310"/>
      <c r="C673" s="888"/>
      <c r="D673" s="310"/>
      <c r="E673" s="1140"/>
      <c r="F673" s="932"/>
      <c r="G673" s="355"/>
      <c r="H673" s="310"/>
      <c r="I673" s="931"/>
      <c r="J673" s="1143"/>
      <c r="K673" s="691"/>
      <c r="L673" s="691"/>
      <c r="M673" s="691"/>
      <c r="N673" s="691"/>
      <c r="O673" s="691"/>
      <c r="P673" s="691"/>
      <c r="Q673" s="691"/>
      <c r="R673" s="888"/>
      <c r="S673" s="888"/>
      <c r="T673" s="1154"/>
      <c r="U673" s="888"/>
      <c r="V673" s="888"/>
      <c r="W673" s="310"/>
      <c r="X673" s="691"/>
      <c r="Y673" s="1"/>
      <c r="Z673" s="1"/>
      <c r="AA673" s="1"/>
      <c r="AB673" s="1"/>
      <c r="AC673" s="1"/>
      <c r="AD673" s="1"/>
      <c r="AE673" s="1"/>
      <c r="AF673" s="1"/>
      <c r="AG673" s="1"/>
      <c r="AH673" s="1"/>
      <c r="AI673" s="1"/>
      <c r="AJ673" s="1"/>
      <c r="AK673" s="1"/>
      <c r="AL673" s="1"/>
      <c r="AM673" s="1"/>
      <c r="AN673" s="1"/>
    </row>
    <row r="674">
      <c r="A674" s="1138"/>
      <c r="B674" s="310"/>
      <c r="C674" s="888"/>
      <c r="D674" s="310"/>
      <c r="E674" s="1140"/>
      <c r="F674" s="932"/>
      <c r="G674" s="355"/>
      <c r="H674" s="310"/>
      <c r="I674" s="931"/>
      <c r="J674" s="1143"/>
      <c r="K674" s="691"/>
      <c r="L674" s="691"/>
      <c r="M674" s="691"/>
      <c r="N674" s="691"/>
      <c r="O674" s="691"/>
      <c r="P674" s="691"/>
      <c r="Q674" s="691"/>
      <c r="R674" s="888"/>
      <c r="S674" s="888"/>
      <c r="T674" s="1154"/>
      <c r="U674" s="888"/>
      <c r="V674" s="888"/>
      <c r="W674" s="310"/>
      <c r="X674" s="691"/>
      <c r="Y674" s="1"/>
      <c r="Z674" s="1"/>
      <c r="AA674" s="1"/>
      <c r="AB674" s="1"/>
      <c r="AC674" s="1"/>
      <c r="AD674" s="1"/>
      <c r="AE674" s="1"/>
      <c r="AF674" s="1"/>
      <c r="AG674" s="1"/>
      <c r="AH674" s="1"/>
      <c r="AI674" s="1"/>
      <c r="AJ674" s="1"/>
      <c r="AK674" s="1"/>
      <c r="AL674" s="1"/>
      <c r="AM674" s="1"/>
      <c r="AN674" s="1"/>
    </row>
    <row r="675">
      <c r="A675" s="1138"/>
      <c r="B675" s="310"/>
      <c r="C675" s="888"/>
      <c r="D675" s="310"/>
      <c r="E675" s="1140"/>
      <c r="F675" s="932"/>
      <c r="G675" s="355"/>
      <c r="H675" s="310"/>
      <c r="I675" s="931"/>
      <c r="J675" s="1143"/>
      <c r="K675" s="691"/>
      <c r="L675" s="691"/>
      <c r="M675" s="691"/>
      <c r="N675" s="691"/>
      <c r="O675" s="691"/>
      <c r="P675" s="691"/>
      <c r="Q675" s="691"/>
      <c r="R675" s="888"/>
      <c r="S675" s="888"/>
      <c r="T675" s="1154"/>
      <c r="U675" s="888"/>
      <c r="V675" s="888"/>
      <c r="W675" s="310"/>
      <c r="X675" s="691"/>
      <c r="Y675" s="1"/>
      <c r="Z675" s="1"/>
      <c r="AA675" s="1"/>
      <c r="AB675" s="1"/>
      <c r="AC675" s="1"/>
      <c r="AD675" s="1"/>
      <c r="AE675" s="1"/>
      <c r="AF675" s="1"/>
      <c r="AG675" s="1"/>
      <c r="AH675" s="1"/>
      <c r="AI675" s="1"/>
      <c r="AJ675" s="1"/>
      <c r="AK675" s="1"/>
      <c r="AL675" s="1"/>
      <c r="AM675" s="1"/>
      <c r="AN675" s="1"/>
    </row>
  </sheetData>
  <autoFilter ref="$A$5:$AN$108"/>
  <customSheetViews>
    <customSheetView guid="{FBCF8522-252B-4004-92CE-A9A2A42C01B5}" filter="1" showAutoFilter="1">
      <autoFilter ref="$A$5:$AN$5"/>
    </customSheetView>
    <customSheetView guid="{127C7570-474D-4FA0-8DFD-5FCF265A9A83}" filter="1" showAutoFilter="1">
      <autoFilter ref="$A$5:$AN$5">
        <filterColumn colId="19">
          <filters/>
        </filterColumn>
      </autoFilter>
    </customSheetView>
    <customSheetView guid="{39ED1B49-32C3-4417-AFAF-353C8DFB46BC}" filter="1" showAutoFilter="1">
      <autoFilter ref="$A$5:$AN$5">
        <filterColumn colId="19">
          <filters/>
        </filterColumn>
      </autoFilter>
    </customSheetView>
    <customSheetView guid="{7FD709E0-B349-45E7-B132-F289F18ACC70}" filter="1" showAutoFilter="1">
      <autoFilter ref="$A$2:$AN$5"/>
    </customSheetView>
    <customSheetView guid="{F7B131ED-3868-46D7-8953-45B5E83533A1}" filter="1" showAutoFilter="1">
      <autoFilter ref="$A$5:$AN$5">
        <filterColumn colId="19">
          <filters/>
        </filterColumn>
      </autoFilter>
    </customSheetView>
    <customSheetView guid="{E0F02B22-0DB2-42A2-8124-598F2F4B8BE4}" filter="1" showAutoFilter="1">
      <autoFilter ref="$A$5:$AN$5">
        <filterColumn colId="19">
          <filters/>
        </filterColumn>
      </autoFilter>
    </customSheetView>
    <customSheetView guid="{739B17A8-C1E5-4BAE-B77F-01A2FFA0A921}" filter="1" showAutoFilter="1">
      <autoFilter ref="$A$5:$AN$5"/>
    </customSheetView>
    <customSheetView guid="{2AF348F7-CDAA-464B-8D9D-B2675E547464}" filter="1" showAutoFilter="1">
      <autoFilter ref="$A$5:$AN$5">
        <filterColumn colId="3">
          <filters/>
        </filterColumn>
      </autoFilter>
    </customSheetView>
    <customSheetView guid="{AB815D40-4CFD-4548-B2C0-D7A1091ADA19}" filter="1" showAutoFilter="1">
      <autoFilter ref="$A$2:$AN$5"/>
    </customSheetView>
    <customSheetView guid="{27810A2C-037D-4AD2-BB0D-EA5D9AB4D19D}" filter="1" showAutoFilter="1">
      <autoFilter ref="$A$5:$AN$5"/>
    </customSheetView>
    <customSheetView guid="{71FB5836-E2BD-4F0D-8BE3-1F312B639DF2}" filter="1" showAutoFilter="1">
      <autoFilter ref="$A$5:$AN$5"/>
    </customSheetView>
    <customSheetView guid="{9EBB0D33-3327-459E-8EA9-089A8B576A77}" filter="1" showAutoFilter="1">
      <autoFilter ref="$A$5:$AN$5">
        <filterColumn colId="19">
          <filters/>
        </filterColumn>
      </autoFilter>
    </customSheetView>
    <customSheetView guid="{23D680C5-0C02-49A2-AC47-BEE5FBBBB9A2}" filter="1" showAutoFilter="1">
      <autoFilter ref="$A$5:$AN$5"/>
    </customSheetView>
    <customSheetView guid="{60AA5830-7D4C-40FE-A3A6-C739A1A64BB3}" filter="1" showAutoFilter="1">
      <autoFilter ref="$B$2:$W$5"/>
    </customSheetView>
    <customSheetView guid="{FAE93DA6-B714-4F75-B3FF-2796B8763C8B}" filter="1" showAutoFilter="1">
      <autoFilter ref="$A$5:$AN$5">
        <filterColumn colId="5">
          <filters/>
        </filterColumn>
      </autoFilter>
    </customSheetView>
    <customSheetView guid="{89376C1D-728E-4BB2-A614-BF0776B439DB}" filter="1" showAutoFilter="1">
      <autoFilter ref="$A$5:$AN$5"/>
    </customSheetView>
    <customSheetView guid="{559B2903-E4AD-4CF4-9203-71E94D24A8A6}" filter="1" showAutoFilter="1">
      <autoFilter ref="$A$2:$W$5"/>
    </customSheetView>
    <customSheetView guid="{09B701C9-C463-4E5A-9AA6-EE9988CB52C8}" filter="1" showAutoFilter="1">
      <autoFilter ref="$A$5:$AN$5"/>
    </customSheetView>
    <customSheetView guid="{9AC2A495-2EC9-498C-B00A-D1D39307ECB1}" filter="1" showAutoFilter="1">
      <autoFilter ref="$A$5:$AN$5">
        <filterColumn colId="19">
          <filters/>
        </filterColumn>
      </autoFilter>
    </customSheetView>
    <customSheetView guid="{D92740F2-3167-41B6-B058-0111AF40A417}" filter="1" showAutoFilter="1">
      <autoFilter ref="$A$5:$AN$5">
        <filterColumn colId="19">
          <filters/>
        </filterColumn>
      </autoFilter>
    </customSheetView>
    <customSheetView guid="{601C2118-82B1-4C66-89C2-91CF3E1D47CB}" filter="1" showAutoFilter="1">
      <autoFilter ref="$A$5:$AN$5"/>
    </customSheetView>
  </customSheetViews>
  <conditionalFormatting sqref="E6:E156">
    <cfRule type="expression" dxfId="1" priority="1">
      <formula>$X6="BLK"</formula>
    </cfRule>
  </conditionalFormatting>
  <conditionalFormatting sqref="E6:E156">
    <cfRule type="expression" dxfId="7" priority="2">
      <formula>$X6="PPL"</formula>
    </cfRule>
  </conditionalFormatting>
  <conditionalFormatting sqref="E6:E156">
    <cfRule type="expression" dxfId="25" priority="3">
      <formula>$X6="YEL"</formula>
    </cfRule>
  </conditionalFormatting>
  <conditionalFormatting sqref="H6:H100">
    <cfRule type="expression" dxfId="11" priority="4">
      <formula>countif($H:$H,$H6)&gt;1</formula>
    </cfRule>
  </conditionalFormatting>
  <conditionalFormatting sqref="E6:E675">
    <cfRule type="expression" dxfId="21" priority="5">
      <formula>$X6="BUE"</formula>
    </cfRule>
  </conditionalFormatting>
  <hyperlinks>
    <hyperlink r:id="rId1" ref="T5"/>
    <hyperlink r:id="rId2" ref="W5"/>
    <hyperlink r:id="rId3" ref="T6"/>
    <hyperlink r:id="rId4" ref="W6"/>
    <hyperlink r:id="rId5" ref="T7"/>
    <hyperlink r:id="rId6" ref="W7"/>
    <hyperlink r:id="rId7" ref="T8"/>
    <hyperlink r:id="rId8" ref="W8"/>
    <hyperlink r:id="rId9" ref="T9"/>
    <hyperlink r:id="rId10" ref="W9"/>
    <hyperlink r:id="rId11" ref="T10"/>
    <hyperlink r:id="rId12" ref="W10"/>
    <hyperlink r:id="rId13" ref="T11"/>
    <hyperlink r:id="rId14" ref="W11"/>
    <hyperlink r:id="rId15" ref="T12"/>
    <hyperlink r:id="rId16" ref="W12"/>
    <hyperlink r:id="rId17" ref="T13"/>
    <hyperlink r:id="rId18" ref="W13"/>
    <hyperlink r:id="rId19" ref="T14"/>
    <hyperlink r:id="rId20" ref="W14"/>
    <hyperlink r:id="rId21" ref="T15"/>
    <hyperlink r:id="rId22" ref="W15"/>
    <hyperlink r:id="rId23" ref="T16"/>
    <hyperlink r:id="rId24" ref="W16"/>
    <hyperlink r:id="rId25" ref="T17"/>
    <hyperlink r:id="rId26" ref="W17"/>
    <hyperlink r:id="rId27" ref="T18"/>
    <hyperlink r:id="rId28" ref="W18"/>
    <hyperlink r:id="rId29" ref="T19"/>
    <hyperlink r:id="rId30" ref="W19"/>
    <hyperlink r:id="rId31" ref="T20"/>
    <hyperlink r:id="rId32" ref="W20"/>
    <hyperlink r:id="rId33" ref="T21"/>
    <hyperlink r:id="rId34" ref="W21"/>
  </hyperlinks>
  <printOptions/>
  <pageMargins bottom="0.75" footer="0.0" header="0.0" left="0.7" right="0.7" top="0.75"/>
  <pageSetup orientation="landscape"/>
  <drawing r:id="rId35"/>
</worksheet>
</file>